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">Masques!$I$7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Masques!$I$14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Masques!$V$10</definedName>
    <definedName name="Hobs2">Masques!$V$11</definedName>
    <definedName name="Hobs3">Masques!$V$12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c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Masques!$I$5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_sol">Masques!$T$11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80" i="18" l="1"/>
  <c r="B71" i="18"/>
  <c r="AI5" i="7" l="1"/>
  <c r="B9" i="7" l="1"/>
  <c r="C9" i="7"/>
  <c r="H9" i="7"/>
  <c r="I9" i="7" s="1"/>
  <c r="B10" i="7"/>
  <c r="F9" i="7" s="1"/>
  <c r="L9" i="7" s="1"/>
  <c r="R9" i="7" s="1"/>
  <c r="D10" i="7"/>
  <c r="E10" i="7"/>
  <c r="H10" i="7"/>
  <c r="I10" i="7" s="1"/>
  <c r="N10" i="7"/>
  <c r="O10" i="7" s="1"/>
  <c r="T10" i="7"/>
  <c r="U10" i="7" s="1"/>
  <c r="X10" i="7"/>
  <c r="Z10" i="7"/>
  <c r="AA10" i="7" s="1"/>
  <c r="AD10" i="7"/>
  <c r="AJ10" i="7" s="1"/>
  <c r="AP10" i="7" s="1"/>
  <c r="AV10" i="7" s="1"/>
  <c r="BB10" i="7" s="1"/>
  <c r="BH10" i="7" s="1"/>
  <c r="BN10" i="7" s="1"/>
  <c r="BT10" i="7" s="1"/>
  <c r="BZ10" i="7" s="1"/>
  <c r="M32" i="19"/>
  <c r="J10" i="7" l="1"/>
  <c r="X9" i="7"/>
  <c r="AD9" i="7" s="1"/>
  <c r="AF10" i="7" s="1"/>
  <c r="P10" i="7"/>
  <c r="V10" i="7" s="1"/>
  <c r="AB10" i="7" s="1"/>
  <c r="K10" i="7"/>
  <c r="Q10" i="7"/>
  <c r="W10" i="7" s="1"/>
  <c r="AC10" i="7" s="1"/>
  <c r="C10" i="7"/>
  <c r="L10" i="7" s="1"/>
  <c r="R10" i="7" s="1"/>
  <c r="N9" i="7"/>
  <c r="CF380" i="6"/>
  <c r="CE380" i="6"/>
  <c r="CD380" i="6"/>
  <c r="CB380" i="6"/>
  <c r="CA380" i="6"/>
  <c r="BZ380" i="6"/>
  <c r="BX380" i="6"/>
  <c r="BW380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I10" i="7" l="1"/>
  <c r="AO10" i="7" s="1"/>
  <c r="AU10" i="7" s="1"/>
  <c r="BA10" i="7" s="1"/>
  <c r="BG10" i="7" s="1"/>
  <c r="BM10" i="7" s="1"/>
  <c r="BS10" i="7" s="1"/>
  <c r="BY10" i="7" s="1"/>
  <c r="AH10" i="7"/>
  <c r="AN10" i="7" s="1"/>
  <c r="AT10" i="7" s="1"/>
  <c r="AZ10" i="7" s="1"/>
  <c r="BF10" i="7" s="1"/>
  <c r="BL10" i="7" s="1"/>
  <c r="BR10" i="7" s="1"/>
  <c r="BX10" i="7" s="1"/>
  <c r="AJ9" i="7"/>
  <c r="AL10" i="7" s="1"/>
  <c r="AP9" i="7" s="1"/>
  <c r="AR10" i="7" s="1"/>
  <c r="O9" i="7"/>
  <c r="T9" i="7"/>
  <c r="AV9" i="7" l="1"/>
  <c r="AX10" i="7" s="1"/>
  <c r="U9" i="7"/>
  <c r="Z9" i="7"/>
  <c r="BB9" i="7" l="1"/>
  <c r="BD10" i="7" s="1"/>
  <c r="AA9" i="7"/>
  <c r="AF9" i="7"/>
  <c r="L32" i="19"/>
  <c r="K32" i="19"/>
  <c r="BH9" i="7" l="1"/>
  <c r="BJ10" i="7" s="1"/>
  <c r="AG9" i="7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I14" i="26"/>
  <c r="Z65" i="26"/>
  <c r="Y65" i="26"/>
  <c r="X65" i="26"/>
  <c r="W65" i="26"/>
  <c r="V65" i="26"/>
  <c r="U65" i="26"/>
  <c r="T65" i="26"/>
  <c r="S65" i="26"/>
  <c r="R65" i="26"/>
  <c r="Q65" i="26"/>
  <c r="P65" i="26"/>
  <c r="Z64" i="26"/>
  <c r="Y64" i="26"/>
  <c r="X64" i="26"/>
  <c r="W64" i="26"/>
  <c r="V64" i="26"/>
  <c r="U64" i="26"/>
  <c r="T64" i="26"/>
  <c r="S64" i="26"/>
  <c r="R64" i="26"/>
  <c r="Q64" i="26"/>
  <c r="P64" i="26"/>
  <c r="Z63" i="26"/>
  <c r="Y63" i="26"/>
  <c r="X63" i="26"/>
  <c r="W63" i="26"/>
  <c r="V63" i="26"/>
  <c r="U63" i="26"/>
  <c r="T63" i="26"/>
  <c r="S63" i="26"/>
  <c r="R63" i="26"/>
  <c r="Q63" i="26"/>
  <c r="P63" i="26"/>
  <c r="Z62" i="26"/>
  <c r="Y62" i="26"/>
  <c r="X62" i="26"/>
  <c r="W62" i="26"/>
  <c r="V62" i="26"/>
  <c r="U62" i="26"/>
  <c r="T62" i="26"/>
  <c r="S62" i="26"/>
  <c r="R62" i="26"/>
  <c r="Q62" i="26"/>
  <c r="P62" i="26"/>
  <c r="Z61" i="26"/>
  <c r="Y61" i="26"/>
  <c r="X61" i="26"/>
  <c r="W61" i="26"/>
  <c r="V61" i="26"/>
  <c r="U61" i="26"/>
  <c r="T61" i="26"/>
  <c r="S61" i="26"/>
  <c r="R61" i="26"/>
  <c r="Q61" i="26"/>
  <c r="P61" i="26"/>
  <c r="Z60" i="26"/>
  <c r="Y60" i="26"/>
  <c r="X60" i="26"/>
  <c r="W60" i="26"/>
  <c r="V60" i="26"/>
  <c r="U60" i="26"/>
  <c r="T60" i="26"/>
  <c r="S60" i="26"/>
  <c r="R60" i="26"/>
  <c r="Q60" i="26"/>
  <c r="P60" i="26"/>
  <c r="Z59" i="26"/>
  <c r="Y59" i="26"/>
  <c r="X59" i="26"/>
  <c r="W59" i="26"/>
  <c r="V59" i="26"/>
  <c r="U59" i="26"/>
  <c r="T59" i="26"/>
  <c r="S59" i="26"/>
  <c r="R59" i="26"/>
  <c r="Q59" i="26"/>
  <c r="P59" i="26"/>
  <c r="Z58" i="26"/>
  <c r="Y58" i="26"/>
  <c r="X58" i="26"/>
  <c r="W58" i="26"/>
  <c r="V58" i="26"/>
  <c r="U58" i="26"/>
  <c r="T58" i="26"/>
  <c r="S58" i="26"/>
  <c r="R58" i="26"/>
  <c r="Q58" i="26"/>
  <c r="P58" i="26"/>
  <c r="Z50" i="26"/>
  <c r="Y50" i="26"/>
  <c r="X50" i="26"/>
  <c r="W50" i="26"/>
  <c r="V50" i="26"/>
  <c r="U50" i="26"/>
  <c r="T50" i="26"/>
  <c r="S50" i="26"/>
  <c r="R50" i="26"/>
  <c r="Q50" i="26"/>
  <c r="P50" i="26"/>
  <c r="L65" i="26"/>
  <c r="K65" i="26"/>
  <c r="J65" i="26"/>
  <c r="I65" i="26"/>
  <c r="H65" i="26"/>
  <c r="G65" i="26"/>
  <c r="F65" i="26"/>
  <c r="E65" i="26"/>
  <c r="D65" i="26"/>
  <c r="C65" i="26"/>
  <c r="B65" i="26"/>
  <c r="A65" i="26"/>
  <c r="L64" i="26"/>
  <c r="K64" i="26"/>
  <c r="J64" i="26"/>
  <c r="I64" i="26"/>
  <c r="H64" i="26"/>
  <c r="G64" i="26"/>
  <c r="F64" i="26"/>
  <c r="E64" i="26"/>
  <c r="D64" i="26"/>
  <c r="C64" i="26"/>
  <c r="B64" i="26"/>
  <c r="A64" i="26"/>
  <c r="L63" i="26"/>
  <c r="K63" i="26"/>
  <c r="J63" i="26"/>
  <c r="I63" i="26"/>
  <c r="H63" i="26"/>
  <c r="G63" i="26"/>
  <c r="F63" i="26"/>
  <c r="E63" i="26"/>
  <c r="D63" i="26"/>
  <c r="C63" i="26"/>
  <c r="B63" i="26"/>
  <c r="A63" i="26"/>
  <c r="L62" i="26"/>
  <c r="K62" i="26"/>
  <c r="J62" i="26"/>
  <c r="I62" i="26"/>
  <c r="H62" i="26"/>
  <c r="G62" i="26"/>
  <c r="F62" i="26"/>
  <c r="E62" i="26"/>
  <c r="D62" i="26"/>
  <c r="C62" i="26"/>
  <c r="B62" i="26"/>
  <c r="A62" i="26"/>
  <c r="L61" i="26"/>
  <c r="K61" i="26"/>
  <c r="J61" i="26"/>
  <c r="I61" i="26"/>
  <c r="H61" i="26"/>
  <c r="G61" i="26"/>
  <c r="F61" i="26"/>
  <c r="E61" i="26"/>
  <c r="D61" i="26"/>
  <c r="C61" i="26"/>
  <c r="B61" i="26"/>
  <c r="A61" i="26"/>
  <c r="L60" i="26"/>
  <c r="K60" i="26"/>
  <c r="J60" i="26"/>
  <c r="I60" i="26"/>
  <c r="H60" i="26"/>
  <c r="G60" i="26"/>
  <c r="F60" i="26"/>
  <c r="E60" i="26"/>
  <c r="D60" i="26"/>
  <c r="C60" i="26"/>
  <c r="B60" i="26"/>
  <c r="A60" i="26"/>
  <c r="L59" i="26"/>
  <c r="K59" i="26"/>
  <c r="J59" i="26"/>
  <c r="I59" i="26"/>
  <c r="H59" i="26"/>
  <c r="G59" i="26"/>
  <c r="F59" i="26"/>
  <c r="E59" i="26"/>
  <c r="D59" i="26"/>
  <c r="C59" i="26"/>
  <c r="B59" i="26"/>
  <c r="A59" i="26"/>
  <c r="L58" i="26"/>
  <c r="K58" i="26"/>
  <c r="J58" i="26"/>
  <c r="I58" i="26"/>
  <c r="H58" i="26"/>
  <c r="G58" i="26"/>
  <c r="F58" i="26"/>
  <c r="E58" i="26"/>
  <c r="D58" i="26"/>
  <c r="C58" i="26"/>
  <c r="B58" i="26"/>
  <c r="A58" i="26"/>
  <c r="L57" i="26"/>
  <c r="K57" i="26"/>
  <c r="J57" i="26"/>
  <c r="I57" i="26"/>
  <c r="H57" i="26"/>
  <c r="G57" i="26"/>
  <c r="F57" i="26"/>
  <c r="E57" i="26"/>
  <c r="D57" i="26"/>
  <c r="C57" i="26"/>
  <c r="B57" i="26"/>
  <c r="A57" i="26"/>
  <c r="L56" i="26"/>
  <c r="K56" i="26"/>
  <c r="J56" i="26"/>
  <c r="I56" i="26"/>
  <c r="H56" i="26"/>
  <c r="G56" i="26"/>
  <c r="F56" i="26"/>
  <c r="E56" i="26"/>
  <c r="D56" i="26"/>
  <c r="C56" i="26"/>
  <c r="B56" i="26"/>
  <c r="A56" i="26"/>
  <c r="L55" i="26"/>
  <c r="K55" i="26"/>
  <c r="J55" i="26"/>
  <c r="I55" i="26"/>
  <c r="H55" i="26"/>
  <c r="G55" i="26"/>
  <c r="F55" i="26"/>
  <c r="E55" i="26"/>
  <c r="D55" i="26"/>
  <c r="C55" i="26"/>
  <c r="B55" i="26"/>
  <c r="A55" i="26"/>
  <c r="L54" i="26"/>
  <c r="K54" i="26"/>
  <c r="J54" i="26"/>
  <c r="I54" i="26"/>
  <c r="H54" i="26"/>
  <c r="G54" i="26"/>
  <c r="F54" i="26"/>
  <c r="E54" i="26"/>
  <c r="D54" i="26"/>
  <c r="C54" i="26"/>
  <c r="B54" i="26"/>
  <c r="A54" i="26"/>
  <c r="L53" i="26"/>
  <c r="K53" i="26"/>
  <c r="J53" i="26"/>
  <c r="I53" i="26"/>
  <c r="H53" i="26"/>
  <c r="G53" i="26"/>
  <c r="F53" i="26"/>
  <c r="E53" i="26"/>
  <c r="D53" i="26"/>
  <c r="C53" i="26"/>
  <c r="B53" i="26"/>
  <c r="A53" i="26"/>
  <c r="L52" i="26"/>
  <c r="K52" i="26"/>
  <c r="J52" i="26"/>
  <c r="I52" i="26"/>
  <c r="H52" i="26"/>
  <c r="G52" i="26"/>
  <c r="F52" i="26"/>
  <c r="E52" i="26"/>
  <c r="D52" i="26"/>
  <c r="C52" i="26"/>
  <c r="B52" i="26"/>
  <c r="A52" i="26"/>
  <c r="L50" i="26"/>
  <c r="K50" i="26"/>
  <c r="J50" i="26"/>
  <c r="I50" i="26"/>
  <c r="H50" i="26"/>
  <c r="G50" i="26"/>
  <c r="F50" i="26"/>
  <c r="E50" i="26"/>
  <c r="D50" i="26"/>
  <c r="C50" i="26"/>
  <c r="B50" i="26"/>
  <c r="A50" i="26"/>
  <c r="J33" i="26"/>
  <c r="J32" i="26"/>
  <c r="I34" i="26"/>
  <c r="H34" i="26"/>
  <c r="H33" i="26"/>
  <c r="G33" i="26"/>
  <c r="E33" i="26"/>
  <c r="D33" i="26"/>
  <c r="F33" i="26"/>
  <c r="H32" i="26"/>
  <c r="O64" i="26"/>
  <c r="G32" i="26"/>
  <c r="E32" i="26"/>
  <c r="D32" i="26"/>
  <c r="F32" i="26"/>
  <c r="G31" i="26"/>
  <c r="E31" i="26"/>
  <c r="F31" i="26"/>
  <c r="D31" i="26"/>
  <c r="H30" i="26"/>
  <c r="G30" i="26"/>
  <c r="E30" i="26"/>
  <c r="F30" i="26"/>
  <c r="D30" i="26"/>
  <c r="G29" i="26"/>
  <c r="E29" i="26"/>
  <c r="D29" i="26"/>
  <c r="F29" i="26"/>
  <c r="I29" i="26"/>
  <c r="H28" i="26"/>
  <c r="G28" i="26"/>
  <c r="E28" i="26"/>
  <c r="D28" i="26"/>
  <c r="F28" i="26"/>
  <c r="H27" i="26"/>
  <c r="O59" i="26"/>
  <c r="G27" i="26"/>
  <c r="E27" i="26"/>
  <c r="D27" i="26"/>
  <c r="F27" i="26"/>
  <c r="G26" i="26"/>
  <c r="E26" i="26"/>
  <c r="F26" i="26"/>
  <c r="D26" i="26"/>
  <c r="H25" i="26"/>
  <c r="G25" i="26"/>
  <c r="M57" i="26"/>
  <c r="E25" i="26"/>
  <c r="F25" i="26"/>
  <c r="D25" i="26"/>
  <c r="G24" i="26"/>
  <c r="E24" i="26"/>
  <c r="D24" i="26"/>
  <c r="F24" i="26"/>
  <c r="I24" i="26"/>
  <c r="H23" i="26"/>
  <c r="O55" i="26"/>
  <c r="G23" i="26"/>
  <c r="D23" i="26"/>
  <c r="B23" i="26"/>
  <c r="E23" i="26"/>
  <c r="F23" i="26"/>
  <c r="H22" i="26"/>
  <c r="G22" i="26"/>
  <c r="I22" i="26"/>
  <c r="E22" i="26"/>
  <c r="F22" i="26"/>
  <c r="B22" i="26"/>
  <c r="D22" i="26"/>
  <c r="H21" i="26"/>
  <c r="G21" i="26"/>
  <c r="D21" i="26"/>
  <c r="B21" i="26"/>
  <c r="E21" i="26"/>
  <c r="F21" i="26"/>
  <c r="H20" i="26"/>
  <c r="G20" i="26"/>
  <c r="I20" i="26"/>
  <c r="E20" i="26"/>
  <c r="F20" i="26"/>
  <c r="D20" i="26"/>
  <c r="G19" i="26"/>
  <c r="D19" i="26"/>
  <c r="B19" i="26"/>
  <c r="E19" i="26"/>
  <c r="F19" i="26"/>
  <c r="I19" i="26"/>
  <c r="H18" i="26"/>
  <c r="G18" i="26"/>
  <c r="E18" i="26"/>
  <c r="F18" i="26"/>
  <c r="D18" i="26"/>
  <c r="I17" i="26"/>
  <c r="H17" i="26"/>
  <c r="D16" i="26"/>
  <c r="B16" i="26"/>
  <c r="E16" i="26"/>
  <c r="F16" i="26"/>
  <c r="V12" i="26"/>
  <c r="V11" i="26"/>
  <c r="V10" i="26"/>
  <c r="K12" i="26"/>
  <c r="F12" i="26"/>
  <c r="G12" i="26"/>
  <c r="F11" i="26"/>
  <c r="G11" i="26"/>
  <c r="G10" i="26"/>
  <c r="F10" i="26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15" i="1"/>
  <c r="A16" i="1"/>
  <c r="J17" i="26"/>
  <c r="K11" i="26"/>
  <c r="K10" i="26"/>
  <c r="J7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AC156" i="1" s="1"/>
  <c r="BF155" i="6"/>
  <c r="AC155" i="1" s="1"/>
  <c r="BF154" i="6"/>
  <c r="BF153" i="6"/>
  <c r="AC153" i="1" s="1"/>
  <c r="BF152" i="6"/>
  <c r="BF151" i="6"/>
  <c r="O151" i="1" s="1"/>
  <c r="BF150" i="6"/>
  <c r="O150" i="1" s="1"/>
  <c r="BF149" i="6"/>
  <c r="AC149" i="1" s="1"/>
  <c r="BF148" i="6"/>
  <c r="AC148" i="1" s="1"/>
  <c r="BF147" i="6"/>
  <c r="O147" i="1" s="1"/>
  <c r="BF146" i="6"/>
  <c r="AC146" i="1" s="1"/>
  <c r="BF145" i="6"/>
  <c r="O145" i="1" s="1"/>
  <c r="BF144" i="6"/>
  <c r="AC144" i="1" s="1"/>
  <c r="BF143" i="6"/>
  <c r="O143" i="1" s="1"/>
  <c r="BF142" i="6"/>
  <c r="BF141" i="6"/>
  <c r="O141" i="1" s="1"/>
  <c r="BF140" i="6"/>
  <c r="AC140" i="1" s="1"/>
  <c r="BF139" i="6"/>
  <c r="O139" i="1" s="1"/>
  <c r="BF138" i="6"/>
  <c r="BF137" i="6"/>
  <c r="O137" i="1" s="1"/>
  <c r="BF136" i="6"/>
  <c r="AC136" i="1" s="1"/>
  <c r="BF135" i="6"/>
  <c r="O135" i="1" s="1"/>
  <c r="BF134" i="6"/>
  <c r="BF133" i="6"/>
  <c r="BF132" i="6"/>
  <c r="AC132" i="1" s="1"/>
  <c r="BF131" i="6"/>
  <c r="AC131" i="1" s="1"/>
  <c r="BF130" i="6"/>
  <c r="BF129" i="6"/>
  <c r="AC129" i="1" s="1"/>
  <c r="BF128" i="6"/>
  <c r="BF127" i="6"/>
  <c r="O127" i="1" s="1"/>
  <c r="BF126" i="6"/>
  <c r="BF125" i="6"/>
  <c r="O125" i="1" s="1"/>
  <c r="BF124" i="6"/>
  <c r="O124" i="1" s="1"/>
  <c r="BF123" i="6"/>
  <c r="O123" i="1" s="1"/>
  <c r="BF122" i="6"/>
  <c r="AC122" i="1" s="1"/>
  <c r="BF121" i="6"/>
  <c r="O121" i="1" s="1"/>
  <c r="BF120" i="6"/>
  <c r="BF119" i="6"/>
  <c r="AC119" i="1" s="1"/>
  <c r="BF118" i="6"/>
  <c r="O118" i="1" s="1"/>
  <c r="BF117" i="6"/>
  <c r="O117" i="1" s="1"/>
  <c r="BF116" i="6"/>
  <c r="AC116" i="1" s="1"/>
  <c r="BF115" i="6"/>
  <c r="AC115" i="1" s="1"/>
  <c r="BF114" i="6"/>
  <c r="BF113" i="6"/>
  <c r="AC113" i="1" s="1"/>
  <c r="BF112" i="6"/>
  <c r="AC112" i="1" s="1"/>
  <c r="BF111" i="6"/>
  <c r="BF110" i="6"/>
  <c r="AC110" i="1" s="1"/>
  <c r="BF109" i="6"/>
  <c r="AC109" i="1" s="1"/>
  <c r="BF108" i="6"/>
  <c r="BF107" i="6"/>
  <c r="AC107" i="1" s="1"/>
  <c r="BF106" i="6"/>
  <c r="BF105" i="6"/>
  <c r="O105" i="1" s="1"/>
  <c r="BF104" i="6"/>
  <c r="BF103" i="6"/>
  <c r="O103" i="1" s="1"/>
  <c r="BF102" i="6"/>
  <c r="BF101" i="6"/>
  <c r="BF100" i="6"/>
  <c r="O100" i="1" s="1"/>
  <c r="BF99" i="6"/>
  <c r="AC99" i="1" s="1"/>
  <c r="BF98" i="6"/>
  <c r="AC98" i="1" s="1"/>
  <c r="BF97" i="6"/>
  <c r="BF96" i="6"/>
  <c r="O96" i="1" s="1"/>
  <c r="BF95" i="6"/>
  <c r="AC95" i="1" s="1"/>
  <c r="BF94" i="6"/>
  <c r="O94" i="1" s="1"/>
  <c r="BF93" i="6"/>
  <c r="AC93" i="1" s="1"/>
  <c r="BF92" i="6"/>
  <c r="BF91" i="6"/>
  <c r="BF90" i="6"/>
  <c r="O90" i="1" s="1"/>
  <c r="BF89" i="6"/>
  <c r="O89" i="1" s="1"/>
  <c r="BF88" i="6"/>
  <c r="AC88" i="1" s="1"/>
  <c r="BF87" i="6"/>
  <c r="O87" i="1" s="1"/>
  <c r="BF86" i="6"/>
  <c r="O86" i="1" s="1"/>
  <c r="BF85" i="6"/>
  <c r="BF84" i="6"/>
  <c r="AC84" i="1" s="1"/>
  <c r="BF83" i="6"/>
  <c r="O83" i="1" s="1"/>
  <c r="BF82" i="6"/>
  <c r="AC82" i="1" s="1"/>
  <c r="BF81" i="6"/>
  <c r="AC81" i="1" s="1"/>
  <c r="BF80" i="6"/>
  <c r="AC80" i="1" s="1"/>
  <c r="BF79" i="6"/>
  <c r="O79" i="1" s="1"/>
  <c r="BF78" i="6"/>
  <c r="AC78" i="1" s="1"/>
  <c r="BF77" i="6"/>
  <c r="AC77" i="1" s="1"/>
  <c r="BF76" i="6"/>
  <c r="AC76" i="1" s="1"/>
  <c r="BF75" i="6"/>
  <c r="O75" i="1" s="1"/>
  <c r="BF74" i="6"/>
  <c r="O74" i="1" s="1"/>
  <c r="BF73" i="6"/>
  <c r="O73" i="1" s="1"/>
  <c r="BF72" i="6"/>
  <c r="O72" i="1" s="1"/>
  <c r="BF71" i="6"/>
  <c r="O71" i="1" s="1"/>
  <c r="BF70" i="6"/>
  <c r="O70" i="1" s="1"/>
  <c r="BF69" i="6"/>
  <c r="O69" i="1" s="1"/>
  <c r="BF68" i="6"/>
  <c r="BF67" i="6"/>
  <c r="AC67" i="1" s="1"/>
  <c r="BF66" i="6"/>
  <c r="BF65" i="6"/>
  <c r="O65" i="1" s="1"/>
  <c r="BF64" i="6"/>
  <c r="AC64" i="1" s="1"/>
  <c r="BF63" i="6"/>
  <c r="AC63" i="1" s="1"/>
  <c r="BF62" i="6"/>
  <c r="O62" i="1" s="1"/>
  <c r="BF61" i="6"/>
  <c r="O61" i="1" s="1"/>
  <c r="BF60" i="6"/>
  <c r="AC60" i="1" s="1"/>
  <c r="BF59" i="6"/>
  <c r="O59" i="1" s="1"/>
  <c r="BF58" i="6"/>
  <c r="AC58" i="1" s="1"/>
  <c r="BF57" i="6"/>
  <c r="AC57" i="1" s="1"/>
  <c r="BF56" i="6"/>
  <c r="AC56" i="1" s="1"/>
  <c r="BF55" i="6"/>
  <c r="O55" i="1" s="1"/>
  <c r="BF54" i="6"/>
  <c r="BF53" i="6"/>
  <c r="O53" i="1" s="1"/>
  <c r="BF52" i="6"/>
  <c r="BF51" i="6"/>
  <c r="BF50" i="6"/>
  <c r="O50" i="1" s="1"/>
  <c r="BF49" i="6"/>
  <c r="AC49" i="1" s="1"/>
  <c r="BF48" i="6"/>
  <c r="AC48" i="1" s="1"/>
  <c r="BF47" i="6"/>
  <c r="BF46" i="6"/>
  <c r="O46" i="1" s="1"/>
  <c r="BF45" i="6"/>
  <c r="AC45" i="1" s="1"/>
  <c r="BF44" i="6"/>
  <c r="O44" i="1" s="1"/>
  <c r="BF43" i="6"/>
  <c r="O43" i="1" s="1"/>
  <c r="BF42" i="6"/>
  <c r="AC42" i="1" s="1"/>
  <c r="BF41" i="6"/>
  <c r="O41" i="1" s="1"/>
  <c r="BF40" i="6"/>
  <c r="BF39" i="6"/>
  <c r="BF38" i="6"/>
  <c r="O38" i="1" s="1"/>
  <c r="BF37" i="6"/>
  <c r="O37" i="1" s="1"/>
  <c r="BF36" i="6"/>
  <c r="BF35" i="6"/>
  <c r="BF34" i="6"/>
  <c r="AC34" i="1" s="1"/>
  <c r="BF33" i="6"/>
  <c r="AC33" i="1" s="1"/>
  <c r="BF32" i="6"/>
  <c r="O32" i="1" s="1"/>
  <c r="BF31" i="6"/>
  <c r="O31" i="1" s="1"/>
  <c r="BF30" i="6"/>
  <c r="BF29" i="6"/>
  <c r="O29" i="1" s="1"/>
  <c r="C20" i="7" s="1"/>
  <c r="BF28" i="6"/>
  <c r="AC28" i="1" s="1"/>
  <c r="BF27" i="6"/>
  <c r="AC27" i="1" s="1"/>
  <c r="BF26" i="6"/>
  <c r="AC26" i="1" s="1"/>
  <c r="BF25" i="6"/>
  <c r="AC25" i="1" s="1"/>
  <c r="BF24" i="6"/>
  <c r="O24" i="1" s="1"/>
  <c r="BF23" i="6"/>
  <c r="O23" i="1" s="1"/>
  <c r="BF22" i="6"/>
  <c r="O22" i="1" s="1"/>
  <c r="BF21" i="6"/>
  <c r="BF20" i="6"/>
  <c r="O20" i="1" s="1"/>
  <c r="BF19" i="6"/>
  <c r="BF18" i="6"/>
  <c r="BF17" i="6"/>
  <c r="O17" i="1" s="1"/>
  <c r="BF16" i="6"/>
  <c r="AC16" i="1" s="1"/>
  <c r="BF15" i="6"/>
  <c r="O15" i="1" s="1"/>
  <c r="BP4" i="6"/>
  <c r="BR11" i="6"/>
  <c r="J18" i="26"/>
  <c r="K38" i="26"/>
  <c r="K37" i="26"/>
  <c r="N69" i="26"/>
  <c r="K36" i="26"/>
  <c r="K35" i="26"/>
  <c r="N67" i="26"/>
  <c r="K34" i="26"/>
  <c r="K33" i="26"/>
  <c r="N65" i="26"/>
  <c r="K32" i="26"/>
  <c r="N64" i="26"/>
  <c r="K31" i="26"/>
  <c r="N63" i="26"/>
  <c r="K30" i="26"/>
  <c r="K29" i="26"/>
  <c r="N61" i="26"/>
  <c r="K28" i="26"/>
  <c r="N60" i="26"/>
  <c r="K27" i="26"/>
  <c r="N59" i="26"/>
  <c r="K26" i="26"/>
  <c r="K25" i="26"/>
  <c r="N57" i="26"/>
  <c r="K24" i="26"/>
  <c r="N56" i="26"/>
  <c r="K23" i="26"/>
  <c r="N55" i="26"/>
  <c r="K22" i="26"/>
  <c r="N54" i="26"/>
  <c r="K21" i="26"/>
  <c r="N53" i="26"/>
  <c r="K20" i="26"/>
  <c r="N52" i="26"/>
  <c r="K19" i="26"/>
  <c r="N51" i="26"/>
  <c r="K18" i="26"/>
  <c r="K17" i="26"/>
  <c r="N49" i="26"/>
  <c r="N58" i="26"/>
  <c r="N62" i="26"/>
  <c r="N66" i="26"/>
  <c r="M65" i="26"/>
  <c r="M64" i="26"/>
  <c r="O63" i="26"/>
  <c r="O62" i="26"/>
  <c r="M62" i="26"/>
  <c r="O61" i="26"/>
  <c r="M61" i="26"/>
  <c r="M60" i="26"/>
  <c r="M59" i="26"/>
  <c r="O58" i="26"/>
  <c r="M58" i="26"/>
  <c r="O57" i="26"/>
  <c r="O56" i="26"/>
  <c r="M56" i="26"/>
  <c r="O50" i="26"/>
  <c r="N50" i="26"/>
  <c r="M50" i="26"/>
  <c r="J19" i="26"/>
  <c r="J25" i="26"/>
  <c r="J22" i="26"/>
  <c r="J29" i="26"/>
  <c r="J23" i="26"/>
  <c r="H12" i="26"/>
  <c r="H11" i="26"/>
  <c r="H10" i="26"/>
  <c r="E10" i="26"/>
  <c r="AO12" i="6"/>
  <c r="AN19" i="6"/>
  <c r="AN12" i="6"/>
  <c r="AM12" i="6"/>
  <c r="AM17" i="6" s="1"/>
  <c r="AL12" i="6"/>
  <c r="AK12" i="6"/>
  <c r="AJ12" i="6"/>
  <c r="AI12" i="6"/>
  <c r="AH12" i="6"/>
  <c r="AG12" i="6"/>
  <c r="AF12" i="6"/>
  <c r="AE19" i="6" s="1"/>
  <c r="AE12" i="6"/>
  <c r="AD12" i="6"/>
  <c r="AC12" i="6"/>
  <c r="AB12" i="6"/>
  <c r="AA12" i="6"/>
  <c r="Z12" i="6"/>
  <c r="T28" i="6" s="1"/>
  <c r="Y12" i="6"/>
  <c r="X12" i="6"/>
  <c r="W12" i="6"/>
  <c r="V12" i="6"/>
  <c r="U19" i="6" s="1"/>
  <c r="U12" i="6"/>
  <c r="T12" i="6"/>
  <c r="Q28" i="6" s="1"/>
  <c r="Q32" i="6" s="1"/>
  <c r="S12" i="6"/>
  <c r="R12" i="6"/>
  <c r="Q12" i="6"/>
  <c r="P12" i="6"/>
  <c r="O12" i="6"/>
  <c r="N12" i="6"/>
  <c r="M12" i="6"/>
  <c r="L12" i="6"/>
  <c r="AM13" i="6"/>
  <c r="AM18" i="6" s="1"/>
  <c r="M3" i="6"/>
  <c r="AL13" i="6"/>
  <c r="E358" i="6" s="1"/>
  <c r="AK13" i="6"/>
  <c r="L44" i="6" s="1"/>
  <c r="M46" i="6" s="1"/>
  <c r="AJ13" i="6"/>
  <c r="L29" i="6" s="1"/>
  <c r="M31" i="6" s="1"/>
  <c r="AI13" i="6"/>
  <c r="AI18" i="6" s="1"/>
  <c r="AH13" i="6"/>
  <c r="AG20" i="6" s="1"/>
  <c r="AG13" i="6"/>
  <c r="W44" i="6" s="1"/>
  <c r="AF13" i="6"/>
  <c r="AF18" i="6" s="1"/>
  <c r="AE13" i="6"/>
  <c r="AD20" i="6" s="1"/>
  <c r="AD13" i="6"/>
  <c r="AD18" i="6" s="1"/>
  <c r="AC13" i="6"/>
  <c r="AB20" i="6" s="1"/>
  <c r="AB13" i="6"/>
  <c r="AC16" i="6" s="1"/>
  <c r="AA13" i="6"/>
  <c r="Z20" i="6" s="1"/>
  <c r="Z13" i="6"/>
  <c r="Y20" i="6" s="1"/>
  <c r="Y13" i="6"/>
  <c r="X20" i="6" s="1"/>
  <c r="X13" i="6"/>
  <c r="W20" i="6" s="1"/>
  <c r="W13" i="6"/>
  <c r="W18" i="6" s="1"/>
  <c r="V13" i="6"/>
  <c r="R29" i="6" s="1"/>
  <c r="R33" i="6" s="1"/>
  <c r="U13" i="6"/>
  <c r="Q44" i="6" s="1"/>
  <c r="T13" i="6"/>
  <c r="E106" i="6" s="1"/>
  <c r="S13" i="6"/>
  <c r="P44" i="6" s="1"/>
  <c r="R13" i="6"/>
  <c r="R18" i="6" s="1"/>
  <c r="Q13" i="6"/>
  <c r="AB44" i="6" s="1"/>
  <c r="AA50" i="6" s="1"/>
  <c r="P13" i="6"/>
  <c r="P18" i="6" s="1"/>
  <c r="O13" i="6"/>
  <c r="O18" i="6" s="1"/>
  <c r="N13" i="6"/>
  <c r="M20" i="6" s="1"/>
  <c r="L3" i="6"/>
  <c r="AO3" i="6"/>
  <c r="AN3" i="6"/>
  <c r="F48" i="26"/>
  <c r="BO14" i="6"/>
  <c r="BN14" i="6"/>
  <c r="BN12" i="6"/>
  <c r="BO12" i="6"/>
  <c r="BO13" i="6"/>
  <c r="BP13" i="6" s="1"/>
  <c r="A47" i="26"/>
  <c r="N48" i="26"/>
  <c r="M49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H5" i="19"/>
  <c r="H4" i="19"/>
  <c r="D5" i="26"/>
  <c r="F5" i="26"/>
  <c r="C6" i="19"/>
  <c r="C6" i="26"/>
  <c r="B6" i="26"/>
  <c r="N70" i="26"/>
  <c r="M70" i="26"/>
  <c r="A70" i="26"/>
  <c r="M69" i="26"/>
  <c r="A69" i="26"/>
  <c r="N68" i="26"/>
  <c r="M68" i="26"/>
  <c r="A68" i="26"/>
  <c r="M67" i="26"/>
  <c r="A67" i="26"/>
  <c r="M66" i="26"/>
  <c r="A66" i="26"/>
  <c r="A51" i="26"/>
  <c r="A49" i="26"/>
  <c r="J46" i="26"/>
  <c r="M55" i="26"/>
  <c r="M51" i="26"/>
  <c r="J5" i="26"/>
  <c r="B1" i="26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BK15" i="7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M54" i="26"/>
  <c r="O54" i="26"/>
  <c r="G39" i="26"/>
  <c r="E48" i="26"/>
  <c r="S48" i="26"/>
  <c r="M52" i="26"/>
  <c r="M53" i="26"/>
  <c r="U48" i="26"/>
  <c r="D48" i="26"/>
  <c r="H48" i="26"/>
  <c r="O51" i="26"/>
  <c r="O52" i="26"/>
  <c r="O53" i="26"/>
  <c r="C48" i="26"/>
  <c r="BK14" i="6"/>
  <c r="V14" i="1"/>
  <c r="R48" i="26"/>
  <c r="BL14" i="6"/>
  <c r="BM14" i="6"/>
  <c r="AA15" i="6"/>
  <c r="Y17" i="6"/>
  <c r="S28" i="6"/>
  <c r="S32" i="6" s="1"/>
  <c r="V28" i="6"/>
  <c r="V32" i="6" s="1"/>
  <c r="AA43" i="6"/>
  <c r="T30" i="6"/>
  <c r="R30" i="6"/>
  <c r="AA19" i="6"/>
  <c r="M19" i="6"/>
  <c r="AB43" i="6"/>
  <c r="AA49" i="6" s="1"/>
  <c r="O28" i="6"/>
  <c r="Q15" i="6"/>
  <c r="P28" i="6"/>
  <c r="R17" i="6"/>
  <c r="AI15" i="6"/>
  <c r="AH17" i="6"/>
  <c r="AI19" i="6"/>
  <c r="Y28" i="6"/>
  <c r="AK19" i="6"/>
  <c r="Z28" i="6"/>
  <c r="Y34" i="6" s="1"/>
  <c r="AM15" i="6"/>
  <c r="AL17" i="6"/>
  <c r="AM19" i="6"/>
  <c r="AA28" i="6"/>
  <c r="AN17" i="6"/>
  <c r="AN22" i="6" s="1"/>
  <c r="P34" i="6"/>
  <c r="R34" i="6"/>
  <c r="AA30" i="6"/>
  <c r="Z32" i="6"/>
  <c r="N34" i="6"/>
  <c r="O32" i="6"/>
  <c r="P30" i="6"/>
  <c r="Z30" i="6"/>
  <c r="Z36" i="6" s="1"/>
  <c r="O34" i="6"/>
  <c r="Q30" i="6"/>
  <c r="Q36" i="6" s="1"/>
  <c r="P32" i="6"/>
  <c r="O37" i="6"/>
  <c r="Q48" i="26"/>
  <c r="B48" i="26"/>
  <c r="V48" i="26"/>
  <c r="BP14" i="6"/>
  <c r="T48" i="26"/>
  <c r="J24" i="26"/>
  <c r="J26" i="26"/>
  <c r="J30" i="26"/>
  <c r="BJ14" i="6"/>
  <c r="P48" i="26"/>
  <c r="O49" i="26"/>
  <c r="W49" i="26"/>
  <c r="P49" i="26"/>
  <c r="U30" i="6"/>
  <c r="T32" i="6"/>
  <c r="S34" i="6"/>
  <c r="S37" i="6" s="1"/>
  <c r="N17" i="6"/>
  <c r="O15" i="6"/>
  <c r="N28" i="6"/>
  <c r="T17" i="6"/>
  <c r="S19" i="6"/>
  <c r="U15" i="6"/>
  <c r="R28" i="6"/>
  <c r="V17" i="6"/>
  <c r="W15" i="6"/>
  <c r="X17" i="6"/>
  <c r="Y15" i="6"/>
  <c r="W19" i="6"/>
  <c r="Z17" i="6"/>
  <c r="Y19" i="6"/>
  <c r="U28" i="6"/>
  <c r="T34" i="6"/>
  <c r="AC15" i="6"/>
  <c r="AB17" i="6"/>
  <c r="AD17" i="6"/>
  <c r="AE15" i="6"/>
  <c r="AC19" i="6"/>
  <c r="W28" i="6"/>
  <c r="W32" i="6" s="1"/>
  <c r="AF17" i="6"/>
  <c r="AG15" i="6"/>
  <c r="U32" i="6"/>
  <c r="V30" i="6"/>
  <c r="Q34" i="6"/>
  <c r="Q37" i="6" s="1"/>
  <c r="BR4" i="6"/>
  <c r="BR8" i="6"/>
  <c r="BR6" i="6"/>
  <c r="BR10" i="6"/>
  <c r="BR5" i="6"/>
  <c r="BR7" i="6"/>
  <c r="BR9" i="6"/>
  <c r="N32" i="6"/>
  <c r="O30" i="6"/>
  <c r="O36" i="6" s="1"/>
  <c r="M34" i="6"/>
  <c r="T37" i="6"/>
  <c r="AQ76" i="6"/>
  <c r="AP68" i="6"/>
  <c r="AR68" i="6" s="1"/>
  <c r="AP64" i="6"/>
  <c r="AR64" i="6" s="1"/>
  <c r="AP60" i="6"/>
  <c r="AR60" i="6" s="1"/>
  <c r="AP54" i="6"/>
  <c r="AR54" i="6" s="1"/>
  <c r="AP50" i="6"/>
  <c r="AR50" i="6" s="1"/>
  <c r="AQ74" i="6"/>
  <c r="AQ28" i="6"/>
  <c r="AP72" i="6"/>
  <c r="AR72" i="6" s="1"/>
  <c r="AP58" i="6"/>
  <c r="AR58" i="6" s="1"/>
  <c r="AP61" i="6"/>
  <c r="AR61" i="6" s="1"/>
  <c r="AQ68" i="6"/>
  <c r="AQ22" i="6"/>
  <c r="AP43" i="6"/>
  <c r="AR43" i="6" s="1"/>
  <c r="AP22" i="6"/>
  <c r="AR22" i="6" s="1"/>
  <c r="AS22" i="6" s="1"/>
  <c r="AP33" i="6"/>
  <c r="AR33" i="6" s="1"/>
  <c r="AP75" i="6"/>
  <c r="AR75" i="6" s="1"/>
  <c r="AQ33" i="6"/>
  <c r="AQ77" i="6"/>
  <c r="AP46" i="6"/>
  <c r="AR46" i="6" s="1"/>
  <c r="AQ41" i="6"/>
  <c r="AQ42" i="6"/>
  <c r="AQ50" i="6"/>
  <c r="AP77" i="6"/>
  <c r="AR77" i="6" s="1"/>
  <c r="AQ31" i="6"/>
  <c r="AQ23" i="6"/>
  <c r="AQ30" i="6"/>
  <c r="AQ34" i="6"/>
  <c r="AP74" i="6"/>
  <c r="AR74" i="6" s="1"/>
  <c r="AS74" i="6" s="1"/>
  <c r="AP66" i="6"/>
  <c r="AR66" i="6" s="1"/>
  <c r="AP62" i="6"/>
  <c r="AR62" i="6" s="1"/>
  <c r="AP56" i="6"/>
  <c r="AR56" i="6" s="1"/>
  <c r="AP52" i="6"/>
  <c r="AR52" i="6" s="1"/>
  <c r="AP30" i="6"/>
  <c r="AR30" i="6" s="1"/>
  <c r="AQ24" i="6"/>
  <c r="AP70" i="6"/>
  <c r="AR70" i="6" s="1"/>
  <c r="AQ73" i="6"/>
  <c r="AP53" i="6"/>
  <c r="AR53" i="6" s="1"/>
  <c r="AQ45" i="6"/>
  <c r="AP31" i="6"/>
  <c r="AR31" i="6" s="1"/>
  <c r="AQ35" i="6"/>
  <c r="AQ69" i="6"/>
  <c r="AP59" i="6"/>
  <c r="AR59" i="6" s="1"/>
  <c r="AQ52" i="6"/>
  <c r="AP39" i="6"/>
  <c r="AR39" i="6" s="1"/>
  <c r="AP37" i="6"/>
  <c r="AR37" i="6" s="1"/>
  <c r="AQ47" i="6"/>
  <c r="AQ61" i="6"/>
  <c r="AP29" i="6"/>
  <c r="AR29" i="6" s="1"/>
  <c r="AQ67" i="6"/>
  <c r="AQ54" i="6"/>
  <c r="AQ56" i="6"/>
  <c r="AS56" i="6" s="1"/>
  <c r="AQ71" i="6"/>
  <c r="AP24" i="6"/>
  <c r="AR24" i="6" s="1"/>
  <c r="AP73" i="6"/>
  <c r="AR73" i="6" s="1"/>
  <c r="AP26" i="6"/>
  <c r="AR26" i="6" s="1"/>
  <c r="AP35" i="6"/>
  <c r="AR35" i="6" s="1"/>
  <c r="AP67" i="6"/>
  <c r="AR67" i="6"/>
  <c r="AP44" i="6"/>
  <c r="AR44" i="6" s="1"/>
  <c r="AQ38" i="6"/>
  <c r="AQ66" i="6"/>
  <c r="AS66" i="6" s="1"/>
  <c r="AQ40" i="6"/>
  <c r="AQ63" i="6"/>
  <c r="AP57" i="6"/>
  <c r="AR57" i="6" s="1"/>
  <c r="AQ75" i="6"/>
  <c r="AP48" i="6"/>
  <c r="AR48" i="6" s="1"/>
  <c r="AQ29" i="6"/>
  <c r="AP34" i="6"/>
  <c r="AR34" i="6" s="1"/>
  <c r="AS34" i="6" s="1"/>
  <c r="AP32" i="6"/>
  <c r="AR32" i="6" s="1"/>
  <c r="AP69" i="6"/>
  <c r="AR69" i="6" s="1"/>
  <c r="AS69" i="6" s="1"/>
  <c r="AP71" i="6"/>
  <c r="AR71" i="6"/>
  <c r="AS71" i="6" s="1"/>
  <c r="AQ59" i="6"/>
  <c r="AQ78" i="6"/>
  <c r="AP49" i="6"/>
  <c r="AR49" i="6" s="1"/>
  <c r="AQ39" i="6"/>
  <c r="AS39" i="6" s="1"/>
  <c r="AP25" i="6"/>
  <c r="AR25" i="6" s="1"/>
  <c r="AP38" i="6"/>
  <c r="AR38" i="6" s="1"/>
  <c r="AP78" i="6"/>
  <c r="AR78" i="6" s="1"/>
  <c r="AP76" i="6"/>
  <c r="AR76" i="6" s="1"/>
  <c r="AS76" i="6" s="1"/>
  <c r="AP55" i="6"/>
  <c r="AR55" i="6" s="1"/>
  <c r="AP45" i="6"/>
  <c r="AR45" i="6" s="1"/>
  <c r="AP23" i="6"/>
  <c r="AR23" i="6" s="1"/>
  <c r="AS23" i="6" s="1"/>
  <c r="AQ44" i="6"/>
  <c r="AP40" i="6"/>
  <c r="AR40" i="6" s="1"/>
  <c r="AS40" i="6" s="1"/>
  <c r="AQ37" i="6"/>
  <c r="AQ48" i="6"/>
  <c r="AQ62" i="6"/>
  <c r="AS62" i="6" s="1"/>
  <c r="AQ72" i="6"/>
  <c r="AS72" i="6" s="1"/>
  <c r="AP36" i="6"/>
  <c r="AR36" i="6" s="1"/>
  <c r="AP51" i="6"/>
  <c r="AR51" i="6" s="1"/>
  <c r="AQ46" i="6"/>
  <c r="AS46" i="6" s="1"/>
  <c r="AQ60" i="6"/>
  <c r="AS60" i="6" s="1"/>
  <c r="AQ32" i="6"/>
  <c r="AS32" i="6" s="1"/>
  <c r="AP27" i="6"/>
  <c r="AR27" i="6" s="1"/>
  <c r="AQ26" i="6"/>
  <c r="AQ27" i="6"/>
  <c r="AQ70" i="6"/>
  <c r="AQ55" i="6"/>
  <c r="AQ57" i="6"/>
  <c r="AP28" i="6"/>
  <c r="AR28" i="6" s="1"/>
  <c r="AS28" i="6" s="1"/>
  <c r="AQ64" i="6"/>
  <c r="AP63" i="6"/>
  <c r="AR63" i="6" s="1"/>
  <c r="AS63" i="6" s="1"/>
  <c r="AQ25" i="6"/>
  <c r="AP41" i="6"/>
  <c r="AR41" i="6" s="1"/>
  <c r="AS41" i="6" s="1"/>
  <c r="AP42" i="6"/>
  <c r="AR42" i="6" s="1"/>
  <c r="AS42" i="6" s="1"/>
  <c r="AP65" i="6"/>
  <c r="AR65" i="6" s="1"/>
  <c r="AQ43" i="6"/>
  <c r="AQ36" i="6"/>
  <c r="AQ58" i="6"/>
  <c r="AQ65" i="6"/>
  <c r="AQ49" i="6"/>
  <c r="AQ51" i="6"/>
  <c r="AQ53" i="6"/>
  <c r="AS53" i="6" s="1"/>
  <c r="AP47" i="6"/>
  <c r="AR47" i="6" s="1"/>
  <c r="AS47" i="6" s="1"/>
  <c r="AQ190" i="6"/>
  <c r="AP190" i="6"/>
  <c r="U36" i="6"/>
  <c r="AS36" i="6"/>
  <c r="AS67" i="6"/>
  <c r="AS29" i="6"/>
  <c r="AS70" i="6"/>
  <c r="AS61" i="6"/>
  <c r="AS58" i="6"/>
  <c r="AS49" i="6"/>
  <c r="AS26" i="6"/>
  <c r="AS59" i="6"/>
  <c r="AS33" i="6"/>
  <c r="AS64" i="6"/>
  <c r="N37" i="6"/>
  <c r="AR190" i="6"/>
  <c r="AS190" i="6" s="1"/>
  <c r="I48" i="26"/>
  <c r="J48" i="26"/>
  <c r="BQ14" i="6"/>
  <c r="W48" i="26"/>
  <c r="K48" i="26"/>
  <c r="BR14" i="6"/>
  <c r="X48" i="26"/>
  <c r="BS14" i="6"/>
  <c r="Y48" i="26"/>
  <c r="L48" i="26"/>
  <c r="Z48" i="26"/>
  <c r="BT14" i="6"/>
  <c r="BE369" i="6"/>
  <c r="AE369" i="1" s="1"/>
  <c r="BE370" i="6"/>
  <c r="AE370" i="1" s="1"/>
  <c r="BE368" i="6"/>
  <c r="AE368" i="1" s="1"/>
  <c r="BE367" i="6"/>
  <c r="AE367" i="1" s="1"/>
  <c r="BE366" i="6"/>
  <c r="AE366" i="1" s="1"/>
  <c r="BE365" i="6"/>
  <c r="Q365" i="1" s="1"/>
  <c r="BE364" i="6"/>
  <c r="Q364" i="1" s="1"/>
  <c r="BE363" i="6"/>
  <c r="AE363" i="1" s="1"/>
  <c r="BE362" i="6"/>
  <c r="AE362" i="1" s="1"/>
  <c r="BE361" i="6"/>
  <c r="BE360" i="6"/>
  <c r="AE360" i="1" s="1"/>
  <c r="BE359" i="6"/>
  <c r="Q359" i="1" s="1"/>
  <c r="BE358" i="6"/>
  <c r="AE358" i="1" s="1"/>
  <c r="BE357" i="6"/>
  <c r="BE356" i="6"/>
  <c r="AE356" i="1" s="1"/>
  <c r="BE355" i="6"/>
  <c r="AE355" i="1" s="1"/>
  <c r="BE354" i="6"/>
  <c r="AE354" i="1" s="1"/>
  <c r="BE353" i="6"/>
  <c r="Q353" i="1" s="1"/>
  <c r="BE352" i="6"/>
  <c r="AE352" i="1" s="1"/>
  <c r="BE351" i="6"/>
  <c r="AE351" i="1" s="1"/>
  <c r="BE350" i="6"/>
  <c r="AE350" i="1" s="1"/>
  <c r="BE349" i="6"/>
  <c r="Q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BE342" i="6"/>
  <c r="Q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BE329" i="6"/>
  <c r="AE329" i="1" s="1"/>
  <c r="BE328" i="6"/>
  <c r="AE328" i="1" s="1"/>
  <c r="BE327" i="6"/>
  <c r="Q327" i="1" s="1"/>
  <c r="BE326" i="6"/>
  <c r="AE326" i="1" s="1"/>
  <c r="BE325" i="6"/>
  <c r="AE325" i="1" s="1"/>
  <c r="BE324" i="6"/>
  <c r="AE324" i="1" s="1"/>
  <c r="BE323" i="6"/>
  <c r="BE322" i="6"/>
  <c r="AE322" i="1" s="1"/>
  <c r="BE321" i="6"/>
  <c r="BE320" i="6"/>
  <c r="AE320" i="1" s="1"/>
  <c r="BE319" i="6"/>
  <c r="BE318" i="6"/>
  <c r="AE318" i="1" s="1"/>
  <c r="BE317" i="6"/>
  <c r="BE316" i="6"/>
  <c r="AE316" i="1" s="1"/>
  <c r="BE315" i="6"/>
  <c r="BE314" i="6"/>
  <c r="AE314" i="1" s="1"/>
  <c r="BE313" i="6"/>
  <c r="Q313" i="1" s="1"/>
  <c r="BE312" i="6"/>
  <c r="AE312" i="1" s="1"/>
  <c r="BE311" i="6"/>
  <c r="Q311" i="1" s="1"/>
  <c r="BE310" i="6"/>
  <c r="AE310" i="1" s="1"/>
  <c r="BE309" i="6"/>
  <c r="BE308" i="6"/>
  <c r="AE308" i="1" s="1"/>
  <c r="BE307" i="6"/>
  <c r="AE307" i="1" s="1"/>
  <c r="BE306" i="6"/>
  <c r="BE305" i="6"/>
  <c r="AE305" i="1" s="1"/>
  <c r="BE304" i="6"/>
  <c r="BE303" i="6"/>
  <c r="BE302" i="6"/>
  <c r="BE301" i="6"/>
  <c r="BE300" i="6"/>
  <c r="AE300" i="1" s="1"/>
  <c r="BE299" i="6"/>
  <c r="AE299" i="1" s="1"/>
  <c r="BE298" i="6"/>
  <c r="BE297" i="6"/>
  <c r="BE296" i="6"/>
  <c r="AE296" i="1" s="1"/>
  <c r="BE295" i="6"/>
  <c r="AE295" i="1" s="1"/>
  <c r="BE294" i="6"/>
  <c r="Q294" i="1" s="1"/>
  <c r="BE293" i="6"/>
  <c r="BE292" i="6"/>
  <c r="AE292" i="1" s="1"/>
  <c r="BE291" i="6"/>
  <c r="Q291" i="1" s="1"/>
  <c r="BE290" i="6"/>
  <c r="AE290" i="1" s="1"/>
  <c r="BE289" i="6"/>
  <c r="Q289" i="1" s="1"/>
  <c r="BE288" i="6"/>
  <c r="AE288" i="1" s="1"/>
  <c r="BE287" i="6"/>
  <c r="BE286" i="6"/>
  <c r="AE286" i="1" s="1"/>
  <c r="BE285" i="6"/>
  <c r="BE284" i="6"/>
  <c r="AE284" i="1" s="1"/>
  <c r="BE283" i="6"/>
  <c r="AE283" i="1" s="1"/>
  <c r="BE282" i="6"/>
  <c r="AE282" i="1" s="1"/>
  <c r="BE281" i="6"/>
  <c r="BE280" i="6"/>
  <c r="AE280" i="1" s="1"/>
  <c r="BE279" i="6"/>
  <c r="BE278" i="6"/>
  <c r="AE278" i="1" s="1"/>
  <c r="BE277" i="6"/>
  <c r="AE277" i="1" s="1"/>
  <c r="BE276" i="6"/>
  <c r="AE276" i="1" s="1"/>
  <c r="BE275" i="6"/>
  <c r="AE275" i="1" s="1"/>
  <c r="BE274" i="6"/>
  <c r="AE274" i="1" s="1"/>
  <c r="BE273" i="6"/>
  <c r="BE272" i="6"/>
  <c r="AE272" i="1" s="1"/>
  <c r="BE271" i="6"/>
  <c r="AE271" i="1" s="1"/>
  <c r="BE270" i="6"/>
  <c r="AE270" i="1" s="1"/>
  <c r="BE269" i="6"/>
  <c r="BE268" i="6"/>
  <c r="AE268" i="1" s="1"/>
  <c r="BE267" i="6"/>
  <c r="BE266" i="6"/>
  <c r="Q266" i="1" s="1"/>
  <c r="BE265" i="6"/>
  <c r="Q265" i="1" s="1"/>
  <c r="BE264" i="6"/>
  <c r="AE264" i="1" s="1"/>
  <c r="BE263" i="6"/>
  <c r="Q263" i="1" s="1"/>
  <c r="BE262" i="6"/>
  <c r="AE262" i="1" s="1"/>
  <c r="BE261" i="6"/>
  <c r="Q261" i="1" s="1"/>
  <c r="BE260" i="6"/>
  <c r="AE260" i="1" s="1"/>
  <c r="BE259" i="6"/>
  <c r="BE258" i="6"/>
  <c r="AE258" i="1" s="1"/>
  <c r="BE257" i="6"/>
  <c r="BE256" i="6"/>
  <c r="AE256" i="1" s="1"/>
  <c r="BE255" i="6"/>
  <c r="Q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BE248" i="6"/>
  <c r="AE248" i="1" s="1"/>
  <c r="BE247" i="6"/>
  <c r="BE246" i="6"/>
  <c r="AE246" i="1" s="1"/>
  <c r="BE245" i="6"/>
  <c r="Q245" i="1" s="1"/>
  <c r="BE244" i="6"/>
  <c r="AE244" i="1" s="1"/>
  <c r="BE243" i="6"/>
  <c r="BE242" i="6"/>
  <c r="AE242" i="1" s="1"/>
  <c r="BE241" i="6"/>
  <c r="AE241" i="1" s="1"/>
  <c r="BE240" i="6"/>
  <c r="AE240" i="1" s="1"/>
  <c r="BE239" i="6"/>
  <c r="AE239" i="1" s="1"/>
  <c r="BE238" i="6"/>
  <c r="AE238" i="1" s="1"/>
  <c r="BE237" i="6"/>
  <c r="Q237" i="1" s="1"/>
  <c r="BE236" i="6"/>
  <c r="AE236" i="1" s="1"/>
  <c r="BE235" i="6"/>
  <c r="BE234" i="6"/>
  <c r="AE234" i="1" s="1"/>
  <c r="BE233" i="6"/>
  <c r="AE233" i="1" s="1"/>
  <c r="BE232" i="6"/>
  <c r="AE232" i="1" s="1"/>
  <c r="BE231" i="6"/>
  <c r="Q231" i="1" s="1"/>
  <c r="BE230" i="6"/>
  <c r="AE230" i="1" s="1"/>
  <c r="BE229" i="6"/>
  <c r="BE228" i="6"/>
  <c r="Q228" i="1" s="1"/>
  <c r="BE227" i="6"/>
  <c r="AE227" i="1" s="1"/>
  <c r="BE226" i="6"/>
  <c r="AE226" i="1" s="1"/>
  <c r="BE225" i="6"/>
  <c r="BE224" i="6"/>
  <c r="AE224" i="1" s="1"/>
  <c r="BE223" i="6"/>
  <c r="AE223" i="1" s="1"/>
  <c r="BE222" i="6"/>
  <c r="AE222" i="1" s="1"/>
  <c r="BE221" i="6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BE206" i="6"/>
  <c r="AE206" i="1" s="1"/>
  <c r="BE205" i="6"/>
  <c r="BE204" i="6"/>
  <c r="AE204" i="1" s="1"/>
  <c r="BE203" i="6"/>
  <c r="BE202" i="6"/>
  <c r="AE202" i="1" s="1"/>
  <c r="BE201" i="6"/>
  <c r="BE200" i="6"/>
  <c r="AE200" i="1" s="1"/>
  <c r="BE199" i="6"/>
  <c r="BE198" i="6"/>
  <c r="AE198" i="1" s="1"/>
  <c r="BE197" i="6"/>
  <c r="BE196" i="6"/>
  <c r="AE196" i="1" s="1"/>
  <c r="BE195" i="6"/>
  <c r="BE194" i="6"/>
  <c r="AE194" i="1" s="1"/>
  <c r="BE193" i="6"/>
  <c r="AE193" i="1" s="1"/>
  <c r="BE192" i="6"/>
  <c r="BE191" i="6"/>
  <c r="BE190" i="6"/>
  <c r="AE190" i="1" s="1"/>
  <c r="BE189" i="6"/>
  <c r="BE188" i="6"/>
  <c r="AE188" i="1" s="1"/>
  <c r="BE187" i="6"/>
  <c r="BE186" i="6"/>
  <c r="AE186" i="1" s="1"/>
  <c r="BE185" i="6"/>
  <c r="AE185" i="1" s="1"/>
  <c r="BE184" i="6"/>
  <c r="AE184" i="1" s="1"/>
  <c r="BE183" i="6"/>
  <c r="BE182" i="6"/>
  <c r="BE181" i="6"/>
  <c r="BE180" i="6"/>
  <c r="AE180" i="1" s="1"/>
  <c r="BE179" i="6"/>
  <c r="BE178" i="6"/>
  <c r="AE178" i="1" s="1"/>
  <c r="BE177" i="6"/>
  <c r="BE176" i="6"/>
  <c r="AE176" i="1" s="1"/>
  <c r="BE175" i="6"/>
  <c r="AE175" i="1" s="1"/>
  <c r="BE174" i="6"/>
  <c r="AE174" i="1" s="1"/>
  <c r="BE173" i="6"/>
  <c r="AE173" i="1" s="1"/>
  <c r="BE172" i="6"/>
  <c r="AE172" i="1" s="1"/>
  <c r="BE171" i="6"/>
  <c r="AE171" i="1" s="1"/>
  <c r="BE170" i="6"/>
  <c r="AE170" i="1" s="1"/>
  <c r="BE169" i="6"/>
  <c r="Q169" i="1" s="1"/>
  <c r="BE168" i="6"/>
  <c r="AE168" i="1" s="1"/>
  <c r="BE167" i="6"/>
  <c r="AE167" i="1" s="1"/>
  <c r="BE166" i="6"/>
  <c r="AE166" i="1" s="1"/>
  <c r="BE165" i="6"/>
  <c r="AE165" i="1" s="1"/>
  <c r="BE164" i="6"/>
  <c r="BE163" i="6"/>
  <c r="AE163" i="1" s="1"/>
  <c r="BE162" i="6"/>
  <c r="BE161" i="6"/>
  <c r="AE161" i="1" s="1"/>
  <c r="BE160" i="6"/>
  <c r="BE159" i="6"/>
  <c r="BE158" i="6"/>
  <c r="AE158" i="1" s="1"/>
  <c r="BE157" i="6"/>
  <c r="AE157" i="1" s="1"/>
  <c r="BE156" i="6"/>
  <c r="AE156" i="1" s="1"/>
  <c r="BE155" i="6"/>
  <c r="BE154" i="6"/>
  <c r="AE154" i="1" s="1"/>
  <c r="BE153" i="6"/>
  <c r="BE152" i="6"/>
  <c r="Q152" i="1" s="1"/>
  <c r="BE151" i="6"/>
  <c r="BE150" i="6"/>
  <c r="AE150" i="1" s="1"/>
  <c r="BE149" i="6"/>
  <c r="BE148" i="6"/>
  <c r="AE148" i="1" s="1"/>
  <c r="BE147" i="6"/>
  <c r="Q147" i="1" s="1"/>
  <c r="BE146" i="6"/>
  <c r="AE146" i="1" s="1"/>
  <c r="BE145" i="6"/>
  <c r="BE144" i="6"/>
  <c r="BE143" i="6"/>
  <c r="BE142" i="6"/>
  <c r="BE141" i="6"/>
  <c r="BE140" i="6"/>
  <c r="BE139" i="6"/>
  <c r="Q139" i="1" s="1"/>
  <c r="BE138" i="6"/>
  <c r="AE138" i="1" s="1"/>
  <c r="BE137" i="6"/>
  <c r="BE136" i="6"/>
  <c r="AE136" i="1" s="1"/>
  <c r="BE135" i="6"/>
  <c r="AE135" i="1" s="1"/>
  <c r="BE134" i="6"/>
  <c r="AE134" i="1" s="1"/>
  <c r="BE133" i="6"/>
  <c r="AE133" i="1" s="1"/>
  <c r="BE132" i="6"/>
  <c r="AE132" i="1" s="1"/>
  <c r="BE131" i="6"/>
  <c r="AE131" i="1" s="1"/>
  <c r="BE130" i="6"/>
  <c r="Q130" i="1" s="1"/>
  <c r="BE129" i="6"/>
  <c r="AE129" i="1" s="1"/>
  <c r="BE128" i="6"/>
  <c r="Q128" i="1" s="1"/>
  <c r="BE127" i="6"/>
  <c r="AE127" i="1" s="1"/>
  <c r="BE126" i="6"/>
  <c r="Q126" i="1" s="1"/>
  <c r="BE125" i="6"/>
  <c r="BE124" i="6"/>
  <c r="Q124" i="1" s="1"/>
  <c r="BE123" i="6"/>
  <c r="BE122" i="6"/>
  <c r="BE121" i="6"/>
  <c r="BE120" i="6"/>
  <c r="BE119" i="6"/>
  <c r="BE118" i="6"/>
  <c r="BE117" i="6"/>
  <c r="BE116" i="6"/>
  <c r="AE116" i="1" s="1"/>
  <c r="BE115" i="6"/>
  <c r="AE115" i="1" s="1"/>
  <c r="BE114" i="6"/>
  <c r="AE114" i="1" s="1"/>
  <c r="BE113" i="6"/>
  <c r="AE113" i="1" s="1"/>
  <c r="BE112" i="6"/>
  <c r="BE111" i="6"/>
  <c r="AE111" i="1" s="1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AE99" i="1" s="1"/>
  <c r="BE98" i="6"/>
  <c r="BE97" i="6"/>
  <c r="BE96" i="6"/>
  <c r="AE96" i="1" s="1"/>
  <c r="BE95" i="6"/>
  <c r="Q95" i="1" s="1"/>
  <c r="BE94" i="6"/>
  <c r="BE93" i="6"/>
  <c r="BE92" i="6"/>
  <c r="AE92" i="1" s="1"/>
  <c r="BE91" i="6"/>
  <c r="BE90" i="6"/>
  <c r="AE90" i="1" s="1"/>
  <c r="BE89" i="6"/>
  <c r="BE88" i="6"/>
  <c r="AE88" i="1" s="1"/>
  <c r="BE87" i="6"/>
  <c r="BE86" i="6"/>
  <c r="Q86" i="1" s="1"/>
  <c r="BE85" i="6"/>
  <c r="AE85" i="1" s="1"/>
  <c r="BE84" i="6"/>
  <c r="AE84" i="1" s="1"/>
  <c r="BE83" i="6"/>
  <c r="BE82" i="6"/>
  <c r="AE82" i="1" s="1"/>
  <c r="BE81" i="6"/>
  <c r="BE80" i="6"/>
  <c r="AE80" i="1" s="1"/>
  <c r="BE79" i="6"/>
  <c r="AE79" i="1" s="1"/>
  <c r="BE78" i="6"/>
  <c r="Q78" i="1" s="1"/>
  <c r="BE77" i="6"/>
  <c r="BE76" i="6"/>
  <c r="BE75" i="6"/>
  <c r="AE75" i="1" s="1"/>
  <c r="BE74" i="6"/>
  <c r="Q74" i="1" s="1"/>
  <c r="BE73" i="6"/>
  <c r="BE72" i="6"/>
  <c r="Q72" i="1" s="1"/>
  <c r="BE71" i="6"/>
  <c r="BE70" i="6"/>
  <c r="AE70" i="1" s="1"/>
  <c r="BE69" i="6"/>
  <c r="AE69" i="1" s="1"/>
  <c r="BE68" i="6"/>
  <c r="BE67" i="6"/>
  <c r="BE66" i="6"/>
  <c r="AE66" i="1" s="1"/>
  <c r="BE65" i="6"/>
  <c r="AE65" i="1" s="1"/>
  <c r="BE64" i="6"/>
  <c r="AE64" i="1" s="1"/>
  <c r="BE63" i="6"/>
  <c r="Q63" i="1" s="1"/>
  <c r="BE62" i="6"/>
  <c r="BE61" i="6"/>
  <c r="AE61" i="1" s="1"/>
  <c r="BE60" i="6"/>
  <c r="AE60" i="1" s="1"/>
  <c r="BE59" i="6"/>
  <c r="AE59" i="1" s="1"/>
  <c r="BE58" i="6"/>
  <c r="BE57" i="6"/>
  <c r="BE56" i="6"/>
  <c r="BE55" i="6"/>
  <c r="AE55" i="1" s="1"/>
  <c r="BE54" i="6"/>
  <c r="BE53" i="6"/>
  <c r="AE53" i="1" s="1"/>
  <c r="BE52" i="6"/>
  <c r="BE51" i="6"/>
  <c r="BE50" i="6"/>
  <c r="BE49" i="6"/>
  <c r="BE48" i="6"/>
  <c r="AE48" i="1" s="1"/>
  <c r="BE47" i="6"/>
  <c r="BE46" i="6"/>
  <c r="AE46" i="1" s="1"/>
  <c r="BE45" i="6"/>
  <c r="BE44" i="6"/>
  <c r="AE44" i="1" s="1"/>
  <c r="BE43" i="6"/>
  <c r="AE43" i="1" s="1"/>
  <c r="BE42" i="6"/>
  <c r="AE42" i="1" s="1"/>
  <c r="BE41" i="6"/>
  <c r="Q41" i="1" s="1"/>
  <c r="BE40" i="6"/>
  <c r="BE39" i="6"/>
  <c r="BE38" i="6"/>
  <c r="AE38" i="1" s="1"/>
  <c r="BE37" i="6"/>
  <c r="AE37" i="1" s="1"/>
  <c r="BE36" i="6"/>
  <c r="Q36" i="1" s="1"/>
  <c r="BE35" i="6"/>
  <c r="BE34" i="6"/>
  <c r="AE34" i="1" s="1"/>
  <c r="BE33" i="6"/>
  <c r="BE32" i="6"/>
  <c r="BE31" i="6"/>
  <c r="BE30" i="6"/>
  <c r="AE30" i="1" s="1"/>
  <c r="BE29" i="6"/>
  <c r="Q29" i="1" s="1"/>
  <c r="BE28" i="6"/>
  <c r="Q28" i="1" s="1"/>
  <c r="BE27" i="6"/>
  <c r="BE26" i="6"/>
  <c r="AE26" i="1" s="1"/>
  <c r="BE25" i="6"/>
  <c r="BE24" i="6"/>
  <c r="AE24" i="1" s="1"/>
  <c r="BE23" i="6"/>
  <c r="AE23" i="1" s="1"/>
  <c r="BE22" i="6"/>
  <c r="BE21" i="6"/>
  <c r="Q21" i="1" s="1"/>
  <c r="BE20" i="6"/>
  <c r="AE20" i="1" s="1"/>
  <c r="BE19" i="6"/>
  <c r="Q19" i="1" s="1"/>
  <c r="BE18" i="6"/>
  <c r="Q18" i="1" s="1"/>
  <c r="BE17" i="6"/>
  <c r="AE17" i="1" s="1"/>
  <c r="BE16" i="6"/>
  <c r="BE15" i="6"/>
  <c r="AE15" i="1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AE372" i="1" s="1"/>
  <c r="BE373" i="6"/>
  <c r="BE374" i="6"/>
  <c r="AE374" i="1" s="1"/>
  <c r="BE375" i="6"/>
  <c r="BE376" i="6"/>
  <c r="AE376" i="1" s="1"/>
  <c r="BE377" i="6"/>
  <c r="BE378" i="6"/>
  <c r="AE378" i="1" s="1"/>
  <c r="BE379" i="6"/>
  <c r="BE380" i="6"/>
  <c r="I35" i="26"/>
  <c r="I36" i="26"/>
  <c r="I37" i="26"/>
  <c r="I38" i="26"/>
  <c r="Y66" i="26"/>
  <c r="Y67" i="26"/>
  <c r="Y68" i="26"/>
  <c r="Y69" i="26"/>
  <c r="Y70" i="26"/>
  <c r="W66" i="26"/>
  <c r="W67" i="26"/>
  <c r="W68" i="26"/>
  <c r="W69" i="26"/>
  <c r="W70" i="26"/>
  <c r="U66" i="26"/>
  <c r="U67" i="26"/>
  <c r="U68" i="26"/>
  <c r="U69" i="26"/>
  <c r="U70" i="26"/>
  <c r="S66" i="26"/>
  <c r="S67" i="26"/>
  <c r="S68" i="26"/>
  <c r="S69" i="26"/>
  <c r="S70" i="26"/>
  <c r="Q66" i="26"/>
  <c r="Q67" i="26"/>
  <c r="Q68" i="26"/>
  <c r="Q69" i="26"/>
  <c r="Q70" i="26"/>
  <c r="Z66" i="26"/>
  <c r="Z67" i="26"/>
  <c r="Z68" i="26"/>
  <c r="Z69" i="26"/>
  <c r="Z70" i="26"/>
  <c r="X66" i="26"/>
  <c r="X67" i="26"/>
  <c r="X68" i="26"/>
  <c r="X69" i="26"/>
  <c r="X70" i="26"/>
  <c r="V66" i="26"/>
  <c r="V67" i="26"/>
  <c r="V68" i="26"/>
  <c r="V69" i="26"/>
  <c r="V70" i="26"/>
  <c r="T66" i="26"/>
  <c r="T67" i="26"/>
  <c r="T68" i="26"/>
  <c r="T69" i="26"/>
  <c r="T70" i="26"/>
  <c r="R66" i="26"/>
  <c r="R67" i="26"/>
  <c r="R68" i="26"/>
  <c r="R69" i="26"/>
  <c r="R70" i="26"/>
  <c r="P66" i="26"/>
  <c r="P67" i="26"/>
  <c r="P68" i="26"/>
  <c r="P69" i="26"/>
  <c r="P70" i="26"/>
  <c r="Y14" i="1"/>
  <c r="F14" i="1"/>
  <c r="L1" i="1"/>
  <c r="A11" i="19"/>
  <c r="J1" i="15"/>
  <c r="A6" i="6"/>
  <c r="A3" i="7"/>
  <c r="X1" i="1"/>
  <c r="L12" i="1"/>
  <c r="B11" i="7"/>
  <c r="K15" i="1"/>
  <c r="A15" i="15"/>
  <c r="AB15" i="15"/>
  <c r="BW15" i="7"/>
  <c r="C15" i="7"/>
  <c r="O9" i="1"/>
  <c r="O11" i="1"/>
  <c r="A16" i="15"/>
  <c r="X15" i="15"/>
  <c r="B15" i="7"/>
  <c r="P11" i="1"/>
  <c r="AK380" i="1"/>
  <c r="AK15" i="1"/>
  <c r="L15" i="1"/>
  <c r="A12" i="19"/>
  <c r="B6" i="6"/>
  <c r="G3" i="7"/>
  <c r="L1" i="15"/>
  <c r="Y14" i="15"/>
  <c r="AB16" i="15"/>
  <c r="X16" i="15"/>
  <c r="F8" i="1"/>
  <c r="K15" i="15"/>
  <c r="F14" i="15"/>
  <c r="V14" i="15"/>
  <c r="J380" i="15"/>
  <c r="J1" i="16"/>
  <c r="X1" i="15"/>
  <c r="AB15" i="1"/>
  <c r="X15" i="1"/>
  <c r="BV13" i="7"/>
  <c r="A15" i="16"/>
  <c r="A16" i="16"/>
  <c r="Y14" i="16"/>
  <c r="J1" i="17"/>
  <c r="C6" i="6"/>
  <c r="M3" i="7"/>
  <c r="A13" i="19"/>
  <c r="V14" i="16"/>
  <c r="F14" i="16"/>
  <c r="A14" i="19"/>
  <c r="V14" i="17"/>
  <c r="D6" i="6"/>
  <c r="AJ380" i="1"/>
  <c r="BJ13" i="7"/>
  <c r="L1" i="16"/>
  <c r="X1" i="16"/>
  <c r="L11" i="15"/>
  <c r="AK16" i="1"/>
  <c r="AB16" i="1"/>
  <c r="X16" i="1"/>
  <c r="AJ16" i="1"/>
  <c r="L16" i="1"/>
  <c r="K16" i="1"/>
  <c r="AI11" i="1"/>
  <c r="L11" i="19"/>
  <c r="AE11" i="1"/>
  <c r="P10" i="1"/>
  <c r="X15" i="16"/>
  <c r="AB15" i="16"/>
  <c r="K15" i="16"/>
  <c r="A17" i="16"/>
  <c r="A15" i="17"/>
  <c r="F14" i="17"/>
  <c r="L1" i="17"/>
  <c r="J1" i="18"/>
  <c r="AJ17" i="1"/>
  <c r="L11" i="16"/>
  <c r="E6" i="6"/>
  <c r="J1" i="20"/>
  <c r="V14" i="18"/>
  <c r="X1" i="18"/>
  <c r="L1" i="18"/>
  <c r="Y3" i="7"/>
  <c r="A16" i="17"/>
  <c r="K15" i="17"/>
  <c r="L11" i="17"/>
  <c r="X16" i="17"/>
  <c r="A17" i="17"/>
  <c r="K16" i="17"/>
  <c r="AB16" i="17"/>
  <c r="AE3" i="7"/>
  <c r="L1" i="20"/>
  <c r="X1" i="20"/>
  <c r="F14" i="20"/>
  <c r="A15" i="20"/>
  <c r="V14" i="20"/>
  <c r="J1" i="22"/>
  <c r="A16" i="19"/>
  <c r="F6" i="6"/>
  <c r="Y14" i="20"/>
  <c r="L11" i="18"/>
  <c r="L1" i="22"/>
  <c r="X1" i="22"/>
  <c r="G6" i="6"/>
  <c r="A17" i="19"/>
  <c r="AK3" i="7"/>
  <c r="J1" i="23"/>
  <c r="V14" i="22"/>
  <c r="F14" i="22"/>
  <c r="A15" i="22"/>
  <c r="Y14" i="22"/>
  <c r="A16" i="20"/>
  <c r="X15" i="20"/>
  <c r="AB15" i="20"/>
  <c r="K15" i="20"/>
  <c r="X17" i="17"/>
  <c r="AB17" i="17"/>
  <c r="A18" i="17"/>
  <c r="AB18" i="17"/>
  <c r="K17" i="17"/>
  <c r="L11" i="20"/>
  <c r="K16" i="20"/>
  <c r="AB16" i="20"/>
  <c r="A17" i="20"/>
  <c r="X16" i="20"/>
  <c r="K15" i="22"/>
  <c r="AB15" i="22"/>
  <c r="X15" i="22"/>
  <c r="A16" i="22"/>
  <c r="K16" i="22"/>
  <c r="A19" i="17"/>
  <c r="X18" i="17"/>
  <c r="A15" i="23"/>
  <c r="AB15" i="23"/>
  <c r="V14" i="23"/>
  <c r="X1" i="23"/>
  <c r="A18" i="19"/>
  <c r="H6" i="6"/>
  <c r="Y14" i="23"/>
  <c r="F14" i="23"/>
  <c r="J1" i="24"/>
  <c r="L1" i="23"/>
  <c r="AQ3" i="7"/>
  <c r="L11" i="22"/>
  <c r="X15" i="23"/>
  <c r="K15" i="23"/>
  <c r="AB16" i="22"/>
  <c r="X16" i="22"/>
  <c r="AB17" i="20"/>
  <c r="A18" i="20"/>
  <c r="X17" i="20"/>
  <c r="K17" i="20"/>
  <c r="J1" i="25"/>
  <c r="F14" i="25"/>
  <c r="Y14" i="24"/>
  <c r="V14" i="24"/>
  <c r="L1" i="24"/>
  <c r="I6" i="6"/>
  <c r="A15" i="24"/>
  <c r="A19" i="19"/>
  <c r="F14" i="24"/>
  <c r="X1" i="24"/>
  <c r="AW3" i="7"/>
  <c r="X19" i="17"/>
  <c r="K19" i="17"/>
  <c r="L11" i="23"/>
  <c r="AB15" i="24"/>
  <c r="A16" i="24"/>
  <c r="AB16" i="24"/>
  <c r="K15" i="24"/>
  <c r="X15" i="24"/>
  <c r="A15" i="25"/>
  <c r="A16" i="25"/>
  <c r="J6" i="6"/>
  <c r="BC3" i="7"/>
  <c r="Y14" i="25"/>
  <c r="X18" i="20"/>
  <c r="K18" i="20"/>
  <c r="K15" i="25"/>
  <c r="X15" i="25"/>
  <c r="X16" i="24"/>
  <c r="A17" i="24"/>
  <c r="AB17" i="24"/>
  <c r="K17" i="24"/>
  <c r="Q10" i="1"/>
  <c r="I18" i="26"/>
  <c r="Y49" i="26"/>
  <c r="T49" i="26"/>
  <c r="Z49" i="26"/>
  <c r="U49" i="26"/>
  <c r="V49" i="26"/>
  <c r="S49" i="26"/>
  <c r="J20" i="26"/>
  <c r="J21" i="26"/>
  <c r="I25" i="26"/>
  <c r="I28" i="26"/>
  <c r="I32" i="26"/>
  <c r="I33" i="26"/>
  <c r="X49" i="26"/>
  <c r="R49" i="26"/>
  <c r="Q49" i="26"/>
  <c r="J27" i="26"/>
  <c r="I21" i="26"/>
  <c r="I23" i="26"/>
  <c r="I26" i="26"/>
  <c r="I27" i="26"/>
  <c r="O60" i="26"/>
  <c r="J28" i="26"/>
  <c r="I30" i="26"/>
  <c r="I31" i="26"/>
  <c r="M63" i="26"/>
  <c r="E12" i="26"/>
  <c r="D10" i="26"/>
  <c r="I10" i="26"/>
  <c r="E11" i="26"/>
  <c r="D12" i="26"/>
  <c r="I12" i="26"/>
  <c r="D11" i="26"/>
  <c r="I11" i="26"/>
  <c r="O65" i="26"/>
  <c r="J31" i="26"/>
  <c r="BM15" i="7"/>
  <c r="BQ15" i="7"/>
  <c r="AE261" i="1"/>
  <c r="AE228" i="1"/>
  <c r="AE237" i="1"/>
  <c r="L11" i="24"/>
  <c r="A17" i="25"/>
  <c r="AB16" i="25"/>
  <c r="K16" i="25"/>
  <c r="X16" i="25"/>
  <c r="X17" i="24"/>
  <c r="A18" i="24"/>
  <c r="K16" i="24"/>
  <c r="AB15" i="25"/>
  <c r="A19" i="20"/>
  <c r="AB18" i="20"/>
  <c r="X1" i="25"/>
  <c r="A20" i="19"/>
  <c r="L1" i="25"/>
  <c r="V14" i="25"/>
  <c r="A20" i="17"/>
  <c r="AB19" i="17"/>
  <c r="A17" i="22"/>
  <c r="A16" i="23"/>
  <c r="K18" i="17"/>
  <c r="K17" i="16"/>
  <c r="X17" i="16"/>
  <c r="A18" i="16"/>
  <c r="AB17" i="16"/>
  <c r="AK17" i="1"/>
  <c r="X17" i="1"/>
  <c r="AB17" i="1"/>
  <c r="K17" i="1"/>
  <c r="AC17" i="1"/>
  <c r="L17" i="1"/>
  <c r="F14" i="18"/>
  <c r="Y14" i="18"/>
  <c r="A15" i="19"/>
  <c r="A15" i="18"/>
  <c r="X15" i="17"/>
  <c r="AB15" i="17"/>
  <c r="L12" i="15"/>
  <c r="L12" i="16"/>
  <c r="AB16" i="16"/>
  <c r="X16" i="16"/>
  <c r="K16" i="16"/>
  <c r="X1" i="17"/>
  <c r="Y14" i="17"/>
  <c r="S3" i="7"/>
  <c r="K16" i="15"/>
  <c r="A17" i="15"/>
  <c r="E8" i="1"/>
  <c r="K11" i="19" s="1"/>
  <c r="K35" i="19" s="1"/>
  <c r="BP13" i="7"/>
  <c r="F7" i="1"/>
  <c r="AJ15" i="1"/>
  <c r="E7" i="1"/>
  <c r="AC10" i="1" s="1"/>
  <c r="B13" i="7"/>
  <c r="AE364" i="1"/>
  <c r="AE95" i="1"/>
  <c r="AE245" i="1"/>
  <c r="AE289" i="1"/>
  <c r="BY15" i="7"/>
  <c r="AE247" i="1"/>
  <c r="AE169" i="1"/>
  <c r="E15" i="7"/>
  <c r="AE19" i="1"/>
  <c r="BS15" i="7"/>
  <c r="V57" i="26"/>
  <c r="S57" i="26"/>
  <c r="P57" i="26"/>
  <c r="R57" i="26"/>
  <c r="W57" i="26"/>
  <c r="Z57" i="26"/>
  <c r="X57" i="26"/>
  <c r="U57" i="26"/>
  <c r="Y57" i="26"/>
  <c r="T57" i="26"/>
  <c r="Q57" i="26"/>
  <c r="X52" i="26"/>
  <c r="Q52" i="26"/>
  <c r="R52" i="26"/>
  <c r="S52" i="26"/>
  <c r="Y52" i="26"/>
  <c r="P52" i="26"/>
  <c r="U52" i="26"/>
  <c r="T52" i="26"/>
  <c r="Z52" i="26"/>
  <c r="V52" i="26"/>
  <c r="W52" i="26"/>
  <c r="V54" i="26"/>
  <c r="Y54" i="26"/>
  <c r="W54" i="26"/>
  <c r="X54" i="26"/>
  <c r="P54" i="26"/>
  <c r="T54" i="26"/>
  <c r="U54" i="26"/>
  <c r="Q54" i="26"/>
  <c r="Z54" i="26"/>
  <c r="R54" i="26"/>
  <c r="S54" i="26"/>
  <c r="H35" i="26"/>
  <c r="O66" i="26"/>
  <c r="X17" i="15"/>
  <c r="K17" i="15"/>
  <c r="AB17" i="15"/>
  <c r="A18" i="15"/>
  <c r="X15" i="18"/>
  <c r="K15" i="18"/>
  <c r="AB15" i="18"/>
  <c r="A16" i="18"/>
  <c r="K18" i="1"/>
  <c r="X18" i="1"/>
  <c r="AB18" i="1"/>
  <c r="AK18" i="1"/>
  <c r="AJ18" i="1"/>
  <c r="L18" i="1"/>
  <c r="A18" i="22"/>
  <c r="K17" i="22"/>
  <c r="X17" i="22"/>
  <c r="AB17" i="22"/>
  <c r="K20" i="17"/>
  <c r="AB20" i="17"/>
  <c r="A21" i="17"/>
  <c r="X20" i="17"/>
  <c r="X19" i="20"/>
  <c r="A20" i="20"/>
  <c r="AB19" i="20"/>
  <c r="K19" i="20"/>
  <c r="K18" i="24"/>
  <c r="X18" i="24"/>
  <c r="A19" i="24"/>
  <c r="AB18" i="24"/>
  <c r="O10" i="1"/>
  <c r="O9" i="18"/>
  <c r="AJ46" i="18" s="1"/>
  <c r="X18" i="16"/>
  <c r="AB18" i="16"/>
  <c r="A19" i="16"/>
  <c r="K18" i="16"/>
  <c r="AB16" i="23"/>
  <c r="A17" i="23"/>
  <c r="K16" i="23"/>
  <c r="X16" i="23"/>
  <c r="A18" i="25"/>
  <c r="AB17" i="25"/>
  <c r="K17" i="25"/>
  <c r="X17" i="25"/>
  <c r="F39" i="26"/>
  <c r="L51" i="26"/>
  <c r="Z51" i="26"/>
  <c r="D51" i="26"/>
  <c r="R51" i="26"/>
  <c r="I51" i="26"/>
  <c r="W51" i="26"/>
  <c r="E51" i="26"/>
  <c r="S51" i="26"/>
  <c r="K51" i="26"/>
  <c r="Y51" i="26"/>
  <c r="C51" i="26"/>
  <c r="Q51" i="26"/>
  <c r="H51" i="26"/>
  <c r="V51" i="26"/>
  <c r="B51" i="26"/>
  <c r="P51" i="26"/>
  <c r="F51" i="26"/>
  <c r="T51" i="26"/>
  <c r="G51" i="26"/>
  <c r="U51" i="26"/>
  <c r="J51" i="26"/>
  <c r="X51" i="26"/>
  <c r="W55" i="26"/>
  <c r="Z55" i="26"/>
  <c r="Y55" i="26"/>
  <c r="P55" i="26"/>
  <c r="T55" i="26"/>
  <c r="U55" i="26"/>
  <c r="V55" i="26"/>
  <c r="X55" i="26"/>
  <c r="S55" i="26"/>
  <c r="R55" i="26"/>
  <c r="Q55" i="26"/>
  <c r="Y53" i="26"/>
  <c r="W53" i="26"/>
  <c r="S53" i="26"/>
  <c r="U53" i="26"/>
  <c r="V53" i="26"/>
  <c r="Z53" i="26"/>
  <c r="T53" i="26"/>
  <c r="Q53" i="26"/>
  <c r="X53" i="26"/>
  <c r="R53" i="26"/>
  <c r="P53" i="26"/>
  <c r="Q56" i="26"/>
  <c r="X56" i="26"/>
  <c r="R56" i="26"/>
  <c r="S56" i="26"/>
  <c r="T56" i="26"/>
  <c r="P56" i="26"/>
  <c r="W56" i="26"/>
  <c r="Z56" i="26"/>
  <c r="V56" i="26"/>
  <c r="Y56" i="26"/>
  <c r="U56" i="26"/>
  <c r="H36" i="26"/>
  <c r="O67" i="26"/>
  <c r="A19" i="25"/>
  <c r="K18" i="25"/>
  <c r="AB18" i="25"/>
  <c r="X18" i="25"/>
  <c r="C13" i="7"/>
  <c r="A21" i="20"/>
  <c r="X20" i="20"/>
  <c r="K20" i="20"/>
  <c r="AB20" i="20"/>
  <c r="K21" i="17"/>
  <c r="X21" i="17"/>
  <c r="AB21" i="17"/>
  <c r="A22" i="17"/>
  <c r="K18" i="22"/>
  <c r="X18" i="22"/>
  <c r="AB18" i="22"/>
  <c r="A19" i="22"/>
  <c r="K19" i="1"/>
  <c r="L19" i="1"/>
  <c r="AJ19" i="1"/>
  <c r="X19" i="1"/>
  <c r="AK19" i="1"/>
  <c r="AB19" i="1"/>
  <c r="A17" i="18"/>
  <c r="K16" i="18"/>
  <c r="AB16" i="18"/>
  <c r="X16" i="18"/>
  <c r="AB17" i="23"/>
  <c r="K17" i="23"/>
  <c r="A18" i="23"/>
  <c r="X17" i="23"/>
  <c r="A20" i="16"/>
  <c r="K19" i="16"/>
  <c r="AB19" i="16"/>
  <c r="X19" i="16"/>
  <c r="L12" i="17"/>
  <c r="X19" i="24"/>
  <c r="K19" i="24"/>
  <c r="A20" i="24"/>
  <c r="AB19" i="24"/>
  <c r="X18" i="15"/>
  <c r="AB18" i="15"/>
  <c r="K18" i="15"/>
  <c r="A19" i="15"/>
  <c r="I39" i="26"/>
  <c r="H37" i="26"/>
  <c r="O68" i="26"/>
  <c r="AB20" i="16"/>
  <c r="K20" i="16"/>
  <c r="A21" i="16"/>
  <c r="X20" i="16"/>
  <c r="X18" i="23"/>
  <c r="AB18" i="23"/>
  <c r="A19" i="23"/>
  <c r="K18" i="23"/>
  <c r="AJ20" i="1"/>
  <c r="L20" i="1"/>
  <c r="K20" i="1"/>
  <c r="AK20" i="1"/>
  <c r="X20" i="1"/>
  <c r="AB20" i="1"/>
  <c r="X21" i="20"/>
  <c r="K21" i="20"/>
  <c r="AB21" i="20"/>
  <c r="A22" i="20"/>
  <c r="X19" i="15"/>
  <c r="K19" i="15"/>
  <c r="A20" i="15"/>
  <c r="AB19" i="15"/>
  <c r="X20" i="24"/>
  <c r="A21" i="24"/>
  <c r="K20" i="24"/>
  <c r="AB20" i="24"/>
  <c r="L12" i="18"/>
  <c r="AB17" i="18"/>
  <c r="A18" i="18"/>
  <c r="K17" i="18"/>
  <c r="X17" i="18"/>
  <c r="X19" i="22"/>
  <c r="AB19" i="22"/>
  <c r="A20" i="22"/>
  <c r="K19" i="22"/>
  <c r="A23" i="17"/>
  <c r="X22" i="17"/>
  <c r="K22" i="17"/>
  <c r="AB22" i="17"/>
  <c r="X19" i="25"/>
  <c r="K19" i="25"/>
  <c r="A20" i="25"/>
  <c r="AB19" i="25"/>
  <c r="H38" i="26"/>
  <c r="O70" i="26"/>
  <c r="O69" i="26"/>
  <c r="H39" i="26"/>
  <c r="AB20" i="25"/>
  <c r="A21" i="25"/>
  <c r="X20" i="25"/>
  <c r="K20" i="25"/>
  <c r="A24" i="17"/>
  <c r="X23" i="17"/>
  <c r="AB23" i="17"/>
  <c r="K23" i="17"/>
  <c r="X20" i="22"/>
  <c r="K20" i="22"/>
  <c r="A21" i="22"/>
  <c r="AB20" i="22"/>
  <c r="A21" i="15"/>
  <c r="X20" i="15"/>
  <c r="K20" i="15"/>
  <c r="AB20" i="15"/>
  <c r="AJ21" i="1"/>
  <c r="AB21" i="1"/>
  <c r="AK21" i="1"/>
  <c r="L21" i="1"/>
  <c r="X21" i="1"/>
  <c r="K21" i="1"/>
  <c r="X21" i="16"/>
  <c r="A22" i="16"/>
  <c r="AB21" i="16"/>
  <c r="K21" i="16"/>
  <c r="K18" i="18"/>
  <c r="AB18" i="18"/>
  <c r="A19" i="18"/>
  <c r="X18" i="18"/>
  <c r="AB21" i="24"/>
  <c r="X21" i="24"/>
  <c r="A22" i="24"/>
  <c r="K21" i="24"/>
  <c r="K22" i="20"/>
  <c r="X22" i="20"/>
  <c r="AB22" i="20"/>
  <c r="A23" i="20"/>
  <c r="A20" i="23"/>
  <c r="X19" i="23"/>
  <c r="K19" i="23"/>
  <c r="AB19" i="23"/>
  <c r="A73" i="26" a="1"/>
  <c r="X20" i="23"/>
  <c r="AB20" i="23"/>
  <c r="K20" i="23"/>
  <c r="A21" i="23"/>
  <c r="A24" i="20"/>
  <c r="K23" i="20"/>
  <c r="X23" i="20"/>
  <c r="AB23" i="20"/>
  <c r="X22" i="24"/>
  <c r="AB22" i="24"/>
  <c r="A23" i="24"/>
  <c r="K22" i="24"/>
  <c r="AK22" i="1"/>
  <c r="L22" i="1"/>
  <c r="AJ22" i="1"/>
  <c r="K22" i="1"/>
  <c r="X22" i="1"/>
  <c r="AB22" i="1"/>
  <c r="X21" i="25"/>
  <c r="A22" i="25"/>
  <c r="K21" i="25"/>
  <c r="AB21" i="25"/>
  <c r="X19" i="18"/>
  <c r="K19" i="18"/>
  <c r="AB19" i="18"/>
  <c r="A20" i="18"/>
  <c r="X22" i="16"/>
  <c r="A23" i="16"/>
  <c r="AB22" i="16"/>
  <c r="K22" i="16"/>
  <c r="A22" i="15"/>
  <c r="AB21" i="15"/>
  <c r="X21" i="15"/>
  <c r="K21" i="15"/>
  <c r="X21" i="22"/>
  <c r="A22" i="22"/>
  <c r="AB21" i="22"/>
  <c r="K21" i="22"/>
  <c r="AB24" i="17"/>
  <c r="X24" i="17"/>
  <c r="K24" i="17"/>
  <c r="A25" i="17"/>
  <c r="I79" i="26"/>
  <c r="W82" i="26"/>
  <c r="V81" i="26"/>
  <c r="C78" i="26"/>
  <c r="A78" i="26"/>
  <c r="L75" i="26"/>
  <c r="B83" i="26"/>
  <c r="L78" i="26"/>
  <c r="M83" i="26"/>
  <c r="P85" i="26"/>
  <c r="G85" i="26"/>
  <c r="U79" i="26"/>
  <c r="I80" i="26"/>
  <c r="N81" i="26"/>
  <c r="D81" i="26"/>
  <c r="F81" i="26"/>
  <c r="T78" i="26"/>
  <c r="N75" i="26"/>
  <c r="O80" i="26"/>
  <c r="W80" i="26"/>
  <c r="N84" i="26"/>
  <c r="Q74" i="26"/>
  <c r="L79" i="26"/>
  <c r="W78" i="26"/>
  <c r="B79" i="26"/>
  <c r="M81" i="26"/>
  <c r="R82" i="26"/>
  <c r="K75" i="26"/>
  <c r="A76" i="26"/>
  <c r="S75" i="26"/>
  <c r="P79" i="26"/>
  <c r="H77" i="26"/>
  <c r="U75" i="26"/>
  <c r="D82" i="26"/>
  <c r="P74" i="26"/>
  <c r="F76" i="26"/>
  <c r="D74" i="26"/>
  <c r="H80" i="26"/>
  <c r="E81" i="26"/>
  <c r="S81" i="26"/>
  <c r="U81" i="26"/>
  <c r="J75" i="26"/>
  <c r="S82" i="26"/>
  <c r="A81" i="26"/>
  <c r="R74" i="26"/>
  <c r="J84" i="26"/>
  <c r="A73" i="26"/>
  <c r="J78" i="26"/>
  <c r="M84" i="26"/>
  <c r="O75" i="26"/>
  <c r="U80" i="26"/>
  <c r="W81" i="26"/>
  <c r="V78" i="26"/>
  <c r="M75" i="26"/>
  <c r="U82" i="26"/>
  <c r="J79" i="26"/>
  <c r="D84" i="26"/>
  <c r="K74" i="26"/>
  <c r="S73" i="26"/>
  <c r="P76" i="26"/>
  <c r="B85" i="26"/>
  <c r="I81" i="26"/>
  <c r="S74" i="26"/>
  <c r="B76" i="26"/>
  <c r="O83" i="26"/>
  <c r="L82" i="26"/>
  <c r="B81" i="26"/>
  <c r="W76" i="26"/>
  <c r="D76" i="26"/>
  <c r="O73" i="26"/>
  <c r="B82" i="26"/>
  <c r="F83" i="26"/>
  <c r="B80" i="26"/>
  <c r="O84" i="26"/>
  <c r="E79" i="26"/>
  <c r="R79" i="26"/>
  <c r="B75" i="26"/>
  <c r="E84" i="26"/>
  <c r="Q79" i="26"/>
  <c r="L73" i="26"/>
  <c r="N73" i="26"/>
  <c r="L85" i="26"/>
  <c r="P75" i="26"/>
  <c r="S79" i="26"/>
  <c r="R73" i="26"/>
  <c r="G80" i="26"/>
  <c r="O77" i="26"/>
  <c r="A74" i="26"/>
  <c r="A75" i="26"/>
  <c r="H73" i="26"/>
  <c r="R78" i="26"/>
  <c r="T85" i="26"/>
  <c r="V85" i="26"/>
  <c r="K76" i="26"/>
  <c r="F77" i="26"/>
  <c r="K85" i="26"/>
  <c r="E74" i="26"/>
  <c r="S83" i="26"/>
  <c r="H84" i="26"/>
  <c r="A80" i="26"/>
  <c r="H74" i="26"/>
  <c r="O78" i="26"/>
  <c r="K73" i="26"/>
  <c r="W83" i="26"/>
  <c r="M73" i="26"/>
  <c r="W74" i="26"/>
  <c r="C77" i="26"/>
  <c r="A85" i="26"/>
  <c r="V84" i="26"/>
  <c r="T74" i="26"/>
  <c r="Q75" i="26"/>
  <c r="H82" i="26"/>
  <c r="V77" i="26"/>
  <c r="K81" i="26"/>
  <c r="F82" i="26"/>
  <c r="C73" i="26"/>
  <c r="A83" i="26"/>
  <c r="G82" i="26"/>
  <c r="T75" i="26"/>
  <c r="G73" i="26"/>
  <c r="P78" i="26"/>
  <c r="E76" i="26"/>
  <c r="E80" i="26"/>
  <c r="V76" i="26"/>
  <c r="I84" i="26"/>
  <c r="W77" i="26"/>
  <c r="G77" i="26"/>
  <c r="U74" i="26"/>
  <c r="H79" i="26"/>
  <c r="J77" i="26"/>
  <c r="F74" i="26"/>
  <c r="T76" i="26"/>
  <c r="E77" i="26"/>
  <c r="L74" i="26"/>
  <c r="B73" i="26"/>
  <c r="R84" i="26"/>
  <c r="M74" i="26"/>
  <c r="T80" i="26"/>
  <c r="J83" i="26"/>
  <c r="Q83" i="26"/>
  <c r="B78" i="26"/>
  <c r="L83" i="26"/>
  <c r="J73" i="26"/>
  <c r="U76" i="26"/>
  <c r="K82" i="26"/>
  <c r="M82" i="26"/>
  <c r="Q82" i="26"/>
  <c r="T84" i="26"/>
  <c r="W73" i="26"/>
  <c r="T79" i="26"/>
  <c r="N76" i="26"/>
  <c r="I77" i="26"/>
  <c r="O74" i="26"/>
  <c r="N74" i="26"/>
  <c r="I83" i="26"/>
  <c r="U73" i="26"/>
  <c r="F75" i="26"/>
  <c r="F78" i="26"/>
  <c r="Q81" i="26"/>
  <c r="G74" i="26"/>
  <c r="Q85" i="26"/>
  <c r="O79" i="26"/>
  <c r="L76" i="26"/>
  <c r="U77" i="26"/>
  <c r="M79" i="26"/>
  <c r="M76" i="26"/>
  <c r="I85" i="26"/>
  <c r="P84" i="26"/>
  <c r="G81" i="26"/>
  <c r="K79" i="26"/>
  <c r="K84" i="26"/>
  <c r="U85" i="26"/>
  <c r="S84" i="26"/>
  <c r="I75" i="26"/>
  <c r="N85" i="26"/>
  <c r="K78" i="26"/>
  <c r="L77" i="26"/>
  <c r="G78" i="26"/>
  <c r="R85" i="26"/>
  <c r="W79" i="26"/>
  <c r="W85" i="26"/>
  <c r="S85" i="26"/>
  <c r="H83" i="26"/>
  <c r="G75" i="26"/>
  <c r="B74" i="26"/>
  <c r="P73" i="26"/>
  <c r="V74" i="26"/>
  <c r="A79" i="26"/>
  <c r="J74" i="26"/>
  <c r="M78" i="26"/>
  <c r="H81" i="26"/>
  <c r="V82" i="26"/>
  <c r="L81" i="26"/>
  <c r="O81" i="26"/>
  <c r="Q77" i="26"/>
  <c r="H75" i="26"/>
  <c r="S77" i="26"/>
  <c r="S80" i="26"/>
  <c r="C81" i="26"/>
  <c r="N78" i="26"/>
  <c r="K77" i="26"/>
  <c r="Q76" i="26"/>
  <c r="F84" i="26"/>
  <c r="R77" i="26"/>
  <c r="A82" i="26"/>
  <c r="P77" i="26"/>
  <c r="D80" i="26"/>
  <c r="Q78" i="26"/>
  <c r="G84" i="26"/>
  <c r="I74" i="26"/>
  <c r="E78" i="26"/>
  <c r="A84" i="26"/>
  <c r="P80" i="26"/>
  <c r="G83" i="26"/>
  <c r="T81" i="26"/>
  <c r="U78" i="26"/>
  <c r="F79" i="26"/>
  <c r="T73" i="26"/>
  <c r="M77" i="26"/>
  <c r="C75" i="26"/>
  <c r="F73" i="26"/>
  <c r="I82" i="26"/>
  <c r="N82" i="26"/>
  <c r="M85" i="26"/>
  <c r="O76" i="26"/>
  <c r="B77" i="26"/>
  <c r="E75" i="26"/>
  <c r="V73" i="26"/>
  <c r="C84" i="26"/>
  <c r="N80" i="26"/>
  <c r="T82" i="26"/>
  <c r="R83" i="26"/>
  <c r="F85" i="26"/>
  <c r="J81" i="26"/>
  <c r="J80" i="26"/>
  <c r="H78" i="26"/>
  <c r="C76" i="26"/>
  <c r="C83" i="26"/>
  <c r="F80" i="26"/>
  <c r="P81" i="26"/>
  <c r="C80" i="26"/>
  <c r="S78" i="26"/>
  <c r="D85" i="26"/>
  <c r="E82" i="26"/>
  <c r="D79" i="26"/>
  <c r="Q84" i="26"/>
  <c r="O85" i="26"/>
  <c r="D75" i="26"/>
  <c r="E83" i="26"/>
  <c r="G76" i="26"/>
  <c r="J82" i="26"/>
  <c r="E73" i="26"/>
  <c r="Q80" i="26"/>
  <c r="I73" i="26"/>
  <c r="S76" i="26"/>
  <c r="R75" i="26"/>
  <c r="V79" i="26"/>
  <c r="K80" i="26"/>
  <c r="T83" i="26"/>
  <c r="K83" i="26"/>
  <c r="A77" i="26"/>
  <c r="V83" i="26"/>
  <c r="U84" i="26"/>
  <c r="C82" i="26"/>
  <c r="P82" i="26"/>
  <c r="N83" i="26"/>
  <c r="D83" i="26"/>
  <c r="G79" i="26"/>
  <c r="N77" i="26"/>
  <c r="T77" i="26"/>
  <c r="W75" i="26"/>
  <c r="H76" i="26"/>
  <c r="I76" i="26"/>
  <c r="R81" i="26"/>
  <c r="H85" i="26"/>
  <c r="J76" i="26"/>
  <c r="J85" i="26"/>
  <c r="N79" i="26"/>
  <c r="D73" i="26"/>
  <c r="O82" i="26"/>
  <c r="C85" i="26"/>
  <c r="C79" i="26"/>
  <c r="V80" i="26"/>
  <c r="E85" i="26"/>
  <c r="L84" i="26"/>
  <c r="L80" i="26"/>
  <c r="D78" i="26"/>
  <c r="B84" i="26"/>
  <c r="C74" i="26"/>
  <c r="V75" i="26"/>
  <c r="R76" i="26"/>
  <c r="P83" i="26"/>
  <c r="Q73" i="26"/>
  <c r="D77" i="26"/>
  <c r="R80" i="26"/>
  <c r="I78" i="26"/>
  <c r="W84" i="26"/>
  <c r="U83" i="26"/>
  <c r="M80" i="26"/>
  <c r="AB22" i="22"/>
  <c r="K22" i="22"/>
  <c r="A23" i="22"/>
  <c r="X22" i="22"/>
  <c r="X23" i="16"/>
  <c r="AB23" i="16"/>
  <c r="A24" i="16"/>
  <c r="K23" i="16"/>
  <c r="X20" i="18"/>
  <c r="A21" i="18"/>
  <c r="AB20" i="18"/>
  <c r="K20" i="18"/>
  <c r="X23" i="24"/>
  <c r="A24" i="24"/>
  <c r="AB23" i="24"/>
  <c r="K23" i="24"/>
  <c r="K24" i="20"/>
  <c r="X24" i="20"/>
  <c r="AB24" i="20"/>
  <c r="A25" i="20"/>
  <c r="K21" i="23"/>
  <c r="A22" i="23"/>
  <c r="AB21" i="23"/>
  <c r="X21" i="23"/>
  <c r="K25" i="17"/>
  <c r="X25" i="17"/>
  <c r="A26" i="17"/>
  <c r="AB25" i="17"/>
  <c r="AB22" i="15"/>
  <c r="X22" i="15"/>
  <c r="K22" i="15"/>
  <c r="A23" i="15"/>
  <c r="A23" i="25"/>
  <c r="AB22" i="25"/>
  <c r="K22" i="25"/>
  <c r="X22" i="25"/>
  <c r="AJ23" i="1"/>
  <c r="X23" i="1"/>
  <c r="L23" i="1"/>
  <c r="AB23" i="1"/>
  <c r="AK23" i="1"/>
  <c r="K23" i="1"/>
  <c r="X23" i="25"/>
  <c r="A24" i="25"/>
  <c r="K23" i="25"/>
  <c r="AB23" i="25"/>
  <c r="X23" i="15"/>
  <c r="A24" i="15"/>
  <c r="AB23" i="15"/>
  <c r="K23" i="15"/>
  <c r="AB22" i="23"/>
  <c r="A23" i="23"/>
  <c r="K22" i="23"/>
  <c r="X22" i="23"/>
  <c r="A26" i="20"/>
  <c r="AB25" i="20"/>
  <c r="K25" i="20"/>
  <c r="X25" i="20"/>
  <c r="A24" i="22"/>
  <c r="AB23" i="22"/>
  <c r="X23" i="22"/>
  <c r="K23" i="22"/>
  <c r="AJ24" i="1"/>
  <c r="AB24" i="1"/>
  <c r="L24" i="1"/>
  <c r="AK24" i="1"/>
  <c r="X24" i="1"/>
  <c r="K24" i="1"/>
  <c r="K26" i="17"/>
  <c r="A27" i="17"/>
  <c r="AB26" i="17"/>
  <c r="X26" i="17"/>
  <c r="A25" i="24"/>
  <c r="X24" i="24"/>
  <c r="K24" i="24"/>
  <c r="AB24" i="24"/>
  <c r="K21" i="18"/>
  <c r="A22" i="18"/>
  <c r="AB21" i="18"/>
  <c r="X21" i="18"/>
  <c r="X24" i="16"/>
  <c r="AB24" i="16"/>
  <c r="A25" i="16"/>
  <c r="K24" i="16"/>
  <c r="AB25" i="16"/>
  <c r="K25" i="16"/>
  <c r="X25" i="16"/>
  <c r="A26" i="16"/>
  <c r="K25" i="24"/>
  <c r="X25" i="24"/>
  <c r="AB25" i="24"/>
  <c r="A26" i="24"/>
  <c r="K27" i="17"/>
  <c r="AB27" i="17"/>
  <c r="X27" i="17"/>
  <c r="A28" i="17"/>
  <c r="AK25" i="1"/>
  <c r="X25" i="1"/>
  <c r="AB25" i="1"/>
  <c r="K25" i="1"/>
  <c r="AJ25" i="1"/>
  <c r="L25" i="1"/>
  <c r="K26" i="20"/>
  <c r="X26" i="20"/>
  <c r="AB26" i="20"/>
  <c r="A27" i="20"/>
  <c r="X23" i="23"/>
  <c r="A24" i="23"/>
  <c r="K23" i="23"/>
  <c r="AB23" i="23"/>
  <c r="X24" i="25"/>
  <c r="K24" i="25"/>
  <c r="A25" i="25"/>
  <c r="AB24" i="25"/>
  <c r="K22" i="18"/>
  <c r="A23" i="18"/>
  <c r="AB22" i="18"/>
  <c r="X22" i="18"/>
  <c r="AB24" i="22"/>
  <c r="K24" i="22"/>
  <c r="X24" i="22"/>
  <c r="A25" i="22"/>
  <c r="X24" i="15"/>
  <c r="A25" i="15"/>
  <c r="AB24" i="15"/>
  <c r="K24" i="15"/>
  <c r="K25" i="22"/>
  <c r="AB25" i="22"/>
  <c r="X25" i="22"/>
  <c r="A26" i="22"/>
  <c r="AB25" i="25"/>
  <c r="K25" i="25"/>
  <c r="A26" i="25"/>
  <c r="X25" i="25"/>
  <c r="AK26" i="1"/>
  <c r="L26" i="1"/>
  <c r="K26" i="1"/>
  <c r="AJ26" i="1"/>
  <c r="X26" i="1"/>
  <c r="AB26" i="1"/>
  <c r="X28" i="17"/>
  <c r="A29" i="17"/>
  <c r="AB28" i="17"/>
  <c r="K28" i="17"/>
  <c r="K25" i="15"/>
  <c r="AB25" i="15"/>
  <c r="X25" i="15"/>
  <c r="A26" i="15"/>
  <c r="K23" i="18"/>
  <c r="A24" i="18"/>
  <c r="AB23" i="18"/>
  <c r="X23" i="18"/>
  <c r="A25" i="23"/>
  <c r="X24" i="23"/>
  <c r="K24" i="23"/>
  <c r="AB24" i="23"/>
  <c r="X27" i="20"/>
  <c r="AB27" i="20"/>
  <c r="K27" i="20"/>
  <c r="A28" i="20"/>
  <c r="K26" i="24"/>
  <c r="AB26" i="24"/>
  <c r="A27" i="24"/>
  <c r="X26" i="24"/>
  <c r="K26" i="16"/>
  <c r="AB26" i="16"/>
  <c r="X26" i="16"/>
  <c r="A27" i="16"/>
  <c r="A26" i="23"/>
  <c r="X25" i="23"/>
  <c r="AB25" i="23"/>
  <c r="K25" i="23"/>
  <c r="AB29" i="17"/>
  <c r="A56" i="7"/>
  <c r="X29" i="17"/>
  <c r="A30" i="17"/>
  <c r="K29" i="17"/>
  <c r="L27" i="1"/>
  <c r="K27" i="1"/>
  <c r="AB27" i="1"/>
  <c r="AK27" i="1"/>
  <c r="AJ27" i="1"/>
  <c r="X27" i="1"/>
  <c r="X26" i="25"/>
  <c r="A27" i="25"/>
  <c r="AB26" i="25"/>
  <c r="K26" i="25"/>
  <c r="X26" i="22"/>
  <c r="A27" i="22"/>
  <c r="AB26" i="22"/>
  <c r="K26" i="22"/>
  <c r="AB27" i="16"/>
  <c r="A28" i="16"/>
  <c r="X27" i="16"/>
  <c r="K27" i="16"/>
  <c r="AB27" i="24"/>
  <c r="K27" i="24"/>
  <c r="X27" i="24"/>
  <c r="A28" i="24"/>
  <c r="A29" i="20"/>
  <c r="K28" i="20"/>
  <c r="X28" i="20"/>
  <c r="AB28" i="20"/>
  <c r="A25" i="18"/>
  <c r="X24" i="18"/>
  <c r="K24" i="18"/>
  <c r="AB24" i="18"/>
  <c r="K26" i="15"/>
  <c r="X26" i="15"/>
  <c r="A27" i="15"/>
  <c r="AB26" i="15"/>
  <c r="X27" i="15"/>
  <c r="K27" i="15"/>
  <c r="A28" i="15"/>
  <c r="AB27" i="15"/>
  <c r="AB29" i="20"/>
  <c r="K29" i="20"/>
  <c r="X29" i="20"/>
  <c r="A30" i="20"/>
  <c r="AE20" i="7"/>
  <c r="X28" i="24"/>
  <c r="K28" i="24"/>
  <c r="AB28" i="24"/>
  <c r="A29" i="24"/>
  <c r="AB27" i="22"/>
  <c r="A28" i="22"/>
  <c r="K27" i="22"/>
  <c r="X27" i="22"/>
  <c r="AB27" i="25"/>
  <c r="A28" i="25"/>
  <c r="K27" i="25"/>
  <c r="X27" i="25"/>
  <c r="AK28" i="1"/>
  <c r="K28" i="1"/>
  <c r="X28" i="1"/>
  <c r="AB28" i="1"/>
  <c r="AJ28" i="1"/>
  <c r="L28" i="1"/>
  <c r="A31" i="17"/>
  <c r="X30" i="17"/>
  <c r="AB30" i="17"/>
  <c r="K30" i="17"/>
  <c r="AB26" i="23"/>
  <c r="K26" i="23"/>
  <c r="A27" i="23"/>
  <c r="X26" i="23"/>
  <c r="AB25" i="18"/>
  <c r="K25" i="18"/>
  <c r="X25" i="18"/>
  <c r="A26" i="18"/>
  <c r="A29" i="16"/>
  <c r="AB28" i="16"/>
  <c r="K28" i="16"/>
  <c r="X28" i="16"/>
  <c r="A30" i="16"/>
  <c r="K29" i="16"/>
  <c r="AB29" i="16"/>
  <c r="X29" i="16"/>
  <c r="A44" i="7"/>
  <c r="X26" i="18"/>
  <c r="A27" i="18"/>
  <c r="K26" i="18"/>
  <c r="AB26" i="18"/>
  <c r="X28" i="22"/>
  <c r="A29" i="22"/>
  <c r="AB28" i="22"/>
  <c r="K28" i="22"/>
  <c r="X30" i="20"/>
  <c r="K30" i="20"/>
  <c r="A31" i="20"/>
  <c r="AB30" i="20"/>
  <c r="AB28" i="15"/>
  <c r="A29" i="15"/>
  <c r="X28" i="15"/>
  <c r="K28" i="15"/>
  <c r="A28" i="23"/>
  <c r="AB27" i="23"/>
  <c r="X27" i="23"/>
  <c r="K27" i="23"/>
  <c r="AB31" i="17"/>
  <c r="K31" i="17"/>
  <c r="A32" i="17"/>
  <c r="X31" i="17"/>
  <c r="AJ29" i="1"/>
  <c r="K29" i="1"/>
  <c r="A20" i="7"/>
  <c r="L29" i="1"/>
  <c r="B20" i="7" s="1"/>
  <c r="AK29" i="1"/>
  <c r="AB29" i="1"/>
  <c r="X29" i="1"/>
  <c r="K28" i="25"/>
  <c r="A29" i="25"/>
  <c r="X28" i="25"/>
  <c r="AB28" i="25"/>
  <c r="K29" i="24"/>
  <c r="X29" i="24"/>
  <c r="AB29" i="24"/>
  <c r="A30" i="24"/>
  <c r="AE56" i="7"/>
  <c r="K30" i="24"/>
  <c r="X30" i="24"/>
  <c r="A31" i="24"/>
  <c r="AB30" i="24"/>
  <c r="X28" i="23"/>
  <c r="K28" i="23"/>
  <c r="AB28" i="23"/>
  <c r="A29" i="23"/>
  <c r="X29" i="25"/>
  <c r="AE68" i="7"/>
  <c r="K29" i="25"/>
  <c r="A30" i="25"/>
  <c r="AB29" i="25"/>
  <c r="AJ30" i="1"/>
  <c r="L30" i="1"/>
  <c r="AK30" i="1"/>
  <c r="AB30" i="1"/>
  <c r="X30" i="1"/>
  <c r="K30" i="1"/>
  <c r="AB32" i="17"/>
  <c r="A33" i="17"/>
  <c r="X32" i="17"/>
  <c r="K32" i="17"/>
  <c r="K29" i="15"/>
  <c r="AB29" i="15"/>
  <c r="X29" i="15"/>
  <c r="A30" i="15"/>
  <c r="A32" i="7"/>
  <c r="A32" i="20"/>
  <c r="AB31" i="20"/>
  <c r="K31" i="20"/>
  <c r="X31" i="20"/>
  <c r="A30" i="22"/>
  <c r="AE32" i="7"/>
  <c r="K29" i="22"/>
  <c r="X29" i="22"/>
  <c r="AB29" i="22"/>
  <c r="A28" i="18"/>
  <c r="AB27" i="18"/>
  <c r="X27" i="18"/>
  <c r="K27" i="18"/>
  <c r="K30" i="16"/>
  <c r="A31" i="16"/>
  <c r="AB30" i="16"/>
  <c r="X30" i="16"/>
  <c r="K28" i="18"/>
  <c r="X28" i="18"/>
  <c r="AB28" i="18"/>
  <c r="A29" i="18"/>
  <c r="X33" i="17"/>
  <c r="K33" i="17"/>
  <c r="A34" i="17"/>
  <c r="AB33" i="17"/>
  <c r="K31" i="24"/>
  <c r="A32" i="24"/>
  <c r="X31" i="24"/>
  <c r="AB31" i="24"/>
  <c r="X31" i="16"/>
  <c r="AB31" i="16"/>
  <c r="K31" i="16"/>
  <c r="A32" i="16"/>
  <c r="K30" i="22"/>
  <c r="X30" i="22"/>
  <c r="A31" i="22"/>
  <c r="AB30" i="22"/>
  <c r="K32" i="20"/>
  <c r="AB32" i="20"/>
  <c r="A33" i="20"/>
  <c r="X32" i="20"/>
  <c r="X30" i="15"/>
  <c r="AB30" i="15"/>
  <c r="A31" i="15"/>
  <c r="K30" i="15"/>
  <c r="AK31" i="1"/>
  <c r="AB31" i="1"/>
  <c r="K31" i="1"/>
  <c r="AJ31" i="1"/>
  <c r="L31" i="1"/>
  <c r="X31" i="1"/>
  <c r="A31" i="25"/>
  <c r="X30" i="25"/>
  <c r="AB30" i="25"/>
  <c r="K30" i="25"/>
  <c r="A30" i="23"/>
  <c r="AB29" i="23"/>
  <c r="X29" i="23"/>
  <c r="AE44" i="7"/>
  <c r="K29" i="23"/>
  <c r="A32" i="25"/>
  <c r="AB31" i="25"/>
  <c r="X31" i="25"/>
  <c r="K31" i="25"/>
  <c r="AK32" i="1"/>
  <c r="L32" i="1"/>
  <c r="K32" i="1"/>
  <c r="X32" i="1"/>
  <c r="AB32" i="1"/>
  <c r="AJ32" i="1"/>
  <c r="K33" i="20"/>
  <c r="X33" i="20"/>
  <c r="A34" i="20"/>
  <c r="AB33" i="20"/>
  <c r="AB34" i="17"/>
  <c r="X34" i="17"/>
  <c r="A35" i="17"/>
  <c r="K34" i="17"/>
  <c r="K30" i="23"/>
  <c r="X30" i="23"/>
  <c r="AB30" i="23"/>
  <c r="A31" i="23"/>
  <c r="A32" i="15"/>
  <c r="AB31" i="15"/>
  <c r="K31" i="15"/>
  <c r="X31" i="15"/>
  <c r="AB31" i="22"/>
  <c r="X31" i="22"/>
  <c r="A32" i="22"/>
  <c r="K31" i="22"/>
  <c r="AB32" i="16"/>
  <c r="X32" i="16"/>
  <c r="K32" i="16"/>
  <c r="A33" i="16"/>
  <c r="X32" i="24"/>
  <c r="K32" i="24"/>
  <c r="AB32" i="24"/>
  <c r="A33" i="24"/>
  <c r="X29" i="18"/>
  <c r="K29" i="18"/>
  <c r="A68" i="7"/>
  <c r="A30" i="18"/>
  <c r="AB29" i="18"/>
  <c r="X32" i="22"/>
  <c r="K32" i="22"/>
  <c r="A33" i="22"/>
  <c r="AB32" i="22"/>
  <c r="X32" i="15"/>
  <c r="A33" i="15"/>
  <c r="K32" i="15"/>
  <c r="AB32" i="15"/>
  <c r="X31" i="23"/>
  <c r="A32" i="23"/>
  <c r="K31" i="23"/>
  <c r="AB31" i="23"/>
  <c r="AJ33" i="1"/>
  <c r="K33" i="1"/>
  <c r="AB33" i="1"/>
  <c r="X33" i="1"/>
  <c r="AK33" i="1"/>
  <c r="L33" i="1"/>
  <c r="A31" i="18"/>
  <c r="X30" i="18"/>
  <c r="K30" i="18"/>
  <c r="AB30" i="18"/>
  <c r="K33" i="24"/>
  <c r="X33" i="24"/>
  <c r="AB33" i="24"/>
  <c r="A34" i="24"/>
  <c r="K33" i="16"/>
  <c r="A34" i="16"/>
  <c r="X33" i="16"/>
  <c r="AB33" i="16"/>
  <c r="AB35" i="17"/>
  <c r="A36" i="17"/>
  <c r="X35" i="17"/>
  <c r="K35" i="17"/>
  <c r="K34" i="20"/>
  <c r="A35" i="20"/>
  <c r="X34" i="20"/>
  <c r="AB34" i="20"/>
  <c r="A33" i="25"/>
  <c r="X32" i="25"/>
  <c r="AB32" i="25"/>
  <c r="K32" i="25"/>
  <c r="K33" i="25"/>
  <c r="AB33" i="25"/>
  <c r="A34" i="25"/>
  <c r="X33" i="25"/>
  <c r="AB35" i="20"/>
  <c r="X35" i="20"/>
  <c r="K35" i="20"/>
  <c r="A36" i="20"/>
  <c r="A37" i="17"/>
  <c r="K36" i="17"/>
  <c r="AB36" i="17"/>
  <c r="X36" i="17"/>
  <c r="AB34" i="16"/>
  <c r="K34" i="16"/>
  <c r="A35" i="16"/>
  <c r="X34" i="16"/>
  <c r="A35" i="24"/>
  <c r="AB34" i="24"/>
  <c r="K34" i="24"/>
  <c r="X34" i="24"/>
  <c r="AJ34" i="1"/>
  <c r="L34" i="1"/>
  <c r="AB34" i="1"/>
  <c r="K34" i="1"/>
  <c r="AK34" i="1"/>
  <c r="X34" i="1"/>
  <c r="K32" i="23"/>
  <c r="X32" i="23"/>
  <c r="A33" i="23"/>
  <c r="AB32" i="23"/>
  <c r="K33" i="15"/>
  <c r="A34" i="15"/>
  <c r="X33" i="15"/>
  <c r="AB33" i="15"/>
  <c r="K31" i="18"/>
  <c r="X31" i="18"/>
  <c r="A32" i="18"/>
  <c r="AB31" i="18"/>
  <c r="AB33" i="22"/>
  <c r="K33" i="22"/>
  <c r="X33" i="22"/>
  <c r="A34" i="22"/>
  <c r="AB32" i="18"/>
  <c r="K32" i="18"/>
  <c r="A33" i="18"/>
  <c r="X32" i="18"/>
  <c r="K34" i="15"/>
  <c r="AB34" i="15"/>
  <c r="A35" i="15"/>
  <c r="X34" i="15"/>
  <c r="A34" i="23"/>
  <c r="AB33" i="23"/>
  <c r="X33" i="23"/>
  <c r="K33" i="23"/>
  <c r="AK35" i="1"/>
  <c r="K35" i="1"/>
  <c r="L35" i="1"/>
  <c r="AB35" i="1"/>
  <c r="AJ35" i="1"/>
  <c r="X35" i="1"/>
  <c r="AB35" i="24"/>
  <c r="X35" i="24"/>
  <c r="K35" i="24"/>
  <c r="A36" i="24"/>
  <c r="A36" i="16"/>
  <c r="X35" i="16"/>
  <c r="K35" i="16"/>
  <c r="AB35" i="16"/>
  <c r="K37" i="17"/>
  <c r="AB37" i="17"/>
  <c r="X37" i="17"/>
  <c r="A38" i="17"/>
  <c r="A37" i="20"/>
  <c r="AB36" i="20"/>
  <c r="K36" i="20"/>
  <c r="X36" i="20"/>
  <c r="X34" i="25"/>
  <c r="AB34" i="25"/>
  <c r="K34" i="25"/>
  <c r="A35" i="25"/>
  <c r="AB34" i="22"/>
  <c r="K34" i="22"/>
  <c r="A35" i="22"/>
  <c r="X34" i="22"/>
  <c r="AB38" i="17"/>
  <c r="X38" i="17"/>
  <c r="A39" i="17"/>
  <c r="K38" i="17"/>
  <c r="X36" i="16"/>
  <c r="AB36" i="16"/>
  <c r="K36" i="16"/>
  <c r="A37" i="16"/>
  <c r="A34" i="18"/>
  <c r="X33" i="18"/>
  <c r="K33" i="18"/>
  <c r="AB33" i="18"/>
  <c r="K35" i="22"/>
  <c r="A36" i="22"/>
  <c r="AB35" i="22"/>
  <c r="X35" i="22"/>
  <c r="X35" i="25"/>
  <c r="A36" i="25"/>
  <c r="K35" i="25"/>
  <c r="AB35" i="25"/>
  <c r="X37" i="20"/>
  <c r="AB37" i="20"/>
  <c r="K37" i="20"/>
  <c r="A38" i="20"/>
  <c r="K36" i="24"/>
  <c r="A37" i="24"/>
  <c r="X36" i="24"/>
  <c r="AB36" i="24"/>
  <c r="AJ36" i="1"/>
  <c r="K36" i="1"/>
  <c r="AB36" i="1"/>
  <c r="L36" i="1"/>
  <c r="AK36" i="1"/>
  <c r="X36" i="1"/>
  <c r="K34" i="23"/>
  <c r="AB34" i="23"/>
  <c r="X34" i="23"/>
  <c r="A35" i="23"/>
  <c r="A36" i="15"/>
  <c r="AB35" i="15"/>
  <c r="X35" i="15"/>
  <c r="K35" i="15"/>
  <c r="AJ37" i="1"/>
  <c r="X37" i="1"/>
  <c r="AK37" i="1"/>
  <c r="AB37" i="1"/>
  <c r="K37" i="1"/>
  <c r="L37" i="1"/>
  <c r="K37" i="16"/>
  <c r="X37" i="16"/>
  <c r="A38" i="16"/>
  <c r="AB37" i="16"/>
  <c r="A37" i="15"/>
  <c r="AB36" i="15"/>
  <c r="X36" i="15"/>
  <c r="K36" i="15"/>
  <c r="A36" i="23"/>
  <c r="K35" i="23"/>
  <c r="AB35" i="23"/>
  <c r="X35" i="23"/>
  <c r="K37" i="24"/>
  <c r="AB37" i="24"/>
  <c r="A38" i="24"/>
  <c r="X37" i="24"/>
  <c r="X38" i="20"/>
  <c r="K38" i="20"/>
  <c r="AB38" i="20"/>
  <c r="A39" i="20"/>
  <c r="A37" i="25"/>
  <c r="AB36" i="25"/>
  <c r="X36" i="25"/>
  <c r="K36" i="25"/>
  <c r="K36" i="22"/>
  <c r="A37" i="22"/>
  <c r="X36" i="22"/>
  <c r="AB36" i="22"/>
  <c r="AB34" i="18"/>
  <c r="X34" i="18"/>
  <c r="K34" i="18"/>
  <c r="A35" i="18"/>
  <c r="A40" i="17"/>
  <c r="AB39" i="17"/>
  <c r="K39" i="17"/>
  <c r="X39" i="17"/>
  <c r="X40" i="17"/>
  <c r="K40" i="17"/>
  <c r="A41" i="17"/>
  <c r="AB40" i="17"/>
  <c r="AB35" i="18"/>
  <c r="K35" i="18"/>
  <c r="A36" i="18"/>
  <c r="X35" i="18"/>
  <c r="X38" i="16"/>
  <c r="AB38" i="16"/>
  <c r="K38" i="16"/>
  <c r="A39" i="16"/>
  <c r="K37" i="22"/>
  <c r="X37" i="22"/>
  <c r="AB37" i="22"/>
  <c r="A38" i="22"/>
  <c r="A38" i="25"/>
  <c r="X37" i="25"/>
  <c r="K37" i="25"/>
  <c r="AB37" i="25"/>
  <c r="AB39" i="20"/>
  <c r="K39" i="20"/>
  <c r="A40" i="20"/>
  <c r="X39" i="20"/>
  <c r="AB38" i="24"/>
  <c r="K38" i="24"/>
  <c r="X38" i="24"/>
  <c r="A39" i="24"/>
  <c r="X36" i="23"/>
  <c r="A37" i="23"/>
  <c r="K36" i="23"/>
  <c r="AB36" i="23"/>
  <c r="K37" i="15"/>
  <c r="X37" i="15"/>
  <c r="A38" i="15"/>
  <c r="AB37" i="15"/>
  <c r="AJ38" i="1"/>
  <c r="AB38" i="1"/>
  <c r="L38" i="1"/>
  <c r="X38" i="1"/>
  <c r="K38" i="1"/>
  <c r="AK38" i="1"/>
  <c r="A41" i="20"/>
  <c r="AB40" i="20"/>
  <c r="X40" i="20"/>
  <c r="K40" i="20"/>
  <c r="K38" i="22"/>
  <c r="AB38" i="22"/>
  <c r="A39" i="22"/>
  <c r="X38" i="22"/>
  <c r="A40" i="16"/>
  <c r="K39" i="16"/>
  <c r="AB39" i="16"/>
  <c r="X39" i="16"/>
  <c r="AB41" i="17"/>
  <c r="K41" i="17"/>
  <c r="A42" i="17"/>
  <c r="X41" i="17"/>
  <c r="AK39" i="1"/>
  <c r="K39" i="1"/>
  <c r="X39" i="1"/>
  <c r="L39" i="1"/>
  <c r="AJ39" i="1"/>
  <c r="AB39" i="1"/>
  <c r="A39" i="15"/>
  <c r="K38" i="15"/>
  <c r="X38" i="15"/>
  <c r="AB38" i="15"/>
  <c r="X37" i="23"/>
  <c r="AB37" i="23"/>
  <c r="K37" i="23"/>
  <c r="A38" i="23"/>
  <c r="A40" i="24"/>
  <c r="K39" i="24"/>
  <c r="AB39" i="24"/>
  <c r="X39" i="24"/>
  <c r="X38" i="25"/>
  <c r="AB38" i="25"/>
  <c r="K38" i="25"/>
  <c r="A39" i="25"/>
  <c r="X36" i="18"/>
  <c r="A37" i="18"/>
  <c r="K36" i="18"/>
  <c r="AB36" i="18"/>
  <c r="A40" i="25"/>
  <c r="K39" i="25"/>
  <c r="AB39" i="25"/>
  <c r="X39" i="25"/>
  <c r="K38" i="23"/>
  <c r="A39" i="23"/>
  <c r="AB38" i="23"/>
  <c r="X38" i="23"/>
  <c r="AB39" i="15"/>
  <c r="X39" i="15"/>
  <c r="K39" i="15"/>
  <c r="A40" i="15"/>
  <c r="AJ40" i="1"/>
  <c r="X40" i="1"/>
  <c r="K40" i="1"/>
  <c r="AK40" i="1"/>
  <c r="AB40" i="1"/>
  <c r="L40" i="1"/>
  <c r="AB40" i="16"/>
  <c r="A41" i="16"/>
  <c r="X40" i="16"/>
  <c r="K40" i="16"/>
  <c r="A42" i="20"/>
  <c r="X41" i="20"/>
  <c r="AB41" i="20"/>
  <c r="K41" i="20"/>
  <c r="X37" i="18"/>
  <c r="A38" i="18"/>
  <c r="AB37" i="18"/>
  <c r="K37" i="18"/>
  <c r="X40" i="24"/>
  <c r="A41" i="24"/>
  <c r="K40" i="24"/>
  <c r="AB40" i="24"/>
  <c r="A43" i="17"/>
  <c r="X42" i="17"/>
  <c r="K42" i="17"/>
  <c r="AB42" i="17"/>
  <c r="A40" i="22"/>
  <c r="K39" i="22"/>
  <c r="X39" i="22"/>
  <c r="AB39" i="22"/>
  <c r="K43" i="17"/>
  <c r="X43" i="17"/>
  <c r="A44" i="17"/>
  <c r="AB43" i="17"/>
  <c r="K41" i="24"/>
  <c r="A42" i="24"/>
  <c r="X41" i="24"/>
  <c r="AB41" i="24"/>
  <c r="A43" i="20"/>
  <c r="X42" i="20"/>
  <c r="AB42" i="20"/>
  <c r="K42" i="20"/>
  <c r="K41" i="16"/>
  <c r="X41" i="16"/>
  <c r="A42" i="16"/>
  <c r="AB41" i="16"/>
  <c r="AK41" i="1"/>
  <c r="X41" i="1"/>
  <c r="AB41" i="1"/>
  <c r="L41" i="1"/>
  <c r="AJ41" i="1"/>
  <c r="K41" i="1"/>
  <c r="X40" i="15"/>
  <c r="K40" i="15"/>
  <c r="A41" i="15"/>
  <c r="AB40" i="15"/>
  <c r="X39" i="23"/>
  <c r="A40" i="23"/>
  <c r="K39" i="23"/>
  <c r="AB39" i="23"/>
  <c r="AB40" i="25"/>
  <c r="A41" i="25"/>
  <c r="K40" i="25"/>
  <c r="X40" i="25"/>
  <c r="X40" i="22"/>
  <c r="A41" i="22"/>
  <c r="K40" i="22"/>
  <c r="AB40" i="22"/>
  <c r="A39" i="18"/>
  <c r="K38" i="18"/>
  <c r="X38" i="18"/>
  <c r="AB38" i="18"/>
  <c r="K39" i="18"/>
  <c r="A40" i="18"/>
  <c r="X39" i="18"/>
  <c r="AB39" i="18"/>
  <c r="K41" i="22"/>
  <c r="X41" i="22"/>
  <c r="A42" i="22"/>
  <c r="AB41" i="22"/>
  <c r="AB40" i="23"/>
  <c r="K40" i="23"/>
  <c r="X40" i="23"/>
  <c r="A41" i="23"/>
  <c r="K41" i="15"/>
  <c r="A42" i="15"/>
  <c r="AB41" i="15"/>
  <c r="X41" i="15"/>
  <c r="AB42" i="16"/>
  <c r="A43" i="16"/>
  <c r="X42" i="16"/>
  <c r="K42" i="16"/>
  <c r="A45" i="17"/>
  <c r="AB44" i="17"/>
  <c r="X44" i="17"/>
  <c r="K44" i="17"/>
  <c r="AB41" i="25"/>
  <c r="A42" i="25"/>
  <c r="X41" i="25"/>
  <c r="K41" i="25"/>
  <c r="AJ42" i="1"/>
  <c r="X42" i="1"/>
  <c r="K42" i="1"/>
  <c r="AK42" i="1"/>
  <c r="L42" i="1"/>
  <c r="AB42" i="1"/>
  <c r="X43" i="20"/>
  <c r="K43" i="20"/>
  <c r="AB43" i="20"/>
  <c r="A44" i="20"/>
  <c r="A43" i="24"/>
  <c r="K42" i="24"/>
  <c r="AB42" i="24"/>
  <c r="X42" i="24"/>
  <c r="A44" i="24"/>
  <c r="X43" i="24"/>
  <c r="K43" i="24"/>
  <c r="AB43" i="24"/>
  <c r="AB44" i="20"/>
  <c r="X44" i="20"/>
  <c r="A45" i="20"/>
  <c r="K44" i="20"/>
  <c r="AK43" i="1"/>
  <c r="AJ43" i="1"/>
  <c r="L43" i="1"/>
  <c r="K43" i="1"/>
  <c r="AB43" i="1"/>
  <c r="X43" i="1"/>
  <c r="A43" i="25"/>
  <c r="AB42" i="25"/>
  <c r="X42" i="25"/>
  <c r="K42" i="25"/>
  <c r="AB45" i="17"/>
  <c r="X45" i="17"/>
  <c r="A46" i="17"/>
  <c r="K45" i="17"/>
  <c r="K42" i="15"/>
  <c r="X42" i="15"/>
  <c r="AB42" i="15"/>
  <c r="A43" i="15"/>
  <c r="A41" i="18"/>
  <c r="AB40" i="18"/>
  <c r="K40" i="18"/>
  <c r="X40" i="18"/>
  <c r="K43" i="16"/>
  <c r="AB43" i="16"/>
  <c r="A44" i="16"/>
  <c r="X43" i="16"/>
  <c r="A42" i="23"/>
  <c r="X41" i="23"/>
  <c r="AB41" i="23"/>
  <c r="K41" i="23"/>
  <c r="AB42" i="22"/>
  <c r="X42" i="22"/>
  <c r="A43" i="22"/>
  <c r="K42" i="22"/>
  <c r="A43" i="23"/>
  <c r="X42" i="23"/>
  <c r="AB42" i="23"/>
  <c r="K42" i="23"/>
  <c r="A45" i="16"/>
  <c r="K44" i="16"/>
  <c r="AB44" i="16"/>
  <c r="X44" i="16"/>
  <c r="AB43" i="25"/>
  <c r="K43" i="25"/>
  <c r="X43" i="25"/>
  <c r="A44" i="25"/>
  <c r="AK44" i="1"/>
  <c r="AJ44" i="1"/>
  <c r="AB44" i="1"/>
  <c r="K44" i="1"/>
  <c r="L44" i="1"/>
  <c r="X44" i="1"/>
  <c r="A44" i="22"/>
  <c r="AB43" i="22"/>
  <c r="K43" i="22"/>
  <c r="X43" i="22"/>
  <c r="A42" i="18"/>
  <c r="AB41" i="18"/>
  <c r="K41" i="18"/>
  <c r="X41" i="18"/>
  <c r="A44" i="15"/>
  <c r="X43" i="15"/>
  <c r="K43" i="15"/>
  <c r="AB43" i="15"/>
  <c r="AB46" i="17"/>
  <c r="X46" i="17"/>
  <c r="K46" i="17"/>
  <c r="A47" i="17"/>
  <c r="K45" i="20"/>
  <c r="AB45" i="20"/>
  <c r="A46" i="20"/>
  <c r="X45" i="20"/>
  <c r="X44" i="24"/>
  <c r="AB44" i="24"/>
  <c r="A45" i="24"/>
  <c r="K44" i="24"/>
  <c r="K46" i="20"/>
  <c r="AB46" i="20"/>
  <c r="X46" i="20"/>
  <c r="A47" i="20"/>
  <c r="X47" i="17"/>
  <c r="A48" i="17"/>
  <c r="AB47" i="17"/>
  <c r="K47" i="17"/>
  <c r="L47" i="17"/>
  <c r="D47" i="17" s="1"/>
  <c r="X44" i="15"/>
  <c r="A45" i="15"/>
  <c r="AB44" i="15"/>
  <c r="K44" i="15"/>
  <c r="X42" i="18"/>
  <c r="K42" i="18"/>
  <c r="AB42" i="18"/>
  <c r="A43" i="18"/>
  <c r="A45" i="22"/>
  <c r="K44" i="22"/>
  <c r="X44" i="22"/>
  <c r="AB44" i="22"/>
  <c r="K45" i="16"/>
  <c r="A46" i="16"/>
  <c r="AB45" i="16"/>
  <c r="X45" i="16"/>
  <c r="A46" i="24"/>
  <c r="X45" i="24"/>
  <c r="K45" i="24"/>
  <c r="AB45" i="24"/>
  <c r="AK45" i="1"/>
  <c r="K45" i="1"/>
  <c r="X45" i="1"/>
  <c r="AB45" i="1"/>
  <c r="AJ45" i="1"/>
  <c r="L45" i="1"/>
  <c r="AB44" i="25"/>
  <c r="A45" i="25"/>
  <c r="X44" i="25"/>
  <c r="K44" i="25"/>
  <c r="A44" i="23"/>
  <c r="AB43" i="23"/>
  <c r="K43" i="23"/>
  <c r="X43" i="23"/>
  <c r="K44" i="23"/>
  <c r="A45" i="23"/>
  <c r="X44" i="23"/>
  <c r="AB44" i="23"/>
  <c r="X45" i="25"/>
  <c r="AB45" i="25"/>
  <c r="A46" i="25"/>
  <c r="K45" i="25"/>
  <c r="K46" i="16"/>
  <c r="X46" i="16"/>
  <c r="AB46" i="16"/>
  <c r="A47" i="16"/>
  <c r="K45" i="22"/>
  <c r="A46" i="22"/>
  <c r="AB45" i="22"/>
  <c r="X45" i="22"/>
  <c r="AK46" i="1"/>
  <c r="AB46" i="1"/>
  <c r="K46" i="1"/>
  <c r="X46" i="1"/>
  <c r="AJ46" i="1"/>
  <c r="L46" i="1"/>
  <c r="A47" i="24"/>
  <c r="K46" i="24"/>
  <c r="X46" i="24"/>
  <c r="AB46" i="24"/>
  <c r="A44" i="18"/>
  <c r="AB43" i="18"/>
  <c r="X43" i="18"/>
  <c r="K43" i="18"/>
  <c r="X45" i="15"/>
  <c r="AB45" i="15"/>
  <c r="K45" i="15"/>
  <c r="A46" i="15"/>
  <c r="X48" i="17"/>
  <c r="A49" i="17"/>
  <c r="K48" i="17"/>
  <c r="AB48" i="17"/>
  <c r="A48" i="20"/>
  <c r="K47" i="20"/>
  <c r="AB47" i="20"/>
  <c r="X47" i="20"/>
  <c r="X46" i="15"/>
  <c r="AB46" i="15"/>
  <c r="K46" i="15"/>
  <c r="A47" i="15"/>
  <c r="X47" i="24"/>
  <c r="K47" i="24"/>
  <c r="A48" i="24"/>
  <c r="AB47" i="24"/>
  <c r="AJ47" i="1"/>
  <c r="K47" i="1"/>
  <c r="AB47" i="1"/>
  <c r="X47" i="1"/>
  <c r="AK47" i="1"/>
  <c r="L47" i="1"/>
  <c r="AB46" i="22"/>
  <c r="A47" i="22"/>
  <c r="K46" i="22"/>
  <c r="X46" i="22"/>
  <c r="X47" i="16"/>
  <c r="K47" i="16"/>
  <c r="L47" i="16"/>
  <c r="A48" i="16"/>
  <c r="AB47" i="16"/>
  <c r="AB45" i="23"/>
  <c r="X45" i="23"/>
  <c r="A46" i="23"/>
  <c r="K45" i="23"/>
  <c r="AB48" i="20"/>
  <c r="X48" i="20"/>
  <c r="A49" i="20"/>
  <c r="K48" i="20"/>
  <c r="AB49" i="17"/>
  <c r="A50" i="17"/>
  <c r="K49" i="17"/>
  <c r="L49" i="17"/>
  <c r="D49" i="17" s="1"/>
  <c r="X49" i="17"/>
  <c r="AB44" i="18"/>
  <c r="X44" i="18"/>
  <c r="K44" i="18"/>
  <c r="A45" i="18"/>
  <c r="A47" i="25"/>
  <c r="K46" i="25"/>
  <c r="AB46" i="25"/>
  <c r="X46" i="25"/>
  <c r="X45" i="18"/>
  <c r="A46" i="18"/>
  <c r="AB45" i="18"/>
  <c r="K45" i="18"/>
  <c r="A51" i="17"/>
  <c r="X50" i="17"/>
  <c r="K50" i="17"/>
  <c r="AB50" i="17"/>
  <c r="A50" i="20"/>
  <c r="AB49" i="20"/>
  <c r="X49" i="20"/>
  <c r="K49" i="20"/>
  <c r="K46" i="23"/>
  <c r="AB46" i="23"/>
  <c r="A47" i="23"/>
  <c r="X46" i="23"/>
  <c r="D47" i="16"/>
  <c r="AB47" i="22"/>
  <c r="K47" i="22"/>
  <c r="A48" i="22"/>
  <c r="X47" i="22"/>
  <c r="AK48" i="1"/>
  <c r="AB48" i="1"/>
  <c r="L48" i="1"/>
  <c r="K48" i="1"/>
  <c r="AJ48" i="1"/>
  <c r="X48" i="1"/>
  <c r="K47" i="25"/>
  <c r="A48" i="25"/>
  <c r="X47" i="25"/>
  <c r="AB47" i="25"/>
  <c r="A49" i="16"/>
  <c r="X48" i="16"/>
  <c r="AB48" i="16"/>
  <c r="K48" i="16"/>
  <c r="K48" i="24"/>
  <c r="A49" i="24"/>
  <c r="X48" i="24"/>
  <c r="AB48" i="24"/>
  <c r="AB47" i="15"/>
  <c r="K47" i="15"/>
  <c r="A48" i="15"/>
  <c r="X47" i="15"/>
  <c r="AB48" i="15"/>
  <c r="X48" i="15"/>
  <c r="A49" i="15"/>
  <c r="K48" i="15"/>
  <c r="A50" i="24"/>
  <c r="AB49" i="24"/>
  <c r="K49" i="24"/>
  <c r="X49" i="24"/>
  <c r="X49" i="16"/>
  <c r="K49" i="16"/>
  <c r="A50" i="16"/>
  <c r="AB49" i="16"/>
  <c r="A49" i="25"/>
  <c r="AB48" i="25"/>
  <c r="K48" i="25"/>
  <c r="X48" i="25"/>
  <c r="AK49" i="1"/>
  <c r="X49" i="1"/>
  <c r="L49" i="1"/>
  <c r="K49" i="1"/>
  <c r="AJ49" i="1"/>
  <c r="AB49" i="1"/>
  <c r="AB51" i="17"/>
  <c r="K51" i="17"/>
  <c r="X51" i="17"/>
  <c r="A52" i="17"/>
  <c r="A49" i="22"/>
  <c r="X48" i="22"/>
  <c r="K48" i="22"/>
  <c r="AB48" i="22"/>
  <c r="X47" i="23"/>
  <c r="AB47" i="23"/>
  <c r="K47" i="23"/>
  <c r="A48" i="23"/>
  <c r="X50" i="20"/>
  <c r="AB50" i="20"/>
  <c r="K50" i="20"/>
  <c r="A51" i="20"/>
  <c r="AB46" i="18"/>
  <c r="A47" i="18"/>
  <c r="K46" i="18"/>
  <c r="X46" i="18"/>
  <c r="X52" i="17"/>
  <c r="K52" i="17"/>
  <c r="AB52" i="17"/>
  <c r="A53" i="17"/>
  <c r="AK50" i="1"/>
  <c r="L50" i="1"/>
  <c r="X50" i="1"/>
  <c r="K50" i="1"/>
  <c r="AJ50" i="1"/>
  <c r="AB50" i="1"/>
  <c r="X50" i="24"/>
  <c r="AB50" i="24"/>
  <c r="A51" i="24"/>
  <c r="K50" i="24"/>
  <c r="A48" i="18"/>
  <c r="AB47" i="18"/>
  <c r="K47" i="18"/>
  <c r="X47" i="18"/>
  <c r="A52" i="20"/>
  <c r="K51" i="20"/>
  <c r="AB51" i="20"/>
  <c r="X51" i="20"/>
  <c r="K48" i="23"/>
  <c r="AB48" i="23"/>
  <c r="A49" i="23"/>
  <c r="X48" i="23"/>
  <c r="K49" i="22"/>
  <c r="X49" i="22"/>
  <c r="AB49" i="22"/>
  <c r="A50" i="22"/>
  <c r="X49" i="25"/>
  <c r="A50" i="25"/>
  <c r="AB49" i="25"/>
  <c r="K49" i="25"/>
  <c r="K50" i="16"/>
  <c r="AB50" i="16"/>
  <c r="X50" i="16"/>
  <c r="A51" i="16"/>
  <c r="X49" i="15"/>
  <c r="A50" i="15"/>
  <c r="K49" i="15"/>
  <c r="AB49" i="15"/>
  <c r="AB50" i="25"/>
  <c r="A51" i="25"/>
  <c r="K50" i="25"/>
  <c r="X50" i="25"/>
  <c r="AB51" i="16"/>
  <c r="K51" i="16"/>
  <c r="A52" i="16"/>
  <c r="X51" i="16"/>
  <c r="K52" i="20"/>
  <c r="X52" i="20"/>
  <c r="AB52" i="20"/>
  <c r="A53" i="20"/>
  <c r="AB48" i="18"/>
  <c r="A49" i="18"/>
  <c r="X48" i="18"/>
  <c r="K48" i="18"/>
  <c r="X51" i="24"/>
  <c r="A52" i="24"/>
  <c r="K51" i="24"/>
  <c r="AB51" i="24"/>
  <c r="K51" i="1"/>
  <c r="AB51" i="1"/>
  <c r="AK51" i="1"/>
  <c r="AJ51" i="1"/>
  <c r="L51" i="1"/>
  <c r="X51" i="1"/>
  <c r="A54" i="17"/>
  <c r="X53" i="17"/>
  <c r="K53" i="17"/>
  <c r="AB53" i="17"/>
  <c r="K50" i="15"/>
  <c r="AB50" i="15"/>
  <c r="A51" i="15"/>
  <c r="X50" i="15"/>
  <c r="AB50" i="22"/>
  <c r="K50" i="22"/>
  <c r="A51" i="22"/>
  <c r="X50" i="22"/>
  <c r="X49" i="23"/>
  <c r="AB49" i="23"/>
  <c r="A50" i="23"/>
  <c r="K49" i="23"/>
  <c r="AB51" i="22"/>
  <c r="K51" i="22"/>
  <c r="X51" i="22"/>
  <c r="A52" i="22"/>
  <c r="A55" i="17"/>
  <c r="X54" i="17"/>
  <c r="K54" i="17"/>
  <c r="AB54" i="17"/>
  <c r="A50" i="18"/>
  <c r="AB49" i="18"/>
  <c r="X49" i="18"/>
  <c r="K49" i="18"/>
  <c r="AB51" i="25"/>
  <c r="K51" i="25"/>
  <c r="X51" i="25"/>
  <c r="A52" i="25"/>
  <c r="X50" i="23"/>
  <c r="K50" i="23"/>
  <c r="A51" i="23"/>
  <c r="AB50" i="23"/>
  <c r="A52" i="15"/>
  <c r="AB51" i="15"/>
  <c r="X51" i="15"/>
  <c r="K51" i="15"/>
  <c r="AJ52" i="1"/>
  <c r="X52" i="1"/>
  <c r="L52" i="1"/>
  <c r="AK52" i="1"/>
  <c r="AB52" i="1"/>
  <c r="K52" i="1"/>
  <c r="K52" i="24"/>
  <c r="A53" i="24"/>
  <c r="AB52" i="24"/>
  <c r="X52" i="24"/>
  <c r="K53" i="20"/>
  <c r="AB53" i="20"/>
  <c r="X53" i="20"/>
  <c r="A54" i="20"/>
  <c r="K52" i="16"/>
  <c r="AB52" i="16"/>
  <c r="X52" i="16"/>
  <c r="A53" i="16"/>
  <c r="K54" i="20"/>
  <c r="AB54" i="20"/>
  <c r="X54" i="20"/>
  <c r="A55" i="20"/>
  <c r="AB53" i="24"/>
  <c r="K53" i="24"/>
  <c r="A54" i="24"/>
  <c r="X53" i="24"/>
  <c r="A52" i="23"/>
  <c r="AB51" i="23"/>
  <c r="K51" i="23"/>
  <c r="X51" i="23"/>
  <c r="AB52" i="25"/>
  <c r="A53" i="25"/>
  <c r="K52" i="25"/>
  <c r="X52" i="25"/>
  <c r="K50" i="18"/>
  <c r="X50" i="18"/>
  <c r="A51" i="18"/>
  <c r="AB50" i="18"/>
  <c r="X53" i="16"/>
  <c r="A54" i="16"/>
  <c r="K53" i="16"/>
  <c r="AB53" i="16"/>
  <c r="AK53" i="1"/>
  <c r="X53" i="1"/>
  <c r="L53" i="1"/>
  <c r="AJ53" i="1"/>
  <c r="K53" i="1"/>
  <c r="AB53" i="1"/>
  <c r="AB52" i="15"/>
  <c r="A53" i="15"/>
  <c r="X52" i="15"/>
  <c r="K52" i="15"/>
  <c r="AB55" i="17"/>
  <c r="A56" i="17"/>
  <c r="X55" i="17"/>
  <c r="K55" i="17"/>
  <c r="A53" i="22"/>
  <c r="K52" i="22"/>
  <c r="AB52" i="22"/>
  <c r="X52" i="22"/>
  <c r="AB53" i="22"/>
  <c r="K53" i="22"/>
  <c r="X53" i="22"/>
  <c r="A54" i="22"/>
  <c r="A55" i="16"/>
  <c r="K54" i="16"/>
  <c r="X54" i="16"/>
  <c r="AB54" i="16"/>
  <c r="X51" i="18"/>
  <c r="AB51" i="18"/>
  <c r="A52" i="18"/>
  <c r="K51" i="18"/>
  <c r="K53" i="25"/>
  <c r="AB53" i="25"/>
  <c r="X53" i="25"/>
  <c r="A54" i="25"/>
  <c r="X52" i="23"/>
  <c r="AB52" i="23"/>
  <c r="A53" i="23"/>
  <c r="K52" i="23"/>
  <c r="K56" i="17"/>
  <c r="A57" i="17"/>
  <c r="X56" i="17"/>
  <c r="AB56" i="17"/>
  <c r="X53" i="15"/>
  <c r="A54" i="15"/>
  <c r="K53" i="15"/>
  <c r="AB53" i="15"/>
  <c r="AK54" i="1"/>
  <c r="AB54" i="1"/>
  <c r="X54" i="1"/>
  <c r="AJ54" i="1"/>
  <c r="K54" i="1"/>
  <c r="L54" i="1"/>
  <c r="K54" i="24"/>
  <c r="A55" i="24"/>
  <c r="AB54" i="24"/>
  <c r="X54" i="24"/>
  <c r="A56" i="20"/>
  <c r="AB55" i="20"/>
  <c r="X55" i="20"/>
  <c r="K55" i="20"/>
  <c r="A57" i="20"/>
  <c r="AB56" i="20"/>
  <c r="X56" i="20"/>
  <c r="K56" i="20"/>
  <c r="X55" i="24"/>
  <c r="AB55" i="24"/>
  <c r="K55" i="24"/>
  <c r="A56" i="24"/>
  <c r="AK55" i="1"/>
  <c r="AJ55" i="1"/>
  <c r="L55" i="1"/>
  <c r="AB55" i="1"/>
  <c r="K55" i="1"/>
  <c r="X55" i="1"/>
  <c r="K54" i="15"/>
  <c r="AB54" i="15"/>
  <c r="A55" i="15"/>
  <c r="X54" i="15"/>
  <c r="A58" i="17"/>
  <c r="K57" i="17"/>
  <c r="X57" i="17"/>
  <c r="AB57" i="17"/>
  <c r="X54" i="22"/>
  <c r="A55" i="22"/>
  <c r="K54" i="22"/>
  <c r="AB54" i="22"/>
  <c r="AB53" i="23"/>
  <c r="X53" i="23"/>
  <c r="K53" i="23"/>
  <c r="A54" i="23"/>
  <c r="A55" i="25"/>
  <c r="K54" i="25"/>
  <c r="X54" i="25"/>
  <c r="AB54" i="25"/>
  <c r="K52" i="18"/>
  <c r="AB52" i="18"/>
  <c r="X52" i="18"/>
  <c r="A53" i="18"/>
  <c r="X55" i="16"/>
  <c r="AB55" i="16"/>
  <c r="K55" i="16"/>
  <c r="A56" i="16"/>
  <c r="A57" i="16"/>
  <c r="AB56" i="16"/>
  <c r="X56" i="16"/>
  <c r="K56" i="16"/>
  <c r="K55" i="25"/>
  <c r="AB55" i="25"/>
  <c r="X55" i="25"/>
  <c r="A56" i="25"/>
  <c r="K54" i="23"/>
  <c r="AB54" i="23"/>
  <c r="A55" i="23"/>
  <c r="X54" i="23"/>
  <c r="K55" i="22"/>
  <c r="X55" i="22"/>
  <c r="A56" i="22"/>
  <c r="AB55" i="22"/>
  <c r="K57" i="20"/>
  <c r="A58" i="20"/>
  <c r="AB57" i="20"/>
  <c r="X57" i="20"/>
  <c r="AB53" i="18"/>
  <c r="X53" i="18"/>
  <c r="A54" i="18"/>
  <c r="K53" i="18"/>
  <c r="K58" i="17"/>
  <c r="A59" i="17"/>
  <c r="AB58" i="17"/>
  <c r="X58" i="17"/>
  <c r="K55" i="15"/>
  <c r="AB55" i="15"/>
  <c r="A56" i="15"/>
  <c r="X55" i="15"/>
  <c r="AK56" i="1"/>
  <c r="X56" i="1"/>
  <c r="L56" i="1"/>
  <c r="AJ56" i="1"/>
  <c r="AB56" i="1"/>
  <c r="K56" i="1"/>
  <c r="AB56" i="24"/>
  <c r="A57" i="24"/>
  <c r="K56" i="24"/>
  <c r="X56" i="24"/>
  <c r="A58" i="24"/>
  <c r="X57" i="24"/>
  <c r="K57" i="24"/>
  <c r="AB57" i="24"/>
  <c r="AB56" i="15"/>
  <c r="K56" i="15"/>
  <c r="X56" i="15"/>
  <c r="A57" i="15"/>
  <c r="K55" i="23"/>
  <c r="AB55" i="23"/>
  <c r="X55" i="23"/>
  <c r="A56" i="23"/>
  <c r="L57" i="1"/>
  <c r="X57" i="1"/>
  <c r="AK57" i="1"/>
  <c r="AJ57" i="1"/>
  <c r="AB57" i="1"/>
  <c r="K57" i="1"/>
  <c r="K59" i="17"/>
  <c r="AB59" i="17"/>
  <c r="A60" i="17"/>
  <c r="X59" i="17"/>
  <c r="X54" i="18"/>
  <c r="AB54" i="18"/>
  <c r="A55" i="18"/>
  <c r="K54" i="18"/>
  <c r="K58" i="20"/>
  <c r="A59" i="20"/>
  <c r="X58" i="20"/>
  <c r="AB58" i="20"/>
  <c r="A57" i="22"/>
  <c r="AB56" i="22"/>
  <c r="K56" i="22"/>
  <c r="X56" i="22"/>
  <c r="K56" i="25"/>
  <c r="X56" i="25"/>
  <c r="AB56" i="25"/>
  <c r="A57" i="25"/>
  <c r="A58" i="16"/>
  <c r="X57" i="16"/>
  <c r="AB57" i="16"/>
  <c r="K57" i="16"/>
  <c r="K59" i="20"/>
  <c r="A60" i="20"/>
  <c r="AB59" i="20"/>
  <c r="X59" i="20"/>
  <c r="AB58" i="16"/>
  <c r="X58" i="16"/>
  <c r="K58" i="16"/>
  <c r="A59" i="16"/>
  <c r="X57" i="25"/>
  <c r="K57" i="25"/>
  <c r="A58" i="25"/>
  <c r="AB57" i="25"/>
  <c r="X57" i="22"/>
  <c r="AB57" i="22"/>
  <c r="K57" i="22"/>
  <c r="A58" i="22"/>
  <c r="X55" i="18"/>
  <c r="A56" i="18"/>
  <c r="AB55" i="18"/>
  <c r="K55" i="18"/>
  <c r="K60" i="17"/>
  <c r="A57" i="7"/>
  <c r="A61" i="17"/>
  <c r="AB60" i="17"/>
  <c r="X60" i="17"/>
  <c r="AJ58" i="1"/>
  <c r="K58" i="1"/>
  <c r="X58" i="1"/>
  <c r="AK58" i="1"/>
  <c r="L58" i="1"/>
  <c r="AB58" i="1"/>
  <c r="A57" i="23"/>
  <c r="X56" i="23"/>
  <c r="AB56" i="23"/>
  <c r="K56" i="23"/>
  <c r="A58" i="15"/>
  <c r="AB57" i="15"/>
  <c r="K57" i="15"/>
  <c r="X57" i="15"/>
  <c r="AB58" i="24"/>
  <c r="X58" i="24"/>
  <c r="K58" i="24"/>
  <c r="A59" i="24"/>
  <c r="AB61" i="17"/>
  <c r="K61" i="17"/>
  <c r="L61" i="17"/>
  <c r="D61" i="17" s="1"/>
  <c r="A62" i="17"/>
  <c r="X61" i="17"/>
  <c r="AB56" i="18"/>
  <c r="K56" i="18"/>
  <c r="X56" i="18"/>
  <c r="A57" i="18"/>
  <c r="K59" i="16"/>
  <c r="AB59" i="16"/>
  <c r="X59" i="16"/>
  <c r="A60" i="16"/>
  <c r="A61" i="20"/>
  <c r="X60" i="20"/>
  <c r="AB60" i="20"/>
  <c r="AE21" i="7"/>
  <c r="K60" i="20"/>
  <c r="X59" i="24"/>
  <c r="A60" i="24"/>
  <c r="AB59" i="24"/>
  <c r="K59" i="24"/>
  <c r="K58" i="15"/>
  <c r="A59" i="15"/>
  <c r="AB58" i="15"/>
  <c r="X58" i="15"/>
  <c r="AB57" i="23"/>
  <c r="A58" i="23"/>
  <c r="X57" i="23"/>
  <c r="K57" i="23"/>
  <c r="K59" i="1"/>
  <c r="AB59" i="1"/>
  <c r="AK59" i="1"/>
  <c r="AJ59" i="1"/>
  <c r="L59" i="1"/>
  <c r="X59" i="1"/>
  <c r="A59" i="22"/>
  <c r="K58" i="22"/>
  <c r="X58" i="22"/>
  <c r="AB58" i="22"/>
  <c r="X58" i="25"/>
  <c r="A59" i="25"/>
  <c r="AB58" i="25"/>
  <c r="K58" i="25"/>
  <c r="K59" i="25"/>
  <c r="A60" i="25"/>
  <c r="X59" i="25"/>
  <c r="AB59" i="25"/>
  <c r="AB59" i="22"/>
  <c r="X59" i="22"/>
  <c r="A60" i="22"/>
  <c r="K59" i="22"/>
  <c r="AJ60" i="1"/>
  <c r="K60" i="1"/>
  <c r="A21" i="7"/>
  <c r="AK60" i="1"/>
  <c r="X60" i="1"/>
  <c r="AB60" i="1"/>
  <c r="L60" i="1"/>
  <c r="B21" i="7" s="1"/>
  <c r="A59" i="23"/>
  <c r="X58" i="23"/>
  <c r="K58" i="23"/>
  <c r="AB58" i="23"/>
  <c r="A61" i="24"/>
  <c r="K60" i="24"/>
  <c r="AE57" i="7"/>
  <c r="X60" i="24"/>
  <c r="AB60" i="24"/>
  <c r="A62" i="20"/>
  <c r="K61" i="20"/>
  <c r="X61" i="20"/>
  <c r="AB61" i="20"/>
  <c r="A61" i="16"/>
  <c r="K60" i="16"/>
  <c r="A45" i="7"/>
  <c r="AB60" i="16"/>
  <c r="X60" i="16"/>
  <c r="X62" i="17"/>
  <c r="K62" i="17"/>
  <c r="A63" i="17"/>
  <c r="AB62" i="17"/>
  <c r="A60" i="15"/>
  <c r="X59" i="15"/>
  <c r="AB59" i="15"/>
  <c r="K59" i="15"/>
  <c r="AB57" i="18"/>
  <c r="X57" i="18"/>
  <c r="K57" i="18"/>
  <c r="A58" i="18"/>
  <c r="A64" i="17"/>
  <c r="K63" i="17"/>
  <c r="AB63" i="17"/>
  <c r="X63" i="17"/>
  <c r="A62" i="16"/>
  <c r="X61" i="16"/>
  <c r="AB61" i="16"/>
  <c r="K61" i="16"/>
  <c r="X62" i="20"/>
  <c r="A63" i="20"/>
  <c r="K62" i="20"/>
  <c r="AB62" i="20"/>
  <c r="K59" i="23"/>
  <c r="X59" i="23"/>
  <c r="A60" i="23"/>
  <c r="AB59" i="23"/>
  <c r="AE69" i="7"/>
  <c r="K60" i="25"/>
  <c r="A61" i="25"/>
  <c r="AB60" i="25"/>
  <c r="X60" i="25"/>
  <c r="AB58" i="18"/>
  <c r="X58" i="18"/>
  <c r="K58" i="18"/>
  <c r="A59" i="18"/>
  <c r="X60" i="15"/>
  <c r="K60" i="15"/>
  <c r="A61" i="15"/>
  <c r="AB60" i="15"/>
  <c r="A33" i="7"/>
  <c r="AB61" i="24"/>
  <c r="A62" i="24"/>
  <c r="X61" i="24"/>
  <c r="K61" i="24"/>
  <c r="AK61" i="1"/>
  <c r="AJ61" i="1"/>
  <c r="AB61" i="1"/>
  <c r="X61" i="1"/>
  <c r="K61" i="1"/>
  <c r="L61" i="1"/>
  <c r="AE33" i="7"/>
  <c r="X60" i="22"/>
  <c r="AB60" i="22"/>
  <c r="K60" i="22"/>
  <c r="A61" i="22"/>
  <c r="A62" i="22"/>
  <c r="X61" i="22"/>
  <c r="AB61" i="22"/>
  <c r="K61" i="22"/>
  <c r="AB62" i="24"/>
  <c r="K62" i="24"/>
  <c r="A63" i="24"/>
  <c r="X62" i="24"/>
  <c r="AB61" i="15"/>
  <c r="L61" i="15"/>
  <c r="D61" i="15" s="1"/>
  <c r="A62" i="15"/>
  <c r="X61" i="15"/>
  <c r="K61" i="15"/>
  <c r="A60" i="18"/>
  <c r="K59" i="18"/>
  <c r="AB59" i="18"/>
  <c r="X59" i="18"/>
  <c r="A64" i="20"/>
  <c r="AB63" i="20"/>
  <c r="K63" i="20"/>
  <c r="X63" i="20"/>
  <c r="AK62" i="1"/>
  <c r="L62" i="1"/>
  <c r="K62" i="1"/>
  <c r="AJ62" i="1"/>
  <c r="X62" i="1"/>
  <c r="AB62" i="1"/>
  <c r="AB61" i="25"/>
  <c r="X61" i="25"/>
  <c r="K61" i="25"/>
  <c r="A62" i="25"/>
  <c r="K60" i="23"/>
  <c r="AB60" i="23"/>
  <c r="A61" i="23"/>
  <c r="AE45" i="7"/>
  <c r="X60" i="23"/>
  <c r="K62" i="16"/>
  <c r="X62" i="16"/>
  <c r="A63" i="16"/>
  <c r="AB62" i="16"/>
  <c r="A65" i="17"/>
  <c r="K64" i="17"/>
  <c r="AB64" i="17"/>
  <c r="X64" i="17"/>
  <c r="X65" i="17"/>
  <c r="AB65" i="17"/>
  <c r="K65" i="17"/>
  <c r="A66" i="17"/>
  <c r="X62" i="25"/>
  <c r="A63" i="25"/>
  <c r="K62" i="25"/>
  <c r="AB62" i="25"/>
  <c r="AK63" i="1"/>
  <c r="X63" i="1"/>
  <c r="L63" i="1"/>
  <c r="AJ63" i="1"/>
  <c r="AB63" i="1"/>
  <c r="K63" i="1"/>
  <c r="A61" i="18"/>
  <c r="X60" i="18"/>
  <c r="K60" i="18"/>
  <c r="A69" i="7"/>
  <c r="AB60" i="18"/>
  <c r="X62" i="15"/>
  <c r="AB62" i="15"/>
  <c r="K62" i="15"/>
  <c r="A63" i="15"/>
  <c r="A64" i="24"/>
  <c r="X63" i="24"/>
  <c r="AB63" i="24"/>
  <c r="K63" i="24"/>
  <c r="K63" i="16"/>
  <c r="A64" i="16"/>
  <c r="X63" i="16"/>
  <c r="AB63" i="16"/>
  <c r="X61" i="23"/>
  <c r="AB61" i="23"/>
  <c r="K61" i="23"/>
  <c r="A62" i="23"/>
  <c r="K64" i="20"/>
  <c r="AB64" i="20"/>
  <c r="X64" i="20"/>
  <c r="A65" i="20"/>
  <c r="K62" i="22"/>
  <c r="AB62" i="22"/>
  <c r="A63" i="22"/>
  <c r="X62" i="22"/>
  <c r="AB64" i="16"/>
  <c r="A65" i="16"/>
  <c r="K64" i="16"/>
  <c r="X64" i="16"/>
  <c r="X63" i="25"/>
  <c r="K63" i="25"/>
  <c r="AB63" i="25"/>
  <c r="A64" i="25"/>
  <c r="AB63" i="22"/>
  <c r="K63" i="22"/>
  <c r="X63" i="22"/>
  <c r="A64" i="22"/>
  <c r="A66" i="20"/>
  <c r="K65" i="20"/>
  <c r="AB65" i="20"/>
  <c r="X65" i="20"/>
  <c r="K62" i="23"/>
  <c r="X62" i="23"/>
  <c r="A63" i="23"/>
  <c r="AB62" i="23"/>
  <c r="A65" i="24"/>
  <c r="AB64" i="24"/>
  <c r="K64" i="24"/>
  <c r="X64" i="24"/>
  <c r="K63" i="15"/>
  <c r="AB63" i="15"/>
  <c r="X63" i="15"/>
  <c r="A64" i="15"/>
  <c r="AB61" i="18"/>
  <c r="K61" i="18"/>
  <c r="X61" i="18"/>
  <c r="A62" i="18"/>
  <c r="AK64" i="1"/>
  <c r="K64" i="1"/>
  <c r="L64" i="1"/>
  <c r="AJ64" i="1"/>
  <c r="AB64" i="1"/>
  <c r="X64" i="1"/>
  <c r="K66" i="17"/>
  <c r="A67" i="17"/>
  <c r="X66" i="17"/>
  <c r="AB66" i="17"/>
  <c r="AK65" i="1"/>
  <c r="K65" i="1"/>
  <c r="AJ65" i="1"/>
  <c r="X65" i="1"/>
  <c r="L65" i="1"/>
  <c r="AB65" i="1"/>
  <c r="K62" i="18"/>
  <c r="X62" i="18"/>
  <c r="AB62" i="18"/>
  <c r="A63" i="18"/>
  <c r="K64" i="15"/>
  <c r="X64" i="15"/>
  <c r="A65" i="15"/>
  <c r="AB64" i="15"/>
  <c r="X63" i="23"/>
  <c r="AB63" i="23"/>
  <c r="A64" i="23"/>
  <c r="K63" i="23"/>
  <c r="X64" i="22"/>
  <c r="AB64" i="22"/>
  <c r="K64" i="22"/>
  <c r="A65" i="22"/>
  <c r="A66" i="16"/>
  <c r="X65" i="16"/>
  <c r="AB65" i="16"/>
  <c r="K65" i="16"/>
  <c r="AB67" i="17"/>
  <c r="K67" i="17"/>
  <c r="A68" i="17"/>
  <c r="X67" i="17"/>
  <c r="X65" i="24"/>
  <c r="AB65" i="24"/>
  <c r="K65" i="24"/>
  <c r="A66" i="24"/>
  <c r="K66" i="20"/>
  <c r="AB66" i="20"/>
  <c r="A67" i="20"/>
  <c r="X66" i="20"/>
  <c r="AB64" i="25"/>
  <c r="K64" i="25"/>
  <c r="A65" i="25"/>
  <c r="X64" i="25"/>
  <c r="AB66" i="16"/>
  <c r="A67" i="16"/>
  <c r="K66" i="16"/>
  <c r="X66" i="16"/>
  <c r="AB65" i="25"/>
  <c r="K65" i="25"/>
  <c r="X65" i="25"/>
  <c r="A66" i="25"/>
  <c r="A68" i="20"/>
  <c r="K67" i="20"/>
  <c r="X67" i="20"/>
  <c r="AB67" i="20"/>
  <c r="K66" i="24"/>
  <c r="A67" i="24"/>
  <c r="AB66" i="24"/>
  <c r="X66" i="24"/>
  <c r="A69" i="17"/>
  <c r="K68" i="17"/>
  <c r="X68" i="17"/>
  <c r="AB68" i="17"/>
  <c r="A66" i="22"/>
  <c r="AB65" i="22"/>
  <c r="K65" i="22"/>
  <c r="X65" i="22"/>
  <c r="K64" i="23"/>
  <c r="A65" i="23"/>
  <c r="X64" i="23"/>
  <c r="AB64" i="23"/>
  <c r="AB65" i="15"/>
  <c r="A66" i="15"/>
  <c r="X65" i="15"/>
  <c r="K65" i="15"/>
  <c r="A64" i="18"/>
  <c r="AB63" i="18"/>
  <c r="X63" i="18"/>
  <c r="K63" i="18"/>
  <c r="AK66" i="1"/>
  <c r="K66" i="1"/>
  <c r="X66" i="1"/>
  <c r="AJ66" i="1"/>
  <c r="AB66" i="1"/>
  <c r="L66" i="1"/>
  <c r="A66" i="23"/>
  <c r="AB65" i="23"/>
  <c r="X65" i="23"/>
  <c r="K65" i="23"/>
  <c r="A67" i="22"/>
  <c r="X66" i="22"/>
  <c r="AB66" i="22"/>
  <c r="K66" i="22"/>
  <c r="AB69" i="17"/>
  <c r="X69" i="17"/>
  <c r="K69" i="17"/>
  <c r="A70" i="17"/>
  <c r="X67" i="24"/>
  <c r="AB67" i="24"/>
  <c r="K67" i="24"/>
  <c r="A68" i="24"/>
  <c r="X67" i="16"/>
  <c r="K67" i="16"/>
  <c r="A68" i="16"/>
  <c r="AB67" i="16"/>
  <c r="K67" i="1"/>
  <c r="X67" i="1"/>
  <c r="AK67" i="1"/>
  <c r="AJ67" i="1"/>
  <c r="L67" i="1"/>
  <c r="AB67" i="1"/>
  <c r="A65" i="18"/>
  <c r="X64" i="18"/>
  <c r="K64" i="18"/>
  <c r="AB64" i="18"/>
  <c r="X66" i="15"/>
  <c r="AB66" i="15"/>
  <c r="A67" i="15"/>
  <c r="K66" i="15"/>
  <c r="AB68" i="20"/>
  <c r="K68" i="20"/>
  <c r="A69" i="20"/>
  <c r="X68" i="20"/>
  <c r="K66" i="25"/>
  <c r="A67" i="25"/>
  <c r="AB66" i="25"/>
  <c r="X66" i="25"/>
  <c r="K67" i="15"/>
  <c r="X67" i="15"/>
  <c r="A68" i="15"/>
  <c r="AB67" i="15"/>
  <c r="K65" i="18"/>
  <c r="A66" i="18"/>
  <c r="AB65" i="18"/>
  <c r="X65" i="18"/>
  <c r="AK68" i="1"/>
  <c r="L68" i="1"/>
  <c r="AB68" i="1"/>
  <c r="AJ68" i="1"/>
  <c r="X68" i="1"/>
  <c r="K68" i="1"/>
  <c r="K68" i="24"/>
  <c r="AB68" i="24"/>
  <c r="X68" i="24"/>
  <c r="A69" i="24"/>
  <c r="K70" i="17"/>
  <c r="X70" i="17"/>
  <c r="A71" i="17"/>
  <c r="AB70" i="17"/>
  <c r="X67" i="22"/>
  <c r="K67" i="22"/>
  <c r="AB67" i="22"/>
  <c r="A68" i="22"/>
  <c r="K67" i="25"/>
  <c r="X67" i="25"/>
  <c r="AB67" i="25"/>
  <c r="A68" i="25"/>
  <c r="A70" i="20"/>
  <c r="K69" i="20"/>
  <c r="AB69" i="20"/>
  <c r="X69" i="20"/>
  <c r="A69" i="16"/>
  <c r="AB68" i="16"/>
  <c r="X68" i="16"/>
  <c r="K68" i="16"/>
  <c r="A67" i="23"/>
  <c r="X66" i="23"/>
  <c r="K66" i="23"/>
  <c r="AB66" i="23"/>
  <c r="K70" i="20"/>
  <c r="A71" i="20"/>
  <c r="X70" i="20"/>
  <c r="AB70" i="20"/>
  <c r="A69" i="22"/>
  <c r="K68" i="22"/>
  <c r="X68" i="22"/>
  <c r="AB68" i="22"/>
  <c r="X71" i="17"/>
  <c r="K71" i="17"/>
  <c r="AB71" i="17"/>
  <c r="A72" i="17"/>
  <c r="A67" i="18"/>
  <c r="X66" i="18"/>
  <c r="AB66" i="18"/>
  <c r="K66" i="18"/>
  <c r="X68" i="15"/>
  <c r="K68" i="15"/>
  <c r="AB68" i="15"/>
  <c r="A69" i="15"/>
  <c r="AB67" i="23"/>
  <c r="A68" i="23"/>
  <c r="K67" i="23"/>
  <c r="X67" i="23"/>
  <c r="A70" i="16"/>
  <c r="AB69" i="16"/>
  <c r="X69" i="16"/>
  <c r="K69" i="16"/>
  <c r="AB68" i="25"/>
  <c r="K68" i="25"/>
  <c r="A69" i="25"/>
  <c r="X68" i="25"/>
  <c r="AB69" i="24"/>
  <c r="X69" i="24"/>
  <c r="A70" i="24"/>
  <c r="K69" i="24"/>
  <c r="AJ69" i="1"/>
  <c r="K69" i="1"/>
  <c r="X69" i="1"/>
  <c r="AK69" i="1"/>
  <c r="AB69" i="1"/>
  <c r="L69" i="1"/>
  <c r="A71" i="24"/>
  <c r="AB70" i="24"/>
  <c r="X70" i="24"/>
  <c r="K70" i="24"/>
  <c r="X69" i="25"/>
  <c r="A70" i="25"/>
  <c r="K69" i="25"/>
  <c r="AB69" i="25"/>
  <c r="A71" i="16"/>
  <c r="AB70" i="16"/>
  <c r="K70" i="16"/>
  <c r="X70" i="16"/>
  <c r="X68" i="23"/>
  <c r="K68" i="23"/>
  <c r="A69" i="23"/>
  <c r="AB68" i="23"/>
  <c r="A73" i="17"/>
  <c r="AB72" i="17"/>
  <c r="K72" i="17"/>
  <c r="X72" i="17"/>
  <c r="AB71" i="20"/>
  <c r="K71" i="20"/>
  <c r="A72" i="20"/>
  <c r="X71" i="20"/>
  <c r="AK70" i="1"/>
  <c r="L70" i="1"/>
  <c r="K70" i="1"/>
  <c r="AJ70" i="1"/>
  <c r="X70" i="1"/>
  <c r="AB70" i="1"/>
  <c r="AB69" i="15"/>
  <c r="A70" i="15"/>
  <c r="K69" i="15"/>
  <c r="X69" i="15"/>
  <c r="X67" i="18"/>
  <c r="AB67" i="18"/>
  <c r="K67" i="18"/>
  <c r="A68" i="18"/>
  <c r="AB69" i="22"/>
  <c r="A70" i="22"/>
  <c r="K69" i="22"/>
  <c r="X69" i="22"/>
  <c r="X68" i="18"/>
  <c r="A69" i="18"/>
  <c r="AB68" i="18"/>
  <c r="K68" i="18"/>
  <c r="X72" i="20"/>
  <c r="A73" i="20"/>
  <c r="AB72" i="20"/>
  <c r="K72" i="20"/>
  <c r="K71" i="16"/>
  <c r="AB71" i="16"/>
  <c r="A72" i="16"/>
  <c r="X71" i="16"/>
  <c r="X70" i="22"/>
  <c r="A71" i="22"/>
  <c r="AB70" i="22"/>
  <c r="K70" i="22"/>
  <c r="X70" i="15"/>
  <c r="K70" i="15"/>
  <c r="AB70" i="15"/>
  <c r="A71" i="15"/>
  <c r="AJ71" i="1"/>
  <c r="L71" i="1"/>
  <c r="AB71" i="1"/>
  <c r="AK71" i="1"/>
  <c r="K71" i="1"/>
  <c r="X71" i="1"/>
  <c r="K73" i="17"/>
  <c r="AB73" i="17"/>
  <c r="A74" i="17"/>
  <c r="X73" i="17"/>
  <c r="AB69" i="23"/>
  <c r="A70" i="23"/>
  <c r="X69" i="23"/>
  <c r="K69" i="23"/>
  <c r="A71" i="25"/>
  <c r="AB70" i="25"/>
  <c r="K70" i="25"/>
  <c r="X70" i="25"/>
  <c r="K71" i="24"/>
  <c r="A72" i="24"/>
  <c r="X71" i="24"/>
  <c r="AB71" i="24"/>
  <c r="A73" i="24"/>
  <c r="X72" i="24"/>
  <c r="AB72" i="24"/>
  <c r="K72" i="24"/>
  <c r="AB71" i="25"/>
  <c r="X71" i="25"/>
  <c r="A72" i="25"/>
  <c r="K71" i="25"/>
  <c r="A72" i="15"/>
  <c r="K71" i="15"/>
  <c r="X71" i="15"/>
  <c r="AB71" i="15"/>
  <c r="A72" i="22"/>
  <c r="AB71" i="22"/>
  <c r="K71" i="22"/>
  <c r="X71" i="22"/>
  <c r="K69" i="18"/>
  <c r="AB69" i="18"/>
  <c r="A70" i="18"/>
  <c r="X69" i="18"/>
  <c r="X70" i="23"/>
  <c r="K70" i="23"/>
  <c r="A71" i="23"/>
  <c r="AB70" i="23"/>
  <c r="AB74" i="17"/>
  <c r="X74" i="17"/>
  <c r="K74" i="17"/>
  <c r="A75" i="17"/>
  <c r="AJ72" i="1"/>
  <c r="K72" i="1"/>
  <c r="AK72" i="1"/>
  <c r="X72" i="1"/>
  <c r="AB72" i="1"/>
  <c r="L72" i="1"/>
  <c r="X72" i="16"/>
  <c r="AB72" i="16"/>
  <c r="K72" i="16"/>
  <c r="A73" i="16"/>
  <c r="AB73" i="20"/>
  <c r="K73" i="20"/>
  <c r="A74" i="20"/>
  <c r="X73" i="20"/>
  <c r="K73" i="16"/>
  <c r="AB73" i="16"/>
  <c r="L73" i="16"/>
  <c r="D73" i="16" s="1"/>
  <c r="A74" i="16"/>
  <c r="X73" i="16"/>
  <c r="AK73" i="1"/>
  <c r="K73" i="1"/>
  <c r="AJ73" i="1"/>
  <c r="X73" i="1"/>
  <c r="L73" i="1"/>
  <c r="AB73" i="1"/>
  <c r="AB72" i="22"/>
  <c r="K72" i="22"/>
  <c r="X72" i="22"/>
  <c r="A73" i="22"/>
  <c r="A73" i="15"/>
  <c r="K72" i="15"/>
  <c r="X72" i="15"/>
  <c r="AB72" i="15"/>
  <c r="AB73" i="24"/>
  <c r="X73" i="24"/>
  <c r="A74" i="24"/>
  <c r="K73" i="24"/>
  <c r="K74" i="20"/>
  <c r="X74" i="20"/>
  <c r="A75" i="20"/>
  <c r="AB74" i="20"/>
  <c r="A76" i="17"/>
  <c r="AB75" i="17"/>
  <c r="K75" i="17"/>
  <c r="X75" i="17"/>
  <c r="AB71" i="23"/>
  <c r="X71" i="23"/>
  <c r="K71" i="23"/>
  <c r="A72" i="23"/>
  <c r="AB70" i="18"/>
  <c r="X70" i="18"/>
  <c r="K70" i="18"/>
  <c r="A71" i="18"/>
  <c r="K72" i="25"/>
  <c r="A73" i="25"/>
  <c r="X72" i="25"/>
  <c r="AB72" i="25"/>
  <c r="AB71" i="18"/>
  <c r="K71" i="18"/>
  <c r="A72" i="18"/>
  <c r="X71" i="18"/>
  <c r="A77" i="17"/>
  <c r="AB76" i="17"/>
  <c r="K76" i="17"/>
  <c r="X76" i="17"/>
  <c r="AB75" i="20"/>
  <c r="K75" i="20"/>
  <c r="A76" i="20"/>
  <c r="X75" i="20"/>
  <c r="A75" i="24"/>
  <c r="AB74" i="24"/>
  <c r="X74" i="24"/>
  <c r="K74" i="24"/>
  <c r="X74" i="16"/>
  <c r="AB74" i="16"/>
  <c r="K74" i="16"/>
  <c r="A75" i="16"/>
  <c r="A74" i="25"/>
  <c r="AB73" i="25"/>
  <c r="X73" i="25"/>
  <c r="K73" i="25"/>
  <c r="X72" i="23"/>
  <c r="K72" i="23"/>
  <c r="AB72" i="23"/>
  <c r="A73" i="23"/>
  <c r="AB73" i="15"/>
  <c r="A74" i="15"/>
  <c r="K73" i="15"/>
  <c r="X73" i="15"/>
  <c r="X73" i="22"/>
  <c r="AB73" i="22"/>
  <c r="K73" i="22"/>
  <c r="A74" i="22"/>
  <c r="AK74" i="1"/>
  <c r="X74" i="1"/>
  <c r="L74" i="1"/>
  <c r="AJ74" i="1"/>
  <c r="K74" i="1"/>
  <c r="AB74" i="1"/>
  <c r="A75" i="15"/>
  <c r="X74" i="15"/>
  <c r="AB74" i="15"/>
  <c r="K74" i="15"/>
  <c r="K74" i="25"/>
  <c r="X74" i="25"/>
  <c r="AB74" i="25"/>
  <c r="A75" i="25"/>
  <c r="A76" i="24"/>
  <c r="X75" i="24"/>
  <c r="AB75" i="24"/>
  <c r="K75" i="24"/>
  <c r="A73" i="18"/>
  <c r="X72" i="18"/>
  <c r="K72" i="18"/>
  <c r="AB72" i="18"/>
  <c r="AK75" i="1"/>
  <c r="K75" i="1"/>
  <c r="X75" i="1"/>
  <c r="AJ75" i="1"/>
  <c r="AB75" i="1"/>
  <c r="L75" i="1"/>
  <c r="K74" i="22"/>
  <c r="X74" i="22"/>
  <c r="AB74" i="22"/>
  <c r="A75" i="22"/>
  <c r="X73" i="23"/>
  <c r="AB73" i="23"/>
  <c r="K73" i="23"/>
  <c r="A74" i="23"/>
  <c r="K75" i="16"/>
  <c r="X75" i="16"/>
  <c r="AB75" i="16"/>
  <c r="A76" i="16"/>
  <c r="AB76" i="20"/>
  <c r="K76" i="20"/>
  <c r="X76" i="20"/>
  <c r="A77" i="20"/>
  <c r="A78" i="17"/>
  <c r="X77" i="17"/>
  <c r="K77" i="17"/>
  <c r="AB77" i="17"/>
  <c r="A75" i="23"/>
  <c r="X74" i="23"/>
  <c r="AB74" i="23"/>
  <c r="K74" i="23"/>
  <c r="K75" i="22"/>
  <c r="A76" i="22"/>
  <c r="X75" i="22"/>
  <c r="AB75" i="22"/>
  <c r="AJ76" i="1"/>
  <c r="L76" i="1"/>
  <c r="AB76" i="1"/>
  <c r="AK76" i="1"/>
  <c r="K76" i="1"/>
  <c r="X76" i="1"/>
  <c r="A74" i="18"/>
  <c r="X73" i="18"/>
  <c r="AB73" i="18"/>
  <c r="K73" i="18"/>
  <c r="K76" i="24"/>
  <c r="X76" i="24"/>
  <c r="A77" i="24"/>
  <c r="AB76" i="24"/>
  <c r="K75" i="25"/>
  <c r="AB75" i="25"/>
  <c r="A76" i="25"/>
  <c r="X75" i="25"/>
  <c r="K78" i="17"/>
  <c r="AB78" i="17"/>
  <c r="A79" i="17"/>
  <c r="X78" i="17"/>
  <c r="X77" i="20"/>
  <c r="AB77" i="20"/>
  <c r="K77" i="20"/>
  <c r="A78" i="20"/>
  <c r="A77" i="16"/>
  <c r="K76" i="16"/>
  <c r="X76" i="16"/>
  <c r="AB76" i="16"/>
  <c r="L76" i="16"/>
  <c r="D76" i="16" s="1"/>
  <c r="A76" i="15"/>
  <c r="K75" i="15"/>
  <c r="X75" i="15"/>
  <c r="AB75" i="15"/>
  <c r="K76" i="15"/>
  <c r="AB76" i="15"/>
  <c r="X76" i="15"/>
  <c r="A77" i="15"/>
  <c r="X79" i="17"/>
  <c r="A80" i="17"/>
  <c r="AB79" i="17"/>
  <c r="K79" i="17"/>
  <c r="X76" i="25"/>
  <c r="AB76" i="25"/>
  <c r="A77" i="25"/>
  <c r="K76" i="25"/>
  <c r="AK77" i="1"/>
  <c r="K77" i="1"/>
  <c r="X77" i="1"/>
  <c r="AJ77" i="1"/>
  <c r="L77" i="1"/>
  <c r="AB77" i="1"/>
  <c r="A78" i="16"/>
  <c r="AB77" i="16"/>
  <c r="K77" i="16"/>
  <c r="X77" i="16"/>
  <c r="AB78" i="20"/>
  <c r="A79" i="20"/>
  <c r="K78" i="20"/>
  <c r="X78" i="20"/>
  <c r="X77" i="24"/>
  <c r="AB77" i="24"/>
  <c r="K77" i="24"/>
  <c r="A78" i="24"/>
  <c r="K74" i="18"/>
  <c r="AB74" i="18"/>
  <c r="A75" i="18"/>
  <c r="X74" i="18"/>
  <c r="AB76" i="22"/>
  <c r="A77" i="22"/>
  <c r="X76" i="22"/>
  <c r="K76" i="22"/>
  <c r="K75" i="23"/>
  <c r="X75" i="23"/>
  <c r="AB75" i="23"/>
  <c r="A76" i="23"/>
  <c r="AB76" i="23"/>
  <c r="K76" i="23"/>
  <c r="A77" i="23"/>
  <c r="X76" i="23"/>
  <c r="AB79" i="20"/>
  <c r="A80" i="20"/>
  <c r="K79" i="20"/>
  <c r="X79" i="20"/>
  <c r="AJ78" i="1"/>
  <c r="X78" i="1"/>
  <c r="AB78" i="1"/>
  <c r="AK78" i="1"/>
  <c r="K78" i="1"/>
  <c r="L78" i="1"/>
  <c r="K77" i="25"/>
  <c r="A78" i="25"/>
  <c r="AB77" i="25"/>
  <c r="X77" i="25"/>
  <c r="K77" i="22"/>
  <c r="A78" i="22"/>
  <c r="AB77" i="22"/>
  <c r="X77" i="22"/>
  <c r="X75" i="18"/>
  <c r="K75" i="18"/>
  <c r="AB75" i="18"/>
  <c r="A76" i="18"/>
  <c r="X78" i="24"/>
  <c r="A79" i="24"/>
  <c r="AB78" i="24"/>
  <c r="K78" i="24"/>
  <c r="K78" i="16"/>
  <c r="A79" i="16"/>
  <c r="X78" i="16"/>
  <c r="AB78" i="16"/>
  <c r="A81" i="17"/>
  <c r="K80" i="17"/>
  <c r="X80" i="17"/>
  <c r="AB80" i="17"/>
  <c r="A78" i="15"/>
  <c r="X77" i="15"/>
  <c r="K77" i="15"/>
  <c r="AB77" i="15"/>
  <c r="K81" i="17"/>
  <c r="AB81" i="17"/>
  <c r="X81" i="17"/>
  <c r="A82" i="17"/>
  <c r="X78" i="15"/>
  <c r="AB78" i="15"/>
  <c r="K78" i="15"/>
  <c r="A79" i="15"/>
  <c r="X79" i="16"/>
  <c r="AB79" i="16"/>
  <c r="K79" i="16"/>
  <c r="A80" i="16"/>
  <c r="L79" i="16"/>
  <c r="D79" i="16" s="1"/>
  <c r="AB76" i="18"/>
  <c r="A77" i="18"/>
  <c r="X76" i="18"/>
  <c r="K76" i="18"/>
  <c r="A79" i="25"/>
  <c r="X78" i="25"/>
  <c r="K78" i="25"/>
  <c r="AB78" i="25"/>
  <c r="A81" i="20"/>
  <c r="X80" i="20"/>
  <c r="K80" i="20"/>
  <c r="AB80" i="20"/>
  <c r="AB77" i="23"/>
  <c r="X77" i="23"/>
  <c r="K77" i="23"/>
  <c r="A78" i="23"/>
  <c r="A80" i="24"/>
  <c r="X79" i="24"/>
  <c r="K79" i="24"/>
  <c r="AB79" i="24"/>
  <c r="AB78" i="22"/>
  <c r="K78" i="22"/>
  <c r="A79" i="22"/>
  <c r="X78" i="22"/>
  <c r="K79" i="1"/>
  <c r="X79" i="1"/>
  <c r="AK79" i="1"/>
  <c r="AJ79" i="1"/>
  <c r="L79" i="1"/>
  <c r="AB79" i="1"/>
  <c r="X81" i="20"/>
  <c r="K81" i="20"/>
  <c r="A82" i="20"/>
  <c r="AB81" i="20"/>
  <c r="X80" i="16"/>
  <c r="A81" i="16"/>
  <c r="K80" i="16"/>
  <c r="AB80" i="16"/>
  <c r="K82" i="17"/>
  <c r="A83" i="17"/>
  <c r="AB82" i="17"/>
  <c r="X82" i="17"/>
  <c r="AJ80" i="1"/>
  <c r="X80" i="1"/>
  <c r="L80" i="1"/>
  <c r="AK80" i="1"/>
  <c r="K80" i="1"/>
  <c r="AB80" i="1"/>
  <c r="AB79" i="22"/>
  <c r="A80" i="22"/>
  <c r="K79" i="22"/>
  <c r="X79" i="22"/>
  <c r="K80" i="24"/>
  <c r="A81" i="24"/>
  <c r="X80" i="24"/>
  <c r="AB80" i="24"/>
  <c r="K78" i="23"/>
  <c r="AB78" i="23"/>
  <c r="X78" i="23"/>
  <c r="A79" i="23"/>
  <c r="AB79" i="25"/>
  <c r="A80" i="25"/>
  <c r="X79" i="25"/>
  <c r="K79" i="25"/>
  <c r="X77" i="18"/>
  <c r="A78" i="18"/>
  <c r="AB77" i="18"/>
  <c r="K77" i="18"/>
  <c r="X79" i="15"/>
  <c r="AB79" i="15"/>
  <c r="K79" i="15"/>
  <c r="A80" i="15"/>
  <c r="AB80" i="25"/>
  <c r="A81" i="25"/>
  <c r="K80" i="25"/>
  <c r="X80" i="25"/>
  <c r="X79" i="23"/>
  <c r="A80" i="23"/>
  <c r="K79" i="23"/>
  <c r="AB79" i="23"/>
  <c r="AB81" i="16"/>
  <c r="X81" i="16"/>
  <c r="A82" i="16"/>
  <c r="K81" i="16"/>
  <c r="A83" i="20"/>
  <c r="X82" i="20"/>
  <c r="K82" i="20"/>
  <c r="AB82" i="20"/>
  <c r="K80" i="15"/>
  <c r="AB80" i="15"/>
  <c r="A81" i="15"/>
  <c r="X80" i="15"/>
  <c r="AB78" i="18"/>
  <c r="X78" i="18"/>
  <c r="A79" i="18"/>
  <c r="K78" i="18"/>
  <c r="AB81" i="24"/>
  <c r="A82" i="24"/>
  <c r="X81" i="24"/>
  <c r="K81" i="24"/>
  <c r="AB80" i="22"/>
  <c r="K80" i="22"/>
  <c r="X80" i="22"/>
  <c r="A81" i="22"/>
  <c r="AB81" i="1"/>
  <c r="X81" i="1"/>
  <c r="L81" i="1"/>
  <c r="AK81" i="1"/>
  <c r="AJ81" i="1"/>
  <c r="K81" i="1"/>
  <c r="K83" i="17"/>
  <c r="X83" i="17"/>
  <c r="A84" i="17"/>
  <c r="AB83" i="17"/>
  <c r="K84" i="17"/>
  <c r="AB84" i="17"/>
  <c r="X84" i="17"/>
  <c r="A85" i="17"/>
  <c r="AK82" i="1"/>
  <c r="K82" i="1"/>
  <c r="L82" i="1"/>
  <c r="X82" i="1"/>
  <c r="AJ82" i="1"/>
  <c r="AB82" i="1"/>
  <c r="X79" i="18"/>
  <c r="AB79" i="18"/>
  <c r="A80" i="18"/>
  <c r="K79" i="18"/>
  <c r="AB82" i="16"/>
  <c r="X82" i="16"/>
  <c r="K82" i="16"/>
  <c r="A83" i="16"/>
  <c r="A81" i="23"/>
  <c r="X80" i="23"/>
  <c r="AB80" i="23"/>
  <c r="K80" i="23"/>
  <c r="K81" i="25"/>
  <c r="A82" i="25"/>
  <c r="AB81" i="25"/>
  <c r="X81" i="25"/>
  <c r="K81" i="22"/>
  <c r="A82" i="22"/>
  <c r="AB81" i="22"/>
  <c r="X81" i="22"/>
  <c r="A83" i="24"/>
  <c r="AB82" i="24"/>
  <c r="K82" i="24"/>
  <c r="X82" i="24"/>
  <c r="A82" i="15"/>
  <c r="AB81" i="15"/>
  <c r="X81" i="15"/>
  <c r="K81" i="15"/>
  <c r="K83" i="20"/>
  <c r="A84" i="20"/>
  <c r="AB83" i="20"/>
  <c r="X83" i="20"/>
  <c r="X84" i="20"/>
  <c r="A85" i="20"/>
  <c r="AB84" i="20"/>
  <c r="K84" i="20"/>
  <c r="A84" i="24"/>
  <c r="X83" i="24"/>
  <c r="AB83" i="24"/>
  <c r="K83" i="24"/>
  <c r="AB82" i="22"/>
  <c r="K82" i="22"/>
  <c r="A83" i="22"/>
  <c r="X82" i="22"/>
  <c r="AB82" i="25"/>
  <c r="K82" i="25"/>
  <c r="X82" i="25"/>
  <c r="A83" i="25"/>
  <c r="A82" i="23"/>
  <c r="AB81" i="23"/>
  <c r="K81" i="23"/>
  <c r="X81" i="23"/>
  <c r="AB83" i="16"/>
  <c r="K83" i="16"/>
  <c r="X83" i="16"/>
  <c r="A84" i="16"/>
  <c r="AB85" i="17"/>
  <c r="A86" i="17"/>
  <c r="K85" i="17"/>
  <c r="X85" i="17"/>
  <c r="A83" i="15"/>
  <c r="K82" i="15"/>
  <c r="X82" i="15"/>
  <c r="AB82" i="15"/>
  <c r="K80" i="18"/>
  <c r="AB80" i="18"/>
  <c r="A81" i="18"/>
  <c r="X80" i="18"/>
  <c r="AJ83" i="1"/>
  <c r="K83" i="1"/>
  <c r="AK83" i="1"/>
  <c r="L83" i="1"/>
  <c r="AB83" i="1"/>
  <c r="X83" i="1"/>
  <c r="AB86" i="17"/>
  <c r="A87" i="17"/>
  <c r="K86" i="17"/>
  <c r="X86" i="17"/>
  <c r="AK84" i="1"/>
  <c r="L84" i="1"/>
  <c r="K84" i="1"/>
  <c r="AJ84" i="1"/>
  <c r="X84" i="1"/>
  <c r="AB84" i="1"/>
  <c r="A82" i="18"/>
  <c r="AB81" i="18"/>
  <c r="K81" i="18"/>
  <c r="X81" i="18"/>
  <c r="K83" i="15"/>
  <c r="AB83" i="15"/>
  <c r="X83" i="15"/>
  <c r="A84" i="15"/>
  <c r="AB84" i="16"/>
  <c r="L84" i="16"/>
  <c r="X84" i="16"/>
  <c r="K84" i="16"/>
  <c r="A85" i="16"/>
  <c r="X82" i="23"/>
  <c r="K82" i="23"/>
  <c r="A83" i="23"/>
  <c r="AB82" i="23"/>
  <c r="A85" i="24"/>
  <c r="K84" i="24"/>
  <c r="X84" i="24"/>
  <c r="AB84" i="24"/>
  <c r="A84" i="25"/>
  <c r="X83" i="25"/>
  <c r="AB83" i="25"/>
  <c r="K83" i="25"/>
  <c r="X83" i="22"/>
  <c r="A84" i="22"/>
  <c r="AB83" i="22"/>
  <c r="K83" i="22"/>
  <c r="AB85" i="20"/>
  <c r="X85" i="20"/>
  <c r="K85" i="20"/>
  <c r="A86" i="20"/>
  <c r="A87" i="20"/>
  <c r="AB86" i="20"/>
  <c r="K86" i="20"/>
  <c r="X86" i="20"/>
  <c r="D84" i="16"/>
  <c r="K84" i="15"/>
  <c r="A85" i="15"/>
  <c r="X84" i="15"/>
  <c r="AB84" i="15"/>
  <c r="A83" i="18"/>
  <c r="AB82" i="18"/>
  <c r="K82" i="18"/>
  <c r="X82" i="18"/>
  <c r="AJ85" i="1"/>
  <c r="L85" i="1"/>
  <c r="K85" i="1"/>
  <c r="X85" i="1"/>
  <c r="AK85" i="1"/>
  <c r="AB85" i="1"/>
  <c r="AB84" i="22"/>
  <c r="X84" i="22"/>
  <c r="A85" i="22"/>
  <c r="K84" i="22"/>
  <c r="A85" i="25"/>
  <c r="AB84" i="25"/>
  <c r="X84" i="25"/>
  <c r="K84" i="25"/>
  <c r="K85" i="24"/>
  <c r="X85" i="24"/>
  <c r="A86" i="24"/>
  <c r="AB85" i="24"/>
  <c r="X83" i="23"/>
  <c r="A84" i="23"/>
  <c r="K83" i="23"/>
  <c r="AB83" i="23"/>
  <c r="AB85" i="16"/>
  <c r="X85" i="16"/>
  <c r="A86" i="16"/>
  <c r="K85" i="16"/>
  <c r="A88" i="17"/>
  <c r="K87" i="17"/>
  <c r="X87" i="17"/>
  <c r="AB87" i="17"/>
  <c r="AB86" i="16"/>
  <c r="A87" i="16"/>
  <c r="K86" i="16"/>
  <c r="X86" i="16"/>
  <c r="K84" i="23"/>
  <c r="AB84" i="23"/>
  <c r="A85" i="23"/>
  <c r="X84" i="23"/>
  <c r="K85" i="22"/>
  <c r="AB85" i="22"/>
  <c r="X85" i="22"/>
  <c r="A86" i="22"/>
  <c r="AK86" i="1"/>
  <c r="AB86" i="1"/>
  <c r="X86" i="1"/>
  <c r="AJ86" i="1"/>
  <c r="L86" i="1"/>
  <c r="K86" i="1"/>
  <c r="X83" i="18"/>
  <c r="K83" i="18"/>
  <c r="AB83" i="18"/>
  <c r="A84" i="18"/>
  <c r="A89" i="17"/>
  <c r="A58" i="7"/>
  <c r="AB88" i="17"/>
  <c r="X88" i="17"/>
  <c r="K88" i="17"/>
  <c r="X86" i="24"/>
  <c r="K86" i="24"/>
  <c r="A87" i="24"/>
  <c r="AB86" i="24"/>
  <c r="X85" i="25"/>
  <c r="AB85" i="25"/>
  <c r="K85" i="25"/>
  <c r="A86" i="25"/>
  <c r="A86" i="15"/>
  <c r="X85" i="15"/>
  <c r="AB85" i="15"/>
  <c r="K85" i="15"/>
  <c r="X87" i="20"/>
  <c r="K87" i="20"/>
  <c r="AB87" i="20"/>
  <c r="A88" i="20"/>
  <c r="AB89" i="17"/>
  <c r="A90" i="17"/>
  <c r="K89" i="17"/>
  <c r="X89" i="17"/>
  <c r="K86" i="22"/>
  <c r="A87" i="22"/>
  <c r="X86" i="22"/>
  <c r="AB86" i="22"/>
  <c r="K87" i="16"/>
  <c r="A88" i="16"/>
  <c r="AB87" i="16"/>
  <c r="X87" i="16"/>
  <c r="K88" i="20"/>
  <c r="X88" i="20"/>
  <c r="A89" i="20"/>
  <c r="AB88" i="20"/>
  <c r="AE22" i="7"/>
  <c r="AB86" i="15"/>
  <c r="A87" i="15"/>
  <c r="K86" i="15"/>
  <c r="X86" i="15"/>
  <c r="AB86" i="25"/>
  <c r="K86" i="25"/>
  <c r="A87" i="25"/>
  <c r="X86" i="25"/>
  <c r="AB87" i="24"/>
  <c r="A88" i="24"/>
  <c r="X87" i="24"/>
  <c r="K87" i="24"/>
  <c r="AB84" i="18"/>
  <c r="K84" i="18"/>
  <c r="X84" i="18"/>
  <c r="A85" i="18"/>
  <c r="AJ87" i="1"/>
  <c r="X87" i="1"/>
  <c r="AK87" i="1"/>
  <c r="L87" i="1"/>
  <c r="AB87" i="1"/>
  <c r="K87" i="1"/>
  <c r="AB85" i="23"/>
  <c r="X85" i="23"/>
  <c r="K85" i="23"/>
  <c r="A86" i="23"/>
  <c r="A86" i="18"/>
  <c r="X85" i="18"/>
  <c r="AB85" i="18"/>
  <c r="K85" i="18"/>
  <c r="X87" i="25"/>
  <c r="AB87" i="25"/>
  <c r="K87" i="25"/>
  <c r="A88" i="25"/>
  <c r="X89" i="20"/>
  <c r="AB89" i="20"/>
  <c r="K89" i="20"/>
  <c r="A90" i="20"/>
  <c r="K87" i="22"/>
  <c r="AB87" i="22"/>
  <c r="A88" i="22"/>
  <c r="X87" i="22"/>
  <c r="X90" i="17"/>
  <c r="K90" i="17"/>
  <c r="AB90" i="17"/>
  <c r="A91" i="17"/>
  <c r="AB86" i="23"/>
  <c r="X86" i="23"/>
  <c r="K86" i="23"/>
  <c r="A87" i="23"/>
  <c r="AJ88" i="1"/>
  <c r="AB88" i="1"/>
  <c r="X88" i="1"/>
  <c r="AK88" i="1"/>
  <c r="K88" i="1"/>
  <c r="L88" i="1"/>
  <c r="B22" i="7" s="1"/>
  <c r="A22" i="7"/>
  <c r="A89" i="24"/>
  <c r="X88" i="24"/>
  <c r="K88" i="24"/>
  <c r="AB88" i="24"/>
  <c r="AE58" i="7"/>
  <c r="K87" i="15"/>
  <c r="A88" i="15"/>
  <c r="X87" i="15"/>
  <c r="AB87" i="15"/>
  <c r="X88" i="16"/>
  <c r="L88" i="16"/>
  <c r="B46" i="7" s="1"/>
  <c r="K88" i="16"/>
  <c r="A46" i="7"/>
  <c r="A89" i="16"/>
  <c r="AB88" i="16"/>
  <c r="AJ89" i="1"/>
  <c r="X89" i="1"/>
  <c r="AK89" i="1"/>
  <c r="K89" i="1"/>
  <c r="L89" i="1"/>
  <c r="AB89" i="1"/>
  <c r="X87" i="23"/>
  <c r="AB87" i="23"/>
  <c r="A88" i="23"/>
  <c r="K87" i="23"/>
  <c r="K91" i="17"/>
  <c r="X91" i="17"/>
  <c r="A92" i="17"/>
  <c r="AB91" i="17"/>
  <c r="AB90" i="20"/>
  <c r="X90" i="20"/>
  <c r="K90" i="20"/>
  <c r="A91" i="20"/>
  <c r="AB88" i="25"/>
  <c r="X88" i="25"/>
  <c r="A89" i="25"/>
  <c r="K88" i="25"/>
  <c r="AE70" i="7"/>
  <c r="X89" i="16"/>
  <c r="AB89" i="16"/>
  <c r="K89" i="16"/>
  <c r="A90" i="16"/>
  <c r="A34" i="7"/>
  <c r="AB88" i="15"/>
  <c r="A89" i="15"/>
  <c r="K88" i="15"/>
  <c r="X88" i="15"/>
  <c r="X89" i="24"/>
  <c r="K89" i="24"/>
  <c r="AB89" i="24"/>
  <c r="A90" i="24"/>
  <c r="AE34" i="7"/>
  <c r="K88" i="22"/>
  <c r="X88" i="22"/>
  <c r="AB88" i="22"/>
  <c r="A89" i="22"/>
  <c r="K86" i="18"/>
  <c r="X86" i="18"/>
  <c r="AB86" i="18"/>
  <c r="A87" i="18"/>
  <c r="A91" i="24"/>
  <c r="X90" i="24"/>
  <c r="AB90" i="24"/>
  <c r="K90" i="24"/>
  <c r="K89" i="15"/>
  <c r="X89" i="15"/>
  <c r="AB89" i="15"/>
  <c r="A90" i="15"/>
  <c r="A91" i="16"/>
  <c r="AB90" i="16"/>
  <c r="X90" i="16"/>
  <c r="K90" i="16"/>
  <c r="AB89" i="22"/>
  <c r="K89" i="22"/>
  <c r="X89" i="22"/>
  <c r="A90" i="22"/>
  <c r="X87" i="18"/>
  <c r="A88" i="18"/>
  <c r="K87" i="18"/>
  <c r="AB87" i="18"/>
  <c r="A90" i="25"/>
  <c r="X89" i="25"/>
  <c r="K89" i="25"/>
  <c r="AB89" i="25"/>
  <c r="X91" i="20"/>
  <c r="A92" i="20"/>
  <c r="K91" i="20"/>
  <c r="AB91" i="20"/>
  <c r="A93" i="17"/>
  <c r="K92" i="17"/>
  <c r="AB92" i="17"/>
  <c r="X92" i="17"/>
  <c r="AB88" i="23"/>
  <c r="X88" i="23"/>
  <c r="AE46" i="7"/>
  <c r="A89" i="23"/>
  <c r="K88" i="23"/>
  <c r="AJ90" i="1"/>
  <c r="L90" i="1"/>
  <c r="K90" i="1"/>
  <c r="AK90" i="1"/>
  <c r="X90" i="1"/>
  <c r="AB90" i="1"/>
  <c r="AB89" i="23"/>
  <c r="A90" i="23"/>
  <c r="K89" i="23"/>
  <c r="X89" i="23"/>
  <c r="A70" i="7"/>
  <c r="X88" i="18"/>
  <c r="A89" i="18"/>
  <c r="AB88" i="18"/>
  <c r="K88" i="18"/>
  <c r="A91" i="22"/>
  <c r="K90" i="22"/>
  <c r="X90" i="22"/>
  <c r="AB90" i="22"/>
  <c r="A91" i="15"/>
  <c r="AB90" i="15"/>
  <c r="K90" i="15"/>
  <c r="X90" i="15"/>
  <c r="AK91" i="1"/>
  <c r="X91" i="1"/>
  <c r="K91" i="1"/>
  <c r="L91" i="1"/>
  <c r="AJ91" i="1"/>
  <c r="AB91" i="1"/>
  <c r="K93" i="17"/>
  <c r="AB93" i="17"/>
  <c r="A94" i="17"/>
  <c r="X93" i="17"/>
  <c r="K92" i="20"/>
  <c r="X92" i="20"/>
  <c r="A93" i="20"/>
  <c r="AB92" i="20"/>
  <c r="X90" i="25"/>
  <c r="K90" i="25"/>
  <c r="A91" i="25"/>
  <c r="AB90" i="25"/>
  <c r="AB91" i="16"/>
  <c r="X91" i="16"/>
  <c r="A92" i="16"/>
  <c r="K91" i="16"/>
  <c r="X91" i="24"/>
  <c r="K91" i="24"/>
  <c r="A92" i="24"/>
  <c r="AB91" i="24"/>
  <c r="AB92" i="24"/>
  <c r="K92" i="24"/>
  <c r="X92" i="24"/>
  <c r="A93" i="24"/>
  <c r="A93" i="16"/>
  <c r="AB92" i="16"/>
  <c r="X92" i="16"/>
  <c r="K92" i="16"/>
  <c r="A94" i="20"/>
  <c r="K93" i="20"/>
  <c r="AB93" i="20"/>
  <c r="X93" i="20"/>
  <c r="AB91" i="15"/>
  <c r="X91" i="15"/>
  <c r="K91" i="15"/>
  <c r="A92" i="15"/>
  <c r="X91" i="22"/>
  <c r="AB91" i="22"/>
  <c r="K91" i="22"/>
  <c r="A92" i="22"/>
  <c r="AB89" i="18"/>
  <c r="K89" i="18"/>
  <c r="X89" i="18"/>
  <c r="A90" i="18"/>
  <c r="X91" i="25"/>
  <c r="AB91" i="25"/>
  <c r="K91" i="25"/>
  <c r="A92" i="25"/>
  <c r="AB94" i="17"/>
  <c r="X94" i="17"/>
  <c r="K94" i="17"/>
  <c r="A95" i="17"/>
  <c r="AJ92" i="1"/>
  <c r="AB92" i="1"/>
  <c r="L92" i="1"/>
  <c r="X92" i="1"/>
  <c r="AK92" i="1"/>
  <c r="K92" i="1"/>
  <c r="X90" i="23"/>
  <c r="AB90" i="23"/>
  <c r="A91" i="23"/>
  <c r="K90" i="23"/>
  <c r="K95" i="17"/>
  <c r="X95" i="17"/>
  <c r="AB95" i="17"/>
  <c r="A96" i="17"/>
  <c r="X92" i="25"/>
  <c r="A93" i="25"/>
  <c r="AB92" i="25"/>
  <c r="K92" i="25"/>
  <c r="X94" i="20"/>
  <c r="A95" i="20"/>
  <c r="AB94" i="20"/>
  <c r="K94" i="20"/>
  <c r="X91" i="23"/>
  <c r="A92" i="23"/>
  <c r="K91" i="23"/>
  <c r="AB91" i="23"/>
  <c r="AK93" i="1"/>
  <c r="X93" i="1"/>
  <c r="K93" i="1"/>
  <c r="AJ93" i="1"/>
  <c r="AB93" i="1"/>
  <c r="L93" i="1"/>
  <c r="X90" i="18"/>
  <c r="AB90" i="18"/>
  <c r="A91" i="18"/>
  <c r="K90" i="18"/>
  <c r="A93" i="22"/>
  <c r="X92" i="22"/>
  <c r="K92" i="22"/>
  <c r="AB92" i="22"/>
  <c r="K92" i="15"/>
  <c r="X92" i="15"/>
  <c r="A93" i="15"/>
  <c r="AB92" i="15"/>
  <c r="K93" i="16"/>
  <c r="A94" i="16"/>
  <c r="X93" i="16"/>
  <c r="AB93" i="16"/>
  <c r="A94" i="24"/>
  <c r="X93" i="24"/>
  <c r="K93" i="24"/>
  <c r="AB93" i="24"/>
  <c r="A95" i="24"/>
  <c r="AB94" i="24"/>
  <c r="K94" i="24"/>
  <c r="X94" i="24"/>
  <c r="A95" i="16"/>
  <c r="K94" i="16"/>
  <c r="AB94" i="16"/>
  <c r="X94" i="16"/>
  <c r="AJ94" i="1"/>
  <c r="L94" i="1"/>
  <c r="AB94" i="1"/>
  <c r="X94" i="1"/>
  <c r="AK94" i="1"/>
  <c r="K94" i="1"/>
  <c r="AB93" i="15"/>
  <c r="K93" i="15"/>
  <c r="A94" i="15"/>
  <c r="X93" i="15"/>
  <c r="K93" i="22"/>
  <c r="X93" i="22"/>
  <c r="AB93" i="22"/>
  <c r="A94" i="22"/>
  <c r="A92" i="18"/>
  <c r="K91" i="18"/>
  <c r="AB91" i="18"/>
  <c r="X91" i="18"/>
  <c r="K92" i="23"/>
  <c r="X92" i="23"/>
  <c r="AB92" i="23"/>
  <c r="A93" i="23"/>
  <c r="A96" i="20"/>
  <c r="K95" i="20"/>
  <c r="AB95" i="20"/>
  <c r="X95" i="20"/>
  <c r="X93" i="25"/>
  <c r="K93" i="25"/>
  <c r="A94" i="25"/>
  <c r="AB93" i="25"/>
  <c r="K96" i="17"/>
  <c r="A97" i="17"/>
  <c r="X96" i="17"/>
  <c r="AB96" i="17"/>
  <c r="A98" i="17"/>
  <c r="AB97" i="17"/>
  <c r="X97" i="17"/>
  <c r="K97" i="17"/>
  <c r="K94" i="25"/>
  <c r="X94" i="25"/>
  <c r="AB94" i="25"/>
  <c r="A95" i="25"/>
  <c r="A94" i="23"/>
  <c r="AB93" i="23"/>
  <c r="K93" i="23"/>
  <c r="X93" i="23"/>
  <c r="AB92" i="18"/>
  <c r="A93" i="18"/>
  <c r="K92" i="18"/>
  <c r="X92" i="18"/>
  <c r="X94" i="22"/>
  <c r="AB94" i="22"/>
  <c r="A95" i="22"/>
  <c r="K94" i="22"/>
  <c r="AK95" i="1"/>
  <c r="AB95" i="1"/>
  <c r="L95" i="1"/>
  <c r="AJ95" i="1"/>
  <c r="K95" i="1"/>
  <c r="X95" i="1"/>
  <c r="AB95" i="24"/>
  <c r="X95" i="24"/>
  <c r="A96" i="24"/>
  <c r="K95" i="24"/>
  <c r="X96" i="20"/>
  <c r="AB96" i="20"/>
  <c r="A97" i="20"/>
  <c r="K96" i="20"/>
  <c r="K94" i="15"/>
  <c r="AB94" i="15"/>
  <c r="X94" i="15"/>
  <c r="A95" i="15"/>
  <c r="K95" i="16"/>
  <c r="A96" i="16"/>
  <c r="AB95" i="16"/>
  <c r="X95" i="16"/>
  <c r="K96" i="16"/>
  <c r="AB96" i="16"/>
  <c r="X96" i="16"/>
  <c r="A97" i="16"/>
  <c r="X97" i="20"/>
  <c r="AB97" i="20"/>
  <c r="K97" i="20"/>
  <c r="A98" i="20"/>
  <c r="X98" i="17"/>
  <c r="K98" i="17"/>
  <c r="AB98" i="17"/>
  <c r="A99" i="17"/>
  <c r="X95" i="15"/>
  <c r="K95" i="15"/>
  <c r="A96" i="15"/>
  <c r="AB95" i="15"/>
  <c r="X96" i="24"/>
  <c r="K96" i="24"/>
  <c r="A97" i="24"/>
  <c r="AB96" i="24"/>
  <c r="AK96" i="1"/>
  <c r="AB96" i="1"/>
  <c r="AJ96" i="1"/>
  <c r="L96" i="1"/>
  <c r="K96" i="1"/>
  <c r="X96" i="1"/>
  <c r="K95" i="22"/>
  <c r="A96" i="22"/>
  <c r="AB95" i="22"/>
  <c r="X95" i="22"/>
  <c r="X93" i="18"/>
  <c r="AB93" i="18"/>
  <c r="K93" i="18"/>
  <c r="A94" i="18"/>
  <c r="AB94" i="23"/>
  <c r="A95" i="23"/>
  <c r="K94" i="23"/>
  <c r="X94" i="23"/>
  <c r="A96" i="25"/>
  <c r="AB95" i="25"/>
  <c r="K95" i="25"/>
  <c r="X95" i="25"/>
  <c r="A95" i="18"/>
  <c r="X94" i="18"/>
  <c r="K94" i="18"/>
  <c r="AB94" i="18"/>
  <c r="X96" i="22"/>
  <c r="AB96" i="22"/>
  <c r="K96" i="22"/>
  <c r="A97" i="22"/>
  <c r="K97" i="24"/>
  <c r="A98" i="24"/>
  <c r="X97" i="24"/>
  <c r="AB97" i="24"/>
  <c r="K99" i="17"/>
  <c r="X99" i="17"/>
  <c r="AB99" i="17"/>
  <c r="A100" i="17"/>
  <c r="X96" i="25"/>
  <c r="K96" i="25"/>
  <c r="AB96" i="25"/>
  <c r="A97" i="25"/>
  <c r="K95" i="23"/>
  <c r="A96" i="23"/>
  <c r="X95" i="23"/>
  <c r="AB95" i="23"/>
  <c r="AJ97" i="1"/>
  <c r="AB97" i="1"/>
  <c r="AK97" i="1"/>
  <c r="L97" i="1"/>
  <c r="X97" i="1"/>
  <c r="K97" i="1"/>
  <c r="K96" i="15"/>
  <c r="X96" i="15"/>
  <c r="A97" i="15"/>
  <c r="AB96" i="15"/>
  <c r="X98" i="20"/>
  <c r="A99" i="20"/>
  <c r="AB98" i="20"/>
  <c r="K98" i="20"/>
  <c r="AB97" i="16"/>
  <c r="X97" i="16"/>
  <c r="A98" i="16"/>
  <c r="K97" i="16"/>
  <c r="X99" i="20"/>
  <c r="A100" i="20"/>
  <c r="K99" i="20"/>
  <c r="AB99" i="20"/>
  <c r="K96" i="23"/>
  <c r="AB96" i="23"/>
  <c r="A97" i="23"/>
  <c r="X96" i="23"/>
  <c r="A98" i="25"/>
  <c r="X97" i="25"/>
  <c r="K97" i="25"/>
  <c r="AB97" i="25"/>
  <c r="K98" i="24"/>
  <c r="X98" i="24"/>
  <c r="AB98" i="24"/>
  <c r="A99" i="24"/>
  <c r="A96" i="18"/>
  <c r="X95" i="18"/>
  <c r="AB95" i="18"/>
  <c r="K95" i="18"/>
  <c r="A99" i="16"/>
  <c r="K98" i="16"/>
  <c r="X98" i="16"/>
  <c r="AB98" i="16"/>
  <c r="A98" i="15"/>
  <c r="K97" i="15"/>
  <c r="AB97" i="15"/>
  <c r="X97" i="15"/>
  <c r="AJ98" i="1"/>
  <c r="L98" i="1"/>
  <c r="K98" i="1"/>
  <c r="AB98" i="1"/>
  <c r="AK98" i="1"/>
  <c r="X98" i="1"/>
  <c r="K100" i="17"/>
  <c r="AB100" i="17"/>
  <c r="A101" i="17"/>
  <c r="X100" i="17"/>
  <c r="K97" i="22"/>
  <c r="X97" i="22"/>
  <c r="AB97" i="22"/>
  <c r="A98" i="22"/>
  <c r="AB101" i="17"/>
  <c r="X101" i="17"/>
  <c r="K101" i="17"/>
  <c r="A102" i="17"/>
  <c r="K99" i="16"/>
  <c r="A100" i="16"/>
  <c r="X99" i="16"/>
  <c r="AB99" i="16"/>
  <c r="X99" i="24"/>
  <c r="AB99" i="24"/>
  <c r="K99" i="24"/>
  <c r="A100" i="24"/>
  <c r="A98" i="23"/>
  <c r="X97" i="23"/>
  <c r="K97" i="23"/>
  <c r="AB97" i="23"/>
  <c r="A101" i="20"/>
  <c r="X100" i="20"/>
  <c r="AB100" i="20"/>
  <c r="K100" i="20"/>
  <c r="X98" i="22"/>
  <c r="K98" i="22"/>
  <c r="A99" i="22"/>
  <c r="AB98" i="22"/>
  <c r="AJ99" i="1"/>
  <c r="L99" i="1"/>
  <c r="K99" i="1"/>
  <c r="AK99" i="1"/>
  <c r="X99" i="1"/>
  <c r="AB99" i="1"/>
  <c r="X98" i="15"/>
  <c r="AB98" i="15"/>
  <c r="K98" i="15"/>
  <c r="A99" i="15"/>
  <c r="K96" i="18"/>
  <c r="AB96" i="18"/>
  <c r="A97" i="18"/>
  <c r="X96" i="18"/>
  <c r="X98" i="25"/>
  <c r="A99" i="25"/>
  <c r="K98" i="25"/>
  <c r="AB98" i="25"/>
  <c r="X99" i="15"/>
  <c r="K99" i="15"/>
  <c r="AB99" i="15"/>
  <c r="A100" i="15"/>
  <c r="AK100" i="1"/>
  <c r="AB100" i="1"/>
  <c r="L100" i="1"/>
  <c r="AJ100" i="1"/>
  <c r="X100" i="1"/>
  <c r="K100" i="1"/>
  <c r="X101" i="20"/>
  <c r="K101" i="20"/>
  <c r="A102" i="20"/>
  <c r="AB101" i="20"/>
  <c r="X100" i="24"/>
  <c r="A101" i="24"/>
  <c r="K100" i="24"/>
  <c r="AB100" i="24"/>
  <c r="A101" i="16"/>
  <c r="X100" i="16"/>
  <c r="AB100" i="16"/>
  <c r="K100" i="16"/>
  <c r="L100" i="16"/>
  <c r="D100" i="16" s="1"/>
  <c r="K99" i="25"/>
  <c r="X99" i="25"/>
  <c r="A100" i="25"/>
  <c r="AB99" i="25"/>
  <c r="K97" i="18"/>
  <c r="A98" i="18"/>
  <c r="AB97" i="18"/>
  <c r="X97" i="18"/>
  <c r="AB99" i="22"/>
  <c r="K99" i="22"/>
  <c r="X99" i="22"/>
  <c r="A100" i="22"/>
  <c r="K98" i="23"/>
  <c r="A99" i="23"/>
  <c r="X98" i="23"/>
  <c r="AB98" i="23"/>
  <c r="K102" i="17"/>
  <c r="X102" i="17"/>
  <c r="AB102" i="17"/>
  <c r="A103" i="17"/>
  <c r="K99" i="23"/>
  <c r="AB99" i="23"/>
  <c r="A100" i="23"/>
  <c r="X99" i="23"/>
  <c r="X100" i="22"/>
  <c r="A101" i="22"/>
  <c r="K100" i="22"/>
  <c r="AB100" i="22"/>
  <c r="K98" i="18"/>
  <c r="X98" i="18"/>
  <c r="A99" i="18"/>
  <c r="AB98" i="18"/>
  <c r="K100" i="25"/>
  <c r="A101" i="25"/>
  <c r="AB100" i="25"/>
  <c r="X100" i="25"/>
  <c r="A102" i="16"/>
  <c r="X101" i="16"/>
  <c r="L101" i="16"/>
  <c r="D101" i="16" s="1"/>
  <c r="K101" i="16"/>
  <c r="AB101" i="16"/>
  <c r="A104" i="17"/>
  <c r="AB103" i="17"/>
  <c r="K103" i="17"/>
  <c r="X103" i="17"/>
  <c r="K101" i="24"/>
  <c r="AB101" i="24"/>
  <c r="X101" i="24"/>
  <c r="A102" i="24"/>
  <c r="X102" i="20"/>
  <c r="AB102" i="20"/>
  <c r="A103" i="20"/>
  <c r="K102" i="20"/>
  <c r="AJ101" i="1"/>
  <c r="L101" i="1"/>
  <c r="X101" i="1"/>
  <c r="AK101" i="1"/>
  <c r="K101" i="1"/>
  <c r="AB101" i="1"/>
  <c r="K100" i="15"/>
  <c r="X100" i="15"/>
  <c r="A101" i="15"/>
  <c r="AB100" i="15"/>
  <c r="X101" i="15"/>
  <c r="K101" i="15"/>
  <c r="A102" i="15"/>
  <c r="AB101" i="15"/>
  <c r="AJ102" i="1"/>
  <c r="X102" i="1"/>
  <c r="L102" i="1"/>
  <c r="AB102" i="1"/>
  <c r="AK102" i="1"/>
  <c r="K102" i="1"/>
  <c r="AB104" i="17"/>
  <c r="X104" i="17"/>
  <c r="A105" i="17"/>
  <c r="K104" i="17"/>
  <c r="A103" i="16"/>
  <c r="K102" i="16"/>
  <c r="AB102" i="16"/>
  <c r="X102" i="16"/>
  <c r="A102" i="25"/>
  <c r="X101" i="25"/>
  <c r="AB101" i="25"/>
  <c r="K101" i="25"/>
  <c r="K101" i="22"/>
  <c r="AB101" i="22"/>
  <c r="X101" i="22"/>
  <c r="A102" i="22"/>
  <c r="A101" i="23"/>
  <c r="AB100" i="23"/>
  <c r="K100" i="23"/>
  <c r="X100" i="23"/>
  <c r="A104" i="20"/>
  <c r="AB103" i="20"/>
  <c r="X103" i="20"/>
  <c r="K103" i="20"/>
  <c r="K102" i="24"/>
  <c r="AB102" i="24"/>
  <c r="A103" i="24"/>
  <c r="X102" i="24"/>
  <c r="X99" i="18"/>
  <c r="AB99" i="18"/>
  <c r="K99" i="18"/>
  <c r="A100" i="18"/>
  <c r="K103" i="24"/>
  <c r="A104" i="24"/>
  <c r="AB103" i="24"/>
  <c r="X103" i="24"/>
  <c r="K104" i="20"/>
  <c r="A105" i="20"/>
  <c r="AB104" i="20"/>
  <c r="X104" i="20"/>
  <c r="K101" i="23"/>
  <c r="A102" i="23"/>
  <c r="AB101" i="23"/>
  <c r="X101" i="23"/>
  <c r="A103" i="25"/>
  <c r="K102" i="25"/>
  <c r="X102" i="25"/>
  <c r="AB102" i="25"/>
  <c r="AK103" i="1"/>
  <c r="L103" i="1"/>
  <c r="X103" i="1"/>
  <c r="AJ103" i="1"/>
  <c r="K103" i="1"/>
  <c r="AB103" i="1"/>
  <c r="A103" i="15"/>
  <c r="K102" i="15"/>
  <c r="AB102" i="15"/>
  <c r="X102" i="15"/>
  <c r="X100" i="18"/>
  <c r="AB100" i="18"/>
  <c r="K100" i="18"/>
  <c r="A101" i="18"/>
  <c r="AB102" i="22"/>
  <c r="X102" i="22"/>
  <c r="A103" i="22"/>
  <c r="K102" i="22"/>
  <c r="A104" i="16"/>
  <c r="X103" i="16"/>
  <c r="K103" i="16"/>
  <c r="AB103" i="16"/>
  <c r="L103" i="16"/>
  <c r="D103" i="16" s="1"/>
  <c r="A106" i="17"/>
  <c r="AB105" i="17"/>
  <c r="X105" i="17"/>
  <c r="K105" i="17"/>
  <c r="AB104" i="16"/>
  <c r="X104" i="16"/>
  <c r="A105" i="16"/>
  <c r="K104" i="16"/>
  <c r="K102" i="23"/>
  <c r="X102" i="23"/>
  <c r="A103" i="23"/>
  <c r="AB102" i="23"/>
  <c r="AB105" i="20"/>
  <c r="K105" i="20"/>
  <c r="A106" i="20"/>
  <c r="X105" i="20"/>
  <c r="X104" i="24"/>
  <c r="K104" i="24"/>
  <c r="AB104" i="24"/>
  <c r="A105" i="24"/>
  <c r="X106" i="17"/>
  <c r="A107" i="17"/>
  <c r="K106" i="17"/>
  <c r="AB106" i="17"/>
  <c r="AB103" i="22"/>
  <c r="X103" i="22"/>
  <c r="A104" i="22"/>
  <c r="K103" i="22"/>
  <c r="K101" i="18"/>
  <c r="X101" i="18"/>
  <c r="A102" i="18"/>
  <c r="AB101" i="18"/>
  <c r="A104" i="15"/>
  <c r="AB103" i="15"/>
  <c r="X103" i="15"/>
  <c r="K103" i="15"/>
  <c r="AJ104" i="1"/>
  <c r="AK104" i="1"/>
  <c r="AB104" i="1"/>
  <c r="K104" i="1"/>
  <c r="X104" i="1"/>
  <c r="L104" i="1"/>
  <c r="K103" i="25"/>
  <c r="X103" i="25"/>
  <c r="A104" i="25"/>
  <c r="AB103" i="25"/>
  <c r="A105" i="15"/>
  <c r="AB104" i="15"/>
  <c r="X104" i="15"/>
  <c r="K104" i="15"/>
  <c r="AB104" i="25"/>
  <c r="X104" i="25"/>
  <c r="A105" i="25"/>
  <c r="K104" i="25"/>
  <c r="AK105" i="1"/>
  <c r="K105" i="1"/>
  <c r="X105" i="1"/>
  <c r="AJ105" i="1"/>
  <c r="L105" i="1"/>
  <c r="AB105" i="1"/>
  <c r="X102" i="18"/>
  <c r="AB102" i="18"/>
  <c r="A103" i="18"/>
  <c r="K102" i="18"/>
  <c r="A105" i="22"/>
  <c r="K104" i="22"/>
  <c r="X104" i="22"/>
  <c r="AB104" i="22"/>
  <c r="AB106" i="20"/>
  <c r="X106" i="20"/>
  <c r="A107" i="20"/>
  <c r="K106" i="20"/>
  <c r="X103" i="23"/>
  <c r="K103" i="23"/>
  <c r="A104" i="23"/>
  <c r="AB103" i="23"/>
  <c r="AB107" i="17"/>
  <c r="A108" i="17"/>
  <c r="K107" i="17"/>
  <c r="X107" i="17"/>
  <c r="AB105" i="24"/>
  <c r="X105" i="24"/>
  <c r="A106" i="24"/>
  <c r="K105" i="24"/>
  <c r="AB105" i="16"/>
  <c r="X105" i="16"/>
  <c r="K105" i="16"/>
  <c r="A106" i="16"/>
  <c r="K107" i="20"/>
  <c r="X107" i="20"/>
  <c r="AB107" i="20"/>
  <c r="A108" i="20"/>
  <c r="A106" i="22"/>
  <c r="AB105" i="22"/>
  <c r="K105" i="22"/>
  <c r="X105" i="22"/>
  <c r="K103" i="18"/>
  <c r="X103" i="18"/>
  <c r="AB103" i="18"/>
  <c r="A104" i="18"/>
  <c r="K105" i="25"/>
  <c r="X105" i="25"/>
  <c r="AB105" i="25"/>
  <c r="A106" i="25"/>
  <c r="AB105" i="15"/>
  <c r="K105" i="15"/>
  <c r="A106" i="15"/>
  <c r="X105" i="15"/>
  <c r="K106" i="16"/>
  <c r="AB106" i="16"/>
  <c r="A107" i="16"/>
  <c r="X106" i="16"/>
  <c r="X106" i="24"/>
  <c r="K106" i="24"/>
  <c r="AB106" i="24"/>
  <c r="A107" i="24"/>
  <c r="X108" i="17"/>
  <c r="A109" i="17"/>
  <c r="AB108" i="17"/>
  <c r="K108" i="17"/>
  <c r="K104" i="23"/>
  <c r="AB104" i="23"/>
  <c r="X104" i="23"/>
  <c r="A105" i="23"/>
  <c r="AK106" i="1"/>
  <c r="X106" i="1"/>
  <c r="L106" i="1"/>
  <c r="AJ106" i="1"/>
  <c r="K106" i="1"/>
  <c r="AB106" i="1"/>
  <c r="AK107" i="1"/>
  <c r="X107" i="1"/>
  <c r="L107" i="1"/>
  <c r="AB107" i="1"/>
  <c r="AJ107" i="1"/>
  <c r="K107" i="1"/>
  <c r="K109" i="17"/>
  <c r="X109" i="17"/>
  <c r="A110" i="17"/>
  <c r="AB109" i="17"/>
  <c r="AB107" i="16"/>
  <c r="L107" i="16"/>
  <c r="D107" i="16" s="1"/>
  <c r="K107" i="16"/>
  <c r="A108" i="16"/>
  <c r="X107" i="16"/>
  <c r="AB105" i="23"/>
  <c r="X105" i="23"/>
  <c r="K105" i="23"/>
  <c r="A106" i="23"/>
  <c r="X107" i="24"/>
  <c r="K107" i="24"/>
  <c r="A108" i="24"/>
  <c r="AB107" i="24"/>
  <c r="K106" i="15"/>
  <c r="X106" i="15"/>
  <c r="AB106" i="15"/>
  <c r="A107" i="15"/>
  <c r="A107" i="25"/>
  <c r="X106" i="25"/>
  <c r="AB106" i="25"/>
  <c r="K106" i="25"/>
  <c r="A105" i="18"/>
  <c r="AB104" i="18"/>
  <c r="K104" i="18"/>
  <c r="X104" i="18"/>
  <c r="X106" i="22"/>
  <c r="K106" i="22"/>
  <c r="AB106" i="22"/>
  <c r="A107" i="22"/>
  <c r="X108" i="20"/>
  <c r="K108" i="20"/>
  <c r="AB108" i="20"/>
  <c r="A109" i="20"/>
  <c r="K105" i="18"/>
  <c r="X105" i="18"/>
  <c r="AB105" i="18"/>
  <c r="A106" i="18"/>
  <c r="K107" i="25"/>
  <c r="A108" i="25"/>
  <c r="AB107" i="25"/>
  <c r="X107" i="25"/>
  <c r="AB107" i="15"/>
  <c r="X107" i="15"/>
  <c r="A108" i="15"/>
  <c r="K107" i="15"/>
  <c r="K108" i="24"/>
  <c r="X108" i="24"/>
  <c r="A109" i="24"/>
  <c r="AB108" i="24"/>
  <c r="X106" i="23"/>
  <c r="K106" i="23"/>
  <c r="AB106" i="23"/>
  <c r="A107" i="23"/>
  <c r="A109" i="16"/>
  <c r="AB108" i="16"/>
  <c r="X108" i="16"/>
  <c r="K108" i="16"/>
  <c r="L108" i="16"/>
  <c r="D108" i="16" s="1"/>
  <c r="K110" i="17"/>
  <c r="A111" i="17"/>
  <c r="AB110" i="17"/>
  <c r="X110" i="17"/>
  <c r="AK108" i="1"/>
  <c r="K108" i="1"/>
  <c r="AJ108" i="1"/>
  <c r="X108" i="1"/>
  <c r="L108" i="1"/>
  <c r="AB108" i="1"/>
  <c r="X109" i="20"/>
  <c r="K109" i="20"/>
  <c r="AB109" i="20"/>
  <c r="A110" i="20"/>
  <c r="X107" i="22"/>
  <c r="AB107" i="22"/>
  <c r="A108" i="22"/>
  <c r="K107" i="22"/>
  <c r="AB110" i="20"/>
  <c r="A111" i="20"/>
  <c r="K110" i="20"/>
  <c r="X110" i="20"/>
  <c r="AJ109" i="1"/>
  <c r="L109" i="1"/>
  <c r="K109" i="1"/>
  <c r="AK109" i="1"/>
  <c r="AB109" i="1"/>
  <c r="X109" i="1"/>
  <c r="X109" i="16"/>
  <c r="AB109" i="16"/>
  <c r="K109" i="16"/>
  <c r="A110" i="16"/>
  <c r="AB108" i="25"/>
  <c r="A109" i="25"/>
  <c r="K108" i="25"/>
  <c r="X108" i="25"/>
  <c r="AB108" i="22"/>
  <c r="X108" i="22"/>
  <c r="K108" i="22"/>
  <c r="A109" i="22"/>
  <c r="AB111" i="17"/>
  <c r="A112" i="17"/>
  <c r="X111" i="17"/>
  <c r="K111" i="17"/>
  <c r="X107" i="23"/>
  <c r="AB107" i="23"/>
  <c r="A108" i="23"/>
  <c r="K107" i="23"/>
  <c r="A110" i="24"/>
  <c r="K109" i="24"/>
  <c r="AB109" i="24"/>
  <c r="X109" i="24"/>
  <c r="X108" i="15"/>
  <c r="A109" i="15"/>
  <c r="K108" i="15"/>
  <c r="AB108" i="15"/>
  <c r="X106" i="18"/>
  <c r="K106" i="18"/>
  <c r="AB106" i="18"/>
  <c r="A107" i="18"/>
  <c r="A110" i="15"/>
  <c r="K109" i="15"/>
  <c r="X109" i="15"/>
  <c r="AB109" i="15"/>
  <c r="K110" i="24"/>
  <c r="AB110" i="24"/>
  <c r="X110" i="24"/>
  <c r="A111" i="24"/>
  <c r="AK110" i="1"/>
  <c r="K110" i="1"/>
  <c r="L110" i="1"/>
  <c r="AJ110" i="1"/>
  <c r="AB110" i="1"/>
  <c r="X110" i="1"/>
  <c r="X111" i="20"/>
  <c r="A112" i="20"/>
  <c r="AB111" i="20"/>
  <c r="K111" i="20"/>
  <c r="X107" i="18"/>
  <c r="A108" i="18"/>
  <c r="K107" i="18"/>
  <c r="AB107" i="18"/>
  <c r="K108" i="23"/>
  <c r="X108" i="23"/>
  <c r="AB108" i="23"/>
  <c r="A109" i="23"/>
  <c r="X112" i="17"/>
  <c r="A113" i="17"/>
  <c r="AB112" i="17"/>
  <c r="K112" i="17"/>
  <c r="K109" i="22"/>
  <c r="AB109" i="22"/>
  <c r="A110" i="22"/>
  <c r="X109" i="22"/>
  <c r="A110" i="25"/>
  <c r="X109" i="25"/>
  <c r="K109" i="25"/>
  <c r="AB109" i="25"/>
  <c r="A111" i="16"/>
  <c r="AB110" i="16"/>
  <c r="K110" i="16"/>
  <c r="X110" i="16"/>
  <c r="L110" i="16"/>
  <c r="D110" i="16" s="1"/>
  <c r="A112" i="16"/>
  <c r="X111" i="16"/>
  <c r="AB111" i="16"/>
  <c r="K111" i="16"/>
  <c r="A111" i="25"/>
  <c r="AB110" i="25"/>
  <c r="K110" i="25"/>
  <c r="X110" i="25"/>
  <c r="K110" i="22"/>
  <c r="AB110" i="22"/>
  <c r="X110" i="22"/>
  <c r="A111" i="22"/>
  <c r="L113" i="17"/>
  <c r="D113" i="17" s="1"/>
  <c r="A114" i="17"/>
  <c r="K113" i="17"/>
  <c r="AB113" i="17"/>
  <c r="X113" i="17"/>
  <c r="AB108" i="18"/>
  <c r="A109" i="18"/>
  <c r="X108" i="18"/>
  <c r="K108" i="18"/>
  <c r="A111" i="15"/>
  <c r="AB110" i="15"/>
  <c r="X110" i="15"/>
  <c r="K110" i="15"/>
  <c r="K109" i="23"/>
  <c r="AB109" i="23"/>
  <c r="X109" i="23"/>
  <c r="A110" i="23"/>
  <c r="K112" i="20"/>
  <c r="X112" i="20"/>
  <c r="A113" i="20"/>
  <c r="AB112" i="20"/>
  <c r="AJ111" i="1"/>
  <c r="L111" i="1"/>
  <c r="AB111" i="1"/>
  <c r="AK111" i="1"/>
  <c r="X111" i="1"/>
  <c r="K111" i="1"/>
  <c r="X111" i="24"/>
  <c r="AB111" i="24"/>
  <c r="A112" i="24"/>
  <c r="K111" i="24"/>
  <c r="AK112" i="1"/>
  <c r="L112" i="1"/>
  <c r="K112" i="1"/>
  <c r="AJ112" i="1"/>
  <c r="AB112" i="1"/>
  <c r="X112" i="1"/>
  <c r="K112" i="24"/>
  <c r="A113" i="24"/>
  <c r="X112" i="24"/>
  <c r="AB112" i="24"/>
  <c r="K110" i="23"/>
  <c r="X110" i="23"/>
  <c r="AB110" i="23"/>
  <c r="A111" i="23"/>
  <c r="A112" i="15"/>
  <c r="K111" i="15"/>
  <c r="AB111" i="15"/>
  <c r="X111" i="15"/>
  <c r="AB114" i="17"/>
  <c r="K114" i="17"/>
  <c r="X114" i="17"/>
  <c r="A115" i="17"/>
  <c r="X111" i="22"/>
  <c r="K111" i="22"/>
  <c r="A112" i="22"/>
  <c r="AB111" i="22"/>
  <c r="A112" i="25"/>
  <c r="X111" i="25"/>
  <c r="K111" i="25"/>
  <c r="AB111" i="25"/>
  <c r="AB112" i="16"/>
  <c r="K112" i="16"/>
  <c r="A113" i="16"/>
  <c r="X112" i="16"/>
  <c r="A114" i="20"/>
  <c r="K113" i="20"/>
  <c r="AB113" i="20"/>
  <c r="X113" i="20"/>
  <c r="X109" i="18"/>
  <c r="K109" i="18"/>
  <c r="AB109" i="18"/>
  <c r="A110" i="18"/>
  <c r="AB112" i="25"/>
  <c r="A113" i="25"/>
  <c r="K112" i="25"/>
  <c r="X112" i="25"/>
  <c r="AB112" i="22"/>
  <c r="K112" i="22"/>
  <c r="A113" i="22"/>
  <c r="X112" i="22"/>
  <c r="A113" i="15"/>
  <c r="AB112" i="15"/>
  <c r="K112" i="15"/>
  <c r="X112" i="15"/>
  <c r="A114" i="24"/>
  <c r="AB113" i="24"/>
  <c r="X113" i="24"/>
  <c r="K113" i="24"/>
  <c r="AK113" i="1"/>
  <c r="K113" i="1"/>
  <c r="L113" i="1"/>
  <c r="X113" i="1"/>
  <c r="AJ113" i="1"/>
  <c r="AB113" i="1"/>
  <c r="A111" i="18"/>
  <c r="X110" i="18"/>
  <c r="K110" i="18"/>
  <c r="AB110" i="18"/>
  <c r="K114" i="20"/>
  <c r="A115" i="20"/>
  <c r="AB114" i="20"/>
  <c r="X114" i="20"/>
  <c r="K113" i="16"/>
  <c r="A114" i="16"/>
  <c r="X113" i="16"/>
  <c r="AB113" i="16"/>
  <c r="A116" i="17"/>
  <c r="K115" i="17"/>
  <c r="X115" i="17"/>
  <c r="AB115" i="17"/>
  <c r="A112" i="23"/>
  <c r="AB111" i="23"/>
  <c r="K111" i="23"/>
  <c r="X111" i="23"/>
  <c r="K112" i="23"/>
  <c r="X112" i="23"/>
  <c r="A113" i="23"/>
  <c r="AB112" i="23"/>
  <c r="A115" i="16"/>
  <c r="X114" i="16"/>
  <c r="K114" i="16"/>
  <c r="AB114" i="16"/>
  <c r="AB116" i="17"/>
  <c r="K116" i="17"/>
  <c r="X116" i="17"/>
  <c r="A117" i="17"/>
  <c r="AB115" i="20"/>
  <c r="K115" i="20"/>
  <c r="X115" i="20"/>
  <c r="A116" i="20"/>
  <c r="K111" i="18"/>
  <c r="A112" i="18"/>
  <c r="X111" i="18"/>
  <c r="AB111" i="18"/>
  <c r="AJ114" i="1"/>
  <c r="L114" i="1"/>
  <c r="AK114" i="1"/>
  <c r="X114" i="1"/>
  <c r="K114" i="1"/>
  <c r="AB114" i="1"/>
  <c r="A115" i="24"/>
  <c r="AB114" i="24"/>
  <c r="X114" i="24"/>
  <c r="K114" i="24"/>
  <c r="A114" i="15"/>
  <c r="X113" i="15"/>
  <c r="K113" i="15"/>
  <c r="AB113" i="15"/>
  <c r="A114" i="22"/>
  <c r="K113" i="22"/>
  <c r="AB113" i="22"/>
  <c r="X113" i="22"/>
  <c r="X113" i="25"/>
  <c r="K113" i="25"/>
  <c r="A114" i="25"/>
  <c r="AB113" i="25"/>
  <c r="A115" i="25"/>
  <c r="X114" i="25"/>
  <c r="K114" i="25"/>
  <c r="AB114" i="25"/>
  <c r="A115" i="22"/>
  <c r="AB114" i="22"/>
  <c r="K114" i="22"/>
  <c r="X114" i="22"/>
  <c r="A116" i="24"/>
  <c r="X115" i="24"/>
  <c r="K115" i="24"/>
  <c r="AB115" i="24"/>
  <c r="A113" i="18"/>
  <c r="K112" i="18"/>
  <c r="AB112" i="18"/>
  <c r="X112" i="18"/>
  <c r="AB116" i="20"/>
  <c r="A117" i="20"/>
  <c r="X116" i="20"/>
  <c r="K116" i="20"/>
  <c r="A116" i="16"/>
  <c r="X115" i="16"/>
  <c r="K115" i="16"/>
  <c r="AB115" i="16"/>
  <c r="K114" i="15"/>
  <c r="AB114" i="15"/>
  <c r="X114" i="15"/>
  <c r="A115" i="15"/>
  <c r="AJ115" i="1"/>
  <c r="L115" i="1"/>
  <c r="X115" i="1"/>
  <c r="AK115" i="1"/>
  <c r="K115" i="1"/>
  <c r="AB115" i="1"/>
  <c r="X117" i="17"/>
  <c r="AB117" i="17"/>
  <c r="A118" i="17"/>
  <c r="K117" i="17"/>
  <c r="AB113" i="23"/>
  <c r="K113" i="23"/>
  <c r="X113" i="23"/>
  <c r="A114" i="23"/>
  <c r="A119" i="17"/>
  <c r="AB118" i="17"/>
  <c r="X118" i="17"/>
  <c r="K118" i="17"/>
  <c r="AK116" i="1"/>
  <c r="L116" i="1"/>
  <c r="K116" i="1"/>
  <c r="AJ116" i="1"/>
  <c r="X116" i="1"/>
  <c r="AB116" i="1"/>
  <c r="AB116" i="16"/>
  <c r="A117" i="16"/>
  <c r="L116" i="16"/>
  <c r="D116" i="16" s="1"/>
  <c r="X116" i="16"/>
  <c r="K116" i="16"/>
  <c r="X116" i="24"/>
  <c r="A117" i="24"/>
  <c r="AB116" i="24"/>
  <c r="K116" i="24"/>
  <c r="A116" i="22"/>
  <c r="X115" i="22"/>
  <c r="AB115" i="22"/>
  <c r="K115" i="22"/>
  <c r="X114" i="23"/>
  <c r="AB114" i="23"/>
  <c r="A115" i="23"/>
  <c r="K114" i="23"/>
  <c r="A116" i="15"/>
  <c r="K115" i="15"/>
  <c r="AB115" i="15"/>
  <c r="X115" i="15"/>
  <c r="K117" i="20"/>
  <c r="X117" i="20"/>
  <c r="AB117" i="20"/>
  <c r="A118" i="20"/>
  <c r="A114" i="18"/>
  <c r="AB113" i="18"/>
  <c r="X113" i="18"/>
  <c r="K113" i="18"/>
  <c r="AB115" i="25"/>
  <c r="K115" i="25"/>
  <c r="A116" i="25"/>
  <c r="X115" i="25"/>
  <c r="X114" i="18"/>
  <c r="K114" i="18"/>
  <c r="A115" i="18"/>
  <c r="AB114" i="18"/>
  <c r="A117" i="15"/>
  <c r="X116" i="15"/>
  <c r="AB116" i="15"/>
  <c r="K116" i="15"/>
  <c r="AB115" i="23"/>
  <c r="A116" i="23"/>
  <c r="X115" i="23"/>
  <c r="K115" i="23"/>
  <c r="AB117" i="16"/>
  <c r="X117" i="16"/>
  <c r="A118" i="16"/>
  <c r="K117" i="16"/>
  <c r="AK117" i="1"/>
  <c r="K117" i="1"/>
  <c r="X117" i="1"/>
  <c r="AJ117" i="1"/>
  <c r="AB117" i="1"/>
  <c r="L117" i="1"/>
  <c r="A59" i="7"/>
  <c r="X119" i="17"/>
  <c r="A120" i="17"/>
  <c r="K119" i="17"/>
  <c r="AB119" i="17"/>
  <c r="AB116" i="25"/>
  <c r="X116" i="25"/>
  <c r="A117" i="25"/>
  <c r="K116" i="25"/>
  <c r="AB118" i="20"/>
  <c r="A119" i="20"/>
  <c r="X118" i="20"/>
  <c r="K118" i="20"/>
  <c r="AB116" i="22"/>
  <c r="X116" i="22"/>
  <c r="K116" i="22"/>
  <c r="A117" i="22"/>
  <c r="X117" i="24"/>
  <c r="AB117" i="24"/>
  <c r="A118" i="24"/>
  <c r="K117" i="24"/>
  <c r="AB117" i="22"/>
  <c r="K117" i="22"/>
  <c r="A118" i="22"/>
  <c r="X117" i="22"/>
  <c r="K120" i="17"/>
  <c r="X120" i="17"/>
  <c r="AB120" i="17"/>
  <c r="A121" i="17"/>
  <c r="AK118" i="1"/>
  <c r="L118" i="1"/>
  <c r="AC118" i="1"/>
  <c r="AJ118" i="1"/>
  <c r="K118" i="1"/>
  <c r="AB118" i="1"/>
  <c r="X118" i="1"/>
  <c r="K116" i="23"/>
  <c r="AB116" i="23"/>
  <c r="A117" i="23"/>
  <c r="X116" i="23"/>
  <c r="X117" i="15"/>
  <c r="A118" i="15"/>
  <c r="K117" i="15"/>
  <c r="AB117" i="15"/>
  <c r="AB115" i="18"/>
  <c r="A116" i="18"/>
  <c r="X115" i="18"/>
  <c r="K115" i="18"/>
  <c r="K118" i="24"/>
  <c r="X118" i="24"/>
  <c r="A119" i="24"/>
  <c r="AB118" i="24"/>
  <c r="X119" i="20"/>
  <c r="A120" i="20"/>
  <c r="AB119" i="20"/>
  <c r="AE23" i="7"/>
  <c r="K119" i="20"/>
  <c r="A118" i="25"/>
  <c r="K117" i="25"/>
  <c r="AB117" i="25"/>
  <c r="X117" i="25"/>
  <c r="X118" i="16"/>
  <c r="L118" i="16"/>
  <c r="D118" i="16" s="1"/>
  <c r="AB118" i="16"/>
  <c r="A119" i="16"/>
  <c r="K118" i="16"/>
  <c r="K119" i="16"/>
  <c r="A120" i="16"/>
  <c r="AB119" i="16"/>
  <c r="X119" i="16"/>
  <c r="A47" i="7"/>
  <c r="A119" i="25"/>
  <c r="K118" i="25"/>
  <c r="X118" i="25"/>
  <c r="AB118" i="25"/>
  <c r="K120" i="20"/>
  <c r="AB120" i="20"/>
  <c r="X120" i="20"/>
  <c r="A121" i="20"/>
  <c r="X117" i="23"/>
  <c r="AB117" i="23"/>
  <c r="A118" i="23"/>
  <c r="K117" i="23"/>
  <c r="X121" i="17"/>
  <c r="K121" i="17"/>
  <c r="AB121" i="17"/>
  <c r="A122" i="17"/>
  <c r="AB118" i="22"/>
  <c r="K118" i="22"/>
  <c r="A119" i="22"/>
  <c r="X118" i="22"/>
  <c r="X119" i="24"/>
  <c r="AE59" i="7"/>
  <c r="A120" i="24"/>
  <c r="AB119" i="24"/>
  <c r="K119" i="24"/>
  <c r="K116" i="18"/>
  <c r="X116" i="18"/>
  <c r="A117" i="18"/>
  <c r="AB116" i="18"/>
  <c r="K118" i="15"/>
  <c r="AB118" i="15"/>
  <c r="A119" i="15"/>
  <c r="X118" i="15"/>
  <c r="AK119" i="1"/>
  <c r="X119" i="1"/>
  <c r="K119" i="1"/>
  <c r="AJ119" i="1"/>
  <c r="L119" i="1"/>
  <c r="B23" i="7" s="1"/>
  <c r="A23" i="7"/>
  <c r="AB119" i="1"/>
  <c r="AK120" i="1"/>
  <c r="K120" i="1"/>
  <c r="AB120" i="1"/>
  <c r="AJ120" i="1"/>
  <c r="X120" i="1"/>
  <c r="L120" i="1"/>
  <c r="A118" i="18"/>
  <c r="K117" i="18"/>
  <c r="AB117" i="18"/>
  <c r="X117" i="18"/>
  <c r="AB119" i="22"/>
  <c r="AE35" i="7"/>
  <c r="X119" i="22"/>
  <c r="A120" i="22"/>
  <c r="K119" i="22"/>
  <c r="A123" i="17"/>
  <c r="AB122" i="17"/>
  <c r="X122" i="17"/>
  <c r="K122" i="17"/>
  <c r="AB119" i="25"/>
  <c r="AE71" i="7"/>
  <c r="K119" i="25"/>
  <c r="A120" i="25"/>
  <c r="X119" i="25"/>
  <c r="AB120" i="16"/>
  <c r="L120" i="16"/>
  <c r="D120" i="16" s="1"/>
  <c r="K120" i="16"/>
  <c r="X120" i="16"/>
  <c r="A121" i="16"/>
  <c r="A120" i="15"/>
  <c r="A35" i="7"/>
  <c r="K119" i="15"/>
  <c r="AB119" i="15"/>
  <c r="X119" i="15"/>
  <c r="X120" i="24"/>
  <c r="K120" i="24"/>
  <c r="A121" i="24"/>
  <c r="AB120" i="24"/>
  <c r="X118" i="23"/>
  <c r="K118" i="23"/>
  <c r="A119" i="23"/>
  <c r="AB118" i="23"/>
  <c r="A122" i="20"/>
  <c r="AB121" i="20"/>
  <c r="X121" i="20"/>
  <c r="K121" i="20"/>
  <c r="X121" i="24"/>
  <c r="A122" i="24"/>
  <c r="K121" i="24"/>
  <c r="AB121" i="24"/>
  <c r="K123" i="17"/>
  <c r="AB123" i="17"/>
  <c r="X123" i="17"/>
  <c r="A124" i="17"/>
  <c r="X122" i="20"/>
  <c r="A123" i="20"/>
  <c r="AB122" i="20"/>
  <c r="K122" i="20"/>
  <c r="X119" i="23"/>
  <c r="AE47" i="7"/>
  <c r="K119" i="23"/>
  <c r="AB119" i="23"/>
  <c r="A120" i="23"/>
  <c r="A121" i="15"/>
  <c r="K120" i="15"/>
  <c r="X120" i="15"/>
  <c r="AB120" i="15"/>
  <c r="AB121" i="16"/>
  <c r="X121" i="16"/>
  <c r="K121" i="16"/>
  <c r="A122" i="16"/>
  <c r="AB120" i="25"/>
  <c r="K120" i="25"/>
  <c r="A121" i="25"/>
  <c r="X120" i="25"/>
  <c r="AB120" i="22"/>
  <c r="A121" i="22"/>
  <c r="X120" i="22"/>
  <c r="K120" i="22"/>
  <c r="AB118" i="18"/>
  <c r="A119" i="18"/>
  <c r="K118" i="18"/>
  <c r="X118" i="18"/>
  <c r="AK121" i="1"/>
  <c r="L121" i="1"/>
  <c r="AB121" i="1"/>
  <c r="AJ121" i="1"/>
  <c r="K121" i="1"/>
  <c r="X121" i="1"/>
  <c r="AB119" i="18"/>
  <c r="X119" i="18"/>
  <c r="A71" i="7"/>
  <c r="A120" i="18"/>
  <c r="K119" i="18"/>
  <c r="A122" i="22"/>
  <c r="K121" i="22"/>
  <c r="X121" i="22"/>
  <c r="AB121" i="22"/>
  <c r="A123" i="24"/>
  <c r="AB122" i="24"/>
  <c r="X122" i="24"/>
  <c r="K122" i="24"/>
  <c r="AJ122" i="1"/>
  <c r="L122" i="1"/>
  <c r="X122" i="1"/>
  <c r="AB122" i="1"/>
  <c r="AK122" i="1"/>
  <c r="K122" i="1"/>
  <c r="O122" i="1"/>
  <c r="A122" i="25"/>
  <c r="X121" i="25"/>
  <c r="K121" i="25"/>
  <c r="AB121" i="25"/>
  <c r="X122" i="16"/>
  <c r="AB122" i="16"/>
  <c r="L122" i="16"/>
  <c r="D122" i="16" s="1"/>
  <c r="A123" i="16"/>
  <c r="K122" i="16"/>
  <c r="AB121" i="15"/>
  <c r="K121" i="15"/>
  <c r="A122" i="15"/>
  <c r="X121" i="15"/>
  <c r="K120" i="23"/>
  <c r="AB120" i="23"/>
  <c r="X120" i="23"/>
  <c r="A121" i="23"/>
  <c r="AB123" i="20"/>
  <c r="X123" i="20"/>
  <c r="A124" i="20"/>
  <c r="K123" i="20"/>
  <c r="K124" i="17"/>
  <c r="AB124" i="17"/>
  <c r="A125" i="17"/>
  <c r="X124" i="17"/>
  <c r="X124" i="20"/>
  <c r="AB124" i="20"/>
  <c r="A125" i="20"/>
  <c r="K124" i="20"/>
  <c r="AB122" i="25"/>
  <c r="X122" i="25"/>
  <c r="A123" i="25"/>
  <c r="K122" i="25"/>
  <c r="A126" i="17"/>
  <c r="K125" i="17"/>
  <c r="AB125" i="17"/>
  <c r="X125" i="17"/>
  <c r="K121" i="23"/>
  <c r="AB121" i="23"/>
  <c r="X121" i="23"/>
  <c r="A122" i="23"/>
  <c r="K122" i="15"/>
  <c r="A123" i="15"/>
  <c r="X122" i="15"/>
  <c r="AB122" i="15"/>
  <c r="A124" i="16"/>
  <c r="K123" i="16"/>
  <c r="X123" i="16"/>
  <c r="AB123" i="16"/>
  <c r="L123" i="16"/>
  <c r="D123" i="16" s="1"/>
  <c r="AK123" i="1"/>
  <c r="X123" i="1"/>
  <c r="AB123" i="1"/>
  <c r="L123" i="1"/>
  <c r="AJ123" i="1"/>
  <c r="K123" i="1"/>
  <c r="K123" i="24"/>
  <c r="AB123" i="24"/>
  <c r="A124" i="24"/>
  <c r="X123" i="24"/>
  <c r="AB122" i="22"/>
  <c r="X122" i="22"/>
  <c r="A123" i="22"/>
  <c r="K122" i="22"/>
  <c r="AB120" i="18"/>
  <c r="X120" i="18"/>
  <c r="K120" i="18"/>
  <c r="A121" i="18"/>
  <c r="X124" i="24"/>
  <c r="AB124" i="24"/>
  <c r="K124" i="24"/>
  <c r="A125" i="24"/>
  <c r="A124" i="25"/>
  <c r="AB123" i="25"/>
  <c r="K123" i="25"/>
  <c r="X123" i="25"/>
  <c r="AB125" i="20"/>
  <c r="X125" i="20"/>
  <c r="A126" i="20"/>
  <c r="K125" i="20"/>
  <c r="A122" i="18"/>
  <c r="X121" i="18"/>
  <c r="AB121" i="18"/>
  <c r="K121" i="18"/>
  <c r="AB123" i="22"/>
  <c r="A124" i="22"/>
  <c r="X123" i="22"/>
  <c r="K123" i="22"/>
  <c r="AK124" i="1"/>
  <c r="AB124" i="1"/>
  <c r="X124" i="1"/>
  <c r="AJ124" i="1"/>
  <c r="K124" i="1"/>
  <c r="L124" i="1"/>
  <c r="X124" i="16"/>
  <c r="AB124" i="16"/>
  <c r="K124" i="16"/>
  <c r="A125" i="16"/>
  <c r="X123" i="15"/>
  <c r="A124" i="15"/>
  <c r="AB123" i="15"/>
  <c r="K123" i="15"/>
  <c r="A123" i="23"/>
  <c r="X122" i="23"/>
  <c r="AB122" i="23"/>
  <c r="K122" i="23"/>
  <c r="K126" i="17"/>
  <c r="A127" i="17"/>
  <c r="AB126" i="17"/>
  <c r="X126" i="17"/>
  <c r="X123" i="23"/>
  <c r="A124" i="23"/>
  <c r="K123" i="23"/>
  <c r="AB123" i="23"/>
  <c r="K126" i="20"/>
  <c r="AB126" i="20"/>
  <c r="X126" i="20"/>
  <c r="A127" i="20"/>
  <c r="X125" i="24"/>
  <c r="A126" i="24"/>
  <c r="AB125" i="24"/>
  <c r="K125" i="24"/>
  <c r="A128" i="17"/>
  <c r="K127" i="17"/>
  <c r="AB127" i="17"/>
  <c r="X127" i="17"/>
  <c r="A125" i="15"/>
  <c r="X124" i="15"/>
  <c r="K124" i="15"/>
  <c r="AB124" i="15"/>
  <c r="A126" i="16"/>
  <c r="AB125" i="16"/>
  <c r="K125" i="16"/>
  <c r="X125" i="16"/>
  <c r="AJ125" i="1"/>
  <c r="X125" i="1"/>
  <c r="K125" i="1"/>
  <c r="AK125" i="1"/>
  <c r="AB125" i="1"/>
  <c r="L125" i="1"/>
  <c r="K124" i="22"/>
  <c r="X124" i="22"/>
  <c r="AB124" i="22"/>
  <c r="A125" i="22"/>
  <c r="A123" i="18"/>
  <c r="X122" i="18"/>
  <c r="AB122" i="18"/>
  <c r="K122" i="18"/>
  <c r="AB124" i="25"/>
  <c r="A125" i="25"/>
  <c r="X124" i="25"/>
  <c r="K124" i="25"/>
  <c r="K125" i="25"/>
  <c r="AB125" i="25"/>
  <c r="X125" i="25"/>
  <c r="A126" i="25"/>
  <c r="X127" i="20"/>
  <c r="A128" i="20"/>
  <c r="AB127" i="20"/>
  <c r="K127" i="20"/>
  <c r="AB125" i="22"/>
  <c r="A126" i="22"/>
  <c r="X125" i="22"/>
  <c r="K125" i="22"/>
  <c r="K126" i="16"/>
  <c r="L126" i="16"/>
  <c r="D126" i="16" s="1"/>
  <c r="A127" i="16"/>
  <c r="X126" i="16"/>
  <c r="AB126" i="16"/>
  <c r="AB126" i="24"/>
  <c r="K126" i="24"/>
  <c r="X126" i="24"/>
  <c r="A127" i="24"/>
  <c r="X124" i="23"/>
  <c r="A125" i="23"/>
  <c r="K124" i="23"/>
  <c r="AB124" i="23"/>
  <c r="A124" i="18"/>
  <c r="X123" i="18"/>
  <c r="K123" i="18"/>
  <c r="AB123" i="18"/>
  <c r="AJ126" i="1"/>
  <c r="AB126" i="1"/>
  <c r="L126" i="1"/>
  <c r="AK126" i="1"/>
  <c r="X126" i="1"/>
  <c r="K126" i="1"/>
  <c r="X125" i="15"/>
  <c r="K125" i="15"/>
  <c r="AB125" i="15"/>
  <c r="A126" i="15"/>
  <c r="K128" i="17"/>
  <c r="X128" i="17"/>
  <c r="AB128" i="17"/>
  <c r="A129" i="17"/>
  <c r="A130" i="17"/>
  <c r="X129" i="17"/>
  <c r="AB129" i="17"/>
  <c r="K129" i="17"/>
  <c r="AB127" i="24"/>
  <c r="K127" i="24"/>
  <c r="X127" i="24"/>
  <c r="A128" i="24"/>
  <c r="AB127" i="16"/>
  <c r="X127" i="16"/>
  <c r="A128" i="16"/>
  <c r="K127" i="16"/>
  <c r="AB126" i="22"/>
  <c r="K126" i="22"/>
  <c r="A127" i="22"/>
  <c r="X126" i="22"/>
  <c r="X126" i="25"/>
  <c r="AB126" i="25"/>
  <c r="A127" i="25"/>
  <c r="K126" i="25"/>
  <c r="AB126" i="15"/>
  <c r="A127" i="15"/>
  <c r="K126" i="15"/>
  <c r="X126" i="15"/>
  <c r="AJ127" i="1"/>
  <c r="X127" i="1"/>
  <c r="L127" i="1"/>
  <c r="AK127" i="1"/>
  <c r="AB127" i="1"/>
  <c r="K127" i="1"/>
  <c r="A125" i="18"/>
  <c r="X124" i="18"/>
  <c r="K124" i="18"/>
  <c r="AB124" i="18"/>
  <c r="A126" i="23"/>
  <c r="AB125" i="23"/>
  <c r="K125" i="23"/>
  <c r="X125" i="23"/>
  <c r="A129" i="20"/>
  <c r="K128" i="20"/>
  <c r="X128" i="20"/>
  <c r="AB128" i="20"/>
  <c r="X129" i="20"/>
  <c r="AB129" i="20"/>
  <c r="K129" i="20"/>
  <c r="A130" i="20"/>
  <c r="A126" i="18"/>
  <c r="K125" i="18"/>
  <c r="AB125" i="18"/>
  <c r="X125" i="18"/>
  <c r="AK128" i="1"/>
  <c r="X128" i="1"/>
  <c r="AB128" i="1"/>
  <c r="AJ128" i="1"/>
  <c r="K128" i="1"/>
  <c r="L128" i="1"/>
  <c r="X127" i="15"/>
  <c r="K127" i="15"/>
  <c r="AB127" i="15"/>
  <c r="A128" i="15"/>
  <c r="A128" i="25"/>
  <c r="X127" i="25"/>
  <c r="AB127" i="25"/>
  <c r="K127" i="25"/>
  <c r="K127" i="22"/>
  <c r="X127" i="22"/>
  <c r="A128" i="22"/>
  <c r="AB127" i="22"/>
  <c r="X126" i="23"/>
  <c r="AB126" i="23"/>
  <c r="A127" i="23"/>
  <c r="K126" i="23"/>
  <c r="A129" i="16"/>
  <c r="AB128" i="16"/>
  <c r="X128" i="16"/>
  <c r="K128" i="16"/>
  <c r="AB128" i="24"/>
  <c r="K128" i="24"/>
  <c r="X128" i="24"/>
  <c r="A129" i="24"/>
  <c r="K130" i="17"/>
  <c r="A131" i="17"/>
  <c r="X130" i="17"/>
  <c r="AB130" i="17"/>
  <c r="AB129" i="24"/>
  <c r="K129" i="24"/>
  <c r="A130" i="24"/>
  <c r="X129" i="24"/>
  <c r="X127" i="23"/>
  <c r="K127" i="23"/>
  <c r="AB127" i="23"/>
  <c r="A128" i="23"/>
  <c r="A129" i="22"/>
  <c r="K128" i="22"/>
  <c r="X128" i="22"/>
  <c r="AB128" i="22"/>
  <c r="K128" i="25"/>
  <c r="AB128" i="25"/>
  <c r="X128" i="25"/>
  <c r="A129" i="25"/>
  <c r="AK129" i="1"/>
  <c r="AB129" i="1"/>
  <c r="L129" i="1"/>
  <c r="AJ129" i="1"/>
  <c r="K129" i="1"/>
  <c r="X129" i="1"/>
  <c r="K130" i="20"/>
  <c r="X130" i="20"/>
  <c r="A131" i="20"/>
  <c r="AB130" i="20"/>
  <c r="AB131" i="17"/>
  <c r="A132" i="17"/>
  <c r="X131" i="17"/>
  <c r="K131" i="17"/>
  <c r="K129" i="16"/>
  <c r="X129" i="16"/>
  <c r="A130" i="16"/>
  <c r="AB129" i="16"/>
  <c r="A129" i="15"/>
  <c r="X128" i="15"/>
  <c r="K128" i="15"/>
  <c r="AB128" i="15"/>
  <c r="K126" i="18"/>
  <c r="AB126" i="18"/>
  <c r="X126" i="18"/>
  <c r="A127" i="18"/>
  <c r="K127" i="18"/>
  <c r="A128" i="18"/>
  <c r="X127" i="18"/>
  <c r="AB127" i="18"/>
  <c r="AB129" i="15"/>
  <c r="K129" i="15"/>
  <c r="A130" i="15"/>
  <c r="X129" i="15"/>
  <c r="X130" i="16"/>
  <c r="AB130" i="16"/>
  <c r="K130" i="16"/>
  <c r="A131" i="16"/>
  <c r="AK130" i="1"/>
  <c r="K130" i="1"/>
  <c r="AJ130" i="1"/>
  <c r="AB130" i="1"/>
  <c r="X130" i="1"/>
  <c r="L130" i="1"/>
  <c r="AB129" i="25"/>
  <c r="X129" i="25"/>
  <c r="A130" i="25"/>
  <c r="K129" i="25"/>
  <c r="AB129" i="22"/>
  <c r="X129" i="22"/>
  <c r="A130" i="22"/>
  <c r="K129" i="22"/>
  <c r="K132" i="17"/>
  <c r="A133" i="17"/>
  <c r="X132" i="17"/>
  <c r="AB132" i="17"/>
  <c r="K131" i="20"/>
  <c r="A132" i="20"/>
  <c r="X131" i="20"/>
  <c r="AB131" i="20"/>
  <c r="A129" i="23"/>
  <c r="X128" i="23"/>
  <c r="AB128" i="23"/>
  <c r="K128" i="23"/>
  <c r="AB130" i="24"/>
  <c r="K130" i="24"/>
  <c r="A131" i="24"/>
  <c r="X130" i="24"/>
  <c r="AB129" i="23"/>
  <c r="X129" i="23"/>
  <c r="A130" i="23"/>
  <c r="K129" i="23"/>
  <c r="K130" i="22"/>
  <c r="AB130" i="22"/>
  <c r="A131" i="22"/>
  <c r="X130" i="22"/>
  <c r="A131" i="25"/>
  <c r="X130" i="25"/>
  <c r="AB130" i="25"/>
  <c r="K130" i="25"/>
  <c r="AJ131" i="1"/>
  <c r="K131" i="1"/>
  <c r="L131" i="1"/>
  <c r="AK131" i="1"/>
  <c r="X131" i="1"/>
  <c r="AB131" i="1"/>
  <c r="K131" i="16"/>
  <c r="AB131" i="16"/>
  <c r="X131" i="16"/>
  <c r="A132" i="16"/>
  <c r="L131" i="16"/>
  <c r="D131" i="16" s="1"/>
  <c r="A131" i="15"/>
  <c r="X130" i="15"/>
  <c r="K130" i="15"/>
  <c r="AB130" i="15"/>
  <c r="K128" i="18"/>
  <c r="A129" i="18"/>
  <c r="X128" i="18"/>
  <c r="AB128" i="18"/>
  <c r="X131" i="24"/>
  <c r="AB131" i="24"/>
  <c r="A132" i="24"/>
  <c r="K131" i="24"/>
  <c r="X132" i="20"/>
  <c r="AB132" i="20"/>
  <c r="K132" i="20"/>
  <c r="A133" i="20"/>
  <c r="X133" i="17"/>
  <c r="AB133" i="17"/>
  <c r="K133" i="17"/>
  <c r="A134" i="17"/>
  <c r="K134" i="17"/>
  <c r="AB134" i="17"/>
  <c r="A135" i="17"/>
  <c r="X134" i="17"/>
  <c r="X133" i="20"/>
  <c r="K133" i="20"/>
  <c r="A134" i="20"/>
  <c r="AB133" i="20"/>
  <c r="AB132" i="24"/>
  <c r="K132" i="24"/>
  <c r="X132" i="24"/>
  <c r="A133" i="24"/>
  <c r="A130" i="18"/>
  <c r="X129" i="18"/>
  <c r="AB129" i="18"/>
  <c r="K129" i="18"/>
  <c r="AK132" i="1"/>
  <c r="AB132" i="1"/>
  <c r="L132" i="1"/>
  <c r="AJ132" i="1"/>
  <c r="K132" i="1"/>
  <c r="X132" i="1"/>
  <c r="A132" i="25"/>
  <c r="AB131" i="25"/>
  <c r="K131" i="25"/>
  <c r="X131" i="25"/>
  <c r="AB131" i="15"/>
  <c r="K131" i="15"/>
  <c r="X131" i="15"/>
  <c r="A132" i="15"/>
  <c r="X132" i="16"/>
  <c r="A133" i="16"/>
  <c r="AB132" i="16"/>
  <c r="K132" i="16"/>
  <c r="X131" i="22"/>
  <c r="A132" i="22"/>
  <c r="K131" i="22"/>
  <c r="AB131" i="22"/>
  <c r="K130" i="23"/>
  <c r="X130" i="23"/>
  <c r="A131" i="23"/>
  <c r="AB130" i="23"/>
  <c r="AB133" i="16"/>
  <c r="X133" i="16"/>
  <c r="A134" i="16"/>
  <c r="L133" i="16"/>
  <c r="D133" i="16" s="1"/>
  <c r="K133" i="16"/>
  <c r="X130" i="18"/>
  <c r="K130" i="18"/>
  <c r="AB130" i="18"/>
  <c r="A131" i="18"/>
  <c r="X133" i="24"/>
  <c r="A134" i="24"/>
  <c r="K133" i="24"/>
  <c r="AB133" i="24"/>
  <c r="X134" i="20"/>
  <c r="A135" i="20"/>
  <c r="AB134" i="20"/>
  <c r="K134" i="20"/>
  <c r="K135" i="17"/>
  <c r="A136" i="17"/>
  <c r="AB135" i="17"/>
  <c r="X135" i="17"/>
  <c r="A132" i="23"/>
  <c r="X131" i="23"/>
  <c r="K131" i="23"/>
  <c r="AB131" i="23"/>
  <c r="A133" i="22"/>
  <c r="K132" i="22"/>
  <c r="AB132" i="22"/>
  <c r="X132" i="22"/>
  <c r="X132" i="15"/>
  <c r="A133" i="15"/>
  <c r="K132" i="15"/>
  <c r="AB132" i="15"/>
  <c r="X132" i="25"/>
  <c r="A133" i="25"/>
  <c r="K132" i="25"/>
  <c r="AB132" i="25"/>
  <c r="AK133" i="1"/>
  <c r="AB133" i="1"/>
  <c r="X133" i="1"/>
  <c r="AJ133" i="1"/>
  <c r="L133" i="1"/>
  <c r="K133" i="1"/>
  <c r="K133" i="25"/>
  <c r="X133" i="25"/>
  <c r="AB133" i="25"/>
  <c r="A134" i="25"/>
  <c r="X132" i="23"/>
  <c r="K132" i="23"/>
  <c r="AB132" i="23"/>
  <c r="A133" i="23"/>
  <c r="X134" i="24"/>
  <c r="AB134" i="24"/>
  <c r="K134" i="24"/>
  <c r="A135" i="24"/>
  <c r="A132" i="18"/>
  <c r="X131" i="18"/>
  <c r="K131" i="18"/>
  <c r="AB131" i="18"/>
  <c r="AK134" i="1"/>
  <c r="X134" i="1"/>
  <c r="AJ134" i="1"/>
  <c r="AB134" i="1"/>
  <c r="K134" i="1"/>
  <c r="L134" i="1"/>
  <c r="K133" i="15"/>
  <c r="X133" i="15"/>
  <c r="A134" i="15"/>
  <c r="AB133" i="15"/>
  <c r="K133" i="22"/>
  <c r="A134" i="22"/>
  <c r="X133" i="22"/>
  <c r="AB133" i="22"/>
  <c r="K136" i="17"/>
  <c r="X136" i="17"/>
  <c r="A137" i="17"/>
  <c r="AB136" i="17"/>
  <c r="AB135" i="20"/>
  <c r="K135" i="20"/>
  <c r="A136" i="20"/>
  <c r="X135" i="20"/>
  <c r="X134" i="16"/>
  <c r="AB134" i="16"/>
  <c r="A135" i="16"/>
  <c r="K134" i="16"/>
  <c r="K136" i="20"/>
  <c r="A137" i="20"/>
  <c r="X136" i="20"/>
  <c r="AB136" i="20"/>
  <c r="A138" i="17"/>
  <c r="X137" i="17"/>
  <c r="AB137" i="17"/>
  <c r="K137" i="17"/>
  <c r="X134" i="15"/>
  <c r="AB134" i="15"/>
  <c r="A135" i="15"/>
  <c r="K134" i="15"/>
  <c r="X135" i="24"/>
  <c r="AB135" i="24"/>
  <c r="A136" i="24"/>
  <c r="K135" i="24"/>
  <c r="A136" i="16"/>
  <c r="K135" i="16"/>
  <c r="X135" i="16"/>
  <c r="AB135" i="16"/>
  <c r="L135" i="16"/>
  <c r="D135" i="16" s="1"/>
  <c r="A135" i="22"/>
  <c r="K134" i="22"/>
  <c r="AB134" i="22"/>
  <c r="X134" i="22"/>
  <c r="AK135" i="1"/>
  <c r="K135" i="1"/>
  <c r="AB135" i="1"/>
  <c r="L135" i="1"/>
  <c r="AJ135" i="1"/>
  <c r="X135" i="1"/>
  <c r="AB132" i="18"/>
  <c r="K132" i="18"/>
  <c r="A133" i="18"/>
  <c r="X132" i="18"/>
  <c r="AB133" i="23"/>
  <c r="K133" i="23"/>
  <c r="A134" i="23"/>
  <c r="X133" i="23"/>
  <c r="X134" i="25"/>
  <c r="AB134" i="25"/>
  <c r="A135" i="25"/>
  <c r="K134" i="25"/>
  <c r="K135" i="25"/>
  <c r="X135" i="25"/>
  <c r="AB135" i="25"/>
  <c r="A136" i="25"/>
  <c r="A135" i="23"/>
  <c r="X134" i="23"/>
  <c r="AB134" i="23"/>
  <c r="K134" i="23"/>
  <c r="AK136" i="1"/>
  <c r="AB136" i="1"/>
  <c r="X136" i="1"/>
  <c r="AJ136" i="1"/>
  <c r="K136" i="1"/>
  <c r="L136" i="1"/>
  <c r="AB135" i="22"/>
  <c r="K135" i="22"/>
  <c r="A136" i="22"/>
  <c r="X135" i="22"/>
  <c r="K136" i="16"/>
  <c r="A137" i="16"/>
  <c r="AB136" i="16"/>
  <c r="X136" i="16"/>
  <c r="AB136" i="24"/>
  <c r="X136" i="24"/>
  <c r="A137" i="24"/>
  <c r="K136" i="24"/>
  <c r="X133" i="18"/>
  <c r="AB133" i="18"/>
  <c r="K133" i="18"/>
  <c r="A134" i="18"/>
  <c r="A136" i="15"/>
  <c r="X135" i="15"/>
  <c r="AB135" i="15"/>
  <c r="K135" i="15"/>
  <c r="A139" i="17"/>
  <c r="K138" i="17"/>
  <c r="X138" i="17"/>
  <c r="AB138" i="17"/>
  <c r="K137" i="20"/>
  <c r="X137" i="20"/>
  <c r="AB137" i="20"/>
  <c r="A138" i="20"/>
  <c r="AB139" i="17"/>
  <c r="A140" i="17"/>
  <c r="K139" i="17"/>
  <c r="X139" i="17"/>
  <c r="AB138" i="20"/>
  <c r="X138" i="20"/>
  <c r="K138" i="20"/>
  <c r="A139" i="20"/>
  <c r="X137" i="24"/>
  <c r="A138" i="24"/>
  <c r="AB137" i="24"/>
  <c r="K137" i="24"/>
  <c r="A138" i="16"/>
  <c r="AB137" i="16"/>
  <c r="X137" i="16"/>
  <c r="K137" i="16"/>
  <c r="A137" i="25"/>
  <c r="K136" i="25"/>
  <c r="X136" i="25"/>
  <c r="AB136" i="25"/>
  <c r="K136" i="15"/>
  <c r="AB136" i="15"/>
  <c r="X136" i="15"/>
  <c r="A137" i="15"/>
  <c r="AB134" i="18"/>
  <c r="A135" i="18"/>
  <c r="K134" i="18"/>
  <c r="X134" i="18"/>
  <c r="K136" i="22"/>
  <c r="A137" i="22"/>
  <c r="X136" i="22"/>
  <c r="AB136" i="22"/>
  <c r="AJ137" i="1"/>
  <c r="AB137" i="1"/>
  <c r="X137" i="1"/>
  <c r="L137" i="1"/>
  <c r="AK137" i="1"/>
  <c r="K137" i="1"/>
  <c r="AB135" i="23"/>
  <c r="X135" i="23"/>
  <c r="A136" i="23"/>
  <c r="K135" i="23"/>
  <c r="AK138" i="1"/>
  <c r="X138" i="1"/>
  <c r="AB138" i="1"/>
  <c r="AJ138" i="1"/>
  <c r="K138" i="1"/>
  <c r="L138" i="1"/>
  <c r="A138" i="22"/>
  <c r="X137" i="22"/>
  <c r="K137" i="22"/>
  <c r="AB137" i="22"/>
  <c r="X135" i="18"/>
  <c r="AB135" i="18"/>
  <c r="A136" i="18"/>
  <c r="K135" i="18"/>
  <c r="A138" i="15"/>
  <c r="K137" i="15"/>
  <c r="AB137" i="15"/>
  <c r="X137" i="15"/>
  <c r="AB137" i="25"/>
  <c r="A138" i="25"/>
  <c r="K137" i="25"/>
  <c r="X137" i="25"/>
  <c r="A139" i="24"/>
  <c r="AB138" i="24"/>
  <c r="K138" i="24"/>
  <c r="X138" i="24"/>
  <c r="A137" i="23"/>
  <c r="X136" i="23"/>
  <c r="K136" i="23"/>
  <c r="AB136" i="23"/>
  <c r="X138" i="16"/>
  <c r="AB138" i="16"/>
  <c r="K138" i="16"/>
  <c r="A139" i="16"/>
  <c r="A140" i="20"/>
  <c r="X139" i="20"/>
  <c r="AB139" i="20"/>
  <c r="K139" i="20"/>
  <c r="X140" i="17"/>
  <c r="AB140" i="17"/>
  <c r="K140" i="17"/>
  <c r="A141" i="17"/>
  <c r="A142" i="17"/>
  <c r="AB141" i="17"/>
  <c r="X141" i="17"/>
  <c r="K141" i="17"/>
  <c r="X140" i="20"/>
  <c r="A141" i="20"/>
  <c r="K140" i="20"/>
  <c r="AB140" i="20"/>
  <c r="A140" i="16"/>
  <c r="L139" i="16"/>
  <c r="D139" i="16" s="1"/>
  <c r="X139" i="16"/>
  <c r="AB139" i="16"/>
  <c r="K139" i="16"/>
  <c r="K137" i="23"/>
  <c r="AB137" i="23"/>
  <c r="A138" i="23"/>
  <c r="X137" i="23"/>
  <c r="K139" i="24"/>
  <c r="X139" i="24"/>
  <c r="A140" i="24"/>
  <c r="AB139" i="24"/>
  <c r="K138" i="25"/>
  <c r="AB138" i="25"/>
  <c r="A139" i="25"/>
  <c r="X138" i="25"/>
  <c r="A139" i="15"/>
  <c r="AB138" i="15"/>
  <c r="K138" i="15"/>
  <c r="X138" i="15"/>
  <c r="AB138" i="22"/>
  <c r="K138" i="22"/>
  <c r="X138" i="22"/>
  <c r="A139" i="22"/>
  <c r="AB136" i="18"/>
  <c r="X136" i="18"/>
  <c r="K136" i="18"/>
  <c r="A137" i="18"/>
  <c r="AK139" i="1"/>
  <c r="K139" i="1"/>
  <c r="X139" i="1"/>
  <c r="L139" i="1"/>
  <c r="AJ139" i="1"/>
  <c r="AB139" i="1"/>
  <c r="A138" i="18"/>
  <c r="X137" i="18"/>
  <c r="K137" i="18"/>
  <c r="AB137" i="18"/>
  <c r="AB139" i="15"/>
  <c r="X139" i="15"/>
  <c r="A140" i="15"/>
  <c r="K139" i="15"/>
  <c r="K138" i="23"/>
  <c r="AB138" i="23"/>
  <c r="X138" i="23"/>
  <c r="A139" i="23"/>
  <c r="AJ140" i="1"/>
  <c r="X140" i="1"/>
  <c r="L140" i="1"/>
  <c r="AK140" i="1"/>
  <c r="K140" i="1"/>
  <c r="AB140" i="1"/>
  <c r="AB139" i="22"/>
  <c r="A140" i="22"/>
  <c r="K139" i="22"/>
  <c r="X139" i="22"/>
  <c r="X139" i="25"/>
  <c r="A140" i="25"/>
  <c r="AB139" i="25"/>
  <c r="K139" i="25"/>
  <c r="A141" i="24"/>
  <c r="AB140" i="24"/>
  <c r="K140" i="24"/>
  <c r="X140" i="24"/>
  <c r="K140" i="16"/>
  <c r="A141" i="16"/>
  <c r="AB140" i="16"/>
  <c r="X140" i="16"/>
  <c r="L140" i="16"/>
  <c r="D140" i="16" s="1"/>
  <c r="A142" i="20"/>
  <c r="AB141" i="20"/>
  <c r="X141" i="20"/>
  <c r="K141" i="20"/>
  <c r="AB142" i="17"/>
  <c r="A143" i="17"/>
  <c r="K142" i="17"/>
  <c r="X142" i="17"/>
  <c r="AB143" i="17"/>
  <c r="A144" i="17"/>
  <c r="K143" i="17"/>
  <c r="X143" i="17"/>
  <c r="K142" i="20"/>
  <c r="X142" i="20"/>
  <c r="AB142" i="20"/>
  <c r="A143" i="20"/>
  <c r="K141" i="16"/>
  <c r="X141" i="16"/>
  <c r="A142" i="16"/>
  <c r="AB141" i="16"/>
  <c r="X141" i="24"/>
  <c r="AB141" i="24"/>
  <c r="A142" i="24"/>
  <c r="K141" i="24"/>
  <c r="AB140" i="22"/>
  <c r="X140" i="22"/>
  <c r="K140" i="22"/>
  <c r="A141" i="22"/>
  <c r="AJ141" i="1"/>
  <c r="AB141" i="1"/>
  <c r="X141" i="1"/>
  <c r="AK141" i="1"/>
  <c r="K141" i="1"/>
  <c r="L141" i="1"/>
  <c r="AB139" i="23"/>
  <c r="X139" i="23"/>
  <c r="A140" i="23"/>
  <c r="K139" i="23"/>
  <c r="AB138" i="18"/>
  <c r="A139" i="18"/>
  <c r="X138" i="18"/>
  <c r="K138" i="18"/>
  <c r="A141" i="25"/>
  <c r="X140" i="25"/>
  <c r="K140" i="25"/>
  <c r="AB140" i="25"/>
  <c r="AB140" i="15"/>
  <c r="K140" i="15"/>
  <c r="A141" i="15"/>
  <c r="X140" i="15"/>
  <c r="A142" i="25"/>
  <c r="K141" i="25"/>
  <c r="AB141" i="25"/>
  <c r="X141" i="25"/>
  <c r="AB139" i="18"/>
  <c r="K139" i="18"/>
  <c r="X139" i="18"/>
  <c r="A140" i="18"/>
  <c r="K140" i="23"/>
  <c r="AB140" i="23"/>
  <c r="A141" i="23"/>
  <c r="X140" i="23"/>
  <c r="K142" i="24"/>
  <c r="X142" i="24"/>
  <c r="AB142" i="24"/>
  <c r="A143" i="24"/>
  <c r="X143" i="20"/>
  <c r="K143" i="20"/>
  <c r="A144" i="20"/>
  <c r="AB143" i="20"/>
  <c r="AB144" i="17"/>
  <c r="K144" i="17"/>
  <c r="A145" i="17"/>
  <c r="X144" i="17"/>
  <c r="K141" i="15"/>
  <c r="X141" i="15"/>
  <c r="A142" i="15"/>
  <c r="AB141" i="15"/>
  <c r="AK142" i="1"/>
  <c r="K142" i="1"/>
  <c r="X142" i="1"/>
  <c r="AJ142" i="1"/>
  <c r="AB142" i="1"/>
  <c r="L142" i="1"/>
  <c r="K141" i="22"/>
  <c r="X141" i="22"/>
  <c r="AB141" i="22"/>
  <c r="A142" i="22"/>
  <c r="A143" i="16"/>
  <c r="X142" i="16"/>
  <c r="AB142" i="16"/>
  <c r="K142" i="16"/>
  <c r="AJ143" i="1"/>
  <c r="AB143" i="1"/>
  <c r="AK143" i="1"/>
  <c r="K143" i="1"/>
  <c r="X143" i="1"/>
  <c r="L143" i="1"/>
  <c r="K144" i="20"/>
  <c r="A145" i="20"/>
  <c r="X144" i="20"/>
  <c r="AB144" i="20"/>
  <c r="AB141" i="23"/>
  <c r="X141" i="23"/>
  <c r="K141" i="23"/>
  <c r="A142" i="23"/>
  <c r="A141" i="18"/>
  <c r="K140" i="18"/>
  <c r="AB140" i="18"/>
  <c r="X140" i="18"/>
  <c r="X142" i="25"/>
  <c r="A143" i="25"/>
  <c r="AB142" i="25"/>
  <c r="K142" i="25"/>
  <c r="A144" i="16"/>
  <c r="AB143" i="16"/>
  <c r="L143" i="16"/>
  <c r="D143" i="16" s="1"/>
  <c r="X143" i="16"/>
  <c r="K143" i="16"/>
  <c r="A143" i="22"/>
  <c r="K142" i="22"/>
  <c r="AB142" i="22"/>
  <c r="X142" i="22"/>
  <c r="AB142" i="15"/>
  <c r="K142" i="15"/>
  <c r="X142" i="15"/>
  <c r="A143" i="15"/>
  <c r="AB145" i="17"/>
  <c r="K145" i="17"/>
  <c r="A146" i="17"/>
  <c r="X145" i="17"/>
  <c r="AB143" i="24"/>
  <c r="X143" i="24"/>
  <c r="A144" i="24"/>
  <c r="K143" i="24"/>
  <c r="AB144" i="24"/>
  <c r="X144" i="24"/>
  <c r="A145" i="24"/>
  <c r="K144" i="24"/>
  <c r="K143" i="25"/>
  <c r="A144" i="25"/>
  <c r="X143" i="25"/>
  <c r="AB143" i="25"/>
  <c r="X141" i="18"/>
  <c r="AB141" i="18"/>
  <c r="A142" i="18"/>
  <c r="K141" i="18"/>
  <c r="AB146" i="17"/>
  <c r="X146" i="17"/>
  <c r="A147" i="17"/>
  <c r="K146" i="17"/>
  <c r="A144" i="15"/>
  <c r="K143" i="15"/>
  <c r="X143" i="15"/>
  <c r="AB143" i="15"/>
  <c r="AB143" i="22"/>
  <c r="X143" i="22"/>
  <c r="K143" i="22"/>
  <c r="A144" i="22"/>
  <c r="X144" i="16"/>
  <c r="AB144" i="16"/>
  <c r="A145" i="16"/>
  <c r="K144" i="16"/>
  <c r="L144" i="16"/>
  <c r="D144" i="16" s="1"/>
  <c r="AB142" i="23"/>
  <c r="K142" i="23"/>
  <c r="X142" i="23"/>
  <c r="A143" i="23"/>
  <c r="A146" i="20"/>
  <c r="X145" i="20"/>
  <c r="K145" i="20"/>
  <c r="AB145" i="20"/>
  <c r="AJ144" i="1"/>
  <c r="L144" i="1"/>
  <c r="K144" i="1"/>
  <c r="AB144" i="1"/>
  <c r="AK144" i="1"/>
  <c r="X144" i="1"/>
  <c r="A145" i="22"/>
  <c r="K144" i="22"/>
  <c r="X144" i="22"/>
  <c r="AB144" i="22"/>
  <c r="AB142" i="18"/>
  <c r="A143" i="18"/>
  <c r="X142" i="18"/>
  <c r="K142" i="18"/>
  <c r="A145" i="25"/>
  <c r="X144" i="25"/>
  <c r="AB144" i="25"/>
  <c r="K144" i="25"/>
  <c r="A146" i="24"/>
  <c r="K145" i="24"/>
  <c r="X145" i="24"/>
  <c r="AB145" i="24"/>
  <c r="AK145" i="1"/>
  <c r="X145" i="1"/>
  <c r="AB145" i="1"/>
  <c r="AJ145" i="1"/>
  <c r="K145" i="1"/>
  <c r="L145" i="1"/>
  <c r="A147" i="20"/>
  <c r="K146" i="20"/>
  <c r="AB146" i="20"/>
  <c r="X146" i="20"/>
  <c r="A144" i="23"/>
  <c r="AB143" i="23"/>
  <c r="K143" i="23"/>
  <c r="X143" i="23"/>
  <c r="X145" i="16"/>
  <c r="AB145" i="16"/>
  <c r="L145" i="16"/>
  <c r="D145" i="16" s="1"/>
  <c r="K145" i="16"/>
  <c r="A146" i="16"/>
  <c r="A145" i="15"/>
  <c r="X144" i="15"/>
  <c r="K144" i="15"/>
  <c r="AB144" i="15"/>
  <c r="A148" i="17"/>
  <c r="K147" i="17"/>
  <c r="AB147" i="17"/>
  <c r="X147" i="17"/>
  <c r="K148" i="17"/>
  <c r="X148" i="17"/>
  <c r="AB148" i="17"/>
  <c r="A149" i="17"/>
  <c r="K146" i="16"/>
  <c r="X146" i="16"/>
  <c r="L146" i="16"/>
  <c r="D146" i="16" s="1"/>
  <c r="A147" i="16"/>
  <c r="AB146" i="16"/>
  <c r="X144" i="23"/>
  <c r="A145" i="23"/>
  <c r="AB144" i="23"/>
  <c r="K144" i="23"/>
  <c r="AK146" i="1"/>
  <c r="AB146" i="1"/>
  <c r="AJ146" i="1"/>
  <c r="X146" i="1"/>
  <c r="K146" i="1"/>
  <c r="L146" i="1"/>
  <c r="O146" i="1"/>
  <c r="K145" i="25"/>
  <c r="A146" i="25"/>
  <c r="AB145" i="25"/>
  <c r="X145" i="25"/>
  <c r="X143" i="18"/>
  <c r="A144" i="18"/>
  <c r="K143" i="18"/>
  <c r="AB143" i="18"/>
  <c r="AB145" i="15"/>
  <c r="A146" i="15"/>
  <c r="X145" i="15"/>
  <c r="K145" i="15"/>
  <c r="X147" i="20"/>
  <c r="AB147" i="20"/>
  <c r="K147" i="20"/>
  <c r="A148" i="20"/>
  <c r="K146" i="24"/>
  <c r="X146" i="24"/>
  <c r="A147" i="24"/>
  <c r="AB146" i="24"/>
  <c r="AB145" i="22"/>
  <c r="K145" i="22"/>
  <c r="X145" i="22"/>
  <c r="A146" i="22"/>
  <c r="A147" i="15"/>
  <c r="X146" i="15"/>
  <c r="K146" i="15"/>
  <c r="AB146" i="15"/>
  <c r="A145" i="18"/>
  <c r="X144" i="18"/>
  <c r="K144" i="18"/>
  <c r="AB144" i="18"/>
  <c r="AB145" i="23"/>
  <c r="A146" i="23"/>
  <c r="K145" i="23"/>
  <c r="X145" i="23"/>
  <c r="X147" i="16"/>
  <c r="A148" i="16"/>
  <c r="L147" i="16"/>
  <c r="D147" i="16" s="1"/>
  <c r="K147" i="16"/>
  <c r="AB147" i="16"/>
  <c r="K146" i="22"/>
  <c r="X146" i="22"/>
  <c r="AB146" i="22"/>
  <c r="A147" i="22"/>
  <c r="K147" i="24"/>
  <c r="AB147" i="24"/>
  <c r="A148" i="24"/>
  <c r="X147" i="24"/>
  <c r="A149" i="20"/>
  <c r="K148" i="20"/>
  <c r="X148" i="20"/>
  <c r="AB148" i="20"/>
  <c r="A147" i="25"/>
  <c r="AB146" i="25"/>
  <c r="X146" i="25"/>
  <c r="K146" i="25"/>
  <c r="AJ147" i="1"/>
  <c r="X147" i="1"/>
  <c r="AK147" i="1"/>
  <c r="K147" i="1"/>
  <c r="AB147" i="1"/>
  <c r="L147" i="1"/>
  <c r="X149" i="17"/>
  <c r="A60" i="7"/>
  <c r="AB149" i="17"/>
  <c r="K149" i="17"/>
  <c r="A150" i="17"/>
  <c r="X150" i="17"/>
  <c r="A151" i="17"/>
  <c r="K150" i="17"/>
  <c r="AB150" i="17"/>
  <c r="X147" i="25"/>
  <c r="K147" i="25"/>
  <c r="A148" i="25"/>
  <c r="AB147" i="25"/>
  <c r="X146" i="23"/>
  <c r="A147" i="23"/>
  <c r="AB146" i="23"/>
  <c r="K146" i="23"/>
  <c r="K145" i="18"/>
  <c r="AB145" i="18"/>
  <c r="A146" i="18"/>
  <c r="X145" i="18"/>
  <c r="A148" i="15"/>
  <c r="X147" i="15"/>
  <c r="K147" i="15"/>
  <c r="AB147" i="15"/>
  <c r="AK148" i="1"/>
  <c r="AB148" i="1"/>
  <c r="X148" i="1"/>
  <c r="AJ148" i="1"/>
  <c r="K148" i="1"/>
  <c r="L148" i="1"/>
  <c r="AB149" i="20"/>
  <c r="AE24" i="7"/>
  <c r="K149" i="20"/>
  <c r="A150" i="20"/>
  <c r="X149" i="20"/>
  <c r="A149" i="24"/>
  <c r="X148" i="24"/>
  <c r="AB148" i="24"/>
  <c r="K148" i="24"/>
  <c r="X147" i="22"/>
  <c r="A148" i="22"/>
  <c r="AB147" i="22"/>
  <c r="K147" i="22"/>
  <c r="K148" i="16"/>
  <c r="A149" i="16"/>
  <c r="X148" i="16"/>
  <c r="AB148" i="16"/>
  <c r="L148" i="16"/>
  <c r="D148" i="16" s="1"/>
  <c r="K149" i="16"/>
  <c r="A48" i="7"/>
  <c r="AB149" i="16"/>
  <c r="A150" i="16"/>
  <c r="L149" i="16"/>
  <c r="X149" i="16"/>
  <c r="AB148" i="22"/>
  <c r="X148" i="22"/>
  <c r="K148" i="22"/>
  <c r="A149" i="22"/>
  <c r="AE60" i="7"/>
  <c r="AB149" i="24"/>
  <c r="X149" i="24"/>
  <c r="K149" i="24"/>
  <c r="A150" i="24"/>
  <c r="A151" i="20"/>
  <c r="AB150" i="20"/>
  <c r="K150" i="20"/>
  <c r="X150" i="20"/>
  <c r="AJ149" i="1"/>
  <c r="X149" i="1"/>
  <c r="A24" i="7"/>
  <c r="AB149" i="1"/>
  <c r="L149" i="1"/>
  <c r="B24" i="7" s="1"/>
  <c r="AK149" i="1"/>
  <c r="K149" i="1"/>
  <c r="X148" i="15"/>
  <c r="A149" i="15"/>
  <c r="AB148" i="15"/>
  <c r="K148" i="15"/>
  <c r="X146" i="18"/>
  <c r="A147" i="18"/>
  <c r="AB146" i="18"/>
  <c r="K146" i="18"/>
  <c r="A149" i="25"/>
  <c r="AB148" i="25"/>
  <c r="K148" i="25"/>
  <c r="X148" i="25"/>
  <c r="A148" i="23"/>
  <c r="AB147" i="23"/>
  <c r="K147" i="23"/>
  <c r="X147" i="23"/>
  <c r="A152" i="17"/>
  <c r="K151" i="17"/>
  <c r="X151" i="17"/>
  <c r="AB151" i="17"/>
  <c r="K149" i="15"/>
  <c r="AB149" i="15"/>
  <c r="A36" i="7"/>
  <c r="A150" i="15"/>
  <c r="X149" i="15"/>
  <c r="AJ150" i="1"/>
  <c r="X150" i="1"/>
  <c r="AB150" i="1"/>
  <c r="L150" i="1"/>
  <c r="AK150" i="1"/>
  <c r="K150" i="1"/>
  <c r="AC150" i="1"/>
  <c r="K149" i="22"/>
  <c r="A150" i="22"/>
  <c r="AB149" i="22"/>
  <c r="AE36" i="7"/>
  <c r="X149" i="22"/>
  <c r="K150" i="16"/>
  <c r="X150" i="16"/>
  <c r="AB150" i="16"/>
  <c r="A151" i="16"/>
  <c r="L150" i="16"/>
  <c r="D150" i="16" s="1"/>
  <c r="K152" i="17"/>
  <c r="A153" i="17"/>
  <c r="X152" i="17"/>
  <c r="AB152" i="17"/>
  <c r="X148" i="23"/>
  <c r="K148" i="23"/>
  <c r="AB148" i="23"/>
  <c r="A149" i="23"/>
  <c r="X149" i="25"/>
  <c r="AB149" i="25"/>
  <c r="AE72" i="7"/>
  <c r="A150" i="25"/>
  <c r="K149" i="25"/>
  <c r="K147" i="18"/>
  <c r="X147" i="18"/>
  <c r="AB147" i="18"/>
  <c r="A148" i="18"/>
  <c r="X151" i="20"/>
  <c r="AB151" i="20"/>
  <c r="K151" i="20"/>
  <c r="A152" i="20"/>
  <c r="A151" i="24"/>
  <c r="X150" i="24"/>
  <c r="K150" i="24"/>
  <c r="AB150" i="24"/>
  <c r="X150" i="15"/>
  <c r="AB150" i="15"/>
  <c r="K150" i="15"/>
  <c r="A151" i="15"/>
  <c r="X151" i="24"/>
  <c r="K151" i="24"/>
  <c r="AB151" i="24"/>
  <c r="A152" i="24"/>
  <c r="AB152" i="20"/>
  <c r="X152" i="20"/>
  <c r="K152" i="20"/>
  <c r="A153" i="20"/>
  <c r="AB148" i="18"/>
  <c r="X148" i="18"/>
  <c r="A149" i="18"/>
  <c r="K148" i="18"/>
  <c r="X150" i="25"/>
  <c r="K150" i="25"/>
  <c r="AB150" i="25"/>
  <c r="A151" i="25"/>
  <c r="A150" i="23"/>
  <c r="K149" i="23"/>
  <c r="AE48" i="7"/>
  <c r="X149" i="23"/>
  <c r="AB149" i="23"/>
  <c r="AB153" i="17"/>
  <c r="A154" i="17"/>
  <c r="K153" i="17"/>
  <c r="X153" i="17"/>
  <c r="A152" i="16"/>
  <c r="K151" i="16"/>
  <c r="X151" i="16"/>
  <c r="AB151" i="16"/>
  <c r="L151" i="16"/>
  <c r="D151" i="16" s="1"/>
  <c r="A151" i="22"/>
  <c r="K150" i="22"/>
  <c r="X150" i="22"/>
  <c r="AB150" i="22"/>
  <c r="AJ151" i="1"/>
  <c r="X151" i="1"/>
  <c r="L151" i="1"/>
  <c r="K151" i="1"/>
  <c r="AK151" i="1"/>
  <c r="AB151" i="1"/>
  <c r="K151" i="22"/>
  <c r="X151" i="22"/>
  <c r="A152" i="22"/>
  <c r="AB151" i="22"/>
  <c r="X154" i="17"/>
  <c r="A155" i="17"/>
  <c r="AB154" i="17"/>
  <c r="K154" i="17"/>
  <c r="AK152" i="1"/>
  <c r="X152" i="1"/>
  <c r="AB152" i="1"/>
  <c r="AJ152" i="1"/>
  <c r="L152" i="1"/>
  <c r="K152" i="1"/>
  <c r="AB149" i="18"/>
  <c r="K149" i="18"/>
  <c r="X149" i="18"/>
  <c r="A72" i="7"/>
  <c r="A150" i="18"/>
  <c r="A152" i="15"/>
  <c r="X151" i="15"/>
  <c r="K151" i="15"/>
  <c r="AB151" i="15"/>
  <c r="K152" i="16"/>
  <c r="L152" i="16"/>
  <c r="D152" i="16" s="1"/>
  <c r="X152" i="16"/>
  <c r="A153" i="16"/>
  <c r="AB152" i="16"/>
  <c r="AB150" i="23"/>
  <c r="K150" i="23"/>
  <c r="A151" i="23"/>
  <c r="X150" i="23"/>
  <c r="A152" i="25"/>
  <c r="AB151" i="25"/>
  <c r="X151" i="25"/>
  <c r="K151" i="25"/>
  <c r="X153" i="20"/>
  <c r="AB153" i="20"/>
  <c r="K153" i="20"/>
  <c r="A154" i="20"/>
  <c r="AB152" i="24"/>
  <c r="A153" i="24"/>
  <c r="X152" i="24"/>
  <c r="K152" i="24"/>
  <c r="AB152" i="25"/>
  <c r="A153" i="25"/>
  <c r="K152" i="25"/>
  <c r="X152" i="25"/>
  <c r="K151" i="23"/>
  <c r="A152" i="23"/>
  <c r="AB151" i="23"/>
  <c r="X151" i="23"/>
  <c r="X153" i="16"/>
  <c r="L153" i="16"/>
  <c r="D153" i="16" s="1"/>
  <c r="A154" i="16"/>
  <c r="K153" i="16"/>
  <c r="AB153" i="16"/>
  <c r="AJ153" i="1"/>
  <c r="X153" i="1"/>
  <c r="AB153" i="1"/>
  <c r="L153" i="1"/>
  <c r="AK153" i="1"/>
  <c r="K153" i="1"/>
  <c r="A154" i="24"/>
  <c r="K153" i="24"/>
  <c r="X153" i="24"/>
  <c r="AB153" i="24"/>
  <c r="K154" i="20"/>
  <c r="X154" i="20"/>
  <c r="A155" i="20"/>
  <c r="AB154" i="20"/>
  <c r="A153" i="15"/>
  <c r="X152" i="15"/>
  <c r="K152" i="15"/>
  <c r="AB152" i="15"/>
  <c r="A151" i="18"/>
  <c r="X150" i="18"/>
  <c r="AB150" i="18"/>
  <c r="K150" i="18"/>
  <c r="AB155" i="17"/>
  <c r="X155" i="17"/>
  <c r="A156" i="17"/>
  <c r="K155" i="17"/>
  <c r="K152" i="22"/>
  <c r="A153" i="22"/>
  <c r="X152" i="22"/>
  <c r="AB152" i="22"/>
  <c r="A154" i="15"/>
  <c r="K153" i="15"/>
  <c r="AB153" i="15"/>
  <c r="X153" i="15"/>
  <c r="X155" i="20"/>
  <c r="K155" i="20"/>
  <c r="AB155" i="20"/>
  <c r="A156" i="20"/>
  <c r="AB154" i="16"/>
  <c r="X154" i="16"/>
  <c r="A155" i="16"/>
  <c r="L154" i="16"/>
  <c r="D154" i="16" s="1"/>
  <c r="K154" i="16"/>
  <c r="AB153" i="22"/>
  <c r="X153" i="22"/>
  <c r="K153" i="22"/>
  <c r="A154" i="22"/>
  <c r="K156" i="17"/>
  <c r="L156" i="17"/>
  <c r="D156" i="17" s="1"/>
  <c r="X156" i="17"/>
  <c r="AB156" i="17"/>
  <c r="A157" i="17"/>
  <c r="AB151" i="18"/>
  <c r="K151" i="18"/>
  <c r="X151" i="18"/>
  <c r="A152" i="18"/>
  <c r="X154" i="24"/>
  <c r="AB154" i="24"/>
  <c r="K154" i="24"/>
  <c r="A155" i="24"/>
  <c r="AJ154" i="1"/>
  <c r="AB154" i="1"/>
  <c r="X154" i="1"/>
  <c r="AK154" i="1"/>
  <c r="K154" i="1"/>
  <c r="L154" i="1"/>
  <c r="A153" i="23"/>
  <c r="X152" i="23"/>
  <c r="AB152" i="23"/>
  <c r="K152" i="23"/>
  <c r="A154" i="25"/>
  <c r="X153" i="25"/>
  <c r="K153" i="25"/>
  <c r="AB153" i="25"/>
  <c r="K154" i="25"/>
  <c r="AB154" i="25"/>
  <c r="X154" i="25"/>
  <c r="A155" i="25"/>
  <c r="K153" i="23"/>
  <c r="A154" i="23"/>
  <c r="X153" i="23"/>
  <c r="AB153" i="23"/>
  <c r="AK155" i="1"/>
  <c r="K155" i="1"/>
  <c r="AJ155" i="1"/>
  <c r="X155" i="1"/>
  <c r="AB155" i="1"/>
  <c r="L155" i="1"/>
  <c r="K152" i="18"/>
  <c r="AB152" i="18"/>
  <c r="A153" i="18"/>
  <c r="X152" i="18"/>
  <c r="K155" i="16"/>
  <c r="AB155" i="16"/>
  <c r="X155" i="16"/>
  <c r="L155" i="16"/>
  <c r="D155" i="16" s="1"/>
  <c r="A156" i="16"/>
  <c r="K156" i="20"/>
  <c r="AB156" i="20"/>
  <c r="X156" i="20"/>
  <c r="A157" i="20"/>
  <c r="K155" i="24"/>
  <c r="AB155" i="24"/>
  <c r="A156" i="24"/>
  <c r="X155" i="24"/>
  <c r="X157" i="17"/>
  <c r="AB157" i="17"/>
  <c r="A158" i="17"/>
  <c r="K157" i="17"/>
  <c r="A155" i="22"/>
  <c r="K154" i="22"/>
  <c r="AB154" i="22"/>
  <c r="X154" i="22"/>
  <c r="A155" i="15"/>
  <c r="X154" i="15"/>
  <c r="AB154" i="15"/>
  <c r="K154" i="15"/>
  <c r="X155" i="15"/>
  <c r="AB155" i="15"/>
  <c r="L155" i="15"/>
  <c r="D155" i="15" s="1"/>
  <c r="K155" i="15"/>
  <c r="A156" i="15"/>
  <c r="A157" i="16"/>
  <c r="K156" i="16"/>
  <c r="L156" i="16"/>
  <c r="D156" i="16" s="1"/>
  <c r="X156" i="16"/>
  <c r="AB156" i="16"/>
  <c r="L153" i="18"/>
  <c r="AB153" i="18"/>
  <c r="X153" i="18"/>
  <c r="K153" i="18"/>
  <c r="A154" i="18"/>
  <c r="AK156" i="1"/>
  <c r="AB156" i="1"/>
  <c r="L156" i="1"/>
  <c r="AJ156" i="1"/>
  <c r="K156" i="1"/>
  <c r="X156" i="1"/>
  <c r="K155" i="25"/>
  <c r="A156" i="25"/>
  <c r="AB155" i="25"/>
  <c r="X155" i="25"/>
  <c r="A156" i="22"/>
  <c r="X155" i="22"/>
  <c r="K155" i="22"/>
  <c r="AB155" i="22"/>
  <c r="X158" i="17"/>
  <c r="A159" i="17"/>
  <c r="K158" i="17"/>
  <c r="AB158" i="17"/>
  <c r="X156" i="24"/>
  <c r="A157" i="24"/>
  <c r="AB156" i="24"/>
  <c r="K156" i="24"/>
  <c r="X157" i="20"/>
  <c r="K157" i="20"/>
  <c r="A158" i="20"/>
  <c r="AB157" i="20"/>
  <c r="K154" i="23"/>
  <c r="X154" i="23"/>
  <c r="A155" i="23"/>
  <c r="AB154" i="23"/>
  <c r="AB155" i="23"/>
  <c r="K155" i="23"/>
  <c r="X155" i="23"/>
  <c r="A156" i="23"/>
  <c r="AB156" i="22"/>
  <c r="A157" i="22"/>
  <c r="X156" i="22"/>
  <c r="K156" i="22"/>
  <c r="X156" i="25"/>
  <c r="A157" i="25"/>
  <c r="AB156" i="25"/>
  <c r="K156" i="25"/>
  <c r="A158" i="16"/>
  <c r="AB157" i="16"/>
  <c r="X157" i="16"/>
  <c r="K157" i="16"/>
  <c r="L157" i="16"/>
  <c r="D157" i="16" s="1"/>
  <c r="K156" i="15"/>
  <c r="X156" i="15"/>
  <c r="AB156" i="15"/>
  <c r="L156" i="15"/>
  <c r="D156" i="15" s="1"/>
  <c r="A157" i="15"/>
  <c r="A159" i="20"/>
  <c r="AB158" i="20"/>
  <c r="K158" i="20"/>
  <c r="X158" i="20"/>
  <c r="K157" i="24"/>
  <c r="X157" i="24"/>
  <c r="A158" i="24"/>
  <c r="AB157" i="24"/>
  <c r="A160" i="17"/>
  <c r="K159" i="17"/>
  <c r="X159" i="17"/>
  <c r="AB159" i="17"/>
  <c r="L159" i="17"/>
  <c r="D159" i="17" s="1"/>
  <c r="AJ157" i="1"/>
  <c r="K157" i="1"/>
  <c r="AB157" i="1"/>
  <c r="AK157" i="1"/>
  <c r="X157" i="1"/>
  <c r="AB154" i="18"/>
  <c r="A155" i="18"/>
  <c r="X154" i="18"/>
  <c r="K154" i="18"/>
  <c r="AJ158" i="1"/>
  <c r="X158" i="1"/>
  <c r="AB158" i="1"/>
  <c r="K158" i="1"/>
  <c r="AK158" i="1"/>
  <c r="A161" i="17"/>
  <c r="AB160" i="17"/>
  <c r="X160" i="17"/>
  <c r="K160" i="17"/>
  <c r="A159" i="24"/>
  <c r="X158" i="24"/>
  <c r="K158" i="24"/>
  <c r="AB158" i="24"/>
  <c r="AB159" i="20"/>
  <c r="K159" i="20"/>
  <c r="X159" i="20"/>
  <c r="A160" i="20"/>
  <c r="A158" i="15"/>
  <c r="K157" i="15"/>
  <c r="X157" i="15"/>
  <c r="AB157" i="15"/>
  <c r="X157" i="25"/>
  <c r="K157" i="25"/>
  <c r="A158" i="25"/>
  <c r="AB157" i="25"/>
  <c r="K156" i="23"/>
  <c r="A157" i="23"/>
  <c r="AB156" i="23"/>
  <c r="X156" i="23"/>
  <c r="A156" i="18"/>
  <c r="AB155" i="18"/>
  <c r="X155" i="18"/>
  <c r="K155" i="18"/>
  <c r="AB158" i="16"/>
  <c r="L158" i="16"/>
  <c r="D158" i="16" s="1"/>
  <c r="A159" i="16"/>
  <c r="K158" i="16"/>
  <c r="X158" i="16"/>
  <c r="A158" i="22"/>
  <c r="AB157" i="22"/>
  <c r="K157" i="22"/>
  <c r="X157" i="22"/>
  <c r="AB160" i="20"/>
  <c r="A161" i="20"/>
  <c r="K160" i="20"/>
  <c r="X160" i="20"/>
  <c r="K156" i="18"/>
  <c r="A157" i="18"/>
  <c r="X156" i="18"/>
  <c r="AB156" i="18"/>
  <c r="K158" i="15"/>
  <c r="AB158" i="15"/>
  <c r="A159" i="15"/>
  <c r="X158" i="15"/>
  <c r="A159" i="22"/>
  <c r="AB158" i="22"/>
  <c r="K158" i="22"/>
  <c r="X158" i="22"/>
  <c r="A160" i="16"/>
  <c r="AB159" i="16"/>
  <c r="L159" i="16"/>
  <c r="D159" i="16" s="1"/>
  <c r="K159" i="16"/>
  <c r="X159" i="16"/>
  <c r="A158" i="23"/>
  <c r="X157" i="23"/>
  <c r="AB157" i="23"/>
  <c r="K157" i="23"/>
  <c r="K158" i="25"/>
  <c r="X158" i="25"/>
  <c r="AB158" i="25"/>
  <c r="A159" i="25"/>
  <c r="A160" i="24"/>
  <c r="AB159" i="24"/>
  <c r="K159" i="24"/>
  <c r="X159" i="24"/>
  <c r="AB161" i="17"/>
  <c r="K161" i="17"/>
  <c r="A162" i="17"/>
  <c r="X161" i="17"/>
  <c r="AJ159" i="1"/>
  <c r="X159" i="1"/>
  <c r="AB159" i="1"/>
  <c r="K159" i="1"/>
  <c r="AK159" i="1"/>
  <c r="A160" i="25"/>
  <c r="AB159" i="25"/>
  <c r="K159" i="25"/>
  <c r="X159" i="25"/>
  <c r="A159" i="23"/>
  <c r="AB158" i="23"/>
  <c r="X158" i="23"/>
  <c r="K158" i="23"/>
  <c r="X160" i="16"/>
  <c r="L160" i="16"/>
  <c r="A161" i="16"/>
  <c r="AB160" i="16"/>
  <c r="K160" i="16"/>
  <c r="K159" i="22"/>
  <c r="X159" i="22"/>
  <c r="A160" i="22"/>
  <c r="AB159" i="22"/>
  <c r="AB159" i="15"/>
  <c r="A160" i="15"/>
  <c r="K159" i="15"/>
  <c r="X159" i="15"/>
  <c r="X162" i="17"/>
  <c r="A163" i="17"/>
  <c r="AB162" i="17"/>
  <c r="K162" i="17"/>
  <c r="AB160" i="24"/>
  <c r="A161" i="24"/>
  <c r="K160" i="24"/>
  <c r="X160" i="24"/>
  <c r="X157" i="18"/>
  <c r="K157" i="18"/>
  <c r="A158" i="18"/>
  <c r="AB157" i="18"/>
  <c r="AB161" i="20"/>
  <c r="X161" i="20"/>
  <c r="K161" i="20"/>
  <c r="A162" i="20"/>
  <c r="AJ160" i="1"/>
  <c r="AB160" i="1"/>
  <c r="X160" i="1"/>
  <c r="AK160" i="1"/>
  <c r="K160" i="1"/>
  <c r="A163" i="20"/>
  <c r="K162" i="20"/>
  <c r="AB162" i="20"/>
  <c r="X162" i="20"/>
  <c r="K161" i="24"/>
  <c r="A162" i="24"/>
  <c r="AB161" i="24"/>
  <c r="X161" i="24"/>
  <c r="X163" i="17"/>
  <c r="K163" i="17"/>
  <c r="AB163" i="17"/>
  <c r="A164" i="17"/>
  <c r="AB160" i="22"/>
  <c r="K160" i="22"/>
  <c r="A161" i="22"/>
  <c r="X160" i="22"/>
  <c r="X161" i="16"/>
  <c r="A162" i="16"/>
  <c r="L161" i="16"/>
  <c r="D161" i="16" s="1"/>
  <c r="AB161" i="16"/>
  <c r="K161" i="16"/>
  <c r="AJ161" i="1"/>
  <c r="AB161" i="1"/>
  <c r="K161" i="1"/>
  <c r="AK161" i="1"/>
  <c r="X161" i="1"/>
  <c r="A159" i="18"/>
  <c r="AB158" i="18"/>
  <c r="K158" i="18"/>
  <c r="X158" i="18"/>
  <c r="A161" i="15"/>
  <c r="K160" i="15"/>
  <c r="AB160" i="15"/>
  <c r="X160" i="15"/>
  <c r="D160" i="16"/>
  <c r="AB159" i="23"/>
  <c r="A160" i="23"/>
  <c r="X159" i="23"/>
  <c r="K159" i="23"/>
  <c r="A161" i="25"/>
  <c r="K160" i="25"/>
  <c r="AB160" i="25"/>
  <c r="X160" i="25"/>
  <c r="K161" i="25"/>
  <c r="X161" i="25"/>
  <c r="AB161" i="25"/>
  <c r="A162" i="25"/>
  <c r="A161" i="23"/>
  <c r="AB160" i="23"/>
  <c r="K160" i="23"/>
  <c r="X160" i="23"/>
  <c r="K161" i="15"/>
  <c r="AB161" i="15"/>
  <c r="X161" i="15"/>
  <c r="A162" i="15"/>
  <c r="A160" i="18"/>
  <c r="X159" i="18"/>
  <c r="AB159" i="18"/>
  <c r="K159" i="18"/>
  <c r="X164" i="17"/>
  <c r="K164" i="17"/>
  <c r="AB164" i="17"/>
  <c r="A165" i="17"/>
  <c r="AJ162" i="1"/>
  <c r="K162" i="1"/>
  <c r="X162" i="1"/>
  <c r="AK162" i="1"/>
  <c r="AB162" i="1"/>
  <c r="K162" i="16"/>
  <c r="AB162" i="16"/>
  <c r="A163" i="16"/>
  <c r="X162" i="16"/>
  <c r="L162" i="16"/>
  <c r="K161" i="22"/>
  <c r="AB161" i="22"/>
  <c r="A162" i="22"/>
  <c r="X161" i="22"/>
  <c r="K162" i="24"/>
  <c r="A163" i="24"/>
  <c r="X162" i="24"/>
  <c r="AB162" i="24"/>
  <c r="X163" i="20"/>
  <c r="K163" i="20"/>
  <c r="AB163" i="20"/>
  <c r="A164" i="20"/>
  <c r="A165" i="20"/>
  <c r="K164" i="20"/>
  <c r="X164" i="20"/>
  <c r="AB164" i="20"/>
  <c r="AB163" i="24"/>
  <c r="K163" i="24"/>
  <c r="A164" i="24"/>
  <c r="X163" i="24"/>
  <c r="A163" i="22"/>
  <c r="AB162" i="22"/>
  <c r="X162" i="22"/>
  <c r="K162" i="22"/>
  <c r="K163" i="16"/>
  <c r="X163" i="16"/>
  <c r="L163" i="16"/>
  <c r="D163" i="16" s="1"/>
  <c r="A164" i="16"/>
  <c r="AB163" i="16"/>
  <c r="A161" i="18"/>
  <c r="X160" i="18"/>
  <c r="AB160" i="18"/>
  <c r="K160" i="18"/>
  <c r="AB162" i="15"/>
  <c r="X162" i="15"/>
  <c r="K162" i="15"/>
  <c r="A163" i="15"/>
  <c r="D162" i="16"/>
  <c r="AK163" i="1"/>
  <c r="X163" i="1"/>
  <c r="K163" i="1"/>
  <c r="AB163" i="1"/>
  <c r="AJ163" i="1"/>
  <c r="AB165" i="17"/>
  <c r="K165" i="17"/>
  <c r="A166" i="17"/>
  <c r="X165" i="17"/>
  <c r="A162" i="23"/>
  <c r="X161" i="23"/>
  <c r="K161" i="23"/>
  <c r="AB161" i="23"/>
  <c r="X162" i="25"/>
  <c r="K162" i="25"/>
  <c r="A163" i="25"/>
  <c r="AB162" i="25"/>
  <c r="A164" i="25"/>
  <c r="K163" i="25"/>
  <c r="X163" i="25"/>
  <c r="AB163" i="25"/>
  <c r="X162" i="23"/>
  <c r="AB162" i="23"/>
  <c r="K162" i="23"/>
  <c r="A163" i="23"/>
  <c r="A164" i="15"/>
  <c r="X163" i="15"/>
  <c r="AB163" i="15"/>
  <c r="K163" i="15"/>
  <c r="K164" i="16"/>
  <c r="AB164" i="16"/>
  <c r="L164" i="16"/>
  <c r="A165" i="16"/>
  <c r="X164" i="16"/>
  <c r="AB163" i="22"/>
  <c r="X163" i="22"/>
  <c r="A164" i="22"/>
  <c r="K163" i="22"/>
  <c r="X165" i="20"/>
  <c r="AB165" i="20"/>
  <c r="A166" i="20"/>
  <c r="K165" i="20"/>
  <c r="A167" i="17"/>
  <c r="K166" i="17"/>
  <c r="X166" i="17"/>
  <c r="AB166" i="17"/>
  <c r="AK164" i="1"/>
  <c r="K164" i="1"/>
  <c r="AJ164" i="1"/>
  <c r="X164" i="1"/>
  <c r="AB164" i="1"/>
  <c r="K161" i="18"/>
  <c r="AB161" i="18"/>
  <c r="A162" i="18"/>
  <c r="X161" i="18"/>
  <c r="A165" i="24"/>
  <c r="X164" i="24"/>
  <c r="AB164" i="24"/>
  <c r="K164" i="24"/>
  <c r="K165" i="24"/>
  <c r="X165" i="24"/>
  <c r="A166" i="24"/>
  <c r="AB165" i="24"/>
  <c r="A163" i="18"/>
  <c r="AB162" i="18"/>
  <c r="X162" i="18"/>
  <c r="K162" i="18"/>
  <c r="AJ165" i="1"/>
  <c r="K165" i="1"/>
  <c r="AB165" i="1"/>
  <c r="X165" i="1"/>
  <c r="AK165" i="1"/>
  <c r="K164" i="22"/>
  <c r="AB164" i="22"/>
  <c r="A165" i="22"/>
  <c r="X164" i="22"/>
  <c r="D164" i="16"/>
  <c r="K163" i="23"/>
  <c r="A164" i="23"/>
  <c r="AB163" i="23"/>
  <c r="X163" i="23"/>
  <c r="A168" i="17"/>
  <c r="AB167" i="17"/>
  <c r="X167" i="17"/>
  <c r="K167" i="17"/>
  <c r="A167" i="20"/>
  <c r="AB166" i="20"/>
  <c r="K166" i="20"/>
  <c r="X166" i="20"/>
  <c r="AB165" i="16"/>
  <c r="X165" i="16"/>
  <c r="A166" i="16"/>
  <c r="L165" i="16"/>
  <c r="D165" i="16" s="1"/>
  <c r="K165" i="16"/>
  <c r="AB164" i="15"/>
  <c r="K164" i="15"/>
  <c r="A165" i="15"/>
  <c r="X164" i="15"/>
  <c r="K164" i="25"/>
  <c r="A165" i="25"/>
  <c r="AB164" i="25"/>
  <c r="X164" i="25"/>
  <c r="X165" i="15"/>
  <c r="AB165" i="15"/>
  <c r="K165" i="15"/>
  <c r="A166" i="15"/>
  <c r="A167" i="16"/>
  <c r="L166" i="16"/>
  <c r="D166" i="16" s="1"/>
  <c r="K166" i="16"/>
  <c r="AB166" i="16"/>
  <c r="X166" i="16"/>
  <c r="AB164" i="23"/>
  <c r="A165" i="23"/>
  <c r="K164" i="23"/>
  <c r="X164" i="23"/>
  <c r="X165" i="25"/>
  <c r="AB165" i="25"/>
  <c r="K165" i="25"/>
  <c r="A166" i="25"/>
  <c r="A168" i="20"/>
  <c r="K167" i="20"/>
  <c r="AB167" i="20"/>
  <c r="X167" i="20"/>
  <c r="K168" i="17"/>
  <c r="X168" i="17"/>
  <c r="A169" i="17"/>
  <c r="AB168" i="17"/>
  <c r="A166" i="22"/>
  <c r="AB165" i="22"/>
  <c r="K165" i="22"/>
  <c r="X165" i="22"/>
  <c r="AJ166" i="1"/>
  <c r="AB166" i="1"/>
  <c r="AK166" i="1"/>
  <c r="X166" i="1"/>
  <c r="K166" i="1"/>
  <c r="X163" i="18"/>
  <c r="K163" i="18"/>
  <c r="A164" i="18"/>
  <c r="AB163" i="18"/>
  <c r="A167" i="24"/>
  <c r="K166" i="24"/>
  <c r="X166" i="24"/>
  <c r="AB166" i="24"/>
  <c r="X167" i="24"/>
  <c r="AB167" i="24"/>
  <c r="K167" i="24"/>
  <c r="A168" i="24"/>
  <c r="X164" i="18"/>
  <c r="A165" i="18"/>
  <c r="AB164" i="18"/>
  <c r="K164" i="18"/>
  <c r="K166" i="25"/>
  <c r="AB166" i="25"/>
  <c r="A167" i="25"/>
  <c r="X166" i="25"/>
  <c r="AB167" i="16"/>
  <c r="K167" i="16"/>
  <c r="A168" i="16"/>
  <c r="X167" i="16"/>
  <c r="L167" i="16"/>
  <c r="D167" i="16" s="1"/>
  <c r="AJ167" i="1"/>
  <c r="K167" i="1"/>
  <c r="AK167" i="1"/>
  <c r="X167" i="1"/>
  <c r="AB167" i="1"/>
  <c r="X166" i="22"/>
  <c r="AB166" i="22"/>
  <c r="A167" i="22"/>
  <c r="K166" i="22"/>
  <c r="A170" i="17"/>
  <c r="AB169" i="17"/>
  <c r="K169" i="17"/>
  <c r="X169" i="17"/>
  <c r="A169" i="20"/>
  <c r="X168" i="20"/>
  <c r="AB168" i="20"/>
  <c r="K168" i="20"/>
  <c r="K165" i="23"/>
  <c r="AB165" i="23"/>
  <c r="X165" i="23"/>
  <c r="A166" i="23"/>
  <c r="X166" i="15"/>
  <c r="A167" i="15"/>
  <c r="AB166" i="15"/>
  <c r="K166" i="15"/>
  <c r="AB166" i="23"/>
  <c r="A167" i="23"/>
  <c r="K166" i="23"/>
  <c r="X166" i="23"/>
  <c r="K167" i="15"/>
  <c r="A168" i="15"/>
  <c r="X167" i="15"/>
  <c r="AB167" i="15"/>
  <c r="X170" i="17"/>
  <c r="K170" i="17"/>
  <c r="AB170" i="17"/>
  <c r="A171" i="17"/>
  <c r="AJ168" i="1"/>
  <c r="K168" i="1"/>
  <c r="AB168" i="1"/>
  <c r="AK168" i="1"/>
  <c r="X168" i="1"/>
  <c r="X169" i="20"/>
  <c r="AB169" i="20"/>
  <c r="A170" i="20"/>
  <c r="K169" i="20"/>
  <c r="X167" i="22"/>
  <c r="AB167" i="22"/>
  <c r="A168" i="22"/>
  <c r="K167" i="22"/>
  <c r="X168" i="16"/>
  <c r="A169" i="16"/>
  <c r="K168" i="16"/>
  <c r="AB168" i="16"/>
  <c r="L168" i="16"/>
  <c r="D168" i="16" s="1"/>
  <c r="X167" i="25"/>
  <c r="A168" i="25"/>
  <c r="AB167" i="25"/>
  <c r="K167" i="25"/>
  <c r="A166" i="18"/>
  <c r="X165" i="18"/>
  <c r="K165" i="18"/>
  <c r="AB165" i="18"/>
  <c r="K168" i="24"/>
  <c r="X168" i="24"/>
  <c r="A169" i="24"/>
  <c r="AB168" i="24"/>
  <c r="K169" i="16"/>
  <c r="L169" i="16"/>
  <c r="D169" i="16" s="1"/>
  <c r="AB169" i="16"/>
  <c r="X169" i="16"/>
  <c r="A170" i="16"/>
  <c r="AK169" i="1"/>
  <c r="X169" i="1"/>
  <c r="AJ169" i="1"/>
  <c r="AB169" i="1"/>
  <c r="K169" i="1"/>
  <c r="AB168" i="15"/>
  <c r="A169" i="15"/>
  <c r="K168" i="15"/>
  <c r="X168" i="15"/>
  <c r="X169" i="24"/>
  <c r="AB169" i="24"/>
  <c r="K169" i="24"/>
  <c r="A170" i="24"/>
  <c r="K166" i="18"/>
  <c r="AB166" i="18"/>
  <c r="A167" i="18"/>
  <c r="X166" i="18"/>
  <c r="AB168" i="25"/>
  <c r="A169" i="25"/>
  <c r="K168" i="25"/>
  <c r="X168" i="25"/>
  <c r="AB168" i="22"/>
  <c r="K168" i="22"/>
  <c r="X168" i="22"/>
  <c r="A169" i="22"/>
  <c r="A171" i="20"/>
  <c r="AB170" i="20"/>
  <c r="X170" i="20"/>
  <c r="K170" i="20"/>
  <c r="X171" i="17"/>
  <c r="A172" i="17"/>
  <c r="AB171" i="17"/>
  <c r="K171" i="17"/>
  <c r="A168" i="23"/>
  <c r="X167" i="23"/>
  <c r="K167" i="23"/>
  <c r="AB167" i="23"/>
  <c r="AB168" i="23"/>
  <c r="K168" i="23"/>
  <c r="A169" i="23"/>
  <c r="X168" i="23"/>
  <c r="A170" i="22"/>
  <c r="AB169" i="22"/>
  <c r="K169" i="22"/>
  <c r="X169" i="22"/>
  <c r="AB169" i="15"/>
  <c r="K169" i="15"/>
  <c r="X169" i="15"/>
  <c r="A170" i="15"/>
  <c r="AJ170" i="1"/>
  <c r="X170" i="1"/>
  <c r="K170" i="1"/>
  <c r="AK170" i="1"/>
  <c r="AB170" i="1"/>
  <c r="A171" i="16"/>
  <c r="AB170" i="16"/>
  <c r="L170" i="16"/>
  <c r="D170" i="16" s="1"/>
  <c r="X170" i="16"/>
  <c r="K170" i="16"/>
  <c r="X172" i="17"/>
  <c r="K172" i="17"/>
  <c r="AB172" i="17"/>
  <c r="A173" i="17"/>
  <c r="AB171" i="20"/>
  <c r="A172" i="20"/>
  <c r="X171" i="20"/>
  <c r="K171" i="20"/>
  <c r="X169" i="25"/>
  <c r="AB169" i="25"/>
  <c r="A170" i="25"/>
  <c r="K169" i="25"/>
  <c r="AB167" i="18"/>
  <c r="X167" i="18"/>
  <c r="K167" i="18"/>
  <c r="A168" i="18"/>
  <c r="K170" i="24"/>
  <c r="AB170" i="24"/>
  <c r="A171" i="24"/>
  <c r="X170" i="24"/>
  <c r="AB173" i="17"/>
  <c r="A174" i="17"/>
  <c r="X173" i="17"/>
  <c r="K173" i="17"/>
  <c r="AB171" i="16"/>
  <c r="L171" i="16"/>
  <c r="D171" i="16" s="1"/>
  <c r="A172" i="16"/>
  <c r="X171" i="16"/>
  <c r="K171" i="16"/>
  <c r="AB170" i="15"/>
  <c r="X170" i="15"/>
  <c r="K170" i="15"/>
  <c r="A171" i="15"/>
  <c r="K169" i="23"/>
  <c r="AB169" i="23"/>
  <c r="X169" i="23"/>
  <c r="A170" i="23"/>
  <c r="AB171" i="24"/>
  <c r="X171" i="24"/>
  <c r="A172" i="24"/>
  <c r="K171" i="24"/>
  <c r="K168" i="18"/>
  <c r="X168" i="18"/>
  <c r="AB168" i="18"/>
  <c r="A169" i="18"/>
  <c r="K170" i="25"/>
  <c r="AB170" i="25"/>
  <c r="A171" i="25"/>
  <c r="X170" i="25"/>
  <c r="K172" i="20"/>
  <c r="A173" i="20"/>
  <c r="X172" i="20"/>
  <c r="AB172" i="20"/>
  <c r="AK171" i="1"/>
  <c r="K171" i="1"/>
  <c r="AJ171" i="1"/>
  <c r="AB171" i="1"/>
  <c r="X171" i="1"/>
  <c r="A171" i="22"/>
  <c r="X170" i="22"/>
  <c r="K170" i="22"/>
  <c r="AB170" i="22"/>
  <c r="AB171" i="22"/>
  <c r="K171" i="22"/>
  <c r="X171" i="22"/>
  <c r="A172" i="22"/>
  <c r="AJ172" i="1"/>
  <c r="K172" i="1"/>
  <c r="X172" i="1"/>
  <c r="AB172" i="1"/>
  <c r="AK172" i="1"/>
  <c r="X171" i="15"/>
  <c r="A172" i="15"/>
  <c r="AB171" i="15"/>
  <c r="K171" i="15"/>
  <c r="X173" i="20"/>
  <c r="AB173" i="20"/>
  <c r="K173" i="20"/>
  <c r="A174" i="20"/>
  <c r="K171" i="25"/>
  <c r="A172" i="25"/>
  <c r="AB171" i="25"/>
  <c r="X171" i="25"/>
  <c r="AB169" i="18"/>
  <c r="K169" i="18"/>
  <c r="X169" i="18"/>
  <c r="A170" i="18"/>
  <c r="K172" i="24"/>
  <c r="A173" i="24"/>
  <c r="AB172" i="24"/>
  <c r="X172" i="24"/>
  <c r="X170" i="23"/>
  <c r="A171" i="23"/>
  <c r="K170" i="23"/>
  <c r="AB170" i="23"/>
  <c r="K172" i="16"/>
  <c r="A173" i="16"/>
  <c r="AB172" i="16"/>
  <c r="L172" i="16"/>
  <c r="D172" i="16" s="1"/>
  <c r="X172" i="16"/>
  <c r="X174" i="17"/>
  <c r="AB174" i="17"/>
  <c r="A175" i="17"/>
  <c r="K174" i="17"/>
  <c r="A174" i="16"/>
  <c r="X173" i="16"/>
  <c r="L173" i="16"/>
  <c r="D173" i="16" s="1"/>
  <c r="K173" i="16"/>
  <c r="AB173" i="16"/>
  <c r="K172" i="25"/>
  <c r="A173" i="25"/>
  <c r="AB172" i="25"/>
  <c r="X172" i="25"/>
  <c r="X172" i="15"/>
  <c r="K172" i="15"/>
  <c r="AB172" i="15"/>
  <c r="A173" i="15"/>
  <c r="AJ173" i="1"/>
  <c r="K173" i="1"/>
  <c r="AB173" i="1"/>
  <c r="AK173" i="1"/>
  <c r="X173" i="1"/>
  <c r="AB175" i="17"/>
  <c r="K175" i="17"/>
  <c r="A176" i="17"/>
  <c r="X175" i="17"/>
  <c r="A172" i="23"/>
  <c r="X171" i="23"/>
  <c r="AB171" i="23"/>
  <c r="K171" i="23"/>
  <c r="AB173" i="24"/>
  <c r="X173" i="24"/>
  <c r="A174" i="24"/>
  <c r="K173" i="24"/>
  <c r="A171" i="18"/>
  <c r="AB170" i="18"/>
  <c r="K170" i="18"/>
  <c r="X170" i="18"/>
  <c r="AB174" i="20"/>
  <c r="K174" i="20"/>
  <c r="A175" i="20"/>
  <c r="X174" i="20"/>
  <c r="K172" i="22"/>
  <c r="X172" i="22"/>
  <c r="A173" i="22"/>
  <c r="AB172" i="22"/>
  <c r="X174" i="24"/>
  <c r="K174" i="24"/>
  <c r="A175" i="24"/>
  <c r="AB174" i="24"/>
  <c r="K176" i="17"/>
  <c r="AB176" i="17"/>
  <c r="A177" i="17"/>
  <c r="X176" i="17"/>
  <c r="K173" i="22"/>
  <c r="X173" i="22"/>
  <c r="A174" i="22"/>
  <c r="AB173" i="22"/>
  <c r="X175" i="20"/>
  <c r="AB175" i="20"/>
  <c r="A176" i="20"/>
  <c r="K175" i="20"/>
  <c r="K171" i="18"/>
  <c r="AB171" i="18"/>
  <c r="X171" i="18"/>
  <c r="A172" i="18"/>
  <c r="K172" i="23"/>
  <c r="AB172" i="23"/>
  <c r="A173" i="23"/>
  <c r="X172" i="23"/>
  <c r="AJ174" i="1"/>
  <c r="X174" i="1"/>
  <c r="AB174" i="1"/>
  <c r="AK174" i="1"/>
  <c r="K174" i="1"/>
  <c r="AB173" i="15"/>
  <c r="X173" i="15"/>
  <c r="A174" i="15"/>
  <c r="K173" i="15"/>
  <c r="AB173" i="25"/>
  <c r="K173" i="25"/>
  <c r="X173" i="25"/>
  <c r="A174" i="25"/>
  <c r="K174" i="16"/>
  <c r="X174" i="16"/>
  <c r="L174" i="16"/>
  <c r="D174" i="16" s="1"/>
  <c r="A175" i="16"/>
  <c r="AB174" i="16"/>
  <c r="X174" i="15"/>
  <c r="A175" i="15"/>
  <c r="AB174" i="15"/>
  <c r="K174" i="15"/>
  <c r="AJ175" i="1"/>
  <c r="X175" i="1"/>
  <c r="AK175" i="1"/>
  <c r="K175" i="1"/>
  <c r="AB175" i="1"/>
  <c r="X172" i="18"/>
  <c r="A173" i="18"/>
  <c r="AB172" i="18"/>
  <c r="K172" i="18"/>
  <c r="K176" i="20"/>
  <c r="A177" i="20"/>
  <c r="X176" i="20"/>
  <c r="AB176" i="20"/>
  <c r="A175" i="22"/>
  <c r="K174" i="22"/>
  <c r="X174" i="22"/>
  <c r="AB174" i="22"/>
  <c r="AB175" i="16"/>
  <c r="K175" i="16"/>
  <c r="L175" i="16"/>
  <c r="D175" i="16" s="1"/>
  <c r="X175" i="16"/>
  <c r="A176" i="16"/>
  <c r="K174" i="25"/>
  <c r="AB174" i="25"/>
  <c r="A175" i="25"/>
  <c r="X174" i="25"/>
  <c r="K173" i="23"/>
  <c r="X173" i="23"/>
  <c r="AB173" i="23"/>
  <c r="A174" i="23"/>
  <c r="K177" i="17"/>
  <c r="A178" i="17"/>
  <c r="X177" i="17"/>
  <c r="AB177" i="17"/>
  <c r="K175" i="24"/>
  <c r="AB175" i="24"/>
  <c r="A176" i="24"/>
  <c r="X175" i="24"/>
  <c r="AB176" i="24"/>
  <c r="X176" i="24"/>
  <c r="K176" i="24"/>
  <c r="A177" i="24"/>
  <c r="K174" i="23"/>
  <c r="X174" i="23"/>
  <c r="AB174" i="23"/>
  <c r="A175" i="23"/>
  <c r="X175" i="25"/>
  <c r="K175" i="25"/>
  <c r="AB175" i="25"/>
  <c r="A176" i="25"/>
  <c r="K177" i="20"/>
  <c r="A178" i="20"/>
  <c r="AB177" i="20"/>
  <c r="X177" i="20"/>
  <c r="A174" i="18"/>
  <c r="K173" i="18"/>
  <c r="X173" i="18"/>
  <c r="AB173" i="18"/>
  <c r="K178" i="17"/>
  <c r="A179" i="17"/>
  <c r="X178" i="17"/>
  <c r="AB178" i="17"/>
  <c r="A177" i="16"/>
  <c r="L176" i="16"/>
  <c r="D176" i="16" s="1"/>
  <c r="X176" i="16"/>
  <c r="AB176" i="16"/>
  <c r="K176" i="16"/>
  <c r="AB175" i="22"/>
  <c r="A176" i="22"/>
  <c r="X175" i="22"/>
  <c r="K175" i="22"/>
  <c r="AK176" i="1"/>
  <c r="X176" i="1"/>
  <c r="AB176" i="1"/>
  <c r="K176" i="1"/>
  <c r="AJ176" i="1"/>
  <c r="K175" i="15"/>
  <c r="AB175" i="15"/>
  <c r="A176" i="15"/>
  <c r="X175" i="15"/>
  <c r="AJ177" i="1"/>
  <c r="AB177" i="1"/>
  <c r="X177" i="1"/>
  <c r="K177" i="1"/>
  <c r="AK177" i="1"/>
  <c r="A175" i="18"/>
  <c r="X174" i="18"/>
  <c r="AB174" i="18"/>
  <c r="K174" i="18"/>
  <c r="A178" i="24"/>
  <c r="K177" i="24"/>
  <c r="AB177" i="24"/>
  <c r="X177" i="24"/>
  <c r="AB176" i="15"/>
  <c r="X176" i="15"/>
  <c r="A177" i="15"/>
  <c r="K176" i="15"/>
  <c r="K176" i="22"/>
  <c r="X176" i="22"/>
  <c r="AB176" i="22"/>
  <c r="A177" i="22"/>
  <c r="A178" i="16"/>
  <c r="L177" i="16"/>
  <c r="D177" i="16" s="1"/>
  <c r="AB177" i="16"/>
  <c r="X177" i="16"/>
  <c r="K177" i="16"/>
  <c r="X179" i="17"/>
  <c r="A180" i="17"/>
  <c r="AB179" i="17"/>
  <c r="K179" i="17"/>
  <c r="X178" i="20"/>
  <c r="AB178" i="20"/>
  <c r="A179" i="20"/>
  <c r="K178" i="20"/>
  <c r="AB176" i="25"/>
  <c r="A177" i="25"/>
  <c r="K176" i="25"/>
  <c r="X176" i="25"/>
  <c r="A176" i="23"/>
  <c r="AB175" i="23"/>
  <c r="K175" i="23"/>
  <c r="X175" i="23"/>
  <c r="AB179" i="20"/>
  <c r="K179" i="20"/>
  <c r="A180" i="20"/>
  <c r="X179" i="20"/>
  <c r="K178" i="16"/>
  <c r="A179" i="16"/>
  <c r="AB178" i="16"/>
  <c r="L178" i="16"/>
  <c r="D178" i="16" s="1"/>
  <c r="X178" i="16"/>
  <c r="X177" i="22"/>
  <c r="K177" i="22"/>
  <c r="AB177" i="22"/>
  <c r="A178" i="22"/>
  <c r="A178" i="15"/>
  <c r="AB177" i="15"/>
  <c r="K177" i="15"/>
  <c r="X177" i="15"/>
  <c r="K176" i="23"/>
  <c r="X176" i="23"/>
  <c r="AB176" i="23"/>
  <c r="A177" i="23"/>
  <c r="A178" i="25"/>
  <c r="K177" i="25"/>
  <c r="AB177" i="25"/>
  <c r="X177" i="25"/>
  <c r="L180" i="17"/>
  <c r="X180" i="17"/>
  <c r="A181" i="17"/>
  <c r="A61" i="7"/>
  <c r="AB180" i="17"/>
  <c r="K180" i="17"/>
  <c r="A179" i="24"/>
  <c r="K178" i="24"/>
  <c r="AB178" i="24"/>
  <c r="X178" i="24"/>
  <c r="X175" i="18"/>
  <c r="A176" i="18"/>
  <c r="L175" i="18"/>
  <c r="K175" i="18"/>
  <c r="AB175" i="18"/>
  <c r="AJ178" i="1"/>
  <c r="X178" i="1"/>
  <c r="AB178" i="1"/>
  <c r="L178" i="1"/>
  <c r="D178" i="1" s="1"/>
  <c r="K178" i="1"/>
  <c r="AK178" i="1"/>
  <c r="A180" i="24"/>
  <c r="K179" i="24"/>
  <c r="AB179" i="24"/>
  <c r="X179" i="24"/>
  <c r="X181" i="17"/>
  <c r="AB181" i="17"/>
  <c r="L181" i="17"/>
  <c r="D181" i="17" s="1"/>
  <c r="A182" i="17"/>
  <c r="K181" i="17"/>
  <c r="X177" i="23"/>
  <c r="AB177" i="23"/>
  <c r="K177" i="23"/>
  <c r="A178" i="23"/>
  <c r="A179" i="15"/>
  <c r="X178" i="15"/>
  <c r="AB178" i="15"/>
  <c r="K178" i="15"/>
  <c r="A179" i="22"/>
  <c r="X178" i="22"/>
  <c r="AB178" i="22"/>
  <c r="K178" i="22"/>
  <c r="A180" i="16"/>
  <c r="L179" i="16"/>
  <c r="D179" i="16" s="1"/>
  <c r="K179" i="16"/>
  <c r="AB179" i="16"/>
  <c r="X179" i="16"/>
  <c r="X180" i="20"/>
  <c r="K180" i="20"/>
  <c r="AE25" i="7"/>
  <c r="AB180" i="20"/>
  <c r="A181" i="20"/>
  <c r="AJ179" i="1"/>
  <c r="L179" i="1"/>
  <c r="D179" i="1" s="1"/>
  <c r="X179" i="1"/>
  <c r="AB179" i="1"/>
  <c r="AK179" i="1"/>
  <c r="K179" i="1"/>
  <c r="X176" i="18"/>
  <c r="AB176" i="18"/>
  <c r="K176" i="18"/>
  <c r="A177" i="18"/>
  <c r="X178" i="25"/>
  <c r="K178" i="25"/>
  <c r="A179" i="25"/>
  <c r="AB178" i="25"/>
  <c r="X177" i="18"/>
  <c r="K177" i="18"/>
  <c r="AB177" i="18"/>
  <c r="A178" i="18"/>
  <c r="AB181" i="20"/>
  <c r="X181" i="20"/>
  <c r="A182" i="20"/>
  <c r="K181" i="20"/>
  <c r="A49" i="7"/>
  <c r="K180" i="16"/>
  <c r="L180" i="16"/>
  <c r="D180" i="16" s="1"/>
  <c r="AB180" i="16"/>
  <c r="X180" i="16"/>
  <c r="A181" i="16"/>
  <c r="A180" i="22"/>
  <c r="AB179" i="22"/>
  <c r="K179" i="22"/>
  <c r="X179" i="22"/>
  <c r="AB179" i="15"/>
  <c r="A180" i="15"/>
  <c r="K179" i="15"/>
  <c r="X179" i="15"/>
  <c r="A179" i="23"/>
  <c r="X178" i="23"/>
  <c r="AB178" i="23"/>
  <c r="K178" i="23"/>
  <c r="X180" i="24"/>
  <c r="AE61" i="7"/>
  <c r="AB180" i="24"/>
  <c r="A181" i="24"/>
  <c r="K180" i="24"/>
  <c r="AB179" i="25"/>
  <c r="A180" i="25"/>
  <c r="K179" i="25"/>
  <c r="X179" i="25"/>
  <c r="AJ180" i="1"/>
  <c r="X180" i="1"/>
  <c r="AB180" i="1"/>
  <c r="AK180" i="1"/>
  <c r="K180" i="1"/>
  <c r="A25" i="7"/>
  <c r="X182" i="17"/>
  <c r="K182" i="17"/>
  <c r="L182" i="17"/>
  <c r="D182" i="17" s="1"/>
  <c r="AB182" i="17"/>
  <c r="A183" i="17"/>
  <c r="AK181" i="1"/>
  <c r="AB181" i="1"/>
  <c r="AJ181" i="1"/>
  <c r="X181" i="1"/>
  <c r="K181" i="1"/>
  <c r="A182" i="24"/>
  <c r="K181" i="24"/>
  <c r="AB181" i="24"/>
  <c r="X181" i="24"/>
  <c r="AE37" i="7"/>
  <c r="A181" i="22"/>
  <c r="K180" i="22"/>
  <c r="AB180" i="22"/>
  <c r="X180" i="22"/>
  <c r="AB181" i="16"/>
  <c r="A182" i="16"/>
  <c r="X181" i="16"/>
  <c r="L181" i="16"/>
  <c r="D181" i="16" s="1"/>
  <c r="K181" i="16"/>
  <c r="AB178" i="18"/>
  <c r="K178" i="18"/>
  <c r="X178" i="18"/>
  <c r="A179" i="18"/>
  <c r="X183" i="17"/>
  <c r="AB183" i="17"/>
  <c r="K183" i="17"/>
  <c r="A184" i="17"/>
  <c r="K180" i="25"/>
  <c r="AE73" i="7"/>
  <c r="A181" i="25"/>
  <c r="X180" i="25"/>
  <c r="AB180" i="25"/>
  <c r="A180" i="23"/>
  <c r="X179" i="23"/>
  <c r="K179" i="23"/>
  <c r="AB179" i="23"/>
  <c r="AB180" i="15"/>
  <c r="A37" i="7"/>
  <c r="A181" i="15"/>
  <c r="X180" i="15"/>
  <c r="K180" i="15"/>
  <c r="K182" i="20"/>
  <c r="X182" i="20"/>
  <c r="AB182" i="20"/>
  <c r="A183" i="20"/>
  <c r="X183" i="20"/>
  <c r="AB183" i="20"/>
  <c r="K183" i="20"/>
  <c r="A184" i="20"/>
  <c r="AB181" i="15"/>
  <c r="K181" i="15"/>
  <c r="A182" i="15"/>
  <c r="X181" i="15"/>
  <c r="K180" i="23"/>
  <c r="AE49" i="7"/>
  <c r="AB180" i="23"/>
  <c r="A181" i="23"/>
  <c r="X180" i="23"/>
  <c r="X181" i="25"/>
  <c r="K181" i="25"/>
  <c r="AB181" i="25"/>
  <c r="A182" i="25"/>
  <c r="X179" i="18"/>
  <c r="A180" i="18"/>
  <c r="AB179" i="18"/>
  <c r="K179" i="18"/>
  <c r="A182" i="22"/>
  <c r="AB181" i="22"/>
  <c r="K181" i="22"/>
  <c r="X181" i="22"/>
  <c r="K182" i="24"/>
  <c r="AB182" i="24"/>
  <c r="X182" i="24"/>
  <c r="A183" i="24"/>
  <c r="AK182" i="1"/>
  <c r="X182" i="1"/>
  <c r="AB182" i="1"/>
  <c r="AJ182" i="1"/>
  <c r="K182" i="1"/>
  <c r="A185" i="17"/>
  <c r="X184" i="17"/>
  <c r="K184" i="17"/>
  <c r="AB184" i="17"/>
  <c r="A183" i="16"/>
  <c r="L182" i="16"/>
  <c r="D182" i="16" s="1"/>
  <c r="X182" i="16"/>
  <c r="K182" i="16"/>
  <c r="AB182" i="16"/>
  <c r="AB183" i="16"/>
  <c r="L183" i="16"/>
  <c r="X183" i="16"/>
  <c r="K183" i="16"/>
  <c r="A184" i="16"/>
  <c r="A186" i="17"/>
  <c r="X185" i="17"/>
  <c r="K185" i="17"/>
  <c r="AB185" i="17"/>
  <c r="A184" i="24"/>
  <c r="AB183" i="24"/>
  <c r="X183" i="24"/>
  <c r="K183" i="24"/>
  <c r="X180" i="18"/>
  <c r="AB180" i="18"/>
  <c r="A181" i="18"/>
  <c r="K180" i="18"/>
  <c r="A73" i="7"/>
  <c r="X181" i="23"/>
  <c r="AB181" i="23"/>
  <c r="K181" i="23"/>
  <c r="A182" i="23"/>
  <c r="A183" i="15"/>
  <c r="AB182" i="15"/>
  <c r="K182" i="15"/>
  <c r="X182" i="15"/>
  <c r="X184" i="20"/>
  <c r="AB184" i="20"/>
  <c r="K184" i="20"/>
  <c r="A185" i="20"/>
  <c r="AJ183" i="1"/>
  <c r="X183" i="1"/>
  <c r="AB183" i="1"/>
  <c r="AK183" i="1"/>
  <c r="K183" i="1"/>
  <c r="X182" i="22"/>
  <c r="AB182" i="22"/>
  <c r="K182" i="22"/>
  <c r="A183" i="22"/>
  <c r="A183" i="25"/>
  <c r="K182" i="25"/>
  <c r="X182" i="25"/>
  <c r="AB182" i="25"/>
  <c r="X183" i="25"/>
  <c r="AB183" i="25"/>
  <c r="K183" i="25"/>
  <c r="A184" i="25"/>
  <c r="AK184" i="1"/>
  <c r="AB184" i="1"/>
  <c r="K184" i="1"/>
  <c r="X184" i="1"/>
  <c r="AJ184" i="1"/>
  <c r="AB185" i="20"/>
  <c r="A186" i="20"/>
  <c r="X185" i="20"/>
  <c r="K185" i="20"/>
  <c r="X183" i="15"/>
  <c r="AB183" i="15"/>
  <c r="K183" i="15"/>
  <c r="A184" i="15"/>
  <c r="X181" i="18"/>
  <c r="A182" i="18"/>
  <c r="K181" i="18"/>
  <c r="AB181" i="18"/>
  <c r="AB186" i="17"/>
  <c r="K186" i="17"/>
  <c r="X186" i="17"/>
  <c r="A187" i="17"/>
  <c r="D183" i="16"/>
  <c r="X183" i="22"/>
  <c r="K183" i="22"/>
  <c r="AB183" i="22"/>
  <c r="A184" i="22"/>
  <c r="X182" i="23"/>
  <c r="A183" i="23"/>
  <c r="K182" i="23"/>
  <c r="AB182" i="23"/>
  <c r="X184" i="24"/>
  <c r="AB184" i="24"/>
  <c r="K184" i="24"/>
  <c r="A185" i="24"/>
  <c r="A185" i="16"/>
  <c r="L184" i="16"/>
  <c r="AB184" i="16"/>
  <c r="X184" i="16"/>
  <c r="K184" i="16"/>
  <c r="D184" i="16"/>
  <c r="AB187" i="17"/>
  <c r="X187" i="17"/>
  <c r="K187" i="17"/>
  <c r="A188" i="17"/>
  <c r="AB182" i="18"/>
  <c r="A183" i="18"/>
  <c r="K182" i="18"/>
  <c r="X182" i="18"/>
  <c r="X184" i="15"/>
  <c r="K184" i="15"/>
  <c r="A185" i="15"/>
  <c r="AB184" i="15"/>
  <c r="X186" i="20"/>
  <c r="K186" i="20"/>
  <c r="AB186" i="20"/>
  <c r="A187" i="20"/>
  <c r="X185" i="16"/>
  <c r="K185" i="16"/>
  <c r="L185" i="16"/>
  <c r="AB185" i="16"/>
  <c r="A186" i="16"/>
  <c r="X185" i="24"/>
  <c r="A186" i="24"/>
  <c r="K185" i="24"/>
  <c r="AB185" i="24"/>
  <c r="AB183" i="23"/>
  <c r="X183" i="23"/>
  <c r="A184" i="23"/>
  <c r="K183" i="23"/>
  <c r="X184" i="22"/>
  <c r="K184" i="22"/>
  <c r="A185" i="22"/>
  <c r="AB184" i="22"/>
  <c r="AK185" i="1"/>
  <c r="AB185" i="1"/>
  <c r="X185" i="1"/>
  <c r="K185" i="1"/>
  <c r="AJ185" i="1"/>
  <c r="Q185" i="1"/>
  <c r="A185" i="25"/>
  <c r="X184" i="25"/>
  <c r="AB184" i="25"/>
  <c r="K184" i="25"/>
  <c r="K186" i="16"/>
  <c r="A187" i="16"/>
  <c r="L186" i="16"/>
  <c r="D186" i="16" s="1"/>
  <c r="X186" i="16"/>
  <c r="AB186" i="16"/>
  <c r="D185" i="16"/>
  <c r="X187" i="20"/>
  <c r="K187" i="20"/>
  <c r="A188" i="20"/>
  <c r="AB187" i="20"/>
  <c r="X185" i="15"/>
  <c r="A186" i="15"/>
  <c r="AB185" i="15"/>
  <c r="K185" i="15"/>
  <c r="AB183" i="18"/>
  <c r="K183" i="18"/>
  <c r="A184" i="18"/>
  <c r="X183" i="18"/>
  <c r="AB188" i="17"/>
  <c r="A189" i="17"/>
  <c r="K188" i="17"/>
  <c r="X188" i="17"/>
  <c r="X185" i="25"/>
  <c r="A186" i="25"/>
  <c r="AB185" i="25"/>
  <c r="K185" i="25"/>
  <c r="AK186" i="1"/>
  <c r="X186" i="1"/>
  <c r="AJ186" i="1"/>
  <c r="AB186" i="1"/>
  <c r="K186" i="1"/>
  <c r="AB185" i="22"/>
  <c r="X185" i="22"/>
  <c r="A186" i="22"/>
  <c r="K185" i="22"/>
  <c r="AB184" i="23"/>
  <c r="X184" i="23"/>
  <c r="A185" i="23"/>
  <c r="K184" i="23"/>
  <c r="A187" i="24"/>
  <c r="K186" i="24"/>
  <c r="X186" i="24"/>
  <c r="AB186" i="24"/>
  <c r="A187" i="22"/>
  <c r="X186" i="22"/>
  <c r="K186" i="22"/>
  <c r="AB186" i="22"/>
  <c r="K186" i="25"/>
  <c r="AB186" i="25"/>
  <c r="X186" i="25"/>
  <c r="A187" i="25"/>
  <c r="AB187" i="24"/>
  <c r="X187" i="24"/>
  <c r="A188" i="24"/>
  <c r="K187" i="24"/>
  <c r="A186" i="23"/>
  <c r="K185" i="23"/>
  <c r="X185" i="23"/>
  <c r="AB185" i="23"/>
  <c r="AK187" i="1"/>
  <c r="K187" i="1"/>
  <c r="AJ187" i="1"/>
  <c r="X187" i="1"/>
  <c r="AB187" i="1"/>
  <c r="AB189" i="17"/>
  <c r="A190" i="17"/>
  <c r="X189" i="17"/>
  <c r="K189" i="17"/>
  <c r="A185" i="18"/>
  <c r="K184" i="18"/>
  <c r="AB184" i="18"/>
  <c r="X184" i="18"/>
  <c r="X186" i="15"/>
  <c r="A187" i="15"/>
  <c r="AB186" i="15"/>
  <c r="K186" i="15"/>
  <c r="A189" i="20"/>
  <c r="X188" i="20"/>
  <c r="AB188" i="20"/>
  <c r="K188" i="20"/>
  <c r="X187" i="16"/>
  <c r="AB187" i="16"/>
  <c r="L187" i="16"/>
  <c r="K187" i="16"/>
  <c r="A188" i="16"/>
  <c r="K188" i="16"/>
  <c r="AB188" i="16"/>
  <c r="A189" i="16"/>
  <c r="L188" i="16"/>
  <c r="D188" i="16" s="1"/>
  <c r="X188" i="16"/>
  <c r="D187" i="16"/>
  <c r="A188" i="15"/>
  <c r="X187" i="15"/>
  <c r="AB187" i="15"/>
  <c r="K187" i="15"/>
  <c r="AK188" i="1"/>
  <c r="AB188" i="1"/>
  <c r="AJ188" i="1"/>
  <c r="X188" i="1"/>
  <c r="K188" i="1"/>
  <c r="A187" i="23"/>
  <c r="X186" i="23"/>
  <c r="K186" i="23"/>
  <c r="AB186" i="23"/>
  <c r="K187" i="22"/>
  <c r="AB187" i="22"/>
  <c r="X187" i="22"/>
  <c r="A188" i="22"/>
  <c r="AB189" i="20"/>
  <c r="K189" i="20"/>
  <c r="A190" i="20"/>
  <c r="X189" i="20"/>
  <c r="AB185" i="18"/>
  <c r="A186" i="18"/>
  <c r="X185" i="18"/>
  <c r="K185" i="18"/>
  <c r="K190" i="17"/>
  <c r="X190" i="17"/>
  <c r="AB190" i="17"/>
  <c r="A191" i="17"/>
  <c r="AB188" i="24"/>
  <c r="K188" i="24"/>
  <c r="A189" i="24"/>
  <c r="X188" i="24"/>
  <c r="AB187" i="25"/>
  <c r="K187" i="25"/>
  <c r="X187" i="25"/>
  <c r="A188" i="25"/>
  <c r="A189" i="25"/>
  <c r="X188" i="25"/>
  <c r="K188" i="25"/>
  <c r="AB188" i="25"/>
  <c r="X191" i="17"/>
  <c r="A192" i="17"/>
  <c r="K191" i="17"/>
  <c r="AB191" i="17"/>
  <c r="K190" i="20"/>
  <c r="X190" i="20"/>
  <c r="A191" i="20"/>
  <c r="AB190" i="20"/>
  <c r="AB188" i="22"/>
  <c r="K188" i="22"/>
  <c r="X188" i="22"/>
  <c r="A189" i="22"/>
  <c r="X187" i="23"/>
  <c r="A188" i="23"/>
  <c r="K187" i="23"/>
  <c r="AB187" i="23"/>
  <c r="AK189" i="1"/>
  <c r="X189" i="1"/>
  <c r="K189" i="1"/>
  <c r="AB189" i="1"/>
  <c r="AJ189" i="1"/>
  <c r="A190" i="24"/>
  <c r="K189" i="24"/>
  <c r="AB189" i="24"/>
  <c r="X189" i="24"/>
  <c r="AB186" i="18"/>
  <c r="X186" i="18"/>
  <c r="K186" i="18"/>
  <c r="A187" i="18"/>
  <c r="AB188" i="15"/>
  <c r="X188" i="15"/>
  <c r="K188" i="15"/>
  <c r="A189" i="15"/>
  <c r="A190" i="16"/>
  <c r="X189" i="16"/>
  <c r="L189" i="16"/>
  <c r="D189" i="16" s="1"/>
  <c r="AB189" i="16"/>
  <c r="K189" i="16"/>
  <c r="X190" i="16"/>
  <c r="AB190" i="16"/>
  <c r="L190" i="16"/>
  <c r="D190" i="16" s="1"/>
  <c r="K190" i="16"/>
  <c r="A191" i="16"/>
  <c r="A190" i="15"/>
  <c r="X189" i="15"/>
  <c r="AB189" i="15"/>
  <c r="K189" i="15"/>
  <c r="K190" i="24"/>
  <c r="AB190" i="24"/>
  <c r="A191" i="24"/>
  <c r="X190" i="24"/>
  <c r="A193" i="17"/>
  <c r="X192" i="17"/>
  <c r="K192" i="17"/>
  <c r="AB192" i="17"/>
  <c r="A188" i="18"/>
  <c r="AB187" i="18"/>
  <c r="X187" i="18"/>
  <c r="K187" i="18"/>
  <c r="AJ190" i="1"/>
  <c r="AB190" i="1"/>
  <c r="X190" i="1"/>
  <c r="AK190" i="1"/>
  <c r="K190" i="1"/>
  <c r="A189" i="23"/>
  <c r="X188" i="23"/>
  <c r="K188" i="23"/>
  <c r="AB188" i="23"/>
  <c r="AB189" i="22"/>
  <c r="K189" i="22"/>
  <c r="A190" i="22"/>
  <c r="X189" i="22"/>
  <c r="K191" i="20"/>
  <c r="AB191" i="20"/>
  <c r="X191" i="20"/>
  <c r="A192" i="20"/>
  <c r="A190" i="25"/>
  <c r="AB189" i="25"/>
  <c r="X189" i="25"/>
  <c r="K189" i="25"/>
  <c r="AB192" i="20"/>
  <c r="X192" i="20"/>
  <c r="A193" i="20"/>
  <c r="K192" i="20"/>
  <c r="A191" i="22"/>
  <c r="K190" i="22"/>
  <c r="X190" i="22"/>
  <c r="AB190" i="22"/>
  <c r="A190" i="23"/>
  <c r="X189" i="23"/>
  <c r="K189" i="23"/>
  <c r="AB189" i="23"/>
  <c r="X188" i="18"/>
  <c r="A189" i="18"/>
  <c r="K188" i="18"/>
  <c r="AB188" i="18"/>
  <c r="K193" i="17"/>
  <c r="A194" i="17"/>
  <c r="AB193" i="17"/>
  <c r="X193" i="17"/>
  <c r="X191" i="24"/>
  <c r="A192" i="24"/>
  <c r="AB191" i="24"/>
  <c r="K191" i="24"/>
  <c r="AB190" i="15"/>
  <c r="K190" i="15"/>
  <c r="A191" i="15"/>
  <c r="X190" i="15"/>
  <c r="X190" i="25"/>
  <c r="AB190" i="25"/>
  <c r="K190" i="25"/>
  <c r="A191" i="25"/>
  <c r="AK191" i="1"/>
  <c r="K191" i="1"/>
  <c r="X191" i="1"/>
  <c r="AJ191" i="1"/>
  <c r="AB191" i="1"/>
  <c r="X191" i="16"/>
  <c r="K191" i="16"/>
  <c r="L191" i="16"/>
  <c r="D191" i="16" s="1"/>
  <c r="A192" i="16"/>
  <c r="AB191" i="16"/>
  <c r="AK192" i="1"/>
  <c r="AB192" i="1"/>
  <c r="X192" i="1"/>
  <c r="K192" i="1"/>
  <c r="AJ192" i="1"/>
  <c r="AB192" i="24"/>
  <c r="K192" i="24"/>
  <c r="A193" i="24"/>
  <c r="X192" i="24"/>
  <c r="A195" i="17"/>
  <c r="K194" i="17"/>
  <c r="AB194" i="17"/>
  <c r="X194" i="17"/>
  <c r="AB189" i="18"/>
  <c r="X189" i="18"/>
  <c r="K189" i="18"/>
  <c r="A190" i="18"/>
  <c r="A191" i="23"/>
  <c r="X190" i="23"/>
  <c r="K190" i="23"/>
  <c r="AB190" i="23"/>
  <c r="AB193" i="20"/>
  <c r="K193" i="20"/>
  <c r="A194" i="20"/>
  <c r="X193" i="20"/>
  <c r="X192" i="16"/>
  <c r="AB192" i="16"/>
  <c r="L192" i="16"/>
  <c r="D192" i="16" s="1"/>
  <c r="K192" i="16"/>
  <c r="A193" i="16"/>
  <c r="A192" i="25"/>
  <c r="X191" i="25"/>
  <c r="AB191" i="25"/>
  <c r="K191" i="25"/>
  <c r="A192" i="15"/>
  <c r="K191" i="15"/>
  <c r="AB191" i="15"/>
  <c r="X191" i="15"/>
  <c r="X191" i="22"/>
  <c r="AB191" i="22"/>
  <c r="K191" i="22"/>
  <c r="A192" i="22"/>
  <c r="X192" i="15"/>
  <c r="K192" i="15"/>
  <c r="AB192" i="15"/>
  <c r="A193" i="15"/>
  <c r="K194" i="20"/>
  <c r="AB194" i="20"/>
  <c r="X194" i="20"/>
  <c r="A195" i="20"/>
  <c r="A192" i="23"/>
  <c r="K191" i="23"/>
  <c r="AB191" i="23"/>
  <c r="X191" i="23"/>
  <c r="AB195" i="17"/>
  <c r="X195" i="17"/>
  <c r="K195" i="17"/>
  <c r="A196" i="17"/>
  <c r="X192" i="22"/>
  <c r="AB192" i="22"/>
  <c r="A193" i="22"/>
  <c r="K192" i="22"/>
  <c r="X192" i="25"/>
  <c r="A193" i="25"/>
  <c r="AB192" i="25"/>
  <c r="K192" i="25"/>
  <c r="K193" i="16"/>
  <c r="AB193" i="16"/>
  <c r="A194" i="16"/>
  <c r="X193" i="16"/>
  <c r="L193" i="16"/>
  <c r="D193" i="16" s="1"/>
  <c r="AB190" i="18"/>
  <c r="X190" i="18"/>
  <c r="A191" i="18"/>
  <c r="K190" i="18"/>
  <c r="A194" i="24"/>
  <c r="AB193" i="24"/>
  <c r="X193" i="24"/>
  <c r="K193" i="24"/>
  <c r="AK193" i="1"/>
  <c r="AB193" i="1"/>
  <c r="AJ193" i="1"/>
  <c r="X193" i="1"/>
  <c r="K193" i="1"/>
  <c r="X194" i="24"/>
  <c r="A195" i="24"/>
  <c r="AB194" i="24"/>
  <c r="K194" i="24"/>
  <c r="AB191" i="18"/>
  <c r="X191" i="18"/>
  <c r="K191" i="18"/>
  <c r="A192" i="18"/>
  <c r="A194" i="22"/>
  <c r="AB193" i="22"/>
  <c r="X193" i="22"/>
  <c r="K193" i="22"/>
  <c r="X192" i="23"/>
  <c r="A193" i="23"/>
  <c r="K192" i="23"/>
  <c r="AB192" i="23"/>
  <c r="AJ194" i="1"/>
  <c r="K194" i="1"/>
  <c r="X194" i="1"/>
  <c r="AK194" i="1"/>
  <c r="AB194" i="1"/>
  <c r="AB194" i="16"/>
  <c r="L194" i="16"/>
  <c r="X194" i="16"/>
  <c r="K194" i="16"/>
  <c r="A195" i="16"/>
  <c r="K193" i="25"/>
  <c r="X193" i="25"/>
  <c r="AB193" i="25"/>
  <c r="A194" i="25"/>
  <c r="K196" i="17"/>
  <c r="A197" i="17"/>
  <c r="AB196" i="17"/>
  <c r="X196" i="17"/>
  <c r="AB195" i="20"/>
  <c r="A196" i="20"/>
  <c r="K195" i="20"/>
  <c r="X195" i="20"/>
  <c r="X193" i="15"/>
  <c r="AB193" i="15"/>
  <c r="K193" i="15"/>
  <c r="A194" i="15"/>
  <c r="X194" i="15"/>
  <c r="A195" i="15"/>
  <c r="K194" i="15"/>
  <c r="AB194" i="15"/>
  <c r="X195" i="16"/>
  <c r="L195" i="16"/>
  <c r="D195" i="16" s="1"/>
  <c r="AB195" i="16"/>
  <c r="K195" i="16"/>
  <c r="A196" i="16"/>
  <c r="AB194" i="22"/>
  <c r="A195" i="22"/>
  <c r="K194" i="22"/>
  <c r="X194" i="22"/>
  <c r="AB195" i="24"/>
  <c r="A196" i="24"/>
  <c r="K195" i="24"/>
  <c r="X195" i="24"/>
  <c r="X196" i="20"/>
  <c r="A197" i="20"/>
  <c r="K196" i="20"/>
  <c r="AB196" i="20"/>
  <c r="A198" i="17"/>
  <c r="X197" i="17"/>
  <c r="AB197" i="17"/>
  <c r="K197" i="17"/>
  <c r="AB194" i="25"/>
  <c r="K194" i="25"/>
  <c r="A195" i="25"/>
  <c r="X194" i="25"/>
  <c r="D194" i="16"/>
  <c r="AJ195" i="1"/>
  <c r="AB195" i="1"/>
  <c r="AK195" i="1"/>
  <c r="K195" i="1"/>
  <c r="X195" i="1"/>
  <c r="X193" i="23"/>
  <c r="A194" i="23"/>
  <c r="AB193" i="23"/>
  <c r="K193" i="23"/>
  <c r="X192" i="18"/>
  <c r="A193" i="18"/>
  <c r="AB192" i="18"/>
  <c r="K192" i="18"/>
  <c r="AB193" i="18"/>
  <c r="K193" i="18"/>
  <c r="A194" i="18"/>
  <c r="X193" i="18"/>
  <c r="K197" i="20"/>
  <c r="A198" i="20"/>
  <c r="AB197" i="20"/>
  <c r="X197" i="20"/>
  <c r="K194" i="23"/>
  <c r="X194" i="23"/>
  <c r="A195" i="23"/>
  <c r="AB194" i="23"/>
  <c r="AJ196" i="1"/>
  <c r="AB196" i="1"/>
  <c r="K196" i="1"/>
  <c r="AK196" i="1"/>
  <c r="X196" i="1"/>
  <c r="K195" i="25"/>
  <c r="A196" i="25"/>
  <c r="X195" i="25"/>
  <c r="AB195" i="25"/>
  <c r="A199" i="17"/>
  <c r="AB198" i="17"/>
  <c r="X198" i="17"/>
  <c r="K198" i="17"/>
  <c r="AB196" i="24"/>
  <c r="X196" i="24"/>
  <c r="K196" i="24"/>
  <c r="A197" i="24"/>
  <c r="K195" i="22"/>
  <c r="AB195" i="22"/>
  <c r="A196" i="22"/>
  <c r="X195" i="22"/>
  <c r="K196" i="16"/>
  <c r="L196" i="16"/>
  <c r="D196" i="16" s="1"/>
  <c r="A197" i="16"/>
  <c r="AB196" i="16"/>
  <c r="X196" i="16"/>
  <c r="AB195" i="15"/>
  <c r="K195" i="15"/>
  <c r="A196" i="15"/>
  <c r="X195" i="15"/>
  <c r="X196" i="15"/>
  <c r="AB196" i="15"/>
  <c r="A197" i="15"/>
  <c r="K196" i="15"/>
  <c r="X197" i="16"/>
  <c r="AB197" i="16"/>
  <c r="A198" i="16"/>
  <c r="L197" i="16"/>
  <c r="D197" i="16" s="1"/>
  <c r="K197" i="16"/>
  <c r="K196" i="22"/>
  <c r="AB196" i="22"/>
  <c r="X196" i="22"/>
  <c r="A197" i="22"/>
  <c r="K197" i="24"/>
  <c r="AB197" i="24"/>
  <c r="X197" i="24"/>
  <c r="A198" i="24"/>
  <c r="X199" i="17"/>
  <c r="A200" i="17"/>
  <c r="L199" i="17"/>
  <c r="D199" i="17" s="1"/>
  <c r="AB199" i="17"/>
  <c r="K199" i="17"/>
  <c r="AB195" i="23"/>
  <c r="A196" i="23"/>
  <c r="K195" i="23"/>
  <c r="X195" i="23"/>
  <c r="A195" i="18"/>
  <c r="K194" i="18"/>
  <c r="AB194" i="18"/>
  <c r="X194" i="18"/>
  <c r="A197" i="25"/>
  <c r="K196" i="25"/>
  <c r="AB196" i="25"/>
  <c r="X196" i="25"/>
  <c r="AK197" i="1"/>
  <c r="K197" i="1"/>
  <c r="X197" i="1"/>
  <c r="AB197" i="1"/>
  <c r="AJ197" i="1"/>
  <c r="X198" i="20"/>
  <c r="AB198" i="20"/>
  <c r="A199" i="20"/>
  <c r="K198" i="20"/>
  <c r="K199" i="20"/>
  <c r="X199" i="20"/>
  <c r="AB199" i="20"/>
  <c r="A200" i="20"/>
  <c r="AJ198" i="1"/>
  <c r="K198" i="1"/>
  <c r="Q198" i="1"/>
  <c r="X198" i="1"/>
  <c r="AK198" i="1"/>
  <c r="AB198" i="1"/>
  <c r="A198" i="25"/>
  <c r="K197" i="25"/>
  <c r="X197" i="25"/>
  <c r="AB197" i="25"/>
  <c r="L195" i="18"/>
  <c r="AB195" i="18"/>
  <c r="K195" i="18"/>
  <c r="X195" i="18"/>
  <c r="A196" i="18"/>
  <c r="X196" i="23"/>
  <c r="A197" i="23"/>
  <c r="AB196" i="23"/>
  <c r="K196" i="23"/>
  <c r="L200" i="17"/>
  <c r="D200" i="17" s="1"/>
  <c r="AB200" i="17"/>
  <c r="A201" i="17"/>
  <c r="K200" i="17"/>
  <c r="X200" i="17"/>
  <c r="X197" i="22"/>
  <c r="AB197" i="22"/>
  <c r="K197" i="22"/>
  <c r="A198" i="22"/>
  <c r="AB198" i="16"/>
  <c r="K198" i="16"/>
  <c r="A199" i="16"/>
  <c r="L198" i="16"/>
  <c r="D198" i="16" s="1"/>
  <c r="X198" i="16"/>
  <c r="K197" i="15"/>
  <c r="AB197" i="15"/>
  <c r="X197" i="15"/>
  <c r="A198" i="15"/>
  <c r="A199" i="24"/>
  <c r="K198" i="24"/>
  <c r="AB198" i="24"/>
  <c r="X198" i="24"/>
  <c r="AB198" i="15"/>
  <c r="K198" i="15"/>
  <c r="X198" i="15"/>
  <c r="A199" i="15"/>
  <c r="A202" i="17"/>
  <c r="L201" i="17"/>
  <c r="D201" i="17" s="1"/>
  <c r="K201" i="17"/>
  <c r="AB201" i="17"/>
  <c r="X201" i="17"/>
  <c r="A198" i="23"/>
  <c r="X197" i="23"/>
  <c r="AB197" i="23"/>
  <c r="K197" i="23"/>
  <c r="A199" i="25"/>
  <c r="AB198" i="25"/>
  <c r="X198" i="25"/>
  <c r="K198" i="25"/>
  <c r="AJ199" i="1"/>
  <c r="K199" i="1"/>
  <c r="AB199" i="1"/>
  <c r="X199" i="1"/>
  <c r="L199" i="1"/>
  <c r="D199" i="1" s="1"/>
  <c r="AK199" i="1"/>
  <c r="X200" i="20"/>
  <c r="A201" i="20"/>
  <c r="K200" i="20"/>
  <c r="AB200" i="20"/>
  <c r="X199" i="24"/>
  <c r="A200" i="24"/>
  <c r="AB199" i="24"/>
  <c r="K199" i="24"/>
  <c r="AB199" i="16"/>
  <c r="K199" i="16"/>
  <c r="A200" i="16"/>
  <c r="L199" i="16"/>
  <c r="D199" i="16" s="1"/>
  <c r="X199" i="16"/>
  <c r="X198" i="22"/>
  <c r="AB198" i="22"/>
  <c r="K198" i="22"/>
  <c r="A199" i="22"/>
  <c r="AB196" i="18"/>
  <c r="A197" i="18"/>
  <c r="K196" i="18"/>
  <c r="X196" i="18"/>
  <c r="AB197" i="18"/>
  <c r="A198" i="18"/>
  <c r="K197" i="18"/>
  <c r="X197" i="18"/>
  <c r="K199" i="22"/>
  <c r="AB199" i="22"/>
  <c r="A200" i="22"/>
  <c r="X199" i="22"/>
  <c r="X200" i="16"/>
  <c r="A201" i="16"/>
  <c r="K200" i="16"/>
  <c r="L200" i="16"/>
  <c r="D200" i="16" s="1"/>
  <c r="AB200" i="16"/>
  <c r="X199" i="25"/>
  <c r="A200" i="25"/>
  <c r="AB199" i="25"/>
  <c r="K199" i="25"/>
  <c r="A199" i="23"/>
  <c r="K198" i="23"/>
  <c r="AB198" i="23"/>
  <c r="X198" i="23"/>
  <c r="A203" i="17"/>
  <c r="AB202" i="17"/>
  <c r="X202" i="17"/>
  <c r="K202" i="17"/>
  <c r="A200" i="15"/>
  <c r="K199" i="15"/>
  <c r="X199" i="15"/>
  <c r="AB199" i="15"/>
  <c r="A201" i="24"/>
  <c r="AB200" i="24"/>
  <c r="X200" i="24"/>
  <c r="K200" i="24"/>
  <c r="X201" i="20"/>
  <c r="K201" i="20"/>
  <c r="A202" i="20"/>
  <c r="AB201" i="20"/>
  <c r="AJ200" i="1"/>
  <c r="AB200" i="1"/>
  <c r="X200" i="1"/>
  <c r="AK200" i="1"/>
  <c r="K200" i="1"/>
  <c r="AK201" i="1"/>
  <c r="K201" i="1"/>
  <c r="X201" i="1"/>
  <c r="AB201" i="1"/>
  <c r="AJ201" i="1"/>
  <c r="A204" i="17"/>
  <c r="X203" i="17"/>
  <c r="L203" i="17"/>
  <c r="D203" i="17" s="1"/>
  <c r="AB203" i="17"/>
  <c r="K203" i="17"/>
  <c r="X201" i="16"/>
  <c r="L201" i="16"/>
  <c r="D201" i="16" s="1"/>
  <c r="AB201" i="16"/>
  <c r="A202" i="16"/>
  <c r="K201" i="16"/>
  <c r="K200" i="22"/>
  <c r="X200" i="22"/>
  <c r="AB200" i="22"/>
  <c r="A201" i="22"/>
  <c r="X202" i="20"/>
  <c r="AB202" i="20"/>
  <c r="K202" i="20"/>
  <c r="A203" i="20"/>
  <c r="K201" i="24"/>
  <c r="A202" i="24"/>
  <c r="AB201" i="24"/>
  <c r="X201" i="24"/>
  <c r="A201" i="15"/>
  <c r="X200" i="15"/>
  <c r="K200" i="15"/>
  <c r="L200" i="15"/>
  <c r="D200" i="15" s="1"/>
  <c r="AB200" i="15"/>
  <c r="AB199" i="23"/>
  <c r="X199" i="23"/>
  <c r="K199" i="23"/>
  <c r="A200" i="23"/>
  <c r="X200" i="25"/>
  <c r="A201" i="25"/>
  <c r="AB200" i="25"/>
  <c r="K200" i="25"/>
  <c r="A199" i="18"/>
  <c r="AB198" i="18"/>
  <c r="K198" i="18"/>
  <c r="X198" i="18"/>
  <c r="AB199" i="18"/>
  <c r="A200" i="18"/>
  <c r="X199" i="18"/>
  <c r="K199" i="18"/>
  <c r="K201" i="25"/>
  <c r="X201" i="25"/>
  <c r="AB201" i="25"/>
  <c r="A202" i="25"/>
  <c r="AB200" i="23"/>
  <c r="X200" i="23"/>
  <c r="K200" i="23"/>
  <c r="A201" i="23"/>
  <c r="X201" i="15"/>
  <c r="A202" i="15"/>
  <c r="K201" i="15"/>
  <c r="L201" i="15"/>
  <c r="AB201" i="15"/>
  <c r="X202" i="24"/>
  <c r="AB202" i="24"/>
  <c r="K202" i="24"/>
  <c r="A203" i="24"/>
  <c r="A202" i="22"/>
  <c r="AB201" i="22"/>
  <c r="K201" i="22"/>
  <c r="X201" i="22"/>
  <c r="K202" i="16"/>
  <c r="L202" i="16"/>
  <c r="D202" i="16" s="1"/>
  <c r="A203" i="16"/>
  <c r="X202" i="16"/>
  <c r="AB202" i="16"/>
  <c r="AK202" i="1"/>
  <c r="AB202" i="1"/>
  <c r="K202" i="1"/>
  <c r="AJ202" i="1"/>
  <c r="X202" i="1"/>
  <c r="A204" i="20"/>
  <c r="K203" i="20"/>
  <c r="X203" i="20"/>
  <c r="AB203" i="20"/>
  <c r="K204" i="17"/>
  <c r="X204" i="17"/>
  <c r="AB204" i="17"/>
  <c r="A205" i="17"/>
  <c r="AB205" i="17"/>
  <c r="X205" i="17"/>
  <c r="A206" i="17"/>
  <c r="K205" i="17"/>
  <c r="AK203" i="1"/>
  <c r="AB203" i="1"/>
  <c r="X203" i="1"/>
  <c r="AJ203" i="1"/>
  <c r="K203" i="1"/>
  <c r="X203" i="16"/>
  <c r="K203" i="16"/>
  <c r="AB203" i="16"/>
  <c r="L203" i="16"/>
  <c r="D203" i="16" s="1"/>
  <c r="A204" i="16"/>
  <c r="K203" i="24"/>
  <c r="A204" i="24"/>
  <c r="X203" i="24"/>
  <c r="AB203" i="24"/>
  <c r="D201" i="15"/>
  <c r="AB202" i="15"/>
  <c r="K202" i="15"/>
  <c r="A203" i="15"/>
  <c r="X202" i="15"/>
  <c r="X201" i="23"/>
  <c r="K201" i="23"/>
  <c r="A202" i="23"/>
  <c r="AB201" i="23"/>
  <c r="A201" i="18"/>
  <c r="X200" i="18"/>
  <c r="K200" i="18"/>
  <c r="AB200" i="18"/>
  <c r="K204" i="20"/>
  <c r="X204" i="20"/>
  <c r="A205" i="20"/>
  <c r="AB204" i="20"/>
  <c r="AB202" i="22"/>
  <c r="K202" i="22"/>
  <c r="A203" i="22"/>
  <c r="X202" i="22"/>
  <c r="AB202" i="25"/>
  <c r="A203" i="25"/>
  <c r="X202" i="25"/>
  <c r="K202" i="25"/>
  <c r="X201" i="18"/>
  <c r="AB201" i="18"/>
  <c r="K201" i="18"/>
  <c r="A202" i="18"/>
  <c r="K204" i="24"/>
  <c r="A205" i="24"/>
  <c r="AB204" i="24"/>
  <c r="X204" i="24"/>
  <c r="K204" i="16"/>
  <c r="X204" i="16"/>
  <c r="A205" i="16"/>
  <c r="L204" i="16"/>
  <c r="D204" i="16" s="1"/>
  <c r="AB204" i="16"/>
  <c r="AB206" i="17"/>
  <c r="K206" i="17"/>
  <c r="A207" i="17"/>
  <c r="X206" i="17"/>
  <c r="AB203" i="25"/>
  <c r="X203" i="25"/>
  <c r="A204" i="25"/>
  <c r="K203" i="25"/>
  <c r="K203" i="22"/>
  <c r="X203" i="22"/>
  <c r="A204" i="22"/>
  <c r="AB203" i="22"/>
  <c r="AB205" i="20"/>
  <c r="X205" i="20"/>
  <c r="A206" i="20"/>
  <c r="K205" i="20"/>
  <c r="X202" i="23"/>
  <c r="AB202" i="23"/>
  <c r="A203" i="23"/>
  <c r="K202" i="23"/>
  <c r="K203" i="15"/>
  <c r="X203" i="15"/>
  <c r="A204" i="15"/>
  <c r="AB203" i="15"/>
  <c r="AK204" i="1"/>
  <c r="AB204" i="1"/>
  <c r="AJ204" i="1"/>
  <c r="X204" i="1"/>
  <c r="K204" i="1"/>
  <c r="A204" i="23"/>
  <c r="K203" i="23"/>
  <c r="AB203" i="23"/>
  <c r="X203" i="23"/>
  <c r="X204" i="22"/>
  <c r="AB204" i="22"/>
  <c r="K204" i="22"/>
  <c r="A205" i="22"/>
  <c r="X204" i="25"/>
  <c r="K204" i="25"/>
  <c r="A205" i="25"/>
  <c r="AB204" i="25"/>
  <c r="AK205" i="1"/>
  <c r="K205" i="1"/>
  <c r="X205" i="1"/>
  <c r="AB205" i="1"/>
  <c r="AJ205" i="1"/>
  <c r="X204" i="15"/>
  <c r="A205" i="15"/>
  <c r="AB204" i="15"/>
  <c r="K204" i="15"/>
  <c r="X206" i="20"/>
  <c r="AB206" i="20"/>
  <c r="K206" i="20"/>
  <c r="A207" i="20"/>
  <c r="A208" i="17"/>
  <c r="K207" i="17"/>
  <c r="AB207" i="17"/>
  <c r="X207" i="17"/>
  <c r="AB205" i="16"/>
  <c r="K205" i="16"/>
  <c r="X205" i="16"/>
  <c r="A206" i="16"/>
  <c r="L205" i="16"/>
  <c r="A206" i="24"/>
  <c r="K205" i="24"/>
  <c r="AB205" i="24"/>
  <c r="X205" i="24"/>
  <c r="X202" i="18"/>
  <c r="K202" i="18"/>
  <c r="AB202" i="18"/>
  <c r="A203" i="18"/>
  <c r="K203" i="18"/>
  <c r="X203" i="18"/>
  <c r="AB203" i="18"/>
  <c r="A204" i="18"/>
  <c r="X206" i="24"/>
  <c r="K206" i="24"/>
  <c r="AB206" i="24"/>
  <c r="A207" i="24"/>
  <c r="AB208" i="17"/>
  <c r="K208" i="17"/>
  <c r="X208" i="17"/>
  <c r="A209" i="17"/>
  <c r="AK206" i="1"/>
  <c r="X206" i="1"/>
  <c r="AB206" i="1"/>
  <c r="K206" i="1"/>
  <c r="AJ206" i="1"/>
  <c r="AB205" i="22"/>
  <c r="K205" i="22"/>
  <c r="X205" i="22"/>
  <c r="A206" i="22"/>
  <c r="A205" i="23"/>
  <c r="X204" i="23"/>
  <c r="AB204" i="23"/>
  <c r="K204" i="23"/>
  <c r="D205" i="16"/>
  <c r="K206" i="16"/>
  <c r="A207" i="16"/>
  <c r="L206" i="16"/>
  <c r="D206" i="16" s="1"/>
  <c r="X206" i="16"/>
  <c r="AB206" i="16"/>
  <c r="X207" i="20"/>
  <c r="K207" i="20"/>
  <c r="A208" i="20"/>
  <c r="AB207" i="20"/>
  <c r="A206" i="15"/>
  <c r="X205" i="15"/>
  <c r="K205" i="15"/>
  <c r="AB205" i="15"/>
  <c r="K205" i="25"/>
  <c r="X205" i="25"/>
  <c r="A206" i="25"/>
  <c r="AB205" i="25"/>
  <c r="X206" i="25"/>
  <c r="AB206" i="25"/>
  <c r="A207" i="25"/>
  <c r="K206" i="25"/>
  <c r="AB207" i="16"/>
  <c r="A208" i="16"/>
  <c r="L207" i="16"/>
  <c r="K207" i="16"/>
  <c r="X207" i="16"/>
  <c r="A206" i="23"/>
  <c r="X205" i="23"/>
  <c r="AB205" i="23"/>
  <c r="K205" i="23"/>
  <c r="AK207" i="1"/>
  <c r="X207" i="1"/>
  <c r="AB207" i="1"/>
  <c r="K207" i="1"/>
  <c r="AJ207" i="1"/>
  <c r="X204" i="18"/>
  <c r="A205" i="18"/>
  <c r="AB204" i="18"/>
  <c r="L204" i="18"/>
  <c r="K204" i="18"/>
  <c r="AB206" i="15"/>
  <c r="K206" i="15"/>
  <c r="A207" i="15"/>
  <c r="X206" i="15"/>
  <c r="AB208" i="20"/>
  <c r="X208" i="20"/>
  <c r="A209" i="20"/>
  <c r="K208" i="20"/>
  <c r="AB206" i="22"/>
  <c r="K206" i="22"/>
  <c r="A207" i="22"/>
  <c r="X206" i="22"/>
  <c r="X209" i="17"/>
  <c r="AB209" i="17"/>
  <c r="A210" i="17"/>
  <c r="K209" i="17"/>
  <c r="K207" i="24"/>
  <c r="X207" i="24"/>
  <c r="AB207" i="24"/>
  <c r="A208" i="24"/>
  <c r="K210" i="17"/>
  <c r="AB210" i="17"/>
  <c r="A211" i="17"/>
  <c r="X210" i="17"/>
  <c r="A62" i="7"/>
  <c r="X207" i="22"/>
  <c r="A208" i="22"/>
  <c r="K207" i="22"/>
  <c r="AB207" i="22"/>
  <c r="X205" i="18"/>
  <c r="K205" i="18"/>
  <c r="AB205" i="18"/>
  <c r="A206" i="18"/>
  <c r="AJ208" i="1"/>
  <c r="K208" i="1"/>
  <c r="X208" i="1"/>
  <c r="AK208" i="1"/>
  <c r="AB208" i="1"/>
  <c r="A207" i="23"/>
  <c r="X206" i="23"/>
  <c r="K206" i="23"/>
  <c r="AB206" i="23"/>
  <c r="A209" i="16"/>
  <c r="L208" i="16"/>
  <c r="D208" i="16" s="1"/>
  <c r="K208" i="16"/>
  <c r="X208" i="16"/>
  <c r="AB208" i="16"/>
  <c r="A208" i="25"/>
  <c r="K207" i="25"/>
  <c r="X207" i="25"/>
  <c r="AB207" i="25"/>
  <c r="K208" i="24"/>
  <c r="X208" i="24"/>
  <c r="AB208" i="24"/>
  <c r="A209" i="24"/>
  <c r="K209" i="20"/>
  <c r="A210" i="20"/>
  <c r="AB209" i="20"/>
  <c r="X209" i="20"/>
  <c r="A208" i="15"/>
  <c r="K207" i="15"/>
  <c r="X207" i="15"/>
  <c r="AB207" i="15"/>
  <c r="D207" i="16"/>
  <c r="X210" i="20"/>
  <c r="AE26" i="7"/>
  <c r="A211" i="20"/>
  <c r="AB210" i="20"/>
  <c r="K210" i="20"/>
  <c r="A209" i="25"/>
  <c r="X208" i="25"/>
  <c r="AB208" i="25"/>
  <c r="K208" i="25"/>
  <c r="K209" i="16"/>
  <c r="X209" i="16"/>
  <c r="L209" i="16"/>
  <c r="AB209" i="16"/>
  <c r="A210" i="16"/>
  <c r="A212" i="17"/>
  <c r="X211" i="17"/>
  <c r="AB211" i="17"/>
  <c r="K211" i="17"/>
  <c r="AB208" i="15"/>
  <c r="X208" i="15"/>
  <c r="K208" i="15"/>
  <c r="A209" i="15"/>
  <c r="AB209" i="24"/>
  <c r="A210" i="24"/>
  <c r="X209" i="24"/>
  <c r="K209" i="24"/>
  <c r="X207" i="23"/>
  <c r="A208" i="23"/>
  <c r="AB207" i="23"/>
  <c r="K207" i="23"/>
  <c r="AK209" i="1"/>
  <c r="AB209" i="1"/>
  <c r="X209" i="1"/>
  <c r="AJ209" i="1"/>
  <c r="K209" i="1"/>
  <c r="AB206" i="18"/>
  <c r="X206" i="18"/>
  <c r="A207" i="18"/>
  <c r="K206" i="18"/>
  <c r="A209" i="22"/>
  <c r="K208" i="22"/>
  <c r="X208" i="22"/>
  <c r="AB208" i="22"/>
  <c r="A210" i="22"/>
  <c r="K209" i="22"/>
  <c r="X209" i="22"/>
  <c r="AB209" i="22"/>
  <c r="AJ210" i="1"/>
  <c r="K210" i="1"/>
  <c r="A26" i="7"/>
  <c r="AK210" i="1"/>
  <c r="AB210" i="1"/>
  <c r="X210" i="1"/>
  <c r="AB209" i="15"/>
  <c r="X209" i="15"/>
  <c r="K209" i="15"/>
  <c r="A210" i="15"/>
  <c r="K212" i="17"/>
  <c r="A213" i="17"/>
  <c r="AB212" i="17"/>
  <c r="X212" i="17"/>
  <c r="D209" i="16"/>
  <c r="K211" i="20"/>
  <c r="A212" i="20"/>
  <c r="X211" i="20"/>
  <c r="AB211" i="20"/>
  <c r="A208" i="18"/>
  <c r="AB207" i="18"/>
  <c r="K207" i="18"/>
  <c r="X207" i="18"/>
  <c r="K208" i="23"/>
  <c r="A209" i="23"/>
  <c r="X208" i="23"/>
  <c r="AB208" i="23"/>
  <c r="K210" i="24"/>
  <c r="AB210" i="24"/>
  <c r="X210" i="24"/>
  <c r="AE62" i="7"/>
  <c r="A211" i="24"/>
  <c r="A211" i="16"/>
  <c r="L210" i="16"/>
  <c r="D210" i="16" s="1"/>
  <c r="AB210" i="16"/>
  <c r="X210" i="16"/>
  <c r="K210" i="16"/>
  <c r="A50" i="7"/>
  <c r="A210" i="25"/>
  <c r="AB209" i="25"/>
  <c r="K209" i="25"/>
  <c r="X209" i="25"/>
  <c r="A209" i="18"/>
  <c r="X208" i="18"/>
  <c r="K208" i="18"/>
  <c r="AB208" i="18"/>
  <c r="X212" i="20"/>
  <c r="AB212" i="20"/>
  <c r="K212" i="20"/>
  <c r="A213" i="20"/>
  <c r="K210" i="22"/>
  <c r="A211" i="22"/>
  <c r="AE38" i="7"/>
  <c r="X210" i="22"/>
  <c r="AB210" i="22"/>
  <c r="AE74" i="7"/>
  <c r="A211" i="25"/>
  <c r="AB210" i="25"/>
  <c r="X210" i="25"/>
  <c r="K210" i="25"/>
  <c r="B50" i="7"/>
  <c r="X211" i="16"/>
  <c r="L211" i="16"/>
  <c r="K211" i="16"/>
  <c r="A212" i="16"/>
  <c r="AB211" i="16"/>
  <c r="X211" i="24"/>
  <c r="A212" i="24"/>
  <c r="AB211" i="24"/>
  <c r="K211" i="24"/>
  <c r="A210" i="23"/>
  <c r="AB209" i="23"/>
  <c r="X209" i="23"/>
  <c r="K209" i="23"/>
  <c r="AB213" i="17"/>
  <c r="X213" i="17"/>
  <c r="A214" i="17"/>
  <c r="K213" i="17"/>
  <c r="K210" i="15"/>
  <c r="A211" i="15"/>
  <c r="A38" i="7"/>
  <c r="AB210" i="15"/>
  <c r="X210" i="15"/>
  <c r="AJ211" i="1"/>
  <c r="K211" i="1"/>
  <c r="X211" i="1"/>
  <c r="AB211" i="1"/>
  <c r="AK211" i="1"/>
  <c r="X211" i="15"/>
  <c r="A212" i="15"/>
  <c r="AB211" i="15"/>
  <c r="K211" i="15"/>
  <c r="AB214" i="17"/>
  <c r="A215" i="17"/>
  <c r="K214" i="17"/>
  <c r="X214" i="17"/>
  <c r="AB212" i="16"/>
  <c r="K212" i="16"/>
  <c r="A213" i="16"/>
  <c r="L212" i="16"/>
  <c r="D212" i="16" s="1"/>
  <c r="X212" i="16"/>
  <c r="D211" i="16"/>
  <c r="A212" i="25"/>
  <c r="AB211" i="25"/>
  <c r="K211" i="25"/>
  <c r="X211" i="25"/>
  <c r="AB213" i="20"/>
  <c r="A214" i="20"/>
  <c r="X213" i="20"/>
  <c r="K213" i="20"/>
  <c r="X209" i="18"/>
  <c r="K209" i="18"/>
  <c r="AB209" i="18"/>
  <c r="A210" i="18"/>
  <c r="AJ212" i="1"/>
  <c r="AB212" i="1"/>
  <c r="X212" i="1"/>
  <c r="K212" i="1"/>
  <c r="AK212" i="1"/>
  <c r="K210" i="23"/>
  <c r="AE50" i="7"/>
  <c r="A211" i="23"/>
  <c r="X210" i="23"/>
  <c r="AB210" i="23"/>
  <c r="K212" i="24"/>
  <c r="AB212" i="24"/>
  <c r="X212" i="24"/>
  <c r="A213" i="24"/>
  <c r="X211" i="22"/>
  <c r="AB211" i="22"/>
  <c r="K211" i="22"/>
  <c r="A212" i="22"/>
  <c r="AJ213" i="1"/>
  <c r="X213" i="1"/>
  <c r="K213" i="1"/>
  <c r="AB213" i="1"/>
  <c r="AK213" i="1"/>
  <c r="X214" i="20"/>
  <c r="K214" i="20"/>
  <c r="A215" i="20"/>
  <c r="AB214" i="20"/>
  <c r="X212" i="25"/>
  <c r="AB212" i="25"/>
  <c r="K212" i="25"/>
  <c r="A213" i="25"/>
  <c r="A213" i="15"/>
  <c r="K212" i="15"/>
  <c r="X212" i="15"/>
  <c r="AB212" i="15"/>
  <c r="A213" i="22"/>
  <c r="AB212" i="22"/>
  <c r="X212" i="22"/>
  <c r="K212" i="22"/>
  <c r="K213" i="24"/>
  <c r="AB213" i="24"/>
  <c r="A214" i="24"/>
  <c r="X213" i="24"/>
  <c r="A212" i="23"/>
  <c r="X211" i="23"/>
  <c r="K211" i="23"/>
  <c r="AB211" i="23"/>
  <c r="AB210" i="18"/>
  <c r="X210" i="18"/>
  <c r="A211" i="18"/>
  <c r="K210" i="18"/>
  <c r="A74" i="7"/>
  <c r="A214" i="16"/>
  <c r="K213" i="16"/>
  <c r="X213" i="16"/>
  <c r="L213" i="16"/>
  <c r="D213" i="16" s="1"/>
  <c r="AB213" i="16"/>
  <c r="X215" i="17"/>
  <c r="A216" i="17"/>
  <c r="AB215" i="17"/>
  <c r="K215" i="17"/>
  <c r="A215" i="16"/>
  <c r="X214" i="16"/>
  <c r="K214" i="16"/>
  <c r="L214" i="16"/>
  <c r="D214" i="16" s="1"/>
  <c r="AB214" i="16"/>
  <c r="K211" i="18"/>
  <c r="X211" i="18"/>
  <c r="AB211" i="18"/>
  <c r="A212" i="18"/>
  <c r="A213" i="23"/>
  <c r="K212" i="23"/>
  <c r="X212" i="23"/>
  <c r="AB212" i="23"/>
  <c r="K215" i="20"/>
  <c r="A216" i="20"/>
  <c r="AB215" i="20"/>
  <c r="X215" i="20"/>
  <c r="X216" i="17"/>
  <c r="A217" i="17"/>
  <c r="K216" i="17"/>
  <c r="AB216" i="17"/>
  <c r="A215" i="24"/>
  <c r="AB214" i="24"/>
  <c r="K214" i="24"/>
  <c r="X214" i="24"/>
  <c r="AB213" i="22"/>
  <c r="X213" i="22"/>
  <c r="A214" i="22"/>
  <c r="K213" i="22"/>
  <c r="K213" i="15"/>
  <c r="X213" i="15"/>
  <c r="A214" i="15"/>
  <c r="AB213" i="15"/>
  <c r="K213" i="25"/>
  <c r="AB213" i="25"/>
  <c r="A214" i="25"/>
  <c r="X213" i="25"/>
  <c r="AK214" i="1"/>
  <c r="X214" i="1"/>
  <c r="AJ214" i="1"/>
  <c r="K214" i="1"/>
  <c r="AB214" i="1"/>
  <c r="A215" i="25"/>
  <c r="AB214" i="25"/>
  <c r="X214" i="25"/>
  <c r="K214" i="25"/>
  <c r="K214" i="22"/>
  <c r="AB214" i="22"/>
  <c r="X214" i="22"/>
  <c r="A215" i="22"/>
  <c r="X217" i="17"/>
  <c r="K217" i="17"/>
  <c r="AB217" i="17"/>
  <c r="A218" i="17"/>
  <c r="X212" i="18"/>
  <c r="A213" i="18"/>
  <c r="K212" i="18"/>
  <c r="AB212" i="18"/>
  <c r="AK215" i="1"/>
  <c r="K215" i="1"/>
  <c r="X215" i="1"/>
  <c r="AJ215" i="1"/>
  <c r="AB215" i="1"/>
  <c r="K214" i="15"/>
  <c r="AB214" i="15"/>
  <c r="X214" i="15"/>
  <c r="A215" i="15"/>
  <c r="X215" i="24"/>
  <c r="A216" i="24"/>
  <c r="AB215" i="24"/>
  <c r="K215" i="24"/>
  <c r="A217" i="20"/>
  <c r="X216" i="20"/>
  <c r="AB216" i="20"/>
  <c r="K216" i="20"/>
  <c r="AB213" i="23"/>
  <c r="X213" i="23"/>
  <c r="A214" i="23"/>
  <c r="K213" i="23"/>
  <c r="A216" i="16"/>
  <c r="L215" i="16"/>
  <c r="AB215" i="16"/>
  <c r="K215" i="16"/>
  <c r="X215" i="16"/>
  <c r="X216" i="16"/>
  <c r="L216" i="16"/>
  <c r="AB216" i="16"/>
  <c r="A217" i="16"/>
  <c r="K216" i="16"/>
  <c r="K214" i="23"/>
  <c r="X214" i="23"/>
  <c r="A215" i="23"/>
  <c r="AB214" i="23"/>
  <c r="X217" i="20"/>
  <c r="A218" i="20"/>
  <c r="AB217" i="20"/>
  <c r="K217" i="20"/>
  <c r="K215" i="15"/>
  <c r="X215" i="15"/>
  <c r="A216" i="15"/>
  <c r="AB215" i="15"/>
  <c r="AK216" i="1"/>
  <c r="K216" i="1"/>
  <c r="AB216" i="1"/>
  <c r="X216" i="1"/>
  <c r="AJ216" i="1"/>
  <c r="A214" i="18"/>
  <c r="X213" i="18"/>
  <c r="K213" i="18"/>
  <c r="AB213" i="18"/>
  <c r="A219" i="17"/>
  <c r="K218" i="17"/>
  <c r="X218" i="17"/>
  <c r="AB218" i="17"/>
  <c r="AB215" i="22"/>
  <c r="A216" i="22"/>
  <c r="X215" i="22"/>
  <c r="K215" i="22"/>
  <c r="AB215" i="25"/>
  <c r="K215" i="25"/>
  <c r="A216" i="25"/>
  <c r="X215" i="25"/>
  <c r="D215" i="16"/>
  <c r="A217" i="24"/>
  <c r="AB216" i="24"/>
  <c r="X216" i="24"/>
  <c r="K216" i="24"/>
  <c r="A218" i="24"/>
  <c r="K217" i="24"/>
  <c r="X217" i="24"/>
  <c r="AB217" i="24"/>
  <c r="A215" i="18"/>
  <c r="X214" i="18"/>
  <c r="AB214" i="18"/>
  <c r="K214" i="18"/>
  <c r="K216" i="15"/>
  <c r="X216" i="15"/>
  <c r="AB216" i="15"/>
  <c r="A217" i="15"/>
  <c r="X216" i="25"/>
  <c r="A217" i="25"/>
  <c r="AB216" i="25"/>
  <c r="K216" i="25"/>
  <c r="A217" i="22"/>
  <c r="AB216" i="22"/>
  <c r="K216" i="22"/>
  <c r="X216" i="22"/>
  <c r="A220" i="17"/>
  <c r="AB219" i="17"/>
  <c r="K219" i="17"/>
  <c r="X219" i="17"/>
  <c r="AK217" i="1"/>
  <c r="K217" i="1"/>
  <c r="X217" i="1"/>
  <c r="AB217" i="1"/>
  <c r="AJ217" i="1"/>
  <c r="A219" i="20"/>
  <c r="K218" i="20"/>
  <c r="X218" i="20"/>
  <c r="AB218" i="20"/>
  <c r="K215" i="23"/>
  <c r="X215" i="23"/>
  <c r="AB215" i="23"/>
  <c r="A216" i="23"/>
  <c r="A218" i="16"/>
  <c r="L217" i="16"/>
  <c r="D217" i="16" s="1"/>
  <c r="AB217" i="16"/>
  <c r="X217" i="16"/>
  <c r="K217" i="16"/>
  <c r="D216" i="16"/>
  <c r="K218" i="16"/>
  <c r="L218" i="16"/>
  <c r="D218" i="16" s="1"/>
  <c r="AB218" i="16"/>
  <c r="X218" i="16"/>
  <c r="A219" i="16"/>
  <c r="X216" i="23"/>
  <c r="K216" i="23"/>
  <c r="AB216" i="23"/>
  <c r="A217" i="23"/>
  <c r="A220" i="20"/>
  <c r="AB219" i="20"/>
  <c r="K219" i="20"/>
  <c r="X219" i="20"/>
  <c r="AJ218" i="1"/>
  <c r="X218" i="1"/>
  <c r="K218" i="1"/>
  <c r="AK218" i="1"/>
  <c r="AB218" i="1"/>
  <c r="K220" i="17"/>
  <c r="X220" i="17"/>
  <c r="A221" i="17"/>
  <c r="AB220" i="17"/>
  <c r="A218" i="22"/>
  <c r="AB217" i="22"/>
  <c r="X217" i="22"/>
  <c r="K217" i="22"/>
  <c r="A218" i="15"/>
  <c r="X217" i="15"/>
  <c r="AB217" i="15"/>
  <c r="K217" i="15"/>
  <c r="X215" i="18"/>
  <c r="AB215" i="18"/>
  <c r="K215" i="18"/>
  <c r="A216" i="18"/>
  <c r="A218" i="25"/>
  <c r="AB217" i="25"/>
  <c r="X217" i="25"/>
  <c r="K217" i="25"/>
  <c r="AB218" i="24"/>
  <c r="K218" i="24"/>
  <c r="X218" i="24"/>
  <c r="A219" i="24"/>
  <c r="X219" i="24"/>
  <c r="A220" i="24"/>
  <c r="K219" i="24"/>
  <c r="AB219" i="24"/>
  <c r="X216" i="18"/>
  <c r="AB216" i="18"/>
  <c r="K216" i="18"/>
  <c r="A217" i="18"/>
  <c r="AK219" i="1"/>
  <c r="X219" i="1"/>
  <c r="K219" i="1"/>
  <c r="AB219" i="1"/>
  <c r="AJ219" i="1"/>
  <c r="AB220" i="20"/>
  <c r="K220" i="20"/>
  <c r="X220" i="20"/>
  <c r="A221" i="20"/>
  <c r="A218" i="23"/>
  <c r="K217" i="23"/>
  <c r="AB217" i="23"/>
  <c r="X217" i="23"/>
  <c r="A220" i="16"/>
  <c r="L219" i="16"/>
  <c r="D219" i="16" s="1"/>
  <c r="X219" i="16"/>
  <c r="AB219" i="16"/>
  <c r="K219" i="16"/>
  <c r="K218" i="25"/>
  <c r="AB218" i="25"/>
  <c r="A219" i="25"/>
  <c r="X218" i="25"/>
  <c r="AB218" i="15"/>
  <c r="A219" i="15"/>
  <c r="K218" i="15"/>
  <c r="X218" i="15"/>
  <c r="K218" i="22"/>
  <c r="AB218" i="22"/>
  <c r="X218" i="22"/>
  <c r="A219" i="22"/>
  <c r="X221" i="17"/>
  <c r="AB221" i="17"/>
  <c r="K221" i="17"/>
  <c r="A222" i="17"/>
  <c r="X222" i="17"/>
  <c r="K222" i="17"/>
  <c r="AB222" i="17"/>
  <c r="A223" i="17"/>
  <c r="X219" i="25"/>
  <c r="A220" i="25"/>
  <c r="K219" i="25"/>
  <c r="AB219" i="25"/>
  <c r="A221" i="16"/>
  <c r="AB220" i="16"/>
  <c r="X220" i="16"/>
  <c r="L220" i="16"/>
  <c r="D220" i="16" s="1"/>
  <c r="K220" i="16"/>
  <c r="K219" i="22"/>
  <c r="A220" i="22"/>
  <c r="X219" i="22"/>
  <c r="AB219" i="22"/>
  <c r="A220" i="15"/>
  <c r="K219" i="15"/>
  <c r="AB219" i="15"/>
  <c r="X219" i="15"/>
  <c r="AB218" i="23"/>
  <c r="X218" i="23"/>
  <c r="A219" i="23"/>
  <c r="K218" i="23"/>
  <c r="AB221" i="20"/>
  <c r="A222" i="20"/>
  <c r="K221" i="20"/>
  <c r="X221" i="20"/>
  <c r="AJ220" i="1"/>
  <c r="X220" i="1"/>
  <c r="AB220" i="1"/>
  <c r="AK220" i="1"/>
  <c r="K220" i="1"/>
  <c r="A218" i="18"/>
  <c r="K217" i="18"/>
  <c r="AB217" i="18"/>
  <c r="X217" i="18"/>
  <c r="AB220" i="24"/>
  <c r="A221" i="24"/>
  <c r="X220" i="24"/>
  <c r="K220" i="24"/>
  <c r="AK221" i="1"/>
  <c r="K221" i="1"/>
  <c r="AJ221" i="1"/>
  <c r="L221" i="1"/>
  <c r="D221" i="1" s="1"/>
  <c r="X221" i="1"/>
  <c r="AB221" i="1"/>
  <c r="X222" i="20"/>
  <c r="AB222" i="20"/>
  <c r="A223" i="20"/>
  <c r="K222" i="20"/>
  <c r="A221" i="15"/>
  <c r="AB220" i="15"/>
  <c r="K220" i="15"/>
  <c r="X220" i="15"/>
  <c r="AB221" i="16"/>
  <c r="L221" i="16"/>
  <c r="D221" i="16" s="1"/>
  <c r="K221" i="16"/>
  <c r="X221" i="16"/>
  <c r="A222" i="16"/>
  <c r="A221" i="25"/>
  <c r="X220" i="25"/>
  <c r="AB220" i="25"/>
  <c r="K220" i="25"/>
  <c r="X221" i="24"/>
  <c r="AB221" i="24"/>
  <c r="K221" i="24"/>
  <c r="A222" i="24"/>
  <c r="K218" i="18"/>
  <c r="A219" i="18"/>
  <c r="AB218" i="18"/>
  <c r="X218" i="18"/>
  <c r="X219" i="23"/>
  <c r="A220" i="23"/>
  <c r="K219" i="23"/>
  <c r="AB219" i="23"/>
  <c r="AB220" i="22"/>
  <c r="A221" i="22"/>
  <c r="X220" i="22"/>
  <c r="K220" i="22"/>
  <c r="AB223" i="17"/>
  <c r="A224" i="17"/>
  <c r="K223" i="17"/>
  <c r="X223" i="17"/>
  <c r="K220" i="23"/>
  <c r="A221" i="23"/>
  <c r="X220" i="23"/>
  <c r="AB220" i="23"/>
  <c r="AB221" i="15"/>
  <c r="A222" i="15"/>
  <c r="X221" i="15"/>
  <c r="K221" i="15"/>
  <c r="A225" i="17"/>
  <c r="X224" i="17"/>
  <c r="K224" i="17"/>
  <c r="AB224" i="17"/>
  <c r="K221" i="22"/>
  <c r="A222" i="22"/>
  <c r="AB221" i="22"/>
  <c r="X221" i="22"/>
  <c r="AB219" i="18"/>
  <c r="A220" i="18"/>
  <c r="X219" i="18"/>
  <c r="K219" i="18"/>
  <c r="K222" i="24"/>
  <c r="AB222" i="24"/>
  <c r="X222" i="24"/>
  <c r="A223" i="24"/>
  <c r="K221" i="25"/>
  <c r="AB221" i="25"/>
  <c r="X221" i="25"/>
  <c r="A222" i="25"/>
  <c r="K222" i="16"/>
  <c r="AB222" i="16"/>
  <c r="A223" i="16"/>
  <c r="X222" i="16"/>
  <c r="L222" i="16"/>
  <c r="K223" i="20"/>
  <c r="AB223" i="20"/>
  <c r="X223" i="20"/>
  <c r="A224" i="20"/>
  <c r="AK222" i="1"/>
  <c r="AB222" i="1"/>
  <c r="K222" i="1"/>
  <c r="AJ222" i="1"/>
  <c r="X222" i="1"/>
  <c r="AK223" i="1"/>
  <c r="AB223" i="1"/>
  <c r="X223" i="1"/>
  <c r="K223" i="1"/>
  <c r="AJ223" i="1"/>
  <c r="X224" i="20"/>
  <c r="AB224" i="20"/>
  <c r="A225" i="20"/>
  <c r="K224" i="20"/>
  <c r="K222" i="25"/>
  <c r="X222" i="25"/>
  <c r="A223" i="25"/>
  <c r="AB222" i="25"/>
  <c r="K223" i="24"/>
  <c r="X223" i="24"/>
  <c r="A224" i="24"/>
  <c r="AB223" i="24"/>
  <c r="K220" i="18"/>
  <c r="AB220" i="18"/>
  <c r="X220" i="18"/>
  <c r="A221" i="18"/>
  <c r="D222" i="16"/>
  <c r="X223" i="16"/>
  <c r="L223" i="16"/>
  <c r="D223" i="16" s="1"/>
  <c r="K223" i="16"/>
  <c r="AB223" i="16"/>
  <c r="A224" i="16"/>
  <c r="AB222" i="22"/>
  <c r="A223" i="22"/>
  <c r="X222" i="22"/>
  <c r="K222" i="22"/>
  <c r="A226" i="17"/>
  <c r="AB225" i="17"/>
  <c r="K225" i="17"/>
  <c r="X225" i="17"/>
  <c r="A223" i="15"/>
  <c r="X222" i="15"/>
  <c r="AB222" i="15"/>
  <c r="K222" i="15"/>
  <c r="AB221" i="23"/>
  <c r="A222" i="23"/>
  <c r="X221" i="23"/>
  <c r="K221" i="23"/>
  <c r="X222" i="23"/>
  <c r="K222" i="23"/>
  <c r="AB222" i="23"/>
  <c r="A223" i="23"/>
  <c r="A224" i="22"/>
  <c r="X223" i="22"/>
  <c r="K223" i="22"/>
  <c r="AB223" i="22"/>
  <c r="K224" i="16"/>
  <c r="A225" i="16"/>
  <c r="AB224" i="16"/>
  <c r="L224" i="16"/>
  <c r="D224" i="16" s="1"/>
  <c r="X224" i="16"/>
  <c r="K221" i="18"/>
  <c r="X221" i="18"/>
  <c r="A222" i="18"/>
  <c r="AB221" i="18"/>
  <c r="A224" i="25"/>
  <c r="K223" i="25"/>
  <c r="AB223" i="25"/>
  <c r="X223" i="25"/>
  <c r="AB225" i="20"/>
  <c r="X225" i="20"/>
  <c r="K225" i="20"/>
  <c r="A226" i="20"/>
  <c r="AJ224" i="1"/>
  <c r="K224" i="1"/>
  <c r="X224" i="1"/>
  <c r="AB224" i="1"/>
  <c r="AK224" i="1"/>
  <c r="K223" i="15"/>
  <c r="X223" i="15"/>
  <c r="A224" i="15"/>
  <c r="AB223" i="15"/>
  <c r="A227" i="17"/>
  <c r="AB226" i="17"/>
  <c r="X226" i="17"/>
  <c r="K226" i="17"/>
  <c r="A225" i="24"/>
  <c r="AB224" i="24"/>
  <c r="X224" i="24"/>
  <c r="K224" i="24"/>
  <c r="X227" i="17"/>
  <c r="K227" i="17"/>
  <c r="A228" i="17"/>
  <c r="AB227" i="17"/>
  <c r="K224" i="15"/>
  <c r="AB224" i="15"/>
  <c r="A225" i="15"/>
  <c r="X224" i="15"/>
  <c r="X226" i="20"/>
  <c r="K226" i="20"/>
  <c r="A227" i="20"/>
  <c r="AB226" i="20"/>
  <c r="K224" i="25"/>
  <c r="AB224" i="25"/>
  <c r="X224" i="25"/>
  <c r="A225" i="25"/>
  <c r="AB224" i="22"/>
  <c r="K224" i="22"/>
  <c r="X224" i="22"/>
  <c r="A225" i="22"/>
  <c r="X223" i="23"/>
  <c r="AB223" i="23"/>
  <c r="K223" i="23"/>
  <c r="A224" i="23"/>
  <c r="X225" i="24"/>
  <c r="K225" i="24"/>
  <c r="AB225" i="24"/>
  <c r="A226" i="24"/>
  <c r="AK225" i="1"/>
  <c r="AB225" i="1"/>
  <c r="X225" i="1"/>
  <c r="K225" i="1"/>
  <c r="AJ225" i="1"/>
  <c r="AB222" i="18"/>
  <c r="X222" i="18"/>
  <c r="K222" i="18"/>
  <c r="A223" i="18"/>
  <c r="X225" i="16"/>
  <c r="AB225" i="16"/>
  <c r="K225" i="16"/>
  <c r="L225" i="16"/>
  <c r="D225" i="16" s="1"/>
  <c r="A226" i="16"/>
  <c r="A227" i="16"/>
  <c r="L226" i="16"/>
  <c r="D226" i="16" s="1"/>
  <c r="K226" i="16"/>
  <c r="AB226" i="16"/>
  <c r="X226" i="16"/>
  <c r="AK226" i="1"/>
  <c r="X226" i="1"/>
  <c r="K226" i="1"/>
  <c r="AB226" i="1"/>
  <c r="AJ226" i="1"/>
  <c r="L226" i="1"/>
  <c r="D226" i="1" s="1"/>
  <c r="A225" i="23"/>
  <c r="AB224" i="23"/>
  <c r="X224" i="23"/>
  <c r="K224" i="23"/>
  <c r="AB225" i="25"/>
  <c r="X225" i="25"/>
  <c r="K225" i="25"/>
  <c r="A226" i="25"/>
  <c r="A228" i="20"/>
  <c r="X227" i="20"/>
  <c r="AB227" i="20"/>
  <c r="K227" i="20"/>
  <c r="AB225" i="15"/>
  <c r="K225" i="15"/>
  <c r="X225" i="15"/>
  <c r="A226" i="15"/>
  <c r="AB223" i="18"/>
  <c r="X223" i="18"/>
  <c r="A224" i="18"/>
  <c r="K223" i="18"/>
  <c r="X226" i="24"/>
  <c r="AB226" i="24"/>
  <c r="A227" i="24"/>
  <c r="K226" i="24"/>
  <c r="A226" i="22"/>
  <c r="X225" i="22"/>
  <c r="AB225" i="22"/>
  <c r="K225" i="22"/>
  <c r="A229" i="17"/>
  <c r="K228" i="17"/>
  <c r="X228" i="17"/>
  <c r="AB228" i="17"/>
  <c r="X229" i="17"/>
  <c r="K229" i="17"/>
  <c r="A230" i="17"/>
  <c r="AB229" i="17"/>
  <c r="K226" i="22"/>
  <c r="A227" i="22"/>
  <c r="AB226" i="22"/>
  <c r="X226" i="22"/>
  <c r="A229" i="20"/>
  <c r="AB228" i="20"/>
  <c r="X228" i="20"/>
  <c r="K228" i="20"/>
  <c r="K227" i="16"/>
  <c r="AB227" i="16"/>
  <c r="X227" i="16"/>
  <c r="A228" i="16"/>
  <c r="L227" i="16"/>
  <c r="D227" i="16" s="1"/>
  <c r="X227" i="24"/>
  <c r="A228" i="24"/>
  <c r="AB227" i="24"/>
  <c r="K227" i="24"/>
  <c r="K224" i="18"/>
  <c r="AB224" i="18"/>
  <c r="A225" i="18"/>
  <c r="X224" i="18"/>
  <c r="K226" i="15"/>
  <c r="A227" i="15"/>
  <c r="AB226" i="15"/>
  <c r="X226" i="15"/>
  <c r="AB226" i="25"/>
  <c r="X226" i="25"/>
  <c r="K226" i="25"/>
  <c r="A227" i="25"/>
  <c r="A226" i="23"/>
  <c r="X225" i="23"/>
  <c r="K225" i="23"/>
  <c r="AB225" i="23"/>
  <c r="AJ227" i="1"/>
  <c r="X227" i="1"/>
  <c r="K227" i="1"/>
  <c r="AK227" i="1"/>
  <c r="AB227" i="1"/>
  <c r="AB227" i="15"/>
  <c r="K227" i="15"/>
  <c r="A228" i="15"/>
  <c r="X227" i="15"/>
  <c r="A229" i="16"/>
  <c r="L228" i="16"/>
  <c r="D228" i="16" s="1"/>
  <c r="X228" i="16"/>
  <c r="K228" i="16"/>
  <c r="AB228" i="16"/>
  <c r="AB230" i="17"/>
  <c r="A231" i="17"/>
  <c r="K230" i="17"/>
  <c r="X230" i="17"/>
  <c r="AK228" i="1"/>
  <c r="K228" i="1"/>
  <c r="X228" i="1"/>
  <c r="AB228" i="1"/>
  <c r="AJ228" i="1"/>
  <c r="AB226" i="23"/>
  <c r="A227" i="23"/>
  <c r="K226" i="23"/>
  <c r="X226" i="23"/>
  <c r="K227" i="25"/>
  <c r="AB227" i="25"/>
  <c r="A228" i="25"/>
  <c r="X227" i="25"/>
  <c r="AB225" i="18"/>
  <c r="K225" i="18"/>
  <c r="A226" i="18"/>
  <c r="X225" i="18"/>
  <c r="K228" i="24"/>
  <c r="X228" i="24"/>
  <c r="AB228" i="24"/>
  <c r="A229" i="24"/>
  <c r="K229" i="20"/>
  <c r="AB229" i="20"/>
  <c r="A230" i="20"/>
  <c r="X229" i="20"/>
  <c r="X227" i="22"/>
  <c r="K227" i="22"/>
  <c r="AB227" i="22"/>
  <c r="A228" i="22"/>
  <c r="X230" i="20"/>
  <c r="A231" i="20"/>
  <c r="K230" i="20"/>
  <c r="AB230" i="20"/>
  <c r="AB229" i="24"/>
  <c r="X229" i="24"/>
  <c r="A230" i="24"/>
  <c r="K229" i="24"/>
  <c r="X226" i="18"/>
  <c r="K226" i="18"/>
  <c r="AB226" i="18"/>
  <c r="A227" i="18"/>
  <c r="X228" i="25"/>
  <c r="A229" i="25"/>
  <c r="AB228" i="25"/>
  <c r="K228" i="25"/>
  <c r="AJ229" i="1"/>
  <c r="K229" i="1"/>
  <c r="X229" i="1"/>
  <c r="AK229" i="1"/>
  <c r="AB229" i="1"/>
  <c r="K231" i="17"/>
  <c r="AB231" i="17"/>
  <c r="A232" i="17"/>
  <c r="X231" i="17"/>
  <c r="A230" i="16"/>
  <c r="L229" i="16"/>
  <c r="D229" i="16" s="1"/>
  <c r="X229" i="16"/>
  <c r="K229" i="16"/>
  <c r="AB229" i="16"/>
  <c r="X228" i="22"/>
  <c r="AB228" i="22"/>
  <c r="K228" i="22"/>
  <c r="A229" i="22"/>
  <c r="A228" i="23"/>
  <c r="X227" i="23"/>
  <c r="K227" i="23"/>
  <c r="AB227" i="23"/>
  <c r="AB228" i="15"/>
  <c r="X228" i="15"/>
  <c r="K228" i="15"/>
  <c r="A229" i="15"/>
  <c r="AB228" i="23"/>
  <c r="X228" i="23"/>
  <c r="K228" i="23"/>
  <c r="A229" i="23"/>
  <c r="AB229" i="22"/>
  <c r="K229" i="22"/>
  <c r="X229" i="22"/>
  <c r="A230" i="22"/>
  <c r="AK230" i="1"/>
  <c r="AB230" i="1"/>
  <c r="K230" i="1"/>
  <c r="AJ230" i="1"/>
  <c r="X230" i="1"/>
  <c r="AB230" i="24"/>
  <c r="A231" i="24"/>
  <c r="X230" i="24"/>
  <c r="K230" i="24"/>
  <c r="A232" i="20"/>
  <c r="X231" i="20"/>
  <c r="K231" i="20"/>
  <c r="AB231" i="20"/>
  <c r="K229" i="15"/>
  <c r="X229" i="15"/>
  <c r="A230" i="15"/>
  <c r="AB229" i="15"/>
  <c r="AB230" i="16"/>
  <c r="K230" i="16"/>
  <c r="A231" i="16"/>
  <c r="X230" i="16"/>
  <c r="L230" i="16"/>
  <c r="D230" i="16" s="1"/>
  <c r="A233" i="17"/>
  <c r="K232" i="17"/>
  <c r="X232" i="17"/>
  <c r="AB232" i="17"/>
  <c r="X229" i="25"/>
  <c r="A230" i="25"/>
  <c r="AB229" i="25"/>
  <c r="K229" i="25"/>
  <c r="K227" i="18"/>
  <c r="AB227" i="18"/>
  <c r="X227" i="18"/>
  <c r="A228" i="18"/>
  <c r="K230" i="25"/>
  <c r="A231" i="25"/>
  <c r="X230" i="25"/>
  <c r="AB230" i="25"/>
  <c r="X233" i="17"/>
  <c r="AB233" i="17"/>
  <c r="K233" i="17"/>
  <c r="A234" i="17"/>
  <c r="K231" i="16"/>
  <c r="X231" i="16"/>
  <c r="AB231" i="16"/>
  <c r="A232" i="16"/>
  <c r="L231" i="16"/>
  <c r="D231" i="16" s="1"/>
  <c r="AB230" i="15"/>
  <c r="X230" i="15"/>
  <c r="A231" i="15"/>
  <c r="L230" i="15"/>
  <c r="D230" i="15" s="1"/>
  <c r="K230" i="15"/>
  <c r="K232" i="20"/>
  <c r="A233" i="20"/>
  <c r="AB232" i="20"/>
  <c r="X232" i="20"/>
  <c r="X230" i="22"/>
  <c r="AB230" i="22"/>
  <c r="A231" i="22"/>
  <c r="K230" i="22"/>
  <c r="X229" i="23"/>
  <c r="K229" i="23"/>
  <c r="A230" i="23"/>
  <c r="AB229" i="23"/>
  <c r="A229" i="18"/>
  <c r="X228" i="18"/>
  <c r="AB228" i="18"/>
  <c r="K228" i="18"/>
  <c r="K231" i="24"/>
  <c r="A232" i="24"/>
  <c r="X231" i="24"/>
  <c r="AB231" i="24"/>
  <c r="AK231" i="1"/>
  <c r="X231" i="1"/>
  <c r="K231" i="1"/>
  <c r="AB231" i="1"/>
  <c r="AJ231" i="1"/>
  <c r="X231" i="22"/>
  <c r="AB231" i="22"/>
  <c r="A232" i="22"/>
  <c r="K231" i="22"/>
  <c r="AB233" i="20"/>
  <c r="K233" i="20"/>
  <c r="X233" i="20"/>
  <c r="A234" i="20"/>
  <c r="X234" i="17"/>
  <c r="K234" i="17"/>
  <c r="A235" i="17"/>
  <c r="AB234" i="17"/>
  <c r="X231" i="25"/>
  <c r="K231" i="25"/>
  <c r="A232" i="25"/>
  <c r="AB231" i="25"/>
  <c r="AK232" i="1"/>
  <c r="AB232" i="1"/>
  <c r="K232" i="1"/>
  <c r="AJ232" i="1"/>
  <c r="X232" i="1"/>
  <c r="K232" i="24"/>
  <c r="A233" i="24"/>
  <c r="X232" i="24"/>
  <c r="AB232" i="24"/>
  <c r="X229" i="18"/>
  <c r="A230" i="18"/>
  <c r="AB229" i="18"/>
  <c r="K229" i="18"/>
  <c r="A231" i="23"/>
  <c r="AB230" i="23"/>
  <c r="X230" i="23"/>
  <c r="K230" i="23"/>
  <c r="X231" i="15"/>
  <c r="AB231" i="15"/>
  <c r="A232" i="15"/>
  <c r="K231" i="15"/>
  <c r="AB232" i="16"/>
  <c r="K232" i="16"/>
  <c r="X232" i="16"/>
  <c r="L232" i="16"/>
  <c r="A233" i="16"/>
  <c r="D232" i="16"/>
  <c r="A232" i="23"/>
  <c r="K231" i="23"/>
  <c r="X231" i="23"/>
  <c r="AB231" i="23"/>
  <c r="K230" i="18"/>
  <c r="AB230" i="18"/>
  <c r="A231" i="18"/>
  <c r="X230" i="18"/>
  <c r="AK233" i="1"/>
  <c r="K233" i="1"/>
  <c r="X233" i="1"/>
  <c r="AB233" i="1"/>
  <c r="AJ233" i="1"/>
  <c r="AB232" i="25"/>
  <c r="K232" i="25"/>
  <c r="X232" i="25"/>
  <c r="A233" i="25"/>
  <c r="K234" i="20"/>
  <c r="X234" i="20"/>
  <c r="A235" i="20"/>
  <c r="AB234" i="20"/>
  <c r="K232" i="22"/>
  <c r="AB232" i="22"/>
  <c r="A233" i="22"/>
  <c r="X232" i="22"/>
  <c r="A234" i="16"/>
  <c r="L233" i="16"/>
  <c r="D233" i="16" s="1"/>
  <c r="K233" i="16"/>
  <c r="X233" i="16"/>
  <c r="AB233" i="16"/>
  <c r="K232" i="15"/>
  <c r="AB232" i="15"/>
  <c r="X232" i="15"/>
  <c r="A233" i="15"/>
  <c r="A234" i="24"/>
  <c r="X233" i="24"/>
  <c r="K233" i="24"/>
  <c r="AB233" i="24"/>
  <c r="A236" i="17"/>
  <c r="AB235" i="17"/>
  <c r="K235" i="17"/>
  <c r="X235" i="17"/>
  <c r="X234" i="24"/>
  <c r="A235" i="24"/>
  <c r="K234" i="24"/>
  <c r="AB234" i="24"/>
  <c r="K233" i="15"/>
  <c r="A234" i="15"/>
  <c r="X233" i="15"/>
  <c r="AB233" i="15"/>
  <c r="X233" i="22"/>
  <c r="AB233" i="22"/>
  <c r="K233" i="22"/>
  <c r="A234" i="22"/>
  <c r="AB235" i="20"/>
  <c r="A236" i="20"/>
  <c r="K235" i="20"/>
  <c r="X235" i="20"/>
  <c r="X236" i="17"/>
  <c r="AB236" i="17"/>
  <c r="K236" i="17"/>
  <c r="A237" i="17"/>
  <c r="AB234" i="16"/>
  <c r="K234" i="16"/>
  <c r="L234" i="16"/>
  <c r="D234" i="16" s="1"/>
  <c r="X234" i="16"/>
  <c r="A235" i="16"/>
  <c r="X233" i="25"/>
  <c r="A234" i="25"/>
  <c r="K233" i="25"/>
  <c r="AB233" i="25"/>
  <c r="AK234" i="1"/>
  <c r="AB234" i="1"/>
  <c r="K234" i="1"/>
  <c r="AJ234" i="1"/>
  <c r="X234" i="1"/>
  <c r="A232" i="18"/>
  <c r="AB231" i="18"/>
  <c r="K231" i="18"/>
  <c r="X231" i="18"/>
  <c r="X232" i="23"/>
  <c r="A233" i="23"/>
  <c r="AB232" i="23"/>
  <c r="K232" i="23"/>
  <c r="X233" i="23"/>
  <c r="A234" i="23"/>
  <c r="AB233" i="23"/>
  <c r="K233" i="23"/>
  <c r="X236" i="20"/>
  <c r="A237" i="20"/>
  <c r="K236" i="20"/>
  <c r="AB236" i="20"/>
  <c r="A235" i="22"/>
  <c r="X234" i="22"/>
  <c r="K234" i="22"/>
  <c r="AB234" i="22"/>
  <c r="A236" i="24"/>
  <c r="K235" i="24"/>
  <c r="X235" i="24"/>
  <c r="AB235" i="24"/>
  <c r="K232" i="18"/>
  <c r="X232" i="18"/>
  <c r="A233" i="18"/>
  <c r="AB232" i="18"/>
  <c r="AJ235" i="1"/>
  <c r="X235" i="1"/>
  <c r="K235" i="1"/>
  <c r="AB235" i="1"/>
  <c r="AK235" i="1"/>
  <c r="AB234" i="25"/>
  <c r="X234" i="25"/>
  <c r="K234" i="25"/>
  <c r="A235" i="25"/>
  <c r="K235" i="16"/>
  <c r="X235" i="16"/>
  <c r="L235" i="16"/>
  <c r="D235" i="16" s="1"/>
  <c r="AB235" i="16"/>
  <c r="A236" i="16"/>
  <c r="X237" i="17"/>
  <c r="K237" i="17"/>
  <c r="A238" i="17"/>
  <c r="L237" i="17"/>
  <c r="D237" i="17" s="1"/>
  <c r="AB237" i="17"/>
  <c r="A235" i="15"/>
  <c r="X234" i="15"/>
  <c r="AB234" i="15"/>
  <c r="K234" i="15"/>
  <c r="L234" i="15"/>
  <c r="D234" i="15" s="1"/>
  <c r="X235" i="15"/>
  <c r="AB235" i="15"/>
  <c r="A236" i="15"/>
  <c r="L235" i="15"/>
  <c r="K235" i="15"/>
  <c r="A237" i="16"/>
  <c r="K236" i="16"/>
  <c r="AB236" i="16"/>
  <c r="X236" i="16"/>
  <c r="L236" i="16"/>
  <c r="D236" i="16" s="1"/>
  <c r="AB235" i="25"/>
  <c r="A236" i="25"/>
  <c r="X235" i="25"/>
  <c r="K235" i="25"/>
  <c r="AK236" i="1"/>
  <c r="L236" i="1"/>
  <c r="D236" i="1" s="1"/>
  <c r="AB236" i="1"/>
  <c r="K236" i="1"/>
  <c r="X236" i="1"/>
  <c r="AJ236" i="1"/>
  <c r="AB235" i="22"/>
  <c r="A236" i="22"/>
  <c r="X235" i="22"/>
  <c r="K235" i="22"/>
  <c r="A238" i="20"/>
  <c r="X237" i="20"/>
  <c r="AB237" i="20"/>
  <c r="K237" i="20"/>
  <c r="X238" i="17"/>
  <c r="A239" i="17"/>
  <c r="AB238" i="17"/>
  <c r="K238" i="17"/>
  <c r="L238" i="17"/>
  <c r="D238" i="17" s="1"/>
  <c r="A234" i="18"/>
  <c r="L233" i="18"/>
  <c r="X233" i="18"/>
  <c r="K233" i="18"/>
  <c r="AB233" i="18"/>
  <c r="K236" i="24"/>
  <c r="X236" i="24"/>
  <c r="A237" i="24"/>
  <c r="AB236" i="24"/>
  <c r="X234" i="23"/>
  <c r="K234" i="23"/>
  <c r="A235" i="23"/>
  <c r="AB234" i="23"/>
  <c r="AB237" i="24"/>
  <c r="A238" i="24"/>
  <c r="K237" i="24"/>
  <c r="X237" i="24"/>
  <c r="X234" i="18"/>
  <c r="AB234" i="18"/>
  <c r="L234" i="18"/>
  <c r="K234" i="18"/>
  <c r="A235" i="18"/>
  <c r="AB236" i="25"/>
  <c r="A237" i="25"/>
  <c r="X236" i="25"/>
  <c r="K236" i="25"/>
  <c r="A238" i="16"/>
  <c r="X237" i="16"/>
  <c r="K237" i="16"/>
  <c r="L237" i="16"/>
  <c r="D237" i="16" s="1"/>
  <c r="AB237" i="16"/>
  <c r="AB235" i="23"/>
  <c r="X235" i="23"/>
  <c r="A236" i="23"/>
  <c r="K235" i="23"/>
  <c r="AB239" i="17"/>
  <c r="K239" i="17"/>
  <c r="A240" i="17"/>
  <c r="X239" i="17"/>
  <c r="AB238" i="20"/>
  <c r="X238" i="20"/>
  <c r="A239" i="20"/>
  <c r="K238" i="20"/>
  <c r="AB236" i="22"/>
  <c r="X236" i="22"/>
  <c r="A237" i="22"/>
  <c r="K236" i="22"/>
  <c r="AK237" i="1"/>
  <c r="X237" i="1"/>
  <c r="AB237" i="1"/>
  <c r="K237" i="1"/>
  <c r="AJ237" i="1"/>
  <c r="X236" i="15"/>
  <c r="AB236" i="15"/>
  <c r="K236" i="15"/>
  <c r="A237" i="15"/>
  <c r="D235" i="15"/>
  <c r="K237" i="22"/>
  <c r="AB237" i="22"/>
  <c r="X237" i="22"/>
  <c r="A238" i="22"/>
  <c r="X240" i="17"/>
  <c r="K240" i="17"/>
  <c r="A241" i="17"/>
  <c r="AB240" i="17"/>
  <c r="X237" i="25"/>
  <c r="A238" i="25"/>
  <c r="AB237" i="25"/>
  <c r="K237" i="25"/>
  <c r="X238" i="24"/>
  <c r="K238" i="24"/>
  <c r="A239" i="24"/>
  <c r="AB238" i="24"/>
  <c r="AB237" i="15"/>
  <c r="K237" i="15"/>
  <c r="A238" i="15"/>
  <c r="X237" i="15"/>
  <c r="AK238" i="1"/>
  <c r="K238" i="1"/>
  <c r="X238" i="1"/>
  <c r="AJ238" i="1"/>
  <c r="AB238" i="1"/>
  <c r="AB239" i="20"/>
  <c r="A240" i="20"/>
  <c r="K239" i="20"/>
  <c r="X239" i="20"/>
  <c r="K236" i="23"/>
  <c r="A237" i="23"/>
  <c r="AB236" i="23"/>
  <c r="X236" i="23"/>
  <c r="A239" i="16"/>
  <c r="K238" i="16"/>
  <c r="AB238" i="16"/>
  <c r="L238" i="16"/>
  <c r="D238" i="16" s="1"/>
  <c r="X238" i="16"/>
  <c r="A236" i="18"/>
  <c r="AB235" i="18"/>
  <c r="X235" i="18"/>
  <c r="K235" i="18"/>
  <c r="A240" i="16"/>
  <c r="L239" i="16"/>
  <c r="D239" i="16" s="1"/>
  <c r="X239" i="16"/>
  <c r="AB239" i="16"/>
  <c r="K239" i="16"/>
  <c r="X237" i="23"/>
  <c r="A238" i="23"/>
  <c r="K237" i="23"/>
  <c r="AB237" i="23"/>
  <c r="AB239" i="24"/>
  <c r="X239" i="24"/>
  <c r="K239" i="24"/>
  <c r="A240" i="24"/>
  <c r="AB236" i="18"/>
  <c r="X236" i="18"/>
  <c r="A237" i="18"/>
  <c r="K236" i="18"/>
  <c r="X240" i="20"/>
  <c r="AB240" i="20"/>
  <c r="A241" i="20"/>
  <c r="K240" i="20"/>
  <c r="AK239" i="1"/>
  <c r="AB239" i="1"/>
  <c r="K239" i="1"/>
  <c r="Q239" i="1"/>
  <c r="AJ239" i="1"/>
  <c r="X239" i="1"/>
  <c r="AB238" i="15"/>
  <c r="A239" i="15"/>
  <c r="L238" i="15"/>
  <c r="D238" i="15" s="1"/>
  <c r="K238" i="15"/>
  <c r="X238" i="15"/>
  <c r="A239" i="25"/>
  <c r="X238" i="25"/>
  <c r="AB238" i="25"/>
  <c r="K238" i="25"/>
  <c r="AB241" i="17"/>
  <c r="X241" i="17"/>
  <c r="A242" i="17"/>
  <c r="K241" i="17"/>
  <c r="A63" i="7"/>
  <c r="A239" i="22"/>
  <c r="K238" i="22"/>
  <c r="AB238" i="22"/>
  <c r="X238" i="22"/>
  <c r="AB242" i="17"/>
  <c r="K242" i="17"/>
  <c r="X242" i="17"/>
  <c r="A243" i="17"/>
  <c r="A240" i="25"/>
  <c r="AB239" i="25"/>
  <c r="X239" i="25"/>
  <c r="K239" i="25"/>
  <c r="AB239" i="15"/>
  <c r="A240" i="15"/>
  <c r="K239" i="15"/>
  <c r="X239" i="15"/>
  <c r="AE27" i="7"/>
  <c r="K241" i="20"/>
  <c r="X241" i="20"/>
  <c r="A242" i="20"/>
  <c r="AB241" i="20"/>
  <c r="AB237" i="18"/>
  <c r="K237" i="18"/>
  <c r="X237" i="18"/>
  <c r="A238" i="18"/>
  <c r="K239" i="22"/>
  <c r="X239" i="22"/>
  <c r="AB239" i="22"/>
  <c r="A240" i="22"/>
  <c r="AK240" i="1"/>
  <c r="AB240" i="1"/>
  <c r="K240" i="1"/>
  <c r="X240" i="1"/>
  <c r="AJ240" i="1"/>
  <c r="K240" i="24"/>
  <c r="A241" i="24"/>
  <c r="AB240" i="24"/>
  <c r="X240" i="24"/>
  <c r="A239" i="23"/>
  <c r="AB238" i="23"/>
  <c r="X238" i="23"/>
  <c r="K238" i="23"/>
  <c r="K240" i="16"/>
  <c r="L240" i="16"/>
  <c r="AB240" i="16"/>
  <c r="A241" i="16"/>
  <c r="X240" i="16"/>
  <c r="A51" i="7"/>
  <c r="X241" i="16"/>
  <c r="AB241" i="16"/>
  <c r="K241" i="16"/>
  <c r="L241" i="16"/>
  <c r="D241" i="16" s="1"/>
  <c r="A242" i="16"/>
  <c r="D240" i="16"/>
  <c r="X241" i="24"/>
  <c r="A242" i="24"/>
  <c r="AB241" i="24"/>
  <c r="K241" i="24"/>
  <c r="AE63" i="7"/>
  <c r="K240" i="15"/>
  <c r="A241" i="15"/>
  <c r="L240" i="15"/>
  <c r="D240" i="15" s="1"/>
  <c r="X240" i="15"/>
  <c r="AB240" i="15"/>
  <c r="AB240" i="25"/>
  <c r="A241" i="25"/>
  <c r="K240" i="25"/>
  <c r="X240" i="25"/>
  <c r="K243" i="17"/>
  <c r="X243" i="17"/>
  <c r="A244" i="17"/>
  <c r="AB243" i="17"/>
  <c r="X239" i="23"/>
  <c r="K239" i="23"/>
  <c r="AB239" i="23"/>
  <c r="A240" i="23"/>
  <c r="AJ241" i="1"/>
  <c r="K241" i="1"/>
  <c r="AB241" i="1"/>
  <c r="A27" i="7"/>
  <c r="Q241" i="1"/>
  <c r="AK241" i="1"/>
  <c r="X241" i="1"/>
  <c r="AB240" i="22"/>
  <c r="A241" i="22"/>
  <c r="K240" i="22"/>
  <c r="X240" i="22"/>
  <c r="K238" i="18"/>
  <c r="X238" i="18"/>
  <c r="AB238" i="18"/>
  <c r="A239" i="18"/>
  <c r="X242" i="20"/>
  <c r="A243" i="20"/>
  <c r="AB242" i="20"/>
  <c r="K242" i="20"/>
  <c r="A240" i="18"/>
  <c r="L239" i="18"/>
  <c r="AB239" i="18"/>
  <c r="X239" i="18"/>
  <c r="K239" i="18"/>
  <c r="X244" i="17"/>
  <c r="AB244" i="17"/>
  <c r="L244" i="17"/>
  <c r="D244" i="17" s="1"/>
  <c r="K244" i="17"/>
  <c r="A245" i="17"/>
  <c r="A39" i="7"/>
  <c r="K241" i="15"/>
  <c r="A242" i="15"/>
  <c r="AB241" i="15"/>
  <c r="X241" i="15"/>
  <c r="AB242" i="16"/>
  <c r="X242" i="16"/>
  <c r="L242" i="16"/>
  <c r="K242" i="16"/>
  <c r="A243" i="16"/>
  <c r="K243" i="20"/>
  <c r="AB243" i="20"/>
  <c r="X243" i="20"/>
  <c r="A244" i="20"/>
  <c r="AB241" i="22"/>
  <c r="K241" i="22"/>
  <c r="A242" i="22"/>
  <c r="AE39" i="7"/>
  <c r="X241" i="22"/>
  <c r="AK242" i="1"/>
  <c r="AB242" i="1"/>
  <c r="K242" i="1"/>
  <c r="AJ242" i="1"/>
  <c r="X242" i="1"/>
  <c r="K240" i="23"/>
  <c r="AB240" i="23"/>
  <c r="X240" i="23"/>
  <c r="A241" i="23"/>
  <c r="AB241" i="25"/>
  <c r="AE75" i="7"/>
  <c r="K241" i="25"/>
  <c r="X241" i="25"/>
  <c r="A242" i="25"/>
  <c r="AB242" i="24"/>
  <c r="A243" i="24"/>
  <c r="K242" i="24"/>
  <c r="X242" i="24"/>
  <c r="K244" i="20"/>
  <c r="AB244" i="20"/>
  <c r="A245" i="20"/>
  <c r="X244" i="20"/>
  <c r="D242" i="16"/>
  <c r="K242" i="25"/>
  <c r="A243" i="25"/>
  <c r="AB242" i="25"/>
  <c r="X242" i="25"/>
  <c r="X243" i="24"/>
  <c r="AB243" i="24"/>
  <c r="A244" i="24"/>
  <c r="K243" i="24"/>
  <c r="A242" i="23"/>
  <c r="AE51" i="7"/>
  <c r="X241" i="23"/>
  <c r="AB241" i="23"/>
  <c r="K241" i="23"/>
  <c r="AJ243" i="1"/>
  <c r="AB243" i="1"/>
  <c r="K243" i="1"/>
  <c r="X243" i="1"/>
  <c r="AK243" i="1"/>
  <c r="K242" i="22"/>
  <c r="X242" i="22"/>
  <c r="A243" i="22"/>
  <c r="AB242" i="22"/>
  <c r="AB243" i="16"/>
  <c r="X243" i="16"/>
  <c r="L243" i="16"/>
  <c r="D243" i="16" s="1"/>
  <c r="A244" i="16"/>
  <c r="K243" i="16"/>
  <c r="X242" i="15"/>
  <c r="K242" i="15"/>
  <c r="A243" i="15"/>
  <c r="AB242" i="15"/>
  <c r="X245" i="17"/>
  <c r="AB245" i="17"/>
  <c r="A246" i="17"/>
  <c r="K245" i="17"/>
  <c r="AB240" i="18"/>
  <c r="X240" i="18"/>
  <c r="K240" i="18"/>
  <c r="A241" i="18"/>
  <c r="A75" i="7"/>
  <c r="A242" i="18"/>
  <c r="X241" i="18"/>
  <c r="AB241" i="18"/>
  <c r="K241" i="18"/>
  <c r="X243" i="22"/>
  <c r="AB243" i="22"/>
  <c r="K243" i="22"/>
  <c r="A244" i="22"/>
  <c r="AB242" i="23"/>
  <c r="A243" i="23"/>
  <c r="X242" i="23"/>
  <c r="K242" i="23"/>
  <c r="AB244" i="24"/>
  <c r="X244" i="24"/>
  <c r="K244" i="24"/>
  <c r="A245" i="24"/>
  <c r="X243" i="25"/>
  <c r="K243" i="25"/>
  <c r="AB243" i="25"/>
  <c r="A244" i="25"/>
  <c r="AB246" i="17"/>
  <c r="X246" i="17"/>
  <c r="A247" i="17"/>
  <c r="K246" i="17"/>
  <c r="X243" i="15"/>
  <c r="A244" i="15"/>
  <c r="K243" i="15"/>
  <c r="AB243" i="15"/>
  <c r="AB244" i="16"/>
  <c r="L244" i="16"/>
  <c r="D244" i="16" s="1"/>
  <c r="X244" i="16"/>
  <c r="K244" i="16"/>
  <c r="A245" i="16"/>
  <c r="AK244" i="1"/>
  <c r="X244" i="1"/>
  <c r="AB244" i="1"/>
  <c r="AJ244" i="1"/>
  <c r="K244" i="1"/>
  <c r="X245" i="20"/>
  <c r="A246" i="20"/>
  <c r="AB245" i="20"/>
  <c r="K245" i="20"/>
  <c r="X245" i="16"/>
  <c r="L245" i="16"/>
  <c r="D245" i="16" s="1"/>
  <c r="AB245" i="16"/>
  <c r="A246" i="16"/>
  <c r="K245" i="16"/>
  <c r="K247" i="17"/>
  <c r="X247" i="17"/>
  <c r="AB247" i="17"/>
  <c r="A248" i="17"/>
  <c r="K245" i="24"/>
  <c r="X245" i="24"/>
  <c r="A246" i="24"/>
  <c r="AB245" i="24"/>
  <c r="K243" i="23"/>
  <c r="A244" i="23"/>
  <c r="AB243" i="23"/>
  <c r="X243" i="23"/>
  <c r="K242" i="18"/>
  <c r="X242" i="18"/>
  <c r="AB242" i="18"/>
  <c r="A243" i="18"/>
  <c r="A247" i="20"/>
  <c r="X246" i="20"/>
  <c r="K246" i="20"/>
  <c r="AB246" i="20"/>
  <c r="AJ245" i="1"/>
  <c r="X245" i="1"/>
  <c r="AB245" i="1"/>
  <c r="AK245" i="1"/>
  <c r="K245" i="1"/>
  <c r="K244" i="15"/>
  <c r="AB244" i="15"/>
  <c r="A245" i="15"/>
  <c r="X244" i="15"/>
  <c r="X244" i="25"/>
  <c r="A245" i="25"/>
  <c r="AB244" i="25"/>
  <c r="K244" i="25"/>
  <c r="X244" i="22"/>
  <c r="AB244" i="22"/>
  <c r="K244" i="22"/>
  <c r="A245" i="22"/>
  <c r="A246" i="22"/>
  <c r="AB245" i="22"/>
  <c r="X245" i="22"/>
  <c r="K245" i="22"/>
  <c r="K245" i="25"/>
  <c r="A246" i="25"/>
  <c r="AB245" i="25"/>
  <c r="X245" i="25"/>
  <c r="A246" i="15"/>
  <c r="AB245" i="15"/>
  <c r="K245" i="15"/>
  <c r="X245" i="15"/>
  <c r="A245" i="23"/>
  <c r="AB244" i="23"/>
  <c r="X244" i="23"/>
  <c r="K244" i="23"/>
  <c r="X246" i="24"/>
  <c r="A247" i="24"/>
  <c r="K246" i="24"/>
  <c r="AB246" i="24"/>
  <c r="AB248" i="17"/>
  <c r="K248" i="17"/>
  <c r="A249" i="17"/>
  <c r="X248" i="17"/>
  <c r="AJ246" i="1"/>
  <c r="AB246" i="1"/>
  <c r="K246" i="1"/>
  <c r="L246" i="1"/>
  <c r="D246" i="1" s="1"/>
  <c r="AK246" i="1"/>
  <c r="X246" i="1"/>
  <c r="AB247" i="20"/>
  <c r="A248" i="20"/>
  <c r="K247" i="20"/>
  <c r="X247" i="20"/>
  <c r="AB243" i="18"/>
  <c r="A244" i="18"/>
  <c r="L243" i="18"/>
  <c r="X243" i="18"/>
  <c r="K243" i="18"/>
  <c r="AB246" i="16"/>
  <c r="L246" i="16"/>
  <c r="K246" i="16"/>
  <c r="A247" i="16"/>
  <c r="X246" i="16"/>
  <c r="A248" i="16"/>
  <c r="L247" i="16"/>
  <c r="D247" i="16" s="1"/>
  <c r="AB247" i="16"/>
  <c r="X247" i="16"/>
  <c r="K247" i="16"/>
  <c r="D246" i="16"/>
  <c r="X248" i="20"/>
  <c r="A249" i="20"/>
  <c r="K248" i="20"/>
  <c r="AB248" i="20"/>
  <c r="A250" i="17"/>
  <c r="AB249" i="17"/>
  <c r="X249" i="17"/>
  <c r="K249" i="17"/>
  <c r="X247" i="24"/>
  <c r="K247" i="24"/>
  <c r="A248" i="24"/>
  <c r="AB247" i="24"/>
  <c r="X245" i="23"/>
  <c r="AB245" i="23"/>
  <c r="K245" i="23"/>
  <c r="A246" i="23"/>
  <c r="AB246" i="15"/>
  <c r="K246" i="15"/>
  <c r="X246" i="15"/>
  <c r="A247" i="15"/>
  <c r="AB246" i="25"/>
  <c r="X246" i="25"/>
  <c r="A247" i="25"/>
  <c r="K246" i="25"/>
  <c r="A247" i="22"/>
  <c r="X246" i="22"/>
  <c r="AB246" i="22"/>
  <c r="K246" i="22"/>
  <c r="A245" i="18"/>
  <c r="K244" i="18"/>
  <c r="AB244" i="18"/>
  <c r="X244" i="18"/>
  <c r="L244" i="18"/>
  <c r="AJ247" i="1"/>
  <c r="X247" i="1"/>
  <c r="AK247" i="1"/>
  <c r="AB247" i="1"/>
  <c r="Q247" i="1"/>
  <c r="K247" i="1"/>
  <c r="AJ248" i="1"/>
  <c r="AB248" i="1"/>
  <c r="K248" i="1"/>
  <c r="X248" i="1"/>
  <c r="AK248" i="1"/>
  <c r="K245" i="18"/>
  <c r="A246" i="18"/>
  <c r="AB245" i="18"/>
  <c r="X245" i="18"/>
  <c r="X247" i="22"/>
  <c r="K247" i="22"/>
  <c r="A248" i="22"/>
  <c r="AB247" i="22"/>
  <c r="X247" i="25"/>
  <c r="K247" i="25"/>
  <c r="A248" i="25"/>
  <c r="AB247" i="25"/>
  <c r="A248" i="15"/>
  <c r="AB247" i="15"/>
  <c r="X247" i="15"/>
  <c r="K247" i="15"/>
  <c r="K249" i="20"/>
  <c r="AB249" i="20"/>
  <c r="A250" i="20"/>
  <c r="X249" i="20"/>
  <c r="K246" i="23"/>
  <c r="A247" i="23"/>
  <c r="AB246" i="23"/>
  <c r="X246" i="23"/>
  <c r="AB248" i="24"/>
  <c r="K248" i="24"/>
  <c r="X248" i="24"/>
  <c r="A249" i="24"/>
  <c r="K250" i="17"/>
  <c r="A251" i="17"/>
  <c r="AB250" i="17"/>
  <c r="X250" i="17"/>
  <c r="AB248" i="16"/>
  <c r="K248" i="16"/>
  <c r="X248" i="16"/>
  <c r="A249" i="16"/>
  <c r="L248" i="16"/>
  <c r="D248" i="16" s="1"/>
  <c r="AB251" i="17"/>
  <c r="K251" i="17"/>
  <c r="X251" i="17"/>
  <c r="L251" i="17"/>
  <c r="D251" i="17" s="1"/>
  <c r="A252" i="17"/>
  <c r="K250" i="20"/>
  <c r="AB250" i="20"/>
  <c r="A251" i="20"/>
  <c r="X250" i="20"/>
  <c r="AB248" i="25"/>
  <c r="K248" i="25"/>
  <c r="X248" i="25"/>
  <c r="A249" i="25"/>
  <c r="K248" i="22"/>
  <c r="AB248" i="22"/>
  <c r="A249" i="22"/>
  <c r="X248" i="22"/>
  <c r="X246" i="18"/>
  <c r="A247" i="18"/>
  <c r="AB246" i="18"/>
  <c r="K246" i="18"/>
  <c r="A250" i="16"/>
  <c r="L249" i="16"/>
  <c r="D249" i="16" s="1"/>
  <c r="AB249" i="16"/>
  <c r="X249" i="16"/>
  <c r="K249" i="16"/>
  <c r="AB249" i="24"/>
  <c r="A250" i="24"/>
  <c r="X249" i="24"/>
  <c r="K249" i="24"/>
  <c r="X247" i="23"/>
  <c r="AB247" i="23"/>
  <c r="K247" i="23"/>
  <c r="A248" i="23"/>
  <c r="K248" i="15"/>
  <c r="A249" i="15"/>
  <c r="AB248" i="15"/>
  <c r="X248" i="15"/>
  <c r="AK249" i="1"/>
  <c r="K249" i="1"/>
  <c r="X249" i="1"/>
  <c r="AB249" i="1"/>
  <c r="AJ249" i="1"/>
  <c r="X249" i="15"/>
  <c r="A250" i="15"/>
  <c r="AB249" i="15"/>
  <c r="K249" i="15"/>
  <c r="X248" i="23"/>
  <c r="A249" i="23"/>
  <c r="AB248" i="23"/>
  <c r="K248" i="23"/>
  <c r="A251" i="16"/>
  <c r="AB250" i="16"/>
  <c r="K250" i="16"/>
  <c r="X250" i="16"/>
  <c r="L250" i="16"/>
  <c r="AK250" i="1"/>
  <c r="X250" i="1"/>
  <c r="AJ250" i="1"/>
  <c r="K250" i="1"/>
  <c r="AB250" i="1"/>
  <c r="AB250" i="24"/>
  <c r="X250" i="24"/>
  <c r="A251" i="24"/>
  <c r="K250" i="24"/>
  <c r="AB247" i="18"/>
  <c r="K247" i="18"/>
  <c r="A248" i="18"/>
  <c r="X247" i="18"/>
  <c r="A250" i="22"/>
  <c r="K249" i="22"/>
  <c r="AB249" i="22"/>
  <c r="X249" i="22"/>
  <c r="X249" i="25"/>
  <c r="K249" i="25"/>
  <c r="AB249" i="25"/>
  <c r="A250" i="25"/>
  <c r="K251" i="20"/>
  <c r="AB251" i="20"/>
  <c r="X251" i="20"/>
  <c r="A252" i="20"/>
  <c r="AB252" i="17"/>
  <c r="X252" i="17"/>
  <c r="K252" i="17"/>
  <c r="A253" i="17"/>
  <c r="K253" i="17"/>
  <c r="A254" i="17"/>
  <c r="X253" i="17"/>
  <c r="AB253" i="17"/>
  <c r="X250" i="22"/>
  <c r="K250" i="22"/>
  <c r="AB250" i="22"/>
  <c r="A251" i="22"/>
  <c r="K251" i="24"/>
  <c r="AB251" i="24"/>
  <c r="A252" i="24"/>
  <c r="X251" i="24"/>
  <c r="K251" i="16"/>
  <c r="X251" i="16"/>
  <c r="L251" i="16"/>
  <c r="D251" i="16" s="1"/>
  <c r="AB251" i="16"/>
  <c r="A252" i="16"/>
  <c r="K252" i="20"/>
  <c r="A253" i="20"/>
  <c r="AB252" i="20"/>
  <c r="X252" i="20"/>
  <c r="AB250" i="25"/>
  <c r="A251" i="25"/>
  <c r="X250" i="25"/>
  <c r="K250" i="25"/>
  <c r="A249" i="18"/>
  <c r="K248" i="18"/>
  <c r="AB248" i="18"/>
  <c r="X248" i="18"/>
  <c r="AK251" i="1"/>
  <c r="X251" i="1"/>
  <c r="K251" i="1"/>
  <c r="AJ251" i="1"/>
  <c r="Q251" i="1"/>
  <c r="AB251" i="1"/>
  <c r="D250" i="16"/>
  <c r="X249" i="23"/>
  <c r="AB249" i="23"/>
  <c r="K249" i="23"/>
  <c r="A250" i="23"/>
  <c r="K250" i="15"/>
  <c r="AB250" i="15"/>
  <c r="A251" i="15"/>
  <c r="X250" i="15"/>
  <c r="X250" i="23"/>
  <c r="AB250" i="23"/>
  <c r="K250" i="23"/>
  <c r="A251" i="23"/>
  <c r="A252" i="25"/>
  <c r="AB251" i="25"/>
  <c r="X251" i="25"/>
  <c r="K251" i="25"/>
  <c r="AB252" i="16"/>
  <c r="X252" i="16"/>
  <c r="K252" i="16"/>
  <c r="A253" i="16"/>
  <c r="L252" i="16"/>
  <c r="D252" i="16" s="1"/>
  <c r="A252" i="22"/>
  <c r="X251" i="22"/>
  <c r="K251" i="22"/>
  <c r="AB251" i="22"/>
  <c r="AB254" i="17"/>
  <c r="A255" i="17"/>
  <c r="X254" i="17"/>
  <c r="K254" i="17"/>
  <c r="AB251" i="15"/>
  <c r="X251" i="15"/>
  <c r="K251" i="15"/>
  <c r="A252" i="15"/>
  <c r="AK252" i="1"/>
  <c r="K252" i="1"/>
  <c r="AJ252" i="1"/>
  <c r="X252" i="1"/>
  <c r="AB252" i="1"/>
  <c r="X249" i="18"/>
  <c r="A250" i="18"/>
  <c r="K249" i="18"/>
  <c r="AB249" i="18"/>
  <c r="X253" i="20"/>
  <c r="A254" i="20"/>
  <c r="K253" i="20"/>
  <c r="AB253" i="20"/>
  <c r="AB252" i="24"/>
  <c r="X252" i="24"/>
  <c r="A253" i="24"/>
  <c r="K252" i="24"/>
  <c r="AB250" i="18"/>
  <c r="A251" i="18"/>
  <c r="K250" i="18"/>
  <c r="X250" i="18"/>
  <c r="X255" i="17"/>
  <c r="K255" i="17"/>
  <c r="L255" i="17"/>
  <c r="D255" i="17" s="1"/>
  <c r="AB255" i="17"/>
  <c r="A256" i="17"/>
  <c r="K252" i="22"/>
  <c r="X252" i="22"/>
  <c r="AB252" i="22"/>
  <c r="A253" i="22"/>
  <c r="X254" i="20"/>
  <c r="A255" i="20"/>
  <c r="K254" i="20"/>
  <c r="AB254" i="20"/>
  <c r="AB253" i="24"/>
  <c r="A254" i="24"/>
  <c r="K253" i="24"/>
  <c r="X253" i="24"/>
  <c r="AK253" i="1"/>
  <c r="AB253" i="1"/>
  <c r="X253" i="1"/>
  <c r="K253" i="1"/>
  <c r="AJ253" i="1"/>
  <c r="AB252" i="15"/>
  <c r="X252" i="15"/>
  <c r="A253" i="15"/>
  <c r="K252" i="15"/>
  <c r="K253" i="16"/>
  <c r="L253" i="16"/>
  <c r="D253" i="16" s="1"/>
  <c r="X253" i="16"/>
  <c r="A254" i="16"/>
  <c r="AB253" i="16"/>
  <c r="K252" i="25"/>
  <c r="AB252" i="25"/>
  <c r="X252" i="25"/>
  <c r="A253" i="25"/>
  <c r="X251" i="23"/>
  <c r="K251" i="23"/>
  <c r="AB251" i="23"/>
  <c r="A252" i="23"/>
  <c r="AJ254" i="1"/>
  <c r="X254" i="1"/>
  <c r="K254" i="1"/>
  <c r="AK254" i="1"/>
  <c r="AB254" i="1"/>
  <c r="A256" i="20"/>
  <c r="K255" i="20"/>
  <c r="AB255" i="20"/>
  <c r="X255" i="20"/>
  <c r="K253" i="22"/>
  <c r="AB253" i="22"/>
  <c r="A254" i="22"/>
  <c r="X253" i="22"/>
  <c r="AB251" i="18"/>
  <c r="K251" i="18"/>
  <c r="X251" i="18"/>
  <c r="A252" i="18"/>
  <c r="K252" i="23"/>
  <c r="X252" i="23"/>
  <c r="A253" i="23"/>
  <c r="AB252" i="23"/>
  <c r="AB253" i="25"/>
  <c r="A254" i="25"/>
  <c r="K253" i="25"/>
  <c r="X253" i="25"/>
  <c r="K254" i="16"/>
  <c r="L254" i="16"/>
  <c r="AB254" i="16"/>
  <c r="X254" i="16"/>
  <c r="A255" i="16"/>
  <c r="A254" i="15"/>
  <c r="K253" i="15"/>
  <c r="AB253" i="15"/>
  <c r="X253" i="15"/>
  <c r="K254" i="24"/>
  <c r="AB254" i="24"/>
  <c r="X254" i="24"/>
  <c r="A255" i="24"/>
  <c r="AB256" i="17"/>
  <c r="K256" i="17"/>
  <c r="X256" i="17"/>
  <c r="A257" i="17"/>
  <c r="X255" i="24"/>
  <c r="K255" i="24"/>
  <c r="AB255" i="24"/>
  <c r="A256" i="24"/>
  <c r="AB254" i="15"/>
  <c r="X254" i="15"/>
  <c r="K254" i="15"/>
  <c r="A255" i="15"/>
  <c r="K256" i="20"/>
  <c r="AB256" i="20"/>
  <c r="X256" i="20"/>
  <c r="A257" i="20"/>
  <c r="AK255" i="1"/>
  <c r="AB255" i="1"/>
  <c r="X255" i="1"/>
  <c r="AJ255" i="1"/>
  <c r="K255" i="1"/>
  <c r="X257" i="17"/>
  <c r="A258" i="17"/>
  <c r="AB257" i="17"/>
  <c r="K257" i="17"/>
  <c r="X255" i="16"/>
  <c r="L255" i="16"/>
  <c r="K255" i="16"/>
  <c r="A256" i="16"/>
  <c r="AB255" i="16"/>
  <c r="D254" i="16"/>
  <c r="AB254" i="25"/>
  <c r="K254" i="25"/>
  <c r="A255" i="25"/>
  <c r="X254" i="25"/>
  <c r="AB253" i="23"/>
  <c r="A254" i="23"/>
  <c r="K253" i="23"/>
  <c r="X253" i="23"/>
  <c r="A253" i="18"/>
  <c r="AB252" i="18"/>
  <c r="K252" i="18"/>
  <c r="X252" i="18"/>
  <c r="X254" i="22"/>
  <c r="AB254" i="22"/>
  <c r="A255" i="22"/>
  <c r="K254" i="22"/>
  <c r="A256" i="22"/>
  <c r="X255" i="22"/>
  <c r="K255" i="22"/>
  <c r="AB255" i="22"/>
  <c r="AB253" i="18"/>
  <c r="K253" i="18"/>
  <c r="X253" i="18"/>
  <c r="A254" i="18"/>
  <c r="K254" i="23"/>
  <c r="AB254" i="23"/>
  <c r="A255" i="23"/>
  <c r="X254" i="23"/>
  <c r="A257" i="16"/>
  <c r="L256" i="16"/>
  <c r="D256" i="16" s="1"/>
  <c r="X256" i="16"/>
  <c r="AB256" i="16"/>
  <c r="K256" i="16"/>
  <c r="D255" i="16"/>
  <c r="AJ256" i="1"/>
  <c r="X256" i="1"/>
  <c r="K256" i="1"/>
  <c r="AB256" i="1"/>
  <c r="AK256" i="1"/>
  <c r="A258" i="20"/>
  <c r="X257" i="20"/>
  <c r="AB257" i="20"/>
  <c r="K257" i="20"/>
  <c r="K255" i="25"/>
  <c r="A256" i="25"/>
  <c r="AB255" i="25"/>
  <c r="X255" i="25"/>
  <c r="A259" i="17"/>
  <c r="X258" i="17"/>
  <c r="K258" i="17"/>
  <c r="AB258" i="17"/>
  <c r="X255" i="15"/>
  <c r="K255" i="15"/>
  <c r="AB255" i="15"/>
  <c r="A256" i="15"/>
  <c r="X256" i="24"/>
  <c r="AB256" i="24"/>
  <c r="K256" i="24"/>
  <c r="A257" i="24"/>
  <c r="K257" i="24"/>
  <c r="A258" i="24"/>
  <c r="X257" i="24"/>
  <c r="AB257" i="24"/>
  <c r="AB256" i="15"/>
  <c r="A257" i="15"/>
  <c r="X256" i="15"/>
  <c r="K256" i="15"/>
  <c r="X256" i="25"/>
  <c r="AB256" i="25"/>
  <c r="K256" i="25"/>
  <c r="A257" i="25"/>
  <c r="AK257" i="1"/>
  <c r="X257" i="1"/>
  <c r="K257" i="1"/>
  <c r="AB257" i="1"/>
  <c r="AJ257" i="1"/>
  <c r="A257" i="22"/>
  <c r="K256" i="22"/>
  <c r="AB256" i="22"/>
  <c r="X256" i="22"/>
  <c r="AB259" i="17"/>
  <c r="A260" i="17"/>
  <c r="X259" i="17"/>
  <c r="K259" i="17"/>
  <c r="AB258" i="20"/>
  <c r="X258" i="20"/>
  <c r="A259" i="20"/>
  <c r="K258" i="20"/>
  <c r="X257" i="16"/>
  <c r="AB257" i="16"/>
  <c r="L257" i="16"/>
  <c r="D257" i="16" s="1"/>
  <c r="A258" i="16"/>
  <c r="K257" i="16"/>
  <c r="AB255" i="23"/>
  <c r="A256" i="23"/>
  <c r="X255" i="23"/>
  <c r="K255" i="23"/>
  <c r="AB254" i="18"/>
  <c r="A255" i="18"/>
  <c r="X254" i="18"/>
  <c r="K254" i="18"/>
  <c r="A256" i="18"/>
  <c r="X255" i="18"/>
  <c r="K255" i="18"/>
  <c r="AB255" i="18"/>
  <c r="AB260" i="17"/>
  <c r="X260" i="17"/>
  <c r="A261" i="17"/>
  <c r="K260" i="17"/>
  <c r="A258" i="25"/>
  <c r="X257" i="25"/>
  <c r="K257" i="25"/>
  <c r="AB257" i="25"/>
  <c r="X257" i="15"/>
  <c r="AB257" i="15"/>
  <c r="K257" i="15"/>
  <c r="A258" i="15"/>
  <c r="K258" i="24"/>
  <c r="X258" i="24"/>
  <c r="AB258" i="24"/>
  <c r="A259" i="24"/>
  <c r="A257" i="23"/>
  <c r="X256" i="23"/>
  <c r="K256" i="23"/>
  <c r="AB256" i="23"/>
  <c r="AB258" i="16"/>
  <c r="A259" i="16"/>
  <c r="K258" i="16"/>
  <c r="X258" i="16"/>
  <c r="L258" i="16"/>
  <c r="D258" i="16" s="1"/>
  <c r="K259" i="20"/>
  <c r="AB259" i="20"/>
  <c r="A260" i="20"/>
  <c r="X259" i="20"/>
  <c r="K257" i="22"/>
  <c r="A258" i="22"/>
  <c r="AB257" i="22"/>
  <c r="X257" i="22"/>
  <c r="AK258" i="1"/>
  <c r="K258" i="1"/>
  <c r="AB258" i="1"/>
  <c r="X258" i="1"/>
  <c r="AJ258" i="1"/>
  <c r="AK259" i="1"/>
  <c r="AB259" i="1"/>
  <c r="AJ259" i="1"/>
  <c r="K259" i="1"/>
  <c r="X259" i="1"/>
  <c r="K258" i="22"/>
  <c r="AB258" i="22"/>
  <c r="X258" i="22"/>
  <c r="A259" i="22"/>
  <c r="A260" i="16"/>
  <c r="AB259" i="16"/>
  <c r="K259" i="16"/>
  <c r="X259" i="16"/>
  <c r="L259" i="16"/>
  <c r="D259" i="16" s="1"/>
  <c r="AB259" i="24"/>
  <c r="A260" i="24"/>
  <c r="K259" i="24"/>
  <c r="X259" i="24"/>
  <c r="A259" i="15"/>
  <c r="AB258" i="15"/>
  <c r="X258" i="15"/>
  <c r="K258" i="15"/>
  <c r="X260" i="20"/>
  <c r="A261" i="20"/>
  <c r="K260" i="20"/>
  <c r="AB260" i="20"/>
  <c r="AB257" i="23"/>
  <c r="X257" i="23"/>
  <c r="K257" i="23"/>
  <c r="A258" i="23"/>
  <c r="AB258" i="25"/>
  <c r="A259" i="25"/>
  <c r="K258" i="25"/>
  <c r="X258" i="25"/>
  <c r="X261" i="17"/>
  <c r="AB261" i="17"/>
  <c r="A262" i="17"/>
  <c r="K261" i="17"/>
  <c r="AB256" i="18"/>
  <c r="A257" i="18"/>
  <c r="X256" i="18"/>
  <c r="K256" i="18"/>
  <c r="A258" i="18"/>
  <c r="X257" i="18"/>
  <c r="AB257" i="18"/>
  <c r="K257" i="18"/>
  <c r="AB262" i="17"/>
  <c r="X262" i="17"/>
  <c r="K262" i="17"/>
  <c r="A263" i="17"/>
  <c r="AB258" i="23"/>
  <c r="X258" i="23"/>
  <c r="A259" i="23"/>
  <c r="K258" i="23"/>
  <c r="X259" i="15"/>
  <c r="AB259" i="15"/>
  <c r="A260" i="15"/>
  <c r="K259" i="15"/>
  <c r="AK260" i="1"/>
  <c r="K260" i="1"/>
  <c r="AJ260" i="1"/>
  <c r="X260" i="1"/>
  <c r="AB260" i="1"/>
  <c r="L260" i="1"/>
  <c r="D260" i="1" s="1"/>
  <c r="K259" i="25"/>
  <c r="AB259" i="25"/>
  <c r="A260" i="25"/>
  <c r="X259" i="25"/>
  <c r="X261" i="20"/>
  <c r="K261" i="20"/>
  <c r="AB261" i="20"/>
  <c r="A262" i="20"/>
  <c r="A261" i="24"/>
  <c r="K260" i="24"/>
  <c r="X260" i="24"/>
  <c r="AB260" i="24"/>
  <c r="A261" i="16"/>
  <c r="L260" i="16"/>
  <c r="D260" i="16" s="1"/>
  <c r="X260" i="16"/>
  <c r="K260" i="16"/>
  <c r="AB260" i="16"/>
  <c r="A260" i="22"/>
  <c r="X259" i="22"/>
  <c r="K259" i="22"/>
  <c r="AB259" i="22"/>
  <c r="K260" i="22"/>
  <c r="X260" i="22"/>
  <c r="A261" i="22"/>
  <c r="AB260" i="22"/>
  <c r="X262" i="20"/>
  <c r="AB262" i="20"/>
  <c r="A263" i="20"/>
  <c r="K262" i="20"/>
  <c r="X260" i="25"/>
  <c r="AB260" i="25"/>
  <c r="A261" i="25"/>
  <c r="K260" i="25"/>
  <c r="AB261" i="16"/>
  <c r="K261" i="16"/>
  <c r="L261" i="16"/>
  <c r="D261" i="16" s="1"/>
  <c r="A262" i="16"/>
  <c r="X261" i="16"/>
  <c r="AB261" i="24"/>
  <c r="A262" i="24"/>
  <c r="K261" i="24"/>
  <c r="X261" i="24"/>
  <c r="AK261" i="1"/>
  <c r="K261" i="1"/>
  <c r="AB261" i="1"/>
  <c r="AJ261" i="1"/>
  <c r="X261" i="1"/>
  <c r="AB260" i="15"/>
  <c r="X260" i="15"/>
  <c r="A261" i="15"/>
  <c r="K260" i="15"/>
  <c r="X259" i="23"/>
  <c r="AB259" i="23"/>
  <c r="A260" i="23"/>
  <c r="K259" i="23"/>
  <c r="X263" i="17"/>
  <c r="A264" i="17"/>
  <c r="K263" i="17"/>
  <c r="AB263" i="17"/>
  <c r="A259" i="18"/>
  <c r="K258" i="18"/>
  <c r="AB258" i="18"/>
  <c r="X258" i="18"/>
  <c r="A263" i="16"/>
  <c r="X262" i="16"/>
  <c r="K262" i="16"/>
  <c r="AB262" i="16"/>
  <c r="L262" i="16"/>
  <c r="D262" i="16" s="1"/>
  <c r="AB261" i="25"/>
  <c r="K261" i="25"/>
  <c r="X261" i="25"/>
  <c r="A262" i="25"/>
  <c r="X259" i="18"/>
  <c r="AB259" i="18"/>
  <c r="A260" i="18"/>
  <c r="K259" i="18"/>
  <c r="A265" i="17"/>
  <c r="AB264" i="17"/>
  <c r="K264" i="17"/>
  <c r="X264" i="17"/>
  <c r="X260" i="23"/>
  <c r="AB260" i="23"/>
  <c r="A261" i="23"/>
  <c r="K260" i="23"/>
  <c r="K261" i="15"/>
  <c r="X261" i="15"/>
  <c r="AB261" i="15"/>
  <c r="A262" i="15"/>
  <c r="AK262" i="1"/>
  <c r="X262" i="1"/>
  <c r="AB262" i="1"/>
  <c r="K262" i="1"/>
  <c r="AJ262" i="1"/>
  <c r="A263" i="24"/>
  <c r="K262" i="24"/>
  <c r="X262" i="24"/>
  <c r="AB262" i="24"/>
  <c r="X263" i="20"/>
  <c r="A264" i="20"/>
  <c r="AB263" i="20"/>
  <c r="K263" i="20"/>
  <c r="X261" i="22"/>
  <c r="K261" i="22"/>
  <c r="A262" i="22"/>
  <c r="AB261" i="22"/>
  <c r="K262" i="22"/>
  <c r="AB262" i="22"/>
  <c r="X262" i="22"/>
  <c r="A263" i="22"/>
  <c r="X264" i="20"/>
  <c r="A265" i="20"/>
  <c r="AB264" i="20"/>
  <c r="K264" i="20"/>
  <c r="AB263" i="24"/>
  <c r="A264" i="24"/>
  <c r="X263" i="24"/>
  <c r="K263" i="24"/>
  <c r="K265" i="17"/>
  <c r="AB265" i="17"/>
  <c r="A266" i="17"/>
  <c r="X265" i="17"/>
  <c r="K260" i="18"/>
  <c r="X260" i="18"/>
  <c r="AB260" i="18"/>
  <c r="A261" i="18"/>
  <c r="AK263" i="1"/>
  <c r="K263" i="1"/>
  <c r="AB263" i="1"/>
  <c r="AJ263" i="1"/>
  <c r="X263" i="1"/>
  <c r="K262" i="15"/>
  <c r="AB262" i="15"/>
  <c r="X262" i="15"/>
  <c r="A263" i="15"/>
  <c r="L262" i="15"/>
  <c r="D262" i="15" s="1"/>
  <c r="K261" i="23"/>
  <c r="X261" i="23"/>
  <c r="AB261" i="23"/>
  <c r="A262" i="23"/>
  <c r="K262" i="25"/>
  <c r="A263" i="25"/>
  <c r="X262" i="25"/>
  <c r="AB262" i="25"/>
  <c r="AB263" i="16"/>
  <c r="L263" i="16"/>
  <c r="D263" i="16" s="1"/>
  <c r="X263" i="16"/>
  <c r="A264" i="16"/>
  <c r="K263" i="16"/>
  <c r="AB264" i="16"/>
  <c r="K264" i="16"/>
  <c r="X264" i="16"/>
  <c r="L264" i="16"/>
  <c r="D264" i="16" s="1"/>
  <c r="A265" i="16"/>
  <c r="A263" i="23"/>
  <c r="AB262" i="23"/>
  <c r="K262" i="23"/>
  <c r="X262" i="23"/>
  <c r="AJ264" i="1"/>
  <c r="AB264" i="1"/>
  <c r="K264" i="1"/>
  <c r="AK264" i="1"/>
  <c r="X264" i="1"/>
  <c r="A262" i="18"/>
  <c r="X261" i="18"/>
  <c r="K261" i="18"/>
  <c r="AB261" i="18"/>
  <c r="X265" i="20"/>
  <c r="AB265" i="20"/>
  <c r="A266" i="20"/>
  <c r="K265" i="20"/>
  <c r="A264" i="25"/>
  <c r="K263" i="25"/>
  <c r="AB263" i="25"/>
  <c r="X263" i="25"/>
  <c r="X263" i="15"/>
  <c r="K263" i="15"/>
  <c r="A264" i="15"/>
  <c r="AB263" i="15"/>
  <c r="X266" i="17"/>
  <c r="K266" i="17"/>
  <c r="AB266" i="17"/>
  <c r="A267" i="17"/>
  <c r="AB264" i="24"/>
  <c r="A265" i="24"/>
  <c r="X264" i="24"/>
  <c r="K264" i="24"/>
  <c r="K263" i="22"/>
  <c r="X263" i="22"/>
  <c r="AB263" i="22"/>
  <c r="A264" i="22"/>
  <c r="K267" i="17"/>
  <c r="AB267" i="17"/>
  <c r="X267" i="17"/>
  <c r="A268" i="17"/>
  <c r="K263" i="23"/>
  <c r="X263" i="23"/>
  <c r="AB263" i="23"/>
  <c r="A264" i="23"/>
  <c r="X265" i="16"/>
  <c r="A266" i="16"/>
  <c r="L265" i="16"/>
  <c r="D265" i="16" s="1"/>
  <c r="K265" i="16"/>
  <c r="AB265" i="16"/>
  <c r="A265" i="22"/>
  <c r="AB264" i="22"/>
  <c r="K264" i="22"/>
  <c r="X264" i="22"/>
  <c r="AB265" i="24"/>
  <c r="K265" i="24"/>
  <c r="A266" i="24"/>
  <c r="X265" i="24"/>
  <c r="K264" i="15"/>
  <c r="A265" i="15"/>
  <c r="AB264" i="15"/>
  <c r="X264" i="15"/>
  <c r="K264" i="25"/>
  <c r="X264" i="25"/>
  <c r="A265" i="25"/>
  <c r="AB264" i="25"/>
  <c r="K266" i="20"/>
  <c r="X266" i="20"/>
  <c r="A267" i="20"/>
  <c r="AB266" i="20"/>
  <c r="K262" i="18"/>
  <c r="A263" i="18"/>
  <c r="AB262" i="18"/>
  <c r="X262" i="18"/>
  <c r="AK265" i="1"/>
  <c r="K265" i="1"/>
  <c r="AJ265" i="1"/>
  <c r="AB265" i="1"/>
  <c r="X265" i="1"/>
  <c r="X266" i="16"/>
  <c r="K266" i="16"/>
  <c r="L266" i="16"/>
  <c r="D266" i="16" s="1"/>
  <c r="AB266" i="16"/>
  <c r="A267" i="16"/>
  <c r="A265" i="23"/>
  <c r="K264" i="23"/>
  <c r="AB264" i="23"/>
  <c r="X264" i="23"/>
  <c r="A264" i="18"/>
  <c r="AB263" i="18"/>
  <c r="X263" i="18"/>
  <c r="K263" i="18"/>
  <c r="K267" i="20"/>
  <c r="AB267" i="20"/>
  <c r="X267" i="20"/>
  <c r="A268" i="20"/>
  <c r="K266" i="24"/>
  <c r="AB266" i="24"/>
  <c r="A267" i="24"/>
  <c r="X266" i="24"/>
  <c r="A269" i="17"/>
  <c r="K268" i="17"/>
  <c r="X268" i="17"/>
  <c r="AB268" i="17"/>
  <c r="AJ266" i="1"/>
  <c r="K266" i="1"/>
  <c r="AK266" i="1"/>
  <c r="AB266" i="1"/>
  <c r="X266" i="1"/>
  <c r="X265" i="25"/>
  <c r="K265" i="25"/>
  <c r="A266" i="25"/>
  <c r="AB265" i="25"/>
  <c r="X265" i="15"/>
  <c r="AB265" i="15"/>
  <c r="K265" i="15"/>
  <c r="A266" i="15"/>
  <c r="X265" i="22"/>
  <c r="A266" i="22"/>
  <c r="K265" i="22"/>
  <c r="AB265" i="22"/>
  <c r="X266" i="22"/>
  <c r="K266" i="22"/>
  <c r="A267" i="22"/>
  <c r="AB266" i="22"/>
  <c r="AB269" i="17"/>
  <c r="X269" i="17"/>
  <c r="A270" i="17"/>
  <c r="K269" i="17"/>
  <c r="AB267" i="16"/>
  <c r="L267" i="16"/>
  <c r="D267" i="16" s="1"/>
  <c r="A268" i="16"/>
  <c r="K267" i="16"/>
  <c r="X267" i="16"/>
  <c r="K266" i="15"/>
  <c r="A267" i="15"/>
  <c r="X266" i="15"/>
  <c r="AB266" i="15"/>
  <c r="A267" i="25"/>
  <c r="K266" i="25"/>
  <c r="AB266" i="25"/>
  <c r="X266" i="25"/>
  <c r="AJ267" i="1"/>
  <c r="K267" i="1"/>
  <c r="X267" i="1"/>
  <c r="AB267" i="1"/>
  <c r="AK267" i="1"/>
  <c r="A268" i="24"/>
  <c r="AB267" i="24"/>
  <c r="X267" i="24"/>
  <c r="K267" i="24"/>
  <c r="A269" i="20"/>
  <c r="K268" i="20"/>
  <c r="X268" i="20"/>
  <c r="AB268" i="20"/>
  <c r="A265" i="18"/>
  <c r="K264" i="18"/>
  <c r="AB264" i="18"/>
  <c r="X264" i="18"/>
  <c r="A266" i="23"/>
  <c r="X265" i="23"/>
  <c r="K265" i="23"/>
  <c r="AB265" i="23"/>
  <c r="AB267" i="25"/>
  <c r="A268" i="25"/>
  <c r="K267" i="25"/>
  <c r="X267" i="25"/>
  <c r="AB270" i="17"/>
  <c r="X270" i="17"/>
  <c r="K270" i="17"/>
  <c r="A271" i="17"/>
  <c r="K267" i="22"/>
  <c r="A268" i="22"/>
  <c r="AB267" i="22"/>
  <c r="X267" i="22"/>
  <c r="X266" i="23"/>
  <c r="AB266" i="23"/>
  <c r="A267" i="23"/>
  <c r="K266" i="23"/>
  <c r="K265" i="18"/>
  <c r="AB265" i="18"/>
  <c r="A266" i="18"/>
  <c r="X265" i="18"/>
  <c r="X269" i="20"/>
  <c r="AB269" i="20"/>
  <c r="K269" i="20"/>
  <c r="A270" i="20"/>
  <c r="A269" i="24"/>
  <c r="X268" i="24"/>
  <c r="K268" i="24"/>
  <c r="AB268" i="24"/>
  <c r="AJ268" i="1"/>
  <c r="K268" i="1"/>
  <c r="AK268" i="1"/>
  <c r="AB268" i="1"/>
  <c r="X268" i="1"/>
  <c r="AB267" i="15"/>
  <c r="K267" i="15"/>
  <c r="X267" i="15"/>
  <c r="A268" i="15"/>
  <c r="A269" i="16"/>
  <c r="K268" i="16"/>
  <c r="L268" i="16"/>
  <c r="D268" i="16" s="1"/>
  <c r="X268" i="16"/>
  <c r="AB268" i="16"/>
  <c r="AB268" i="15"/>
  <c r="L268" i="15"/>
  <c r="D268" i="15" s="1"/>
  <c r="X268" i="15"/>
  <c r="A269" i="15"/>
  <c r="K268" i="15"/>
  <c r="AJ269" i="1"/>
  <c r="X269" i="1"/>
  <c r="K269" i="1"/>
  <c r="AK269" i="1"/>
  <c r="L269" i="1"/>
  <c r="D269" i="1" s="1"/>
  <c r="AB269" i="1"/>
  <c r="X269" i="24"/>
  <c r="A270" i="24"/>
  <c r="AB269" i="24"/>
  <c r="K269" i="24"/>
  <c r="X270" i="20"/>
  <c r="AB270" i="20"/>
  <c r="K270" i="20"/>
  <c r="A271" i="20"/>
  <c r="AB268" i="22"/>
  <c r="K268" i="22"/>
  <c r="A269" i="22"/>
  <c r="X268" i="22"/>
  <c r="A269" i="25"/>
  <c r="X268" i="25"/>
  <c r="K268" i="25"/>
  <c r="AB268" i="25"/>
  <c r="AB269" i="16"/>
  <c r="A270" i="16"/>
  <c r="L269" i="16"/>
  <c r="D269" i="16" s="1"/>
  <c r="X269" i="16"/>
  <c r="K269" i="16"/>
  <c r="A267" i="18"/>
  <c r="AB266" i="18"/>
  <c r="X266" i="18"/>
  <c r="K266" i="18"/>
  <c r="AB267" i="23"/>
  <c r="A268" i="23"/>
  <c r="K267" i="23"/>
  <c r="X267" i="23"/>
  <c r="K271" i="17"/>
  <c r="AB271" i="17"/>
  <c r="X271" i="17"/>
  <c r="A272" i="17"/>
  <c r="A64" i="7"/>
  <c r="X272" i="17"/>
  <c r="A273" i="17"/>
  <c r="AB272" i="17"/>
  <c r="K272" i="17"/>
  <c r="X269" i="25"/>
  <c r="A270" i="25"/>
  <c r="K269" i="25"/>
  <c r="AB269" i="25"/>
  <c r="K269" i="22"/>
  <c r="A270" i="22"/>
  <c r="AB269" i="22"/>
  <c r="X269" i="22"/>
  <c r="K270" i="24"/>
  <c r="X270" i="24"/>
  <c r="AB270" i="24"/>
  <c r="A271" i="24"/>
  <c r="AK270" i="1"/>
  <c r="X270" i="1"/>
  <c r="AJ270" i="1"/>
  <c r="AB270" i="1"/>
  <c r="K270" i="1"/>
  <c r="A270" i="15"/>
  <c r="AB269" i="15"/>
  <c r="K269" i="15"/>
  <c r="X269" i="15"/>
  <c r="A269" i="23"/>
  <c r="AB268" i="23"/>
  <c r="K268" i="23"/>
  <c r="X268" i="23"/>
  <c r="AB267" i="18"/>
  <c r="A268" i="18"/>
  <c r="X267" i="18"/>
  <c r="K267" i="18"/>
  <c r="K270" i="16"/>
  <c r="A271" i="16"/>
  <c r="L270" i="16"/>
  <c r="D270" i="16" s="1"/>
  <c r="X270" i="16"/>
  <c r="AB270" i="16"/>
  <c r="K271" i="20"/>
  <c r="AB271" i="20"/>
  <c r="A272" i="20"/>
  <c r="X271" i="20"/>
  <c r="K272" i="20"/>
  <c r="A273" i="20"/>
  <c r="X272" i="20"/>
  <c r="AE28" i="7"/>
  <c r="AB272" i="20"/>
  <c r="K271" i="16"/>
  <c r="AB271" i="16"/>
  <c r="L271" i="16"/>
  <c r="D271" i="16" s="1"/>
  <c r="X271" i="16"/>
  <c r="A272" i="16"/>
  <c r="AB270" i="15"/>
  <c r="A271" i="15"/>
  <c r="K270" i="15"/>
  <c r="X270" i="15"/>
  <c r="A271" i="22"/>
  <c r="AB270" i="22"/>
  <c r="K270" i="22"/>
  <c r="X270" i="22"/>
  <c r="AB273" i="17"/>
  <c r="X273" i="17"/>
  <c r="A274" i="17"/>
  <c r="K273" i="17"/>
  <c r="A269" i="18"/>
  <c r="X268" i="18"/>
  <c r="K268" i="18"/>
  <c r="AB268" i="18"/>
  <c r="A270" i="23"/>
  <c r="AB269" i="23"/>
  <c r="K269" i="23"/>
  <c r="X269" i="23"/>
  <c r="AK271" i="1"/>
  <c r="AB271" i="1"/>
  <c r="K271" i="1"/>
  <c r="X271" i="1"/>
  <c r="AJ271" i="1"/>
  <c r="Q271" i="1"/>
  <c r="AB271" i="24"/>
  <c r="K271" i="24"/>
  <c r="X271" i="24"/>
  <c r="A272" i="24"/>
  <c r="K270" i="25"/>
  <c r="AB270" i="25"/>
  <c r="A271" i="25"/>
  <c r="X270" i="25"/>
  <c r="K272" i="24"/>
  <c r="AE64" i="7"/>
  <c r="X272" i="24"/>
  <c r="AB272" i="24"/>
  <c r="A273" i="24"/>
  <c r="X269" i="18"/>
  <c r="AB269" i="18"/>
  <c r="A270" i="18"/>
  <c r="K269" i="18"/>
  <c r="AB271" i="22"/>
  <c r="A272" i="22"/>
  <c r="K271" i="22"/>
  <c r="X271" i="22"/>
  <c r="X271" i="25"/>
  <c r="AB271" i="25"/>
  <c r="A272" i="25"/>
  <c r="K271" i="25"/>
  <c r="AJ272" i="1"/>
  <c r="K272" i="1"/>
  <c r="A28" i="7"/>
  <c r="X272" i="1"/>
  <c r="AK272" i="1"/>
  <c r="AB272" i="1"/>
  <c r="X270" i="23"/>
  <c r="K270" i="23"/>
  <c r="A271" i="23"/>
  <c r="AB270" i="23"/>
  <c r="X274" i="17"/>
  <c r="AB274" i="17"/>
  <c r="A275" i="17"/>
  <c r="K274" i="17"/>
  <c r="AB271" i="15"/>
  <c r="X271" i="15"/>
  <c r="K271" i="15"/>
  <c r="A272" i="15"/>
  <c r="A273" i="16"/>
  <c r="AB272" i="16"/>
  <c r="A52" i="7"/>
  <c r="K272" i="16"/>
  <c r="L272" i="16"/>
  <c r="B52" i="7" s="1"/>
  <c r="X272" i="16"/>
  <c r="X273" i="20"/>
  <c r="AB273" i="20"/>
  <c r="A274" i="20"/>
  <c r="K273" i="20"/>
  <c r="AB273" i="16"/>
  <c r="L273" i="16"/>
  <c r="X273" i="16"/>
  <c r="A274" i="16"/>
  <c r="K273" i="16"/>
  <c r="K275" i="17"/>
  <c r="X275" i="17"/>
  <c r="A276" i="17"/>
  <c r="AB275" i="17"/>
  <c r="K271" i="23"/>
  <c r="AB271" i="23"/>
  <c r="X271" i="23"/>
  <c r="A272" i="23"/>
  <c r="AB272" i="22"/>
  <c r="A273" i="22"/>
  <c r="K272" i="22"/>
  <c r="X272" i="22"/>
  <c r="AE40" i="7"/>
  <c r="AB270" i="18"/>
  <c r="A271" i="18"/>
  <c r="X270" i="18"/>
  <c r="K270" i="18"/>
  <c r="X274" i="20"/>
  <c r="AB274" i="20"/>
  <c r="A275" i="20"/>
  <c r="K274" i="20"/>
  <c r="A273" i="15"/>
  <c r="X272" i="15"/>
  <c r="AB272" i="15"/>
  <c r="A40" i="7"/>
  <c r="K272" i="15"/>
  <c r="AK273" i="1"/>
  <c r="X273" i="1"/>
  <c r="AB273" i="1"/>
  <c r="AJ273" i="1"/>
  <c r="K273" i="1"/>
  <c r="X272" i="25"/>
  <c r="A273" i="25"/>
  <c r="AB272" i="25"/>
  <c r="AE76" i="7"/>
  <c r="K272" i="25"/>
  <c r="A274" i="24"/>
  <c r="X273" i="24"/>
  <c r="AB273" i="24"/>
  <c r="K273" i="24"/>
  <c r="AB273" i="25"/>
  <c r="A274" i="25"/>
  <c r="K273" i="25"/>
  <c r="X273" i="25"/>
  <c r="AJ274" i="1"/>
  <c r="X274" i="1"/>
  <c r="AB274" i="1"/>
  <c r="AK274" i="1"/>
  <c r="K274" i="1"/>
  <c r="K275" i="20"/>
  <c r="AB275" i="20"/>
  <c r="A276" i="20"/>
  <c r="X275" i="20"/>
  <c r="X271" i="18"/>
  <c r="AB271" i="18"/>
  <c r="K271" i="18"/>
  <c r="A272" i="18"/>
  <c r="X273" i="22"/>
  <c r="AB273" i="22"/>
  <c r="A274" i="22"/>
  <c r="K273" i="22"/>
  <c r="A275" i="24"/>
  <c r="X274" i="24"/>
  <c r="K274" i="24"/>
  <c r="AB274" i="24"/>
  <c r="L273" i="15"/>
  <c r="D273" i="15" s="1"/>
  <c r="A274" i="15"/>
  <c r="X273" i="15"/>
  <c r="K273" i="15"/>
  <c r="AB273" i="15"/>
  <c r="A273" i="23"/>
  <c r="K272" i="23"/>
  <c r="AB272" i="23"/>
  <c r="AE52" i="7"/>
  <c r="X272" i="23"/>
  <c r="K276" i="17"/>
  <c r="A277" i="17"/>
  <c r="AB276" i="17"/>
  <c r="X276" i="17"/>
  <c r="L276" i="17"/>
  <c r="D276" i="17" s="1"/>
  <c r="K274" i="16"/>
  <c r="X274" i="16"/>
  <c r="A275" i="16"/>
  <c r="L274" i="16"/>
  <c r="D274" i="16" s="1"/>
  <c r="AB274" i="16"/>
  <c r="D273" i="16"/>
  <c r="AB273" i="23"/>
  <c r="K273" i="23"/>
  <c r="A274" i="23"/>
  <c r="X273" i="23"/>
  <c r="AB274" i="15"/>
  <c r="X274" i="15"/>
  <c r="A275" i="15"/>
  <c r="K274" i="15"/>
  <c r="K274" i="22"/>
  <c r="AB274" i="22"/>
  <c r="X274" i="22"/>
  <c r="A275" i="22"/>
  <c r="A76" i="7"/>
  <c r="X272" i="18"/>
  <c r="AB272" i="18"/>
  <c r="K272" i="18"/>
  <c r="A273" i="18"/>
  <c r="AJ275" i="1"/>
  <c r="X275" i="1"/>
  <c r="Q275" i="1"/>
  <c r="K275" i="1"/>
  <c r="AB275" i="1"/>
  <c r="AK275" i="1"/>
  <c r="X274" i="25"/>
  <c r="A275" i="25"/>
  <c r="AB274" i="25"/>
  <c r="K274" i="25"/>
  <c r="K275" i="16"/>
  <c r="L275" i="16"/>
  <c r="D275" i="16" s="1"/>
  <c r="A276" i="16"/>
  <c r="X275" i="16"/>
  <c r="AB275" i="16"/>
  <c r="AB277" i="17"/>
  <c r="X277" i="17"/>
  <c r="A278" i="17"/>
  <c r="K277" i="17"/>
  <c r="K275" i="24"/>
  <c r="AB275" i="24"/>
  <c r="A276" i="24"/>
  <c r="X275" i="24"/>
  <c r="AB276" i="20"/>
  <c r="K276" i="20"/>
  <c r="A277" i="20"/>
  <c r="X276" i="20"/>
  <c r="K277" i="20"/>
  <c r="AB277" i="20"/>
  <c r="X277" i="20"/>
  <c r="A278" i="20"/>
  <c r="AB276" i="24"/>
  <c r="A277" i="24"/>
  <c r="X276" i="24"/>
  <c r="K276" i="24"/>
  <c r="K278" i="17"/>
  <c r="AB278" i="17"/>
  <c r="A279" i="17"/>
  <c r="X278" i="17"/>
  <c r="A277" i="16"/>
  <c r="AB276" i="16"/>
  <c r="L276" i="16"/>
  <c r="D276" i="16" s="1"/>
  <c r="K276" i="16"/>
  <c r="X276" i="16"/>
  <c r="AB275" i="25"/>
  <c r="K275" i="25"/>
  <c r="X275" i="25"/>
  <c r="A276" i="25"/>
  <c r="AJ276" i="1"/>
  <c r="X276" i="1"/>
  <c r="K276" i="1"/>
  <c r="AB276" i="1"/>
  <c r="AK276" i="1"/>
  <c r="K275" i="15"/>
  <c r="L275" i="15"/>
  <c r="D275" i="15" s="1"/>
  <c r="AB275" i="15"/>
  <c r="X275" i="15"/>
  <c r="A276" i="15"/>
  <c r="X274" i="23"/>
  <c r="K274" i="23"/>
  <c r="AB274" i="23"/>
  <c r="A275" i="23"/>
  <c r="K273" i="18"/>
  <c r="X273" i="18"/>
  <c r="A274" i="18"/>
  <c r="AB273" i="18"/>
  <c r="K275" i="22"/>
  <c r="A276" i="22"/>
  <c r="AB275" i="22"/>
  <c r="X275" i="22"/>
  <c r="K276" i="22"/>
  <c r="X276" i="22"/>
  <c r="A277" i="22"/>
  <c r="AB276" i="22"/>
  <c r="A277" i="15"/>
  <c r="AB276" i="15"/>
  <c r="X276" i="15"/>
  <c r="K276" i="15"/>
  <c r="AK277" i="1"/>
  <c r="AB277" i="1"/>
  <c r="Q277" i="1"/>
  <c r="X277" i="1"/>
  <c r="K277" i="1"/>
  <c r="AJ277" i="1"/>
  <c r="K277" i="16"/>
  <c r="AB277" i="16"/>
  <c r="L277" i="16"/>
  <c r="X277" i="16"/>
  <c r="A278" i="16"/>
  <c r="AB279" i="17"/>
  <c r="X279" i="17"/>
  <c r="K279" i="17"/>
  <c r="A280" i="17"/>
  <c r="X278" i="20"/>
  <c r="A279" i="20"/>
  <c r="K278" i="20"/>
  <c r="AB278" i="20"/>
  <c r="AB274" i="18"/>
  <c r="A275" i="18"/>
  <c r="K274" i="18"/>
  <c r="X274" i="18"/>
  <c r="AB275" i="23"/>
  <c r="A276" i="23"/>
  <c r="K275" i="23"/>
  <c r="X275" i="23"/>
  <c r="K276" i="25"/>
  <c r="A277" i="25"/>
  <c r="AB276" i="25"/>
  <c r="X276" i="25"/>
  <c r="A278" i="24"/>
  <c r="X277" i="24"/>
  <c r="AB277" i="24"/>
  <c r="K277" i="24"/>
  <c r="K278" i="24"/>
  <c r="AB278" i="24"/>
  <c r="X278" i="24"/>
  <c r="A279" i="24"/>
  <c r="A278" i="25"/>
  <c r="AB277" i="25"/>
  <c r="K277" i="25"/>
  <c r="X277" i="25"/>
  <c r="K276" i="23"/>
  <c r="X276" i="23"/>
  <c r="AB276" i="23"/>
  <c r="A277" i="23"/>
  <c r="X279" i="20"/>
  <c r="K279" i="20"/>
  <c r="AB279" i="20"/>
  <c r="A280" i="20"/>
  <c r="A281" i="17"/>
  <c r="AB280" i="17"/>
  <c r="X280" i="17"/>
  <c r="K280" i="17"/>
  <c r="K278" i="16"/>
  <c r="X278" i="16"/>
  <c r="L278" i="16"/>
  <c r="D278" i="16" s="1"/>
  <c r="AB278" i="16"/>
  <c r="A279" i="16"/>
  <c r="AK278" i="1"/>
  <c r="X278" i="1"/>
  <c r="K278" i="1"/>
  <c r="AB278" i="1"/>
  <c r="AJ278" i="1"/>
  <c r="AB277" i="22"/>
  <c r="X277" i="22"/>
  <c r="K277" i="22"/>
  <c r="A278" i="22"/>
  <c r="X275" i="18"/>
  <c r="K275" i="18"/>
  <c r="A276" i="18"/>
  <c r="AB275" i="18"/>
  <c r="D277" i="16"/>
  <c r="X277" i="15"/>
  <c r="AB277" i="15"/>
  <c r="A278" i="15"/>
  <c r="K277" i="15"/>
  <c r="K278" i="22"/>
  <c r="AB278" i="22"/>
  <c r="A279" i="22"/>
  <c r="X278" i="22"/>
  <c r="AJ279" i="1"/>
  <c r="AB279" i="1"/>
  <c r="X279" i="1"/>
  <c r="K279" i="1"/>
  <c r="AK279" i="1"/>
  <c r="X281" i="17"/>
  <c r="AB281" i="17"/>
  <c r="K281" i="17"/>
  <c r="A282" i="17"/>
  <c r="AB280" i="20"/>
  <c r="X280" i="20"/>
  <c r="A281" i="20"/>
  <c r="K280" i="20"/>
  <c r="AB279" i="24"/>
  <c r="K279" i="24"/>
  <c r="A280" i="24"/>
  <c r="X279" i="24"/>
  <c r="A279" i="15"/>
  <c r="X278" i="15"/>
  <c r="K278" i="15"/>
  <c r="AB278" i="15"/>
  <c r="K276" i="18"/>
  <c r="X276" i="18"/>
  <c r="AB276" i="18"/>
  <c r="A277" i="18"/>
  <c r="AB279" i="16"/>
  <c r="X279" i="16"/>
  <c r="L279" i="16"/>
  <c r="D279" i="16" s="1"/>
  <c r="A280" i="16"/>
  <c r="K279" i="16"/>
  <c r="K277" i="23"/>
  <c r="A278" i="23"/>
  <c r="X277" i="23"/>
  <c r="AB277" i="23"/>
  <c r="A279" i="25"/>
  <c r="K278" i="25"/>
  <c r="AB278" i="25"/>
  <c r="X278" i="25"/>
  <c r="X280" i="16"/>
  <c r="K280" i="16"/>
  <c r="L280" i="16"/>
  <c r="A281" i="16"/>
  <c r="AB280" i="16"/>
  <c r="A278" i="18"/>
  <c r="K277" i="18"/>
  <c r="X277" i="18"/>
  <c r="AB277" i="18"/>
  <c r="AB279" i="15"/>
  <c r="L279" i="15"/>
  <c r="D279" i="15" s="1"/>
  <c r="X279" i="15"/>
  <c r="A280" i="15"/>
  <c r="K279" i="15"/>
  <c r="K282" i="17"/>
  <c r="X282" i="17"/>
  <c r="AB282" i="17"/>
  <c r="A283" i="17"/>
  <c r="L282" i="17"/>
  <c r="D282" i="17" s="1"/>
  <c r="A280" i="25"/>
  <c r="AB279" i="25"/>
  <c r="X279" i="25"/>
  <c r="K279" i="25"/>
  <c r="K278" i="23"/>
  <c r="X278" i="23"/>
  <c r="AB278" i="23"/>
  <c r="A279" i="23"/>
  <c r="K280" i="24"/>
  <c r="AB280" i="24"/>
  <c r="A281" i="24"/>
  <c r="X280" i="24"/>
  <c r="A282" i="20"/>
  <c r="X281" i="20"/>
  <c r="K281" i="20"/>
  <c r="AB281" i="20"/>
  <c r="AJ280" i="1"/>
  <c r="X280" i="1"/>
  <c r="AB280" i="1"/>
  <c r="K280" i="1"/>
  <c r="AK280" i="1"/>
  <c r="X279" i="22"/>
  <c r="AB279" i="22"/>
  <c r="A280" i="22"/>
  <c r="K279" i="22"/>
  <c r="AB281" i="24"/>
  <c r="K281" i="24"/>
  <c r="X281" i="24"/>
  <c r="A282" i="24"/>
  <c r="AB280" i="25"/>
  <c r="A281" i="25"/>
  <c r="X280" i="25"/>
  <c r="K280" i="25"/>
  <c r="A284" i="17"/>
  <c r="K283" i="17"/>
  <c r="AB283" i="17"/>
  <c r="X283" i="17"/>
  <c r="X278" i="18"/>
  <c r="K278" i="18"/>
  <c r="AB278" i="18"/>
  <c r="A279" i="18"/>
  <c r="L278" i="18"/>
  <c r="K280" i="22"/>
  <c r="X280" i="22"/>
  <c r="AB280" i="22"/>
  <c r="A281" i="22"/>
  <c r="AK281" i="1"/>
  <c r="X281" i="1"/>
  <c r="K281" i="1"/>
  <c r="AB281" i="1"/>
  <c r="AJ281" i="1"/>
  <c r="K282" i="20"/>
  <c r="A283" i="20"/>
  <c r="AB282" i="20"/>
  <c r="X282" i="20"/>
  <c r="AB279" i="23"/>
  <c r="X279" i="23"/>
  <c r="A280" i="23"/>
  <c r="K279" i="23"/>
  <c r="AB280" i="15"/>
  <c r="K280" i="15"/>
  <c r="X280" i="15"/>
  <c r="A281" i="15"/>
  <c r="AB281" i="16"/>
  <c r="L281" i="16"/>
  <c r="X281" i="16"/>
  <c r="K281" i="16"/>
  <c r="A282" i="16"/>
  <c r="D280" i="16"/>
  <c r="X282" i="16"/>
  <c r="K282" i="16"/>
  <c r="AB282" i="16"/>
  <c r="A283" i="16"/>
  <c r="L282" i="16"/>
  <c r="D282" i="16" s="1"/>
  <c r="D281" i="16"/>
  <c r="AB280" i="23"/>
  <c r="X280" i="23"/>
  <c r="K280" i="23"/>
  <c r="A281" i="23"/>
  <c r="AK282" i="1"/>
  <c r="K282" i="1"/>
  <c r="X282" i="1"/>
  <c r="AB282" i="1"/>
  <c r="AJ282" i="1"/>
  <c r="X281" i="22"/>
  <c r="K281" i="22"/>
  <c r="A282" i="22"/>
  <c r="AB281" i="22"/>
  <c r="X279" i="18"/>
  <c r="AB279" i="18"/>
  <c r="K279" i="18"/>
  <c r="A280" i="18"/>
  <c r="A283" i="24"/>
  <c r="K282" i="24"/>
  <c r="X282" i="24"/>
  <c r="AB282" i="24"/>
  <c r="L281" i="15"/>
  <c r="D281" i="15" s="1"/>
  <c r="A282" i="15"/>
  <c r="AB281" i="15"/>
  <c r="X281" i="15"/>
  <c r="K281" i="15"/>
  <c r="X283" i="20"/>
  <c r="A284" i="20"/>
  <c r="K283" i="20"/>
  <c r="AB283" i="20"/>
  <c r="X284" i="17"/>
  <c r="A285" i="17"/>
  <c r="AB284" i="17"/>
  <c r="L284" i="17"/>
  <c r="D284" i="17" s="1"/>
  <c r="K284" i="17"/>
  <c r="X281" i="25"/>
  <c r="K281" i="25"/>
  <c r="A282" i="25"/>
  <c r="AB281" i="25"/>
  <c r="K284" i="20"/>
  <c r="X284" i="20"/>
  <c r="A285" i="20"/>
  <c r="AB284" i="20"/>
  <c r="AJ283" i="1"/>
  <c r="AB283" i="1"/>
  <c r="X283" i="1"/>
  <c r="K283" i="1"/>
  <c r="AK283" i="1"/>
  <c r="Q283" i="1"/>
  <c r="A284" i="16"/>
  <c r="K283" i="16"/>
  <c r="AB283" i="16"/>
  <c r="L283" i="16"/>
  <c r="D283" i="16" s="1"/>
  <c r="X283" i="16"/>
  <c r="AB282" i="25"/>
  <c r="X282" i="25"/>
  <c r="K282" i="25"/>
  <c r="A283" i="25"/>
  <c r="K285" i="17"/>
  <c r="X285" i="17"/>
  <c r="L285" i="17"/>
  <c r="AB285" i="17"/>
  <c r="A286" i="17"/>
  <c r="X282" i="15"/>
  <c r="L282" i="15"/>
  <c r="D282" i="15" s="1"/>
  <c r="AB282" i="15"/>
  <c r="A283" i="15"/>
  <c r="K282" i="15"/>
  <c r="K283" i="24"/>
  <c r="AB283" i="24"/>
  <c r="A284" i="24"/>
  <c r="X283" i="24"/>
  <c r="L280" i="18"/>
  <c r="AB280" i="18"/>
  <c r="K280" i="18"/>
  <c r="A281" i="18"/>
  <c r="X280" i="18"/>
  <c r="X282" i="22"/>
  <c r="AB282" i="22"/>
  <c r="A283" i="22"/>
  <c r="K282" i="22"/>
  <c r="AB281" i="23"/>
  <c r="K281" i="23"/>
  <c r="X281" i="23"/>
  <c r="A282" i="23"/>
  <c r="K284" i="24"/>
  <c r="AB284" i="24"/>
  <c r="X284" i="24"/>
  <c r="A285" i="24"/>
  <c r="AJ284" i="1"/>
  <c r="AB284" i="1"/>
  <c r="L284" i="1"/>
  <c r="D284" i="1" s="1"/>
  <c r="AK284" i="1"/>
  <c r="X284" i="1"/>
  <c r="K284" i="1"/>
  <c r="K282" i="23"/>
  <c r="X282" i="23"/>
  <c r="AB282" i="23"/>
  <c r="A283" i="23"/>
  <c r="K283" i="22"/>
  <c r="X283" i="22"/>
  <c r="A284" i="22"/>
  <c r="AB283" i="22"/>
  <c r="X281" i="18"/>
  <c r="K281" i="18"/>
  <c r="A282" i="18"/>
  <c r="AB281" i="18"/>
  <c r="L281" i="18"/>
  <c r="X283" i="15"/>
  <c r="AB283" i="15"/>
  <c r="A284" i="15"/>
  <c r="K283" i="15"/>
  <c r="K286" i="17"/>
  <c r="A287" i="17"/>
  <c r="AB286" i="17"/>
  <c r="X286" i="17"/>
  <c r="D285" i="17"/>
  <c r="X283" i="25"/>
  <c r="A284" i="25"/>
  <c r="AB283" i="25"/>
  <c r="K283" i="25"/>
  <c r="A285" i="16"/>
  <c r="L284" i="16"/>
  <c r="D284" i="16" s="1"/>
  <c r="X284" i="16"/>
  <c r="K284" i="16"/>
  <c r="AB284" i="16"/>
  <c r="AB285" i="20"/>
  <c r="A286" i="20"/>
  <c r="K285" i="20"/>
  <c r="X285" i="20"/>
  <c r="AB285" i="16"/>
  <c r="L285" i="16"/>
  <c r="D285" i="16" s="1"/>
  <c r="X285" i="16"/>
  <c r="K285" i="16"/>
  <c r="A286" i="16"/>
  <c r="AB287" i="17"/>
  <c r="X287" i="17"/>
  <c r="A288" i="17"/>
  <c r="K287" i="17"/>
  <c r="A284" i="23"/>
  <c r="K283" i="23"/>
  <c r="X283" i="23"/>
  <c r="AB283" i="23"/>
  <c r="K285" i="24"/>
  <c r="A286" i="24"/>
  <c r="AB285" i="24"/>
  <c r="X285" i="24"/>
  <c r="AB286" i="20"/>
  <c r="A287" i="20"/>
  <c r="K286" i="20"/>
  <c r="X286" i="20"/>
  <c r="AB284" i="25"/>
  <c r="K284" i="25"/>
  <c r="X284" i="25"/>
  <c r="A285" i="25"/>
  <c r="AB284" i="15"/>
  <c r="X284" i="15"/>
  <c r="K284" i="15"/>
  <c r="A285" i="15"/>
  <c r="L282" i="18"/>
  <c r="AB282" i="18"/>
  <c r="A283" i="18"/>
  <c r="K282" i="18"/>
  <c r="X282" i="18"/>
  <c r="X284" i="22"/>
  <c r="A285" i="22"/>
  <c r="K284" i="22"/>
  <c r="AB284" i="22"/>
  <c r="AJ285" i="1"/>
  <c r="X285" i="1"/>
  <c r="K285" i="1"/>
  <c r="AB285" i="1"/>
  <c r="AK285" i="1"/>
  <c r="A286" i="15"/>
  <c r="X285" i="15"/>
  <c r="L285" i="15"/>
  <c r="D285" i="15" s="1"/>
  <c r="K285" i="15"/>
  <c r="AB285" i="15"/>
  <c r="AB288" i="17"/>
  <c r="K288" i="17"/>
  <c r="X288" i="17"/>
  <c r="A289" i="17"/>
  <c r="X286" i="16"/>
  <c r="A287" i="16"/>
  <c r="AB286" i="16"/>
  <c r="L286" i="16"/>
  <c r="D286" i="16" s="1"/>
  <c r="K286" i="16"/>
  <c r="AK286" i="1"/>
  <c r="X286" i="1"/>
  <c r="AB286" i="1"/>
  <c r="K286" i="1"/>
  <c r="AJ286" i="1"/>
  <c r="AB285" i="22"/>
  <c r="X285" i="22"/>
  <c r="K285" i="22"/>
  <c r="A286" i="22"/>
  <c r="X283" i="18"/>
  <c r="L283" i="18"/>
  <c r="AB283" i="18"/>
  <c r="K283" i="18"/>
  <c r="A284" i="18"/>
  <c r="K285" i="25"/>
  <c r="A286" i="25"/>
  <c r="AB285" i="25"/>
  <c r="X285" i="25"/>
  <c r="X287" i="20"/>
  <c r="A288" i="20"/>
  <c r="AB287" i="20"/>
  <c r="K287" i="20"/>
  <c r="A287" i="24"/>
  <c r="AB286" i="24"/>
  <c r="X286" i="24"/>
  <c r="K286" i="24"/>
  <c r="A285" i="23"/>
  <c r="X284" i="23"/>
  <c r="AB284" i="23"/>
  <c r="K284" i="23"/>
  <c r="A287" i="25"/>
  <c r="X286" i="25"/>
  <c r="K286" i="25"/>
  <c r="AB286" i="25"/>
  <c r="X286" i="15"/>
  <c r="A287" i="15"/>
  <c r="AB286" i="15"/>
  <c r="K286" i="15"/>
  <c r="A288" i="24"/>
  <c r="X287" i="24"/>
  <c r="K287" i="24"/>
  <c r="AB287" i="24"/>
  <c r="A286" i="23"/>
  <c r="X285" i="23"/>
  <c r="K285" i="23"/>
  <c r="AB285" i="23"/>
  <c r="AB288" i="20"/>
  <c r="X288" i="20"/>
  <c r="A289" i="20"/>
  <c r="K288" i="20"/>
  <c r="X284" i="18"/>
  <c r="A285" i="18"/>
  <c r="L284" i="18"/>
  <c r="AB284" i="18"/>
  <c r="K284" i="18"/>
  <c r="A287" i="22"/>
  <c r="X286" i="22"/>
  <c r="AB286" i="22"/>
  <c r="K286" i="22"/>
  <c r="AK287" i="1"/>
  <c r="X287" i="1"/>
  <c r="AJ287" i="1"/>
  <c r="AB287" i="1"/>
  <c r="K287" i="1"/>
  <c r="X287" i="16"/>
  <c r="AB287" i="16"/>
  <c r="L287" i="16"/>
  <c r="D287" i="16" s="1"/>
  <c r="A288" i="16"/>
  <c r="K287" i="16"/>
  <c r="A290" i="17"/>
  <c r="K289" i="17"/>
  <c r="AB289" i="17"/>
  <c r="X289" i="17"/>
  <c r="X290" i="17"/>
  <c r="K290" i="17"/>
  <c r="AB290" i="17"/>
  <c r="A291" i="17"/>
  <c r="AB285" i="18"/>
  <c r="X285" i="18"/>
  <c r="K285" i="18"/>
  <c r="A286" i="18"/>
  <c r="K287" i="15"/>
  <c r="AB287" i="15"/>
  <c r="X287" i="15"/>
  <c r="A288" i="15"/>
  <c r="X288" i="16"/>
  <c r="L288" i="16"/>
  <c r="AB288" i="16"/>
  <c r="K288" i="16"/>
  <c r="A289" i="16"/>
  <c r="AJ288" i="1"/>
  <c r="K288" i="1"/>
  <c r="X288" i="1"/>
  <c r="AK288" i="1"/>
  <c r="AB288" i="1"/>
  <c r="A288" i="22"/>
  <c r="AB287" i="22"/>
  <c r="X287" i="22"/>
  <c r="K287" i="22"/>
  <c r="X289" i="20"/>
  <c r="A290" i="20"/>
  <c r="AB289" i="20"/>
  <c r="K289" i="20"/>
  <c r="K286" i="23"/>
  <c r="A287" i="23"/>
  <c r="AB286" i="23"/>
  <c r="X286" i="23"/>
  <c r="K288" i="24"/>
  <c r="X288" i="24"/>
  <c r="A289" i="24"/>
  <c r="AB288" i="24"/>
  <c r="X287" i="25"/>
  <c r="A288" i="25"/>
  <c r="AB287" i="25"/>
  <c r="K287" i="25"/>
  <c r="AB288" i="25"/>
  <c r="X288" i="25"/>
  <c r="A289" i="25"/>
  <c r="K288" i="25"/>
  <c r="X289" i="24"/>
  <c r="AB289" i="24"/>
  <c r="A290" i="24"/>
  <c r="K289" i="24"/>
  <c r="AB287" i="23"/>
  <c r="K287" i="23"/>
  <c r="A288" i="23"/>
  <c r="X287" i="23"/>
  <c r="AB288" i="22"/>
  <c r="A289" i="22"/>
  <c r="X288" i="22"/>
  <c r="K288" i="22"/>
  <c r="D288" i="16"/>
  <c r="A289" i="15"/>
  <c r="AB288" i="15"/>
  <c r="K288" i="15"/>
  <c r="X288" i="15"/>
  <c r="A287" i="18"/>
  <c r="AB286" i="18"/>
  <c r="X286" i="18"/>
  <c r="K286" i="18"/>
  <c r="X291" i="17"/>
  <c r="K291" i="17"/>
  <c r="AB291" i="17"/>
  <c r="A292" i="17"/>
  <c r="AB290" i="20"/>
  <c r="K290" i="20"/>
  <c r="X290" i="20"/>
  <c r="A291" i="20"/>
  <c r="AK289" i="1"/>
  <c r="X289" i="1"/>
  <c r="AJ289" i="1"/>
  <c r="K289" i="1"/>
  <c r="AB289" i="1"/>
  <c r="A290" i="16"/>
  <c r="AB289" i="16"/>
  <c r="K289" i="16"/>
  <c r="L289" i="16"/>
  <c r="X289" i="16"/>
  <c r="D289" i="16"/>
  <c r="AB290" i="16"/>
  <c r="A291" i="16"/>
  <c r="X290" i="16"/>
  <c r="K290" i="16"/>
  <c r="L290" i="16"/>
  <c r="D290" i="16" s="1"/>
  <c r="AK290" i="1"/>
  <c r="AB290" i="1"/>
  <c r="X290" i="1"/>
  <c r="AJ290" i="1"/>
  <c r="K290" i="1"/>
  <c r="X291" i="20"/>
  <c r="AB291" i="20"/>
  <c r="A292" i="20"/>
  <c r="K291" i="20"/>
  <c r="K292" i="17"/>
  <c r="A293" i="17"/>
  <c r="AB292" i="17"/>
  <c r="X292" i="17"/>
  <c r="AB287" i="18"/>
  <c r="K287" i="18"/>
  <c r="A288" i="18"/>
  <c r="X287" i="18"/>
  <c r="AB289" i="15"/>
  <c r="X289" i="15"/>
  <c r="A290" i="15"/>
  <c r="K289" i="15"/>
  <c r="X290" i="24"/>
  <c r="A291" i="24"/>
  <c r="K290" i="24"/>
  <c r="AB290" i="24"/>
  <c r="A290" i="22"/>
  <c r="X289" i="22"/>
  <c r="K289" i="22"/>
  <c r="AB289" i="22"/>
  <c r="X288" i="23"/>
  <c r="K288" i="23"/>
  <c r="A289" i="23"/>
  <c r="AB288" i="23"/>
  <c r="X289" i="25"/>
  <c r="A290" i="25"/>
  <c r="AB289" i="25"/>
  <c r="K289" i="25"/>
  <c r="A291" i="25"/>
  <c r="AB290" i="25"/>
  <c r="K290" i="25"/>
  <c r="X290" i="25"/>
  <c r="K289" i="23"/>
  <c r="X289" i="23"/>
  <c r="AB289" i="23"/>
  <c r="A290" i="23"/>
  <c r="X290" i="22"/>
  <c r="K290" i="22"/>
  <c r="AB290" i="22"/>
  <c r="A291" i="22"/>
  <c r="X290" i="15"/>
  <c r="K290" i="15"/>
  <c r="A291" i="15"/>
  <c r="AB290" i="15"/>
  <c r="K292" i="20"/>
  <c r="X292" i="20"/>
  <c r="A293" i="20"/>
  <c r="AB292" i="20"/>
  <c r="AK291" i="1"/>
  <c r="K291" i="1"/>
  <c r="AB291" i="1"/>
  <c r="X291" i="1"/>
  <c r="AJ291" i="1"/>
  <c r="X291" i="16"/>
  <c r="A292" i="16"/>
  <c r="AB291" i="16"/>
  <c r="L291" i="16"/>
  <c r="D291" i="16" s="1"/>
  <c r="K291" i="16"/>
  <c r="A292" i="24"/>
  <c r="X291" i="24"/>
  <c r="K291" i="24"/>
  <c r="AB291" i="24"/>
  <c r="A289" i="18"/>
  <c r="X288" i="18"/>
  <c r="AB288" i="18"/>
  <c r="L288" i="18"/>
  <c r="K288" i="18"/>
  <c r="AB293" i="17"/>
  <c r="K293" i="17"/>
  <c r="X293" i="17"/>
  <c r="A294" i="17"/>
  <c r="X294" i="17"/>
  <c r="K294" i="17"/>
  <c r="AB294" i="17"/>
  <c r="A295" i="17"/>
  <c r="A293" i="24"/>
  <c r="K292" i="24"/>
  <c r="AB292" i="24"/>
  <c r="X292" i="24"/>
  <c r="AJ292" i="1"/>
  <c r="K292" i="1"/>
  <c r="AB292" i="1"/>
  <c r="L292" i="1"/>
  <c r="D292" i="1" s="1"/>
  <c r="AK292" i="1"/>
  <c r="X292" i="1"/>
  <c r="AB291" i="15"/>
  <c r="X291" i="15"/>
  <c r="A292" i="15"/>
  <c r="K291" i="15"/>
  <c r="K290" i="23"/>
  <c r="A291" i="23"/>
  <c r="X290" i="23"/>
  <c r="AB290" i="23"/>
  <c r="L289" i="18"/>
  <c r="AB289" i="18"/>
  <c r="A290" i="18"/>
  <c r="K289" i="18"/>
  <c r="X289" i="18"/>
  <c r="K292" i="16"/>
  <c r="A293" i="16"/>
  <c r="AB292" i="16"/>
  <c r="X292" i="16"/>
  <c r="L292" i="16"/>
  <c r="AB293" i="20"/>
  <c r="X293" i="20"/>
  <c r="A294" i="20"/>
  <c r="K293" i="20"/>
  <c r="X291" i="22"/>
  <c r="AB291" i="22"/>
  <c r="A292" i="22"/>
  <c r="K291" i="22"/>
  <c r="K291" i="25"/>
  <c r="A292" i="25"/>
  <c r="X291" i="25"/>
  <c r="AB291" i="25"/>
  <c r="A293" i="25"/>
  <c r="X292" i="25"/>
  <c r="K292" i="25"/>
  <c r="AB292" i="25"/>
  <c r="A293" i="22"/>
  <c r="K292" i="22"/>
  <c r="AB292" i="22"/>
  <c r="X292" i="22"/>
  <c r="D292" i="16"/>
  <c r="X292" i="15"/>
  <c r="K292" i="15"/>
  <c r="AB292" i="15"/>
  <c r="A293" i="15"/>
  <c r="AB295" i="17"/>
  <c r="X295" i="17"/>
  <c r="A296" i="17"/>
  <c r="K295" i="17"/>
  <c r="A295" i="20"/>
  <c r="X294" i="20"/>
  <c r="AB294" i="20"/>
  <c r="K294" i="20"/>
  <c r="A294" i="16"/>
  <c r="L293" i="16"/>
  <c r="D293" i="16" s="1"/>
  <c r="K293" i="16"/>
  <c r="AB293" i="16"/>
  <c r="X293" i="16"/>
  <c r="X290" i="18"/>
  <c r="A291" i="18"/>
  <c r="AB290" i="18"/>
  <c r="K290" i="18"/>
  <c r="K291" i="23"/>
  <c r="A292" i="23"/>
  <c r="X291" i="23"/>
  <c r="AB291" i="23"/>
  <c r="AJ293" i="1"/>
  <c r="AB293" i="1"/>
  <c r="L293" i="1"/>
  <c r="D293" i="1" s="1"/>
  <c r="X293" i="1"/>
  <c r="K293" i="1"/>
  <c r="AK293" i="1"/>
  <c r="K293" i="24"/>
  <c r="X293" i="24"/>
  <c r="AB293" i="24"/>
  <c r="A294" i="24"/>
  <c r="K294" i="24"/>
  <c r="X294" i="24"/>
  <c r="A295" i="24"/>
  <c r="AB294" i="24"/>
  <c r="A293" i="23"/>
  <c r="K292" i="23"/>
  <c r="AB292" i="23"/>
  <c r="X292" i="23"/>
  <c r="AJ294" i="1"/>
  <c r="X294" i="1"/>
  <c r="K294" i="1"/>
  <c r="AB294" i="1"/>
  <c r="AK294" i="1"/>
  <c r="K291" i="18"/>
  <c r="A292" i="18"/>
  <c r="X291" i="18"/>
  <c r="AB291" i="18"/>
  <c r="AB294" i="16"/>
  <c r="K294" i="16"/>
  <c r="L294" i="16"/>
  <c r="D294" i="16" s="1"/>
  <c r="X294" i="16"/>
  <c r="A295" i="16"/>
  <c r="AB293" i="22"/>
  <c r="K293" i="22"/>
  <c r="A294" i="22"/>
  <c r="X293" i="22"/>
  <c r="X295" i="20"/>
  <c r="AB295" i="20"/>
  <c r="K295" i="20"/>
  <c r="A296" i="20"/>
  <c r="X296" i="17"/>
  <c r="A297" i="17"/>
  <c r="K296" i="17"/>
  <c r="AB296" i="17"/>
  <c r="X293" i="15"/>
  <c r="A294" i="15"/>
  <c r="K293" i="15"/>
  <c r="AB293" i="15"/>
  <c r="K293" i="25"/>
  <c r="AB293" i="25"/>
  <c r="A294" i="25"/>
  <c r="X293" i="25"/>
  <c r="A295" i="25"/>
  <c r="K294" i="25"/>
  <c r="AB294" i="25"/>
  <c r="X294" i="25"/>
  <c r="AB297" i="17"/>
  <c r="X297" i="17"/>
  <c r="A298" i="17"/>
  <c r="K297" i="17"/>
  <c r="A297" i="20"/>
  <c r="X296" i="20"/>
  <c r="AB296" i="20"/>
  <c r="K296" i="20"/>
  <c r="X292" i="18"/>
  <c r="A293" i="18"/>
  <c r="AB292" i="18"/>
  <c r="K292" i="18"/>
  <c r="AJ295" i="1"/>
  <c r="AB295" i="1"/>
  <c r="X295" i="1"/>
  <c r="K295" i="1"/>
  <c r="AK295" i="1"/>
  <c r="X294" i="15"/>
  <c r="K294" i="15"/>
  <c r="AB294" i="15"/>
  <c r="A295" i="15"/>
  <c r="AB294" i="22"/>
  <c r="A295" i="22"/>
  <c r="X294" i="22"/>
  <c r="K294" i="22"/>
  <c r="X295" i="16"/>
  <c r="L295" i="16"/>
  <c r="D295" i="16" s="1"/>
  <c r="AB295" i="16"/>
  <c r="K295" i="16"/>
  <c r="A296" i="16"/>
  <c r="K293" i="23"/>
  <c r="AB293" i="23"/>
  <c r="A294" i="23"/>
  <c r="X293" i="23"/>
  <c r="K295" i="24"/>
  <c r="A296" i="24"/>
  <c r="X295" i="24"/>
  <c r="AB295" i="24"/>
  <c r="K295" i="22"/>
  <c r="X295" i="22"/>
  <c r="A296" i="22"/>
  <c r="AB295" i="22"/>
  <c r="AB295" i="15"/>
  <c r="A296" i="15"/>
  <c r="L295" i="15"/>
  <c r="D295" i="15" s="1"/>
  <c r="K295" i="15"/>
  <c r="X295" i="15"/>
  <c r="AJ296" i="1"/>
  <c r="X296" i="1"/>
  <c r="AB296" i="1"/>
  <c r="K296" i="1"/>
  <c r="AK296" i="1"/>
  <c r="A297" i="24"/>
  <c r="X296" i="24"/>
  <c r="AB296" i="24"/>
  <c r="K296" i="24"/>
  <c r="AB294" i="23"/>
  <c r="X294" i="23"/>
  <c r="K294" i="23"/>
  <c r="A295" i="23"/>
  <c r="A297" i="16"/>
  <c r="K296" i="16"/>
  <c r="L296" i="16"/>
  <c r="D296" i="16" s="1"/>
  <c r="X296" i="16"/>
  <c r="AB296" i="16"/>
  <c r="X293" i="18"/>
  <c r="A294" i="18"/>
  <c r="AB293" i="18"/>
  <c r="K293" i="18"/>
  <c r="K297" i="20"/>
  <c r="AB297" i="20"/>
  <c r="A298" i="20"/>
  <c r="X297" i="20"/>
  <c r="X298" i="17"/>
  <c r="A299" i="17"/>
  <c r="K298" i="17"/>
  <c r="AB298" i="17"/>
  <c r="A296" i="25"/>
  <c r="X295" i="25"/>
  <c r="K295" i="25"/>
  <c r="AB295" i="25"/>
  <c r="A298" i="16"/>
  <c r="K297" i="16"/>
  <c r="L297" i="16"/>
  <c r="D297" i="16" s="1"/>
  <c r="X297" i="16"/>
  <c r="AB297" i="16"/>
  <c r="A296" i="23"/>
  <c r="K295" i="23"/>
  <c r="X295" i="23"/>
  <c r="AB295" i="23"/>
  <c r="AK297" i="1"/>
  <c r="AB297" i="1"/>
  <c r="X297" i="1"/>
  <c r="K297" i="1"/>
  <c r="AJ297" i="1"/>
  <c r="A297" i="15"/>
  <c r="AB296" i="15"/>
  <c r="X296" i="15"/>
  <c r="K296" i="15"/>
  <c r="X296" i="22"/>
  <c r="K296" i="22"/>
  <c r="A297" i="22"/>
  <c r="AB296" i="22"/>
  <c r="AB296" i="25"/>
  <c r="A297" i="25"/>
  <c r="K296" i="25"/>
  <c r="X296" i="25"/>
  <c r="K299" i="17"/>
  <c r="AB299" i="17"/>
  <c r="X299" i="17"/>
  <c r="A300" i="17"/>
  <c r="A299" i="20"/>
  <c r="X298" i="20"/>
  <c r="AB298" i="20"/>
  <c r="K298" i="20"/>
  <c r="K294" i="18"/>
  <c r="A295" i="18"/>
  <c r="AB294" i="18"/>
  <c r="X294" i="18"/>
  <c r="K297" i="24"/>
  <c r="AB297" i="24"/>
  <c r="X297" i="24"/>
  <c r="A298" i="24"/>
  <c r="AB295" i="18"/>
  <c r="K295" i="18"/>
  <c r="L295" i="18"/>
  <c r="A296" i="18"/>
  <c r="X295" i="18"/>
  <c r="K299" i="20"/>
  <c r="AB299" i="20"/>
  <c r="A300" i="20"/>
  <c r="X299" i="20"/>
  <c r="A299" i="24"/>
  <c r="X298" i="24"/>
  <c r="K298" i="24"/>
  <c r="AB298" i="24"/>
  <c r="A301" i="17"/>
  <c r="K300" i="17"/>
  <c r="X300" i="17"/>
  <c r="AB300" i="17"/>
  <c r="AB297" i="25"/>
  <c r="A298" i="25"/>
  <c r="K297" i="25"/>
  <c r="X297" i="25"/>
  <c r="AB297" i="22"/>
  <c r="A298" i="22"/>
  <c r="X297" i="22"/>
  <c r="K297" i="22"/>
  <c r="AB297" i="15"/>
  <c r="A298" i="15"/>
  <c r="X297" i="15"/>
  <c r="K297" i="15"/>
  <c r="AK298" i="1"/>
  <c r="K298" i="1"/>
  <c r="L298" i="1"/>
  <c r="D298" i="1" s="1"/>
  <c r="AJ298" i="1"/>
  <c r="AB298" i="1"/>
  <c r="X298" i="1"/>
  <c r="X296" i="23"/>
  <c r="K296" i="23"/>
  <c r="AB296" i="23"/>
  <c r="A297" i="23"/>
  <c r="X298" i="16"/>
  <c r="AB298" i="16"/>
  <c r="L298" i="16"/>
  <c r="K298" i="16"/>
  <c r="A299" i="16"/>
  <c r="X299" i="16"/>
  <c r="L299" i="16"/>
  <c r="K299" i="16"/>
  <c r="A300" i="16"/>
  <c r="AB299" i="16"/>
  <c r="D298" i="16"/>
  <c r="AB297" i="23"/>
  <c r="A298" i="23"/>
  <c r="K297" i="23"/>
  <c r="X297" i="23"/>
  <c r="AK299" i="1"/>
  <c r="AB299" i="1"/>
  <c r="X299" i="1"/>
  <c r="K299" i="1"/>
  <c r="AJ299" i="1"/>
  <c r="A299" i="15"/>
  <c r="X298" i="15"/>
  <c r="K298" i="15"/>
  <c r="AB298" i="15"/>
  <c r="L298" i="15"/>
  <c r="D298" i="15" s="1"/>
  <c r="A299" i="25"/>
  <c r="AB298" i="25"/>
  <c r="K298" i="25"/>
  <c r="X298" i="25"/>
  <c r="K301" i="17"/>
  <c r="A302" i="17"/>
  <c r="AB301" i="17"/>
  <c r="X301" i="17"/>
  <c r="K298" i="22"/>
  <c r="AB298" i="22"/>
  <c r="X298" i="22"/>
  <c r="A299" i="22"/>
  <c r="AB299" i="24"/>
  <c r="A300" i="24"/>
  <c r="K299" i="24"/>
  <c r="X299" i="24"/>
  <c r="X300" i="20"/>
  <c r="K300" i="20"/>
  <c r="A301" i="20"/>
  <c r="AB300" i="20"/>
  <c r="A297" i="18"/>
  <c r="AB296" i="18"/>
  <c r="X296" i="18"/>
  <c r="K296" i="18"/>
  <c r="K297" i="18"/>
  <c r="X297" i="18"/>
  <c r="A298" i="18"/>
  <c r="AB297" i="18"/>
  <c r="AB300" i="24"/>
  <c r="X300" i="24"/>
  <c r="K300" i="24"/>
  <c r="A301" i="24"/>
  <c r="A300" i="22"/>
  <c r="X299" i="22"/>
  <c r="K299" i="22"/>
  <c r="AB299" i="22"/>
  <c r="AB299" i="15"/>
  <c r="K299" i="15"/>
  <c r="A300" i="15"/>
  <c r="X299" i="15"/>
  <c r="D299" i="16"/>
  <c r="A302" i="20"/>
  <c r="K301" i="20"/>
  <c r="X301" i="20"/>
  <c r="AB301" i="20"/>
  <c r="X302" i="17"/>
  <c r="K302" i="17"/>
  <c r="AB302" i="17"/>
  <c r="A65" i="7"/>
  <c r="A303" i="17"/>
  <c r="X299" i="25"/>
  <c r="K299" i="25"/>
  <c r="AB299" i="25"/>
  <c r="A300" i="25"/>
  <c r="AK300" i="1"/>
  <c r="AB300" i="1"/>
  <c r="K300" i="1"/>
  <c r="X300" i="1"/>
  <c r="AJ300" i="1"/>
  <c r="A299" i="23"/>
  <c r="K298" i="23"/>
  <c r="X298" i="23"/>
  <c r="AB298" i="23"/>
  <c r="X300" i="16"/>
  <c r="AB300" i="16"/>
  <c r="A301" i="16"/>
  <c r="K300" i="16"/>
  <c r="L300" i="16"/>
  <c r="D300" i="16" s="1"/>
  <c r="AJ301" i="1"/>
  <c r="K301" i="1"/>
  <c r="X301" i="1"/>
  <c r="AK301" i="1"/>
  <c r="AB301" i="1"/>
  <c r="A302" i="16"/>
  <c r="X301" i="16"/>
  <c r="K301" i="16"/>
  <c r="L301" i="16"/>
  <c r="AB301" i="16"/>
  <c r="A300" i="23"/>
  <c r="K299" i="23"/>
  <c r="X299" i="23"/>
  <c r="AB299" i="23"/>
  <c r="K300" i="25"/>
  <c r="AB300" i="25"/>
  <c r="X300" i="25"/>
  <c r="A301" i="25"/>
  <c r="K303" i="17"/>
  <c r="A304" i="17"/>
  <c r="AB303" i="17"/>
  <c r="X303" i="17"/>
  <c r="A303" i="20"/>
  <c r="K302" i="20"/>
  <c r="AE29" i="7"/>
  <c r="AB302" i="20"/>
  <c r="X302" i="20"/>
  <c r="A301" i="15"/>
  <c r="X300" i="15"/>
  <c r="AB300" i="15"/>
  <c r="K300" i="15"/>
  <c r="K300" i="22"/>
  <c r="A301" i="22"/>
  <c r="X300" i="22"/>
  <c r="AB300" i="22"/>
  <c r="AB301" i="24"/>
  <c r="X301" i="24"/>
  <c r="A302" i="24"/>
  <c r="K301" i="24"/>
  <c r="A299" i="18"/>
  <c r="K298" i="18"/>
  <c r="AB298" i="18"/>
  <c r="X298" i="18"/>
  <c r="A302" i="15"/>
  <c r="X301" i="15"/>
  <c r="K301" i="15"/>
  <c r="AB301" i="15"/>
  <c r="K304" i="17"/>
  <c r="X304" i="17"/>
  <c r="AB304" i="17"/>
  <c r="A305" i="17"/>
  <c r="A302" i="25"/>
  <c r="K301" i="25"/>
  <c r="X301" i="25"/>
  <c r="AB301" i="25"/>
  <c r="A300" i="18"/>
  <c r="K299" i="18"/>
  <c r="X299" i="18"/>
  <c r="AB299" i="18"/>
  <c r="A303" i="24"/>
  <c r="AB302" i="24"/>
  <c r="X302" i="24"/>
  <c r="K302" i="24"/>
  <c r="AE65" i="7"/>
  <c r="K301" i="22"/>
  <c r="A302" i="22"/>
  <c r="AB301" i="22"/>
  <c r="X301" i="22"/>
  <c r="K303" i="20"/>
  <c r="AB303" i="20"/>
  <c r="A304" i="20"/>
  <c r="X303" i="20"/>
  <c r="K300" i="23"/>
  <c r="AB300" i="23"/>
  <c r="X300" i="23"/>
  <c r="A301" i="23"/>
  <c r="D301" i="16"/>
  <c r="A303" i="16"/>
  <c r="L302" i="16"/>
  <c r="D302" i="16" s="1"/>
  <c r="AB302" i="16"/>
  <c r="A53" i="7"/>
  <c r="X302" i="16"/>
  <c r="K302" i="16"/>
  <c r="AJ302" i="1"/>
  <c r="X302" i="1"/>
  <c r="K302" i="1"/>
  <c r="A29" i="7"/>
  <c r="AK302" i="1"/>
  <c r="AB302" i="1"/>
  <c r="AB303" i="16"/>
  <c r="L303" i="16"/>
  <c r="D303" i="16" s="1"/>
  <c r="X303" i="16"/>
  <c r="K303" i="16"/>
  <c r="A304" i="16"/>
  <c r="A305" i="20"/>
  <c r="K304" i="20"/>
  <c r="AB304" i="20"/>
  <c r="X304" i="20"/>
  <c r="K303" i="24"/>
  <c r="X303" i="24"/>
  <c r="AB303" i="24"/>
  <c r="A304" i="24"/>
  <c r="AB302" i="25"/>
  <c r="AE77" i="7"/>
  <c r="K302" i="25"/>
  <c r="X302" i="25"/>
  <c r="A303" i="25"/>
  <c r="AB302" i="15"/>
  <c r="K302" i="15"/>
  <c r="X302" i="15"/>
  <c r="A303" i="15"/>
  <c r="A41" i="7"/>
  <c r="AJ303" i="1"/>
  <c r="X303" i="1"/>
  <c r="AB303" i="1"/>
  <c r="K303" i="1"/>
  <c r="AK303" i="1"/>
  <c r="A302" i="23"/>
  <c r="AB301" i="23"/>
  <c r="X301" i="23"/>
  <c r="K301" i="23"/>
  <c r="X302" i="22"/>
  <c r="AB302" i="22"/>
  <c r="K302" i="22"/>
  <c r="AE41" i="7"/>
  <c r="A303" i="22"/>
  <c r="AB300" i="18"/>
  <c r="K300" i="18"/>
  <c r="A301" i="18"/>
  <c r="X300" i="18"/>
  <c r="A306" i="17"/>
  <c r="X305" i="17"/>
  <c r="K305" i="17"/>
  <c r="AB305" i="17"/>
  <c r="A307" i="17"/>
  <c r="X306" i="17"/>
  <c r="AB306" i="17"/>
  <c r="K306" i="17"/>
  <c r="X301" i="18"/>
  <c r="AB301" i="18"/>
  <c r="A302" i="18"/>
  <c r="K301" i="18"/>
  <c r="AB303" i="22"/>
  <c r="X303" i="22"/>
  <c r="K303" i="22"/>
  <c r="A304" i="22"/>
  <c r="X302" i="23"/>
  <c r="AB302" i="23"/>
  <c r="A303" i="23"/>
  <c r="AE53" i="7"/>
  <c r="K302" i="23"/>
  <c r="AJ304" i="1"/>
  <c r="AB304" i="1"/>
  <c r="K304" i="1"/>
  <c r="AK304" i="1"/>
  <c r="X304" i="1"/>
  <c r="A304" i="15"/>
  <c r="K303" i="15"/>
  <c r="AB303" i="15"/>
  <c r="X303" i="15"/>
  <c r="A304" i="25"/>
  <c r="AB303" i="25"/>
  <c r="K303" i="25"/>
  <c r="X303" i="25"/>
  <c r="X304" i="24"/>
  <c r="K304" i="24"/>
  <c r="AB304" i="24"/>
  <c r="A305" i="24"/>
  <c r="A306" i="20"/>
  <c r="AB305" i="20"/>
  <c r="K305" i="20"/>
  <c r="X305" i="20"/>
  <c r="X304" i="16"/>
  <c r="AB304" i="16"/>
  <c r="A305" i="16"/>
  <c r="K304" i="16"/>
  <c r="L304" i="16"/>
  <c r="D304" i="16" s="1"/>
  <c r="AB306" i="20"/>
  <c r="A307" i="20"/>
  <c r="X306" i="20"/>
  <c r="K306" i="20"/>
  <c r="A305" i="25"/>
  <c r="AB304" i="25"/>
  <c r="X304" i="25"/>
  <c r="K304" i="25"/>
  <c r="K303" i="23"/>
  <c r="A304" i="23"/>
  <c r="AB303" i="23"/>
  <c r="X303" i="23"/>
  <c r="K302" i="18"/>
  <c r="AB302" i="18"/>
  <c r="A303" i="18"/>
  <c r="A77" i="7"/>
  <c r="X302" i="18"/>
  <c r="X307" i="17"/>
  <c r="K307" i="17"/>
  <c r="AB307" i="17"/>
  <c r="A308" i="17"/>
  <c r="X305" i="16"/>
  <c r="AB305" i="16"/>
  <c r="L305" i="16"/>
  <c r="D305" i="16" s="1"/>
  <c r="A306" i="16"/>
  <c r="K305" i="16"/>
  <c r="A306" i="24"/>
  <c r="AB305" i="24"/>
  <c r="K305" i="24"/>
  <c r="X305" i="24"/>
  <c r="K304" i="15"/>
  <c r="AB304" i="15"/>
  <c r="X304" i="15"/>
  <c r="A305" i="15"/>
  <c r="AK305" i="1"/>
  <c r="AB305" i="1"/>
  <c r="X305" i="1"/>
  <c r="Q305" i="1"/>
  <c r="AJ305" i="1"/>
  <c r="K305" i="1"/>
  <c r="AB304" i="22"/>
  <c r="X304" i="22"/>
  <c r="K304" i="22"/>
  <c r="A305" i="22"/>
  <c r="X305" i="15"/>
  <c r="K305" i="15"/>
  <c r="L305" i="15"/>
  <c r="D305" i="15" s="1"/>
  <c r="AB305" i="15"/>
  <c r="A306" i="15"/>
  <c r="X306" i="24"/>
  <c r="AB306" i="24"/>
  <c r="K306" i="24"/>
  <c r="A307" i="24"/>
  <c r="X303" i="18"/>
  <c r="K303" i="18"/>
  <c r="A304" i="18"/>
  <c r="AB303" i="18"/>
  <c r="AB305" i="25"/>
  <c r="A306" i="25"/>
  <c r="X305" i="25"/>
  <c r="K305" i="25"/>
  <c r="X307" i="20"/>
  <c r="A308" i="20"/>
  <c r="AB307" i="20"/>
  <c r="K307" i="20"/>
  <c r="A306" i="22"/>
  <c r="K305" i="22"/>
  <c r="X305" i="22"/>
  <c r="AB305" i="22"/>
  <c r="AJ306" i="1"/>
  <c r="X306" i="1"/>
  <c r="AB306" i="1"/>
  <c r="AK306" i="1"/>
  <c r="K306" i="1"/>
  <c r="AB306" i="16"/>
  <c r="X306" i="16"/>
  <c r="K306" i="16"/>
  <c r="A307" i="16"/>
  <c r="L306" i="16"/>
  <c r="D306" i="16" s="1"/>
  <c r="X308" i="17"/>
  <c r="K308" i="17"/>
  <c r="AB308" i="17"/>
  <c r="A309" i="17"/>
  <c r="K304" i="23"/>
  <c r="X304" i="23"/>
  <c r="A305" i="23"/>
  <c r="AB304" i="23"/>
  <c r="AB305" i="23"/>
  <c r="K305" i="23"/>
  <c r="X305" i="23"/>
  <c r="A306" i="23"/>
  <c r="X309" i="17"/>
  <c r="K309" i="17"/>
  <c r="AB309" i="17"/>
  <c r="A310" i="17"/>
  <c r="K306" i="22"/>
  <c r="AB306" i="22"/>
  <c r="X306" i="22"/>
  <c r="A307" i="22"/>
  <c r="K304" i="18"/>
  <c r="AB304" i="18"/>
  <c r="A305" i="18"/>
  <c r="X304" i="18"/>
  <c r="X307" i="16"/>
  <c r="A308" i="16"/>
  <c r="K307" i="16"/>
  <c r="L307" i="16"/>
  <c r="D307" i="16" s="1"/>
  <c r="AB307" i="16"/>
  <c r="AK307" i="1"/>
  <c r="AB307" i="1"/>
  <c r="X307" i="1"/>
  <c r="AJ307" i="1"/>
  <c r="K307" i="1"/>
  <c r="Q307" i="1"/>
  <c r="A309" i="20"/>
  <c r="K308" i="20"/>
  <c r="X308" i="20"/>
  <c r="AB308" i="20"/>
  <c r="K306" i="25"/>
  <c r="AB306" i="25"/>
  <c r="X306" i="25"/>
  <c r="A307" i="25"/>
  <c r="K307" i="24"/>
  <c r="AB307" i="24"/>
  <c r="X307" i="24"/>
  <c r="A308" i="24"/>
  <c r="AB306" i="15"/>
  <c r="A307" i="15"/>
  <c r="X306" i="15"/>
  <c r="K306" i="15"/>
  <c r="A309" i="24"/>
  <c r="X308" i="24"/>
  <c r="AB308" i="24"/>
  <c r="K308" i="24"/>
  <c r="K307" i="25"/>
  <c r="AB307" i="25"/>
  <c r="X307" i="25"/>
  <c r="A308" i="25"/>
  <c r="K308" i="16"/>
  <c r="X308" i="16"/>
  <c r="A309" i="16"/>
  <c r="L308" i="16"/>
  <c r="D308" i="16" s="1"/>
  <c r="AB308" i="16"/>
  <c r="X305" i="18"/>
  <c r="K305" i="18"/>
  <c r="AB305" i="18"/>
  <c r="A306" i="18"/>
  <c r="AB307" i="22"/>
  <c r="X307" i="22"/>
  <c r="K307" i="22"/>
  <c r="A308" i="22"/>
  <c r="K310" i="17"/>
  <c r="X310" i="17"/>
  <c r="A311" i="17"/>
  <c r="AB310" i="17"/>
  <c r="X306" i="23"/>
  <c r="A307" i="23"/>
  <c r="AB306" i="23"/>
  <c r="K306" i="23"/>
  <c r="A308" i="15"/>
  <c r="AB307" i="15"/>
  <c r="X307" i="15"/>
  <c r="K307" i="15"/>
  <c r="X309" i="20"/>
  <c r="A310" i="20"/>
  <c r="AB309" i="20"/>
  <c r="K309" i="20"/>
  <c r="AK308" i="1"/>
  <c r="X308" i="1"/>
  <c r="K308" i="1"/>
  <c r="AJ308" i="1"/>
  <c r="AB308" i="1"/>
  <c r="A311" i="20"/>
  <c r="AB310" i="20"/>
  <c r="K310" i="20"/>
  <c r="X310" i="20"/>
  <c r="X307" i="23"/>
  <c r="AB307" i="23"/>
  <c r="A308" i="23"/>
  <c r="K307" i="23"/>
  <c r="A312" i="17"/>
  <c r="X311" i="17"/>
  <c r="K311" i="17"/>
  <c r="AB311" i="17"/>
  <c r="L311" i="17"/>
  <c r="D311" i="17" s="1"/>
  <c r="AB309" i="24"/>
  <c r="K309" i="24"/>
  <c r="X309" i="24"/>
  <c r="A310" i="24"/>
  <c r="AJ309" i="1"/>
  <c r="X309" i="1"/>
  <c r="K309" i="1"/>
  <c r="AB309" i="1"/>
  <c r="AK309" i="1"/>
  <c r="L309" i="1"/>
  <c r="D309" i="1" s="1"/>
  <c r="AB308" i="15"/>
  <c r="K308" i="15"/>
  <c r="X308" i="15"/>
  <c r="L308" i="15"/>
  <c r="D308" i="15" s="1"/>
  <c r="A309" i="15"/>
  <c r="A309" i="22"/>
  <c r="X308" i="22"/>
  <c r="K308" i="22"/>
  <c r="AB308" i="22"/>
  <c r="K306" i="18"/>
  <c r="X306" i="18"/>
  <c r="A307" i="18"/>
  <c r="AB306" i="18"/>
  <c r="X309" i="16"/>
  <c r="A310" i="16"/>
  <c r="AB309" i="16"/>
  <c r="K309" i="16"/>
  <c r="L309" i="16"/>
  <c r="D309" i="16" s="1"/>
  <c r="A309" i="25"/>
  <c r="K308" i="25"/>
  <c r="X308" i="25"/>
  <c r="AB308" i="25"/>
  <c r="X309" i="25"/>
  <c r="K309" i="25"/>
  <c r="AB309" i="25"/>
  <c r="A310" i="25"/>
  <c r="X310" i="16"/>
  <c r="K310" i="16"/>
  <c r="AB310" i="16"/>
  <c r="L310" i="16"/>
  <c r="D310" i="16" s="1"/>
  <c r="A311" i="16"/>
  <c r="X309" i="15"/>
  <c r="K309" i="15"/>
  <c r="AB309" i="15"/>
  <c r="A310" i="15"/>
  <c r="AJ310" i="1"/>
  <c r="AB310" i="1"/>
  <c r="X310" i="1"/>
  <c r="AK310" i="1"/>
  <c r="K310" i="1"/>
  <c r="AB308" i="23"/>
  <c r="K308" i="23"/>
  <c r="X308" i="23"/>
  <c r="A309" i="23"/>
  <c r="K307" i="18"/>
  <c r="X307" i="18"/>
  <c r="A308" i="18"/>
  <c r="L307" i="18"/>
  <c r="AB307" i="18"/>
  <c r="X309" i="22"/>
  <c r="AB309" i="22"/>
  <c r="A310" i="22"/>
  <c r="K309" i="22"/>
  <c r="A311" i="24"/>
  <c r="AB310" i="24"/>
  <c r="K310" i="24"/>
  <c r="X310" i="24"/>
  <c r="A313" i="17"/>
  <c r="X312" i="17"/>
  <c r="AB312" i="17"/>
  <c r="K312" i="17"/>
  <c r="X311" i="20"/>
  <c r="AB311" i="20"/>
  <c r="A312" i="20"/>
  <c r="K311" i="20"/>
  <c r="AB313" i="17"/>
  <c r="A314" i="17"/>
  <c r="K313" i="17"/>
  <c r="X313" i="17"/>
  <c r="AK311" i="1"/>
  <c r="K311" i="1"/>
  <c r="AJ311" i="1"/>
  <c r="X311" i="1"/>
  <c r="L311" i="1"/>
  <c r="D311" i="1" s="1"/>
  <c r="AB311" i="1"/>
  <c r="AB311" i="16"/>
  <c r="K311" i="16"/>
  <c r="X311" i="16"/>
  <c r="A312" i="16"/>
  <c r="L311" i="16"/>
  <c r="D311" i="16" s="1"/>
  <c r="A311" i="25"/>
  <c r="X310" i="25"/>
  <c r="AB310" i="25"/>
  <c r="K310" i="25"/>
  <c r="A313" i="20"/>
  <c r="X312" i="20"/>
  <c r="AB312" i="20"/>
  <c r="K312" i="20"/>
  <c r="A312" i="24"/>
  <c r="X311" i="24"/>
  <c r="AB311" i="24"/>
  <c r="K311" i="24"/>
  <c r="A311" i="22"/>
  <c r="AB310" i="22"/>
  <c r="X310" i="22"/>
  <c r="K310" i="22"/>
  <c r="K308" i="18"/>
  <c r="L308" i="18"/>
  <c r="A309" i="18"/>
  <c r="AB308" i="18"/>
  <c r="X308" i="18"/>
  <c r="A310" i="23"/>
  <c r="X309" i="23"/>
  <c r="AB309" i="23"/>
  <c r="K309" i="23"/>
  <c r="AB310" i="15"/>
  <c r="A311" i="15"/>
  <c r="X310" i="15"/>
  <c r="K310" i="15"/>
  <c r="AJ312" i="1"/>
  <c r="X312" i="1"/>
  <c r="AK312" i="1"/>
  <c r="K312" i="1"/>
  <c r="AB312" i="1"/>
  <c r="K310" i="23"/>
  <c r="X310" i="23"/>
  <c r="AB310" i="23"/>
  <c r="A311" i="23"/>
  <c r="AB311" i="15"/>
  <c r="L311" i="15"/>
  <c r="D311" i="15" s="1"/>
  <c r="X311" i="15"/>
  <c r="K311" i="15"/>
  <c r="A312" i="15"/>
  <c r="K309" i="18"/>
  <c r="A310" i="18"/>
  <c r="X309" i="18"/>
  <c r="AB309" i="18"/>
  <c r="AB311" i="22"/>
  <c r="X311" i="22"/>
  <c r="A312" i="22"/>
  <c r="K311" i="22"/>
  <c r="A313" i="24"/>
  <c r="K312" i="24"/>
  <c r="AB312" i="24"/>
  <c r="X312" i="24"/>
  <c r="A314" i="20"/>
  <c r="K313" i="20"/>
  <c r="AB313" i="20"/>
  <c r="X313" i="20"/>
  <c r="A312" i="25"/>
  <c r="AB311" i="25"/>
  <c r="X311" i="25"/>
  <c r="K311" i="25"/>
  <c r="A313" i="16"/>
  <c r="AB312" i="16"/>
  <c r="K312" i="16"/>
  <c r="X312" i="16"/>
  <c r="L312" i="16"/>
  <c r="D312" i="16" s="1"/>
  <c r="L314" i="17"/>
  <c r="D314" i="17" s="1"/>
  <c r="X314" i="17"/>
  <c r="AB314" i="17"/>
  <c r="A315" i="17"/>
  <c r="K314" i="17"/>
  <c r="K312" i="25"/>
  <c r="A313" i="25"/>
  <c r="AB312" i="25"/>
  <c r="X312" i="25"/>
  <c r="K313" i="24"/>
  <c r="A314" i="24"/>
  <c r="X313" i="24"/>
  <c r="AB313" i="24"/>
  <c r="A313" i="22"/>
  <c r="AB312" i="22"/>
  <c r="X312" i="22"/>
  <c r="K312" i="22"/>
  <c r="A313" i="15"/>
  <c r="X312" i="15"/>
  <c r="K312" i="15"/>
  <c r="AB312" i="15"/>
  <c r="A312" i="23"/>
  <c r="X311" i="23"/>
  <c r="K311" i="23"/>
  <c r="AB311" i="23"/>
  <c r="AJ313" i="1"/>
  <c r="K313" i="1"/>
  <c r="AK313" i="1"/>
  <c r="X313" i="1"/>
  <c r="AB313" i="1"/>
  <c r="AB315" i="17"/>
  <c r="K315" i="17"/>
  <c r="X315" i="17"/>
  <c r="A316" i="17"/>
  <c r="X313" i="16"/>
  <c r="L313" i="16"/>
  <c r="D313" i="16" s="1"/>
  <c r="A314" i="16"/>
  <c r="K313" i="16"/>
  <c r="AB313" i="16"/>
  <c r="X314" i="20"/>
  <c r="AB314" i="20"/>
  <c r="K314" i="20"/>
  <c r="A315" i="20"/>
  <c r="L310" i="18"/>
  <c r="K310" i="18"/>
  <c r="AB310" i="18"/>
  <c r="A311" i="18"/>
  <c r="X310" i="18"/>
  <c r="K315" i="20"/>
  <c r="AB315" i="20"/>
  <c r="A316" i="20"/>
  <c r="X315" i="20"/>
  <c r="AJ314" i="1"/>
  <c r="X314" i="1"/>
  <c r="AK314" i="1"/>
  <c r="AB314" i="1"/>
  <c r="K314" i="1"/>
  <c r="X313" i="15"/>
  <c r="AB313" i="15"/>
  <c r="A314" i="15"/>
  <c r="K313" i="15"/>
  <c r="X314" i="24"/>
  <c r="K314" i="24"/>
  <c r="AB314" i="24"/>
  <c r="A315" i="24"/>
  <c r="K311" i="18"/>
  <c r="AB311" i="18"/>
  <c r="A312" i="18"/>
  <c r="X311" i="18"/>
  <c r="A315" i="16"/>
  <c r="X314" i="16"/>
  <c r="K314" i="16"/>
  <c r="AB314" i="16"/>
  <c r="L314" i="16"/>
  <c r="D314" i="16" s="1"/>
  <c r="A317" i="17"/>
  <c r="K316" i="17"/>
  <c r="AB316" i="17"/>
  <c r="X316" i="17"/>
  <c r="AB312" i="23"/>
  <c r="A313" i="23"/>
  <c r="K312" i="23"/>
  <c r="X312" i="23"/>
  <c r="X313" i="22"/>
  <c r="A314" i="22"/>
  <c r="AB313" i="22"/>
  <c r="K313" i="22"/>
  <c r="AB313" i="25"/>
  <c r="A314" i="25"/>
  <c r="K313" i="25"/>
  <c r="X313" i="25"/>
  <c r="A315" i="25"/>
  <c r="AB314" i="25"/>
  <c r="X314" i="25"/>
  <c r="K314" i="25"/>
  <c r="K314" i="22"/>
  <c r="X314" i="22"/>
  <c r="A315" i="22"/>
  <c r="AB314" i="22"/>
  <c r="AB317" i="17"/>
  <c r="A318" i="17"/>
  <c r="X317" i="17"/>
  <c r="K317" i="17"/>
  <c r="X312" i="18"/>
  <c r="K312" i="18"/>
  <c r="A313" i="18"/>
  <c r="AB312" i="18"/>
  <c r="K315" i="24"/>
  <c r="AB315" i="24"/>
  <c r="X315" i="24"/>
  <c r="A316" i="24"/>
  <c r="X314" i="15"/>
  <c r="A315" i="15"/>
  <c r="K314" i="15"/>
  <c r="AB314" i="15"/>
  <c r="AK315" i="1"/>
  <c r="X315" i="1"/>
  <c r="K315" i="1"/>
  <c r="AJ315" i="1"/>
  <c r="AB315" i="1"/>
  <c r="A317" i="20"/>
  <c r="X316" i="20"/>
  <c r="AB316" i="20"/>
  <c r="K316" i="20"/>
  <c r="K313" i="23"/>
  <c r="AB313" i="23"/>
  <c r="A314" i="23"/>
  <c r="X313" i="23"/>
  <c r="X315" i="16"/>
  <c r="K315" i="16"/>
  <c r="A316" i="16"/>
  <c r="L315" i="16"/>
  <c r="D315" i="16" s="1"/>
  <c r="AB315" i="16"/>
  <c r="X316" i="16"/>
  <c r="A317" i="16"/>
  <c r="AB316" i="16"/>
  <c r="K316" i="16"/>
  <c r="L316" i="16"/>
  <c r="D316" i="16" s="1"/>
  <c r="X314" i="23"/>
  <c r="AB314" i="23"/>
  <c r="K314" i="23"/>
  <c r="A315" i="23"/>
  <c r="A318" i="20"/>
  <c r="AB317" i="20"/>
  <c r="K317" i="20"/>
  <c r="X317" i="20"/>
  <c r="AK316" i="1"/>
  <c r="K316" i="1"/>
  <c r="X316" i="1"/>
  <c r="AJ316" i="1"/>
  <c r="AB316" i="1"/>
  <c r="K315" i="15"/>
  <c r="AB315" i="15"/>
  <c r="X315" i="15"/>
  <c r="A316" i="15"/>
  <c r="AB316" i="24"/>
  <c r="K316" i="24"/>
  <c r="X316" i="24"/>
  <c r="A317" i="24"/>
  <c r="AB313" i="18"/>
  <c r="X313" i="18"/>
  <c r="L313" i="18"/>
  <c r="K313" i="18"/>
  <c r="A314" i="18"/>
  <c r="K318" i="17"/>
  <c r="A319" i="17"/>
  <c r="AB318" i="17"/>
  <c r="X318" i="17"/>
  <c r="K315" i="22"/>
  <c r="X315" i="22"/>
  <c r="AB315" i="22"/>
  <c r="A316" i="22"/>
  <c r="K315" i="25"/>
  <c r="AB315" i="25"/>
  <c r="A316" i="25"/>
  <c r="X315" i="25"/>
  <c r="AB319" i="17"/>
  <c r="K319" i="17"/>
  <c r="A320" i="17"/>
  <c r="X319" i="17"/>
  <c r="X314" i="18"/>
  <c r="K314" i="18"/>
  <c r="AB314" i="18"/>
  <c r="A315" i="18"/>
  <c r="A318" i="24"/>
  <c r="X317" i="24"/>
  <c r="AB317" i="24"/>
  <c r="K317" i="24"/>
  <c r="AK317" i="1"/>
  <c r="K317" i="1"/>
  <c r="X317" i="1"/>
  <c r="L317" i="1"/>
  <c r="D317" i="1" s="1"/>
  <c r="AB317" i="1"/>
  <c r="AJ317" i="1"/>
  <c r="AB318" i="20"/>
  <c r="X318" i="20"/>
  <c r="A319" i="20"/>
  <c r="K318" i="20"/>
  <c r="AB317" i="16"/>
  <c r="A318" i="16"/>
  <c r="X317" i="16"/>
  <c r="L317" i="16"/>
  <c r="D317" i="16" s="1"/>
  <c r="K317" i="16"/>
  <c r="K316" i="25"/>
  <c r="X316" i="25"/>
  <c r="AB316" i="25"/>
  <c r="A317" i="25"/>
  <c r="X316" i="22"/>
  <c r="K316" i="22"/>
  <c r="A317" i="22"/>
  <c r="AB316" i="22"/>
  <c r="K316" i="15"/>
  <c r="X316" i="15"/>
  <c r="L316" i="15"/>
  <c r="D316" i="15" s="1"/>
  <c r="A317" i="15"/>
  <c r="AB316" i="15"/>
  <c r="X315" i="23"/>
  <c r="AB315" i="23"/>
  <c r="K315" i="23"/>
  <c r="A316" i="23"/>
  <c r="AB317" i="15"/>
  <c r="A318" i="15"/>
  <c r="X317" i="15"/>
  <c r="K317" i="15"/>
  <c r="L317" i="15"/>
  <c r="K320" i="17"/>
  <c r="X320" i="17"/>
  <c r="A321" i="17"/>
  <c r="AB320" i="17"/>
  <c r="A317" i="23"/>
  <c r="AB316" i="23"/>
  <c r="K316" i="23"/>
  <c r="X316" i="23"/>
  <c r="AB317" i="22"/>
  <c r="K317" i="22"/>
  <c r="A318" i="22"/>
  <c r="X317" i="22"/>
  <c r="A318" i="25"/>
  <c r="X317" i="25"/>
  <c r="K317" i="25"/>
  <c r="AB317" i="25"/>
  <c r="AJ318" i="1"/>
  <c r="AB318" i="1"/>
  <c r="AK318" i="1"/>
  <c r="X318" i="1"/>
  <c r="K318" i="1"/>
  <c r="X318" i="16"/>
  <c r="A319" i="16"/>
  <c r="L318" i="16"/>
  <c r="AB318" i="16"/>
  <c r="K318" i="16"/>
  <c r="AB319" i="20"/>
  <c r="X319" i="20"/>
  <c r="K319" i="20"/>
  <c r="A320" i="20"/>
  <c r="A319" i="24"/>
  <c r="AB318" i="24"/>
  <c r="K318" i="24"/>
  <c r="X318" i="24"/>
  <c r="K315" i="18"/>
  <c r="A316" i="18"/>
  <c r="AB315" i="18"/>
  <c r="X315" i="18"/>
  <c r="D317" i="15"/>
  <c r="A320" i="24"/>
  <c r="K319" i="24"/>
  <c r="AB319" i="24"/>
  <c r="X319" i="24"/>
  <c r="D318" i="16"/>
  <c r="AB318" i="22"/>
  <c r="K318" i="22"/>
  <c r="X318" i="22"/>
  <c r="A319" i="22"/>
  <c r="AB317" i="23"/>
  <c r="X317" i="23"/>
  <c r="A318" i="23"/>
  <c r="K317" i="23"/>
  <c r="K321" i="17"/>
  <c r="A322" i="17"/>
  <c r="AB321" i="17"/>
  <c r="X321" i="17"/>
  <c r="L321" i="17"/>
  <c r="D321" i="17" s="1"/>
  <c r="X316" i="18"/>
  <c r="K316" i="18"/>
  <c r="A317" i="18"/>
  <c r="AB316" i="18"/>
  <c r="A321" i="20"/>
  <c r="AB320" i="20"/>
  <c r="K320" i="20"/>
  <c r="X320" i="20"/>
  <c r="A320" i="16"/>
  <c r="L319" i="16"/>
  <c r="D319" i="16" s="1"/>
  <c r="K319" i="16"/>
  <c r="AB319" i="16"/>
  <c r="X319" i="16"/>
  <c r="AK319" i="1"/>
  <c r="X319" i="1"/>
  <c r="AJ319" i="1"/>
  <c r="K319" i="1"/>
  <c r="AB319" i="1"/>
  <c r="X318" i="25"/>
  <c r="AB318" i="25"/>
  <c r="A319" i="25"/>
  <c r="K318" i="25"/>
  <c r="AB318" i="15"/>
  <c r="K318" i="15"/>
  <c r="A319" i="15"/>
  <c r="X318" i="15"/>
  <c r="K321" i="20"/>
  <c r="X321" i="20"/>
  <c r="A322" i="20"/>
  <c r="AB321" i="20"/>
  <c r="K318" i="23"/>
  <c r="A319" i="23"/>
  <c r="AB318" i="23"/>
  <c r="X318" i="23"/>
  <c r="AJ320" i="1"/>
  <c r="K320" i="1"/>
  <c r="AB320" i="1"/>
  <c r="X320" i="1"/>
  <c r="AK320" i="1"/>
  <c r="K320" i="16"/>
  <c r="L320" i="16"/>
  <c r="D320" i="16" s="1"/>
  <c r="A321" i="16"/>
  <c r="X320" i="16"/>
  <c r="AB320" i="16"/>
  <c r="A318" i="18"/>
  <c r="X317" i="18"/>
  <c r="AB317" i="18"/>
  <c r="L317" i="18"/>
  <c r="K317" i="18"/>
  <c r="X322" i="17"/>
  <c r="A323" i="17"/>
  <c r="K322" i="17"/>
  <c r="AB322" i="17"/>
  <c r="L322" i="17"/>
  <c r="D322" i="17" s="1"/>
  <c r="K319" i="22"/>
  <c r="AB319" i="22"/>
  <c r="X319" i="22"/>
  <c r="A320" i="22"/>
  <c r="X320" i="24"/>
  <c r="A321" i="24"/>
  <c r="AB320" i="24"/>
  <c r="K320" i="24"/>
  <c r="A320" i="15"/>
  <c r="K319" i="15"/>
  <c r="X319" i="15"/>
  <c r="AB319" i="15"/>
  <c r="A320" i="25"/>
  <c r="AB319" i="25"/>
  <c r="K319" i="25"/>
  <c r="X319" i="25"/>
  <c r="AB320" i="15"/>
  <c r="A321" i="15"/>
  <c r="K320" i="15"/>
  <c r="L320" i="15"/>
  <c r="D320" i="15" s="1"/>
  <c r="X320" i="15"/>
  <c r="AB321" i="24"/>
  <c r="A322" i="24"/>
  <c r="X321" i="24"/>
  <c r="K321" i="24"/>
  <c r="A324" i="17"/>
  <c r="K323" i="17"/>
  <c r="X323" i="17"/>
  <c r="AB323" i="17"/>
  <c r="K318" i="18"/>
  <c r="AB318" i="18"/>
  <c r="A319" i="18"/>
  <c r="X318" i="18"/>
  <c r="K319" i="23"/>
  <c r="AB319" i="23"/>
  <c r="X319" i="23"/>
  <c r="A320" i="23"/>
  <c r="A323" i="20"/>
  <c r="K322" i="20"/>
  <c r="X322" i="20"/>
  <c r="AB322" i="20"/>
  <c r="K320" i="25"/>
  <c r="X320" i="25"/>
  <c r="AB320" i="25"/>
  <c r="A321" i="25"/>
  <c r="X320" i="22"/>
  <c r="AB320" i="22"/>
  <c r="A321" i="22"/>
  <c r="K320" i="22"/>
  <c r="AB321" i="16"/>
  <c r="A322" i="16"/>
  <c r="L321" i="16"/>
  <c r="D321" i="16" s="1"/>
  <c r="K321" i="16"/>
  <c r="X321" i="16"/>
  <c r="AJ321" i="1"/>
  <c r="K321" i="1"/>
  <c r="L321" i="1"/>
  <c r="D321" i="1" s="1"/>
  <c r="AB321" i="1"/>
  <c r="X321" i="1"/>
  <c r="AK321" i="1"/>
  <c r="AB320" i="23"/>
  <c r="K320" i="23"/>
  <c r="A321" i="23"/>
  <c r="X320" i="23"/>
  <c r="AB324" i="17"/>
  <c r="A325" i="17"/>
  <c r="X324" i="17"/>
  <c r="K324" i="17"/>
  <c r="A323" i="24"/>
  <c r="AB322" i="24"/>
  <c r="K322" i="24"/>
  <c r="X322" i="24"/>
  <c r="AK322" i="1"/>
  <c r="X322" i="1"/>
  <c r="AJ322" i="1"/>
  <c r="K322" i="1"/>
  <c r="AB322" i="1"/>
  <c r="A323" i="16"/>
  <c r="L322" i="16"/>
  <c r="D322" i="16" s="1"/>
  <c r="X322" i="16"/>
  <c r="K322" i="16"/>
  <c r="AB322" i="16"/>
  <c r="A322" i="22"/>
  <c r="X321" i="22"/>
  <c r="AB321" i="22"/>
  <c r="K321" i="22"/>
  <c r="X321" i="25"/>
  <c r="AB321" i="25"/>
  <c r="A322" i="25"/>
  <c r="K321" i="25"/>
  <c r="AB323" i="20"/>
  <c r="X323" i="20"/>
  <c r="K323" i="20"/>
  <c r="A324" i="20"/>
  <c r="AB319" i="18"/>
  <c r="A320" i="18"/>
  <c r="X319" i="18"/>
  <c r="K319" i="18"/>
  <c r="X321" i="15"/>
  <c r="AB321" i="15"/>
  <c r="K321" i="15"/>
  <c r="A322" i="15"/>
  <c r="X322" i="15"/>
  <c r="A323" i="15"/>
  <c r="AB322" i="15"/>
  <c r="K322" i="15"/>
  <c r="AB320" i="18"/>
  <c r="X320" i="18"/>
  <c r="K320" i="18"/>
  <c r="A321" i="18"/>
  <c r="K322" i="25"/>
  <c r="X322" i="25"/>
  <c r="A323" i="25"/>
  <c r="AB322" i="25"/>
  <c r="K322" i="22"/>
  <c r="AB322" i="22"/>
  <c r="X322" i="22"/>
  <c r="A323" i="22"/>
  <c r="AB321" i="23"/>
  <c r="K321" i="23"/>
  <c r="A322" i="23"/>
  <c r="X321" i="23"/>
  <c r="AB324" i="20"/>
  <c r="K324" i="20"/>
  <c r="X324" i="20"/>
  <c r="A325" i="20"/>
  <c r="X323" i="16"/>
  <c r="K323" i="16"/>
  <c r="A324" i="16"/>
  <c r="AB323" i="16"/>
  <c r="L323" i="16"/>
  <c r="D323" i="16" s="1"/>
  <c r="AK323" i="1"/>
  <c r="K323" i="1"/>
  <c r="AJ323" i="1"/>
  <c r="AB323" i="1"/>
  <c r="X323" i="1"/>
  <c r="K323" i="24"/>
  <c r="X323" i="24"/>
  <c r="AB323" i="24"/>
  <c r="A324" i="24"/>
  <c r="L325" i="17"/>
  <c r="D325" i="17" s="1"/>
  <c r="X325" i="17"/>
  <c r="AB325" i="17"/>
  <c r="K325" i="17"/>
  <c r="A326" i="17"/>
  <c r="AB324" i="24"/>
  <c r="X324" i="24"/>
  <c r="K324" i="24"/>
  <c r="A325" i="24"/>
  <c r="AK324" i="1"/>
  <c r="K324" i="1"/>
  <c r="L324" i="1"/>
  <c r="D324" i="1" s="1"/>
  <c r="AJ324" i="1"/>
  <c r="AB324" i="1"/>
  <c r="X324" i="1"/>
  <c r="X324" i="16"/>
  <c r="L324" i="16"/>
  <c r="D324" i="16" s="1"/>
  <c r="AB324" i="16"/>
  <c r="K324" i="16"/>
  <c r="A325" i="16"/>
  <c r="X325" i="20"/>
  <c r="A326" i="20"/>
  <c r="AB325" i="20"/>
  <c r="K325" i="20"/>
  <c r="X322" i="23"/>
  <c r="A323" i="23"/>
  <c r="AB322" i="23"/>
  <c r="K322" i="23"/>
  <c r="A324" i="25"/>
  <c r="X323" i="25"/>
  <c r="K323" i="25"/>
  <c r="AB323" i="25"/>
  <c r="AB321" i="18"/>
  <c r="A322" i="18"/>
  <c r="X321" i="18"/>
  <c r="K321" i="18"/>
  <c r="X323" i="15"/>
  <c r="AB323" i="15"/>
  <c r="A324" i="15"/>
  <c r="K323" i="15"/>
  <c r="A327" i="17"/>
  <c r="K326" i="17"/>
  <c r="X326" i="17"/>
  <c r="AB326" i="17"/>
  <c r="A324" i="22"/>
  <c r="AB323" i="22"/>
  <c r="K323" i="22"/>
  <c r="X323" i="22"/>
  <c r="AB322" i="18"/>
  <c r="A323" i="18"/>
  <c r="X322" i="18"/>
  <c r="K322" i="18"/>
  <c r="A327" i="20"/>
  <c r="K326" i="20"/>
  <c r="AB326" i="20"/>
  <c r="X326" i="20"/>
  <c r="AJ325" i="1"/>
  <c r="AB325" i="1"/>
  <c r="X325" i="1"/>
  <c r="AK325" i="1"/>
  <c r="K325" i="1"/>
  <c r="AB325" i="24"/>
  <c r="X325" i="24"/>
  <c r="A326" i="24"/>
  <c r="K325" i="24"/>
  <c r="X324" i="22"/>
  <c r="A325" i="22"/>
  <c r="AB324" i="22"/>
  <c r="K324" i="22"/>
  <c r="AB327" i="17"/>
  <c r="K327" i="17"/>
  <c r="X327" i="17"/>
  <c r="A328" i="17"/>
  <c r="K324" i="15"/>
  <c r="X324" i="15"/>
  <c r="AB324" i="15"/>
  <c r="A325" i="15"/>
  <c r="K324" i="25"/>
  <c r="X324" i="25"/>
  <c r="AB324" i="25"/>
  <c r="A325" i="25"/>
  <c r="K323" i="23"/>
  <c r="X323" i="23"/>
  <c r="A324" i="23"/>
  <c r="AB323" i="23"/>
  <c r="K325" i="16"/>
  <c r="X325" i="16"/>
  <c r="AB325" i="16"/>
  <c r="L325" i="16"/>
  <c r="D325" i="16" s="1"/>
  <c r="A326" i="16"/>
  <c r="K326" i="16"/>
  <c r="L326" i="16"/>
  <c r="D326" i="16" s="1"/>
  <c r="A327" i="16"/>
  <c r="X326" i="16"/>
  <c r="AB326" i="16"/>
  <c r="X325" i="15"/>
  <c r="AB325" i="15"/>
  <c r="K325" i="15"/>
  <c r="L325" i="15"/>
  <c r="D325" i="15" s="1"/>
  <c r="A326" i="15"/>
  <c r="AB325" i="22"/>
  <c r="K325" i="22"/>
  <c r="A326" i="22"/>
  <c r="X325" i="22"/>
  <c r="K326" i="24"/>
  <c r="AB326" i="24"/>
  <c r="A327" i="24"/>
  <c r="X326" i="24"/>
  <c r="AJ326" i="1"/>
  <c r="X326" i="1"/>
  <c r="AB326" i="1"/>
  <c r="K326" i="1"/>
  <c r="AK326" i="1"/>
  <c r="A328" i="20"/>
  <c r="X327" i="20"/>
  <c r="AB327" i="20"/>
  <c r="K327" i="20"/>
  <c r="A325" i="23"/>
  <c r="K324" i="23"/>
  <c r="AB324" i="23"/>
  <c r="X324" i="23"/>
  <c r="AB325" i="25"/>
  <c r="K325" i="25"/>
  <c r="A326" i="25"/>
  <c r="X325" i="25"/>
  <c r="K328" i="17"/>
  <c r="AB328" i="17"/>
  <c r="L328" i="17"/>
  <c r="D328" i="17" s="1"/>
  <c r="X328" i="17"/>
  <c r="A329" i="17"/>
  <c r="A324" i="18"/>
  <c r="AB323" i="18"/>
  <c r="K323" i="18"/>
  <c r="X323" i="18"/>
  <c r="X329" i="17"/>
  <c r="AB329" i="17"/>
  <c r="A330" i="17"/>
  <c r="K329" i="17"/>
  <c r="A327" i="25"/>
  <c r="X326" i="25"/>
  <c r="K326" i="25"/>
  <c r="AB326" i="25"/>
  <c r="K325" i="23"/>
  <c r="A326" i="23"/>
  <c r="AB325" i="23"/>
  <c r="X325" i="23"/>
  <c r="K327" i="24"/>
  <c r="A328" i="24"/>
  <c r="X327" i="24"/>
  <c r="AB327" i="24"/>
  <c r="X326" i="22"/>
  <c r="AB326" i="22"/>
  <c r="A327" i="22"/>
  <c r="K326" i="22"/>
  <c r="X327" i="16"/>
  <c r="L327" i="16"/>
  <c r="D327" i="16" s="1"/>
  <c r="K327" i="16"/>
  <c r="AB327" i="16"/>
  <c r="A328" i="16"/>
  <c r="AB324" i="18"/>
  <c r="K324" i="18"/>
  <c r="X324" i="18"/>
  <c r="A325" i="18"/>
  <c r="X328" i="20"/>
  <c r="A329" i="20"/>
  <c r="K328" i="20"/>
  <c r="AB328" i="20"/>
  <c r="AK327" i="1"/>
  <c r="AJ327" i="1"/>
  <c r="X327" i="1"/>
  <c r="K327" i="1"/>
  <c r="AB327" i="1"/>
  <c r="L326" i="15"/>
  <c r="D326" i="15" s="1"/>
  <c r="AB326" i="15"/>
  <c r="X326" i="15"/>
  <c r="K326" i="15"/>
  <c r="A327" i="15"/>
  <c r="AB327" i="15"/>
  <c r="K327" i="15"/>
  <c r="A328" i="15"/>
  <c r="X327" i="15"/>
  <c r="AJ328" i="1"/>
  <c r="K328" i="1"/>
  <c r="AK328" i="1"/>
  <c r="L328" i="1"/>
  <c r="D328" i="1" s="1"/>
  <c r="AB328" i="1"/>
  <c r="X328" i="1"/>
  <c r="X328" i="24"/>
  <c r="A329" i="24"/>
  <c r="K328" i="24"/>
  <c r="AB328" i="24"/>
  <c r="AB330" i="17"/>
  <c r="X330" i="17"/>
  <c r="K330" i="17"/>
  <c r="A331" i="17"/>
  <c r="AB329" i="20"/>
  <c r="A330" i="20"/>
  <c r="K329" i="20"/>
  <c r="X329" i="20"/>
  <c r="AB325" i="18"/>
  <c r="X325" i="18"/>
  <c r="A326" i="18"/>
  <c r="K325" i="18"/>
  <c r="AB328" i="16"/>
  <c r="A329" i="16"/>
  <c r="K328" i="16"/>
  <c r="L328" i="16"/>
  <c r="D328" i="16" s="1"/>
  <c r="X328" i="16"/>
  <c r="K327" i="22"/>
  <c r="AB327" i="22"/>
  <c r="A328" i="22"/>
  <c r="X327" i="22"/>
  <c r="AB326" i="23"/>
  <c r="X326" i="23"/>
  <c r="K326" i="23"/>
  <c r="A327" i="23"/>
  <c r="X327" i="25"/>
  <c r="K327" i="25"/>
  <c r="AB327" i="25"/>
  <c r="A328" i="25"/>
  <c r="A328" i="23"/>
  <c r="K327" i="23"/>
  <c r="X327" i="23"/>
  <c r="AB327" i="23"/>
  <c r="AB328" i="22"/>
  <c r="K328" i="22"/>
  <c r="A329" i="22"/>
  <c r="X328" i="22"/>
  <c r="A329" i="15"/>
  <c r="L328" i="15"/>
  <c r="D328" i="15" s="1"/>
  <c r="X328" i="15"/>
  <c r="K328" i="15"/>
  <c r="AB328" i="15"/>
  <c r="A329" i="25"/>
  <c r="X328" i="25"/>
  <c r="K328" i="25"/>
  <c r="AB328" i="25"/>
  <c r="A330" i="16"/>
  <c r="X329" i="16"/>
  <c r="AB329" i="16"/>
  <c r="L329" i="16"/>
  <c r="D329" i="16" s="1"/>
  <c r="K329" i="16"/>
  <c r="X326" i="18"/>
  <c r="A327" i="18"/>
  <c r="K326" i="18"/>
  <c r="AB326" i="18"/>
  <c r="AB330" i="20"/>
  <c r="K330" i="20"/>
  <c r="X330" i="20"/>
  <c r="A331" i="20"/>
  <c r="K331" i="17"/>
  <c r="A332" i="17"/>
  <c r="X331" i="17"/>
  <c r="AB331" i="17"/>
  <c r="K329" i="24"/>
  <c r="X329" i="24"/>
  <c r="A330" i="24"/>
  <c r="AB329" i="24"/>
  <c r="AK329" i="1"/>
  <c r="AB329" i="1"/>
  <c r="K329" i="1"/>
  <c r="AJ329" i="1"/>
  <c r="X329" i="1"/>
  <c r="AB330" i="24"/>
  <c r="A331" i="24"/>
  <c r="X330" i="24"/>
  <c r="K330" i="24"/>
  <c r="X332" i="17"/>
  <c r="A333" i="17"/>
  <c r="K332" i="17"/>
  <c r="AB332" i="17"/>
  <c r="A332" i="20"/>
  <c r="X331" i="20"/>
  <c r="K331" i="20"/>
  <c r="AB331" i="20"/>
  <c r="AB327" i="18"/>
  <c r="K327" i="18"/>
  <c r="A328" i="18"/>
  <c r="X327" i="18"/>
  <c r="AB329" i="25"/>
  <c r="A330" i="25"/>
  <c r="X329" i="25"/>
  <c r="K329" i="25"/>
  <c r="K329" i="22"/>
  <c r="X329" i="22"/>
  <c r="A330" i="22"/>
  <c r="AB329" i="22"/>
  <c r="AK330" i="1"/>
  <c r="K330" i="1"/>
  <c r="X330" i="1"/>
  <c r="AJ330" i="1"/>
  <c r="AB330" i="1"/>
  <c r="AB330" i="16"/>
  <c r="L330" i="16"/>
  <c r="D330" i="16" s="1"/>
  <c r="A331" i="16"/>
  <c r="X330" i="16"/>
  <c r="K330" i="16"/>
  <c r="K329" i="15"/>
  <c r="L329" i="15"/>
  <c r="D329" i="15" s="1"/>
  <c r="A330" i="15"/>
  <c r="X329" i="15"/>
  <c r="AB329" i="15"/>
  <c r="AB328" i="23"/>
  <c r="A329" i="23"/>
  <c r="X328" i="23"/>
  <c r="K328" i="23"/>
  <c r="X329" i="23"/>
  <c r="K329" i="23"/>
  <c r="AB329" i="23"/>
  <c r="A330" i="23"/>
  <c r="L330" i="15"/>
  <c r="D330" i="15" s="1"/>
  <c r="X330" i="15"/>
  <c r="A331" i="15"/>
  <c r="K330" i="15"/>
  <c r="AB330" i="15"/>
  <c r="X331" i="16"/>
  <c r="K331" i="16"/>
  <c r="L331" i="16"/>
  <c r="D331" i="16" s="1"/>
  <c r="AB331" i="16"/>
  <c r="A332" i="16"/>
  <c r="K328" i="18"/>
  <c r="A329" i="18"/>
  <c r="AB328" i="18"/>
  <c r="X328" i="18"/>
  <c r="L328" i="18"/>
  <c r="K332" i="20"/>
  <c r="AB332" i="20"/>
  <c r="A333" i="20"/>
  <c r="X332" i="20"/>
  <c r="K331" i="24"/>
  <c r="A332" i="24"/>
  <c r="X331" i="24"/>
  <c r="AB331" i="24"/>
  <c r="AJ331" i="1"/>
  <c r="X331" i="1"/>
  <c r="L331" i="1"/>
  <c r="D331" i="1" s="1"/>
  <c r="AB331" i="1"/>
  <c r="K331" i="1"/>
  <c r="Q331" i="1"/>
  <c r="AK331" i="1"/>
  <c r="AB330" i="22"/>
  <c r="K330" i="22"/>
  <c r="A331" i="22"/>
  <c r="X330" i="22"/>
  <c r="X330" i="25"/>
  <c r="K330" i="25"/>
  <c r="A331" i="25"/>
  <c r="AB330" i="25"/>
  <c r="AB333" i="17"/>
  <c r="K333" i="17"/>
  <c r="A334" i="17"/>
  <c r="X333" i="17"/>
  <c r="A66" i="7"/>
  <c r="AJ332" i="1"/>
  <c r="K332" i="1"/>
  <c r="X332" i="1"/>
  <c r="AB332" i="1"/>
  <c r="AK332" i="1"/>
  <c r="X333" i="20"/>
  <c r="AB333" i="20"/>
  <c r="A334" i="20"/>
  <c r="AE30" i="7"/>
  <c r="K333" i="20"/>
  <c r="X329" i="18"/>
  <c r="A330" i="18"/>
  <c r="AB329" i="18"/>
  <c r="K329" i="18"/>
  <c r="AB332" i="16"/>
  <c r="L332" i="16"/>
  <c r="D332" i="16" s="1"/>
  <c r="X332" i="16"/>
  <c r="A333" i="16"/>
  <c r="K332" i="16"/>
  <c r="X331" i="15"/>
  <c r="K331" i="15"/>
  <c r="AB331" i="15"/>
  <c r="A332" i="15"/>
  <c r="X330" i="23"/>
  <c r="K330" i="23"/>
  <c r="AB330" i="23"/>
  <c r="A331" i="23"/>
  <c r="A335" i="17"/>
  <c r="AB334" i="17"/>
  <c r="K334" i="17"/>
  <c r="X334" i="17"/>
  <c r="AB331" i="25"/>
  <c r="K331" i="25"/>
  <c r="A332" i="25"/>
  <c r="X331" i="25"/>
  <c r="AB331" i="22"/>
  <c r="X331" i="22"/>
  <c r="K331" i="22"/>
  <c r="A332" i="22"/>
  <c r="X332" i="24"/>
  <c r="AB332" i="24"/>
  <c r="K332" i="24"/>
  <c r="A333" i="24"/>
  <c r="AB333" i="24"/>
  <c r="A334" i="24"/>
  <c r="AE66" i="7"/>
  <c r="K333" i="24"/>
  <c r="X333" i="24"/>
  <c r="AB331" i="23"/>
  <c r="K331" i="23"/>
  <c r="X331" i="23"/>
  <c r="A332" i="23"/>
  <c r="K332" i="15"/>
  <c r="AB332" i="15"/>
  <c r="A333" i="15"/>
  <c r="X332" i="15"/>
  <c r="AB330" i="18"/>
  <c r="K330" i="18"/>
  <c r="A331" i="18"/>
  <c r="X330" i="18"/>
  <c r="A333" i="22"/>
  <c r="X332" i="22"/>
  <c r="K332" i="22"/>
  <c r="AB332" i="22"/>
  <c r="X332" i="25"/>
  <c r="K332" i="25"/>
  <c r="AB332" i="25"/>
  <c r="A333" i="25"/>
  <c r="K335" i="17"/>
  <c r="A336" i="17"/>
  <c r="AB335" i="17"/>
  <c r="X335" i="17"/>
  <c r="A334" i="16"/>
  <c r="A54" i="7"/>
  <c r="L333" i="16"/>
  <c r="AB333" i="16"/>
  <c r="K333" i="16"/>
  <c r="X333" i="16"/>
  <c r="A335" i="20"/>
  <c r="X334" i="20"/>
  <c r="K334" i="20"/>
  <c r="AB334" i="20"/>
  <c r="AJ333" i="1"/>
  <c r="K333" i="1"/>
  <c r="AK333" i="1"/>
  <c r="AB333" i="1"/>
  <c r="L333" i="1"/>
  <c r="D333" i="1" s="1"/>
  <c r="A30" i="7"/>
  <c r="X333" i="1"/>
  <c r="AJ334" i="1"/>
  <c r="X334" i="1"/>
  <c r="AK334" i="1"/>
  <c r="AB334" i="1"/>
  <c r="K334" i="1"/>
  <c r="L334" i="1"/>
  <c r="D334" i="1" s="1"/>
  <c r="K336" i="17"/>
  <c r="L336" i="17"/>
  <c r="AB336" i="17"/>
  <c r="A337" i="17"/>
  <c r="X336" i="17"/>
  <c r="X333" i="25"/>
  <c r="A334" i="25"/>
  <c r="AE78" i="7"/>
  <c r="K333" i="25"/>
  <c r="AB333" i="25"/>
  <c r="X332" i="23"/>
  <c r="K332" i="23"/>
  <c r="AB332" i="23"/>
  <c r="A333" i="23"/>
  <c r="X335" i="20"/>
  <c r="AB335" i="20"/>
  <c r="A336" i="20"/>
  <c r="K335" i="20"/>
  <c r="A335" i="16"/>
  <c r="L334" i="16"/>
  <c r="AB334" i="16"/>
  <c r="X334" i="16"/>
  <c r="K334" i="16"/>
  <c r="AE42" i="7"/>
  <c r="X333" i="22"/>
  <c r="A334" i="22"/>
  <c r="K333" i="22"/>
  <c r="AB333" i="22"/>
  <c r="AB331" i="18"/>
  <c r="K331" i="18"/>
  <c r="A332" i="18"/>
  <c r="X331" i="18"/>
  <c r="L331" i="18"/>
  <c r="A334" i="15"/>
  <c r="X333" i="15"/>
  <c r="A42" i="7"/>
  <c r="AB333" i="15"/>
  <c r="K333" i="15"/>
  <c r="L333" i="15"/>
  <c r="D333" i="15" s="1"/>
  <c r="AB334" i="24"/>
  <c r="A335" i="24"/>
  <c r="K334" i="24"/>
  <c r="X334" i="24"/>
  <c r="A336" i="24"/>
  <c r="AB335" i="24"/>
  <c r="K335" i="24"/>
  <c r="X335" i="24"/>
  <c r="K335" i="16"/>
  <c r="L335" i="16"/>
  <c r="D335" i="16" s="1"/>
  <c r="AB335" i="16"/>
  <c r="A336" i="16"/>
  <c r="X335" i="16"/>
  <c r="K334" i="25"/>
  <c r="X334" i="25"/>
  <c r="AB334" i="25"/>
  <c r="A335" i="25"/>
  <c r="X337" i="17"/>
  <c r="A338" i="17"/>
  <c r="L337" i="17"/>
  <c r="D337" i="17" s="1"/>
  <c r="AB337" i="17"/>
  <c r="K337" i="17"/>
  <c r="AB334" i="15"/>
  <c r="K334" i="15"/>
  <c r="X334" i="15"/>
  <c r="A335" i="15"/>
  <c r="AB332" i="18"/>
  <c r="X332" i="18"/>
  <c r="A333" i="18"/>
  <c r="K332" i="18"/>
  <c r="K334" i="22"/>
  <c r="AB334" i="22"/>
  <c r="A335" i="22"/>
  <c r="X334" i="22"/>
  <c r="D334" i="16"/>
  <c r="K336" i="20"/>
  <c r="X336" i="20"/>
  <c r="AB336" i="20"/>
  <c r="A337" i="20"/>
  <c r="X333" i="23"/>
  <c r="K333" i="23"/>
  <c r="A334" i="23"/>
  <c r="AE54" i="7"/>
  <c r="AB333" i="23"/>
  <c r="D336" i="17"/>
  <c r="AK335" i="1"/>
  <c r="AB335" i="1"/>
  <c r="X335" i="1"/>
  <c r="L335" i="1"/>
  <c r="D335" i="1" s="1"/>
  <c r="K335" i="1"/>
  <c r="AJ335" i="1"/>
  <c r="A338" i="20"/>
  <c r="AB337" i="20"/>
  <c r="K337" i="20"/>
  <c r="X337" i="20"/>
  <c r="K335" i="22"/>
  <c r="A336" i="22"/>
  <c r="X335" i="22"/>
  <c r="AB335" i="22"/>
  <c r="A78" i="7"/>
  <c r="K333" i="18"/>
  <c r="A334" i="18"/>
  <c r="AB333" i="18"/>
  <c r="X333" i="18"/>
  <c r="L333" i="18"/>
  <c r="B78" i="7" s="1"/>
  <c r="X335" i="25"/>
  <c r="K335" i="25"/>
  <c r="A336" i="25"/>
  <c r="AB335" i="25"/>
  <c r="AK336" i="1"/>
  <c r="AB336" i="1"/>
  <c r="K336" i="1"/>
  <c r="AJ336" i="1"/>
  <c r="X336" i="1"/>
  <c r="K334" i="23"/>
  <c r="AB334" i="23"/>
  <c r="X334" i="23"/>
  <c r="A335" i="23"/>
  <c r="AB335" i="15"/>
  <c r="X335" i="15"/>
  <c r="K335" i="15"/>
  <c r="A336" i="15"/>
  <c r="L338" i="17"/>
  <c r="D338" i="17" s="1"/>
  <c r="A339" i="17"/>
  <c r="X338" i="17"/>
  <c r="AB338" i="17"/>
  <c r="K338" i="17"/>
  <c r="K336" i="16"/>
  <c r="AB336" i="16"/>
  <c r="X336" i="16"/>
  <c r="A337" i="16"/>
  <c r="L336" i="16"/>
  <c r="D336" i="16" s="1"/>
  <c r="K336" i="24"/>
  <c r="AB336" i="24"/>
  <c r="X336" i="24"/>
  <c r="A337" i="24"/>
  <c r="A338" i="16"/>
  <c r="K337" i="16"/>
  <c r="X337" i="16"/>
  <c r="AB337" i="16"/>
  <c r="L337" i="16"/>
  <c r="D337" i="16" s="1"/>
  <c r="AB335" i="23"/>
  <c r="X335" i="23"/>
  <c r="K335" i="23"/>
  <c r="A336" i="23"/>
  <c r="AJ337" i="1"/>
  <c r="AB337" i="1"/>
  <c r="AK337" i="1"/>
  <c r="X337" i="1"/>
  <c r="K337" i="1"/>
  <c r="X337" i="24"/>
  <c r="AB337" i="24"/>
  <c r="A338" i="24"/>
  <c r="K337" i="24"/>
  <c r="A340" i="17"/>
  <c r="K339" i="17"/>
  <c r="AB339" i="17"/>
  <c r="X339" i="17"/>
  <c r="AB336" i="15"/>
  <c r="K336" i="15"/>
  <c r="A337" i="15"/>
  <c r="X336" i="15"/>
  <c r="X336" i="25"/>
  <c r="A337" i="25"/>
  <c r="AB336" i="25"/>
  <c r="K336" i="25"/>
  <c r="X334" i="18"/>
  <c r="AB334" i="18"/>
  <c r="K334" i="18"/>
  <c r="A335" i="18"/>
  <c r="AB336" i="22"/>
  <c r="K336" i="22"/>
  <c r="X336" i="22"/>
  <c r="A337" i="22"/>
  <c r="A339" i="20"/>
  <c r="K338" i="20"/>
  <c r="AB338" i="20"/>
  <c r="X338" i="20"/>
  <c r="AB339" i="20"/>
  <c r="A340" i="20"/>
  <c r="X339" i="20"/>
  <c r="K339" i="20"/>
  <c r="X337" i="22"/>
  <c r="AB337" i="22"/>
  <c r="K337" i="22"/>
  <c r="A338" i="22"/>
  <c r="K335" i="18"/>
  <c r="L335" i="18"/>
  <c r="A336" i="18"/>
  <c r="X335" i="18"/>
  <c r="AB335" i="18"/>
  <c r="A338" i="15"/>
  <c r="AB337" i="15"/>
  <c r="K337" i="15"/>
  <c r="X337" i="15"/>
  <c r="L340" i="17"/>
  <c r="D340" i="17" s="1"/>
  <c r="A341" i="17"/>
  <c r="AB340" i="17"/>
  <c r="X340" i="17"/>
  <c r="K340" i="17"/>
  <c r="AB338" i="16"/>
  <c r="L338" i="16"/>
  <c r="D338" i="16" s="1"/>
  <c r="K338" i="16"/>
  <c r="X338" i="16"/>
  <c r="A339" i="16"/>
  <c r="X337" i="25"/>
  <c r="AB337" i="25"/>
  <c r="K337" i="25"/>
  <c r="A338" i="25"/>
  <c r="A339" i="24"/>
  <c r="AB338" i="24"/>
  <c r="K338" i="24"/>
  <c r="X338" i="24"/>
  <c r="AJ338" i="1"/>
  <c r="K338" i="1"/>
  <c r="AB338" i="1"/>
  <c r="AK338" i="1"/>
  <c r="L338" i="1"/>
  <c r="X338" i="1"/>
  <c r="A337" i="23"/>
  <c r="K336" i="23"/>
  <c r="AB336" i="23"/>
  <c r="X336" i="23"/>
  <c r="K337" i="23"/>
  <c r="X337" i="23"/>
  <c r="A338" i="23"/>
  <c r="AB337" i="23"/>
  <c r="D338" i="1"/>
  <c r="K338" i="25"/>
  <c r="A339" i="25"/>
  <c r="AB338" i="25"/>
  <c r="X338" i="25"/>
  <c r="X338" i="15"/>
  <c r="AB338" i="15"/>
  <c r="K338" i="15"/>
  <c r="A339" i="15"/>
  <c r="K336" i="18"/>
  <c r="X336" i="18"/>
  <c r="AB336" i="18"/>
  <c r="A337" i="18"/>
  <c r="X338" i="22"/>
  <c r="AB338" i="22"/>
  <c r="K338" i="22"/>
  <c r="A339" i="22"/>
  <c r="AK339" i="1"/>
  <c r="X339" i="1"/>
  <c r="AJ339" i="1"/>
  <c r="K339" i="1"/>
  <c r="AB339" i="1"/>
  <c r="A340" i="24"/>
  <c r="AB339" i="24"/>
  <c r="X339" i="24"/>
  <c r="K339" i="24"/>
  <c r="AB339" i="16"/>
  <c r="L339" i="16"/>
  <c r="K339" i="16"/>
  <c r="X339" i="16"/>
  <c r="A340" i="16"/>
  <c r="A342" i="17"/>
  <c r="K341" i="17"/>
  <c r="X341" i="17"/>
  <c r="AB341" i="17"/>
  <c r="A341" i="20"/>
  <c r="X340" i="20"/>
  <c r="AB340" i="20"/>
  <c r="K340" i="20"/>
  <c r="K341" i="20"/>
  <c r="X341" i="20"/>
  <c r="A342" i="20"/>
  <c r="AB341" i="20"/>
  <c r="K342" i="17"/>
  <c r="X342" i="17"/>
  <c r="A343" i="17"/>
  <c r="AB342" i="17"/>
  <c r="D339" i="16"/>
  <c r="K340" i="24"/>
  <c r="AB340" i="24"/>
  <c r="A341" i="24"/>
  <c r="X340" i="24"/>
  <c r="AJ340" i="1"/>
  <c r="X340" i="1"/>
  <c r="AK340" i="1"/>
  <c r="AB340" i="1"/>
  <c r="K340" i="1"/>
  <c r="AB339" i="22"/>
  <c r="K339" i="22"/>
  <c r="X339" i="22"/>
  <c r="A340" i="22"/>
  <c r="A338" i="18"/>
  <c r="AB337" i="18"/>
  <c r="K337" i="18"/>
  <c r="X337" i="18"/>
  <c r="AB339" i="25"/>
  <c r="X339" i="25"/>
  <c r="K339" i="25"/>
  <c r="A340" i="25"/>
  <c r="AB340" i="16"/>
  <c r="A341" i="16"/>
  <c r="L340" i="16"/>
  <c r="X340" i="16"/>
  <c r="K340" i="16"/>
  <c r="AB339" i="15"/>
  <c r="A340" i="15"/>
  <c r="K339" i="15"/>
  <c r="X339" i="15"/>
  <c r="X338" i="23"/>
  <c r="K338" i="23"/>
  <c r="AB338" i="23"/>
  <c r="A339" i="23"/>
  <c r="A340" i="23"/>
  <c r="AB339" i="23"/>
  <c r="X339" i="23"/>
  <c r="K339" i="23"/>
  <c r="A342" i="16"/>
  <c r="AB341" i="16"/>
  <c r="L341" i="16"/>
  <c r="D341" i="16" s="1"/>
  <c r="K341" i="16"/>
  <c r="X341" i="16"/>
  <c r="AB340" i="22"/>
  <c r="K340" i="22"/>
  <c r="A341" i="22"/>
  <c r="X340" i="22"/>
  <c r="AK341" i="1"/>
  <c r="AB341" i="1"/>
  <c r="K341" i="1"/>
  <c r="AJ341" i="1"/>
  <c r="X341" i="1"/>
  <c r="X343" i="17"/>
  <c r="AB343" i="17"/>
  <c r="K343" i="17"/>
  <c r="L343" i="17"/>
  <c r="D343" i="17" s="1"/>
  <c r="A344" i="17"/>
  <c r="K342" i="20"/>
  <c r="A343" i="20"/>
  <c r="X342" i="20"/>
  <c r="AB342" i="20"/>
  <c r="A341" i="15"/>
  <c r="X340" i="15"/>
  <c r="K340" i="15"/>
  <c r="AB340" i="15"/>
  <c r="D340" i="16"/>
  <c r="X340" i="25"/>
  <c r="AB340" i="25"/>
  <c r="K340" i="25"/>
  <c r="A341" i="25"/>
  <c r="K338" i="18"/>
  <c r="X338" i="18"/>
  <c r="A339" i="18"/>
  <c r="AB338" i="18"/>
  <c r="A342" i="24"/>
  <c r="K341" i="24"/>
  <c r="AB341" i="24"/>
  <c r="X341" i="24"/>
  <c r="A343" i="24"/>
  <c r="X342" i="24"/>
  <c r="AB342" i="24"/>
  <c r="K342" i="24"/>
  <c r="K341" i="25"/>
  <c r="X341" i="25"/>
  <c r="AB341" i="25"/>
  <c r="A342" i="25"/>
  <c r="A345" i="17"/>
  <c r="K344" i="17"/>
  <c r="AB344" i="17"/>
  <c r="X344" i="17"/>
  <c r="K342" i="16"/>
  <c r="L342" i="16"/>
  <c r="D342" i="16" s="1"/>
  <c r="X342" i="16"/>
  <c r="AB342" i="16"/>
  <c r="A343" i="16"/>
  <c r="K340" i="23"/>
  <c r="AB340" i="23"/>
  <c r="A341" i="23"/>
  <c r="X340" i="23"/>
  <c r="AB339" i="18"/>
  <c r="A340" i="18"/>
  <c r="K339" i="18"/>
  <c r="X339" i="18"/>
  <c r="A342" i="15"/>
  <c r="AB341" i="15"/>
  <c r="K341" i="15"/>
  <c r="X341" i="15"/>
  <c r="X343" i="20"/>
  <c r="A344" i="20"/>
  <c r="K343" i="20"/>
  <c r="AB343" i="20"/>
  <c r="AJ342" i="1"/>
  <c r="L342" i="1"/>
  <c r="D342" i="1" s="1"/>
  <c r="K342" i="1"/>
  <c r="X342" i="1"/>
  <c r="AB342" i="1"/>
  <c r="AK342" i="1"/>
  <c r="K341" i="22"/>
  <c r="X341" i="22"/>
  <c r="A342" i="22"/>
  <c r="AB341" i="22"/>
  <c r="K344" i="20"/>
  <c r="X344" i="20"/>
  <c r="A345" i="20"/>
  <c r="AB344" i="20"/>
  <c r="A343" i="15"/>
  <c r="AB342" i="15"/>
  <c r="X342" i="15"/>
  <c r="K342" i="15"/>
  <c r="K340" i="18"/>
  <c r="A341" i="18"/>
  <c r="AB340" i="18"/>
  <c r="X340" i="18"/>
  <c r="A346" i="17"/>
  <c r="X345" i="17"/>
  <c r="K345" i="17"/>
  <c r="AB345" i="17"/>
  <c r="AB342" i="25"/>
  <c r="X342" i="25"/>
  <c r="A343" i="25"/>
  <c r="K342" i="25"/>
  <c r="X342" i="22"/>
  <c r="AB342" i="22"/>
  <c r="K342" i="22"/>
  <c r="A343" i="22"/>
  <c r="AJ343" i="1"/>
  <c r="X343" i="1"/>
  <c r="AB343" i="1"/>
  <c r="AK343" i="1"/>
  <c r="K343" i="1"/>
  <c r="AB341" i="23"/>
  <c r="A342" i="23"/>
  <c r="X341" i="23"/>
  <c r="K341" i="23"/>
  <c r="X343" i="16"/>
  <c r="K343" i="16"/>
  <c r="A344" i="16"/>
  <c r="AB343" i="16"/>
  <c r="L343" i="16"/>
  <c r="D343" i="16" s="1"/>
  <c r="X343" i="24"/>
  <c r="K343" i="24"/>
  <c r="A344" i="24"/>
  <c r="AB343" i="24"/>
  <c r="AB344" i="24"/>
  <c r="X344" i="24"/>
  <c r="A345" i="24"/>
  <c r="K344" i="24"/>
  <c r="AJ344" i="1"/>
  <c r="X344" i="1"/>
  <c r="AK344" i="1"/>
  <c r="AB344" i="1"/>
  <c r="K344" i="1"/>
  <c r="A344" i="25"/>
  <c r="K343" i="25"/>
  <c r="X343" i="25"/>
  <c r="AB343" i="25"/>
  <c r="K341" i="18"/>
  <c r="A342" i="18"/>
  <c r="X341" i="18"/>
  <c r="AB341" i="18"/>
  <c r="X344" i="16"/>
  <c r="K344" i="16"/>
  <c r="L344" i="16"/>
  <c r="D344" i="16" s="1"/>
  <c r="AB344" i="16"/>
  <c r="A345" i="16"/>
  <c r="AB342" i="23"/>
  <c r="K342" i="23"/>
  <c r="A343" i="23"/>
  <c r="X342" i="23"/>
  <c r="K343" i="22"/>
  <c r="X343" i="22"/>
  <c r="AB343" i="22"/>
  <c r="A344" i="22"/>
  <c r="K346" i="17"/>
  <c r="X346" i="17"/>
  <c r="AB346" i="17"/>
  <c r="A347" i="17"/>
  <c r="X343" i="15"/>
  <c r="A344" i="15"/>
  <c r="AB343" i="15"/>
  <c r="K343" i="15"/>
  <c r="L343" i="15"/>
  <c r="D343" i="15" s="1"/>
  <c r="A346" i="20"/>
  <c r="AB345" i="20"/>
  <c r="K345" i="20"/>
  <c r="X345" i="20"/>
  <c r="X346" i="20"/>
  <c r="AB346" i="20"/>
  <c r="A347" i="20"/>
  <c r="K346" i="20"/>
  <c r="A345" i="15"/>
  <c r="L344" i="15"/>
  <c r="D344" i="15" s="1"/>
  <c r="K344" i="15"/>
  <c r="X344" i="15"/>
  <c r="AB344" i="15"/>
  <c r="L347" i="17"/>
  <c r="D347" i="17" s="1"/>
  <c r="X347" i="17"/>
  <c r="AB347" i="17"/>
  <c r="K347" i="17"/>
  <c r="A348" i="17"/>
  <c r="K344" i="22"/>
  <c r="AB344" i="22"/>
  <c r="A345" i="22"/>
  <c r="X344" i="22"/>
  <c r="X343" i="23"/>
  <c r="K343" i="23"/>
  <c r="A344" i="23"/>
  <c r="AB343" i="23"/>
  <c r="K345" i="16"/>
  <c r="A346" i="16"/>
  <c r="AB345" i="16"/>
  <c r="X345" i="16"/>
  <c r="L345" i="16"/>
  <c r="D345" i="16" s="1"/>
  <c r="X342" i="18"/>
  <c r="K342" i="18"/>
  <c r="L342" i="18"/>
  <c r="AB342" i="18"/>
  <c r="A343" i="18"/>
  <c r="X344" i="25"/>
  <c r="K344" i="25"/>
  <c r="A345" i="25"/>
  <c r="AB344" i="25"/>
  <c r="AK345" i="1"/>
  <c r="X345" i="1"/>
  <c r="AB345" i="1"/>
  <c r="L345" i="1"/>
  <c r="D345" i="1" s="1"/>
  <c r="AJ345" i="1"/>
  <c r="K345" i="1"/>
  <c r="A346" i="24"/>
  <c r="AB345" i="24"/>
  <c r="K345" i="24"/>
  <c r="X345" i="24"/>
  <c r="A347" i="24"/>
  <c r="AB346" i="24"/>
  <c r="X346" i="24"/>
  <c r="K346" i="24"/>
  <c r="K343" i="18"/>
  <c r="AB343" i="18"/>
  <c r="A344" i="18"/>
  <c r="X343" i="18"/>
  <c r="X346" i="16"/>
  <c r="L346" i="16"/>
  <c r="D346" i="16" s="1"/>
  <c r="A347" i="16"/>
  <c r="AB346" i="16"/>
  <c r="K346" i="16"/>
  <c r="K348" i="17"/>
  <c r="A349" i="17"/>
  <c r="X348" i="17"/>
  <c r="AB348" i="17"/>
  <c r="AB345" i="15"/>
  <c r="X345" i="15"/>
  <c r="K345" i="15"/>
  <c r="A346" i="15"/>
  <c r="L345" i="15"/>
  <c r="D345" i="15" s="1"/>
  <c r="A348" i="20"/>
  <c r="K347" i="20"/>
  <c r="X347" i="20"/>
  <c r="AB347" i="20"/>
  <c r="AK346" i="1"/>
  <c r="X346" i="1"/>
  <c r="AB346" i="1"/>
  <c r="L346" i="1"/>
  <c r="D346" i="1" s="1"/>
  <c r="AJ346" i="1"/>
  <c r="K346" i="1"/>
  <c r="K345" i="25"/>
  <c r="X345" i="25"/>
  <c r="A346" i="25"/>
  <c r="AB345" i="25"/>
  <c r="A345" i="23"/>
  <c r="X344" i="23"/>
  <c r="K344" i="23"/>
  <c r="AB344" i="23"/>
  <c r="AB345" i="22"/>
  <c r="X345" i="22"/>
  <c r="K345" i="22"/>
  <c r="A346" i="22"/>
  <c r="K345" i="23"/>
  <c r="A346" i="23"/>
  <c r="X345" i="23"/>
  <c r="AB345" i="23"/>
  <c r="AB346" i="25"/>
  <c r="A347" i="25"/>
  <c r="X346" i="25"/>
  <c r="K346" i="25"/>
  <c r="AK347" i="1"/>
  <c r="AB347" i="1"/>
  <c r="X347" i="1"/>
  <c r="Q347" i="1"/>
  <c r="AJ347" i="1"/>
  <c r="K347" i="1"/>
  <c r="AB348" i="20"/>
  <c r="K348" i="20"/>
  <c r="X348" i="20"/>
  <c r="A349" i="20"/>
  <c r="K346" i="15"/>
  <c r="A347" i="15"/>
  <c r="AB346" i="15"/>
  <c r="X346" i="15"/>
  <c r="A347" i="22"/>
  <c r="AB346" i="22"/>
  <c r="X346" i="22"/>
  <c r="K346" i="22"/>
  <c r="A350" i="17"/>
  <c r="K349" i="17"/>
  <c r="X349" i="17"/>
  <c r="AB349" i="17"/>
  <c r="K347" i="16"/>
  <c r="A348" i="16"/>
  <c r="AB347" i="16"/>
  <c r="L347" i="16"/>
  <c r="D347" i="16" s="1"/>
  <c r="X347" i="16"/>
  <c r="X344" i="18"/>
  <c r="A345" i="18"/>
  <c r="AB344" i="18"/>
  <c r="K344" i="18"/>
  <c r="AB347" i="24"/>
  <c r="K347" i="24"/>
  <c r="X347" i="24"/>
  <c r="A348" i="24"/>
  <c r="X345" i="18"/>
  <c r="AB345" i="18"/>
  <c r="A346" i="18"/>
  <c r="K345" i="18"/>
  <c r="AB348" i="24"/>
  <c r="X348" i="24"/>
  <c r="A349" i="24"/>
  <c r="K348" i="24"/>
  <c r="A349" i="16"/>
  <c r="X348" i="16"/>
  <c r="L348" i="16"/>
  <c r="AB348" i="16"/>
  <c r="K348" i="16"/>
  <c r="A348" i="22"/>
  <c r="AB347" i="22"/>
  <c r="X347" i="22"/>
  <c r="K347" i="22"/>
  <c r="AB347" i="15"/>
  <c r="A348" i="15"/>
  <c r="K347" i="15"/>
  <c r="X347" i="15"/>
  <c r="A350" i="20"/>
  <c r="K349" i="20"/>
  <c r="X349" i="20"/>
  <c r="AB349" i="20"/>
  <c r="AJ348" i="1"/>
  <c r="X348" i="1"/>
  <c r="AB348" i="1"/>
  <c r="AK348" i="1"/>
  <c r="L348" i="1"/>
  <c r="D348" i="1" s="1"/>
  <c r="K348" i="1"/>
  <c r="K346" i="23"/>
  <c r="A347" i="23"/>
  <c r="AB346" i="23"/>
  <c r="X346" i="23"/>
  <c r="X350" i="17"/>
  <c r="AB350" i="17"/>
  <c r="A351" i="17"/>
  <c r="K350" i="17"/>
  <c r="A348" i="25"/>
  <c r="K347" i="25"/>
  <c r="AB347" i="25"/>
  <c r="X347" i="25"/>
  <c r="X351" i="17"/>
  <c r="K351" i="17"/>
  <c r="A352" i="17"/>
  <c r="AB351" i="17"/>
  <c r="AK349" i="1"/>
  <c r="X349" i="1"/>
  <c r="AB349" i="1"/>
  <c r="K349" i="1"/>
  <c r="AJ349" i="1"/>
  <c r="A351" i="20"/>
  <c r="X350" i="20"/>
  <c r="AB350" i="20"/>
  <c r="K350" i="20"/>
  <c r="X348" i="15"/>
  <c r="K348" i="15"/>
  <c r="AB348" i="15"/>
  <c r="A349" i="15"/>
  <c r="AB348" i="22"/>
  <c r="K348" i="22"/>
  <c r="A349" i="22"/>
  <c r="X348" i="22"/>
  <c r="X346" i="18"/>
  <c r="A347" i="18"/>
  <c r="AB346" i="18"/>
  <c r="K346" i="18"/>
  <c r="K348" i="25"/>
  <c r="A349" i="25"/>
  <c r="X348" i="25"/>
  <c r="AB348" i="25"/>
  <c r="A348" i="23"/>
  <c r="K347" i="23"/>
  <c r="AB347" i="23"/>
  <c r="X347" i="23"/>
  <c r="D348" i="16"/>
  <c r="A350" i="16"/>
  <c r="L349" i="16"/>
  <c r="D349" i="16" s="1"/>
  <c r="AB349" i="16"/>
  <c r="K349" i="16"/>
  <c r="X349" i="16"/>
  <c r="K349" i="24"/>
  <c r="X349" i="24"/>
  <c r="A350" i="24"/>
  <c r="AB349" i="24"/>
  <c r="K350" i="24"/>
  <c r="X350" i="24"/>
  <c r="A351" i="24"/>
  <c r="AB350" i="24"/>
  <c r="K350" i="16"/>
  <c r="X350" i="16"/>
  <c r="A351" i="16"/>
  <c r="AB350" i="16"/>
  <c r="L350" i="16"/>
  <c r="D350" i="16" s="1"/>
  <c r="AB349" i="22"/>
  <c r="A350" i="22"/>
  <c r="K349" i="22"/>
  <c r="X349" i="22"/>
  <c r="A350" i="15"/>
  <c r="K349" i="15"/>
  <c r="AB349" i="15"/>
  <c r="X349" i="15"/>
  <c r="K348" i="23"/>
  <c r="AB348" i="23"/>
  <c r="X348" i="23"/>
  <c r="A349" i="23"/>
  <c r="K349" i="25"/>
  <c r="X349" i="25"/>
  <c r="A350" i="25"/>
  <c r="AB349" i="25"/>
  <c r="L347" i="18"/>
  <c r="AB347" i="18"/>
  <c r="A348" i="18"/>
  <c r="K347" i="18"/>
  <c r="X347" i="18"/>
  <c r="AB351" i="20"/>
  <c r="A352" i="20"/>
  <c r="K351" i="20"/>
  <c r="X351" i="20"/>
  <c r="AK350" i="1"/>
  <c r="X350" i="1"/>
  <c r="AB350" i="1"/>
  <c r="AJ350" i="1"/>
  <c r="K350" i="1"/>
  <c r="A353" i="17"/>
  <c r="X352" i="17"/>
  <c r="K352" i="17"/>
  <c r="AB352" i="17"/>
  <c r="A354" i="17"/>
  <c r="K353" i="17"/>
  <c r="AB353" i="17"/>
  <c r="X353" i="17"/>
  <c r="AJ351" i="1"/>
  <c r="K351" i="1"/>
  <c r="AB351" i="1"/>
  <c r="L351" i="1"/>
  <c r="D351" i="1" s="1"/>
  <c r="AK351" i="1"/>
  <c r="X351" i="1"/>
  <c r="A353" i="20"/>
  <c r="AB352" i="20"/>
  <c r="X352" i="20"/>
  <c r="K352" i="20"/>
  <c r="L348" i="18"/>
  <c r="K348" i="18"/>
  <c r="X348" i="18"/>
  <c r="AB348" i="18"/>
  <c r="A349" i="18"/>
  <c r="A350" i="23"/>
  <c r="AB349" i="23"/>
  <c r="X349" i="23"/>
  <c r="K349" i="23"/>
  <c r="K350" i="15"/>
  <c r="AB350" i="15"/>
  <c r="L350" i="15"/>
  <c r="X350" i="15"/>
  <c r="A351" i="15"/>
  <c r="K351" i="16"/>
  <c r="L351" i="16"/>
  <c r="D351" i="16" s="1"/>
  <c r="AB351" i="16"/>
  <c r="X351" i="16"/>
  <c r="A352" i="16"/>
  <c r="AB350" i="25"/>
  <c r="A351" i="25"/>
  <c r="X350" i="25"/>
  <c r="K350" i="25"/>
  <c r="AB350" i="22"/>
  <c r="K350" i="22"/>
  <c r="A351" i="22"/>
  <c r="X350" i="22"/>
  <c r="AB351" i="24"/>
  <c r="A352" i="24"/>
  <c r="X351" i="24"/>
  <c r="K351" i="24"/>
  <c r="A353" i="24"/>
  <c r="AB352" i="24"/>
  <c r="K352" i="24"/>
  <c r="X352" i="24"/>
  <c r="A352" i="22"/>
  <c r="K351" i="22"/>
  <c r="X351" i="22"/>
  <c r="AB351" i="22"/>
  <c r="X351" i="25"/>
  <c r="AB351" i="25"/>
  <c r="A352" i="25"/>
  <c r="K351" i="25"/>
  <c r="D350" i="15"/>
  <c r="AJ352" i="1"/>
  <c r="X352" i="1"/>
  <c r="AK352" i="1"/>
  <c r="AB352" i="1"/>
  <c r="K352" i="1"/>
  <c r="K352" i="16"/>
  <c r="X352" i="16"/>
  <c r="L352" i="16"/>
  <c r="D352" i="16" s="1"/>
  <c r="A353" i="16"/>
  <c r="AB352" i="16"/>
  <c r="K351" i="15"/>
  <c r="A352" i="15"/>
  <c r="AB351" i="15"/>
  <c r="X351" i="15"/>
  <c r="A351" i="23"/>
  <c r="AB350" i="23"/>
  <c r="K350" i="23"/>
  <c r="X350" i="23"/>
  <c r="A350" i="18"/>
  <c r="AB349" i="18"/>
  <c r="K349" i="18"/>
  <c r="X349" i="18"/>
  <c r="X353" i="20"/>
  <c r="AB353" i="20"/>
  <c r="K353" i="20"/>
  <c r="A354" i="20"/>
  <c r="A355" i="17"/>
  <c r="K354" i="17"/>
  <c r="AB354" i="17"/>
  <c r="X354" i="17"/>
  <c r="A355" i="20"/>
  <c r="X354" i="20"/>
  <c r="AB354" i="20"/>
  <c r="K354" i="20"/>
  <c r="K351" i="23"/>
  <c r="X351" i="23"/>
  <c r="A352" i="23"/>
  <c r="AB351" i="23"/>
  <c r="A354" i="16"/>
  <c r="AB353" i="16"/>
  <c r="L353" i="16"/>
  <c r="D353" i="16" s="1"/>
  <c r="K353" i="16"/>
  <c r="X353" i="16"/>
  <c r="AJ353" i="1"/>
  <c r="AB353" i="1"/>
  <c r="AK353" i="1"/>
  <c r="K353" i="1"/>
  <c r="X353" i="1"/>
  <c r="K352" i="25"/>
  <c r="A353" i="25"/>
  <c r="AB352" i="25"/>
  <c r="X352" i="25"/>
  <c r="K352" i="22"/>
  <c r="A353" i="22"/>
  <c r="X352" i="22"/>
  <c r="AB352" i="22"/>
  <c r="A356" i="17"/>
  <c r="X355" i="17"/>
  <c r="K355" i="17"/>
  <c r="AB355" i="17"/>
  <c r="A351" i="18"/>
  <c r="X350" i="18"/>
  <c r="L350" i="18"/>
  <c r="AB350" i="18"/>
  <c r="K350" i="18"/>
  <c r="A353" i="15"/>
  <c r="K352" i="15"/>
  <c r="AB352" i="15"/>
  <c r="L352" i="15"/>
  <c r="D352" i="15" s="1"/>
  <c r="X352" i="15"/>
  <c r="K353" i="24"/>
  <c r="AB353" i="24"/>
  <c r="A354" i="24"/>
  <c r="X353" i="24"/>
  <c r="K353" i="15"/>
  <c r="A354" i="15"/>
  <c r="X353" i="15"/>
  <c r="AB353" i="15"/>
  <c r="X356" i="17"/>
  <c r="K356" i="17"/>
  <c r="A357" i="17"/>
  <c r="AB356" i="17"/>
  <c r="X353" i="22"/>
  <c r="K353" i="22"/>
  <c r="A354" i="22"/>
  <c r="AB353" i="22"/>
  <c r="AB354" i="16"/>
  <c r="X354" i="16"/>
  <c r="A355" i="16"/>
  <c r="K354" i="16"/>
  <c r="L354" i="16"/>
  <c r="X355" i="20"/>
  <c r="K355" i="20"/>
  <c r="AB355" i="20"/>
  <c r="A356" i="20"/>
  <c r="K354" i="24"/>
  <c r="AB354" i="24"/>
  <c r="A355" i="24"/>
  <c r="X354" i="24"/>
  <c r="K351" i="18"/>
  <c r="X351" i="18"/>
  <c r="A352" i="18"/>
  <c r="AB351" i="18"/>
  <c r="K353" i="25"/>
  <c r="AB353" i="25"/>
  <c r="A354" i="25"/>
  <c r="X353" i="25"/>
  <c r="AJ354" i="1"/>
  <c r="X354" i="1"/>
  <c r="K354" i="1"/>
  <c r="AB354" i="1"/>
  <c r="AK354" i="1"/>
  <c r="A353" i="23"/>
  <c r="K352" i="23"/>
  <c r="AB352" i="23"/>
  <c r="X352" i="23"/>
  <c r="AB354" i="25"/>
  <c r="K354" i="25"/>
  <c r="A355" i="25"/>
  <c r="X354" i="25"/>
  <c r="AB355" i="24"/>
  <c r="A356" i="24"/>
  <c r="X355" i="24"/>
  <c r="K355" i="24"/>
  <c r="A357" i="20"/>
  <c r="X356" i="20"/>
  <c r="K356" i="20"/>
  <c r="AB356" i="20"/>
  <c r="AB354" i="15"/>
  <c r="X354" i="15"/>
  <c r="A355" i="15"/>
  <c r="K354" i="15"/>
  <c r="A354" i="23"/>
  <c r="AB353" i="23"/>
  <c r="X353" i="23"/>
  <c r="K353" i="23"/>
  <c r="AK355" i="1"/>
  <c r="X355" i="1"/>
  <c r="K355" i="1"/>
  <c r="AB355" i="1"/>
  <c r="Q355" i="1"/>
  <c r="AJ355" i="1"/>
  <c r="A353" i="18"/>
  <c r="X352" i="18"/>
  <c r="K352" i="18"/>
  <c r="AB352" i="18"/>
  <c r="D354" i="16"/>
  <c r="K355" i="16"/>
  <c r="A356" i="16"/>
  <c r="X355" i="16"/>
  <c r="AB355" i="16"/>
  <c r="L355" i="16"/>
  <c r="D355" i="16" s="1"/>
  <c r="A355" i="22"/>
  <c r="AB354" i="22"/>
  <c r="X354" i="22"/>
  <c r="K354" i="22"/>
  <c r="K357" i="17"/>
  <c r="AB357" i="17"/>
  <c r="L357" i="17"/>
  <c r="D357" i="17" s="1"/>
  <c r="X357" i="17"/>
  <c r="A358" i="17"/>
  <c r="X355" i="15"/>
  <c r="K355" i="15"/>
  <c r="AB355" i="15"/>
  <c r="A356" i="15"/>
  <c r="X357" i="20"/>
  <c r="AB357" i="20"/>
  <c r="K357" i="20"/>
  <c r="A358" i="20"/>
  <c r="AB356" i="24"/>
  <c r="A357" i="24"/>
  <c r="X356" i="24"/>
  <c r="K356" i="24"/>
  <c r="L358" i="17"/>
  <c r="D358" i="17" s="1"/>
  <c r="K358" i="17"/>
  <c r="X358" i="17"/>
  <c r="A359" i="17"/>
  <c r="AB358" i="17"/>
  <c r="K355" i="22"/>
  <c r="AB355" i="22"/>
  <c r="A356" i="22"/>
  <c r="X355" i="22"/>
  <c r="X356" i="16"/>
  <c r="A357" i="16"/>
  <c r="L356" i="16"/>
  <c r="D356" i="16" s="1"/>
  <c r="AB356" i="16"/>
  <c r="K356" i="16"/>
  <c r="X353" i="18"/>
  <c r="L353" i="18"/>
  <c r="K353" i="18"/>
  <c r="A354" i="18"/>
  <c r="AB353" i="18"/>
  <c r="AJ356" i="1"/>
  <c r="K356" i="1"/>
  <c r="AB356" i="1"/>
  <c r="X356" i="1"/>
  <c r="AK356" i="1"/>
  <c r="K354" i="23"/>
  <c r="AB354" i="23"/>
  <c r="A355" i="23"/>
  <c r="X354" i="23"/>
  <c r="K355" i="25"/>
  <c r="X355" i="25"/>
  <c r="AB355" i="25"/>
  <c r="A356" i="25"/>
  <c r="X356" i="25"/>
  <c r="A357" i="25"/>
  <c r="AB356" i="25"/>
  <c r="K356" i="25"/>
  <c r="A356" i="23"/>
  <c r="X355" i="23"/>
  <c r="AB355" i="23"/>
  <c r="K355" i="23"/>
  <c r="AJ357" i="1"/>
  <c r="X357" i="1"/>
  <c r="AB357" i="1"/>
  <c r="AK357" i="1"/>
  <c r="K357" i="1"/>
  <c r="AB354" i="18"/>
  <c r="A355" i="18"/>
  <c r="K354" i="18"/>
  <c r="X354" i="18"/>
  <c r="K357" i="16"/>
  <c r="X357" i="16"/>
  <c r="L357" i="16"/>
  <c r="D357" i="16" s="1"/>
  <c r="A358" i="16"/>
  <c r="AB357" i="16"/>
  <c r="A357" i="22"/>
  <c r="K356" i="22"/>
  <c r="AB356" i="22"/>
  <c r="X356" i="22"/>
  <c r="A360" i="17"/>
  <c r="AB359" i="17"/>
  <c r="K359" i="17"/>
  <c r="X359" i="17"/>
  <c r="X357" i="24"/>
  <c r="K357" i="24"/>
  <c r="A358" i="24"/>
  <c r="AB357" i="24"/>
  <c r="A359" i="20"/>
  <c r="X358" i="20"/>
  <c r="AB358" i="20"/>
  <c r="K358" i="20"/>
  <c r="K356" i="15"/>
  <c r="A357" i="15"/>
  <c r="L356" i="15"/>
  <c r="D356" i="15" s="1"/>
  <c r="AB356" i="15"/>
  <c r="X356" i="15"/>
  <c r="X358" i="24"/>
  <c r="K358" i="24"/>
  <c r="AB358" i="24"/>
  <c r="A359" i="24"/>
  <c r="AB360" i="17"/>
  <c r="K360" i="17"/>
  <c r="X360" i="17"/>
  <c r="A361" i="17"/>
  <c r="A359" i="16"/>
  <c r="X358" i="16"/>
  <c r="K358" i="16"/>
  <c r="AB358" i="16"/>
  <c r="L358" i="16"/>
  <c r="D358" i="16" s="1"/>
  <c r="AJ358" i="1"/>
  <c r="AB358" i="1"/>
  <c r="AK358" i="1"/>
  <c r="X358" i="1"/>
  <c r="K358" i="1"/>
  <c r="X356" i="23"/>
  <c r="A357" i="23"/>
  <c r="AB356" i="23"/>
  <c r="K356" i="23"/>
  <c r="K357" i="25"/>
  <c r="A358" i="25"/>
  <c r="X357" i="25"/>
  <c r="AB357" i="25"/>
  <c r="A358" i="15"/>
  <c r="AB357" i="15"/>
  <c r="K357" i="15"/>
  <c r="L357" i="15"/>
  <c r="X357" i="15"/>
  <c r="A360" i="20"/>
  <c r="X359" i="20"/>
  <c r="K359" i="20"/>
  <c r="AB359" i="20"/>
  <c r="X357" i="22"/>
  <c r="K357" i="22"/>
  <c r="A358" i="22"/>
  <c r="AB357" i="22"/>
  <c r="L355" i="18"/>
  <c r="AB355" i="18"/>
  <c r="X355" i="18"/>
  <c r="A356" i="18"/>
  <c r="K355" i="18"/>
  <c r="AB356" i="18"/>
  <c r="X356" i="18"/>
  <c r="K356" i="18"/>
  <c r="L356" i="18"/>
  <c r="A357" i="18"/>
  <c r="A359" i="22"/>
  <c r="X358" i="22"/>
  <c r="AB358" i="22"/>
  <c r="K358" i="22"/>
  <c r="X360" i="20"/>
  <c r="K360" i="20"/>
  <c r="A361" i="20"/>
  <c r="AB360" i="20"/>
  <c r="D357" i="15"/>
  <c r="AB357" i="23"/>
  <c r="X357" i="23"/>
  <c r="A358" i="23"/>
  <c r="K357" i="23"/>
  <c r="AJ359" i="1"/>
  <c r="AB359" i="1"/>
  <c r="AK359" i="1"/>
  <c r="K359" i="1"/>
  <c r="X359" i="1"/>
  <c r="K358" i="15"/>
  <c r="AB358" i="15"/>
  <c r="X358" i="15"/>
  <c r="A359" i="15"/>
  <c r="A359" i="25"/>
  <c r="AB358" i="25"/>
  <c r="K358" i="25"/>
  <c r="X358" i="25"/>
  <c r="A360" i="16"/>
  <c r="X359" i="16"/>
  <c r="L359" i="16"/>
  <c r="D359" i="16" s="1"/>
  <c r="K359" i="16"/>
  <c r="AB359" i="16"/>
  <c r="AB361" i="17"/>
  <c r="X361" i="17"/>
  <c r="A362" i="17"/>
  <c r="K361" i="17"/>
  <c r="AB359" i="24"/>
  <c r="X359" i="24"/>
  <c r="K359" i="24"/>
  <c r="A360" i="24"/>
  <c r="A363" i="17"/>
  <c r="L362" i="17"/>
  <c r="D362" i="17" s="1"/>
  <c r="AB362" i="17"/>
  <c r="K362" i="17"/>
  <c r="X362" i="17"/>
  <c r="X360" i="24"/>
  <c r="A361" i="24"/>
  <c r="AB360" i="24"/>
  <c r="K360" i="24"/>
  <c r="X360" i="16"/>
  <c r="L360" i="16"/>
  <c r="A361" i="16"/>
  <c r="K360" i="16"/>
  <c r="AB360" i="16"/>
  <c r="K359" i="25"/>
  <c r="AB359" i="25"/>
  <c r="A360" i="25"/>
  <c r="X359" i="25"/>
  <c r="A360" i="15"/>
  <c r="X359" i="15"/>
  <c r="AB359" i="15"/>
  <c r="K359" i="15"/>
  <c r="AJ360" i="1"/>
  <c r="K360" i="1"/>
  <c r="X360" i="1"/>
  <c r="AK360" i="1"/>
  <c r="AB360" i="1"/>
  <c r="X358" i="23"/>
  <c r="AB358" i="23"/>
  <c r="K358" i="23"/>
  <c r="A359" i="23"/>
  <c r="K361" i="20"/>
  <c r="A362" i="20"/>
  <c r="AB361" i="20"/>
  <c r="X361" i="20"/>
  <c r="AB359" i="22"/>
  <c r="A360" i="22"/>
  <c r="X359" i="22"/>
  <c r="K359" i="22"/>
  <c r="AB357" i="18"/>
  <c r="K357" i="18"/>
  <c r="X357" i="18"/>
  <c r="A358" i="18"/>
  <c r="K358" i="18"/>
  <c r="AB358" i="18"/>
  <c r="A359" i="18"/>
  <c r="X358" i="18"/>
  <c r="A363" i="20"/>
  <c r="AB362" i="20"/>
  <c r="K362" i="20"/>
  <c r="X362" i="20"/>
  <c r="X359" i="23"/>
  <c r="K359" i="23"/>
  <c r="AB359" i="23"/>
  <c r="A360" i="23"/>
  <c r="D360" i="16"/>
  <c r="K361" i="24"/>
  <c r="A362" i="24"/>
  <c r="X361" i="24"/>
  <c r="AB361" i="24"/>
  <c r="A364" i="17"/>
  <c r="K363" i="17"/>
  <c r="AB363" i="17"/>
  <c r="X363" i="17"/>
  <c r="A67" i="7"/>
  <c r="L363" i="17"/>
  <c r="A361" i="22"/>
  <c r="X360" i="22"/>
  <c r="AB360" i="22"/>
  <c r="K360" i="22"/>
  <c r="AK361" i="1"/>
  <c r="K361" i="1"/>
  <c r="AB361" i="1"/>
  <c r="X361" i="1"/>
  <c r="AJ361" i="1"/>
  <c r="A361" i="15"/>
  <c r="K360" i="15"/>
  <c r="AB360" i="15"/>
  <c r="X360" i="15"/>
  <c r="A361" i="25"/>
  <c r="K360" i="25"/>
  <c r="X360" i="25"/>
  <c r="AB360" i="25"/>
  <c r="X361" i="16"/>
  <c r="L361" i="16"/>
  <c r="D361" i="16" s="1"/>
  <c r="AB361" i="16"/>
  <c r="K361" i="16"/>
  <c r="A362" i="16"/>
  <c r="AJ362" i="1"/>
  <c r="AB362" i="1"/>
  <c r="X362" i="1"/>
  <c r="K362" i="1"/>
  <c r="AK362" i="1"/>
  <c r="AB361" i="22"/>
  <c r="K361" i="22"/>
  <c r="X361" i="22"/>
  <c r="A362" i="22"/>
  <c r="X364" i="17"/>
  <c r="K364" i="17"/>
  <c r="A365" i="17"/>
  <c r="AB364" i="17"/>
  <c r="A363" i="24"/>
  <c r="X362" i="24"/>
  <c r="AB362" i="24"/>
  <c r="K362" i="24"/>
  <c r="AE31" i="7"/>
  <c r="A364" i="20"/>
  <c r="X363" i="20"/>
  <c r="AB363" i="20"/>
  <c r="K363" i="20"/>
  <c r="K359" i="18"/>
  <c r="AB359" i="18"/>
  <c r="X359" i="18"/>
  <c r="A360" i="18"/>
  <c r="A363" i="16"/>
  <c r="X362" i="16"/>
  <c r="L362" i="16"/>
  <c r="D362" i="16" s="1"/>
  <c r="AB362" i="16"/>
  <c r="K362" i="16"/>
  <c r="K361" i="25"/>
  <c r="AB361" i="25"/>
  <c r="X361" i="25"/>
  <c r="A362" i="25"/>
  <c r="AB361" i="15"/>
  <c r="A362" i="15"/>
  <c r="L361" i="15"/>
  <c r="D361" i="15" s="1"/>
  <c r="K361" i="15"/>
  <c r="X361" i="15"/>
  <c r="X360" i="23"/>
  <c r="AB360" i="23"/>
  <c r="A361" i="23"/>
  <c r="K360" i="23"/>
  <c r="X361" i="23"/>
  <c r="K361" i="23"/>
  <c r="A362" i="23"/>
  <c r="AB361" i="23"/>
  <c r="A365" i="20"/>
  <c r="AB364" i="20"/>
  <c r="K364" i="20"/>
  <c r="X364" i="20"/>
  <c r="A363" i="22"/>
  <c r="AB362" i="22"/>
  <c r="X362" i="22"/>
  <c r="K362" i="22"/>
  <c r="K362" i="15"/>
  <c r="A363" i="15"/>
  <c r="X362" i="15"/>
  <c r="AB362" i="15"/>
  <c r="X362" i="25"/>
  <c r="A363" i="25"/>
  <c r="AB362" i="25"/>
  <c r="K362" i="25"/>
  <c r="K363" i="16"/>
  <c r="X363" i="16"/>
  <c r="AB363" i="16"/>
  <c r="A55" i="7"/>
  <c r="A364" i="16"/>
  <c r="L363" i="16"/>
  <c r="D363" i="16" s="1"/>
  <c r="AB360" i="18"/>
  <c r="X360" i="18"/>
  <c r="K360" i="18"/>
  <c r="A361" i="18"/>
  <c r="AE67" i="7"/>
  <c r="X363" i="24"/>
  <c r="AB363" i="24"/>
  <c r="A364" i="24"/>
  <c r="K363" i="24"/>
  <c r="AB365" i="17"/>
  <c r="A366" i="17"/>
  <c r="X365" i="17"/>
  <c r="K365" i="17"/>
  <c r="AJ363" i="1"/>
  <c r="AB363" i="1"/>
  <c r="AK363" i="1"/>
  <c r="K363" i="1"/>
  <c r="X363" i="1"/>
  <c r="A31" i="7"/>
  <c r="AB366" i="17"/>
  <c r="X366" i="17"/>
  <c r="K366" i="17"/>
  <c r="L366" i="17"/>
  <c r="D366" i="17" s="1"/>
  <c r="A367" i="17"/>
  <c r="AE79" i="7"/>
  <c r="X363" i="25"/>
  <c r="AB363" i="25"/>
  <c r="A364" i="25"/>
  <c r="K363" i="25"/>
  <c r="A366" i="20"/>
  <c r="X365" i="20"/>
  <c r="AB365" i="20"/>
  <c r="K365" i="20"/>
  <c r="AJ364" i="1"/>
  <c r="K364" i="1"/>
  <c r="AB364" i="1"/>
  <c r="X364" i="1"/>
  <c r="L364" i="1"/>
  <c r="D364" i="1" s="1"/>
  <c r="AK364" i="1"/>
  <c r="A365" i="24"/>
  <c r="AB364" i="24"/>
  <c r="K364" i="24"/>
  <c r="X364" i="24"/>
  <c r="AB361" i="18"/>
  <c r="X361" i="18"/>
  <c r="K361" i="18"/>
  <c r="A362" i="18"/>
  <c r="A365" i="16"/>
  <c r="AB364" i="16"/>
  <c r="L364" i="16"/>
  <c r="D364" i="16" s="1"/>
  <c r="K364" i="16"/>
  <c r="X364" i="16"/>
  <c r="A364" i="15"/>
  <c r="A43" i="7"/>
  <c r="K363" i="15"/>
  <c r="AB363" i="15"/>
  <c r="X363" i="15"/>
  <c r="AB363" i="22"/>
  <c r="K363" i="22"/>
  <c r="A364" i="22"/>
  <c r="AE43" i="7"/>
  <c r="X363" i="22"/>
  <c r="A363" i="23"/>
  <c r="AB362" i="23"/>
  <c r="K362" i="23"/>
  <c r="X362" i="23"/>
  <c r="K364" i="22"/>
  <c r="A365" i="22"/>
  <c r="X364" i="22"/>
  <c r="AB364" i="22"/>
  <c r="K365" i="16"/>
  <c r="X365" i="16"/>
  <c r="A366" i="16"/>
  <c r="L365" i="16"/>
  <c r="D365" i="16" s="1"/>
  <c r="AB365" i="16"/>
  <c r="AB365" i="24"/>
  <c r="K365" i="24"/>
  <c r="X365" i="24"/>
  <c r="A366" i="24"/>
  <c r="AK365" i="1"/>
  <c r="K365" i="1"/>
  <c r="X365" i="1"/>
  <c r="AB365" i="1"/>
  <c r="AJ365" i="1"/>
  <c r="A367" i="20"/>
  <c r="AB366" i="20"/>
  <c r="K366" i="20"/>
  <c r="X366" i="20"/>
  <c r="AB367" i="17"/>
  <c r="A368" i="17"/>
  <c r="X367" i="17"/>
  <c r="K367" i="17"/>
  <c r="K364" i="15"/>
  <c r="X364" i="15"/>
  <c r="AB364" i="15"/>
  <c r="A365" i="15"/>
  <c r="AB363" i="23"/>
  <c r="K363" i="23"/>
  <c r="AE55" i="7"/>
  <c r="A364" i="23"/>
  <c r="X363" i="23"/>
  <c r="A363" i="18"/>
  <c r="K362" i="18"/>
  <c r="X362" i="18"/>
  <c r="AB362" i="18"/>
  <c r="K364" i="25"/>
  <c r="AB364" i="25"/>
  <c r="A365" i="25"/>
  <c r="X364" i="25"/>
  <c r="A366" i="25"/>
  <c r="X365" i="25"/>
  <c r="K365" i="25"/>
  <c r="AB365" i="25"/>
  <c r="K363" i="18"/>
  <c r="A364" i="18"/>
  <c r="X363" i="18"/>
  <c r="AB363" i="18"/>
  <c r="L363" i="18"/>
  <c r="B79" i="7" s="1"/>
  <c r="A79" i="7"/>
  <c r="X368" i="17"/>
  <c r="A369" i="17"/>
  <c r="K368" i="17"/>
  <c r="AB368" i="17"/>
  <c r="K367" i="20"/>
  <c r="AB367" i="20"/>
  <c r="X367" i="20"/>
  <c r="A368" i="20"/>
  <c r="X366" i="24"/>
  <c r="A367" i="24"/>
  <c r="K366" i="24"/>
  <c r="AB366" i="24"/>
  <c r="AB365" i="22"/>
  <c r="K365" i="22"/>
  <c r="X365" i="22"/>
  <c r="A366" i="22"/>
  <c r="K364" i="23"/>
  <c r="A365" i="23"/>
  <c r="X364" i="23"/>
  <c r="AB364" i="23"/>
  <c r="A366" i="15"/>
  <c r="AB365" i="15"/>
  <c r="X365" i="15"/>
  <c r="K365" i="15"/>
  <c r="AK366" i="1"/>
  <c r="X366" i="1"/>
  <c r="AJ366" i="1"/>
  <c r="AB366" i="1"/>
  <c r="K366" i="1"/>
  <c r="A367" i="16"/>
  <c r="K366" i="16"/>
  <c r="AB366" i="16"/>
  <c r="L366" i="16"/>
  <c r="D366" i="16" s="1"/>
  <c r="X366" i="16"/>
  <c r="AB367" i="16"/>
  <c r="L367" i="16"/>
  <c r="D367" i="16" s="1"/>
  <c r="X367" i="16"/>
  <c r="A368" i="16"/>
  <c r="K367" i="16"/>
  <c r="AK367" i="1"/>
  <c r="X367" i="1"/>
  <c r="AB367" i="1"/>
  <c r="AJ367" i="1"/>
  <c r="K367" i="1"/>
  <c r="X365" i="23"/>
  <c r="AB365" i="23"/>
  <c r="A366" i="23"/>
  <c r="K365" i="23"/>
  <c r="X366" i="15"/>
  <c r="AB366" i="15"/>
  <c r="K366" i="15"/>
  <c r="A367" i="15"/>
  <c r="A367" i="22"/>
  <c r="K366" i="22"/>
  <c r="AB366" i="22"/>
  <c r="X366" i="22"/>
  <c r="X367" i="24"/>
  <c r="AB367" i="24"/>
  <c r="A368" i="24"/>
  <c r="K367" i="24"/>
  <c r="AB368" i="20"/>
  <c r="K368" i="20"/>
  <c r="A369" i="20"/>
  <c r="X368" i="20"/>
  <c r="A370" i="17"/>
  <c r="AB369" i="17"/>
  <c r="X369" i="17"/>
  <c r="K369" i="17"/>
  <c r="X364" i="18"/>
  <c r="AB364" i="18"/>
  <c r="A365" i="18"/>
  <c r="K364" i="18"/>
  <c r="K366" i="25"/>
  <c r="X366" i="25"/>
  <c r="A367" i="25"/>
  <c r="AB366" i="25"/>
  <c r="K370" i="17"/>
  <c r="A371" i="17"/>
  <c r="X370" i="17"/>
  <c r="AB370" i="17"/>
  <c r="AB369" i="20"/>
  <c r="K369" i="20"/>
  <c r="X369" i="20"/>
  <c r="A370" i="20"/>
  <c r="AB368" i="24"/>
  <c r="K368" i="24"/>
  <c r="A369" i="24"/>
  <c r="X368" i="24"/>
  <c r="K367" i="15"/>
  <c r="A368" i="15"/>
  <c r="X367" i="15"/>
  <c r="AB367" i="15"/>
  <c r="K366" i="23"/>
  <c r="AB366" i="23"/>
  <c r="A367" i="23"/>
  <c r="X366" i="23"/>
  <c r="A369" i="16"/>
  <c r="L368" i="16"/>
  <c r="D368" i="16" s="1"/>
  <c r="K368" i="16"/>
  <c r="X368" i="16"/>
  <c r="AB368" i="16"/>
  <c r="X367" i="25"/>
  <c r="K367" i="25"/>
  <c r="A368" i="25"/>
  <c r="AB367" i="25"/>
  <c r="X365" i="18"/>
  <c r="A366" i="18"/>
  <c r="AB365" i="18"/>
  <c r="K365" i="18"/>
  <c r="X367" i="22"/>
  <c r="A368" i="22"/>
  <c r="K367" i="22"/>
  <c r="AB367" i="22"/>
  <c r="AK368" i="1"/>
  <c r="K368" i="1"/>
  <c r="X368" i="1"/>
  <c r="AB368" i="1"/>
  <c r="AJ368" i="1"/>
  <c r="AB369" i="16"/>
  <c r="L369" i="16"/>
  <c r="D369" i="16" s="1"/>
  <c r="X369" i="16"/>
  <c r="A370" i="16"/>
  <c r="K369" i="16"/>
  <c r="A370" i="24"/>
  <c r="X369" i="24"/>
  <c r="K369" i="24"/>
  <c r="AB369" i="24"/>
  <c r="X371" i="17"/>
  <c r="A372" i="17"/>
  <c r="AB371" i="17"/>
  <c r="K371" i="17"/>
  <c r="AK369" i="1"/>
  <c r="AB369" i="1"/>
  <c r="X369" i="1"/>
  <c r="AJ369" i="1"/>
  <c r="K369" i="1"/>
  <c r="K368" i="22"/>
  <c r="A369" i="22"/>
  <c r="AB368" i="22"/>
  <c r="X368" i="22"/>
  <c r="K366" i="18"/>
  <c r="AB366" i="18"/>
  <c r="A367" i="18"/>
  <c r="X366" i="18"/>
  <c r="AB368" i="25"/>
  <c r="X368" i="25"/>
  <c r="A369" i="25"/>
  <c r="K368" i="25"/>
  <c r="X367" i="23"/>
  <c r="A368" i="23"/>
  <c r="K367" i="23"/>
  <c r="AB367" i="23"/>
  <c r="AB368" i="15"/>
  <c r="X368" i="15"/>
  <c r="A369" i="15"/>
  <c r="K368" i="15"/>
  <c r="X370" i="20"/>
  <c r="AB370" i="20"/>
  <c r="K370" i="20"/>
  <c r="A371" i="20"/>
  <c r="AB371" i="20"/>
  <c r="X371" i="20"/>
  <c r="A372" i="20"/>
  <c r="K371" i="20"/>
  <c r="K369" i="15"/>
  <c r="X369" i="15"/>
  <c r="AB369" i="15"/>
  <c r="A370" i="15"/>
  <c r="AB368" i="23"/>
  <c r="K368" i="23"/>
  <c r="X368" i="23"/>
  <c r="A369" i="23"/>
  <c r="K369" i="25"/>
  <c r="A370" i="25"/>
  <c r="X369" i="25"/>
  <c r="AB369" i="25"/>
  <c r="AB367" i="18"/>
  <c r="A368" i="18"/>
  <c r="X367" i="18"/>
  <c r="K367" i="18"/>
  <c r="AB369" i="22"/>
  <c r="X369" i="22"/>
  <c r="K369" i="22"/>
  <c r="A370" i="22"/>
  <c r="AJ370" i="1"/>
  <c r="AB370" i="1"/>
  <c r="Q370" i="1"/>
  <c r="X370" i="1"/>
  <c r="K370" i="1"/>
  <c r="AK370" i="1"/>
  <c r="X372" i="17"/>
  <c r="K372" i="17"/>
  <c r="A373" i="17"/>
  <c r="AB372" i="17"/>
  <c r="K370" i="24"/>
  <c r="X370" i="24"/>
  <c r="AB370" i="24"/>
  <c r="A371" i="24"/>
  <c r="A371" i="16"/>
  <c r="K370" i="16"/>
  <c r="L370" i="16"/>
  <c r="D370" i="16" s="1"/>
  <c r="X370" i="16"/>
  <c r="AB370" i="16"/>
  <c r="K371" i="16"/>
  <c r="L371" i="16"/>
  <c r="D371" i="16" s="1"/>
  <c r="X371" i="16"/>
  <c r="AB371" i="16"/>
  <c r="A372" i="16"/>
  <c r="X373" i="17"/>
  <c r="A374" i="17"/>
  <c r="AB373" i="17"/>
  <c r="K373" i="17"/>
  <c r="X370" i="22"/>
  <c r="AB370" i="22"/>
  <c r="K370" i="22"/>
  <c r="A371" i="22"/>
  <c r="X370" i="25"/>
  <c r="AB370" i="25"/>
  <c r="K370" i="25"/>
  <c r="A371" i="25"/>
  <c r="A370" i="23"/>
  <c r="AB369" i="23"/>
  <c r="K369" i="23"/>
  <c r="X369" i="23"/>
  <c r="X370" i="15"/>
  <c r="A371" i="15"/>
  <c r="K370" i="15"/>
  <c r="AB370" i="15"/>
  <c r="A372" i="24"/>
  <c r="X371" i="24"/>
  <c r="K371" i="24"/>
  <c r="AB371" i="24"/>
  <c r="AJ371" i="1"/>
  <c r="X371" i="1"/>
  <c r="K371" i="1"/>
  <c r="AK371" i="1"/>
  <c r="AB371" i="1"/>
  <c r="L371" i="1"/>
  <c r="D371" i="1" s="1"/>
  <c r="A369" i="18"/>
  <c r="AB368" i="18"/>
  <c r="K368" i="18"/>
  <c r="X368" i="18"/>
  <c r="AB372" i="20"/>
  <c r="K372" i="20"/>
  <c r="A373" i="20"/>
  <c r="X372" i="20"/>
  <c r="X373" i="20"/>
  <c r="A374" i="20"/>
  <c r="K373" i="20"/>
  <c r="AB373" i="20"/>
  <c r="K371" i="15"/>
  <c r="A372" i="15"/>
  <c r="X371" i="15"/>
  <c r="AB371" i="15"/>
  <c r="X371" i="25"/>
  <c r="AB371" i="25"/>
  <c r="A372" i="25"/>
  <c r="K371" i="25"/>
  <c r="X371" i="22"/>
  <c r="A372" i="22"/>
  <c r="K371" i="22"/>
  <c r="AB371" i="22"/>
  <c r="A370" i="18"/>
  <c r="K369" i="18"/>
  <c r="AB369" i="18"/>
  <c r="X369" i="18"/>
  <c r="AK372" i="1"/>
  <c r="AB372" i="1"/>
  <c r="X372" i="1"/>
  <c r="K372" i="1"/>
  <c r="Q372" i="1"/>
  <c r="AJ372" i="1"/>
  <c r="AB372" i="24"/>
  <c r="K372" i="24"/>
  <c r="A373" i="24"/>
  <c r="X372" i="24"/>
  <c r="AB370" i="23"/>
  <c r="K370" i="23"/>
  <c r="A371" i="23"/>
  <c r="X370" i="23"/>
  <c r="AB374" i="17"/>
  <c r="A375" i="17"/>
  <c r="K374" i="17"/>
  <c r="X374" i="17"/>
  <c r="AB372" i="16"/>
  <c r="L372" i="16"/>
  <c r="D372" i="16" s="1"/>
  <c r="A373" i="16"/>
  <c r="X372" i="16"/>
  <c r="K372" i="16"/>
  <c r="K373" i="24"/>
  <c r="A374" i="24"/>
  <c r="X373" i="24"/>
  <c r="AB373" i="24"/>
  <c r="A373" i="15"/>
  <c r="X372" i="15"/>
  <c r="K372" i="15"/>
  <c r="L372" i="15"/>
  <c r="D372" i="15" s="1"/>
  <c r="AB372" i="15"/>
  <c r="X373" i="16"/>
  <c r="L373" i="16"/>
  <c r="D373" i="16" s="1"/>
  <c r="AB373" i="16"/>
  <c r="A374" i="16"/>
  <c r="K373" i="16"/>
  <c r="AB375" i="17"/>
  <c r="K375" i="17"/>
  <c r="X375" i="17"/>
  <c r="A376" i="17"/>
  <c r="X371" i="23"/>
  <c r="A372" i="23"/>
  <c r="AB371" i="23"/>
  <c r="K371" i="23"/>
  <c r="AK373" i="1"/>
  <c r="K373" i="1"/>
  <c r="AJ373" i="1"/>
  <c r="X373" i="1"/>
  <c r="AB373" i="1"/>
  <c r="A371" i="18"/>
  <c r="K370" i="18"/>
  <c r="AB370" i="18"/>
  <c r="X370" i="18"/>
  <c r="X372" i="22"/>
  <c r="AB372" i="22"/>
  <c r="K372" i="22"/>
  <c r="A373" i="22"/>
  <c r="A373" i="25"/>
  <c r="K372" i="25"/>
  <c r="X372" i="25"/>
  <c r="AB372" i="25"/>
  <c r="AB374" i="20"/>
  <c r="A375" i="20"/>
  <c r="K374" i="20"/>
  <c r="X374" i="20"/>
  <c r="X373" i="22"/>
  <c r="K373" i="22"/>
  <c r="AB373" i="22"/>
  <c r="A374" i="22"/>
  <c r="AJ374" i="1"/>
  <c r="X374" i="1"/>
  <c r="Q374" i="1"/>
  <c r="AK374" i="1"/>
  <c r="AB374" i="1"/>
  <c r="K374" i="1"/>
  <c r="A373" i="23"/>
  <c r="X372" i="23"/>
  <c r="AB372" i="23"/>
  <c r="K372" i="23"/>
  <c r="X376" i="17"/>
  <c r="A377" i="17"/>
  <c r="K376" i="17"/>
  <c r="AB376" i="17"/>
  <c r="A375" i="16"/>
  <c r="L374" i="16"/>
  <c r="D374" i="16" s="1"/>
  <c r="AB374" i="16"/>
  <c r="X374" i="16"/>
  <c r="K374" i="16"/>
  <c r="A374" i="15"/>
  <c r="X373" i="15"/>
  <c r="AB373" i="15"/>
  <c r="K373" i="15"/>
  <c r="X374" i="24"/>
  <c r="AB374" i="24"/>
  <c r="A375" i="24"/>
  <c r="K374" i="24"/>
  <c r="AB375" i="20"/>
  <c r="K375" i="20"/>
  <c r="A376" i="20"/>
  <c r="X375" i="20"/>
  <c r="X373" i="25"/>
  <c r="AB373" i="25"/>
  <c r="K373" i="25"/>
  <c r="A374" i="25"/>
  <c r="AB371" i="18"/>
  <c r="A372" i="18"/>
  <c r="X371" i="18"/>
  <c r="K371" i="18"/>
  <c r="A373" i="18"/>
  <c r="X372" i="18"/>
  <c r="K372" i="18"/>
  <c r="AB372" i="18"/>
  <c r="K375" i="24"/>
  <c r="AB375" i="24"/>
  <c r="A376" i="24"/>
  <c r="X375" i="24"/>
  <c r="K374" i="15"/>
  <c r="A375" i="15"/>
  <c r="AB374" i="15"/>
  <c r="X374" i="15"/>
  <c r="A378" i="17"/>
  <c r="AB377" i="17"/>
  <c r="X377" i="17"/>
  <c r="K377" i="17"/>
  <c r="AB373" i="23"/>
  <c r="X373" i="23"/>
  <c r="K373" i="23"/>
  <c r="A374" i="23"/>
  <c r="A375" i="25"/>
  <c r="X374" i="25"/>
  <c r="K374" i="25"/>
  <c r="AB374" i="25"/>
  <c r="X376" i="20"/>
  <c r="A377" i="20"/>
  <c r="K376" i="20"/>
  <c r="AB376" i="20"/>
  <c r="X375" i="16"/>
  <c r="L375" i="16"/>
  <c r="K375" i="16"/>
  <c r="A376" i="16"/>
  <c r="AB375" i="16"/>
  <c r="AK375" i="1"/>
  <c r="AB375" i="1"/>
  <c r="K375" i="1"/>
  <c r="X375" i="1"/>
  <c r="AJ375" i="1"/>
  <c r="X374" i="22"/>
  <c r="A375" i="22"/>
  <c r="K374" i="22"/>
  <c r="AB374" i="22"/>
  <c r="AB377" i="20"/>
  <c r="K377" i="20"/>
  <c r="A378" i="20"/>
  <c r="X377" i="20"/>
  <c r="X375" i="15"/>
  <c r="K375" i="15"/>
  <c r="A376" i="15"/>
  <c r="AB375" i="15"/>
  <c r="K376" i="24"/>
  <c r="X376" i="24"/>
  <c r="A377" i="24"/>
  <c r="AB376" i="24"/>
  <c r="AB373" i="18"/>
  <c r="X373" i="18"/>
  <c r="A374" i="18"/>
  <c r="K373" i="18"/>
  <c r="A376" i="22"/>
  <c r="AB375" i="22"/>
  <c r="X375" i="22"/>
  <c r="K375" i="22"/>
  <c r="AJ376" i="1"/>
  <c r="K376" i="1"/>
  <c r="AK376" i="1"/>
  <c r="X376" i="1"/>
  <c r="AB376" i="1"/>
  <c r="X376" i="16"/>
  <c r="K376" i="16"/>
  <c r="A377" i="16"/>
  <c r="AB376" i="16"/>
  <c r="L376" i="16"/>
  <c r="D376" i="16" s="1"/>
  <c r="D375" i="16"/>
  <c r="A376" i="25"/>
  <c r="AB375" i="25"/>
  <c r="K375" i="25"/>
  <c r="X375" i="25"/>
  <c r="AB374" i="23"/>
  <c r="K374" i="23"/>
  <c r="X374" i="23"/>
  <c r="A375" i="23"/>
  <c r="K378" i="17"/>
  <c r="A379" i="17"/>
  <c r="AB378" i="17"/>
  <c r="X378" i="17"/>
  <c r="AB375" i="23"/>
  <c r="X375" i="23"/>
  <c r="K375" i="23"/>
  <c r="A376" i="23"/>
  <c r="X376" i="22"/>
  <c r="K376" i="22"/>
  <c r="A377" i="22"/>
  <c r="AB376" i="22"/>
  <c r="A375" i="18"/>
  <c r="K374" i="18"/>
  <c r="X374" i="18"/>
  <c r="AB374" i="18"/>
  <c r="K376" i="15"/>
  <c r="A377" i="15"/>
  <c r="X376" i="15"/>
  <c r="AB376" i="15"/>
  <c r="AB379" i="17"/>
  <c r="X379" i="17"/>
  <c r="K379" i="17"/>
  <c r="AB376" i="25"/>
  <c r="A377" i="25"/>
  <c r="K376" i="25"/>
  <c r="X376" i="25"/>
  <c r="AB377" i="16"/>
  <c r="L377" i="16"/>
  <c r="D377" i="16" s="1"/>
  <c r="A378" i="16"/>
  <c r="K377" i="16"/>
  <c r="X377" i="16"/>
  <c r="AJ377" i="1"/>
  <c r="K377" i="1"/>
  <c r="AB377" i="1"/>
  <c r="X377" i="1"/>
  <c r="AK377" i="1"/>
  <c r="X377" i="24"/>
  <c r="AB377" i="24"/>
  <c r="K377" i="24"/>
  <c r="A378" i="24"/>
  <c r="K378" i="20"/>
  <c r="AB378" i="20"/>
  <c r="X378" i="20"/>
  <c r="A379" i="20"/>
  <c r="AJ378" i="1"/>
  <c r="X378" i="1"/>
  <c r="L378" i="1"/>
  <c r="D378" i="1" s="1"/>
  <c r="AK378" i="1"/>
  <c r="AB378" i="1"/>
  <c r="K378" i="1"/>
  <c r="A379" i="16"/>
  <c r="L378" i="16"/>
  <c r="K378" i="16"/>
  <c r="AB378" i="16"/>
  <c r="X378" i="16"/>
  <c r="A378" i="25"/>
  <c r="AB377" i="25"/>
  <c r="X377" i="25"/>
  <c r="K377" i="25"/>
  <c r="X375" i="18"/>
  <c r="K375" i="18"/>
  <c r="AB375" i="18"/>
  <c r="A376" i="18"/>
  <c r="X377" i="22"/>
  <c r="K377" i="22"/>
  <c r="A378" i="22"/>
  <c r="AB377" i="22"/>
  <c r="AB379" i="20"/>
  <c r="X379" i="20"/>
  <c r="K379" i="20"/>
  <c r="A379" i="24"/>
  <c r="K378" i="24"/>
  <c r="X378" i="24"/>
  <c r="AB378" i="24"/>
  <c r="X377" i="15"/>
  <c r="A378" i="15"/>
  <c r="K377" i="15"/>
  <c r="AB377" i="15"/>
  <c r="K376" i="23"/>
  <c r="AB376" i="23"/>
  <c r="A377" i="23"/>
  <c r="X376" i="23"/>
  <c r="AB377" i="23"/>
  <c r="A378" i="23"/>
  <c r="X377" i="23"/>
  <c r="K377" i="23"/>
  <c r="AB378" i="22"/>
  <c r="X378" i="22"/>
  <c r="A379" i="22"/>
  <c r="K378" i="22"/>
  <c r="A380" i="16"/>
  <c r="L379" i="16"/>
  <c r="B37" i="19" s="1"/>
  <c r="AB379" i="16"/>
  <c r="X379" i="16"/>
  <c r="K379" i="16"/>
  <c r="X378" i="15"/>
  <c r="AB378" i="15"/>
  <c r="K378" i="15"/>
  <c r="A379" i="15"/>
  <c r="AB379" i="24"/>
  <c r="X379" i="24"/>
  <c r="K379" i="24"/>
  <c r="X376" i="18"/>
  <c r="K376" i="18"/>
  <c r="AB376" i="18"/>
  <c r="L376" i="18"/>
  <c r="A377" i="18"/>
  <c r="X378" i="25"/>
  <c r="K378" i="25"/>
  <c r="A379" i="25"/>
  <c r="AB378" i="25"/>
  <c r="D378" i="16"/>
  <c r="AK379" i="1"/>
  <c r="K379" i="1"/>
  <c r="AB379" i="1"/>
  <c r="X379" i="1"/>
  <c r="AJ379" i="1"/>
  <c r="AM9" i="1"/>
  <c r="AK7" i="1"/>
  <c r="AK11" i="1" s="1"/>
  <c r="AM7" i="1"/>
  <c r="AM11" i="1" s="1"/>
  <c r="AK6" i="1"/>
  <c r="AK5" i="1"/>
  <c r="AK9" i="1"/>
  <c r="AM5" i="1"/>
  <c r="K379" i="25"/>
  <c r="AB379" i="25"/>
  <c r="X379" i="25"/>
  <c r="K379" i="15"/>
  <c r="AB379" i="15"/>
  <c r="X379" i="15"/>
  <c r="L380" i="16"/>
  <c r="D380" i="16" s="1"/>
  <c r="X380" i="16"/>
  <c r="AB380" i="16"/>
  <c r="K380" i="16"/>
  <c r="A379" i="23"/>
  <c r="X378" i="23"/>
  <c r="K378" i="23"/>
  <c r="AB378" i="23"/>
  <c r="X377" i="18"/>
  <c r="AB377" i="18"/>
  <c r="A378" i="18"/>
  <c r="K377" i="18"/>
  <c r="AB379" i="22"/>
  <c r="X379" i="22"/>
  <c r="K379" i="22"/>
  <c r="A380" i="22"/>
  <c r="K380" i="22"/>
  <c r="X380" i="22"/>
  <c r="AB380" i="22"/>
  <c r="A379" i="18"/>
  <c r="AB378" i="18"/>
  <c r="X378" i="18"/>
  <c r="K378" i="18"/>
  <c r="X379" i="23"/>
  <c r="K379" i="23"/>
  <c r="AB379" i="23"/>
  <c r="X379" i="18"/>
  <c r="K379" i="18"/>
  <c r="AB379" i="18"/>
  <c r="AC38" i="1"/>
  <c r="O80" i="1"/>
  <c r="L46" i="16"/>
  <c r="D46" i="16" s="1"/>
  <c r="L49" i="16"/>
  <c r="D49" i="16" s="1"/>
  <c r="L53" i="17"/>
  <c r="L55" i="16"/>
  <c r="L57" i="16"/>
  <c r="D57" i="16" s="1"/>
  <c r="L58" i="16"/>
  <c r="L55" i="18"/>
  <c r="L61" i="16"/>
  <c r="D61" i="16" s="1"/>
  <c r="L58" i="18"/>
  <c r="L62" i="16"/>
  <c r="D62" i="16" s="1"/>
  <c r="L63" i="16"/>
  <c r="D63" i="16" s="1"/>
  <c r="L65" i="16"/>
  <c r="D65" i="16" s="1"/>
  <c r="L67" i="17"/>
  <c r="D67" i="17" s="1"/>
  <c r="L66" i="16"/>
  <c r="D66" i="16" s="1"/>
  <c r="L68" i="17"/>
  <c r="D68" i="17" s="1"/>
  <c r="L67" i="16"/>
  <c r="D67" i="16" s="1"/>
  <c r="L68" i="16"/>
  <c r="D68" i="16" s="1"/>
  <c r="L68" i="15"/>
  <c r="D68" i="15" s="1"/>
  <c r="L70" i="16"/>
  <c r="D70" i="16" s="1"/>
  <c r="L67" i="18"/>
  <c r="L71" i="16"/>
  <c r="D71" i="16" s="1"/>
  <c r="L73" i="17"/>
  <c r="D88" i="16"/>
  <c r="L45" i="16"/>
  <c r="D45" i="16" s="1"/>
  <c r="L39" i="16"/>
  <c r="D39" i="16" s="1"/>
  <c r="L37" i="16"/>
  <c r="D37" i="16" s="1"/>
  <c r="L38" i="18"/>
  <c r="L44" i="16"/>
  <c r="L48" i="16"/>
  <c r="L47" i="15"/>
  <c r="L53" i="16"/>
  <c r="D53" i="16" s="1"/>
  <c r="L53" i="18"/>
  <c r="L60" i="17"/>
  <c r="L59" i="16"/>
  <c r="D59" i="16" s="1"/>
  <c r="L60" i="16"/>
  <c r="B45" i="7" s="1"/>
  <c r="L22" i="16"/>
  <c r="L34" i="16"/>
  <c r="D34" i="16" s="1"/>
  <c r="L35" i="16"/>
  <c r="D35" i="16" s="1"/>
  <c r="L40" i="16"/>
  <c r="D40" i="16" s="1"/>
  <c r="L41" i="16"/>
  <c r="D41" i="16" s="1"/>
  <c r="L40" i="15"/>
  <c r="L42" i="16"/>
  <c r="D42" i="16" s="1"/>
  <c r="L41" i="18"/>
  <c r="L48" i="17"/>
  <c r="D48" i="17" s="1"/>
  <c r="L46" i="18"/>
  <c r="L51" i="16"/>
  <c r="D51" i="16" s="1"/>
  <c r="L54" i="16"/>
  <c r="D54" i="16" s="1"/>
  <c r="L56" i="17"/>
  <c r="D56" i="17" s="1"/>
  <c r="L56" i="16"/>
  <c r="D56" i="16" s="1"/>
  <c r="L15" i="16"/>
  <c r="L17" i="16"/>
  <c r="D17" i="16" s="1"/>
  <c r="L18" i="16"/>
  <c r="D18" i="16" s="1"/>
  <c r="L27" i="16"/>
  <c r="L24" i="18"/>
  <c r="L29" i="15"/>
  <c r="B32" i="7" s="1"/>
  <c r="L32" i="15"/>
  <c r="D32" i="15" s="1"/>
  <c r="L36" i="16"/>
  <c r="L40" i="17"/>
  <c r="D40" i="17" s="1"/>
  <c r="L38" i="16"/>
  <c r="L36" i="18"/>
  <c r="L43" i="17"/>
  <c r="D43" i="17" s="1"/>
  <c r="L41" i="15"/>
  <c r="L40" i="18"/>
  <c r="L43" i="16"/>
  <c r="D43" i="16" s="1"/>
  <c r="L21" i="17"/>
  <c r="D21" i="17" s="1"/>
  <c r="L19" i="16"/>
  <c r="D19" i="16" s="1"/>
  <c r="L18" i="15"/>
  <c r="D18" i="15" s="1"/>
  <c r="L20" i="16"/>
  <c r="D20" i="16" s="1"/>
  <c r="L16" i="18"/>
  <c r="L21" i="16"/>
  <c r="L18" i="18"/>
  <c r="L24" i="16"/>
  <c r="D24" i="16" s="1"/>
  <c r="L27" i="15"/>
  <c r="L28" i="16"/>
  <c r="D28" i="16" s="1"/>
  <c r="L29" i="16"/>
  <c r="L32" i="17"/>
  <c r="D32" i="17" s="1"/>
  <c r="L30" i="16"/>
  <c r="D30" i="16" s="1"/>
  <c r="L30" i="15"/>
  <c r="D30" i="15" s="1"/>
  <c r="L31" i="15"/>
  <c r="D31" i="15" s="1"/>
  <c r="L31" i="18"/>
  <c r="L33" i="16"/>
  <c r="L30" i="18"/>
  <c r="L31" i="16"/>
  <c r="D31" i="16" s="1"/>
  <c r="L26" i="16"/>
  <c r="D26" i="16" s="1"/>
  <c r="L25" i="16"/>
  <c r="D25" i="16" s="1"/>
  <c r="L20" i="18"/>
  <c r="L23" i="16"/>
  <c r="D23" i="16" s="1"/>
  <c r="L18" i="17"/>
  <c r="D18" i="17" s="1"/>
  <c r="L16" i="16"/>
  <c r="D16" i="16" s="1"/>
  <c r="D73" i="17"/>
  <c r="D53" i="17"/>
  <c r="D58" i="16"/>
  <c r="D55" i="16"/>
  <c r="D60" i="16"/>
  <c r="D47" i="15"/>
  <c r="D48" i="16"/>
  <c r="D44" i="16"/>
  <c r="D40" i="15"/>
  <c r="D22" i="16"/>
  <c r="D38" i="16"/>
  <c r="D27" i="16"/>
  <c r="D15" i="16"/>
  <c r="D41" i="15"/>
  <c r="D36" i="16"/>
  <c r="D21" i="16"/>
  <c r="D33" i="16"/>
  <c r="D27" i="15"/>
  <c r="AC22" i="1"/>
  <c r="BL13" i="7"/>
  <c r="O88" i="1"/>
  <c r="C22" i="7" s="1"/>
  <c r="O58" i="1"/>
  <c r="O98" i="1"/>
  <c r="L12" i="24"/>
  <c r="L43" i="24"/>
  <c r="L70" i="24"/>
  <c r="L77" i="24"/>
  <c r="L79" i="24"/>
  <c r="L32" i="24"/>
  <c r="L57" i="24"/>
  <c r="L67" i="24"/>
  <c r="L71" i="24"/>
  <c r="L74" i="24"/>
  <c r="L76" i="24"/>
  <c r="L81" i="24"/>
  <c r="L86" i="24"/>
  <c r="L88" i="24"/>
  <c r="AF58" i="7" s="1"/>
  <c r="L94" i="24"/>
  <c r="L96" i="24"/>
  <c r="L105" i="24"/>
  <c r="L12" i="25"/>
  <c r="L85" i="24"/>
  <c r="L90" i="24"/>
  <c r="L97" i="24"/>
  <c r="L104" i="24"/>
  <c r="L109" i="24"/>
  <c r="L111" i="24"/>
  <c r="L113" i="24"/>
  <c r="L91" i="24"/>
  <c r="L114" i="24"/>
  <c r="L118" i="24"/>
  <c r="L122" i="24"/>
  <c r="L126" i="24"/>
  <c r="L128" i="24"/>
  <c r="L134" i="24"/>
  <c r="L136" i="24"/>
  <c r="L140" i="24"/>
  <c r="L144" i="24"/>
  <c r="L151" i="24"/>
  <c r="L155" i="24"/>
  <c r="L158" i="24"/>
  <c r="L167" i="24"/>
  <c r="L120" i="24"/>
  <c r="L124" i="24"/>
  <c r="L139" i="24"/>
  <c r="L148" i="24"/>
  <c r="L150" i="24"/>
  <c r="L156" i="24"/>
  <c r="L161" i="24"/>
  <c r="L164" i="24"/>
  <c r="L170" i="24"/>
  <c r="L173" i="24"/>
  <c r="L175" i="24"/>
  <c r="L178" i="24"/>
  <c r="L186" i="24"/>
  <c r="L189" i="24"/>
  <c r="L191" i="24"/>
  <c r="L194" i="24"/>
  <c r="L197" i="24"/>
  <c r="L200" i="24"/>
  <c r="L202" i="24"/>
  <c r="L207" i="24"/>
  <c r="L209" i="24"/>
  <c r="L221" i="24"/>
  <c r="L230" i="24"/>
  <c r="L238" i="24"/>
  <c r="L243" i="24"/>
  <c r="L247" i="24"/>
  <c r="L251" i="24"/>
  <c r="L254" i="24"/>
  <c r="L262" i="24"/>
  <c r="L267" i="24"/>
  <c r="L272" i="24"/>
  <c r="AF64" i="7" s="1"/>
  <c r="L101" i="24"/>
  <c r="L103" i="24"/>
  <c r="L125" i="24"/>
  <c r="L133" i="24"/>
  <c r="L152" i="24"/>
  <c r="L166" i="24"/>
  <c r="L179" i="24"/>
  <c r="L181" i="24"/>
  <c r="L185" i="24"/>
  <c r="L195" i="24"/>
  <c r="L203" i="24"/>
  <c r="L206" i="24"/>
  <c r="L214" i="24"/>
  <c r="L219" i="24"/>
  <c r="L224" i="24"/>
  <c r="L227" i="24"/>
  <c r="L232" i="24"/>
  <c r="L234" i="24"/>
  <c r="L237" i="24"/>
  <c r="L240" i="24"/>
  <c r="L246" i="24"/>
  <c r="L249" i="24"/>
  <c r="L256" i="24"/>
  <c r="L258" i="24"/>
  <c r="L263" i="24"/>
  <c r="L276" i="24"/>
  <c r="L279" i="24"/>
  <c r="L283" i="24"/>
  <c r="L287" i="24"/>
  <c r="L290" i="24"/>
  <c r="L292" i="24"/>
  <c r="L296" i="24"/>
  <c r="L138" i="24"/>
  <c r="L145" i="24"/>
  <c r="L168" i="24"/>
  <c r="L184" i="24"/>
  <c r="L211" i="24"/>
  <c r="L215" i="24"/>
  <c r="L217" i="24"/>
  <c r="L223" i="24"/>
  <c r="L236" i="24"/>
  <c r="L259" i="24"/>
  <c r="L264" i="24"/>
  <c r="L268" i="24"/>
  <c r="L271" i="24"/>
  <c r="L275" i="24"/>
  <c r="L281" i="24"/>
  <c r="L285" i="24"/>
  <c r="L288" i="24"/>
  <c r="L295" i="24"/>
  <c r="L305" i="24"/>
  <c r="L310" i="24"/>
  <c r="L316" i="24"/>
  <c r="L319" i="24"/>
  <c r="L325" i="24"/>
  <c r="L329" i="24"/>
  <c r="L331" i="24"/>
  <c r="L340" i="24"/>
  <c r="L346" i="24"/>
  <c r="L349" i="24"/>
  <c r="L352" i="24"/>
  <c r="L357" i="24"/>
  <c r="L360" i="24"/>
  <c r="L362" i="24"/>
  <c r="L364" i="24"/>
  <c r="L366" i="24"/>
  <c r="L368" i="24"/>
  <c r="L371" i="24"/>
  <c r="L374" i="24"/>
  <c r="L68" i="24"/>
  <c r="L49" i="24"/>
  <c r="L35" i="24"/>
  <c r="L45" i="24"/>
  <c r="L50" i="24"/>
  <c r="L33" i="24"/>
  <c r="L38" i="24"/>
  <c r="L25" i="24"/>
  <c r="L20" i="24"/>
  <c r="L29" i="24"/>
  <c r="AF56" i="7" s="1"/>
  <c r="L23" i="24"/>
  <c r="L297" i="24"/>
  <c r="L300" i="24"/>
  <c r="L302" i="24"/>
  <c r="AF65" i="7" s="1"/>
  <c r="L304" i="24"/>
  <c r="L308" i="24"/>
  <c r="L311" i="24"/>
  <c r="L314" i="24"/>
  <c r="L318" i="24"/>
  <c r="L322" i="24"/>
  <c r="L324" i="24"/>
  <c r="L327" i="24"/>
  <c r="L333" i="24"/>
  <c r="AF66" i="7" s="1"/>
  <c r="L335" i="24"/>
  <c r="L337" i="24"/>
  <c r="L341" i="24"/>
  <c r="L343" i="24"/>
  <c r="L348" i="24"/>
  <c r="L353" i="24"/>
  <c r="L355" i="24"/>
  <c r="L369" i="24"/>
  <c r="L375" i="24"/>
  <c r="L377" i="24"/>
  <c r="L51" i="24"/>
  <c r="L59" i="24"/>
  <c r="L62" i="24"/>
  <c r="L64" i="24"/>
  <c r="L21" i="24"/>
  <c r="L47" i="24"/>
  <c r="L52" i="24"/>
  <c r="L56" i="24"/>
  <c r="L27" i="24"/>
  <c r="L39" i="24"/>
  <c r="L18" i="24"/>
  <c r="L30" i="24"/>
  <c r="L19" i="24"/>
  <c r="Q244" i="1" l="1"/>
  <c r="Q242" i="1"/>
  <c r="Q240" i="1"/>
  <c r="Q17" i="1"/>
  <c r="AC94" i="1"/>
  <c r="O84" i="1"/>
  <c r="AC20" i="1"/>
  <c r="AC96" i="1"/>
  <c r="AC44" i="1"/>
  <c r="O64" i="1"/>
  <c r="Q363" i="1"/>
  <c r="Q351" i="1"/>
  <c r="Q339" i="1"/>
  <c r="Q325" i="1"/>
  <c r="Q227" i="1"/>
  <c r="O132" i="1"/>
  <c r="O112" i="1"/>
  <c r="AE365" i="1"/>
  <c r="AE265" i="1"/>
  <c r="AE147" i="1"/>
  <c r="AE263" i="1"/>
  <c r="AE313" i="1"/>
  <c r="AE29" i="1"/>
  <c r="AE327" i="1"/>
  <c r="A65" i="19"/>
  <c r="A39" i="19"/>
  <c r="A70" i="19"/>
  <c r="A44" i="19"/>
  <c r="A68" i="19"/>
  <c r="A42" i="19"/>
  <c r="A67" i="19"/>
  <c r="A41" i="19"/>
  <c r="A63" i="19"/>
  <c r="A37" i="19"/>
  <c r="A61" i="19"/>
  <c r="A35" i="19"/>
  <c r="A69" i="19"/>
  <c r="A43" i="19"/>
  <c r="A66" i="19"/>
  <c r="A40" i="19"/>
  <c r="A64" i="19"/>
  <c r="A38" i="19"/>
  <c r="A62" i="19"/>
  <c r="A36" i="19"/>
  <c r="AC145" i="1"/>
  <c r="Q366" i="1"/>
  <c r="Q362" i="1"/>
  <c r="Q352" i="1"/>
  <c r="Q350" i="1"/>
  <c r="Q320" i="1"/>
  <c r="Q318" i="1"/>
  <c r="Q292" i="1"/>
  <c r="Q290" i="1"/>
  <c r="Q116" i="1"/>
  <c r="Q114" i="1"/>
  <c r="O109" i="1"/>
  <c r="AC53" i="1"/>
  <c r="Q358" i="1"/>
  <c r="Q356" i="1"/>
  <c r="Q252" i="1"/>
  <c r="Q226" i="1"/>
  <c r="Q216" i="1"/>
  <c r="Q214" i="1"/>
  <c r="Q212" i="1"/>
  <c r="Q190" i="1"/>
  <c r="Q188" i="1"/>
  <c r="Q186" i="1"/>
  <c r="Q184" i="1"/>
  <c r="Q158" i="1"/>
  <c r="Q156" i="1"/>
  <c r="Q154" i="1"/>
  <c r="Q96" i="1"/>
  <c r="AE342" i="1"/>
  <c r="O76" i="1"/>
  <c r="AC90" i="1"/>
  <c r="AC72" i="1"/>
  <c r="O16" i="1"/>
  <c r="O48" i="1"/>
  <c r="O78" i="1"/>
  <c r="O56" i="1"/>
  <c r="AC32" i="1"/>
  <c r="AC86" i="1"/>
  <c r="AC24" i="1"/>
  <c r="AC74" i="1"/>
  <c r="AC46" i="1"/>
  <c r="Q378" i="1"/>
  <c r="Q376" i="1"/>
  <c r="Q367" i="1"/>
  <c r="Q341" i="1"/>
  <c r="Q333" i="1"/>
  <c r="Q329" i="1"/>
  <c r="Q299" i="1"/>
  <c r="Q295" i="1"/>
  <c r="Q253" i="1"/>
  <c r="Q233" i="1"/>
  <c r="Q209" i="1"/>
  <c r="Q193" i="1"/>
  <c r="O148" i="1"/>
  <c r="O144" i="1"/>
  <c r="O140" i="1"/>
  <c r="O136" i="1"/>
  <c r="AC124" i="1"/>
  <c r="O116" i="1"/>
  <c r="O110" i="1"/>
  <c r="Q79" i="1"/>
  <c r="Q65" i="1"/>
  <c r="AE353" i="1"/>
  <c r="AE139" i="1"/>
  <c r="AE359" i="1"/>
  <c r="AE291" i="1"/>
  <c r="AE349" i="1"/>
  <c r="AE255" i="1"/>
  <c r="AE311" i="1"/>
  <c r="AE21" i="1"/>
  <c r="Q344" i="1"/>
  <c r="Q340" i="1"/>
  <c r="Q338" i="1"/>
  <c r="Q332" i="1"/>
  <c r="Q328" i="1"/>
  <c r="Q310" i="1"/>
  <c r="Q308" i="1"/>
  <c r="Q296" i="1"/>
  <c r="Q286" i="1"/>
  <c r="Q280" i="1"/>
  <c r="Q278" i="1"/>
  <c r="Q272" i="1"/>
  <c r="Q258" i="1"/>
  <c r="Q256" i="1"/>
  <c r="Q248" i="1"/>
  <c r="Q236" i="1"/>
  <c r="Q234" i="1"/>
  <c r="Q232" i="1"/>
  <c r="Q230" i="1"/>
  <c r="Q222" i="1"/>
  <c r="Q220" i="1"/>
  <c r="Q138" i="1"/>
  <c r="Q136" i="1"/>
  <c r="Q134" i="1"/>
  <c r="Q132" i="1"/>
  <c r="Q84" i="1"/>
  <c r="Q82" i="1"/>
  <c r="Q80" i="1"/>
  <c r="Q70" i="1"/>
  <c r="Q60" i="1"/>
  <c r="Q38" i="1"/>
  <c r="Q34" i="1"/>
  <c r="AE294" i="1"/>
  <c r="AE128" i="1"/>
  <c r="AE78" i="1"/>
  <c r="O49" i="1"/>
  <c r="AC127" i="1"/>
  <c r="AC23" i="1"/>
  <c r="O77" i="1"/>
  <c r="AC31" i="1"/>
  <c r="AC83" i="1"/>
  <c r="Q26" i="1"/>
  <c r="Q24" i="1"/>
  <c r="AE266" i="1"/>
  <c r="AE126" i="1"/>
  <c r="AE130" i="1"/>
  <c r="AE74" i="1"/>
  <c r="AE124" i="1"/>
  <c r="AE22" i="1"/>
  <c r="Q22" i="1"/>
  <c r="AE32" i="1"/>
  <c r="Q32" i="1"/>
  <c r="AE40" i="1"/>
  <c r="Q40" i="1"/>
  <c r="AE50" i="1"/>
  <c r="Q50" i="1"/>
  <c r="AE52" i="1"/>
  <c r="Q52" i="1"/>
  <c r="AE54" i="1"/>
  <c r="Q54" i="1"/>
  <c r="AE56" i="1"/>
  <c r="Q56" i="1"/>
  <c r="AE58" i="1"/>
  <c r="Q58" i="1"/>
  <c r="AE62" i="1"/>
  <c r="Q62" i="1"/>
  <c r="AE68" i="1"/>
  <c r="Q68" i="1"/>
  <c r="AE76" i="1"/>
  <c r="Q76" i="1"/>
  <c r="AE94" i="1"/>
  <c r="Q94" i="1"/>
  <c r="AE98" i="1"/>
  <c r="Q98" i="1"/>
  <c r="AE100" i="1"/>
  <c r="Q100" i="1"/>
  <c r="AE102" i="1"/>
  <c r="Q102" i="1"/>
  <c r="AE104" i="1"/>
  <c r="Q104" i="1"/>
  <c r="AE106" i="1"/>
  <c r="Q106" i="1"/>
  <c r="AE108" i="1"/>
  <c r="Q108" i="1"/>
  <c r="AE110" i="1"/>
  <c r="Q110" i="1"/>
  <c r="AE112" i="1"/>
  <c r="Q112" i="1"/>
  <c r="AE118" i="1"/>
  <c r="Q118" i="1"/>
  <c r="AE120" i="1"/>
  <c r="Q120" i="1"/>
  <c r="AE122" i="1"/>
  <c r="Q122" i="1"/>
  <c r="AE140" i="1"/>
  <c r="Q140" i="1"/>
  <c r="AE142" i="1"/>
  <c r="Q142" i="1"/>
  <c r="AE144" i="1"/>
  <c r="Q144" i="1"/>
  <c r="AE160" i="1"/>
  <c r="Q160" i="1"/>
  <c r="AE162" i="1"/>
  <c r="Q162" i="1"/>
  <c r="AE164" i="1"/>
  <c r="Q164" i="1"/>
  <c r="AE182" i="1"/>
  <c r="Q182" i="1"/>
  <c r="AE192" i="1"/>
  <c r="Q192" i="1"/>
  <c r="O35" i="1"/>
  <c r="AC35" i="1"/>
  <c r="AC39" i="1"/>
  <c r="O39" i="1"/>
  <c r="AC89" i="1"/>
  <c r="AC69" i="1"/>
  <c r="O155" i="1"/>
  <c r="AC137" i="1"/>
  <c r="O119" i="1"/>
  <c r="C23" i="7" s="1"/>
  <c r="AC37" i="1"/>
  <c r="AC79" i="1"/>
  <c r="O27" i="1"/>
  <c r="Q369" i="1"/>
  <c r="Q368" i="1"/>
  <c r="Q360" i="1"/>
  <c r="Q354" i="1"/>
  <c r="Q348" i="1"/>
  <c r="Q346" i="1"/>
  <c r="Q336" i="1"/>
  <c r="Q334" i="1"/>
  <c r="Q326" i="1"/>
  <c r="Q324" i="1"/>
  <c r="Q322" i="1"/>
  <c r="Q316" i="1"/>
  <c r="Q314" i="1"/>
  <c r="Q312" i="1"/>
  <c r="Q288" i="1"/>
  <c r="Q276" i="1"/>
  <c r="Q274" i="1"/>
  <c r="Q270" i="1"/>
  <c r="Q268" i="1"/>
  <c r="Q264" i="1"/>
  <c r="Q262" i="1"/>
  <c r="Q260" i="1"/>
  <c r="Q254" i="1"/>
  <c r="Q250" i="1"/>
  <c r="Q246" i="1"/>
  <c r="Q238" i="1"/>
  <c r="Q224" i="1"/>
  <c r="Q218" i="1"/>
  <c r="Q210" i="1"/>
  <c r="Q208" i="1"/>
  <c r="Q206" i="1"/>
  <c r="Q204" i="1"/>
  <c r="Q202" i="1"/>
  <c r="Q200" i="1"/>
  <c r="Q196" i="1"/>
  <c r="Q194" i="1"/>
  <c r="Q180" i="1"/>
  <c r="Q178" i="1"/>
  <c r="Q176" i="1"/>
  <c r="Q174" i="1"/>
  <c r="Q172" i="1"/>
  <c r="Q170" i="1"/>
  <c r="Q168" i="1"/>
  <c r="Q166" i="1"/>
  <c r="Q150" i="1"/>
  <c r="Q148" i="1"/>
  <c r="Q146" i="1"/>
  <c r="Q92" i="1"/>
  <c r="Q90" i="1"/>
  <c r="Q88" i="1"/>
  <c r="Q66" i="1"/>
  <c r="Q64" i="1"/>
  <c r="Q48" i="1"/>
  <c r="Q46" i="1"/>
  <c r="Q44" i="1"/>
  <c r="Q42" i="1"/>
  <c r="Q30" i="1"/>
  <c r="AE72" i="1"/>
  <c r="AE152" i="1"/>
  <c r="AE28" i="1"/>
  <c r="AE86" i="1"/>
  <c r="AE36" i="1"/>
  <c r="P12" i="1"/>
  <c r="Q15" i="1"/>
  <c r="L12" i="23"/>
  <c r="L12" i="22"/>
  <c r="L12" i="20"/>
  <c r="L65" i="24"/>
  <c r="BN9" i="7"/>
  <c r="BP10" i="7" s="1"/>
  <c r="BK10" i="7"/>
  <c r="B44" i="7"/>
  <c r="D29" i="16"/>
  <c r="D60" i="17"/>
  <c r="B57" i="7"/>
  <c r="L76" i="18"/>
  <c r="L79" i="18"/>
  <c r="L105" i="18"/>
  <c r="L106" i="18"/>
  <c r="L107" i="18"/>
  <c r="L109" i="18"/>
  <c r="L112" i="18"/>
  <c r="L114" i="18"/>
  <c r="L123" i="18"/>
  <c r="L131" i="18"/>
  <c r="L136" i="18"/>
  <c r="L139" i="18"/>
  <c r="L141" i="18"/>
  <c r="L143" i="18"/>
  <c r="L145" i="18"/>
  <c r="L148" i="18"/>
  <c r="L151" i="18"/>
  <c r="L152" i="18"/>
  <c r="L154" i="18"/>
  <c r="L158" i="18"/>
  <c r="L159" i="18"/>
  <c r="L160" i="18"/>
  <c r="L161" i="18"/>
  <c r="L162" i="18"/>
  <c r="L163" i="18"/>
  <c r="L166" i="18"/>
  <c r="L168" i="18"/>
  <c r="L170" i="18"/>
  <c r="L176" i="18"/>
  <c r="L181" i="18"/>
  <c r="L186" i="18"/>
  <c r="L187" i="18"/>
  <c r="L65" i="18"/>
  <c r="L93" i="18"/>
  <c r="L94" i="18"/>
  <c r="L110" i="18"/>
  <c r="L118" i="18"/>
  <c r="L122" i="18"/>
  <c r="L133" i="18"/>
  <c r="L138" i="18"/>
  <c r="L150" i="18"/>
  <c r="L157" i="18"/>
  <c r="L167" i="18"/>
  <c r="L169" i="18"/>
  <c r="L171" i="18"/>
  <c r="L173" i="18"/>
  <c r="L174" i="18"/>
  <c r="L177" i="18"/>
  <c r="L178" i="18"/>
  <c r="L184" i="18"/>
  <c r="L188" i="18"/>
  <c r="L189" i="18"/>
  <c r="L190" i="18"/>
  <c r="L193" i="18"/>
  <c r="L194" i="18"/>
  <c r="L196" i="18"/>
  <c r="L197" i="18"/>
  <c r="L198" i="18"/>
  <c r="L199" i="18"/>
  <c r="L200" i="18"/>
  <c r="L201" i="18"/>
  <c r="L202" i="18"/>
  <c r="L205" i="18"/>
  <c r="L206" i="18"/>
  <c r="L207" i="18"/>
  <c r="L208" i="18"/>
  <c r="L211" i="18"/>
  <c r="L212" i="18"/>
  <c r="L213" i="18"/>
  <c r="L216" i="18"/>
  <c r="L217" i="18"/>
  <c r="L222" i="18"/>
  <c r="L228" i="18"/>
  <c r="L229" i="18"/>
  <c r="L230" i="18"/>
  <c r="L238" i="18"/>
  <c r="L241" i="18"/>
  <c r="B75" i="7" s="1"/>
  <c r="L246" i="18"/>
  <c r="L247" i="18"/>
  <c r="L248" i="18"/>
  <c r="L251" i="18"/>
  <c r="L252" i="18"/>
  <c r="L253" i="18"/>
  <c r="L254" i="18"/>
  <c r="L255" i="18"/>
  <c r="L263" i="18"/>
  <c r="L264" i="18"/>
  <c r="L265" i="18"/>
  <c r="L266" i="18"/>
  <c r="L267" i="18"/>
  <c r="L271" i="18"/>
  <c r="L272" i="18"/>
  <c r="B76" i="7" s="1"/>
  <c r="L273" i="18"/>
  <c r="L276" i="18"/>
  <c r="L277" i="18"/>
  <c r="L279" i="18"/>
  <c r="L91" i="18"/>
  <c r="L97" i="18"/>
  <c r="L116" i="18"/>
  <c r="L124" i="18"/>
  <c r="L126" i="18"/>
  <c r="L127" i="18"/>
  <c r="L129" i="18"/>
  <c r="L130" i="18"/>
  <c r="L135" i="18"/>
  <c r="L142" i="18"/>
  <c r="L144" i="18"/>
  <c r="L146" i="18"/>
  <c r="L147" i="18"/>
  <c r="L149" i="18"/>
  <c r="B72" i="7" s="1"/>
  <c r="L155" i="18"/>
  <c r="L156" i="18"/>
  <c r="L179" i="18"/>
  <c r="L180" i="18"/>
  <c r="B73" i="7" s="1"/>
  <c r="L182" i="18"/>
  <c r="L183" i="18"/>
  <c r="L191" i="18"/>
  <c r="L192" i="18"/>
  <c r="L210" i="18"/>
  <c r="B74" i="7" s="1"/>
  <c r="L218" i="18"/>
  <c r="L220" i="18"/>
  <c r="L223" i="18"/>
  <c r="L224" i="18"/>
  <c r="L227" i="18"/>
  <c r="L232" i="18"/>
  <c r="L235" i="18"/>
  <c r="L236" i="18"/>
  <c r="L237" i="18"/>
  <c r="L245" i="18"/>
  <c r="L249" i="18"/>
  <c r="L250" i="18"/>
  <c r="L256" i="18"/>
  <c r="L257" i="18"/>
  <c r="L258" i="18"/>
  <c r="L259" i="18"/>
  <c r="L260" i="18"/>
  <c r="L262" i="18"/>
  <c r="L269" i="18"/>
  <c r="L270" i="18"/>
  <c r="L291" i="18"/>
  <c r="L292" i="18"/>
  <c r="L294" i="18"/>
  <c r="L296" i="18"/>
  <c r="L297" i="18"/>
  <c r="L298" i="18"/>
  <c r="L299" i="18"/>
  <c r="L300" i="18"/>
  <c r="L301" i="18"/>
  <c r="L303" i="18"/>
  <c r="L304" i="18"/>
  <c r="L306" i="18"/>
  <c r="L309" i="18"/>
  <c r="L312" i="18"/>
  <c r="L314" i="18"/>
  <c r="L315" i="18"/>
  <c r="L316" i="18"/>
  <c r="L318" i="18"/>
  <c r="L321" i="18"/>
  <c r="L322" i="18"/>
  <c r="L323" i="18"/>
  <c r="L324" i="18"/>
  <c r="L326" i="18"/>
  <c r="L330" i="18"/>
  <c r="L334" i="18"/>
  <c r="L337" i="18"/>
  <c r="L339" i="18"/>
  <c r="L341" i="18"/>
  <c r="L343" i="18"/>
  <c r="L344" i="18"/>
  <c r="L345" i="18"/>
  <c r="L346" i="18"/>
  <c r="L349" i="18"/>
  <c r="L351" i="18"/>
  <c r="L352" i="18"/>
  <c r="L354" i="18"/>
  <c r="L359" i="18"/>
  <c r="L360" i="18"/>
  <c r="L361" i="18"/>
  <c r="L362" i="18"/>
  <c r="L366" i="18"/>
  <c r="L367" i="18"/>
  <c r="L368" i="18"/>
  <c r="L373" i="18"/>
  <c r="L375" i="18"/>
  <c r="L54" i="18"/>
  <c r="L57" i="18"/>
  <c r="L63" i="18"/>
  <c r="L66" i="18"/>
  <c r="L68" i="18"/>
  <c r="L33" i="18"/>
  <c r="L50" i="18"/>
  <c r="L51" i="18"/>
  <c r="L52" i="18"/>
  <c r="L15" i="18"/>
  <c r="L32" i="18"/>
  <c r="L34" i="18"/>
  <c r="L35" i="18"/>
  <c r="L39" i="18"/>
  <c r="L19" i="18"/>
  <c r="L21" i="18"/>
  <c r="L23" i="18"/>
  <c r="L26" i="18"/>
  <c r="L29" i="18"/>
  <c r="B68" i="7" s="1"/>
  <c r="L28" i="18"/>
  <c r="L22" i="18"/>
  <c r="AC9" i="1"/>
  <c r="AC12" i="1"/>
  <c r="L108" i="23"/>
  <c r="L124" i="23"/>
  <c r="L146" i="23"/>
  <c r="L151" i="23"/>
  <c r="L167" i="23"/>
  <c r="L168" i="23"/>
  <c r="L172" i="23"/>
  <c r="L173" i="23"/>
  <c r="L185" i="23"/>
  <c r="L74" i="23"/>
  <c r="L150" i="23"/>
  <c r="L157" i="23"/>
  <c r="L163" i="23"/>
  <c r="L171" i="23"/>
  <c r="L174" i="23"/>
  <c r="L175" i="23"/>
  <c r="L184" i="23"/>
  <c r="L189" i="23"/>
  <c r="L192" i="23"/>
  <c r="L193" i="23"/>
  <c r="L195" i="23"/>
  <c r="L204" i="23"/>
  <c r="L208" i="23"/>
  <c r="L210" i="23"/>
  <c r="AF50" i="7" s="1"/>
  <c r="L215" i="23"/>
  <c r="L216" i="23"/>
  <c r="L217" i="23"/>
  <c r="L232" i="23"/>
  <c r="L233" i="23"/>
  <c r="L237" i="23"/>
  <c r="L240" i="23"/>
  <c r="L245" i="23"/>
  <c r="L256" i="23"/>
  <c r="L258" i="23"/>
  <c r="L261" i="23"/>
  <c r="L262" i="23"/>
  <c r="L270" i="23"/>
  <c r="L272" i="23"/>
  <c r="AF52" i="7" s="1"/>
  <c r="L273" i="23"/>
  <c r="L276" i="23"/>
  <c r="L278" i="23"/>
  <c r="L280" i="23"/>
  <c r="L99" i="23"/>
  <c r="L102" i="23"/>
  <c r="L147" i="23"/>
  <c r="L149" i="23"/>
  <c r="AF48" i="7" s="1"/>
  <c r="L159" i="23"/>
  <c r="L160" i="23"/>
  <c r="L183" i="23"/>
  <c r="L201" i="23"/>
  <c r="L218" i="23"/>
  <c r="L219" i="23"/>
  <c r="L221" i="23"/>
  <c r="L222" i="23"/>
  <c r="L223" i="23"/>
  <c r="L228" i="23"/>
  <c r="L236" i="23"/>
  <c r="L246" i="23"/>
  <c r="L248" i="23"/>
  <c r="L268" i="23"/>
  <c r="L277" i="23"/>
  <c r="L279" i="23"/>
  <c r="L281" i="23"/>
  <c r="L282" i="23"/>
  <c r="L284" i="23"/>
  <c r="L286" i="23"/>
  <c r="L290" i="23"/>
  <c r="L291" i="23"/>
  <c r="L296" i="23"/>
  <c r="L298" i="23"/>
  <c r="L300" i="23"/>
  <c r="L302" i="23"/>
  <c r="AF53" i="7" s="1"/>
  <c r="L303" i="23"/>
  <c r="L304" i="23"/>
  <c r="L308" i="23"/>
  <c r="L309" i="23"/>
  <c r="L311" i="23"/>
  <c r="L312" i="23"/>
  <c r="L313" i="23"/>
  <c r="L314" i="23"/>
  <c r="L316" i="23"/>
  <c r="L320" i="23"/>
  <c r="L322" i="23"/>
  <c r="L323" i="23"/>
  <c r="L324" i="23"/>
  <c r="L325" i="23"/>
  <c r="L326" i="23"/>
  <c r="L332" i="23"/>
  <c r="L338" i="23"/>
  <c r="L339" i="23"/>
  <c r="L340" i="23"/>
  <c r="L341" i="23"/>
  <c r="L342" i="23"/>
  <c r="L345" i="23"/>
  <c r="L347" i="23"/>
  <c r="L348" i="23"/>
  <c r="L350" i="23"/>
  <c r="L352" i="23"/>
  <c r="L353" i="23"/>
  <c r="L358" i="23"/>
  <c r="L359" i="23"/>
  <c r="L361" i="23"/>
  <c r="L362" i="23"/>
  <c r="L363" i="23"/>
  <c r="AF55" i="7" s="1"/>
  <c r="L365" i="23"/>
  <c r="L368" i="23"/>
  <c r="L369" i="23"/>
  <c r="L370" i="23"/>
  <c r="L371" i="23"/>
  <c r="L374" i="23"/>
  <c r="L375" i="23"/>
  <c r="L376" i="23"/>
  <c r="L58" i="23"/>
  <c r="L60" i="23"/>
  <c r="AF45" i="7" s="1"/>
  <c r="L63" i="23"/>
  <c r="L41" i="23"/>
  <c r="L42" i="23"/>
  <c r="L44" i="23"/>
  <c r="L57" i="23"/>
  <c r="L26" i="23"/>
  <c r="L35" i="23"/>
  <c r="L39" i="23"/>
  <c r="L46" i="23"/>
  <c r="L17" i="23"/>
  <c r="L31" i="23"/>
  <c r="L34" i="23"/>
  <c r="L38" i="23"/>
  <c r="L40" i="23"/>
  <c r="L18" i="23"/>
  <c r="L22" i="23"/>
  <c r="L28" i="23"/>
  <c r="L29" i="23"/>
  <c r="AF44" i="7" s="1"/>
  <c r="L30" i="23"/>
  <c r="L25" i="23"/>
  <c r="L24" i="23"/>
  <c r="L15" i="23"/>
  <c r="L56" i="23"/>
  <c r="L66" i="23"/>
  <c r="L75" i="23"/>
  <c r="L77" i="23"/>
  <c r="L82" i="23"/>
  <c r="L87" i="23"/>
  <c r="L94" i="23"/>
  <c r="L97" i="23"/>
  <c r="L100" i="23"/>
  <c r="L104" i="23"/>
  <c r="L110" i="23"/>
  <c r="L69" i="23"/>
  <c r="L83" i="23"/>
  <c r="L89" i="23"/>
  <c r="L78" i="22"/>
  <c r="L145" i="22"/>
  <c r="L150" i="22"/>
  <c r="L162" i="22"/>
  <c r="L164" i="22"/>
  <c r="L165" i="22"/>
  <c r="L169" i="22"/>
  <c r="L170" i="22"/>
  <c r="L171" i="22"/>
  <c r="L175" i="22"/>
  <c r="L178" i="22"/>
  <c r="L186" i="22"/>
  <c r="L190" i="22"/>
  <c r="L75" i="22"/>
  <c r="L120" i="22"/>
  <c r="L154" i="22"/>
  <c r="L176" i="22"/>
  <c r="L183" i="22"/>
  <c r="L185" i="22"/>
  <c r="L189" i="22"/>
  <c r="L191" i="22"/>
  <c r="L193" i="22"/>
  <c r="L202" i="22"/>
  <c r="L204" i="22"/>
  <c r="L205" i="22"/>
  <c r="L207" i="22"/>
  <c r="L208" i="22"/>
  <c r="L214" i="22"/>
  <c r="L221" i="22"/>
  <c r="L222" i="22"/>
  <c r="L232" i="22"/>
  <c r="L246" i="22"/>
  <c r="L253" i="22"/>
  <c r="L257" i="22"/>
  <c r="L260" i="22"/>
  <c r="L266" i="22"/>
  <c r="L269" i="22"/>
  <c r="L272" i="22"/>
  <c r="AF40" i="7" s="1"/>
  <c r="L273" i="22"/>
  <c r="L274" i="22"/>
  <c r="L280" i="22"/>
  <c r="L182" i="22"/>
  <c r="L195" i="22"/>
  <c r="L206" i="22"/>
  <c r="L212" i="22"/>
  <c r="L224" i="22"/>
  <c r="L225" i="22"/>
  <c r="L231" i="22"/>
  <c r="L236" i="22"/>
  <c r="L251" i="22"/>
  <c r="L256" i="22"/>
  <c r="L259" i="22"/>
  <c r="L275" i="22"/>
  <c r="L276" i="22"/>
  <c r="L279" i="22"/>
  <c r="L281" i="22"/>
  <c r="L283" i="22"/>
  <c r="L284" i="22"/>
  <c r="L285" i="22"/>
  <c r="L286" i="22"/>
  <c r="L287" i="22"/>
  <c r="L290" i="22"/>
  <c r="L291" i="22"/>
  <c r="L293" i="22"/>
  <c r="L294" i="22"/>
  <c r="L296" i="22"/>
  <c r="L298" i="22"/>
  <c r="L299" i="22"/>
  <c r="L302" i="22"/>
  <c r="AF41" i="7" s="1"/>
  <c r="L304" i="22"/>
  <c r="L305" i="22"/>
  <c r="L306" i="22"/>
  <c r="L311" i="22"/>
  <c r="L313" i="22"/>
  <c r="L314" i="22"/>
  <c r="L315" i="22"/>
  <c r="L317" i="22"/>
  <c r="L319" i="22"/>
  <c r="L323" i="22"/>
  <c r="L324" i="22"/>
  <c r="L325" i="22"/>
  <c r="L326" i="22"/>
  <c r="L327" i="22"/>
  <c r="L328" i="22"/>
  <c r="L330" i="22"/>
  <c r="L332" i="22"/>
  <c r="L333" i="22"/>
  <c r="AF42" i="7" s="1"/>
  <c r="L334" i="22"/>
  <c r="L338" i="22"/>
  <c r="L340" i="22"/>
  <c r="L341" i="22"/>
  <c r="L345" i="22"/>
  <c r="L346" i="22"/>
  <c r="L348" i="22"/>
  <c r="L350" i="22"/>
  <c r="L351" i="22"/>
  <c r="L353" i="22"/>
  <c r="L356" i="22"/>
  <c r="L359" i="22"/>
  <c r="L363" i="22"/>
  <c r="AF43" i="7" s="1"/>
  <c r="L365" i="22"/>
  <c r="L366" i="22"/>
  <c r="L368" i="22"/>
  <c r="L369" i="22"/>
  <c r="L372" i="22"/>
  <c r="L373" i="22"/>
  <c r="L376" i="22"/>
  <c r="L378" i="22"/>
  <c r="L380" i="22"/>
  <c r="L48" i="22"/>
  <c r="L57" i="22"/>
  <c r="L60" i="22"/>
  <c r="AF33" i="7" s="1"/>
  <c r="L63" i="22"/>
  <c r="L68" i="22"/>
  <c r="L70" i="22"/>
  <c r="L16" i="22"/>
  <c r="L37" i="22"/>
  <c r="L40" i="22"/>
  <c r="L51" i="22"/>
  <c r="L56" i="22"/>
  <c r="L44" i="22"/>
  <c r="L45" i="22"/>
  <c r="L46" i="22"/>
  <c r="L50" i="22"/>
  <c r="L54" i="22"/>
  <c r="L39" i="22"/>
  <c r="L15" i="22"/>
  <c r="L19" i="22"/>
  <c r="L24" i="22"/>
  <c r="L26" i="22"/>
  <c r="L29" i="22"/>
  <c r="AF32" i="7" s="1"/>
  <c r="L30" i="22"/>
  <c r="L28" i="22"/>
  <c r="L18" i="22"/>
  <c r="L66" i="17"/>
  <c r="D66" i="17" s="1"/>
  <c r="L98" i="17"/>
  <c r="D98" i="17" s="1"/>
  <c r="L100" i="17"/>
  <c r="D100" i="17" s="1"/>
  <c r="L103" i="17"/>
  <c r="D103" i="17" s="1"/>
  <c r="L107" i="17"/>
  <c r="D107" i="17" s="1"/>
  <c r="L110" i="17"/>
  <c r="D110" i="17" s="1"/>
  <c r="L112" i="17"/>
  <c r="D112" i="17" s="1"/>
  <c r="L117" i="17"/>
  <c r="D117" i="17" s="1"/>
  <c r="L118" i="17"/>
  <c r="D118" i="17" s="1"/>
  <c r="L120" i="17"/>
  <c r="D120" i="17" s="1"/>
  <c r="L127" i="17"/>
  <c r="D127" i="17" s="1"/>
  <c r="L129" i="17"/>
  <c r="D129" i="17" s="1"/>
  <c r="L132" i="17"/>
  <c r="D132" i="17" s="1"/>
  <c r="L133" i="17"/>
  <c r="D133" i="17" s="1"/>
  <c r="L142" i="17"/>
  <c r="D142" i="17" s="1"/>
  <c r="L143" i="17"/>
  <c r="D143" i="17" s="1"/>
  <c r="L146" i="17"/>
  <c r="D146" i="17" s="1"/>
  <c r="L147" i="17"/>
  <c r="D147" i="17" s="1"/>
  <c r="L148" i="17"/>
  <c r="D148" i="17" s="1"/>
  <c r="L149" i="17"/>
  <c r="B60" i="7" s="1"/>
  <c r="L150" i="17"/>
  <c r="D150" i="17" s="1"/>
  <c r="L151" i="17"/>
  <c r="D151" i="17" s="1"/>
  <c r="L152" i="17"/>
  <c r="D152" i="17" s="1"/>
  <c r="L158" i="17"/>
  <c r="D158" i="17" s="1"/>
  <c r="L161" i="17"/>
  <c r="D161" i="17" s="1"/>
  <c r="L163" i="17"/>
  <c r="D163" i="17" s="1"/>
  <c r="L164" i="17"/>
  <c r="D164" i="17" s="1"/>
  <c r="L167" i="17"/>
  <c r="D167" i="17" s="1"/>
  <c r="L168" i="17"/>
  <c r="D168" i="17" s="1"/>
  <c r="L170" i="17"/>
  <c r="D170" i="17" s="1"/>
  <c r="L172" i="17"/>
  <c r="D172" i="17" s="1"/>
  <c r="L173" i="17"/>
  <c r="D173" i="17" s="1"/>
  <c r="L176" i="17"/>
  <c r="D176" i="17" s="1"/>
  <c r="L178" i="17"/>
  <c r="D178" i="17" s="1"/>
  <c r="L183" i="17"/>
  <c r="D183" i="17" s="1"/>
  <c r="L184" i="17"/>
  <c r="D184" i="17" s="1"/>
  <c r="L190" i="17"/>
  <c r="D190" i="17" s="1"/>
  <c r="L191" i="17"/>
  <c r="D191" i="17" s="1"/>
  <c r="L69" i="17"/>
  <c r="D69" i="17" s="1"/>
  <c r="L74" i="17"/>
  <c r="D74" i="17" s="1"/>
  <c r="L101" i="17"/>
  <c r="D101" i="17" s="1"/>
  <c r="L104" i="17"/>
  <c r="D104" i="17" s="1"/>
  <c r="L125" i="17"/>
  <c r="D125" i="17" s="1"/>
  <c r="L145" i="17"/>
  <c r="D145" i="17" s="1"/>
  <c r="L155" i="17"/>
  <c r="D155" i="17" s="1"/>
  <c r="L157" i="17"/>
  <c r="D157" i="17" s="1"/>
  <c r="L160" i="17"/>
  <c r="D160" i="17" s="1"/>
  <c r="L162" i="17"/>
  <c r="D162" i="17" s="1"/>
  <c r="L165" i="17"/>
  <c r="D165" i="17" s="1"/>
  <c r="L174" i="17"/>
  <c r="D174" i="17" s="1"/>
  <c r="L175" i="17"/>
  <c r="D175" i="17" s="1"/>
  <c r="L177" i="17"/>
  <c r="D177" i="17" s="1"/>
  <c r="L179" i="17"/>
  <c r="D179" i="17" s="1"/>
  <c r="L186" i="17"/>
  <c r="D186" i="17" s="1"/>
  <c r="L189" i="17"/>
  <c r="D189" i="17" s="1"/>
  <c r="L196" i="17"/>
  <c r="D196" i="17" s="1"/>
  <c r="L202" i="17"/>
  <c r="D202" i="17" s="1"/>
  <c r="L204" i="17"/>
  <c r="D204" i="17" s="1"/>
  <c r="L205" i="17"/>
  <c r="D205" i="17" s="1"/>
  <c r="L206" i="17"/>
  <c r="D206" i="17" s="1"/>
  <c r="L208" i="17"/>
  <c r="D208" i="17" s="1"/>
  <c r="L209" i="17"/>
  <c r="D209" i="17" s="1"/>
  <c r="L212" i="17"/>
  <c r="D212" i="17" s="1"/>
  <c r="L213" i="17"/>
  <c r="D213" i="17" s="1"/>
  <c r="L214" i="17"/>
  <c r="D214" i="17" s="1"/>
  <c r="L216" i="17"/>
  <c r="D216" i="17" s="1"/>
  <c r="L218" i="17"/>
  <c r="D218" i="17" s="1"/>
  <c r="L219" i="17"/>
  <c r="D219" i="17" s="1"/>
  <c r="L220" i="17"/>
  <c r="D220" i="17" s="1"/>
  <c r="L221" i="17"/>
  <c r="D221" i="17" s="1"/>
  <c r="L222" i="17"/>
  <c r="D222" i="17" s="1"/>
  <c r="L225" i="17"/>
  <c r="D225" i="17" s="1"/>
  <c r="L226" i="17"/>
  <c r="D226" i="17" s="1"/>
  <c r="L227" i="17"/>
  <c r="D227" i="17" s="1"/>
  <c r="L231" i="17"/>
  <c r="D231" i="17" s="1"/>
  <c r="L232" i="17"/>
  <c r="D232" i="17" s="1"/>
  <c r="L233" i="17"/>
  <c r="D233" i="17" s="1"/>
  <c r="L234" i="17"/>
  <c r="D234" i="17" s="1"/>
  <c r="L239" i="17"/>
  <c r="D239" i="17" s="1"/>
  <c r="L240" i="17"/>
  <c r="D240" i="17" s="1"/>
  <c r="L241" i="17"/>
  <c r="D241" i="17" s="1"/>
  <c r="L243" i="17"/>
  <c r="D243" i="17" s="1"/>
  <c r="L246" i="17"/>
  <c r="D246" i="17" s="1"/>
  <c r="L248" i="17"/>
  <c r="D248" i="17" s="1"/>
  <c r="L249" i="17"/>
  <c r="D249" i="17" s="1"/>
  <c r="L250" i="17"/>
  <c r="D250" i="17" s="1"/>
  <c r="L254" i="17"/>
  <c r="D254" i="17" s="1"/>
  <c r="L257" i="17"/>
  <c r="D257" i="17" s="1"/>
  <c r="L258" i="17"/>
  <c r="D258" i="17" s="1"/>
  <c r="L259" i="17"/>
  <c r="D259" i="17" s="1"/>
  <c r="L261" i="17"/>
  <c r="D261" i="17" s="1"/>
  <c r="L263" i="17"/>
  <c r="D263" i="17" s="1"/>
  <c r="L264" i="17"/>
  <c r="D264" i="17" s="1"/>
  <c r="L266" i="17"/>
  <c r="D266" i="17" s="1"/>
  <c r="L267" i="17"/>
  <c r="D267" i="17" s="1"/>
  <c r="L270" i="17"/>
  <c r="D270" i="17" s="1"/>
  <c r="L272" i="17"/>
  <c r="B64" i="7" s="1"/>
  <c r="L273" i="17"/>
  <c r="D273" i="17" s="1"/>
  <c r="L274" i="17"/>
  <c r="D274" i="17" s="1"/>
  <c r="L275" i="17"/>
  <c r="D275" i="17" s="1"/>
  <c r="L277" i="17"/>
  <c r="D277" i="17" s="1"/>
  <c r="L281" i="17"/>
  <c r="D281" i="17" s="1"/>
  <c r="L283" i="17"/>
  <c r="D283" i="17" s="1"/>
  <c r="L87" i="17"/>
  <c r="D87" i="17" s="1"/>
  <c r="L88" i="17"/>
  <c r="L90" i="17"/>
  <c r="D90" i="17" s="1"/>
  <c r="L106" i="17"/>
  <c r="D106" i="17" s="1"/>
  <c r="L121" i="17"/>
  <c r="D121" i="17" s="1"/>
  <c r="L144" i="17"/>
  <c r="D144" i="17" s="1"/>
  <c r="L153" i="17"/>
  <c r="D153" i="17" s="1"/>
  <c r="L154" i="17"/>
  <c r="D154" i="17" s="1"/>
  <c r="L166" i="17"/>
  <c r="D166" i="17" s="1"/>
  <c r="L185" i="17"/>
  <c r="D185" i="17" s="1"/>
  <c r="L187" i="17"/>
  <c r="D187" i="17" s="1"/>
  <c r="L188" i="17"/>
  <c r="D188" i="17" s="1"/>
  <c r="L192" i="17"/>
  <c r="D192" i="17" s="1"/>
  <c r="L193" i="17"/>
  <c r="D193" i="17" s="1"/>
  <c r="L194" i="17"/>
  <c r="D194" i="17" s="1"/>
  <c r="L198" i="17"/>
  <c r="D198" i="17" s="1"/>
  <c r="L207" i="17"/>
  <c r="D207" i="17" s="1"/>
  <c r="L211" i="17"/>
  <c r="D211" i="17" s="1"/>
  <c r="L215" i="17"/>
  <c r="D215" i="17" s="1"/>
  <c r="L223" i="17"/>
  <c r="D223" i="17" s="1"/>
  <c r="L224" i="17"/>
  <c r="D224" i="17" s="1"/>
  <c r="L228" i="17"/>
  <c r="D228" i="17" s="1"/>
  <c r="L229" i="17"/>
  <c r="D229" i="17" s="1"/>
  <c r="L242" i="17"/>
  <c r="D242" i="17" s="1"/>
  <c r="L252" i="17"/>
  <c r="D252" i="17" s="1"/>
  <c r="L253" i="17"/>
  <c r="D253" i="17" s="1"/>
  <c r="L256" i="17"/>
  <c r="D256" i="17" s="1"/>
  <c r="L262" i="17"/>
  <c r="D262" i="17" s="1"/>
  <c r="L265" i="17"/>
  <c r="D265" i="17" s="1"/>
  <c r="L271" i="17"/>
  <c r="D271" i="17" s="1"/>
  <c r="L278" i="17"/>
  <c r="D278" i="17" s="1"/>
  <c r="L280" i="17"/>
  <c r="D280" i="17" s="1"/>
  <c r="L286" i="17"/>
  <c r="D286" i="17" s="1"/>
  <c r="L287" i="17"/>
  <c r="D287" i="17" s="1"/>
  <c r="L288" i="17"/>
  <c r="D288" i="17" s="1"/>
  <c r="L293" i="17"/>
  <c r="D293" i="17" s="1"/>
  <c r="L294" i="17"/>
  <c r="D294" i="17" s="1"/>
  <c r="L295" i="17"/>
  <c r="D295" i="17" s="1"/>
  <c r="L297" i="17"/>
  <c r="D297" i="17" s="1"/>
  <c r="L299" i="17"/>
  <c r="D299" i="17" s="1"/>
  <c r="L300" i="17"/>
  <c r="D300" i="17" s="1"/>
  <c r="L304" i="17"/>
  <c r="D304" i="17" s="1"/>
  <c r="L309" i="17"/>
  <c r="D309" i="17" s="1"/>
  <c r="L310" i="17"/>
  <c r="D310" i="17" s="1"/>
  <c r="L312" i="17"/>
  <c r="D312" i="17" s="1"/>
  <c r="L313" i="17"/>
  <c r="D313" i="17" s="1"/>
  <c r="L315" i="17"/>
  <c r="D315" i="17" s="1"/>
  <c r="L316" i="17"/>
  <c r="D316" i="17" s="1"/>
  <c r="L317" i="17"/>
  <c r="D317" i="17" s="1"/>
  <c r="L318" i="17"/>
  <c r="D318" i="17" s="1"/>
  <c r="L319" i="17"/>
  <c r="D319" i="17" s="1"/>
  <c r="L320" i="17"/>
  <c r="D320" i="17" s="1"/>
  <c r="L323" i="17"/>
  <c r="D323" i="17" s="1"/>
  <c r="L324" i="17"/>
  <c r="D324" i="17" s="1"/>
  <c r="L326" i="17"/>
  <c r="D326" i="17" s="1"/>
  <c r="L327" i="17"/>
  <c r="D327" i="17" s="1"/>
  <c r="L329" i="17"/>
  <c r="D329" i="17" s="1"/>
  <c r="L330" i="17"/>
  <c r="D330" i="17" s="1"/>
  <c r="L331" i="17"/>
  <c r="D331" i="17" s="1"/>
  <c r="L333" i="17"/>
  <c r="D333" i="17" s="1"/>
  <c r="L334" i="17"/>
  <c r="D334" i="17" s="1"/>
  <c r="L335" i="17"/>
  <c r="D335" i="17" s="1"/>
  <c r="L341" i="17"/>
  <c r="D341" i="17" s="1"/>
  <c r="L342" i="17"/>
  <c r="D342" i="17" s="1"/>
  <c r="L346" i="17"/>
  <c r="D346" i="17" s="1"/>
  <c r="L348" i="17"/>
  <c r="D348" i="17" s="1"/>
  <c r="L349" i="17"/>
  <c r="D349" i="17" s="1"/>
  <c r="L350" i="17"/>
  <c r="D350" i="17" s="1"/>
  <c r="L351" i="17"/>
  <c r="D351" i="17" s="1"/>
  <c r="L353" i="17"/>
  <c r="D353" i="17" s="1"/>
  <c r="L355" i="17"/>
  <c r="D355" i="17" s="1"/>
  <c r="L356" i="17"/>
  <c r="D356" i="17" s="1"/>
  <c r="L359" i="17"/>
  <c r="D359" i="17" s="1"/>
  <c r="L360" i="17"/>
  <c r="D360" i="17" s="1"/>
  <c r="L361" i="17"/>
  <c r="D361" i="17" s="1"/>
  <c r="L364" i="17"/>
  <c r="D364" i="17" s="1"/>
  <c r="L368" i="17"/>
  <c r="D368" i="17" s="1"/>
  <c r="L370" i="17"/>
  <c r="D370" i="17" s="1"/>
  <c r="L371" i="17"/>
  <c r="D371" i="17" s="1"/>
  <c r="L373" i="17"/>
  <c r="D373" i="17" s="1"/>
  <c r="L374" i="17"/>
  <c r="D374" i="17" s="1"/>
  <c r="L375" i="17"/>
  <c r="D375" i="17" s="1"/>
  <c r="L377" i="17"/>
  <c r="D377" i="17" s="1"/>
  <c r="L378" i="17"/>
  <c r="D378" i="17" s="1"/>
  <c r="L379" i="17"/>
  <c r="L64" i="17"/>
  <c r="D64" i="17" s="1"/>
  <c r="L70" i="17"/>
  <c r="D70" i="17" s="1"/>
  <c r="L26" i="17"/>
  <c r="D26" i="17" s="1"/>
  <c r="L50" i="17"/>
  <c r="D50" i="17" s="1"/>
  <c r="L58" i="17"/>
  <c r="D58" i="17" s="1"/>
  <c r="L59" i="17"/>
  <c r="D59" i="17" s="1"/>
  <c r="L35" i="17"/>
  <c r="D35" i="17" s="1"/>
  <c r="L37" i="17"/>
  <c r="D37" i="17" s="1"/>
  <c r="L39" i="17"/>
  <c r="D39" i="17" s="1"/>
  <c r="L45" i="17"/>
  <c r="D45" i="17" s="1"/>
  <c r="L46" i="17"/>
  <c r="D46" i="17" s="1"/>
  <c r="L52" i="17"/>
  <c r="D52" i="17" s="1"/>
  <c r="L54" i="17"/>
  <c r="D54" i="17" s="1"/>
  <c r="L24" i="17"/>
  <c r="D24" i="17" s="1"/>
  <c r="L31" i="17"/>
  <c r="D31" i="17" s="1"/>
  <c r="L41" i="17"/>
  <c r="D41" i="17" s="1"/>
  <c r="L44" i="17"/>
  <c r="D44" i="17" s="1"/>
  <c r="L15" i="17"/>
  <c r="D15" i="17" s="1"/>
  <c r="L20" i="17"/>
  <c r="D20" i="17" s="1"/>
  <c r="L23" i="17"/>
  <c r="D23" i="17" s="1"/>
  <c r="L25" i="17"/>
  <c r="D25" i="17" s="1"/>
  <c r="L33" i="17"/>
  <c r="D33" i="17" s="1"/>
  <c r="L34" i="17"/>
  <c r="D34" i="17" s="1"/>
  <c r="L36" i="17"/>
  <c r="D36" i="17" s="1"/>
  <c r="L22" i="17"/>
  <c r="D22" i="17" s="1"/>
  <c r="L16" i="17"/>
  <c r="D16" i="17" s="1"/>
  <c r="AJ7" i="1"/>
  <c r="AJ11" i="1" s="1"/>
  <c r="L97" i="15"/>
  <c r="D97" i="15" s="1"/>
  <c r="L98" i="15"/>
  <c r="D98" i="15" s="1"/>
  <c r="L107" i="15"/>
  <c r="D107" i="15" s="1"/>
  <c r="L108" i="15"/>
  <c r="D108" i="15" s="1"/>
  <c r="L109" i="15"/>
  <c r="D109" i="15" s="1"/>
  <c r="L115" i="15"/>
  <c r="D115" i="15" s="1"/>
  <c r="L116" i="15"/>
  <c r="D116" i="15" s="1"/>
  <c r="L120" i="15"/>
  <c r="D120" i="15" s="1"/>
  <c r="L121" i="15"/>
  <c r="D121" i="15" s="1"/>
  <c r="L124" i="15"/>
  <c r="D124" i="15" s="1"/>
  <c r="L127" i="15"/>
  <c r="D127" i="15" s="1"/>
  <c r="L136" i="15"/>
  <c r="D136" i="15" s="1"/>
  <c r="L142" i="15"/>
  <c r="D142" i="15" s="1"/>
  <c r="L143" i="15"/>
  <c r="D143" i="15" s="1"/>
  <c r="L144" i="15"/>
  <c r="D144" i="15" s="1"/>
  <c r="L145" i="15"/>
  <c r="D145" i="15" s="1"/>
  <c r="L147" i="15"/>
  <c r="D147" i="15" s="1"/>
  <c r="L148" i="15"/>
  <c r="D148" i="15" s="1"/>
  <c r="L149" i="15"/>
  <c r="L150" i="15"/>
  <c r="D150" i="15" s="1"/>
  <c r="L151" i="15"/>
  <c r="D151" i="15" s="1"/>
  <c r="L152" i="15"/>
  <c r="D152" i="15" s="1"/>
  <c r="L153" i="15"/>
  <c r="D153" i="15" s="1"/>
  <c r="L154" i="15"/>
  <c r="D154" i="15" s="1"/>
  <c r="L157" i="15"/>
  <c r="D157" i="15" s="1"/>
  <c r="L158" i="15"/>
  <c r="D158" i="15" s="1"/>
  <c r="L160" i="15"/>
  <c r="D160" i="15" s="1"/>
  <c r="L161" i="15"/>
  <c r="D161" i="15" s="1"/>
  <c r="L163" i="15"/>
  <c r="D163" i="15" s="1"/>
  <c r="L166" i="15"/>
  <c r="D166" i="15" s="1"/>
  <c r="L167" i="15"/>
  <c r="D167" i="15" s="1"/>
  <c r="L168" i="15"/>
  <c r="D168" i="15" s="1"/>
  <c r="L174" i="15"/>
  <c r="D174" i="15" s="1"/>
  <c r="L177" i="15"/>
  <c r="D177" i="15" s="1"/>
  <c r="L178" i="15"/>
  <c r="D178" i="15" s="1"/>
  <c r="L180" i="15"/>
  <c r="L181" i="15"/>
  <c r="D181" i="15" s="1"/>
  <c r="L182" i="15"/>
  <c r="D182" i="15" s="1"/>
  <c r="L186" i="15"/>
  <c r="D186" i="15" s="1"/>
  <c r="L187" i="15"/>
  <c r="D187" i="15" s="1"/>
  <c r="L188" i="15"/>
  <c r="D188" i="15" s="1"/>
  <c r="L66" i="15"/>
  <c r="D66" i="15" s="1"/>
  <c r="L75" i="15"/>
  <c r="D75" i="15" s="1"/>
  <c r="L96" i="15"/>
  <c r="D96" i="15" s="1"/>
  <c r="L101" i="15"/>
  <c r="D101" i="15" s="1"/>
  <c r="L105" i="15"/>
  <c r="D105" i="15" s="1"/>
  <c r="L135" i="15"/>
  <c r="D135" i="15" s="1"/>
  <c r="L139" i="15"/>
  <c r="D139" i="15" s="1"/>
  <c r="L159" i="15"/>
  <c r="D159" i="15" s="1"/>
  <c r="L162" i="15"/>
  <c r="D162" i="15" s="1"/>
  <c r="L169" i="15"/>
  <c r="D169" i="15" s="1"/>
  <c r="L171" i="15"/>
  <c r="D171" i="15" s="1"/>
  <c r="L172" i="15"/>
  <c r="D172" i="15" s="1"/>
  <c r="L176" i="15"/>
  <c r="D176" i="15" s="1"/>
  <c r="L179" i="15"/>
  <c r="D179" i="15" s="1"/>
  <c r="L189" i="15"/>
  <c r="D189" i="15" s="1"/>
  <c r="L192" i="15"/>
  <c r="D192" i="15" s="1"/>
  <c r="L194" i="15"/>
  <c r="D194" i="15" s="1"/>
  <c r="L196" i="15"/>
  <c r="D196" i="15" s="1"/>
  <c r="L197" i="15"/>
  <c r="D197" i="15" s="1"/>
  <c r="L198" i="15"/>
  <c r="D198" i="15" s="1"/>
  <c r="L199" i="15"/>
  <c r="D199" i="15" s="1"/>
  <c r="L202" i="15"/>
  <c r="D202" i="15" s="1"/>
  <c r="L205" i="15"/>
  <c r="D205" i="15" s="1"/>
  <c r="L206" i="15"/>
  <c r="D206" i="15" s="1"/>
  <c r="L210" i="15"/>
  <c r="B38" i="7" s="1"/>
  <c r="L213" i="15"/>
  <c r="D213" i="15" s="1"/>
  <c r="L214" i="15"/>
  <c r="D214" i="15" s="1"/>
  <c r="L216" i="15"/>
  <c r="D216" i="15" s="1"/>
  <c r="L217" i="15"/>
  <c r="D217" i="15" s="1"/>
  <c r="L218" i="15"/>
  <c r="D218" i="15" s="1"/>
  <c r="L219" i="15"/>
  <c r="D219" i="15" s="1"/>
  <c r="L220" i="15"/>
  <c r="D220" i="15" s="1"/>
  <c r="L223" i="15"/>
  <c r="D223" i="15" s="1"/>
  <c r="L224" i="15"/>
  <c r="D224" i="15" s="1"/>
  <c r="L225" i="15"/>
  <c r="D225" i="15" s="1"/>
  <c r="L226" i="15"/>
  <c r="D226" i="15" s="1"/>
  <c r="L228" i="15"/>
  <c r="D228" i="15" s="1"/>
  <c r="L231" i="15"/>
  <c r="D231" i="15" s="1"/>
  <c r="L236" i="15"/>
  <c r="D236" i="15" s="1"/>
  <c r="L237" i="15"/>
  <c r="D237" i="15" s="1"/>
  <c r="L241" i="15"/>
  <c r="L243" i="15"/>
  <c r="D243" i="15" s="1"/>
  <c r="L245" i="15"/>
  <c r="D245" i="15" s="1"/>
  <c r="L246" i="15"/>
  <c r="D246" i="15" s="1"/>
  <c r="L248" i="15"/>
  <c r="D248" i="15" s="1"/>
  <c r="L250" i="15"/>
  <c r="D250" i="15" s="1"/>
  <c r="L251" i="15"/>
  <c r="D251" i="15" s="1"/>
  <c r="L253" i="15"/>
  <c r="D253" i="15" s="1"/>
  <c r="L255" i="15"/>
  <c r="D255" i="15" s="1"/>
  <c r="L257" i="15"/>
  <c r="D257" i="15" s="1"/>
  <c r="L259" i="15"/>
  <c r="D259" i="15" s="1"/>
  <c r="L260" i="15"/>
  <c r="D260" i="15" s="1"/>
  <c r="L261" i="15"/>
  <c r="D261" i="15" s="1"/>
  <c r="L263" i="15"/>
  <c r="D263" i="15" s="1"/>
  <c r="L265" i="15"/>
  <c r="D265" i="15" s="1"/>
  <c r="L266" i="15"/>
  <c r="D266" i="15" s="1"/>
  <c r="L267" i="15"/>
  <c r="D267" i="15" s="1"/>
  <c r="L269" i="15"/>
  <c r="D269" i="15" s="1"/>
  <c r="L270" i="15"/>
  <c r="D270" i="15" s="1"/>
  <c r="L272" i="15"/>
  <c r="L276" i="15"/>
  <c r="D276" i="15" s="1"/>
  <c r="L278" i="15"/>
  <c r="D278" i="15" s="1"/>
  <c r="L89" i="15"/>
  <c r="D89" i="15" s="1"/>
  <c r="L93" i="15"/>
  <c r="D93" i="15" s="1"/>
  <c r="L99" i="15"/>
  <c r="D99" i="15" s="1"/>
  <c r="L104" i="15"/>
  <c r="D104" i="15" s="1"/>
  <c r="L119" i="15"/>
  <c r="B35" i="7" s="1"/>
  <c r="L128" i="15"/>
  <c r="D128" i="15" s="1"/>
  <c r="L129" i="15"/>
  <c r="D129" i="15" s="1"/>
  <c r="L132" i="15"/>
  <c r="D132" i="15" s="1"/>
  <c r="L137" i="15"/>
  <c r="D137" i="15" s="1"/>
  <c r="L146" i="15"/>
  <c r="D146" i="15" s="1"/>
  <c r="L175" i="15"/>
  <c r="D175" i="15" s="1"/>
  <c r="L183" i="15"/>
  <c r="D183" i="15" s="1"/>
  <c r="L184" i="15"/>
  <c r="D184" i="15" s="1"/>
  <c r="L185" i="15"/>
  <c r="D185" i="15" s="1"/>
  <c r="L190" i="15"/>
  <c r="D190" i="15" s="1"/>
  <c r="L193" i="15"/>
  <c r="D193" i="15" s="1"/>
  <c r="L195" i="15"/>
  <c r="D195" i="15" s="1"/>
  <c r="L203" i="15"/>
  <c r="D203" i="15" s="1"/>
  <c r="L204" i="15"/>
  <c r="D204" i="15" s="1"/>
  <c r="L207" i="15"/>
  <c r="D207" i="15" s="1"/>
  <c r="L208" i="15"/>
  <c r="D208" i="15" s="1"/>
  <c r="L211" i="15"/>
  <c r="D211" i="15" s="1"/>
  <c r="L212" i="15"/>
  <c r="D212" i="15" s="1"/>
  <c r="L215" i="15"/>
  <c r="D215" i="15" s="1"/>
  <c r="L221" i="15"/>
  <c r="D221" i="15" s="1"/>
  <c r="L222" i="15"/>
  <c r="D222" i="15" s="1"/>
  <c r="L229" i="15"/>
  <c r="D229" i="15" s="1"/>
  <c r="L239" i="15"/>
  <c r="D239" i="15" s="1"/>
  <c r="L244" i="15"/>
  <c r="D244" i="15" s="1"/>
  <c r="L247" i="15"/>
  <c r="D247" i="15" s="1"/>
  <c r="L249" i="15"/>
  <c r="D249" i="15" s="1"/>
  <c r="L252" i="15"/>
  <c r="D252" i="15" s="1"/>
  <c r="L254" i="15"/>
  <c r="D254" i="15" s="1"/>
  <c r="L256" i="15"/>
  <c r="D256" i="15" s="1"/>
  <c r="L264" i="15"/>
  <c r="D264" i="15" s="1"/>
  <c r="L271" i="15"/>
  <c r="D271" i="15" s="1"/>
  <c r="L274" i="15"/>
  <c r="D274" i="15" s="1"/>
  <c r="L280" i="15"/>
  <c r="D280" i="15" s="1"/>
  <c r="L283" i="15"/>
  <c r="D283" i="15" s="1"/>
  <c r="L284" i="15"/>
  <c r="D284" i="15" s="1"/>
  <c r="L286" i="15"/>
  <c r="D286" i="15" s="1"/>
  <c r="L287" i="15"/>
  <c r="D287" i="15" s="1"/>
  <c r="L290" i="15"/>
  <c r="D290" i="15" s="1"/>
  <c r="L291" i="15"/>
  <c r="D291" i="15" s="1"/>
  <c r="L292" i="15"/>
  <c r="D292" i="15" s="1"/>
  <c r="L293" i="15"/>
  <c r="D293" i="15" s="1"/>
  <c r="L297" i="15"/>
  <c r="D297" i="15" s="1"/>
  <c r="L300" i="15"/>
  <c r="D300" i="15" s="1"/>
  <c r="L302" i="15"/>
  <c r="D302" i="15" s="1"/>
  <c r="L303" i="15"/>
  <c r="D303" i="15" s="1"/>
  <c r="L304" i="15"/>
  <c r="D304" i="15" s="1"/>
  <c r="L307" i="15"/>
  <c r="D307" i="15" s="1"/>
  <c r="L310" i="15"/>
  <c r="D310" i="15" s="1"/>
  <c r="L312" i="15"/>
  <c r="D312" i="15" s="1"/>
  <c r="L315" i="15"/>
  <c r="D315" i="15" s="1"/>
  <c r="L319" i="15"/>
  <c r="D319" i="15" s="1"/>
  <c r="L321" i="15"/>
  <c r="D321" i="15" s="1"/>
  <c r="L322" i="15"/>
  <c r="D322" i="15" s="1"/>
  <c r="L323" i="15"/>
  <c r="D323" i="15" s="1"/>
  <c r="L324" i="15"/>
  <c r="D324" i="15" s="1"/>
  <c r="L332" i="15"/>
  <c r="D332" i="15" s="1"/>
  <c r="L334" i="15"/>
  <c r="D334" i="15" s="1"/>
  <c r="L335" i="15"/>
  <c r="D335" i="15" s="1"/>
  <c r="L337" i="15"/>
  <c r="D337" i="15" s="1"/>
  <c r="L338" i="15"/>
  <c r="D338" i="15" s="1"/>
  <c r="L339" i="15"/>
  <c r="D339" i="15" s="1"/>
  <c r="L340" i="15"/>
  <c r="D340" i="15" s="1"/>
  <c r="L341" i="15"/>
  <c r="D341" i="15" s="1"/>
  <c r="L346" i="15"/>
  <c r="D346" i="15" s="1"/>
  <c r="L347" i="15"/>
  <c r="D347" i="15" s="1"/>
  <c r="L348" i="15"/>
  <c r="D348" i="15" s="1"/>
  <c r="L353" i="15"/>
  <c r="D353" i="15" s="1"/>
  <c r="L354" i="15"/>
  <c r="D354" i="15" s="1"/>
  <c r="L355" i="15"/>
  <c r="D355" i="15" s="1"/>
  <c r="L359" i="15"/>
  <c r="D359" i="15" s="1"/>
  <c r="L362" i="15"/>
  <c r="D362" i="15" s="1"/>
  <c r="L364" i="15"/>
  <c r="D364" i="15" s="1"/>
  <c r="L365" i="15"/>
  <c r="D365" i="15" s="1"/>
  <c r="L366" i="15"/>
  <c r="D366" i="15" s="1"/>
  <c r="L367" i="15"/>
  <c r="D367" i="15" s="1"/>
  <c r="L370" i="15"/>
  <c r="D370" i="15" s="1"/>
  <c r="L376" i="15"/>
  <c r="D376" i="15" s="1"/>
  <c r="L378" i="15"/>
  <c r="D378" i="15" s="1"/>
  <c r="L63" i="15"/>
  <c r="D63" i="15" s="1"/>
  <c r="L25" i="15"/>
  <c r="D25" i="15" s="1"/>
  <c r="L43" i="15"/>
  <c r="D43" i="15" s="1"/>
  <c r="L46" i="15"/>
  <c r="D46" i="15" s="1"/>
  <c r="L48" i="15"/>
  <c r="D48" i="15" s="1"/>
  <c r="L51" i="15"/>
  <c r="D51" i="15" s="1"/>
  <c r="L56" i="15"/>
  <c r="D56" i="15" s="1"/>
  <c r="L57" i="15"/>
  <c r="D57" i="15" s="1"/>
  <c r="L38" i="15"/>
  <c r="D38" i="15" s="1"/>
  <c r="L45" i="15"/>
  <c r="D45" i="15" s="1"/>
  <c r="L52" i="15"/>
  <c r="D52" i="15" s="1"/>
  <c r="L53" i="15"/>
  <c r="D53" i="15" s="1"/>
  <c r="L15" i="15"/>
  <c r="D15" i="15" s="1"/>
  <c r="L24" i="15"/>
  <c r="D24" i="15" s="1"/>
  <c r="L26" i="15"/>
  <c r="D26" i="15" s="1"/>
  <c r="L42" i="15"/>
  <c r="D42" i="15" s="1"/>
  <c r="L17" i="15"/>
  <c r="D17" i="15" s="1"/>
  <c r="L19" i="15"/>
  <c r="D19" i="15" s="1"/>
  <c r="L33" i="15"/>
  <c r="D33" i="15" s="1"/>
  <c r="L28" i="15"/>
  <c r="D28" i="15" s="1"/>
  <c r="L21" i="15"/>
  <c r="D21" i="15" s="1"/>
  <c r="L157" i="1"/>
  <c r="L158" i="1"/>
  <c r="L159" i="1"/>
  <c r="L160" i="1"/>
  <c r="L161" i="1"/>
  <c r="L164" i="1"/>
  <c r="L165" i="1"/>
  <c r="L166" i="1"/>
  <c r="L167" i="1"/>
  <c r="L168" i="1"/>
  <c r="L170" i="1"/>
  <c r="D170" i="1" s="1"/>
  <c r="L172" i="1"/>
  <c r="D172" i="1" s="1"/>
  <c r="L175" i="1"/>
  <c r="D175" i="1" s="1"/>
  <c r="L176" i="1"/>
  <c r="D176" i="1" s="1"/>
  <c r="L177" i="1"/>
  <c r="D177" i="1" s="1"/>
  <c r="L180" i="1"/>
  <c r="L181" i="1"/>
  <c r="D181" i="1" s="1"/>
  <c r="L182" i="1"/>
  <c r="D182" i="1" s="1"/>
  <c r="L183" i="1"/>
  <c r="D183" i="1" s="1"/>
  <c r="L188" i="1"/>
  <c r="D188" i="1" s="1"/>
  <c r="L189" i="1"/>
  <c r="D189" i="1" s="1"/>
  <c r="L162" i="1"/>
  <c r="L163" i="1"/>
  <c r="L173" i="1"/>
  <c r="D173" i="1" s="1"/>
  <c r="L187" i="1"/>
  <c r="D187" i="1" s="1"/>
  <c r="L190" i="1"/>
  <c r="D190" i="1" s="1"/>
  <c r="L191" i="1"/>
  <c r="D191" i="1" s="1"/>
  <c r="L192" i="1"/>
  <c r="D192" i="1" s="1"/>
  <c r="L194" i="1"/>
  <c r="D194" i="1" s="1"/>
  <c r="L197" i="1"/>
  <c r="D197" i="1" s="1"/>
  <c r="L198" i="1"/>
  <c r="D198" i="1" s="1"/>
  <c r="L200" i="1"/>
  <c r="D200" i="1" s="1"/>
  <c r="L201" i="1"/>
  <c r="D201" i="1" s="1"/>
  <c r="L202" i="1"/>
  <c r="D202" i="1" s="1"/>
  <c r="L203" i="1"/>
  <c r="D203" i="1" s="1"/>
  <c r="L205" i="1"/>
  <c r="D205" i="1" s="1"/>
  <c r="L207" i="1"/>
  <c r="D207" i="1" s="1"/>
  <c r="L208" i="1"/>
  <c r="D208" i="1" s="1"/>
  <c r="L210" i="1"/>
  <c r="L213" i="1"/>
  <c r="D213" i="1" s="1"/>
  <c r="L214" i="1"/>
  <c r="D214" i="1" s="1"/>
  <c r="L215" i="1"/>
  <c r="D215" i="1" s="1"/>
  <c r="L216" i="1"/>
  <c r="D216" i="1" s="1"/>
  <c r="L217" i="1"/>
  <c r="D217" i="1" s="1"/>
  <c r="L218" i="1"/>
  <c r="D218" i="1" s="1"/>
  <c r="L223" i="1"/>
  <c r="D223" i="1" s="1"/>
  <c r="L224" i="1"/>
  <c r="D224" i="1" s="1"/>
  <c r="L229" i="1"/>
  <c r="D229" i="1" s="1"/>
  <c r="L230" i="1"/>
  <c r="D230" i="1" s="1"/>
  <c r="L232" i="1"/>
  <c r="D232" i="1" s="1"/>
  <c r="L233" i="1"/>
  <c r="D233" i="1" s="1"/>
  <c r="L235" i="1"/>
  <c r="D235" i="1" s="1"/>
  <c r="L238" i="1"/>
  <c r="D238" i="1" s="1"/>
  <c r="L239" i="1"/>
  <c r="D239" i="1" s="1"/>
  <c r="L240" i="1"/>
  <c r="D240" i="1" s="1"/>
  <c r="L243" i="1"/>
  <c r="D243" i="1" s="1"/>
  <c r="L247" i="1"/>
  <c r="D247" i="1" s="1"/>
  <c r="L248" i="1"/>
  <c r="D248" i="1" s="1"/>
  <c r="L249" i="1"/>
  <c r="D249" i="1" s="1"/>
  <c r="L250" i="1"/>
  <c r="D250" i="1" s="1"/>
  <c r="L252" i="1"/>
  <c r="D252" i="1" s="1"/>
  <c r="L254" i="1"/>
  <c r="D254" i="1" s="1"/>
  <c r="L258" i="1"/>
  <c r="D258" i="1" s="1"/>
  <c r="L261" i="1"/>
  <c r="D261" i="1" s="1"/>
  <c r="L263" i="1"/>
  <c r="D263" i="1" s="1"/>
  <c r="L265" i="1"/>
  <c r="D265" i="1" s="1"/>
  <c r="L268" i="1"/>
  <c r="D268" i="1" s="1"/>
  <c r="L270" i="1"/>
  <c r="D270" i="1" s="1"/>
  <c r="L272" i="1"/>
  <c r="L273" i="1"/>
  <c r="D273" i="1" s="1"/>
  <c r="L275" i="1"/>
  <c r="D275" i="1" s="1"/>
  <c r="L276" i="1"/>
  <c r="D276" i="1" s="1"/>
  <c r="L278" i="1"/>
  <c r="D278" i="1" s="1"/>
  <c r="L282" i="1"/>
  <c r="D282" i="1" s="1"/>
  <c r="L283" i="1"/>
  <c r="D283" i="1" s="1"/>
  <c r="L184" i="1"/>
  <c r="D184" i="1" s="1"/>
  <c r="L185" i="1"/>
  <c r="D185" i="1" s="1"/>
  <c r="L186" i="1"/>
  <c r="D186" i="1" s="1"/>
  <c r="L193" i="1"/>
  <c r="D193" i="1" s="1"/>
  <c r="L196" i="1"/>
  <c r="D196" i="1" s="1"/>
  <c r="L204" i="1"/>
  <c r="D204" i="1" s="1"/>
  <c r="L206" i="1"/>
  <c r="D206" i="1" s="1"/>
  <c r="L209" i="1"/>
  <c r="D209" i="1" s="1"/>
  <c r="L211" i="1"/>
  <c r="D211" i="1" s="1"/>
  <c r="L219" i="1"/>
  <c r="D219" i="1" s="1"/>
  <c r="L220" i="1"/>
  <c r="D220" i="1" s="1"/>
  <c r="L225" i="1"/>
  <c r="D225" i="1" s="1"/>
  <c r="L231" i="1"/>
  <c r="D231" i="1" s="1"/>
  <c r="L237" i="1"/>
  <c r="D237" i="1" s="1"/>
  <c r="L241" i="1"/>
  <c r="B27" i="7" s="1"/>
  <c r="L242" i="1"/>
  <c r="D242" i="1" s="1"/>
  <c r="L253" i="1"/>
  <c r="D253" i="1" s="1"/>
  <c r="L255" i="1"/>
  <c r="D255" i="1" s="1"/>
  <c r="L256" i="1"/>
  <c r="D256" i="1" s="1"/>
  <c r="L257" i="1"/>
  <c r="D257" i="1" s="1"/>
  <c r="L262" i="1"/>
  <c r="D262" i="1" s="1"/>
  <c r="L267" i="1"/>
  <c r="D267" i="1" s="1"/>
  <c r="L271" i="1"/>
  <c r="D271" i="1" s="1"/>
  <c r="L280" i="1"/>
  <c r="D280" i="1" s="1"/>
  <c r="L281" i="1"/>
  <c r="D281" i="1" s="1"/>
  <c r="L285" i="1"/>
  <c r="D285" i="1" s="1"/>
  <c r="L287" i="1"/>
  <c r="D287" i="1" s="1"/>
  <c r="L288" i="1"/>
  <c r="D288" i="1" s="1"/>
  <c r="L289" i="1"/>
  <c r="D289" i="1" s="1"/>
  <c r="L290" i="1"/>
  <c r="D290" i="1" s="1"/>
  <c r="L291" i="1"/>
  <c r="D291" i="1" s="1"/>
  <c r="L294" i="1"/>
  <c r="D294" i="1" s="1"/>
  <c r="L295" i="1"/>
  <c r="D295" i="1" s="1"/>
  <c r="L296" i="1"/>
  <c r="D296" i="1" s="1"/>
  <c r="L300" i="1"/>
  <c r="D300" i="1" s="1"/>
  <c r="L302" i="1"/>
  <c r="L305" i="1"/>
  <c r="D305" i="1" s="1"/>
  <c r="L306" i="1"/>
  <c r="D306" i="1" s="1"/>
  <c r="L308" i="1"/>
  <c r="D308" i="1" s="1"/>
  <c r="L312" i="1"/>
  <c r="D312" i="1" s="1"/>
  <c r="L313" i="1"/>
  <c r="D313" i="1" s="1"/>
  <c r="L314" i="1"/>
  <c r="D314" i="1" s="1"/>
  <c r="L319" i="1"/>
  <c r="D319" i="1" s="1"/>
  <c r="L320" i="1"/>
  <c r="D320" i="1" s="1"/>
  <c r="L322" i="1"/>
  <c r="D322" i="1" s="1"/>
  <c r="L323" i="1"/>
  <c r="D323" i="1" s="1"/>
  <c r="L325" i="1"/>
  <c r="D325" i="1" s="1"/>
  <c r="L327" i="1"/>
  <c r="D327" i="1" s="1"/>
  <c r="L330" i="1"/>
  <c r="D330" i="1" s="1"/>
  <c r="L332" i="1"/>
  <c r="D332" i="1" s="1"/>
  <c r="L336" i="1"/>
  <c r="D336" i="1" s="1"/>
  <c r="L337" i="1"/>
  <c r="D337" i="1" s="1"/>
  <c r="L339" i="1"/>
  <c r="D339" i="1" s="1"/>
  <c r="L340" i="1"/>
  <c r="D340" i="1" s="1"/>
  <c r="L341" i="1"/>
  <c r="D341" i="1" s="1"/>
  <c r="L343" i="1"/>
  <c r="D343" i="1" s="1"/>
  <c r="L347" i="1"/>
  <c r="D347" i="1" s="1"/>
  <c r="L349" i="1"/>
  <c r="D349" i="1" s="1"/>
  <c r="L350" i="1"/>
  <c r="D350" i="1" s="1"/>
  <c r="L352" i="1"/>
  <c r="D352" i="1" s="1"/>
  <c r="L354" i="1"/>
  <c r="D354" i="1" s="1"/>
  <c r="L355" i="1"/>
  <c r="D355" i="1" s="1"/>
  <c r="L356" i="1"/>
  <c r="D356" i="1" s="1"/>
  <c r="L358" i="1"/>
  <c r="D358" i="1" s="1"/>
  <c r="L359" i="1"/>
  <c r="D359" i="1" s="1"/>
  <c r="L361" i="1"/>
  <c r="D361" i="1" s="1"/>
  <c r="L362" i="1"/>
  <c r="D362" i="1" s="1"/>
  <c r="L363" i="1"/>
  <c r="B31" i="7" s="1"/>
  <c r="L367" i="1"/>
  <c r="D367" i="1" s="1"/>
  <c r="L370" i="1"/>
  <c r="D370" i="1" s="1"/>
  <c r="L372" i="1"/>
  <c r="D372" i="1" s="1"/>
  <c r="L373" i="1"/>
  <c r="D373" i="1" s="1"/>
  <c r="L376" i="1"/>
  <c r="D376" i="1" s="1"/>
  <c r="L377" i="1"/>
  <c r="D377" i="1" s="1"/>
  <c r="L379" i="1"/>
  <c r="L11" i="25"/>
  <c r="L28" i="24"/>
  <c r="L22" i="24"/>
  <c r="L24" i="24"/>
  <c r="L37" i="24"/>
  <c r="L34" i="24"/>
  <c r="L54" i="24"/>
  <c r="L48" i="24"/>
  <c r="L40" i="24"/>
  <c r="L66" i="24"/>
  <c r="L63" i="24"/>
  <c r="L60" i="24"/>
  <c r="AF57" i="7" s="1"/>
  <c r="L58" i="24"/>
  <c r="L379" i="24"/>
  <c r="B43" i="19" s="1"/>
  <c r="L376" i="24"/>
  <c r="L373" i="24"/>
  <c r="L358" i="24"/>
  <c r="L354" i="24"/>
  <c r="L350" i="24"/>
  <c r="L344" i="24"/>
  <c r="L342" i="24"/>
  <c r="L338" i="24"/>
  <c r="L336" i="24"/>
  <c r="L334" i="24"/>
  <c r="L332" i="24"/>
  <c r="L326" i="24"/>
  <c r="L323" i="24"/>
  <c r="L320" i="24"/>
  <c r="L315" i="24"/>
  <c r="L313" i="24"/>
  <c r="L309" i="24"/>
  <c r="L307" i="24"/>
  <c r="L303" i="24"/>
  <c r="L301" i="24"/>
  <c r="L298" i="24"/>
  <c r="L15" i="24"/>
  <c r="L31" i="24"/>
  <c r="L26" i="24"/>
  <c r="L16" i="24"/>
  <c r="L41" i="24"/>
  <c r="L36" i="24"/>
  <c r="L17" i="24"/>
  <c r="L46" i="24"/>
  <c r="L42" i="24"/>
  <c r="L55" i="24"/>
  <c r="L44" i="24"/>
  <c r="L378" i="24"/>
  <c r="L372" i="24"/>
  <c r="L370" i="24"/>
  <c r="L367" i="24"/>
  <c r="L365" i="24"/>
  <c r="L363" i="24"/>
  <c r="AF67" i="7" s="1"/>
  <c r="L361" i="24"/>
  <c r="L359" i="24"/>
  <c r="L356" i="24"/>
  <c r="L351" i="24"/>
  <c r="L347" i="24"/>
  <c r="L345" i="24"/>
  <c r="L339" i="24"/>
  <c r="L330" i="24"/>
  <c r="L328" i="24"/>
  <c r="L321" i="24"/>
  <c r="L317" i="24"/>
  <c r="L312" i="24"/>
  <c r="L306" i="24"/>
  <c r="L299" i="24"/>
  <c r="L293" i="24"/>
  <c r="L286" i="24"/>
  <c r="L282" i="24"/>
  <c r="L278" i="24"/>
  <c r="L274" i="24"/>
  <c r="L269" i="24"/>
  <c r="L266" i="24"/>
  <c r="L261" i="24"/>
  <c r="L244" i="24"/>
  <c r="L225" i="24"/>
  <c r="L222" i="24"/>
  <c r="L216" i="24"/>
  <c r="L212" i="24"/>
  <c r="L193" i="24"/>
  <c r="L172" i="24"/>
  <c r="L163" i="24"/>
  <c r="L141" i="24"/>
  <c r="L129" i="24"/>
  <c r="L294" i="24"/>
  <c r="L291" i="24"/>
  <c r="L289" i="24"/>
  <c r="L284" i="24"/>
  <c r="L280" i="24"/>
  <c r="L277" i="24"/>
  <c r="L273" i="24"/>
  <c r="L260" i="24"/>
  <c r="L257" i="24"/>
  <c r="L252" i="24"/>
  <c r="L248" i="24"/>
  <c r="L242" i="24"/>
  <c r="L239" i="24"/>
  <c r="L235" i="24"/>
  <c r="L233" i="24"/>
  <c r="L229" i="24"/>
  <c r="L226" i="24"/>
  <c r="L220" i="24"/>
  <c r="L218" i="24"/>
  <c r="L210" i="24"/>
  <c r="AF62" i="7" s="1"/>
  <c r="L205" i="24"/>
  <c r="L198" i="24"/>
  <c r="L188" i="24"/>
  <c r="L183" i="24"/>
  <c r="L180" i="24"/>
  <c r="AF61" i="7" s="1"/>
  <c r="L176" i="24"/>
  <c r="L159" i="24"/>
  <c r="L146" i="24"/>
  <c r="L131" i="24"/>
  <c r="L116" i="24"/>
  <c r="L102" i="24"/>
  <c r="L98" i="24"/>
  <c r="L270" i="24"/>
  <c r="L265" i="24"/>
  <c r="L255" i="24"/>
  <c r="L253" i="24"/>
  <c r="L250" i="24"/>
  <c r="L245" i="24"/>
  <c r="L241" i="24"/>
  <c r="AF63" i="7" s="1"/>
  <c r="L231" i="24"/>
  <c r="L228" i="24"/>
  <c r="L213" i="24"/>
  <c r="L208" i="24"/>
  <c r="L204" i="24"/>
  <c r="L201" i="24"/>
  <c r="L199" i="24"/>
  <c r="L196" i="24"/>
  <c r="L192" i="24"/>
  <c r="L190" i="24"/>
  <c r="L187" i="24"/>
  <c r="L182" i="24"/>
  <c r="L177" i="24"/>
  <c r="L174" i="24"/>
  <c r="L171" i="24"/>
  <c r="L169" i="24"/>
  <c r="L162" i="24"/>
  <c r="L160" i="24"/>
  <c r="L154" i="24"/>
  <c r="L149" i="24"/>
  <c r="AF60" i="7" s="1"/>
  <c r="L143" i="24"/>
  <c r="L132" i="24"/>
  <c r="L121" i="24"/>
  <c r="L117" i="24"/>
  <c r="L165" i="24"/>
  <c r="L157" i="24"/>
  <c r="L153" i="24"/>
  <c r="L147" i="24"/>
  <c r="L142" i="24"/>
  <c r="L137" i="24"/>
  <c r="L135" i="24"/>
  <c r="L130" i="24"/>
  <c r="L127" i="24"/>
  <c r="L123" i="24"/>
  <c r="L119" i="24"/>
  <c r="AF59" i="7" s="1"/>
  <c r="L115" i="24"/>
  <c r="L108" i="24"/>
  <c r="L83" i="24"/>
  <c r="L112" i="24"/>
  <c r="L110" i="24"/>
  <c r="L107" i="24"/>
  <c r="L100" i="24"/>
  <c r="L93" i="24"/>
  <c r="L89" i="24"/>
  <c r="L43" i="22"/>
  <c r="L73" i="22"/>
  <c r="L79" i="22"/>
  <c r="L82" i="22"/>
  <c r="L84" i="22"/>
  <c r="L88" i="22"/>
  <c r="AF34" i="7" s="1"/>
  <c r="L91" i="22"/>
  <c r="L96" i="22"/>
  <c r="L100" i="22"/>
  <c r="L106" i="24"/>
  <c r="L99" i="24"/>
  <c r="L95" i="24"/>
  <c r="L92" i="24"/>
  <c r="L87" i="24"/>
  <c r="L84" i="24"/>
  <c r="L80" i="24"/>
  <c r="L75" i="24"/>
  <c r="L73" i="24"/>
  <c r="L69" i="24"/>
  <c r="L61" i="24"/>
  <c r="L53" i="24"/>
  <c r="L82" i="24"/>
  <c r="L78" i="24"/>
  <c r="L72" i="24"/>
  <c r="L270" i="22"/>
  <c r="L265" i="22"/>
  <c r="L263" i="22"/>
  <c r="L261" i="22"/>
  <c r="L255" i="22"/>
  <c r="L252" i="22"/>
  <c r="L249" i="22"/>
  <c r="L247" i="22"/>
  <c r="L244" i="22"/>
  <c r="L241" i="22"/>
  <c r="AF39" i="7" s="1"/>
  <c r="L239" i="22"/>
  <c r="L237" i="22"/>
  <c r="L233" i="22"/>
  <c r="L228" i="22"/>
  <c r="L226" i="22"/>
  <c r="L218" i="22"/>
  <c r="L216" i="22"/>
  <c r="L213" i="22"/>
  <c r="L209" i="22"/>
  <c r="L200" i="22"/>
  <c r="L192" i="22"/>
  <c r="L184" i="22"/>
  <c r="L180" i="22"/>
  <c r="AF37" i="7" s="1"/>
  <c r="L177" i="22"/>
  <c r="L172" i="22"/>
  <c r="L167" i="22"/>
  <c r="L159" i="22"/>
  <c r="L146" i="22"/>
  <c r="L136" i="22"/>
  <c r="L131" i="22"/>
  <c r="L126" i="22"/>
  <c r="L117" i="22"/>
  <c r="L94" i="22"/>
  <c r="L81" i="22"/>
  <c r="L163" i="22"/>
  <c r="L160" i="22"/>
  <c r="L157" i="22"/>
  <c r="L153" i="22"/>
  <c r="L151" i="22"/>
  <c r="L148" i="22"/>
  <c r="L144" i="22"/>
  <c r="L139" i="22"/>
  <c r="L137" i="22"/>
  <c r="L133" i="22"/>
  <c r="L128" i="22"/>
  <c r="L125" i="22"/>
  <c r="L122" i="22"/>
  <c r="L118" i="22"/>
  <c r="L114" i="22"/>
  <c r="L103" i="22"/>
  <c r="L83" i="22"/>
  <c r="L76" i="22"/>
  <c r="L71" i="22"/>
  <c r="L111" i="22"/>
  <c r="L109" i="22"/>
  <c r="L106" i="22"/>
  <c r="L104" i="22"/>
  <c r="L92" i="22"/>
  <c r="L80" i="22"/>
  <c r="L69" i="22"/>
  <c r="L65" i="22"/>
  <c r="L31" i="22"/>
  <c r="L269" i="23"/>
  <c r="L266" i="23"/>
  <c r="L264" i="23"/>
  <c r="L259" i="23"/>
  <c r="L255" i="23"/>
  <c r="L253" i="23"/>
  <c r="L251" i="23"/>
  <c r="L249" i="23"/>
  <c r="L244" i="23"/>
  <c r="L239" i="23"/>
  <c r="L234" i="23"/>
  <c r="L229" i="23"/>
  <c r="L225" i="23"/>
  <c r="L220" i="23"/>
  <c r="L213" i="23"/>
  <c r="L209" i="23"/>
  <c r="L206" i="23"/>
  <c r="L203" i="23"/>
  <c r="L199" i="23"/>
  <c r="L194" i="23"/>
  <c r="L188" i="23"/>
  <c r="L186" i="23"/>
  <c r="L181" i="23"/>
  <c r="L179" i="23"/>
  <c r="L176" i="23"/>
  <c r="L169" i="23"/>
  <c r="L158" i="23"/>
  <c r="L155" i="23"/>
  <c r="L148" i="23"/>
  <c r="L142" i="23"/>
  <c r="L137" i="23"/>
  <c r="L133" i="23"/>
  <c r="L123" i="23"/>
  <c r="L93" i="23"/>
  <c r="L91" i="23"/>
  <c r="L80" i="23"/>
  <c r="L67" i="23"/>
  <c r="L61" i="23"/>
  <c r="L166" i="23"/>
  <c r="L161" i="23"/>
  <c r="L152" i="23"/>
  <c r="L144" i="23"/>
  <c r="L138" i="23"/>
  <c r="L130" i="23"/>
  <c r="L126" i="23"/>
  <c r="L122" i="23"/>
  <c r="L120" i="23"/>
  <c r="L118" i="23"/>
  <c r="L115" i="23"/>
  <c r="L113" i="23"/>
  <c r="L111" i="23"/>
  <c r="L105" i="23"/>
  <c r="L84" i="23"/>
  <c r="L53" i="23"/>
  <c r="L103" i="23"/>
  <c r="L96" i="23"/>
  <c r="L85" i="23"/>
  <c r="L76" i="23"/>
  <c r="L64" i="23"/>
  <c r="L20" i="15"/>
  <c r="D20" i="15" s="1"/>
  <c r="L22" i="15"/>
  <c r="D22" i="15" s="1"/>
  <c r="L28" i="17"/>
  <c r="D28" i="17" s="1"/>
  <c r="L29" i="17"/>
  <c r="L30" i="17"/>
  <c r="D30" i="17" s="1"/>
  <c r="L27" i="18"/>
  <c r="L32" i="23"/>
  <c r="L32" i="22"/>
  <c r="L27" i="23"/>
  <c r="L20" i="23"/>
  <c r="L21" i="22"/>
  <c r="L17" i="18"/>
  <c r="L19" i="17"/>
  <c r="D19" i="17" s="1"/>
  <c r="L16" i="15"/>
  <c r="D16" i="15" s="1"/>
  <c r="L41" i="22"/>
  <c r="L42" i="17"/>
  <c r="D42" i="17" s="1"/>
  <c r="L39" i="15"/>
  <c r="D39" i="15" s="1"/>
  <c r="L36" i="23"/>
  <c r="L35" i="15"/>
  <c r="D35" i="15" s="1"/>
  <c r="L33" i="22"/>
  <c r="L27" i="22"/>
  <c r="L27" i="17"/>
  <c r="D27" i="17" s="1"/>
  <c r="L54" i="15"/>
  <c r="D54" i="15" s="1"/>
  <c r="L51" i="23"/>
  <c r="L48" i="18"/>
  <c r="L49" i="22"/>
  <c r="L47" i="18"/>
  <c r="L44" i="18"/>
  <c r="L43" i="18"/>
  <c r="L44" i="15"/>
  <c r="D44" i="15" s="1"/>
  <c r="L37" i="15"/>
  <c r="D37" i="15" s="1"/>
  <c r="L36" i="15"/>
  <c r="D36" i="15" s="1"/>
  <c r="L25" i="18"/>
  <c r="L17" i="17"/>
  <c r="D17" i="17" s="1"/>
  <c r="L58" i="15"/>
  <c r="D58" i="15" s="1"/>
  <c r="L56" i="18"/>
  <c r="L55" i="15"/>
  <c r="D55" i="15" s="1"/>
  <c r="L52" i="23"/>
  <c r="L50" i="15"/>
  <c r="D50" i="15" s="1"/>
  <c r="L48" i="23"/>
  <c r="L45" i="18"/>
  <c r="L42" i="18"/>
  <c r="L42" i="22"/>
  <c r="L37" i="18"/>
  <c r="L38" i="17"/>
  <c r="D38" i="17" s="1"/>
  <c r="L23" i="15"/>
  <c r="D23" i="15" s="1"/>
  <c r="L71" i="17"/>
  <c r="D71" i="17" s="1"/>
  <c r="L67" i="15"/>
  <c r="D67" i="15" s="1"/>
  <c r="L64" i="18"/>
  <c r="L65" i="23"/>
  <c r="L64" i="15"/>
  <c r="D64" i="15" s="1"/>
  <c r="L62" i="22"/>
  <c r="L62" i="15"/>
  <c r="D62" i="15" s="1"/>
  <c r="L61" i="22"/>
  <c r="L51" i="17"/>
  <c r="D51" i="17" s="1"/>
  <c r="L379" i="18"/>
  <c r="B39" i="19" s="1"/>
  <c r="L379" i="23"/>
  <c r="B42" i="19" s="1"/>
  <c r="L378" i="18"/>
  <c r="L379" i="22"/>
  <c r="B41" i="19" s="1"/>
  <c r="L377" i="18"/>
  <c r="L378" i="23"/>
  <c r="L379" i="15"/>
  <c r="D379" i="15" s="1"/>
  <c r="AJ5" i="1"/>
  <c r="L377" i="15"/>
  <c r="D377" i="15" s="1"/>
  <c r="L377" i="22"/>
  <c r="L374" i="18"/>
  <c r="L375" i="15"/>
  <c r="D375" i="15" s="1"/>
  <c r="L374" i="22"/>
  <c r="L375" i="1"/>
  <c r="D375" i="1" s="1"/>
  <c r="L374" i="15"/>
  <c r="D374" i="15" s="1"/>
  <c r="L372" i="18"/>
  <c r="L371" i="18"/>
  <c r="L373" i="15"/>
  <c r="D373" i="15" s="1"/>
  <c r="L376" i="17"/>
  <c r="D376" i="17" s="1"/>
  <c r="L372" i="23"/>
  <c r="L374" i="1"/>
  <c r="D374" i="1" s="1"/>
  <c r="L370" i="18"/>
  <c r="L369" i="18"/>
  <c r="L371" i="22"/>
  <c r="L371" i="15"/>
  <c r="D371" i="15" s="1"/>
  <c r="L372" i="17"/>
  <c r="D372" i="17" s="1"/>
  <c r="L369" i="15"/>
  <c r="D369" i="15" s="1"/>
  <c r="L368" i="15"/>
  <c r="D368" i="15" s="1"/>
  <c r="L367" i="23"/>
  <c r="L369" i="1"/>
  <c r="D369" i="1" s="1"/>
  <c r="L368" i="1"/>
  <c r="D368" i="1" s="1"/>
  <c r="L367" i="22"/>
  <c r="L365" i="18"/>
  <c r="L366" i="23"/>
  <c r="L364" i="18"/>
  <c r="L369" i="17"/>
  <c r="D369" i="17" s="1"/>
  <c r="L366" i="1"/>
  <c r="D366" i="1" s="1"/>
  <c r="L367" i="17"/>
  <c r="D367" i="17" s="1"/>
  <c r="L365" i="1"/>
  <c r="D365" i="1" s="1"/>
  <c r="L364" i="22"/>
  <c r="L363" i="15"/>
  <c r="B43" i="7" s="1"/>
  <c r="L365" i="17"/>
  <c r="D365" i="17" s="1"/>
  <c r="L362" i="22"/>
  <c r="L360" i="15"/>
  <c r="D360" i="15" s="1"/>
  <c r="L358" i="18"/>
  <c r="L357" i="18"/>
  <c r="L360" i="1"/>
  <c r="D360" i="1" s="1"/>
  <c r="L358" i="15"/>
  <c r="D358" i="15" s="1"/>
  <c r="L357" i="1"/>
  <c r="D357" i="1" s="1"/>
  <c r="L355" i="23"/>
  <c r="L354" i="23"/>
  <c r="L352" i="22"/>
  <c r="L353" i="1"/>
  <c r="D353" i="1" s="1"/>
  <c r="L351" i="23"/>
  <c r="L354" i="17"/>
  <c r="D354" i="17" s="1"/>
  <c r="L351" i="15"/>
  <c r="D351" i="15" s="1"/>
  <c r="L352" i="17"/>
  <c r="D352" i="17" s="1"/>
  <c r="L349" i="15"/>
  <c r="D349" i="15" s="1"/>
  <c r="L349" i="22"/>
  <c r="L347" i="22"/>
  <c r="L343" i="22"/>
  <c r="L344" i="1"/>
  <c r="D344" i="1" s="1"/>
  <c r="L342" i="22"/>
  <c r="L345" i="17"/>
  <c r="D345" i="17" s="1"/>
  <c r="L340" i="18"/>
  <c r="L342" i="15"/>
  <c r="D342" i="15" s="1"/>
  <c r="L344" i="17"/>
  <c r="D344" i="17" s="1"/>
  <c r="L338" i="18"/>
  <c r="L336" i="18"/>
  <c r="L336" i="15"/>
  <c r="D336" i="15" s="1"/>
  <c r="L339" i="17"/>
  <c r="D339" i="17" s="1"/>
  <c r="L334" i="23"/>
  <c r="L332" i="18"/>
  <c r="L330" i="23"/>
  <c r="L331" i="15"/>
  <c r="D331" i="15" s="1"/>
  <c r="L329" i="18"/>
  <c r="L329" i="22"/>
  <c r="L327" i="18"/>
  <c r="L332" i="17"/>
  <c r="D332" i="17" s="1"/>
  <c r="L329" i="1"/>
  <c r="D329" i="1" s="1"/>
  <c r="L327" i="23"/>
  <c r="L325" i="18"/>
  <c r="L327" i="15"/>
  <c r="D327" i="15" s="1"/>
  <c r="L326" i="1"/>
  <c r="D326" i="1" s="1"/>
  <c r="L321" i="23"/>
  <c r="L322" i="22"/>
  <c r="L320" i="18"/>
  <c r="L319" i="18"/>
  <c r="L321" i="22"/>
  <c r="L318" i="23"/>
  <c r="L318" i="15"/>
  <c r="D318" i="15" s="1"/>
  <c r="L318" i="1"/>
  <c r="D318" i="1" s="1"/>
  <c r="L316" i="1"/>
  <c r="D316" i="1" s="1"/>
  <c r="L315" i="1"/>
  <c r="D315" i="1" s="1"/>
  <c r="L314" i="15"/>
  <c r="D314" i="15" s="1"/>
  <c r="L311" i="18"/>
  <c r="L313" i="15"/>
  <c r="D313" i="15" s="1"/>
  <c r="L310" i="1"/>
  <c r="D310" i="1" s="1"/>
  <c r="L309" i="15"/>
  <c r="D309" i="15" s="1"/>
  <c r="L307" i="22"/>
  <c r="L305" i="18"/>
  <c r="L306" i="15"/>
  <c r="D306" i="15" s="1"/>
  <c r="L307" i="1"/>
  <c r="D307" i="1" s="1"/>
  <c r="L308" i="17"/>
  <c r="D308" i="17" s="1"/>
  <c r="L307" i="17"/>
  <c r="D307" i="17" s="1"/>
  <c r="L302" i="18"/>
  <c r="B77" i="7" s="1"/>
  <c r="L304" i="1"/>
  <c r="D304" i="1" s="1"/>
  <c r="L306" i="17"/>
  <c r="D306" i="17" s="1"/>
  <c r="L305" i="17"/>
  <c r="D305" i="17" s="1"/>
  <c r="L301" i="23"/>
  <c r="B53" i="7"/>
  <c r="L303" i="1"/>
  <c r="D303" i="1" s="1"/>
  <c r="L301" i="22"/>
  <c r="L301" i="15"/>
  <c r="D301" i="15" s="1"/>
  <c r="L303" i="17"/>
  <c r="D303" i="17" s="1"/>
  <c r="L299" i="23"/>
  <c r="L301" i="1"/>
  <c r="D301" i="1" s="1"/>
  <c r="L302" i="17"/>
  <c r="L299" i="15"/>
  <c r="D299" i="15" s="1"/>
  <c r="L301" i="17"/>
  <c r="D301" i="17" s="1"/>
  <c r="L299" i="1"/>
  <c r="D299" i="1" s="1"/>
  <c r="L297" i="23"/>
  <c r="L297" i="22"/>
  <c r="L296" i="15"/>
  <c r="D296" i="15" s="1"/>
  <c r="L297" i="1"/>
  <c r="D297" i="1" s="1"/>
  <c r="L295" i="23"/>
  <c r="L298" i="17"/>
  <c r="D298" i="17" s="1"/>
  <c r="L293" i="18"/>
  <c r="L294" i="23"/>
  <c r="L294" i="15"/>
  <c r="D294" i="15" s="1"/>
  <c r="L296" i="17"/>
  <c r="D296" i="17" s="1"/>
  <c r="L290" i="18"/>
  <c r="L292" i="22"/>
  <c r="L289" i="23"/>
  <c r="L288" i="23"/>
  <c r="L289" i="22"/>
  <c r="L289" i="15"/>
  <c r="D289" i="15" s="1"/>
  <c r="L287" i="18"/>
  <c r="L292" i="17"/>
  <c r="D292" i="17" s="1"/>
  <c r="L291" i="17"/>
  <c r="D291" i="17" s="1"/>
  <c r="L286" i="18"/>
  <c r="L288" i="15"/>
  <c r="D288" i="15" s="1"/>
  <c r="L288" i="22"/>
  <c r="L287" i="23"/>
  <c r="L285" i="18"/>
  <c r="L290" i="17"/>
  <c r="D290" i="17" s="1"/>
  <c r="L289" i="17"/>
  <c r="D289" i="17" s="1"/>
  <c r="L286" i="1"/>
  <c r="D286" i="1" s="1"/>
  <c r="L283" i="23"/>
  <c r="L279" i="1"/>
  <c r="D279" i="1" s="1"/>
  <c r="L278" i="22"/>
  <c r="L277" i="15"/>
  <c r="D277" i="15" s="1"/>
  <c r="L275" i="18"/>
  <c r="L277" i="22"/>
  <c r="L275" i="23"/>
  <c r="L274" i="18"/>
  <c r="L279" i="17"/>
  <c r="D279" i="17" s="1"/>
  <c r="L277" i="1"/>
  <c r="D277" i="1" s="1"/>
  <c r="L274" i="1"/>
  <c r="D274" i="1" s="1"/>
  <c r="L268" i="18"/>
  <c r="L269" i="17"/>
  <c r="D269" i="17" s="1"/>
  <c r="L266" i="1"/>
  <c r="D266" i="1" s="1"/>
  <c r="L268" i="17"/>
  <c r="D268" i="17" s="1"/>
  <c r="L263" i="23"/>
  <c r="L261" i="18"/>
  <c r="L264" i="1"/>
  <c r="D264" i="1" s="1"/>
  <c r="L258" i="15"/>
  <c r="D258" i="15" s="1"/>
  <c r="L259" i="1"/>
  <c r="D259" i="1" s="1"/>
  <c r="L260" i="17"/>
  <c r="D260" i="17" s="1"/>
  <c r="L251" i="1"/>
  <c r="D251" i="1" s="1"/>
  <c r="L245" i="1"/>
  <c r="D245" i="1" s="1"/>
  <c r="L242" i="18"/>
  <c r="L243" i="23"/>
  <c r="L247" i="17"/>
  <c r="D247" i="17" s="1"/>
  <c r="L244" i="1"/>
  <c r="D244" i="1" s="1"/>
  <c r="L243" i="22"/>
  <c r="L240" i="18"/>
  <c r="L245" i="17"/>
  <c r="D245" i="17" s="1"/>
  <c r="L242" i="15"/>
  <c r="D242" i="15" s="1"/>
  <c r="L241" i="23"/>
  <c r="AF51" i="7" s="1"/>
  <c r="L231" i="18"/>
  <c r="L234" i="1"/>
  <c r="D234" i="1" s="1"/>
  <c r="L236" i="17"/>
  <c r="D236" i="17" s="1"/>
  <c r="L233" i="15"/>
  <c r="D233" i="15" s="1"/>
  <c r="L235" i="17"/>
  <c r="D235" i="17" s="1"/>
  <c r="L232" i="15"/>
  <c r="D232" i="15" s="1"/>
  <c r="L230" i="23"/>
  <c r="L227" i="23"/>
  <c r="L226" i="18"/>
  <c r="L225" i="18"/>
  <c r="L228" i="1"/>
  <c r="D228" i="1" s="1"/>
  <c r="L230" i="17"/>
  <c r="D230" i="17" s="1"/>
  <c r="L227" i="15"/>
  <c r="D227" i="15" s="1"/>
  <c r="L227" i="1"/>
  <c r="D227" i="1" s="1"/>
  <c r="L221" i="18"/>
  <c r="L223" i="22"/>
  <c r="L222" i="1"/>
  <c r="D222" i="1" s="1"/>
  <c r="L219" i="18"/>
  <c r="L215" i="18"/>
  <c r="L214" i="18"/>
  <c r="L217" i="17"/>
  <c r="D217" i="17" s="1"/>
  <c r="L212" i="23"/>
  <c r="L211" i="22"/>
  <c r="L212" i="1"/>
  <c r="D212" i="1" s="1"/>
  <c r="L209" i="18"/>
  <c r="L209" i="15"/>
  <c r="D209" i="15" s="1"/>
  <c r="L210" i="17"/>
  <c r="D210" i="17" s="1"/>
  <c r="L203" i="18"/>
  <c r="L195" i="1"/>
  <c r="D195" i="1" s="1"/>
  <c r="L197" i="17"/>
  <c r="D197" i="17" s="1"/>
  <c r="L195" i="17"/>
  <c r="D195" i="17" s="1"/>
  <c r="L191" i="23"/>
  <c r="L191" i="15"/>
  <c r="D191" i="15" s="1"/>
  <c r="L188" i="22"/>
  <c r="L185" i="18"/>
  <c r="L174" i="22"/>
  <c r="L172" i="18"/>
  <c r="L173" i="15"/>
  <c r="D173" i="15" s="1"/>
  <c r="L174" i="1"/>
  <c r="D174" i="1" s="1"/>
  <c r="L171" i="1"/>
  <c r="D171" i="1" s="1"/>
  <c r="L170" i="15"/>
  <c r="D170" i="15" s="1"/>
  <c r="L171" i="17"/>
  <c r="D171" i="17" s="1"/>
  <c r="L169" i="1"/>
  <c r="D169" i="1" s="1"/>
  <c r="L165" i="18"/>
  <c r="L165" i="23"/>
  <c r="L169" i="17"/>
  <c r="D169" i="17" s="1"/>
  <c r="L164" i="18"/>
  <c r="L165" i="15"/>
  <c r="D165" i="15" s="1"/>
  <c r="L164" i="15"/>
  <c r="D164" i="15" s="1"/>
  <c r="AJ6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J9" i="1"/>
  <c r="D333" i="16"/>
  <c r="B54" i="7"/>
  <c r="B62" i="7"/>
  <c r="L381" i="24"/>
  <c r="D363" i="17"/>
  <c r="B67" i="7"/>
  <c r="D379" i="1"/>
  <c r="B35" i="19"/>
  <c r="D149" i="17"/>
  <c r="D29" i="15"/>
  <c r="B42" i="7"/>
  <c r="D379" i="16"/>
  <c r="B36" i="19"/>
  <c r="D379" i="17"/>
  <c r="B38" i="19"/>
  <c r="B63" i="7"/>
  <c r="L32" i="16"/>
  <c r="L34" i="15"/>
  <c r="D34" i="15" s="1"/>
  <c r="L50" i="16"/>
  <c r="D50" i="16" s="1"/>
  <c r="L49" i="15"/>
  <c r="D49" i="15" s="1"/>
  <c r="L49" i="18"/>
  <c r="L52" i="16"/>
  <c r="D52" i="16" s="1"/>
  <c r="L55" i="17"/>
  <c r="D55" i="17" s="1"/>
  <c r="L57" i="17"/>
  <c r="D57" i="17" s="1"/>
  <c r="L62" i="17"/>
  <c r="D62" i="17" s="1"/>
  <c r="L60" i="15"/>
  <c r="L59" i="18"/>
  <c r="L65" i="17"/>
  <c r="D65" i="17" s="1"/>
  <c r="L60" i="18"/>
  <c r="B69" i="7" s="1"/>
  <c r="L61" i="18"/>
  <c r="L62" i="18"/>
  <c r="L65" i="15"/>
  <c r="D65" i="15" s="1"/>
  <c r="L69" i="16"/>
  <c r="D69" i="16" s="1"/>
  <c r="L72" i="17"/>
  <c r="D72" i="17" s="1"/>
  <c r="L69" i="15"/>
  <c r="D69" i="15" s="1"/>
  <c r="L70" i="15"/>
  <c r="D70" i="15" s="1"/>
  <c r="L71" i="15"/>
  <c r="D71" i="15" s="1"/>
  <c r="L69" i="18"/>
  <c r="L72" i="16"/>
  <c r="D72" i="16" s="1"/>
  <c r="L72" i="15"/>
  <c r="D72" i="15" s="1"/>
  <c r="L75" i="17"/>
  <c r="D75" i="17" s="1"/>
  <c r="L71" i="23"/>
  <c r="L70" i="18"/>
  <c r="L71" i="18"/>
  <c r="L76" i="17"/>
  <c r="D76" i="17" s="1"/>
  <c r="L72" i="23"/>
  <c r="L73" i="15"/>
  <c r="D73" i="15" s="1"/>
  <c r="L75" i="16"/>
  <c r="D75" i="16" s="1"/>
  <c r="L77" i="17"/>
  <c r="D77" i="17" s="1"/>
  <c r="L73" i="18"/>
  <c r="L78" i="17"/>
  <c r="D78" i="17" s="1"/>
  <c r="L76" i="15"/>
  <c r="D76" i="15" s="1"/>
  <c r="L74" i="18"/>
  <c r="L75" i="18"/>
  <c r="L78" i="16"/>
  <c r="D78" i="16" s="1"/>
  <c r="L80" i="17"/>
  <c r="D80" i="17" s="1"/>
  <c r="L77" i="15"/>
  <c r="D77" i="15" s="1"/>
  <c r="L78" i="15"/>
  <c r="D78" i="15" s="1"/>
  <c r="L80" i="16"/>
  <c r="D80" i="16" s="1"/>
  <c r="L77" i="18"/>
  <c r="L79" i="15"/>
  <c r="D79" i="15" s="1"/>
  <c r="L81" i="16"/>
  <c r="D81" i="16" s="1"/>
  <c r="L80" i="15"/>
  <c r="D80" i="15" s="1"/>
  <c r="L84" i="17"/>
  <c r="D84" i="17" s="1"/>
  <c r="L82" i="16"/>
  <c r="D82" i="16" s="1"/>
  <c r="L82" i="15"/>
  <c r="D82" i="15" s="1"/>
  <c r="L80" i="18"/>
  <c r="L83" i="15"/>
  <c r="D83" i="15" s="1"/>
  <c r="L84" i="15"/>
  <c r="D84" i="15" s="1"/>
  <c r="L85" i="16"/>
  <c r="D85" i="16" s="1"/>
  <c r="L86" i="16"/>
  <c r="D86" i="16" s="1"/>
  <c r="L85" i="15"/>
  <c r="D85" i="15" s="1"/>
  <c r="L86" i="15"/>
  <c r="D86" i="15" s="1"/>
  <c r="L84" i="18"/>
  <c r="L85" i="18"/>
  <c r="L89" i="20"/>
  <c r="L87" i="22"/>
  <c r="L86" i="23"/>
  <c r="L87" i="15"/>
  <c r="D87" i="15" s="1"/>
  <c r="L91" i="17"/>
  <c r="D91" i="17" s="1"/>
  <c r="L89" i="16"/>
  <c r="D89" i="16" s="1"/>
  <c r="L88" i="15"/>
  <c r="L86" i="18"/>
  <c r="L90" i="16"/>
  <c r="D90" i="16" s="1"/>
  <c r="L91" i="16"/>
  <c r="D91" i="16" s="1"/>
  <c r="L92" i="16"/>
  <c r="D92" i="16" s="1"/>
  <c r="L89" i="18"/>
  <c r="L94" i="17"/>
  <c r="D94" i="17" s="1"/>
  <c r="L95" i="17"/>
  <c r="D95" i="17" s="1"/>
  <c r="L90" i="18"/>
  <c r="L96" i="17"/>
  <c r="D96" i="17" s="1"/>
  <c r="L95" i="16"/>
  <c r="D95" i="16" s="1"/>
  <c r="L96" i="16"/>
  <c r="D96" i="16" s="1"/>
  <c r="L59" i="15"/>
  <c r="D59" i="15" s="1"/>
  <c r="L63" i="17"/>
  <c r="D63" i="17" s="1"/>
  <c r="L64" i="16"/>
  <c r="D64" i="16" s="1"/>
  <c r="L75" i="20"/>
  <c r="L74" i="16"/>
  <c r="D74" i="16" s="1"/>
  <c r="L74" i="15"/>
  <c r="D74" i="15" s="1"/>
  <c r="L72" i="18"/>
  <c r="L79" i="17"/>
  <c r="D79" i="17" s="1"/>
  <c r="L77" i="16"/>
  <c r="D77" i="16" s="1"/>
  <c r="L81" i="17"/>
  <c r="D81" i="17" s="1"/>
  <c r="L82" i="17"/>
  <c r="D82" i="17" s="1"/>
  <c r="L78" i="23"/>
  <c r="L78" i="18"/>
  <c r="L83" i="17"/>
  <c r="D83" i="17" s="1"/>
  <c r="L81" i="15"/>
  <c r="D81" i="15" s="1"/>
  <c r="L81" i="23"/>
  <c r="L83" i="16"/>
  <c r="D83" i="16" s="1"/>
  <c r="L85" i="17"/>
  <c r="D85" i="17" s="1"/>
  <c r="L86" i="17"/>
  <c r="D86" i="17" s="1"/>
  <c r="L81" i="18"/>
  <c r="L82" i="18"/>
  <c r="L83" i="18"/>
  <c r="L89" i="17"/>
  <c r="D89" i="17" s="1"/>
  <c r="L87" i="16"/>
  <c r="D87" i="16" s="1"/>
  <c r="L87" i="18"/>
  <c r="L92" i="17"/>
  <c r="D92" i="17" s="1"/>
  <c r="L88" i="18"/>
  <c r="B70" i="7" s="1"/>
  <c r="L90" i="15"/>
  <c r="D90" i="15" s="1"/>
  <c r="L93" i="17"/>
  <c r="D93" i="17" s="1"/>
  <c r="L91" i="15"/>
  <c r="D91" i="15" s="1"/>
  <c r="L92" i="15"/>
  <c r="D92" i="15" s="1"/>
  <c r="L93" i="16"/>
  <c r="D93" i="16" s="1"/>
  <c r="L94" i="16"/>
  <c r="D94" i="16" s="1"/>
  <c r="L97" i="17"/>
  <c r="D97" i="17" s="1"/>
  <c r="L92" i="18"/>
  <c r="L94" i="15"/>
  <c r="D94" i="15" s="1"/>
  <c r="L95" i="15"/>
  <c r="D95" i="15" s="1"/>
  <c r="L99" i="17"/>
  <c r="D99" i="17" s="1"/>
  <c r="L97" i="16"/>
  <c r="D97" i="16" s="1"/>
  <c r="L95" i="18"/>
  <c r="L98" i="16"/>
  <c r="D98" i="16" s="1"/>
  <c r="L97" i="22"/>
  <c r="L99" i="16"/>
  <c r="D99" i="16" s="1"/>
  <c r="L96" i="18"/>
  <c r="L102" i="17"/>
  <c r="D102" i="17" s="1"/>
  <c r="L98" i="18"/>
  <c r="L100" i="15"/>
  <c r="D100" i="15" s="1"/>
  <c r="L102" i="16"/>
  <c r="D102" i="16" s="1"/>
  <c r="L99" i="18"/>
  <c r="L104" i="20"/>
  <c r="L101" i="23"/>
  <c r="L102" i="15"/>
  <c r="D102" i="15" s="1"/>
  <c r="L100" i="18"/>
  <c r="L102" i="22"/>
  <c r="L105" i="17"/>
  <c r="D105" i="17" s="1"/>
  <c r="L104" i="16"/>
  <c r="D104" i="16" s="1"/>
  <c r="L101" i="18"/>
  <c r="L103" i="15"/>
  <c r="D103" i="15" s="1"/>
  <c r="L102" i="18"/>
  <c r="L105" i="16"/>
  <c r="D105" i="16" s="1"/>
  <c r="L103" i="18"/>
  <c r="L106" i="16"/>
  <c r="D106" i="16" s="1"/>
  <c r="L108" i="17"/>
  <c r="D108" i="17" s="1"/>
  <c r="L109" i="17"/>
  <c r="D109" i="17" s="1"/>
  <c r="L106" i="15"/>
  <c r="D106" i="15" s="1"/>
  <c r="L104" i="18"/>
  <c r="L107" i="22"/>
  <c r="L110" i="20"/>
  <c r="L109" i="16"/>
  <c r="D109" i="16" s="1"/>
  <c r="L111" i="17"/>
  <c r="D111" i="17" s="1"/>
  <c r="L111" i="16"/>
  <c r="D111" i="16" s="1"/>
  <c r="L108" i="18"/>
  <c r="L110" i="15"/>
  <c r="D110" i="15" s="1"/>
  <c r="L111" i="15"/>
  <c r="D111" i="15" s="1"/>
  <c r="L114" i="17"/>
  <c r="D114" i="17" s="1"/>
  <c r="L112" i="16"/>
  <c r="D112" i="16" s="1"/>
  <c r="L112" i="15"/>
  <c r="D112" i="15" s="1"/>
  <c r="L113" i="16"/>
  <c r="D113" i="16" s="1"/>
  <c r="L115" i="17"/>
  <c r="D115" i="17" s="1"/>
  <c r="L114" i="16"/>
  <c r="D114" i="16" s="1"/>
  <c r="L116" i="17"/>
  <c r="D116" i="17" s="1"/>
  <c r="L111" i="18"/>
  <c r="L113" i="15"/>
  <c r="D113" i="15" s="1"/>
  <c r="L115" i="16"/>
  <c r="D115" i="16" s="1"/>
  <c r="L114" i="15"/>
  <c r="D114" i="15" s="1"/>
  <c r="L113" i="18"/>
  <c r="L117" i="16"/>
  <c r="D117" i="16" s="1"/>
  <c r="L119" i="17"/>
  <c r="L117" i="15"/>
  <c r="D117" i="15" s="1"/>
  <c r="L115" i="18"/>
  <c r="L119" i="16"/>
  <c r="L118" i="15"/>
  <c r="D118" i="15" s="1"/>
  <c r="L117" i="18"/>
  <c r="L122" i="17"/>
  <c r="D122" i="17" s="1"/>
  <c r="L123" i="17"/>
  <c r="D123" i="17" s="1"/>
  <c r="L121" i="16"/>
  <c r="D121" i="16" s="1"/>
  <c r="L119" i="18"/>
  <c r="B71" i="7" s="1"/>
  <c r="L124" i="17"/>
  <c r="D124" i="17" s="1"/>
  <c r="L122" i="15"/>
  <c r="D122" i="15" s="1"/>
  <c r="L120" i="18"/>
  <c r="L121" i="18"/>
  <c r="L123" i="22"/>
  <c r="L124" i="16"/>
  <c r="D124" i="16" s="1"/>
  <c r="L123" i="15"/>
  <c r="D123" i="15" s="1"/>
  <c r="L126" i="17"/>
  <c r="D126" i="17" s="1"/>
  <c r="L125" i="16"/>
  <c r="D125" i="16" s="1"/>
  <c r="L127" i="20"/>
  <c r="L125" i="15"/>
  <c r="D125" i="15" s="1"/>
  <c r="L128" i="17"/>
  <c r="D128" i="17" s="1"/>
  <c r="L127" i="16"/>
  <c r="D127" i="16" s="1"/>
  <c r="L126" i="15"/>
  <c r="D126" i="15" s="1"/>
  <c r="L125" i="18"/>
  <c r="L128" i="16"/>
  <c r="D128" i="16" s="1"/>
  <c r="L130" i="17"/>
  <c r="D130" i="17" s="1"/>
  <c r="L131" i="17"/>
  <c r="D131" i="17" s="1"/>
  <c r="L129" i="16"/>
  <c r="D129" i="16" s="1"/>
  <c r="L130" i="16"/>
  <c r="D130" i="16" s="1"/>
  <c r="L129" i="23"/>
  <c r="L130" i="15"/>
  <c r="D130" i="15" s="1"/>
  <c r="L128" i="18"/>
  <c r="L134" i="17"/>
  <c r="D134" i="17" s="1"/>
  <c r="L131" i="15"/>
  <c r="D131" i="15" s="1"/>
  <c r="L132" i="16"/>
  <c r="D132" i="16" s="1"/>
  <c r="L134" i="20"/>
  <c r="L135" i="17"/>
  <c r="D135" i="17" s="1"/>
  <c r="L131" i="23"/>
  <c r="L132" i="22"/>
  <c r="L132" i="23"/>
  <c r="L133" i="15"/>
  <c r="D133" i="15" s="1"/>
  <c r="L136" i="17"/>
  <c r="D136" i="17" s="1"/>
  <c r="L134" i="16"/>
  <c r="D134" i="16" s="1"/>
  <c r="L137" i="17"/>
  <c r="D137" i="17" s="1"/>
  <c r="L134" i="15"/>
  <c r="D134" i="15" s="1"/>
  <c r="L132" i="18"/>
  <c r="L136" i="16"/>
  <c r="D136" i="16" s="1"/>
  <c r="L138" i="17"/>
  <c r="D138" i="17" s="1"/>
  <c r="L139" i="17"/>
  <c r="D139" i="17" s="1"/>
  <c r="L137" i="16"/>
  <c r="D137" i="16" s="1"/>
  <c r="L134" i="18"/>
  <c r="L136" i="23"/>
  <c r="L138" i="16"/>
  <c r="D138" i="16" s="1"/>
  <c r="L140" i="17"/>
  <c r="D140" i="17" s="1"/>
  <c r="L141" i="17"/>
  <c r="D141" i="17" s="1"/>
  <c r="L138" i="15"/>
  <c r="D138" i="15" s="1"/>
  <c r="L137" i="18"/>
  <c r="L141" i="20"/>
  <c r="L141" i="16"/>
  <c r="D141" i="16" s="1"/>
  <c r="L140" i="22"/>
  <c r="L139" i="23"/>
  <c r="L140" i="15"/>
  <c r="D140" i="15" s="1"/>
  <c r="L143" i="20"/>
  <c r="L141" i="15"/>
  <c r="D141" i="15" s="1"/>
  <c r="L141" i="22"/>
  <c r="L142" i="16"/>
  <c r="D142" i="16" s="1"/>
  <c r="L144" i="20"/>
  <c r="L140" i="18"/>
  <c r="O29" i="6"/>
  <c r="P31" i="6" s="1"/>
  <c r="AE373" i="1"/>
  <c r="Q373" i="1"/>
  <c r="AE371" i="1"/>
  <c r="Q371" i="1"/>
  <c r="AE81" i="1"/>
  <c r="Q81" i="1"/>
  <c r="AE119" i="1"/>
  <c r="Q119" i="1"/>
  <c r="AE137" i="1"/>
  <c r="Q137" i="1"/>
  <c r="Q159" i="1"/>
  <c r="AE159" i="1"/>
  <c r="AE183" i="1"/>
  <c r="Q183" i="1"/>
  <c r="AE191" i="1"/>
  <c r="Q191" i="1"/>
  <c r="AE199" i="1"/>
  <c r="Q199" i="1"/>
  <c r="Q205" i="1"/>
  <c r="AE205" i="1"/>
  <c r="AE207" i="1"/>
  <c r="Q207" i="1"/>
  <c r="AE229" i="1"/>
  <c r="Q229" i="1"/>
  <c r="AE249" i="1"/>
  <c r="Q249" i="1"/>
  <c r="AE273" i="1"/>
  <c r="Q273" i="1"/>
  <c r="AE279" i="1"/>
  <c r="Q279" i="1"/>
  <c r="AE287" i="1"/>
  <c r="Q287" i="1"/>
  <c r="AE293" i="1"/>
  <c r="Q293" i="1"/>
  <c r="Q297" i="1"/>
  <c r="AE297" i="1"/>
  <c r="AE301" i="1"/>
  <c r="Q301" i="1"/>
  <c r="AE303" i="1"/>
  <c r="Q303" i="1"/>
  <c r="AE309" i="1"/>
  <c r="Q309" i="1"/>
  <c r="AE315" i="1"/>
  <c r="Q315" i="1"/>
  <c r="AE317" i="1"/>
  <c r="Q317" i="1"/>
  <c r="AE319" i="1"/>
  <c r="Q319" i="1"/>
  <c r="AE321" i="1"/>
  <c r="Q321" i="1"/>
  <c r="AE323" i="1"/>
  <c r="Q323" i="1"/>
  <c r="AE335" i="1"/>
  <c r="Q335" i="1"/>
  <c r="AE337" i="1"/>
  <c r="Q337" i="1"/>
  <c r="AE343" i="1"/>
  <c r="Q343" i="1"/>
  <c r="AE345" i="1"/>
  <c r="Q345" i="1"/>
  <c r="AE357" i="1"/>
  <c r="Q357" i="1"/>
  <c r="AE361" i="1"/>
  <c r="Q361" i="1"/>
  <c r="O18" i="1"/>
  <c r="AC18" i="1"/>
  <c r="O30" i="1"/>
  <c r="AC30" i="1"/>
  <c r="AC36" i="1"/>
  <c r="O36" i="1"/>
  <c r="AC40" i="1"/>
  <c r="O40" i="1"/>
  <c r="AC52" i="1"/>
  <c r="O52" i="1"/>
  <c r="AC54" i="1"/>
  <c r="O54" i="1"/>
  <c r="AC66" i="1"/>
  <c r="O66" i="1"/>
  <c r="O68" i="1"/>
  <c r="AC68" i="1"/>
  <c r="AC92" i="1"/>
  <c r="O92" i="1"/>
  <c r="O102" i="1"/>
  <c r="AC102" i="1"/>
  <c r="AC104" i="1"/>
  <c r="O104" i="1"/>
  <c r="AC106" i="1"/>
  <c r="O106" i="1"/>
  <c r="O108" i="1"/>
  <c r="AC108" i="1"/>
  <c r="O114" i="1"/>
  <c r="AC114" i="1"/>
  <c r="AC120" i="1"/>
  <c r="O120" i="1"/>
  <c r="AC126" i="1"/>
  <c r="O126" i="1"/>
  <c r="O128" i="1"/>
  <c r="AC128" i="1"/>
  <c r="AC130" i="1"/>
  <c r="O130" i="1"/>
  <c r="AC134" i="1"/>
  <c r="O134" i="1"/>
  <c r="AC138" i="1"/>
  <c r="O138" i="1"/>
  <c r="AC142" i="1"/>
  <c r="O142" i="1"/>
  <c r="O152" i="1"/>
  <c r="AC152" i="1"/>
  <c r="O67" i="1"/>
  <c r="O33" i="1"/>
  <c r="AC151" i="1"/>
  <c r="AC141" i="1"/>
  <c r="O131" i="1"/>
  <c r="AC123" i="1"/>
  <c r="O115" i="1"/>
  <c r="AC105" i="1"/>
  <c r="O93" i="1"/>
  <c r="AC87" i="1"/>
  <c r="AC75" i="1"/>
  <c r="O45" i="1"/>
  <c r="O25" i="1"/>
  <c r="AC29" i="1"/>
  <c r="O81" i="1"/>
  <c r="AC73" i="1"/>
  <c r="O149" i="1"/>
  <c r="C24" i="7" s="1"/>
  <c r="AC59" i="1"/>
  <c r="AJ245" i="18"/>
  <c r="AJ106" i="18"/>
  <c r="AJ95" i="18"/>
  <c r="O153" i="1"/>
  <c r="AC50" i="1"/>
  <c r="O42" i="1"/>
  <c r="O34" i="1"/>
  <c r="O26" i="1"/>
  <c r="O82" i="1"/>
  <c r="AC70" i="1"/>
  <c r="O60" i="1"/>
  <c r="C21" i="7" s="1"/>
  <c r="O28" i="1"/>
  <c r="AC62" i="1"/>
  <c r="AC100" i="1"/>
  <c r="AC71" i="1"/>
  <c r="O57" i="1"/>
  <c r="AC41" i="1"/>
  <c r="AC147" i="1"/>
  <c r="AC143" i="1"/>
  <c r="AC139" i="1"/>
  <c r="AC135" i="1"/>
  <c r="O129" i="1"/>
  <c r="AC125" i="1"/>
  <c r="AC121" i="1"/>
  <c r="AC117" i="1"/>
  <c r="O113" i="1"/>
  <c r="O107" i="1"/>
  <c r="AC103" i="1"/>
  <c r="AC61" i="1"/>
  <c r="O95" i="1"/>
  <c r="AC55" i="1"/>
  <c r="AC65" i="1"/>
  <c r="O63" i="1"/>
  <c r="AC15" i="1"/>
  <c r="AC43" i="1"/>
  <c r="O313" i="1"/>
  <c r="O207" i="1"/>
  <c r="O169" i="1"/>
  <c r="E169" i="1" s="1"/>
  <c r="AC297" i="1"/>
  <c r="O233" i="1"/>
  <c r="E233" i="1" s="1"/>
  <c r="O311" i="1"/>
  <c r="E311" i="1" s="1"/>
  <c r="O241" i="1"/>
  <c r="C27" i="7" s="1"/>
  <c r="Y18" i="6"/>
  <c r="E36" i="6"/>
  <c r="E288" i="6"/>
  <c r="AE18" i="6"/>
  <c r="P16" i="6"/>
  <c r="E120" i="6"/>
  <c r="T44" i="6"/>
  <c r="S50" i="6" s="1"/>
  <c r="O357" i="1"/>
  <c r="AC263" i="1"/>
  <c r="O185" i="1"/>
  <c r="E185" i="1" s="1"/>
  <c r="AC157" i="1"/>
  <c r="O221" i="1"/>
  <c r="E221" i="1" s="1"/>
  <c r="O351" i="1"/>
  <c r="E351" i="1" s="1"/>
  <c r="AC235" i="1"/>
  <c r="AC373" i="1"/>
  <c r="O361" i="1"/>
  <c r="E361" i="1" s="1"/>
  <c r="O341" i="1"/>
  <c r="AC283" i="1"/>
  <c r="AC245" i="1"/>
  <c r="AC201" i="1"/>
  <c r="AC175" i="1"/>
  <c r="O165" i="1"/>
  <c r="O213" i="1"/>
  <c r="E213" i="1" s="1"/>
  <c r="O195" i="1"/>
  <c r="E195" i="1" s="1"/>
  <c r="O329" i="1"/>
  <c r="E329" i="1" s="1"/>
  <c r="O295" i="1"/>
  <c r="E295" i="1" s="1"/>
  <c r="O219" i="1"/>
  <c r="BX13" i="7"/>
  <c r="AC340" i="1"/>
  <c r="AC275" i="1"/>
  <c r="AC257" i="1"/>
  <c r="AC159" i="1"/>
  <c r="AC345" i="1"/>
  <c r="AC247" i="1"/>
  <c r="AC277" i="1"/>
  <c r="AC361" i="1"/>
  <c r="AC359" i="1"/>
  <c r="AC341" i="1"/>
  <c r="AC325" i="1"/>
  <c r="O307" i="1"/>
  <c r="E307" i="1" s="1"/>
  <c r="O283" i="1"/>
  <c r="O275" i="1"/>
  <c r="E275" i="1" s="1"/>
  <c r="O263" i="1"/>
  <c r="O257" i="1"/>
  <c r="E257" i="1" s="1"/>
  <c r="O237" i="1"/>
  <c r="O211" i="1"/>
  <c r="E211" i="1" s="1"/>
  <c r="O193" i="1"/>
  <c r="O181" i="1"/>
  <c r="E181" i="1" s="1"/>
  <c r="O173" i="1"/>
  <c r="E173" i="1" s="1"/>
  <c r="O167" i="1"/>
  <c r="O163" i="1"/>
  <c r="O159" i="1"/>
  <c r="O157" i="1"/>
  <c r="AC225" i="1"/>
  <c r="O217" i="1"/>
  <c r="E217" i="1" s="1"/>
  <c r="O209" i="1"/>
  <c r="E209" i="1" s="1"/>
  <c r="O197" i="1"/>
  <c r="E197" i="1" s="1"/>
  <c r="O373" i="1"/>
  <c r="E373" i="1" s="1"/>
  <c r="O347" i="1"/>
  <c r="E347" i="1" s="1"/>
  <c r="O333" i="1"/>
  <c r="E333" i="1" s="1"/>
  <c r="O321" i="1"/>
  <c r="E321" i="1" s="1"/>
  <c r="O301" i="1"/>
  <c r="E301" i="1" s="1"/>
  <c r="O271" i="1"/>
  <c r="E271" i="1" s="1"/>
  <c r="AC223" i="1"/>
  <c r="AC203" i="1"/>
  <c r="D13" i="7"/>
  <c r="BR13" i="7"/>
  <c r="AC352" i="1"/>
  <c r="AC321" i="1"/>
  <c r="AC291" i="1"/>
  <c r="AC348" i="1"/>
  <c r="AC364" i="1"/>
  <c r="L383" i="24"/>
  <c r="L382" i="18"/>
  <c r="D149" i="16"/>
  <c r="B48" i="7"/>
  <c r="L382" i="15"/>
  <c r="E357" i="1"/>
  <c r="E341" i="1"/>
  <c r="E313" i="1"/>
  <c r="L381" i="18"/>
  <c r="B49" i="7"/>
  <c r="D272" i="16"/>
  <c r="D363" i="1"/>
  <c r="B55" i="7"/>
  <c r="D272" i="17"/>
  <c r="B51" i="7"/>
  <c r="B61" i="7"/>
  <c r="D180" i="17"/>
  <c r="AJ104" i="18"/>
  <c r="AJ51" i="18"/>
  <c r="AJ372" i="18"/>
  <c r="AJ241" i="18"/>
  <c r="AJ127" i="18"/>
  <c r="AJ73" i="18"/>
  <c r="AJ317" i="18"/>
  <c r="AJ296" i="18"/>
  <c r="AJ176" i="18"/>
  <c r="AJ131" i="18"/>
  <c r="AJ148" i="18"/>
  <c r="AJ118" i="18"/>
  <c r="AJ89" i="18"/>
  <c r="AJ52" i="18"/>
  <c r="AJ42" i="18"/>
  <c r="AJ351" i="18"/>
  <c r="AJ347" i="18"/>
  <c r="AJ284" i="18"/>
  <c r="AJ216" i="18"/>
  <c r="AJ271" i="18"/>
  <c r="AJ206" i="18"/>
  <c r="AJ197" i="18"/>
  <c r="AJ60" i="18"/>
  <c r="O9" i="17"/>
  <c r="AJ53" i="17" s="1"/>
  <c r="E148" i="6"/>
  <c r="AH20" i="6"/>
  <c r="E232" i="6"/>
  <c r="X44" i="6"/>
  <c r="W50" i="6" s="1"/>
  <c r="E204" i="6"/>
  <c r="AO13" i="6"/>
  <c r="S18" i="6"/>
  <c r="P20" i="6"/>
  <c r="B30" i="7"/>
  <c r="B66" i="7"/>
  <c r="D241" i="1"/>
  <c r="AE298" i="1"/>
  <c r="Q298" i="1"/>
  <c r="AE302" i="1"/>
  <c r="Q302" i="1"/>
  <c r="AE304" i="1"/>
  <c r="Q304" i="1"/>
  <c r="AE306" i="1"/>
  <c r="Q306" i="1"/>
  <c r="AE330" i="1"/>
  <c r="Q330" i="1"/>
  <c r="Q300" i="1"/>
  <c r="Q284" i="1"/>
  <c r="Q282" i="1"/>
  <c r="Q379" i="1"/>
  <c r="D15" i="7" s="1"/>
  <c r="AE379" i="1"/>
  <c r="AE12" i="15" s="1"/>
  <c r="Q375" i="1"/>
  <c r="AE375" i="1"/>
  <c r="Q16" i="1"/>
  <c r="AE16" i="1"/>
  <c r="Q45" i="1"/>
  <c r="AE45" i="1"/>
  <c r="Q47" i="1"/>
  <c r="AE47" i="1"/>
  <c r="Q57" i="1"/>
  <c r="AE57" i="1"/>
  <c r="Q83" i="1"/>
  <c r="AE83" i="1"/>
  <c r="AE89" i="1"/>
  <c r="Q89" i="1"/>
  <c r="AE91" i="1"/>
  <c r="Q91" i="1"/>
  <c r="AE97" i="1"/>
  <c r="Q97" i="1"/>
  <c r="AE103" i="1"/>
  <c r="Q103" i="1"/>
  <c r="AE105" i="1"/>
  <c r="Q105" i="1"/>
  <c r="AE107" i="1"/>
  <c r="Q107" i="1"/>
  <c r="AE149" i="1"/>
  <c r="Q149" i="1"/>
  <c r="AE151" i="1"/>
  <c r="Q151" i="1"/>
  <c r="AE203" i="1"/>
  <c r="Q203" i="1"/>
  <c r="AE211" i="1"/>
  <c r="Q211" i="1"/>
  <c r="Q219" i="1"/>
  <c r="AE219" i="1"/>
  <c r="AE235" i="1"/>
  <c r="Q235" i="1"/>
  <c r="AE243" i="1"/>
  <c r="Q243" i="1"/>
  <c r="AE257" i="1"/>
  <c r="Q257" i="1"/>
  <c r="AE259" i="1"/>
  <c r="Q259" i="1"/>
  <c r="AE267" i="1"/>
  <c r="Q267" i="1"/>
  <c r="AE269" i="1"/>
  <c r="Q269" i="1"/>
  <c r="AE281" i="1"/>
  <c r="Q281" i="1"/>
  <c r="AE285" i="1"/>
  <c r="Q285" i="1"/>
  <c r="O19" i="1"/>
  <c r="AC19" i="1"/>
  <c r="AC21" i="1"/>
  <c r="O21" i="1"/>
  <c r="O85" i="1"/>
  <c r="AC85" i="1"/>
  <c r="O91" i="1"/>
  <c r="AC91" i="1"/>
  <c r="BH9" i="6"/>
  <c r="BH10" i="6" s="1"/>
  <c r="Q223" i="1"/>
  <c r="Q217" i="1"/>
  <c r="Q215" i="1"/>
  <c r="Q213" i="1"/>
  <c r="Q175" i="1"/>
  <c r="Q173" i="1"/>
  <c r="Q171" i="1"/>
  <c r="Q167" i="1"/>
  <c r="Q165" i="1"/>
  <c r="Q163" i="1"/>
  <c r="Q161" i="1"/>
  <c r="Q157" i="1"/>
  <c r="O156" i="1"/>
  <c r="Q135" i="1"/>
  <c r="Q133" i="1"/>
  <c r="Q131" i="1"/>
  <c r="Q129" i="1"/>
  <c r="Q127" i="1"/>
  <c r="Q115" i="1"/>
  <c r="Q113" i="1"/>
  <c r="Q111" i="1"/>
  <c r="Q99" i="1"/>
  <c r="O99" i="1"/>
  <c r="Q85" i="1"/>
  <c r="Q75" i="1"/>
  <c r="Q69" i="1"/>
  <c r="Q61" i="1"/>
  <c r="Q59" i="1"/>
  <c r="Q55" i="1"/>
  <c r="Q53" i="1"/>
  <c r="Q43" i="1"/>
  <c r="Q37" i="1"/>
  <c r="Q23" i="1"/>
  <c r="Q20" i="1"/>
  <c r="AE18" i="1"/>
  <c r="AE231" i="1"/>
  <c r="AE41" i="1"/>
  <c r="AE63" i="1"/>
  <c r="AE377" i="1"/>
  <c r="Q377" i="1"/>
  <c r="AE25" i="1"/>
  <c r="Q25" i="1"/>
  <c r="AE27" i="1"/>
  <c r="Q27" i="1"/>
  <c r="AE31" i="1"/>
  <c r="Q31" i="1"/>
  <c r="AE33" i="1"/>
  <c r="Q33" i="1"/>
  <c r="AE35" i="1"/>
  <c r="Q35" i="1"/>
  <c r="Q39" i="1"/>
  <c r="AE39" i="1"/>
  <c r="AE49" i="1"/>
  <c r="Q49" i="1"/>
  <c r="AE51" i="1"/>
  <c r="Q51" i="1"/>
  <c r="AE67" i="1"/>
  <c r="Q67" i="1"/>
  <c r="AE71" i="1"/>
  <c r="Q71" i="1"/>
  <c r="AE73" i="1"/>
  <c r="Q73" i="1"/>
  <c r="AE77" i="1"/>
  <c r="Q77" i="1"/>
  <c r="AE87" i="1"/>
  <c r="Q87" i="1"/>
  <c r="AE93" i="1"/>
  <c r="Q93" i="1"/>
  <c r="AE101" i="1"/>
  <c r="Q101" i="1"/>
  <c r="AE109" i="1"/>
  <c r="Q109" i="1"/>
  <c r="AE117" i="1"/>
  <c r="Q117" i="1"/>
  <c r="AE121" i="1"/>
  <c r="Q121" i="1"/>
  <c r="AE123" i="1"/>
  <c r="Q123" i="1"/>
  <c r="AE125" i="1"/>
  <c r="Q125" i="1"/>
  <c r="AE141" i="1"/>
  <c r="Q141" i="1"/>
  <c r="AE143" i="1"/>
  <c r="Q143" i="1"/>
  <c r="AE145" i="1"/>
  <c r="Q145" i="1"/>
  <c r="AE153" i="1"/>
  <c r="Q153" i="1"/>
  <c r="AE155" i="1"/>
  <c r="Q155" i="1"/>
  <c r="AE177" i="1"/>
  <c r="Q177" i="1"/>
  <c r="AE179" i="1"/>
  <c r="Q179" i="1"/>
  <c r="AE181" i="1"/>
  <c r="Q181" i="1"/>
  <c r="AE187" i="1"/>
  <c r="Q187" i="1"/>
  <c r="AE189" i="1"/>
  <c r="Q189" i="1"/>
  <c r="AE195" i="1"/>
  <c r="Q195" i="1"/>
  <c r="AE197" i="1"/>
  <c r="Q197" i="1"/>
  <c r="AE201" i="1"/>
  <c r="Q201" i="1"/>
  <c r="AE221" i="1"/>
  <c r="Q221" i="1"/>
  <c r="AE225" i="1"/>
  <c r="Q225" i="1"/>
  <c r="AC47" i="1"/>
  <c r="O47" i="1"/>
  <c r="AC51" i="1"/>
  <c r="O51" i="1"/>
  <c r="AC97" i="1"/>
  <c r="O97" i="1"/>
  <c r="O101" i="1"/>
  <c r="AC101" i="1"/>
  <c r="AC111" i="1"/>
  <c r="O111" i="1"/>
  <c r="AC133" i="1"/>
  <c r="O133" i="1"/>
  <c r="AC154" i="1"/>
  <c r="O154" i="1"/>
  <c r="AC317" i="1"/>
  <c r="AC213" i="1"/>
  <c r="AC209" i="1"/>
  <c r="AC207" i="1"/>
  <c r="AC199" i="1"/>
  <c r="AC375" i="1"/>
  <c r="AC371" i="1"/>
  <c r="AC287" i="1"/>
  <c r="AC265" i="1"/>
  <c r="AC229" i="1"/>
  <c r="AC165" i="1"/>
  <c r="AC367" i="1"/>
  <c r="AC360" i="1"/>
  <c r="AC350" i="1"/>
  <c r="AC344" i="1"/>
  <c r="AC332" i="1"/>
  <c r="AC306" i="1"/>
  <c r="AC292" i="1"/>
  <c r="AC363" i="1"/>
  <c r="AC357" i="1"/>
  <c r="AC353" i="1"/>
  <c r="AC323" i="1"/>
  <c r="AC313" i="1"/>
  <c r="AC307" i="1"/>
  <c r="AC285" i="1"/>
  <c r="AC237" i="1"/>
  <c r="AC233" i="1"/>
  <c r="AC211" i="1"/>
  <c r="AC205" i="1"/>
  <c r="AC193" i="1"/>
  <c r="AC185" i="1"/>
  <c r="AC181" i="1"/>
  <c r="AC177" i="1"/>
  <c r="AC173" i="1"/>
  <c r="AC171" i="1"/>
  <c r="AC169" i="1"/>
  <c r="AC167" i="1"/>
  <c r="AC163" i="1"/>
  <c r="AC161" i="1"/>
  <c r="AC221" i="1"/>
  <c r="AC217" i="1"/>
  <c r="AC215" i="1"/>
  <c r="AC197" i="1"/>
  <c r="AC195" i="1"/>
  <c r="AC183" i="1"/>
  <c r="AC377" i="1"/>
  <c r="AC369" i="1"/>
  <c r="AC337" i="1"/>
  <c r="AC319" i="1"/>
  <c r="AC303" i="1"/>
  <c r="AC299" i="1"/>
  <c r="AC293" i="1"/>
  <c r="AC249" i="1"/>
  <c r="AC231" i="1"/>
  <c r="AC227" i="1"/>
  <c r="AC191" i="1"/>
  <c r="AC374" i="1"/>
  <c r="AC372" i="1"/>
  <c r="AC365" i="1"/>
  <c r="AC362" i="1"/>
  <c r="AC354" i="1"/>
  <c r="AC351" i="1"/>
  <c r="AC349" i="1"/>
  <c r="AC347" i="1"/>
  <c r="AC342" i="1"/>
  <c r="AC336" i="1"/>
  <c r="AC329" i="1"/>
  <c r="AC308" i="1"/>
  <c r="AC305" i="1"/>
  <c r="AC294" i="1"/>
  <c r="AJ138" i="18"/>
  <c r="AJ112" i="18"/>
  <c r="AJ96" i="18"/>
  <c r="AJ137" i="18"/>
  <c r="AJ122" i="18"/>
  <c r="AJ114" i="18"/>
  <c r="AJ99" i="18"/>
  <c r="AJ84" i="18"/>
  <c r="AJ67" i="18"/>
  <c r="AJ53" i="18"/>
  <c r="AJ28" i="18"/>
  <c r="AJ15" i="18"/>
  <c r="AJ370" i="18"/>
  <c r="AJ332" i="18"/>
  <c r="AJ356" i="18"/>
  <c r="AJ331" i="18"/>
  <c r="AJ302" i="18"/>
  <c r="AJ266" i="18"/>
  <c r="AJ228" i="18"/>
  <c r="AJ312" i="18"/>
  <c r="AJ280" i="18"/>
  <c r="AJ252" i="18"/>
  <c r="AJ223" i="18"/>
  <c r="AJ192" i="18"/>
  <c r="AJ160" i="18"/>
  <c r="AJ164" i="18"/>
  <c r="AJ98" i="18"/>
  <c r="S44" i="6"/>
  <c r="T46" i="6" s="1"/>
  <c r="E176" i="6"/>
  <c r="Y44" i="6"/>
  <c r="Z46" i="6" s="1"/>
  <c r="AH16" i="6"/>
  <c r="AF16" i="6"/>
  <c r="AJ20" i="6"/>
  <c r="AG18" i="6"/>
  <c r="AC18" i="6"/>
  <c r="T16" i="6"/>
  <c r="O44" i="6"/>
  <c r="P46" i="6" s="1"/>
  <c r="N20" i="6"/>
  <c r="E316" i="6"/>
  <c r="AL16" i="6"/>
  <c r="Q18" i="6"/>
  <c r="E134" i="6"/>
  <c r="U18" i="6"/>
  <c r="X16" i="6"/>
  <c r="T29" i="6"/>
  <c r="T33" i="6" s="1"/>
  <c r="S20" i="6"/>
  <c r="S29" i="6"/>
  <c r="S33" i="6" s="1"/>
  <c r="R50" i="6"/>
  <c r="E302" i="6"/>
  <c r="Y16" i="6"/>
  <c r="Q20" i="6"/>
  <c r="S31" i="6"/>
  <c r="AJ18" i="6"/>
  <c r="AK20" i="6"/>
  <c r="Q35" i="6"/>
  <c r="Y48" i="6"/>
  <c r="S35" i="6"/>
  <c r="X29" i="6"/>
  <c r="X33" i="6" s="1"/>
  <c r="AA16" i="6"/>
  <c r="W16" i="6"/>
  <c r="U16" i="6"/>
  <c r="S16" i="6"/>
  <c r="E22" i="6"/>
  <c r="O33" i="6"/>
  <c r="E78" i="6"/>
  <c r="Z29" i="6"/>
  <c r="AI16" i="6"/>
  <c r="N18" i="6"/>
  <c r="P48" i="6"/>
  <c r="Q46" i="6"/>
  <c r="O50" i="6"/>
  <c r="R46" i="6"/>
  <c r="P50" i="6"/>
  <c r="V50" i="6"/>
  <c r="X46" i="6"/>
  <c r="W48" i="6"/>
  <c r="R44" i="6"/>
  <c r="V20" i="6"/>
  <c r="Z16" i="6"/>
  <c r="E344" i="6"/>
  <c r="AK18" i="6"/>
  <c r="AJ16" i="6"/>
  <c r="AF20" i="6"/>
  <c r="V44" i="6"/>
  <c r="V48" i="6" s="1"/>
  <c r="U44" i="6"/>
  <c r="T50" i="6" s="1"/>
  <c r="E260" i="6"/>
  <c r="AD16" i="6"/>
  <c r="AA18" i="6"/>
  <c r="AB16" i="6"/>
  <c r="R20" i="6"/>
  <c r="E92" i="6"/>
  <c r="R16" i="6"/>
  <c r="N44" i="6"/>
  <c r="N48" i="6" s="1"/>
  <c r="T20" i="6"/>
  <c r="V16" i="6"/>
  <c r="E64" i="6"/>
  <c r="O9" i="16"/>
  <c r="AJ177" i="16" s="1"/>
  <c r="O260" i="1"/>
  <c r="E260" i="1" s="1"/>
  <c r="O270" i="1"/>
  <c r="E270" i="1" s="1"/>
  <c r="O274" i="1"/>
  <c r="O292" i="1"/>
  <c r="E292" i="1" s="1"/>
  <c r="O294" i="1"/>
  <c r="O298" i="1"/>
  <c r="E298" i="1" s="1"/>
  <c r="O334" i="1"/>
  <c r="E334" i="1" s="1"/>
  <c r="O336" i="1"/>
  <c r="E336" i="1" s="1"/>
  <c r="O338" i="1"/>
  <c r="E338" i="1" s="1"/>
  <c r="O340" i="1"/>
  <c r="E340" i="1" s="1"/>
  <c r="O344" i="1"/>
  <c r="E344" i="1" s="1"/>
  <c r="AC346" i="1"/>
  <c r="O350" i="1"/>
  <c r="E350" i="1" s="1"/>
  <c r="O354" i="1"/>
  <c r="E354" i="1" s="1"/>
  <c r="O356" i="1"/>
  <c r="E356" i="1" s="1"/>
  <c r="O362" i="1"/>
  <c r="E362" i="1" s="1"/>
  <c r="O364" i="1"/>
  <c r="E364" i="1" s="1"/>
  <c r="O366" i="1"/>
  <c r="E366" i="1" s="1"/>
  <c r="O367" i="1"/>
  <c r="E367" i="1" s="1"/>
  <c r="O370" i="1"/>
  <c r="E370" i="1" s="1"/>
  <c r="O378" i="1"/>
  <c r="E378" i="1" s="1"/>
  <c r="AC187" i="1"/>
  <c r="AC189" i="1"/>
  <c r="AC214" i="1"/>
  <c r="AC218" i="1"/>
  <c r="AC246" i="1"/>
  <c r="AC256" i="1"/>
  <c r="AC274" i="1"/>
  <c r="AC331" i="1"/>
  <c r="AC339" i="1"/>
  <c r="AC355" i="1"/>
  <c r="AC366" i="1"/>
  <c r="AC236" i="1"/>
  <c r="AC269" i="1"/>
  <c r="AC324" i="1"/>
  <c r="AC327" i="1"/>
  <c r="AC334" i="1"/>
  <c r="AC358" i="1"/>
  <c r="AC378" i="1"/>
  <c r="AC368" i="1"/>
  <c r="AC286" i="1"/>
  <c r="AC280" i="1"/>
  <c r="AC158" i="1"/>
  <c r="AC162" i="1"/>
  <c r="AC170" i="1"/>
  <c r="AC182" i="1"/>
  <c r="AC190" i="1"/>
  <c r="AC196" i="1"/>
  <c r="AC204" i="1"/>
  <c r="AC210" i="1"/>
  <c r="AC219" i="1"/>
  <c r="AC222" i="1"/>
  <c r="AC226" i="1"/>
  <c r="AC238" i="1"/>
  <c r="AC241" i="1"/>
  <c r="AC248" i="1"/>
  <c r="AC252" i="1"/>
  <c r="AC258" i="1"/>
  <c r="AC261" i="1"/>
  <c r="AC264" i="1"/>
  <c r="AC270" i="1"/>
  <c r="AC276" i="1"/>
  <c r="AC281" i="1"/>
  <c r="AC288" i="1"/>
  <c r="AC290" i="1"/>
  <c r="AC296" i="1"/>
  <c r="AC301" i="1"/>
  <c r="AC304" i="1"/>
  <c r="AC310" i="1"/>
  <c r="AC312" i="1"/>
  <c r="AC315" i="1"/>
  <c r="AC318" i="1"/>
  <c r="AC322" i="1"/>
  <c r="AC166" i="1"/>
  <c r="AC176" i="1"/>
  <c r="AC184" i="1"/>
  <c r="AC206" i="1"/>
  <c r="AC230" i="1"/>
  <c r="AC242" i="1"/>
  <c r="AC254" i="1"/>
  <c r="AC266" i="1"/>
  <c r="AC271" i="1"/>
  <c r="O290" i="1"/>
  <c r="O306" i="1"/>
  <c r="E306" i="1" s="1"/>
  <c r="O316" i="1"/>
  <c r="O318" i="1"/>
  <c r="E318" i="1" s="1"/>
  <c r="O319" i="1"/>
  <c r="E319" i="1" s="1"/>
  <c r="O324" i="1"/>
  <c r="E324" i="1" s="1"/>
  <c r="O326" i="1"/>
  <c r="E326" i="1" s="1"/>
  <c r="O348" i="1"/>
  <c r="E348" i="1" s="1"/>
  <c r="AC164" i="1"/>
  <c r="AC188" i="1"/>
  <c r="AC194" i="1"/>
  <c r="AC216" i="1"/>
  <c r="AC244" i="1"/>
  <c r="AC251" i="1"/>
  <c r="AC273" i="1"/>
  <c r="AC330" i="1"/>
  <c r="AC338" i="1"/>
  <c r="AC343" i="1"/>
  <c r="AC356" i="1"/>
  <c r="AC370" i="1"/>
  <c r="AC240" i="1"/>
  <c r="AC300" i="1"/>
  <c r="AC326" i="1"/>
  <c r="AC333" i="1"/>
  <c r="AC335" i="1"/>
  <c r="AC376" i="1"/>
  <c r="AC379" i="1"/>
  <c r="AC284" i="1"/>
  <c r="AC279" i="1"/>
  <c r="AC160" i="1"/>
  <c r="AC168" i="1"/>
  <c r="AC172" i="1"/>
  <c r="AC186" i="1"/>
  <c r="AC192" i="1"/>
  <c r="AC200" i="1"/>
  <c r="AC208" i="1"/>
  <c r="AC212" i="1"/>
  <c r="AC220" i="1"/>
  <c r="AC224" i="1"/>
  <c r="AC234" i="1"/>
  <c r="AC239" i="1"/>
  <c r="AC243" i="1"/>
  <c r="AC250" i="1"/>
  <c r="AC255" i="1"/>
  <c r="AC260" i="1"/>
  <c r="AC262" i="1"/>
  <c r="AC268" i="1"/>
  <c r="AC272" i="1"/>
  <c r="AC278" i="1"/>
  <c r="AC282" i="1"/>
  <c r="AC289" i="1"/>
  <c r="AC295" i="1"/>
  <c r="AC298" i="1"/>
  <c r="AC302" i="1"/>
  <c r="AC309" i="1"/>
  <c r="AC311" i="1"/>
  <c r="AC314" i="1"/>
  <c r="AC316" i="1"/>
  <c r="AC320" i="1"/>
  <c r="AC328" i="1"/>
  <c r="AC174" i="1"/>
  <c r="AC178" i="1"/>
  <c r="AC198" i="1"/>
  <c r="AC228" i="1"/>
  <c r="AC232" i="1"/>
  <c r="AC253" i="1"/>
  <c r="AC259" i="1"/>
  <c r="AC267" i="1"/>
  <c r="O375" i="1"/>
  <c r="E375" i="1" s="1"/>
  <c r="BK13" i="7"/>
  <c r="BW13" i="7"/>
  <c r="O262" i="1"/>
  <c r="E262" i="1" s="1"/>
  <c r="O265" i="1"/>
  <c r="E265" i="1" s="1"/>
  <c r="O266" i="1"/>
  <c r="E266" i="1" s="1"/>
  <c r="O268" i="1"/>
  <c r="O272" i="1"/>
  <c r="O273" i="1"/>
  <c r="E273" i="1" s="1"/>
  <c r="O276" i="1"/>
  <c r="E276" i="1" s="1"/>
  <c r="O280" i="1"/>
  <c r="O282" i="1"/>
  <c r="E282" i="1" s="1"/>
  <c r="O286" i="1"/>
  <c r="E286" i="1" s="1"/>
  <c r="O289" i="1"/>
  <c r="E289" i="1" s="1"/>
  <c r="O296" i="1"/>
  <c r="O297" i="1"/>
  <c r="E297" i="1" s="1"/>
  <c r="O300" i="1"/>
  <c r="E300" i="1" s="1"/>
  <c r="O303" i="1"/>
  <c r="E303" i="1" s="1"/>
  <c r="O304" i="1"/>
  <c r="O305" i="1"/>
  <c r="E305" i="1" s="1"/>
  <c r="O308" i="1"/>
  <c r="E308" i="1" s="1"/>
  <c r="O314" i="1"/>
  <c r="E314" i="1" s="1"/>
  <c r="O320" i="1"/>
  <c r="O322" i="1"/>
  <c r="E322" i="1" s="1"/>
  <c r="O328" i="1"/>
  <c r="E328" i="1" s="1"/>
  <c r="O332" i="1"/>
  <c r="E332" i="1" s="1"/>
  <c r="O342" i="1"/>
  <c r="E342" i="1" s="1"/>
  <c r="O346" i="1"/>
  <c r="E346" i="1" s="1"/>
  <c r="O352" i="1"/>
  <c r="O358" i="1"/>
  <c r="E358" i="1" s="1"/>
  <c r="O360" i="1"/>
  <c r="O368" i="1"/>
  <c r="E368" i="1" s="1"/>
  <c r="O369" i="1"/>
  <c r="E369" i="1" s="1"/>
  <c r="O372" i="1"/>
  <c r="E372" i="1" s="1"/>
  <c r="O374" i="1"/>
  <c r="O376" i="1"/>
  <c r="E376" i="1" s="1"/>
  <c r="O377" i="1"/>
  <c r="O171" i="1"/>
  <c r="E171" i="1" s="1"/>
  <c r="O259" i="1"/>
  <c r="E259" i="1" s="1"/>
  <c r="O269" i="1"/>
  <c r="E269" i="1" s="1"/>
  <c r="O281" i="1"/>
  <c r="E281" i="1" s="1"/>
  <c r="O327" i="1"/>
  <c r="E327" i="1" s="1"/>
  <c r="O331" i="1"/>
  <c r="E331" i="1" s="1"/>
  <c r="O335" i="1"/>
  <c r="E335" i="1" s="1"/>
  <c r="O349" i="1"/>
  <c r="O365" i="1"/>
  <c r="E365" i="1" s="1"/>
  <c r="O379" i="1"/>
  <c r="O177" i="1"/>
  <c r="E177" i="1" s="1"/>
  <c r="O183" i="1"/>
  <c r="O199" i="1"/>
  <c r="E199" i="1" s="1"/>
  <c r="O215" i="1"/>
  <c r="E215" i="1" s="1"/>
  <c r="O225" i="1"/>
  <c r="E225" i="1" s="1"/>
  <c r="O161" i="1"/>
  <c r="O175" i="1"/>
  <c r="E175" i="1" s="1"/>
  <c r="O179" i="1"/>
  <c r="E179" i="1" s="1"/>
  <c r="O201" i="1"/>
  <c r="E201" i="1" s="1"/>
  <c r="O205" i="1"/>
  <c r="E205" i="1" s="1"/>
  <c r="O245" i="1"/>
  <c r="E245" i="1" s="1"/>
  <c r="O285" i="1"/>
  <c r="O317" i="1"/>
  <c r="E317" i="1" s="1"/>
  <c r="O323" i="1"/>
  <c r="O325" i="1"/>
  <c r="E325" i="1" s="1"/>
  <c r="O353" i="1"/>
  <c r="O359" i="1"/>
  <c r="E359" i="1" s="1"/>
  <c r="O363" i="1"/>
  <c r="O330" i="1"/>
  <c r="E330" i="1" s="1"/>
  <c r="O312" i="1"/>
  <c r="E312" i="1" s="1"/>
  <c r="O310" i="1"/>
  <c r="E310" i="1" s="1"/>
  <c r="O302" i="1"/>
  <c r="O288" i="1"/>
  <c r="O287" i="1"/>
  <c r="E287" i="1" s="1"/>
  <c r="O284" i="1"/>
  <c r="E284" i="1" s="1"/>
  <c r="O278" i="1"/>
  <c r="E278" i="1" s="1"/>
  <c r="O277" i="1"/>
  <c r="E277" i="1" s="1"/>
  <c r="O267" i="1"/>
  <c r="E267" i="1" s="1"/>
  <c r="O264" i="1"/>
  <c r="E264" i="1" s="1"/>
  <c r="BQ13" i="7"/>
  <c r="O9" i="15"/>
  <c r="AJ366" i="15" s="1"/>
  <c r="AJ16" i="18"/>
  <c r="AJ17" i="18"/>
  <c r="AJ78" i="18"/>
  <c r="AJ121" i="18"/>
  <c r="AJ136" i="18"/>
  <c r="AJ177" i="18"/>
  <c r="AJ151" i="18"/>
  <c r="AJ166" i="18"/>
  <c r="AJ183" i="18"/>
  <c r="AJ196" i="18"/>
  <c r="AJ212" i="18"/>
  <c r="AJ235" i="18"/>
  <c r="AJ247" i="18"/>
  <c r="AJ261" i="18"/>
  <c r="AJ276" i="18"/>
  <c r="AJ288" i="18"/>
  <c r="AJ306" i="18"/>
  <c r="AJ320" i="18"/>
  <c r="AJ222" i="18"/>
  <c r="AJ234" i="18"/>
  <c r="AJ257" i="18"/>
  <c r="AJ270" i="18"/>
  <c r="AJ292" i="18"/>
  <c r="AJ307" i="18"/>
  <c r="AJ324" i="18"/>
  <c r="AJ339" i="18"/>
  <c r="AJ352" i="18"/>
  <c r="AJ362" i="18"/>
  <c r="AJ379" i="18"/>
  <c r="AJ341" i="18"/>
  <c r="AJ365" i="18"/>
  <c r="AJ20" i="18"/>
  <c r="AJ34" i="18"/>
  <c r="AJ47" i="18"/>
  <c r="AJ38" i="18"/>
  <c r="AJ18" i="18"/>
  <c r="AJ63" i="18"/>
  <c r="AJ61" i="18"/>
  <c r="AJ76" i="18"/>
  <c r="AJ80" i="18"/>
  <c r="AJ91" i="18"/>
  <c r="AJ63" i="17"/>
  <c r="AJ24" i="18"/>
  <c r="AJ40" i="18"/>
  <c r="AJ27" i="18"/>
  <c r="AJ49" i="18"/>
  <c r="AJ41" i="18"/>
  <c r="AJ50" i="18"/>
  <c r="AJ66" i="18"/>
  <c r="AJ72" i="18"/>
  <c r="AJ83" i="18"/>
  <c r="AJ79" i="18"/>
  <c r="AJ105" i="18"/>
  <c r="AJ117" i="18"/>
  <c r="AJ125" i="18"/>
  <c r="AJ144" i="18"/>
  <c r="AJ103" i="18"/>
  <c r="AJ130" i="18"/>
  <c r="AJ142" i="18"/>
  <c r="AJ149" i="18"/>
  <c r="AJ168" i="18"/>
  <c r="AJ174" i="18"/>
  <c r="AJ179" i="18"/>
  <c r="AJ189" i="18"/>
  <c r="AJ199" i="18"/>
  <c r="AJ207" i="18"/>
  <c r="AJ153" i="18"/>
  <c r="AJ158" i="18"/>
  <c r="AJ141" i="18"/>
  <c r="AJ135" i="18"/>
  <c r="AJ128" i="18"/>
  <c r="AJ110" i="18"/>
  <c r="AJ102" i="18"/>
  <c r="AJ88" i="18"/>
  <c r="AJ143" i="18"/>
  <c r="AJ133" i="18"/>
  <c r="AJ124" i="18"/>
  <c r="AJ120" i="18"/>
  <c r="AJ116" i="18"/>
  <c r="AJ109" i="18"/>
  <c r="AJ101" i="18"/>
  <c r="AJ93" i="18"/>
  <c r="AJ94" i="18"/>
  <c r="AJ86" i="18"/>
  <c r="AJ82" i="18"/>
  <c r="AJ77" i="18"/>
  <c r="AJ71" i="18"/>
  <c r="AJ69" i="18"/>
  <c r="AJ65" i="18"/>
  <c r="AJ59" i="18"/>
  <c r="AJ48" i="18"/>
  <c r="AJ57" i="18"/>
  <c r="AJ25" i="18"/>
  <c r="AJ58" i="18"/>
  <c r="AJ44" i="18"/>
  <c r="AJ33" i="18"/>
  <c r="AJ19" i="18"/>
  <c r="AJ45" i="18"/>
  <c r="AJ37" i="18"/>
  <c r="AJ29" i="18"/>
  <c r="AJ23" i="18"/>
  <c r="AJ380" i="18"/>
  <c r="AJ376" i="18"/>
  <c r="AJ368" i="18"/>
  <c r="AJ359" i="18"/>
  <c r="AJ345" i="18"/>
  <c r="AJ335" i="18"/>
  <c r="AJ329" i="18"/>
  <c r="AJ375" i="18"/>
  <c r="AJ366" i="18"/>
  <c r="AJ360" i="18"/>
  <c r="AJ354" i="18"/>
  <c r="AJ349" i="18"/>
  <c r="AJ342" i="18"/>
  <c r="AJ337" i="18"/>
  <c r="AJ326" i="18"/>
  <c r="AJ321" i="18"/>
  <c r="AJ313" i="18"/>
  <c r="AJ304" i="18"/>
  <c r="AJ298" i="18"/>
  <c r="AJ289" i="18"/>
  <c r="AJ282" i="18"/>
  <c r="AJ268" i="18"/>
  <c r="AJ259" i="18"/>
  <c r="AJ253" i="18"/>
  <c r="AJ237" i="18"/>
  <c r="AJ231" i="18"/>
  <c r="AJ226" i="18"/>
  <c r="AJ219" i="18"/>
  <c r="AJ213" i="18"/>
  <c r="AJ316" i="18"/>
  <c r="AJ309" i="18"/>
  <c r="AJ299" i="18"/>
  <c r="AJ293" i="18"/>
  <c r="AJ285" i="18"/>
  <c r="AJ278" i="18"/>
  <c r="AJ273" i="18"/>
  <c r="AJ263" i="18"/>
  <c r="AJ256" i="18"/>
  <c r="AJ249" i="18"/>
  <c r="AJ244" i="18"/>
  <c r="AJ239" i="18"/>
  <c r="AJ230" i="18"/>
  <c r="AJ218" i="18"/>
  <c r="AJ210" i="18"/>
  <c r="AJ201" i="18"/>
  <c r="AJ194" i="18"/>
  <c r="AJ187" i="18"/>
  <c r="AJ181" i="18"/>
  <c r="AJ169" i="18"/>
  <c r="AJ162" i="18"/>
  <c r="AJ156" i="18"/>
  <c r="AJ203" i="18"/>
  <c r="AJ185" i="18"/>
  <c r="AJ172" i="18"/>
  <c r="AJ146" i="18"/>
  <c r="AJ111" i="18"/>
  <c r="AJ134" i="18"/>
  <c r="AJ113" i="18"/>
  <c r="AJ87" i="18"/>
  <c r="AJ74" i="18"/>
  <c r="AJ62" i="18"/>
  <c r="AJ36" i="18"/>
  <c r="AJ30" i="18"/>
  <c r="Z13" i="7"/>
  <c r="AJ21" i="18"/>
  <c r="AJ26" i="18"/>
  <c r="AJ35" i="18"/>
  <c r="AJ43" i="18"/>
  <c r="F7" i="18"/>
  <c r="AJ32" i="18"/>
  <c r="AJ39" i="18"/>
  <c r="AJ55" i="18"/>
  <c r="AJ22" i="18"/>
  <c r="AJ54" i="18"/>
  <c r="AJ31" i="18"/>
  <c r="AJ56" i="18"/>
  <c r="AJ64" i="18"/>
  <c r="AJ68" i="18"/>
  <c r="AJ70" i="18"/>
  <c r="AJ75" i="18"/>
  <c r="AJ81" i="18"/>
  <c r="AJ85" i="18"/>
  <c r="AJ92" i="18"/>
  <c r="AJ90" i="18"/>
  <c r="AJ100" i="18"/>
  <c r="AJ108" i="18"/>
  <c r="AJ115" i="18"/>
  <c r="AJ119" i="18"/>
  <c r="AJ123" i="18"/>
  <c r="AJ129" i="18"/>
  <c r="AJ140" i="18"/>
  <c r="AJ150" i="18"/>
  <c r="AJ97" i="18"/>
  <c r="AJ107" i="18"/>
  <c r="AJ126" i="18"/>
  <c r="AJ132" i="18"/>
  <c r="AJ139" i="18"/>
  <c r="AJ145" i="18"/>
  <c r="AJ147" i="18"/>
  <c r="AJ154" i="18"/>
  <c r="AJ165" i="18"/>
  <c r="AJ171" i="18"/>
  <c r="AJ173" i="18"/>
  <c r="AJ175" i="18"/>
  <c r="AJ178" i="18"/>
  <c r="AJ184" i="18"/>
  <c r="AJ188" i="18"/>
  <c r="AJ190" i="18"/>
  <c r="AJ198" i="18"/>
  <c r="AJ202" i="18"/>
  <c r="AJ204" i="18"/>
  <c r="AJ209" i="18"/>
  <c r="AJ152" i="18"/>
  <c r="AJ155" i="18"/>
  <c r="AJ157" i="18"/>
  <c r="AJ159" i="18"/>
  <c r="AJ161" i="18"/>
  <c r="AJ163" i="18"/>
  <c r="AJ167" i="18"/>
  <c r="AJ170" i="18"/>
  <c r="AJ180" i="18"/>
  <c r="AJ182" i="18"/>
  <c r="AJ186" i="18"/>
  <c r="AJ191" i="18"/>
  <c r="AJ193" i="18"/>
  <c r="AJ195" i="18"/>
  <c r="AJ200" i="18"/>
  <c r="AJ205" i="18"/>
  <c r="AJ208" i="18"/>
  <c r="AJ211" i="18"/>
  <c r="AJ215" i="18"/>
  <c r="AJ220" i="18"/>
  <c r="AJ224" i="18"/>
  <c r="AJ233" i="18"/>
  <c r="AJ238" i="18"/>
  <c r="AJ240" i="18"/>
  <c r="AJ242" i="18"/>
  <c r="AJ246" i="18"/>
  <c r="AJ248" i="18"/>
  <c r="AJ251" i="18"/>
  <c r="AJ254" i="18"/>
  <c r="AJ260" i="18"/>
  <c r="AJ262" i="18"/>
  <c r="AJ264" i="18"/>
  <c r="AJ272" i="18"/>
  <c r="AJ274" i="18"/>
  <c r="AJ277" i="18"/>
  <c r="AJ279" i="18"/>
  <c r="AJ281" i="18"/>
  <c r="AJ286" i="18"/>
  <c r="AJ291" i="18"/>
  <c r="AJ295" i="18"/>
  <c r="AJ297" i="18"/>
  <c r="AJ301" i="18"/>
  <c r="AJ308" i="18"/>
  <c r="AJ311" i="18"/>
  <c r="AJ315" i="18"/>
  <c r="AJ319" i="18"/>
  <c r="AJ322" i="18"/>
  <c r="AJ214" i="18"/>
  <c r="AJ217" i="18"/>
  <c r="AJ221" i="18"/>
  <c r="AJ225" i="18"/>
  <c r="AJ227" i="18"/>
  <c r="AJ229" i="18"/>
  <c r="AJ232" i="18"/>
  <c r="AJ236" i="18"/>
  <c r="AJ243" i="18"/>
  <c r="AJ250" i="18"/>
  <c r="AJ255" i="18"/>
  <c r="AJ258" i="18"/>
  <c r="AJ265" i="18"/>
  <c r="AJ267" i="18"/>
  <c r="AJ269" i="18"/>
  <c r="AJ275" i="18"/>
  <c r="AJ283" i="18"/>
  <c r="AJ287" i="18"/>
  <c r="AJ290" i="18"/>
  <c r="AJ294" i="18"/>
  <c r="AJ300" i="18"/>
  <c r="AJ303" i="18"/>
  <c r="AJ305" i="18"/>
  <c r="AJ310" i="18"/>
  <c r="AJ314" i="18"/>
  <c r="AJ318" i="18"/>
  <c r="AJ323" i="18"/>
  <c r="AJ325" i="18"/>
  <c r="AJ327" i="18"/>
  <c r="AJ334" i="18"/>
  <c r="AJ338" i="18"/>
  <c r="AJ340" i="18"/>
  <c r="AJ343" i="18"/>
  <c r="AJ348" i="18"/>
  <c r="AJ350" i="18"/>
  <c r="AJ353" i="18"/>
  <c r="AJ355" i="18"/>
  <c r="AJ357" i="18"/>
  <c r="AJ361" i="18"/>
  <c r="AJ363" i="18"/>
  <c r="AJ371" i="18"/>
  <c r="AJ373" i="18"/>
  <c r="AJ377" i="18"/>
  <c r="AJ328" i="18"/>
  <c r="AJ330" i="18"/>
  <c r="AJ333" i="18"/>
  <c r="AJ336" i="18"/>
  <c r="AJ344" i="18"/>
  <c r="AJ346" i="18"/>
  <c r="AJ358" i="18"/>
  <c r="AJ364" i="18"/>
  <c r="AJ367" i="18"/>
  <c r="AJ369" i="18"/>
  <c r="AJ374" i="18"/>
  <c r="AJ378" i="18"/>
  <c r="BM13" i="7"/>
  <c r="E13" i="7"/>
  <c r="O158" i="1"/>
  <c r="O160" i="1"/>
  <c r="O162" i="1"/>
  <c r="O172" i="1"/>
  <c r="E172" i="1" s="1"/>
  <c r="O176" i="1"/>
  <c r="E176" i="1" s="1"/>
  <c r="AC180" i="1"/>
  <c r="O182" i="1"/>
  <c r="E182" i="1" s="1"/>
  <c r="O184" i="1"/>
  <c r="E184" i="1" s="1"/>
  <c r="O186" i="1"/>
  <c r="E186" i="1" s="1"/>
  <c r="O188" i="1"/>
  <c r="E188" i="1" s="1"/>
  <c r="O191" i="1"/>
  <c r="E191" i="1" s="1"/>
  <c r="O192" i="1"/>
  <c r="E192" i="1" s="1"/>
  <c r="O194" i="1"/>
  <c r="E194" i="1" s="1"/>
  <c r="O196" i="1"/>
  <c r="E196" i="1" s="1"/>
  <c r="O198" i="1"/>
  <c r="E198" i="1" s="1"/>
  <c r="O200" i="1"/>
  <c r="E200" i="1" s="1"/>
  <c r="AC202" i="1"/>
  <c r="O203" i="1"/>
  <c r="O208" i="1"/>
  <c r="E208" i="1" s="1"/>
  <c r="O214" i="1"/>
  <c r="O218" i="1"/>
  <c r="E218" i="1" s="1"/>
  <c r="O220" i="1"/>
  <c r="E220" i="1" s="1"/>
  <c r="O222" i="1"/>
  <c r="E222" i="1" s="1"/>
  <c r="O228" i="1"/>
  <c r="O230" i="1"/>
  <c r="E230" i="1" s="1"/>
  <c r="O231" i="1"/>
  <c r="E231" i="1" s="1"/>
  <c r="O232" i="1"/>
  <c r="E232" i="1" s="1"/>
  <c r="O238" i="1"/>
  <c r="O243" i="1"/>
  <c r="E243" i="1" s="1"/>
  <c r="O244" i="1"/>
  <c r="O248" i="1"/>
  <c r="E248" i="1" s="1"/>
  <c r="O250" i="1"/>
  <c r="E250" i="1" s="1"/>
  <c r="O254" i="1"/>
  <c r="E254" i="1" s="1"/>
  <c r="O258" i="1"/>
  <c r="BS13" i="7"/>
  <c r="BY13" i="7"/>
  <c r="O164" i="1"/>
  <c r="O166" i="1"/>
  <c r="O168" i="1"/>
  <c r="O170" i="1"/>
  <c r="O174" i="1"/>
  <c r="E174" i="1" s="1"/>
  <c r="O178" i="1"/>
  <c r="E178" i="1" s="1"/>
  <c r="O180" i="1"/>
  <c r="O190" i="1"/>
  <c r="E190" i="1" s="1"/>
  <c r="O202" i="1"/>
  <c r="E202" i="1" s="1"/>
  <c r="O204" i="1"/>
  <c r="O206" i="1"/>
  <c r="E206" i="1" s="1"/>
  <c r="O210" i="1"/>
  <c r="O212" i="1"/>
  <c r="E212" i="1" s="1"/>
  <c r="O216" i="1"/>
  <c r="O224" i="1"/>
  <c r="E224" i="1" s="1"/>
  <c r="O226" i="1"/>
  <c r="E226" i="1" s="1"/>
  <c r="O234" i="1"/>
  <c r="E234" i="1" s="1"/>
  <c r="O236" i="1"/>
  <c r="E236" i="1" s="1"/>
  <c r="O240" i="1"/>
  <c r="E240" i="1" s="1"/>
  <c r="O242" i="1"/>
  <c r="O246" i="1"/>
  <c r="E246" i="1" s="1"/>
  <c r="O247" i="1"/>
  <c r="O249" i="1"/>
  <c r="E249" i="1" s="1"/>
  <c r="O252" i="1"/>
  <c r="O256" i="1"/>
  <c r="E256" i="1" s="1"/>
  <c r="O309" i="1"/>
  <c r="E309" i="1" s="1"/>
  <c r="O315" i="1"/>
  <c r="E315" i="1" s="1"/>
  <c r="O343" i="1"/>
  <c r="O345" i="1"/>
  <c r="E345" i="1" s="1"/>
  <c r="O355" i="1"/>
  <c r="AC179" i="1"/>
  <c r="O187" i="1"/>
  <c r="O189" i="1"/>
  <c r="E189" i="1" s="1"/>
  <c r="O223" i="1"/>
  <c r="E223" i="1" s="1"/>
  <c r="O227" i="1"/>
  <c r="E227" i="1" s="1"/>
  <c r="O229" i="1"/>
  <c r="E229" i="1" s="1"/>
  <c r="O235" i="1"/>
  <c r="E235" i="1" s="1"/>
  <c r="O239" i="1"/>
  <c r="E239" i="1" s="1"/>
  <c r="O251" i="1"/>
  <c r="E251" i="1" s="1"/>
  <c r="O253" i="1"/>
  <c r="E253" i="1" s="1"/>
  <c r="O255" i="1"/>
  <c r="E255" i="1" s="1"/>
  <c r="O261" i="1"/>
  <c r="E261" i="1" s="1"/>
  <c r="O279" i="1"/>
  <c r="E279" i="1" s="1"/>
  <c r="O291" i="1"/>
  <c r="E291" i="1" s="1"/>
  <c r="O293" i="1"/>
  <c r="E293" i="1" s="1"/>
  <c r="O299" i="1"/>
  <c r="O337" i="1"/>
  <c r="E337" i="1" s="1"/>
  <c r="O339" i="1"/>
  <c r="E339" i="1" s="1"/>
  <c r="O371" i="1"/>
  <c r="E371" i="1" s="1"/>
  <c r="AS55" i="6"/>
  <c r="AS24" i="6"/>
  <c r="AS52" i="6"/>
  <c r="AS31" i="6"/>
  <c r="AS30" i="6"/>
  <c r="AS77" i="6"/>
  <c r="AS43" i="6"/>
  <c r="P36" i="6"/>
  <c r="AS57" i="6"/>
  <c r="AS54" i="6"/>
  <c r="T36" i="6"/>
  <c r="Y21" i="6"/>
  <c r="AB29" i="6"/>
  <c r="AA35" i="6" s="1"/>
  <c r="O20" i="6"/>
  <c r="U29" i="6"/>
  <c r="AB18" i="6"/>
  <c r="AA20" i="6"/>
  <c r="V29" i="6"/>
  <c r="E246" i="6"/>
  <c r="AE20" i="6"/>
  <c r="W29" i="6"/>
  <c r="E274" i="6"/>
  <c r="E330" i="6"/>
  <c r="Y29" i="6"/>
  <c r="AK16" i="6"/>
  <c r="AI20" i="6"/>
  <c r="AL18" i="6"/>
  <c r="AM16" i="6"/>
  <c r="M13" i="6"/>
  <c r="Z44" i="6"/>
  <c r="AN16" i="6"/>
  <c r="M43" i="6"/>
  <c r="N15" i="6"/>
  <c r="N21" i="6" s="1"/>
  <c r="M17" i="6"/>
  <c r="P15" i="6"/>
  <c r="N19" i="6"/>
  <c r="N22" i="6" s="1"/>
  <c r="N43" i="6"/>
  <c r="Q17" i="6"/>
  <c r="R15" i="6"/>
  <c r="R21" i="6" s="1"/>
  <c r="P19" i="6"/>
  <c r="O43" i="6"/>
  <c r="P45" i="6" s="1"/>
  <c r="P43" i="6"/>
  <c r="R19" i="6"/>
  <c r="T15" i="6"/>
  <c r="T21" i="6" s="1"/>
  <c r="S17" i="6"/>
  <c r="V15" i="6"/>
  <c r="V21" i="6" s="1"/>
  <c r="T19" i="6"/>
  <c r="T22" i="6" s="1"/>
  <c r="U17" i="6"/>
  <c r="U22" i="6" s="1"/>
  <c r="Q43" i="6"/>
  <c r="X15" i="6"/>
  <c r="X21" i="6" s="1"/>
  <c r="V19" i="6"/>
  <c r="V22" i="6" s="1"/>
  <c r="R43" i="6"/>
  <c r="R47" i="6" s="1"/>
  <c r="S43" i="6"/>
  <c r="X19" i="6"/>
  <c r="X22" i="6" s="1"/>
  <c r="Z15" i="6"/>
  <c r="Z21" i="6" s="1"/>
  <c r="AA17" i="6"/>
  <c r="AB15" i="6"/>
  <c r="AB21" i="6" s="1"/>
  <c r="Z19" i="6"/>
  <c r="Z22" i="6" s="1"/>
  <c r="T43" i="6"/>
  <c r="AC17" i="6"/>
  <c r="AC21" i="6" s="1"/>
  <c r="U43" i="6"/>
  <c r="AD15" i="6"/>
  <c r="AB19" i="6"/>
  <c r="AB22" i="6" s="1"/>
  <c r="AF15" i="6"/>
  <c r="AF21" i="6" s="1"/>
  <c r="V43" i="6"/>
  <c r="AE17" i="6"/>
  <c r="AE22" i="6" s="1"/>
  <c r="AD19" i="6"/>
  <c r="AD22" i="6" s="1"/>
  <c r="W43" i="6"/>
  <c r="AH15" i="6"/>
  <c r="AH21" i="6" s="1"/>
  <c r="AF19" i="6"/>
  <c r="AF22" i="6" s="1"/>
  <c r="AG17" i="6"/>
  <c r="AJ15" i="6"/>
  <c r="X43" i="6"/>
  <c r="X47" i="6" s="1"/>
  <c r="AH19" i="6"/>
  <c r="AH22" i="6" s="1"/>
  <c r="AI17" i="6"/>
  <c r="AI22" i="6" s="1"/>
  <c r="AH18" i="6"/>
  <c r="Z18" i="6"/>
  <c r="E162" i="6"/>
  <c r="X18" i="6"/>
  <c r="V18" i="6"/>
  <c r="T18" i="6"/>
  <c r="Q29" i="6"/>
  <c r="P29" i="6"/>
  <c r="Q16" i="6"/>
  <c r="O16" i="6"/>
  <c r="N29" i="6"/>
  <c r="U20" i="6"/>
  <c r="AG16" i="6"/>
  <c r="E190" i="6"/>
  <c r="E372" i="6"/>
  <c r="AE16" i="6"/>
  <c r="AL20" i="6"/>
  <c r="AC20" i="6"/>
  <c r="E50" i="6"/>
  <c r="E218" i="6"/>
  <c r="L13" i="6"/>
  <c r="AN13" i="6"/>
  <c r="AS27" i="6"/>
  <c r="AS51" i="6"/>
  <c r="O17" i="6"/>
  <c r="O21" i="6" s="1"/>
  <c r="W17" i="6"/>
  <c r="AS38" i="6"/>
  <c r="AS48" i="6"/>
  <c r="AS45" i="6"/>
  <c r="AS78" i="6"/>
  <c r="AS35" i="6"/>
  <c r="AS73" i="6"/>
  <c r="P37" i="6"/>
  <c r="V36" i="6"/>
  <c r="AC22" i="6"/>
  <c r="AD21" i="6"/>
  <c r="Y22" i="6"/>
  <c r="R32" i="6"/>
  <c r="S30" i="6"/>
  <c r="S36" i="6" s="1"/>
  <c r="Q21" i="6"/>
  <c r="AE21" i="6"/>
  <c r="U21" i="6"/>
  <c r="Q48" i="6"/>
  <c r="AS25" i="6"/>
  <c r="AS44" i="6"/>
  <c r="AS37" i="6"/>
  <c r="AS50" i="6"/>
  <c r="AS68" i="6"/>
  <c r="AS75" i="6"/>
  <c r="AK3" i="1"/>
  <c r="Q11" i="19" s="1"/>
  <c r="AS65" i="6"/>
  <c r="O47" i="6"/>
  <c r="X30" i="6"/>
  <c r="V34" i="6"/>
  <c r="V37" i="6" s="1"/>
  <c r="S45" i="6"/>
  <c r="Q49" i="6"/>
  <c r="AB28" i="6"/>
  <c r="AA34" i="6" s="1"/>
  <c r="AA32" i="6"/>
  <c r="AA37" i="6" s="1"/>
  <c r="Z34" i="6"/>
  <c r="Z37" i="6" s="1"/>
  <c r="Y32" i="6"/>
  <c r="Y37" i="6" s="1"/>
  <c r="X34" i="6"/>
  <c r="Z49" i="6"/>
  <c r="AA47" i="6"/>
  <c r="AA52" i="6" s="1"/>
  <c r="AM22" i="6"/>
  <c r="AM21" i="6"/>
  <c r="F30" i="6"/>
  <c r="R22" i="6"/>
  <c r="W30" i="6"/>
  <c r="W36" i="6" s="1"/>
  <c r="U34" i="6"/>
  <c r="U37" i="6" s="1"/>
  <c r="Y43" i="6"/>
  <c r="AK17" i="6"/>
  <c r="AJ19" i="6"/>
  <c r="AL15" i="6"/>
  <c r="AL21" i="6" s="1"/>
  <c r="Z43" i="6"/>
  <c r="AL19" i="6"/>
  <c r="AL22" i="6" s="1"/>
  <c r="AN15" i="6"/>
  <c r="AN21" i="6" s="1"/>
  <c r="M22" i="6"/>
  <c r="W49" i="6"/>
  <c r="M15" i="6"/>
  <c r="M21" i="6" s="1"/>
  <c r="M28" i="6"/>
  <c r="P17" i="6"/>
  <c r="O19" i="6"/>
  <c r="O22" i="6" s="1"/>
  <c r="S15" i="6"/>
  <c r="Q19" i="6"/>
  <c r="Q22" i="6" s="1"/>
  <c r="AG19" i="6"/>
  <c r="X28" i="6"/>
  <c r="AK15" i="6"/>
  <c r="AJ17" i="6"/>
  <c r="AJ221" i="17" l="1"/>
  <c r="AJ274" i="17"/>
  <c r="AJ84" i="17"/>
  <c r="AJ336" i="17"/>
  <c r="AJ160" i="17"/>
  <c r="AJ218" i="16"/>
  <c r="AJ220" i="17"/>
  <c r="AJ352" i="17"/>
  <c r="AJ334" i="17"/>
  <c r="AJ257" i="17"/>
  <c r="AJ40" i="17"/>
  <c r="BL15" i="7"/>
  <c r="P11" i="15"/>
  <c r="AJ75" i="16"/>
  <c r="AJ52" i="17"/>
  <c r="AJ170" i="17"/>
  <c r="AJ268" i="17"/>
  <c r="AJ297" i="17"/>
  <c r="AJ374" i="17"/>
  <c r="AJ357" i="17"/>
  <c r="AJ302" i="17"/>
  <c r="AJ320" i="17"/>
  <c r="AJ207" i="17"/>
  <c r="AJ131" i="17"/>
  <c r="AJ154" i="17"/>
  <c r="Q12" i="15"/>
  <c r="BX15" i="7"/>
  <c r="AK172" i="15"/>
  <c r="H15" i="7"/>
  <c r="AJ337" i="15"/>
  <c r="AJ171" i="15"/>
  <c r="AJ279" i="15"/>
  <c r="AJ223" i="15"/>
  <c r="AJ44" i="15"/>
  <c r="AJ167" i="16"/>
  <c r="AJ277" i="16"/>
  <c r="AJ371" i="15"/>
  <c r="AJ141" i="15"/>
  <c r="AJ283" i="15"/>
  <c r="AJ122" i="15"/>
  <c r="AJ108" i="15"/>
  <c r="AJ92" i="15"/>
  <c r="AJ36" i="17"/>
  <c r="AJ86" i="17"/>
  <c r="AJ166" i="17"/>
  <c r="AJ192" i="17"/>
  <c r="AJ243" i="17"/>
  <c r="AJ307" i="17"/>
  <c r="AJ269" i="17"/>
  <c r="AJ331" i="17"/>
  <c r="AJ379" i="17"/>
  <c r="AJ362" i="17"/>
  <c r="AJ369" i="17"/>
  <c r="AJ345" i="17"/>
  <c r="AJ321" i="17"/>
  <c r="AJ292" i="17"/>
  <c r="AJ253" i="17"/>
  <c r="AJ282" i="17"/>
  <c r="AJ232" i="17"/>
  <c r="AJ182" i="17"/>
  <c r="AJ133" i="17"/>
  <c r="AJ81" i="17"/>
  <c r="AJ159" i="17"/>
  <c r="AJ85" i="17"/>
  <c r="AJ359" i="17"/>
  <c r="AK73" i="15"/>
  <c r="AK184" i="15"/>
  <c r="AK114" i="15"/>
  <c r="AK76" i="15"/>
  <c r="AK305" i="15"/>
  <c r="I11" i="7"/>
  <c r="Q11" i="15" s="1"/>
  <c r="P11" i="16"/>
  <c r="AK365" i="16" s="1"/>
  <c r="E207" i="1"/>
  <c r="L381" i="1"/>
  <c r="L230" i="22"/>
  <c r="L235" i="22"/>
  <c r="L196" i="22"/>
  <c r="L197" i="22"/>
  <c r="L198" i="22"/>
  <c r="L199" i="22"/>
  <c r="L201" i="22"/>
  <c r="L219" i="22"/>
  <c r="L282" i="22"/>
  <c r="L295" i="22"/>
  <c r="L303" i="22"/>
  <c r="L268" i="22"/>
  <c r="L300" i="22"/>
  <c r="L308" i="22"/>
  <c r="L309" i="22"/>
  <c r="L310" i="22"/>
  <c r="L312" i="22"/>
  <c r="L316" i="22"/>
  <c r="L320" i="22"/>
  <c r="L331" i="22"/>
  <c r="L336" i="22"/>
  <c r="L337" i="22"/>
  <c r="L339" i="22"/>
  <c r="L354" i="22"/>
  <c r="L355" i="22"/>
  <c r="L375" i="22"/>
  <c r="L55" i="22"/>
  <c r="L59" i="22"/>
  <c r="L64" i="22"/>
  <c r="L38" i="22"/>
  <c r="L20" i="22"/>
  <c r="L23" i="22"/>
  <c r="L25" i="22"/>
  <c r="L22" i="22"/>
  <c r="L52" i="22"/>
  <c r="L74" i="22"/>
  <c r="L95" i="22"/>
  <c r="L108" i="22"/>
  <c r="L113" i="22"/>
  <c r="L77" i="22"/>
  <c r="L112" i="22"/>
  <c r="L121" i="22"/>
  <c r="L127" i="22"/>
  <c r="L135" i="22"/>
  <c r="L142" i="22"/>
  <c r="L149" i="22"/>
  <c r="AF36" i="7" s="1"/>
  <c r="L156" i="22"/>
  <c r="L161" i="22"/>
  <c r="L93" i="22"/>
  <c r="L119" i="22"/>
  <c r="AF35" i="7" s="1"/>
  <c r="L134" i="22"/>
  <c r="L155" i="22"/>
  <c r="L168" i="22"/>
  <c r="L179" i="22"/>
  <c r="L187" i="22"/>
  <c r="L203" i="22"/>
  <c r="L215" i="22"/>
  <c r="L220" i="22"/>
  <c r="L229" i="22"/>
  <c r="L238" i="22"/>
  <c r="L242" i="22"/>
  <c r="L248" i="22"/>
  <c r="L254" i="22"/>
  <c r="L262" i="22"/>
  <c r="L267" i="22"/>
  <c r="L318" i="22"/>
  <c r="L335" i="22"/>
  <c r="L344" i="22"/>
  <c r="L357" i="22"/>
  <c r="L358" i="22"/>
  <c r="L360" i="22"/>
  <c r="L361" i="22"/>
  <c r="L370" i="22"/>
  <c r="L67" i="22"/>
  <c r="L36" i="22"/>
  <c r="L53" i="22"/>
  <c r="L34" i="22"/>
  <c r="L35" i="22"/>
  <c r="L17" i="22"/>
  <c r="L66" i="22"/>
  <c r="L89" i="22"/>
  <c r="L105" i="22"/>
  <c r="L110" i="22"/>
  <c r="L72" i="22"/>
  <c r="L90" i="22"/>
  <c r="L115" i="22"/>
  <c r="L124" i="22"/>
  <c r="L130" i="22"/>
  <c r="L138" i="22"/>
  <c r="L147" i="22"/>
  <c r="L152" i="22"/>
  <c r="L158" i="22"/>
  <c r="L58" i="22"/>
  <c r="L116" i="22"/>
  <c r="L129" i="22"/>
  <c r="L143" i="22"/>
  <c r="L166" i="22"/>
  <c r="L173" i="22"/>
  <c r="L181" i="22"/>
  <c r="L194" i="22"/>
  <c r="L210" i="22"/>
  <c r="AF38" i="7" s="1"/>
  <c r="L217" i="22"/>
  <c r="L227" i="22"/>
  <c r="L234" i="22"/>
  <c r="L240" i="22"/>
  <c r="L245" i="22"/>
  <c r="L250" i="22"/>
  <c r="L258" i="22"/>
  <c r="L264" i="22"/>
  <c r="L271" i="22"/>
  <c r="L99" i="22"/>
  <c r="L98" i="22"/>
  <c r="L101" i="22"/>
  <c r="L86" i="22"/>
  <c r="L85" i="22"/>
  <c r="L47" i="22"/>
  <c r="L382" i="24"/>
  <c r="BT9" i="7"/>
  <c r="BV10" i="7" s="1"/>
  <c r="BQ10" i="7"/>
  <c r="L48" i="20"/>
  <c r="L102" i="20"/>
  <c r="L111" i="20"/>
  <c r="L147" i="20"/>
  <c r="L175" i="20"/>
  <c r="L182" i="20"/>
  <c r="L183" i="20"/>
  <c r="L185" i="20"/>
  <c r="L194" i="20"/>
  <c r="L207" i="20"/>
  <c r="L212" i="20"/>
  <c r="L233" i="20"/>
  <c r="L235" i="20"/>
  <c r="L236" i="20"/>
  <c r="L237" i="20"/>
  <c r="L77" i="20"/>
  <c r="L81" i="20"/>
  <c r="L105" i="20"/>
  <c r="L107" i="20"/>
  <c r="L113" i="20"/>
  <c r="L142" i="20"/>
  <c r="L148" i="20"/>
  <c r="L164" i="20"/>
  <c r="L180" i="20"/>
  <c r="AF25" i="7" s="1"/>
  <c r="L181" i="20"/>
  <c r="L187" i="20"/>
  <c r="L192" i="20"/>
  <c r="L193" i="20"/>
  <c r="L200" i="20"/>
  <c r="L201" i="20"/>
  <c r="L202" i="20"/>
  <c r="L205" i="20"/>
  <c r="L213" i="20"/>
  <c r="L214" i="20"/>
  <c r="L216" i="20"/>
  <c r="L218" i="20"/>
  <c r="L219" i="20"/>
  <c r="L220" i="20"/>
  <c r="L222" i="20"/>
  <c r="L223" i="20"/>
  <c r="L225" i="20"/>
  <c r="L231" i="20"/>
  <c r="L238" i="20"/>
  <c r="L239" i="20"/>
  <c r="L241" i="20"/>
  <c r="AF27" i="7" s="1"/>
  <c r="L247" i="20"/>
  <c r="L248" i="20"/>
  <c r="L250" i="20"/>
  <c r="L254" i="20"/>
  <c r="L256" i="20"/>
  <c r="L260" i="20"/>
  <c r="L264" i="20"/>
  <c r="L265" i="20"/>
  <c r="L275" i="20"/>
  <c r="L276" i="20"/>
  <c r="L277" i="20"/>
  <c r="L278" i="20"/>
  <c r="L280" i="20"/>
  <c r="L281" i="20"/>
  <c r="L282" i="20"/>
  <c r="L283" i="20"/>
  <c r="L284" i="20"/>
  <c r="L288" i="20"/>
  <c r="L289" i="20"/>
  <c r="L295" i="20"/>
  <c r="L296" i="20"/>
  <c r="L297" i="20"/>
  <c r="L300" i="20"/>
  <c r="L301" i="20"/>
  <c r="L302" i="20"/>
  <c r="AF29" i="7" s="1"/>
  <c r="L303" i="20"/>
  <c r="L305" i="20"/>
  <c r="L307" i="20"/>
  <c r="L308" i="20"/>
  <c r="L243" i="20"/>
  <c r="L252" i="20"/>
  <c r="L258" i="20"/>
  <c r="L259" i="20"/>
  <c r="L262" i="20"/>
  <c r="L267" i="20"/>
  <c r="L270" i="20"/>
  <c r="L290" i="20"/>
  <c r="L291" i="20"/>
  <c r="L292" i="20"/>
  <c r="L293" i="20"/>
  <c r="L294" i="20"/>
  <c r="L309" i="20"/>
  <c r="L315" i="20"/>
  <c r="L316" i="20"/>
  <c r="L318" i="20"/>
  <c r="L325" i="20"/>
  <c r="L326" i="20"/>
  <c r="L332" i="20"/>
  <c r="L334" i="20"/>
  <c r="L335" i="20"/>
  <c r="L337" i="20"/>
  <c r="L338" i="20"/>
  <c r="L345" i="20"/>
  <c r="L346" i="20"/>
  <c r="L349" i="20"/>
  <c r="L356" i="20"/>
  <c r="L359" i="20"/>
  <c r="L360" i="20"/>
  <c r="L361" i="20"/>
  <c r="L362" i="20"/>
  <c r="L363" i="20"/>
  <c r="AF31" i="7" s="1"/>
  <c r="L365" i="20"/>
  <c r="L367" i="20"/>
  <c r="L369" i="20"/>
  <c r="L371" i="20"/>
  <c r="L373" i="20"/>
  <c r="L374" i="20"/>
  <c r="L377" i="20"/>
  <c r="L378" i="20"/>
  <c r="L379" i="20"/>
  <c r="B40" i="19" s="1"/>
  <c r="L59" i="20"/>
  <c r="L68" i="20"/>
  <c r="L69" i="20"/>
  <c r="L37" i="20"/>
  <c r="L38" i="20"/>
  <c r="L49" i="20"/>
  <c r="L56" i="20"/>
  <c r="L57" i="20"/>
  <c r="L34" i="20"/>
  <c r="L42" i="20"/>
  <c r="L46" i="20"/>
  <c r="L50" i="20"/>
  <c r="L51" i="20"/>
  <c r="L22" i="20"/>
  <c r="L28" i="20"/>
  <c r="L36" i="20"/>
  <c r="L39" i="20"/>
  <c r="L41" i="20"/>
  <c r="L15" i="20"/>
  <c r="L20" i="20"/>
  <c r="L24" i="20"/>
  <c r="L33" i="20"/>
  <c r="L32" i="20"/>
  <c r="L30" i="20"/>
  <c r="L26" i="20"/>
  <c r="L25" i="20"/>
  <c r="L16" i="20"/>
  <c r="L17" i="20"/>
  <c r="L255" i="20"/>
  <c r="L274" i="20"/>
  <c r="L279" i="20"/>
  <c r="L285" i="20"/>
  <c r="L286" i="20"/>
  <c r="L287" i="20"/>
  <c r="L298" i="20"/>
  <c r="L299" i="20"/>
  <c r="L304" i="20"/>
  <c r="L306" i="20"/>
  <c r="L310" i="20"/>
  <c r="L311" i="20"/>
  <c r="L312" i="20"/>
  <c r="L313" i="20"/>
  <c r="L314" i="20"/>
  <c r="L317" i="20"/>
  <c r="L319" i="20"/>
  <c r="L320" i="20"/>
  <c r="L321" i="20"/>
  <c r="L322" i="20"/>
  <c r="L323" i="20"/>
  <c r="L324" i="20"/>
  <c r="L327" i="20"/>
  <c r="L328" i="20"/>
  <c r="L329" i="20"/>
  <c r="L330" i="20"/>
  <c r="L331" i="20"/>
  <c r="L333" i="20"/>
  <c r="AF30" i="7" s="1"/>
  <c r="L336" i="20"/>
  <c r="L339" i="20"/>
  <c r="L340" i="20"/>
  <c r="L341" i="20"/>
  <c r="L342" i="20"/>
  <c r="L343" i="20"/>
  <c r="L344" i="20"/>
  <c r="L347" i="20"/>
  <c r="L348" i="20"/>
  <c r="L350" i="20"/>
  <c r="L351" i="20"/>
  <c r="L352" i="20"/>
  <c r="L353" i="20"/>
  <c r="L354" i="20"/>
  <c r="L355" i="20"/>
  <c r="L357" i="20"/>
  <c r="L358" i="20"/>
  <c r="L364" i="20"/>
  <c r="L366" i="20"/>
  <c r="L368" i="20"/>
  <c r="L370" i="20"/>
  <c r="L372" i="20"/>
  <c r="L375" i="20"/>
  <c r="L376" i="20"/>
  <c r="L40" i="20"/>
  <c r="L60" i="20"/>
  <c r="AF21" i="7" s="1"/>
  <c r="L61" i="20"/>
  <c r="L62" i="20"/>
  <c r="L65" i="20"/>
  <c r="L47" i="20"/>
  <c r="L52" i="20"/>
  <c r="L53" i="20"/>
  <c r="L55" i="20"/>
  <c r="L58" i="20"/>
  <c r="L45" i="20"/>
  <c r="L19" i="20"/>
  <c r="L31" i="20"/>
  <c r="L43" i="20"/>
  <c r="L23" i="20"/>
  <c r="L18" i="20"/>
  <c r="L27" i="20"/>
  <c r="L35" i="20"/>
  <c r="L29" i="20"/>
  <c r="AF20" i="7" s="1"/>
  <c r="L21" i="20"/>
  <c r="L66" i="20"/>
  <c r="L74" i="20"/>
  <c r="L83" i="20"/>
  <c r="L93" i="20"/>
  <c r="L96" i="20"/>
  <c r="L103" i="20"/>
  <c r="L109" i="20"/>
  <c r="L114" i="20"/>
  <c r="L82" i="20"/>
  <c r="L106" i="20"/>
  <c r="L116" i="20"/>
  <c r="L118" i="20"/>
  <c r="L120" i="20"/>
  <c r="L122" i="20"/>
  <c r="L124" i="20"/>
  <c r="L126" i="20"/>
  <c r="L129" i="20"/>
  <c r="L132" i="20"/>
  <c r="L136" i="20"/>
  <c r="L138" i="20"/>
  <c r="L146" i="20"/>
  <c r="L151" i="20"/>
  <c r="L153" i="20"/>
  <c r="L155" i="20"/>
  <c r="L159" i="20"/>
  <c r="L163" i="20"/>
  <c r="L166" i="20"/>
  <c r="L168" i="20"/>
  <c r="L95" i="20"/>
  <c r="L133" i="20"/>
  <c r="L145" i="20"/>
  <c r="L157" i="20"/>
  <c r="L161" i="20"/>
  <c r="L170" i="20"/>
  <c r="L172" i="20"/>
  <c r="L174" i="20"/>
  <c r="L177" i="20"/>
  <c r="L179" i="20"/>
  <c r="L186" i="20"/>
  <c r="L189" i="20"/>
  <c r="L191" i="20"/>
  <c r="L196" i="20"/>
  <c r="L198" i="20"/>
  <c r="L203" i="20"/>
  <c r="L206" i="20"/>
  <c r="L209" i="20"/>
  <c r="L211" i="20"/>
  <c r="L217" i="20"/>
  <c r="L224" i="20"/>
  <c r="L227" i="20"/>
  <c r="L229" i="20"/>
  <c r="L232" i="20"/>
  <c r="L240" i="20"/>
  <c r="L244" i="20"/>
  <c r="L246" i="20"/>
  <c r="L251" i="20"/>
  <c r="L257" i="20"/>
  <c r="L263" i="20"/>
  <c r="L268" i="20"/>
  <c r="L271" i="20"/>
  <c r="L273" i="20"/>
  <c r="L98" i="20"/>
  <c r="L91" i="20"/>
  <c r="L88" i="20"/>
  <c r="AF22" i="7" s="1"/>
  <c r="L87" i="20"/>
  <c r="L85" i="20"/>
  <c r="L80" i="20"/>
  <c r="L76" i="20"/>
  <c r="L71" i="20"/>
  <c r="L64" i="20"/>
  <c r="L54" i="20"/>
  <c r="L44" i="20"/>
  <c r="L67" i="20"/>
  <c r="L78" i="20"/>
  <c r="L86" i="20"/>
  <c r="L94" i="20"/>
  <c r="L100" i="20"/>
  <c r="L108" i="20"/>
  <c r="L112" i="20"/>
  <c r="L73" i="20"/>
  <c r="L92" i="20"/>
  <c r="L115" i="20"/>
  <c r="L117" i="20"/>
  <c r="L119" i="20"/>
  <c r="AF23" i="7" s="1"/>
  <c r="L121" i="20"/>
  <c r="L123" i="20"/>
  <c r="L125" i="20"/>
  <c r="L128" i="20"/>
  <c r="L130" i="20"/>
  <c r="L135" i="20"/>
  <c r="L137" i="20"/>
  <c r="L139" i="20"/>
  <c r="L149" i="20"/>
  <c r="AF24" i="7" s="1"/>
  <c r="L152" i="20"/>
  <c r="L154" i="20"/>
  <c r="L156" i="20"/>
  <c r="L160" i="20"/>
  <c r="L165" i="20"/>
  <c r="L167" i="20"/>
  <c r="L169" i="20"/>
  <c r="L131" i="20"/>
  <c r="L140" i="20"/>
  <c r="L150" i="20"/>
  <c r="L158" i="20"/>
  <c r="L162" i="20"/>
  <c r="L171" i="20"/>
  <c r="L173" i="20"/>
  <c r="L176" i="20"/>
  <c r="L178" i="20"/>
  <c r="L184" i="20"/>
  <c r="L188" i="20"/>
  <c r="L190" i="20"/>
  <c r="L195" i="20"/>
  <c r="L197" i="20"/>
  <c r="L199" i="20"/>
  <c r="L204" i="20"/>
  <c r="L208" i="20"/>
  <c r="L210" i="20"/>
  <c r="AF26" i="7" s="1"/>
  <c r="L215" i="20"/>
  <c r="L221" i="20"/>
  <c r="L226" i="20"/>
  <c r="L228" i="20"/>
  <c r="L230" i="20"/>
  <c r="L234" i="20"/>
  <c r="L242" i="20"/>
  <c r="L245" i="20"/>
  <c r="L249" i="20"/>
  <c r="L253" i="20"/>
  <c r="L261" i="20"/>
  <c r="L266" i="20"/>
  <c r="L269" i="20"/>
  <c r="L272" i="20"/>
  <c r="AF28" i="7" s="1"/>
  <c r="L101" i="20"/>
  <c r="L99" i="20"/>
  <c r="L97" i="20"/>
  <c r="L90" i="20"/>
  <c r="L84" i="20"/>
  <c r="L79" i="20"/>
  <c r="L72" i="20"/>
  <c r="L70" i="20"/>
  <c r="L63" i="20"/>
  <c r="L45" i="23"/>
  <c r="L109" i="23"/>
  <c r="L177" i="23"/>
  <c r="L196" i="23"/>
  <c r="L198" i="23"/>
  <c r="L200" i="23"/>
  <c r="L274" i="23"/>
  <c r="L285" i="23"/>
  <c r="L293" i="23"/>
  <c r="L305" i="23"/>
  <c r="L306" i="23"/>
  <c r="L238" i="23"/>
  <c r="L292" i="23"/>
  <c r="L307" i="23"/>
  <c r="L310" i="23"/>
  <c r="L315" i="23"/>
  <c r="L319" i="23"/>
  <c r="L331" i="23"/>
  <c r="L335" i="23"/>
  <c r="L346" i="23"/>
  <c r="L349" i="23"/>
  <c r="L50" i="23"/>
  <c r="L55" i="23"/>
  <c r="L37" i="23"/>
  <c r="L49" i="23"/>
  <c r="L79" i="23"/>
  <c r="L98" i="23"/>
  <c r="L70" i="23"/>
  <c r="L106" i="23"/>
  <c r="L114" i="23"/>
  <c r="L119" i="23"/>
  <c r="AF47" i="7" s="1"/>
  <c r="L125" i="23"/>
  <c r="L134" i="23"/>
  <c r="L145" i="23"/>
  <c r="L162" i="23"/>
  <c r="L62" i="23"/>
  <c r="L90" i="23"/>
  <c r="L117" i="23"/>
  <c r="L135" i="23"/>
  <c r="L143" i="23"/>
  <c r="L156" i="23"/>
  <c r="L170" i="23"/>
  <c r="L180" i="23"/>
  <c r="AF49" i="7" s="1"/>
  <c r="L187" i="23"/>
  <c r="L197" i="23"/>
  <c r="L205" i="23"/>
  <c r="L211" i="23"/>
  <c r="L224" i="23"/>
  <c r="L231" i="23"/>
  <c r="L242" i="23"/>
  <c r="L250" i="23"/>
  <c r="L254" i="23"/>
  <c r="L260" i="23"/>
  <c r="L267" i="23"/>
  <c r="L317" i="23"/>
  <c r="L328" i="23"/>
  <c r="L329" i="23"/>
  <c r="L333" i="23"/>
  <c r="AF54" i="7" s="1"/>
  <c r="L336" i="23"/>
  <c r="L337" i="23"/>
  <c r="L343" i="23"/>
  <c r="L344" i="23"/>
  <c r="L356" i="23"/>
  <c r="L357" i="23"/>
  <c r="L360" i="23"/>
  <c r="L364" i="23"/>
  <c r="L373" i="23"/>
  <c r="L377" i="23"/>
  <c r="L21" i="23"/>
  <c r="L54" i="23"/>
  <c r="L43" i="23"/>
  <c r="L47" i="23"/>
  <c r="L33" i="23"/>
  <c r="L16" i="23"/>
  <c r="L382" i="23" s="1"/>
  <c r="L23" i="23"/>
  <c r="L19" i="23"/>
  <c r="L73" i="23"/>
  <c r="L88" i="23"/>
  <c r="AF46" i="7" s="1"/>
  <c r="L107" i="23"/>
  <c r="L95" i="23"/>
  <c r="L112" i="23"/>
  <c r="L116" i="23"/>
  <c r="L121" i="23"/>
  <c r="L127" i="23"/>
  <c r="L141" i="23"/>
  <c r="L153" i="23"/>
  <c r="L59" i="23"/>
  <c r="L68" i="23"/>
  <c r="L92" i="23"/>
  <c r="L128" i="23"/>
  <c r="L140" i="23"/>
  <c r="L154" i="23"/>
  <c r="L164" i="23"/>
  <c r="L178" i="23"/>
  <c r="L182" i="23"/>
  <c r="L190" i="23"/>
  <c r="L202" i="23"/>
  <c r="L207" i="23"/>
  <c r="L214" i="23"/>
  <c r="L226" i="23"/>
  <c r="L235" i="23"/>
  <c r="L247" i="23"/>
  <c r="L252" i="23"/>
  <c r="L257" i="23"/>
  <c r="L265" i="23"/>
  <c r="L271" i="23"/>
  <c r="D88" i="17"/>
  <c r="B58" i="7"/>
  <c r="L383" i="1"/>
  <c r="L382" i="17"/>
  <c r="B56" i="7"/>
  <c r="D29" i="17"/>
  <c r="D302" i="1"/>
  <c r="E302" i="1" s="1"/>
  <c r="B29" i="7"/>
  <c r="D272" i="1"/>
  <c r="E272" i="1" s="1"/>
  <c r="B28" i="7"/>
  <c r="D210" i="1"/>
  <c r="B26" i="7"/>
  <c r="D241" i="15"/>
  <c r="B39" i="7"/>
  <c r="B37" i="7"/>
  <c r="D180" i="15"/>
  <c r="AJ131" i="16"/>
  <c r="AJ303" i="16"/>
  <c r="AJ37" i="16"/>
  <c r="AJ376" i="16"/>
  <c r="AJ207" i="16"/>
  <c r="E299" i="1"/>
  <c r="E187" i="1"/>
  <c r="E355" i="1"/>
  <c r="E343" i="1"/>
  <c r="E252" i="1"/>
  <c r="E247" i="1"/>
  <c r="E242" i="1"/>
  <c r="E216" i="1"/>
  <c r="E204" i="1"/>
  <c r="E170" i="1"/>
  <c r="E258" i="1"/>
  <c r="E244" i="1"/>
  <c r="E238" i="1"/>
  <c r="E228" i="1"/>
  <c r="E214" i="1"/>
  <c r="E203" i="1"/>
  <c r="AJ110" i="16"/>
  <c r="AJ328" i="15"/>
  <c r="AJ235" i="15"/>
  <c r="AJ372" i="15"/>
  <c r="AJ307" i="15"/>
  <c r="AJ259" i="15"/>
  <c r="AJ194" i="15"/>
  <c r="AJ51" i="15"/>
  <c r="AJ140" i="15"/>
  <c r="AJ76" i="15"/>
  <c r="AJ30" i="15"/>
  <c r="E288" i="1"/>
  <c r="E353" i="1"/>
  <c r="E323" i="1"/>
  <c r="E285" i="1"/>
  <c r="E183" i="1"/>
  <c r="E349" i="1"/>
  <c r="E377" i="1"/>
  <c r="E374" i="1"/>
  <c r="E360" i="1"/>
  <c r="E352" i="1"/>
  <c r="E320" i="1"/>
  <c r="E304" i="1"/>
  <c r="E296" i="1"/>
  <c r="E280" i="1"/>
  <c r="E268" i="1"/>
  <c r="E316" i="1"/>
  <c r="E290" i="1"/>
  <c r="E294" i="1"/>
  <c r="E274" i="1"/>
  <c r="D210" i="15"/>
  <c r="D363" i="15"/>
  <c r="L383" i="16"/>
  <c r="L381" i="15"/>
  <c r="L381" i="23"/>
  <c r="L381" i="17"/>
  <c r="L382" i="1"/>
  <c r="E193" i="1"/>
  <c r="E237" i="1"/>
  <c r="E263" i="1"/>
  <c r="E283" i="1"/>
  <c r="E219" i="1"/>
  <c r="B41" i="7"/>
  <c r="D119" i="15"/>
  <c r="D302" i="17"/>
  <c r="B65" i="7"/>
  <c r="L82" i="25"/>
  <c r="L86" i="25"/>
  <c r="L96" i="25"/>
  <c r="L105" i="25"/>
  <c r="L109" i="25"/>
  <c r="L111" i="25"/>
  <c r="L113" i="25"/>
  <c r="L90" i="25"/>
  <c r="L114" i="25"/>
  <c r="L122" i="25"/>
  <c r="L126" i="25"/>
  <c r="L129" i="25"/>
  <c r="L134" i="25"/>
  <c r="L138" i="25"/>
  <c r="L142" i="25"/>
  <c r="L146" i="25"/>
  <c r="L148" i="25"/>
  <c r="L150" i="25"/>
  <c r="L154" i="25"/>
  <c r="L156" i="25"/>
  <c r="L159" i="25"/>
  <c r="L115" i="25"/>
  <c r="L123" i="25"/>
  <c r="L127" i="25"/>
  <c r="L136" i="25"/>
  <c r="L141" i="25"/>
  <c r="L164" i="25"/>
  <c r="L166" i="25"/>
  <c r="L170" i="25"/>
  <c r="L172" i="25"/>
  <c r="L180" i="25"/>
  <c r="AF73" i="7" s="1"/>
  <c r="L182" i="25"/>
  <c r="L186" i="25"/>
  <c r="L189" i="25"/>
  <c r="L194" i="25"/>
  <c r="L197" i="25"/>
  <c r="L201" i="25"/>
  <c r="L210" i="25"/>
  <c r="AF74" i="7" s="1"/>
  <c r="L222" i="25"/>
  <c r="L225" i="25"/>
  <c r="L230" i="25"/>
  <c r="L237" i="25"/>
  <c r="L240" i="25"/>
  <c r="L242" i="25"/>
  <c r="L246" i="25"/>
  <c r="L249" i="25"/>
  <c r="L251" i="25"/>
  <c r="L253" i="25"/>
  <c r="L256" i="25"/>
  <c r="L260" i="25"/>
  <c r="L263" i="25"/>
  <c r="L266" i="25"/>
  <c r="L269" i="25"/>
  <c r="L98" i="25"/>
  <c r="L108" i="25"/>
  <c r="L118" i="25"/>
  <c r="L133" i="25"/>
  <c r="L152" i="25"/>
  <c r="L160" i="25"/>
  <c r="L169" i="25"/>
  <c r="L175" i="25"/>
  <c r="L179" i="25"/>
  <c r="L195" i="25"/>
  <c r="L205" i="25"/>
  <c r="L207" i="25"/>
  <c r="L211" i="25"/>
  <c r="L218" i="25"/>
  <c r="L226" i="25"/>
  <c r="L229" i="25"/>
  <c r="L234" i="25"/>
  <c r="L254" i="25"/>
  <c r="L258" i="25"/>
  <c r="L267" i="25"/>
  <c r="L272" i="25"/>
  <c r="AF76" i="7" s="1"/>
  <c r="L274" i="25"/>
  <c r="L280" i="25"/>
  <c r="L283" i="25"/>
  <c r="L285" i="25"/>
  <c r="L289" i="25"/>
  <c r="L291" i="25"/>
  <c r="L295" i="25"/>
  <c r="L116" i="25"/>
  <c r="L137" i="25"/>
  <c r="L153" i="25"/>
  <c r="L174" i="25"/>
  <c r="L184" i="25"/>
  <c r="L188" i="25"/>
  <c r="L191" i="25"/>
  <c r="L200" i="25"/>
  <c r="L204" i="25"/>
  <c r="L213" i="25"/>
  <c r="L215" i="25"/>
  <c r="L221" i="25"/>
  <c r="L232" i="25"/>
  <c r="L238" i="25"/>
  <c r="L245" i="25"/>
  <c r="L265" i="25"/>
  <c r="L277" i="25"/>
  <c r="L279" i="25"/>
  <c r="L286" i="25"/>
  <c r="L292" i="25"/>
  <c r="L296" i="25"/>
  <c r="L307" i="25"/>
  <c r="L309" i="25"/>
  <c r="L314" i="25"/>
  <c r="L317" i="25"/>
  <c r="L326" i="25"/>
  <c r="L330" i="25"/>
  <c r="L334" i="25"/>
  <c r="L339" i="25"/>
  <c r="L341" i="25"/>
  <c r="L343" i="25"/>
  <c r="L345" i="25"/>
  <c r="L351" i="25"/>
  <c r="L354" i="25"/>
  <c r="L359" i="25"/>
  <c r="L361" i="25"/>
  <c r="L366" i="25"/>
  <c r="L372" i="25"/>
  <c r="L374" i="25"/>
  <c r="L376" i="25"/>
  <c r="L378" i="25"/>
  <c r="L56" i="25"/>
  <c r="L59" i="25"/>
  <c r="L64" i="25"/>
  <c r="L66" i="25"/>
  <c r="L41" i="25"/>
  <c r="L19" i="25"/>
  <c r="L49" i="25"/>
  <c r="L55" i="25"/>
  <c r="L36" i="25"/>
  <c r="L42" i="25"/>
  <c r="L20" i="25"/>
  <c r="L297" i="25"/>
  <c r="L299" i="25"/>
  <c r="L302" i="25"/>
  <c r="AF77" i="7" s="1"/>
  <c r="L304" i="25"/>
  <c r="L306" i="25"/>
  <c r="L312" i="25"/>
  <c r="L316" i="25"/>
  <c r="L319" i="25"/>
  <c r="L321" i="25"/>
  <c r="L324" i="25"/>
  <c r="L327" i="25"/>
  <c r="L331" i="25"/>
  <c r="L335" i="25"/>
  <c r="L338" i="25"/>
  <c r="L347" i="25"/>
  <c r="L350" i="25"/>
  <c r="L355" i="25"/>
  <c r="L357" i="25"/>
  <c r="L363" i="25"/>
  <c r="AF79" i="7" s="1"/>
  <c r="L367" i="25"/>
  <c r="L369" i="25"/>
  <c r="L379" i="25"/>
  <c r="B44" i="19" s="1"/>
  <c r="L67" i="25"/>
  <c r="L37" i="25"/>
  <c r="L53" i="25"/>
  <c r="L32" i="25"/>
  <c r="L50" i="25"/>
  <c r="L23" i="25"/>
  <c r="L34" i="25"/>
  <c r="L40" i="25"/>
  <c r="L17" i="25"/>
  <c r="L27" i="25"/>
  <c r="L31" i="25"/>
  <c r="L30" i="25"/>
  <c r="L21" i="25"/>
  <c r="L44" i="25"/>
  <c r="L75" i="25"/>
  <c r="L79" i="25"/>
  <c r="L73" i="25"/>
  <c r="L84" i="25"/>
  <c r="L93" i="25"/>
  <c r="L99" i="25"/>
  <c r="L43" i="25"/>
  <c r="L69" i="25"/>
  <c r="L78" i="25"/>
  <c r="L72" i="25"/>
  <c r="L81" i="25"/>
  <c r="L91" i="25"/>
  <c r="L97" i="25"/>
  <c r="L104" i="25"/>
  <c r="L85" i="25"/>
  <c r="L92" i="25"/>
  <c r="L103" i="25"/>
  <c r="L106" i="25"/>
  <c r="L110" i="25"/>
  <c r="L112" i="25"/>
  <c r="L83" i="25"/>
  <c r="L107" i="25"/>
  <c r="L120" i="25"/>
  <c r="L125" i="25"/>
  <c r="L128" i="25"/>
  <c r="L130" i="25"/>
  <c r="L135" i="25"/>
  <c r="L140" i="25"/>
  <c r="L143" i="25"/>
  <c r="L147" i="25"/>
  <c r="L149" i="25"/>
  <c r="AF72" i="7" s="1"/>
  <c r="L151" i="25"/>
  <c r="L155" i="25"/>
  <c r="L157" i="25"/>
  <c r="L163" i="25"/>
  <c r="L119" i="25"/>
  <c r="AF71" i="7" s="1"/>
  <c r="L124" i="25"/>
  <c r="L131" i="25"/>
  <c r="L139" i="25"/>
  <c r="L162" i="25"/>
  <c r="L165" i="25"/>
  <c r="L168" i="25"/>
  <c r="L171" i="25"/>
  <c r="L177" i="25"/>
  <c r="L181" i="25"/>
  <c r="L183" i="25"/>
  <c r="L187" i="25"/>
  <c r="L192" i="25"/>
  <c r="L196" i="25"/>
  <c r="L198" i="25"/>
  <c r="L208" i="25"/>
  <c r="L216" i="25"/>
  <c r="L223" i="25"/>
  <c r="L228" i="25"/>
  <c r="L235" i="25"/>
  <c r="L239" i="25"/>
  <c r="L241" i="25"/>
  <c r="AF75" i="7" s="1"/>
  <c r="L244" i="25"/>
  <c r="L248" i="25"/>
  <c r="L250" i="25"/>
  <c r="L252" i="25"/>
  <c r="L255" i="25"/>
  <c r="L259" i="25"/>
  <c r="L261" i="25"/>
  <c r="L264" i="25"/>
  <c r="L268" i="25"/>
  <c r="L270" i="25"/>
  <c r="L100" i="25"/>
  <c r="L117" i="25"/>
  <c r="L132" i="25"/>
  <c r="L145" i="25"/>
  <c r="L158" i="25"/>
  <c r="L161" i="25"/>
  <c r="L173" i="25"/>
  <c r="L178" i="25"/>
  <c r="L193" i="25"/>
  <c r="L203" i="25"/>
  <c r="L206" i="25"/>
  <c r="L209" i="25"/>
  <c r="L217" i="25"/>
  <c r="L220" i="25"/>
  <c r="L227" i="25"/>
  <c r="L231" i="25"/>
  <c r="L236" i="25"/>
  <c r="L257" i="25"/>
  <c r="L262" i="25"/>
  <c r="L271" i="25"/>
  <c r="L273" i="25"/>
  <c r="L276" i="25"/>
  <c r="L281" i="25"/>
  <c r="L284" i="25"/>
  <c r="L287" i="25"/>
  <c r="L290" i="25"/>
  <c r="L294" i="25"/>
  <c r="L87" i="25"/>
  <c r="L121" i="25"/>
  <c r="L144" i="25"/>
  <c r="L167" i="25"/>
  <c r="L176" i="25"/>
  <c r="L185" i="25"/>
  <c r="L190" i="25"/>
  <c r="L199" i="25"/>
  <c r="L202" i="25"/>
  <c r="L212" i="25"/>
  <c r="L214" i="25"/>
  <c r="L219" i="25"/>
  <c r="L224" i="25"/>
  <c r="L233" i="25"/>
  <c r="L243" i="25"/>
  <c r="L247" i="25"/>
  <c r="L275" i="25"/>
  <c r="L278" i="25"/>
  <c r="L282" i="25"/>
  <c r="L288" i="25"/>
  <c r="L293" i="25"/>
  <c r="L301" i="25"/>
  <c r="L308" i="25"/>
  <c r="L311" i="25"/>
  <c r="L315" i="25"/>
  <c r="L322" i="25"/>
  <c r="L328" i="25"/>
  <c r="L332" i="25"/>
  <c r="L337" i="25"/>
  <c r="L340" i="25"/>
  <c r="L342" i="25"/>
  <c r="L344" i="25"/>
  <c r="L349" i="25"/>
  <c r="L353" i="25"/>
  <c r="L358" i="25"/>
  <c r="L360" i="25"/>
  <c r="L365" i="25"/>
  <c r="L371" i="25"/>
  <c r="L373" i="25"/>
  <c r="L375" i="25"/>
  <c r="L377" i="25"/>
  <c r="L48" i="25"/>
  <c r="L57" i="25"/>
  <c r="L63" i="25"/>
  <c r="L65" i="25"/>
  <c r="L68" i="25"/>
  <c r="L46" i="25"/>
  <c r="L45" i="25"/>
  <c r="L54" i="25"/>
  <c r="L16" i="25"/>
  <c r="L38" i="25"/>
  <c r="L18" i="25"/>
  <c r="L15" i="25"/>
  <c r="L298" i="25"/>
  <c r="L300" i="25"/>
  <c r="L303" i="25"/>
  <c r="L305" i="25"/>
  <c r="L310" i="25"/>
  <c r="L313" i="25"/>
  <c r="L318" i="25"/>
  <c r="L320" i="25"/>
  <c r="L323" i="25"/>
  <c r="L325" i="25"/>
  <c r="L329" i="25"/>
  <c r="L333" i="25"/>
  <c r="AF78" i="7" s="1"/>
  <c r="L336" i="25"/>
  <c r="L346" i="25"/>
  <c r="L348" i="25"/>
  <c r="L352" i="25"/>
  <c r="L356" i="25"/>
  <c r="L362" i="25"/>
  <c r="L364" i="25"/>
  <c r="L368" i="25"/>
  <c r="L370" i="25"/>
  <c r="L62" i="25"/>
  <c r="L39" i="25"/>
  <c r="L52" i="25"/>
  <c r="L58" i="25"/>
  <c r="L47" i="25"/>
  <c r="L51" i="25"/>
  <c r="L28" i="25"/>
  <c r="L35" i="25"/>
  <c r="L24" i="25"/>
  <c r="L22" i="25"/>
  <c r="L29" i="25"/>
  <c r="AF68" i="7" s="1"/>
  <c r="L33" i="25"/>
  <c r="L26" i="25"/>
  <c r="L25" i="25"/>
  <c r="L61" i="25"/>
  <c r="L77" i="25"/>
  <c r="L71" i="25"/>
  <c r="L80" i="25"/>
  <c r="L89" i="25"/>
  <c r="L95" i="25"/>
  <c r="L102" i="25"/>
  <c r="L60" i="25"/>
  <c r="AF69" i="7" s="1"/>
  <c r="L76" i="25"/>
  <c r="L70" i="25"/>
  <c r="L74" i="25"/>
  <c r="L88" i="25"/>
  <c r="AF70" i="7" s="1"/>
  <c r="L94" i="25"/>
  <c r="L101" i="25"/>
  <c r="B25" i="7"/>
  <c r="D180" i="1"/>
  <c r="E180" i="1" s="1"/>
  <c r="B40" i="7"/>
  <c r="D272" i="15"/>
  <c r="D149" i="15"/>
  <c r="B36" i="7"/>
  <c r="L381" i="22"/>
  <c r="L383" i="18"/>
  <c r="B47" i="7"/>
  <c r="D119" i="16"/>
  <c r="D88" i="15"/>
  <c r="B34" i="7"/>
  <c r="L383" i="23"/>
  <c r="D60" i="15"/>
  <c r="B33" i="7"/>
  <c r="L381" i="16"/>
  <c r="B33" i="19"/>
  <c r="D119" i="17"/>
  <c r="D382" i="17" s="1"/>
  <c r="B59" i="7"/>
  <c r="L383" i="20"/>
  <c r="D32" i="16"/>
  <c r="L382" i="16"/>
  <c r="L383" i="17"/>
  <c r="L383" i="15"/>
  <c r="E241" i="1"/>
  <c r="T48" i="6"/>
  <c r="N35" i="6"/>
  <c r="AJ148" i="17"/>
  <c r="AJ190" i="16"/>
  <c r="AJ128" i="16"/>
  <c r="AJ47" i="16"/>
  <c r="AJ232" i="16"/>
  <c r="AJ135" i="16"/>
  <c r="AJ334" i="16"/>
  <c r="AJ151" i="16"/>
  <c r="AJ332" i="16"/>
  <c r="AJ217" i="16"/>
  <c r="AJ139" i="16"/>
  <c r="AJ201" i="16"/>
  <c r="AJ380" i="17"/>
  <c r="AJ30" i="17"/>
  <c r="AJ70" i="17"/>
  <c r="AJ129" i="17"/>
  <c r="AJ123" i="17"/>
  <c r="AJ214" i="17"/>
  <c r="AJ181" i="17"/>
  <c r="AJ206" i="17"/>
  <c r="AJ231" i="17"/>
  <c r="AJ256" i="17"/>
  <c r="AJ281" i="17"/>
  <c r="AJ319" i="17"/>
  <c r="AJ245" i="17"/>
  <c r="AJ288" i="17"/>
  <c r="AJ312" i="17"/>
  <c r="AJ342" i="17"/>
  <c r="AJ364" i="17"/>
  <c r="AJ353" i="17"/>
  <c r="AJ372" i="17"/>
  <c r="AJ351" i="17"/>
  <c r="AJ378" i="17"/>
  <c r="AJ363" i="17"/>
  <c r="AJ350" i="17"/>
  <c r="AJ341" i="17"/>
  <c r="AJ328" i="17"/>
  <c r="AJ310" i="17"/>
  <c r="AJ296" i="17"/>
  <c r="AJ287" i="17"/>
  <c r="AJ266" i="17"/>
  <c r="AJ222" i="17"/>
  <c r="AJ308" i="17"/>
  <c r="AJ270" i="17"/>
  <c r="AJ246" i="17"/>
  <c r="AJ223" i="17"/>
  <c r="AJ193" i="17"/>
  <c r="AJ171" i="17"/>
  <c r="AJ172" i="17"/>
  <c r="AJ91" i="17"/>
  <c r="AJ95" i="17"/>
  <c r="AJ56" i="17"/>
  <c r="AJ213" i="17"/>
  <c r="AJ118" i="17"/>
  <c r="AJ128" i="17"/>
  <c r="AJ80" i="17"/>
  <c r="AJ28" i="17"/>
  <c r="E379" i="1"/>
  <c r="C35" i="19"/>
  <c r="AK48" i="15"/>
  <c r="AK169" i="15"/>
  <c r="AK28" i="15"/>
  <c r="BR15" i="7"/>
  <c r="AK197" i="15"/>
  <c r="AK183" i="15"/>
  <c r="AK303" i="15"/>
  <c r="AK119" i="15"/>
  <c r="AK45" i="15"/>
  <c r="AK237" i="15"/>
  <c r="AK106" i="15"/>
  <c r="AJ157" i="16"/>
  <c r="AJ91" i="16"/>
  <c r="AJ96" i="16"/>
  <c r="AJ58" i="16"/>
  <c r="AJ41" i="16"/>
  <c r="AJ265" i="16"/>
  <c r="AJ204" i="16"/>
  <c r="AJ193" i="16"/>
  <c r="AJ123" i="16"/>
  <c r="AJ378" i="16"/>
  <c r="AJ279" i="16"/>
  <c r="AJ209" i="16"/>
  <c r="AJ375" i="16"/>
  <c r="AJ356" i="16"/>
  <c r="AJ309" i="16"/>
  <c r="AJ249" i="16"/>
  <c r="AJ267" i="16"/>
  <c r="AJ195" i="16"/>
  <c r="AJ52" i="16"/>
  <c r="AJ308" i="16"/>
  <c r="AJ328" i="16"/>
  <c r="AJ190" i="17"/>
  <c r="AJ162" i="17"/>
  <c r="AJ291" i="17"/>
  <c r="AJ315" i="17"/>
  <c r="AJ15" i="17"/>
  <c r="AJ35" i="17"/>
  <c r="AJ29" i="17"/>
  <c r="AJ39" i="17"/>
  <c r="AK371" i="15"/>
  <c r="AK24" i="15"/>
  <c r="AK96" i="15"/>
  <c r="AK80" i="15"/>
  <c r="AK150" i="15"/>
  <c r="AK154" i="15"/>
  <c r="AK221" i="15"/>
  <c r="AK287" i="15"/>
  <c r="AK325" i="15"/>
  <c r="AK177" i="15"/>
  <c r="AK68" i="15"/>
  <c r="AK375" i="15"/>
  <c r="AK240" i="15"/>
  <c r="AK223" i="15"/>
  <c r="AK155" i="15"/>
  <c r="AK86" i="15"/>
  <c r="AK30" i="15"/>
  <c r="AK336" i="15"/>
  <c r="AK322" i="15"/>
  <c r="AK253" i="15"/>
  <c r="AK282" i="15"/>
  <c r="AK196" i="15"/>
  <c r="AK201" i="15"/>
  <c r="AK133" i="15"/>
  <c r="AK134" i="15"/>
  <c r="AK69" i="15"/>
  <c r="AK82" i="15"/>
  <c r="AK211" i="15"/>
  <c r="AK74" i="15"/>
  <c r="AK182" i="15"/>
  <c r="AK335" i="15"/>
  <c r="AK249" i="15"/>
  <c r="AK165" i="15"/>
  <c r="AK41" i="15"/>
  <c r="AK33" i="15"/>
  <c r="AK36" i="15"/>
  <c r="AK54" i="15"/>
  <c r="AK71" i="15"/>
  <c r="AJ18" i="17"/>
  <c r="AJ47" i="17"/>
  <c r="AJ57" i="17"/>
  <c r="AJ72" i="17"/>
  <c r="AJ93" i="17"/>
  <c r="AJ119" i="17"/>
  <c r="AJ138" i="17"/>
  <c r="AJ111" i="17"/>
  <c r="AJ147" i="17"/>
  <c r="AJ194" i="17"/>
  <c r="AJ164" i="17"/>
  <c r="AJ176" i="17"/>
  <c r="AJ187" i="17"/>
  <c r="AJ199" i="17"/>
  <c r="AJ211" i="17"/>
  <c r="AJ227" i="17"/>
  <c r="AJ237" i="17"/>
  <c r="AJ249" i="17"/>
  <c r="AJ262" i="17"/>
  <c r="AJ276" i="17"/>
  <c r="AJ289" i="17"/>
  <c r="AJ313" i="17"/>
  <c r="AJ326" i="17"/>
  <c r="AJ236" i="17"/>
  <c r="AJ258" i="17"/>
  <c r="AJ277" i="17"/>
  <c r="AJ293" i="17"/>
  <c r="AJ303" i="17"/>
  <c r="AJ322" i="17"/>
  <c r="AJ335" i="17"/>
  <c r="AJ346" i="17"/>
  <c r="AJ358" i="17"/>
  <c r="AJ371" i="17"/>
  <c r="AJ338" i="17"/>
  <c r="AJ366" i="17"/>
  <c r="AJ376" i="17"/>
  <c r="AJ367" i="17"/>
  <c r="AJ355" i="17"/>
  <c r="AJ340" i="17"/>
  <c r="AJ329" i="17"/>
  <c r="AJ373" i="17"/>
  <c r="AJ365" i="17"/>
  <c r="AJ360" i="17"/>
  <c r="AJ354" i="17"/>
  <c r="AJ347" i="17"/>
  <c r="AJ343" i="17"/>
  <c r="AJ337" i="17"/>
  <c r="AJ332" i="17"/>
  <c r="AJ324" i="17"/>
  <c r="AJ316" i="17"/>
  <c r="AJ304" i="17"/>
  <c r="AJ298" i="17"/>
  <c r="AJ294" i="17"/>
  <c r="AJ290" i="17"/>
  <c r="AJ283" i="17"/>
  <c r="AJ271" i="17"/>
  <c r="AJ259" i="17"/>
  <c r="AJ238" i="17"/>
  <c r="AJ215" i="17"/>
  <c r="AJ314" i="17"/>
  <c r="AJ299" i="17"/>
  <c r="AJ278" i="17"/>
  <c r="AJ264" i="17"/>
  <c r="AJ250" i="17"/>
  <c r="AJ239" i="17"/>
  <c r="AJ228" i="17"/>
  <c r="AJ212" i="17"/>
  <c r="AJ202" i="17"/>
  <c r="AJ189" i="17"/>
  <c r="AJ177" i="17"/>
  <c r="AJ165" i="17"/>
  <c r="AJ196" i="17"/>
  <c r="AJ151" i="17"/>
  <c r="AJ113" i="17"/>
  <c r="AJ140" i="17"/>
  <c r="AJ121" i="17"/>
  <c r="AJ97" i="17"/>
  <c r="AJ74" i="17"/>
  <c r="AJ37" i="17"/>
  <c r="AJ20" i="17"/>
  <c r="AJ188" i="17"/>
  <c r="AJ146" i="17"/>
  <c r="AJ110" i="17"/>
  <c r="AJ137" i="17"/>
  <c r="AJ109" i="17"/>
  <c r="AJ92" i="17"/>
  <c r="AJ71" i="17"/>
  <c r="AJ46" i="17"/>
  <c r="AJ124" i="17"/>
  <c r="AJ260" i="17"/>
  <c r="AK79" i="15"/>
  <c r="AK53" i="15"/>
  <c r="AK16" i="15"/>
  <c r="AK304" i="15"/>
  <c r="AK258" i="15"/>
  <c r="AK297" i="15"/>
  <c r="AK91" i="15"/>
  <c r="AK147" i="15"/>
  <c r="AK217" i="15"/>
  <c r="AK275" i="15"/>
  <c r="AK351" i="15"/>
  <c r="AK126" i="15"/>
  <c r="AK260" i="15"/>
  <c r="AK346" i="15"/>
  <c r="AK248" i="15"/>
  <c r="AK271" i="15"/>
  <c r="AK203" i="15"/>
  <c r="AK136" i="15"/>
  <c r="AK55" i="15"/>
  <c r="AK286" i="15"/>
  <c r="P12" i="15"/>
  <c r="AK77" i="15"/>
  <c r="AK144" i="15"/>
  <c r="AK141" i="15"/>
  <c r="AK205" i="15"/>
  <c r="AK209" i="15"/>
  <c r="AK274" i="15"/>
  <c r="AK224" i="15"/>
  <c r="AK250" i="15"/>
  <c r="AK285" i="15"/>
  <c r="AK316" i="15"/>
  <c r="AK353" i="15"/>
  <c r="AK374" i="15"/>
  <c r="AK332" i="15"/>
  <c r="AK345" i="15"/>
  <c r="AK359" i="15"/>
  <c r="AK376" i="15"/>
  <c r="AK27" i="15"/>
  <c r="AK47" i="15"/>
  <c r="AK32" i="15"/>
  <c r="AK70" i="15"/>
  <c r="AK92" i="15"/>
  <c r="AK120" i="15"/>
  <c r="AK151" i="15"/>
  <c r="AK113" i="15"/>
  <c r="AK146" i="15"/>
  <c r="AK180" i="15"/>
  <c r="AK208" i="15"/>
  <c r="AK179" i="15"/>
  <c r="AK214" i="15"/>
  <c r="AK256" i="15"/>
  <c r="AK281" i="15"/>
  <c r="AK315" i="15"/>
  <c r="AK233" i="15"/>
  <c r="AK261" i="15"/>
  <c r="AK294" i="15"/>
  <c r="AK328" i="15"/>
  <c r="AK368" i="15"/>
  <c r="AK339" i="15"/>
  <c r="AK369" i="15"/>
  <c r="AK34" i="15"/>
  <c r="AK58" i="15"/>
  <c r="AK94" i="15"/>
  <c r="AK87" i="15"/>
  <c r="AK160" i="15"/>
  <c r="AK159" i="15"/>
  <c r="AK227" i="15"/>
  <c r="AK296" i="15"/>
  <c r="AK242" i="15"/>
  <c r="AK306" i="15"/>
  <c r="AK324" i="15"/>
  <c r="AK153" i="15"/>
  <c r="AK373" i="15"/>
  <c r="AK137" i="15"/>
  <c r="AK37" i="15"/>
  <c r="AK61" i="15"/>
  <c r="AK89" i="15"/>
  <c r="AK128" i="15"/>
  <c r="AK83" i="15"/>
  <c r="AK123" i="15"/>
  <c r="AK158" i="15"/>
  <c r="AK189" i="15"/>
  <c r="AK157" i="15"/>
  <c r="AK191" i="15"/>
  <c r="AK226" i="15"/>
  <c r="AK265" i="15"/>
  <c r="AK291" i="15"/>
  <c r="AK323" i="15"/>
  <c r="AK232" i="15"/>
  <c r="AK243" i="15"/>
  <c r="AK255" i="15"/>
  <c r="AK278" i="15"/>
  <c r="AK293" i="15"/>
  <c r="AK308" i="15"/>
  <c r="AK326" i="15"/>
  <c r="AK348" i="15"/>
  <c r="AK366" i="15"/>
  <c r="AK327" i="15"/>
  <c r="AK338" i="15"/>
  <c r="AK355" i="15"/>
  <c r="AK367" i="15"/>
  <c r="F8" i="15"/>
  <c r="AK39" i="15"/>
  <c r="AK52" i="15"/>
  <c r="AK62" i="15"/>
  <c r="AK78" i="15"/>
  <c r="AK98" i="15"/>
  <c r="AK132" i="15"/>
  <c r="AK101" i="15"/>
  <c r="AK131" i="15"/>
  <c r="AK163" i="15"/>
  <c r="AK199" i="15"/>
  <c r="AK166" i="15"/>
  <c r="AK194" i="15"/>
  <c r="AK231" i="15"/>
  <c r="AK268" i="15"/>
  <c r="AK299" i="15"/>
  <c r="AK218" i="15"/>
  <c r="AK246" i="15"/>
  <c r="AK280" i="15"/>
  <c r="AK311" i="15"/>
  <c r="AK349" i="15"/>
  <c r="AK329" i="15"/>
  <c r="AK356" i="15"/>
  <c r="AK15" i="15"/>
  <c r="AK38" i="15"/>
  <c r="AK72" i="15"/>
  <c r="AK129" i="15"/>
  <c r="AK125" i="15"/>
  <c r="AK190" i="15"/>
  <c r="AK192" i="15"/>
  <c r="AK266" i="15"/>
  <c r="AK215" i="15"/>
  <c r="AK277" i="15"/>
  <c r="AK347" i="15"/>
  <c r="AK354" i="15"/>
  <c r="AK20" i="15"/>
  <c r="AK149" i="15"/>
  <c r="AK238" i="15"/>
  <c r="AK358" i="15"/>
  <c r="AK270" i="15"/>
  <c r="AK135" i="15"/>
  <c r="AK18" i="15"/>
  <c r="AK42" i="15"/>
  <c r="AK57" i="15"/>
  <c r="AK65" i="15"/>
  <c r="AK84" i="15"/>
  <c r="AK97" i="15"/>
  <c r="AK118" i="15"/>
  <c r="AK130" i="15"/>
  <c r="AK148" i="15"/>
  <c r="AK99" i="15"/>
  <c r="AK112" i="15"/>
  <c r="AK127" i="15"/>
  <c r="AK143" i="15"/>
  <c r="AK162" i="15"/>
  <c r="AK176" i="15"/>
  <c r="AK195" i="15"/>
  <c r="AK207" i="15"/>
  <c r="AK161" i="15"/>
  <c r="AK178" i="15"/>
  <c r="AK193" i="15"/>
  <c r="AK213" i="15"/>
  <c r="AK228" i="15"/>
  <c r="AK252" i="15"/>
  <c r="AK267" i="15"/>
  <c r="AK279" i="15"/>
  <c r="AK298" i="15"/>
  <c r="AK313" i="15"/>
  <c r="AK216" i="15"/>
  <c r="AK362" i="15"/>
  <c r="AK365" i="15"/>
  <c r="AK292" i="15"/>
  <c r="AK230" i="15"/>
  <c r="AK276" i="15"/>
  <c r="AK212" i="15"/>
  <c r="AK206" i="15"/>
  <c r="AK142" i="15"/>
  <c r="AK145" i="15"/>
  <c r="AK90" i="15"/>
  <c r="AK26" i="15"/>
  <c r="AK22" i="15"/>
  <c r="AK360" i="15"/>
  <c r="AK333" i="15"/>
  <c r="AK363" i="15"/>
  <c r="AK320" i="15"/>
  <c r="AK288" i="15"/>
  <c r="AK251" i="15"/>
  <c r="AK225" i="15"/>
  <c r="AK307" i="15"/>
  <c r="AK272" i="15"/>
  <c r="AK244" i="15"/>
  <c r="AK200" i="15"/>
  <c r="AK173" i="15"/>
  <c r="AK204" i="15"/>
  <c r="AK170" i="15"/>
  <c r="AK140" i="15"/>
  <c r="AK108" i="15"/>
  <c r="AK138" i="15"/>
  <c r="AK107" i="15"/>
  <c r="AK85" i="15"/>
  <c r="AK66" i="15"/>
  <c r="AK59" i="15"/>
  <c r="AK43" i="15"/>
  <c r="AK380" i="15"/>
  <c r="AK372" i="15"/>
  <c r="AK357" i="15"/>
  <c r="AK343" i="15"/>
  <c r="AK330" i="15"/>
  <c r="AK370" i="15"/>
  <c r="AK350" i="15"/>
  <c r="AK334" i="15"/>
  <c r="AK312" i="15"/>
  <c r="AK295" i="15"/>
  <c r="AK283" i="15"/>
  <c r="AK262" i="15"/>
  <c r="AK247" i="15"/>
  <c r="AK235" i="15"/>
  <c r="AK219" i="15"/>
  <c r="AK300" i="15"/>
  <c r="AK269" i="15"/>
  <c r="N15" i="7"/>
  <c r="X48" i="6"/>
  <c r="Y24" i="6"/>
  <c r="Y23" i="6" s="1"/>
  <c r="Y25" i="6" s="1"/>
  <c r="X24" i="6"/>
  <c r="X23" i="6" s="1"/>
  <c r="X25" i="6" s="1"/>
  <c r="C25" i="7"/>
  <c r="U46" i="6"/>
  <c r="Y46" i="6"/>
  <c r="X50" i="6"/>
  <c r="O48" i="6"/>
  <c r="C30" i="7"/>
  <c r="D383" i="17"/>
  <c r="D381" i="17"/>
  <c r="D9" i="17"/>
  <c r="D11" i="17" s="1"/>
  <c r="E38" i="19" s="1"/>
  <c r="AJ217" i="17"/>
  <c r="AJ301" i="17"/>
  <c r="AJ99" i="17"/>
  <c r="AJ24" i="17"/>
  <c r="AJ83" i="17"/>
  <c r="AJ142" i="17"/>
  <c r="AJ183" i="17"/>
  <c r="AJ234" i="17"/>
  <c r="AJ284" i="17"/>
  <c r="AJ254" i="17"/>
  <c r="AJ318" i="17"/>
  <c r="AJ368" i="17"/>
  <c r="AJ348" i="17"/>
  <c r="AJ286" i="17"/>
  <c r="AJ251" i="17"/>
  <c r="AJ201" i="17"/>
  <c r="AJ51" i="17"/>
  <c r="AJ22" i="17"/>
  <c r="AJ25" i="17"/>
  <c r="AJ41" i="17"/>
  <c r="AJ50" i="17"/>
  <c r="AJ42" i="17"/>
  <c r="AJ62" i="17"/>
  <c r="AJ59" i="17"/>
  <c r="AJ75" i="17"/>
  <c r="AJ82" i="17"/>
  <c r="AJ98" i="17"/>
  <c r="AJ102" i="17"/>
  <c r="AJ122" i="17"/>
  <c r="AJ132" i="17"/>
  <c r="AJ144" i="17"/>
  <c r="AJ94" i="17"/>
  <c r="AJ114" i="17"/>
  <c r="AJ141" i="17"/>
  <c r="AJ152" i="17"/>
  <c r="AJ173" i="17"/>
  <c r="AJ200" i="17"/>
  <c r="AJ161" i="17"/>
  <c r="AJ23" i="17"/>
  <c r="AJ49" i="17"/>
  <c r="AJ61" i="17"/>
  <c r="AJ69" i="17"/>
  <c r="AJ78" i="17"/>
  <c r="AJ90" i="17"/>
  <c r="AJ101" i="17"/>
  <c r="AJ108" i="17"/>
  <c r="AJ126" i="17"/>
  <c r="AJ136" i="17"/>
  <c r="AJ153" i="17"/>
  <c r="AJ107" i="17"/>
  <c r="AJ117" i="17"/>
  <c r="AJ145" i="17"/>
  <c r="AJ158" i="17"/>
  <c r="AJ185" i="17"/>
  <c r="AJ210" i="17"/>
  <c r="AJ163" i="17"/>
  <c r="AJ168" i="17"/>
  <c r="AJ175" i="17"/>
  <c r="AJ179" i="17"/>
  <c r="AJ186" i="17"/>
  <c r="AJ191" i="17"/>
  <c r="AJ198" i="17"/>
  <c r="AJ205" i="17"/>
  <c r="AJ209" i="17"/>
  <c r="AJ218" i="17"/>
  <c r="AJ226" i="17"/>
  <c r="AJ230" i="17"/>
  <c r="AJ235" i="17"/>
  <c r="AJ242" i="17"/>
  <c r="AJ248" i="17"/>
  <c r="AJ252" i="17"/>
  <c r="AJ261" i="17"/>
  <c r="AJ267" i="17"/>
  <c r="AJ275" i="17"/>
  <c r="AJ280" i="17"/>
  <c r="AJ285" i="17"/>
  <c r="AJ306" i="17"/>
  <c r="AJ311" i="17"/>
  <c r="AJ317" i="17"/>
  <c r="AJ325" i="17"/>
  <c r="AJ219" i="17"/>
  <c r="AJ233" i="17"/>
  <c r="AJ244" i="17"/>
  <c r="AJ255" i="17"/>
  <c r="AJ204" i="17"/>
  <c r="AJ339" i="17"/>
  <c r="AJ344" i="17"/>
  <c r="AJ323" i="17"/>
  <c r="AJ208" i="17"/>
  <c r="AJ134" i="17"/>
  <c r="AJ327" i="17"/>
  <c r="E8" i="17"/>
  <c r="K14" i="19" s="1"/>
  <c r="K38" i="19" s="1"/>
  <c r="AJ295" i="17"/>
  <c r="AJ362" i="15"/>
  <c r="AJ338" i="15"/>
  <c r="AJ80" i="15"/>
  <c r="AJ20" i="15"/>
  <c r="AJ60" i="15"/>
  <c r="AJ94" i="15"/>
  <c r="AJ126" i="15"/>
  <c r="AJ154" i="15"/>
  <c r="F7" i="15"/>
  <c r="O11" i="15" s="1"/>
  <c r="AJ78" i="15"/>
  <c r="AJ148" i="15"/>
  <c r="AJ209" i="15"/>
  <c r="AJ241" i="15"/>
  <c r="AJ268" i="15"/>
  <c r="AJ295" i="15"/>
  <c r="AJ319" i="15"/>
  <c r="AJ350" i="15"/>
  <c r="AJ62" i="15"/>
  <c r="AJ193" i="15"/>
  <c r="AJ249" i="15"/>
  <c r="AJ306" i="15"/>
  <c r="AJ354" i="15"/>
  <c r="O9" i="20"/>
  <c r="AJ359" i="20" s="1"/>
  <c r="AJ359" i="15"/>
  <c r="AJ336" i="15"/>
  <c r="AJ322" i="15"/>
  <c r="AJ294" i="15"/>
  <c r="AJ257" i="15"/>
  <c r="AJ239" i="15"/>
  <c r="AJ214" i="15"/>
  <c r="AJ167" i="15"/>
  <c r="AJ113" i="15"/>
  <c r="AJ379" i="15"/>
  <c r="AJ356" i="15"/>
  <c r="AJ343" i="15"/>
  <c r="AJ329" i="15"/>
  <c r="AJ313" i="15"/>
  <c r="AJ301" i="15"/>
  <c r="AJ288" i="15"/>
  <c r="AJ277" i="15"/>
  <c r="AJ263" i="15"/>
  <c r="AJ247" i="15"/>
  <c r="AJ231" i="15"/>
  <c r="AJ217" i="15"/>
  <c r="AJ199" i="15"/>
  <c r="AJ183" i="15"/>
  <c r="AJ129" i="15"/>
  <c r="AJ110" i="15"/>
  <c r="AJ70" i="15"/>
  <c r="AJ37" i="15"/>
  <c r="AJ175" i="15"/>
  <c r="AJ163" i="15"/>
  <c r="AJ149" i="15"/>
  <c r="AJ133" i="15"/>
  <c r="AJ115" i="15"/>
  <c r="AJ101" i="15"/>
  <c r="AJ87" i="15"/>
  <c r="AJ66" i="15"/>
  <c r="AJ52" i="15"/>
  <c r="AJ35" i="15"/>
  <c r="AJ22" i="15"/>
  <c r="AJ40" i="15"/>
  <c r="AJ84" i="15"/>
  <c r="AJ221" i="15"/>
  <c r="AJ370" i="17"/>
  <c r="AJ265" i="17"/>
  <c r="E7" i="17"/>
  <c r="AJ32" i="17"/>
  <c r="AJ216" i="17"/>
  <c r="AJ349" i="17"/>
  <c r="AJ167" i="17"/>
  <c r="AJ64" i="17"/>
  <c r="AJ375" i="17"/>
  <c r="AJ263" i="17"/>
  <c r="AJ240" i="17"/>
  <c r="AJ155" i="17"/>
  <c r="AJ43" i="17"/>
  <c r="AJ66" i="17"/>
  <c r="AJ104" i="17"/>
  <c r="AJ103" i="17"/>
  <c r="AJ180" i="17"/>
  <c r="AJ174" i="17"/>
  <c r="AJ197" i="17"/>
  <c r="AJ224" i="17"/>
  <c r="AJ247" i="17"/>
  <c r="AJ273" i="17"/>
  <c r="AJ309" i="17"/>
  <c r="AJ225" i="17"/>
  <c r="AJ272" i="17"/>
  <c r="AJ300" i="17"/>
  <c r="AJ333" i="17"/>
  <c r="AJ356" i="17"/>
  <c r="AJ330" i="17"/>
  <c r="AJ377" i="17"/>
  <c r="AJ361" i="17"/>
  <c r="AJ305" i="17"/>
  <c r="AJ241" i="17"/>
  <c r="AJ279" i="17"/>
  <c r="AJ229" i="17"/>
  <c r="AJ178" i="17"/>
  <c r="AJ115" i="17"/>
  <c r="AJ76" i="17"/>
  <c r="AJ21" i="17"/>
  <c r="AJ17" i="17"/>
  <c r="AJ26" i="17"/>
  <c r="AJ19" i="17"/>
  <c r="AJ33" i="17"/>
  <c r="AJ38" i="17"/>
  <c r="AJ44" i="17"/>
  <c r="AJ48" i="17"/>
  <c r="F7" i="17"/>
  <c r="O12" i="17" s="1"/>
  <c r="AJ31" i="17"/>
  <c r="AJ54" i="17"/>
  <c r="AJ58" i="17"/>
  <c r="AJ65" i="17"/>
  <c r="AJ55" i="17"/>
  <c r="AJ68" i="17"/>
  <c r="AJ73" i="17"/>
  <c r="AJ77" i="17"/>
  <c r="AJ79" i="17"/>
  <c r="AJ89" i="17"/>
  <c r="AJ96" i="17"/>
  <c r="AJ100" i="17"/>
  <c r="AJ88" i="17"/>
  <c r="AJ106" i="17"/>
  <c r="AJ120" i="17"/>
  <c r="AJ125" i="17"/>
  <c r="AJ130" i="17"/>
  <c r="AJ135" i="17"/>
  <c r="AJ139" i="17"/>
  <c r="AJ149" i="17"/>
  <c r="AJ87" i="17"/>
  <c r="AJ105" i="17"/>
  <c r="AJ112" i="17"/>
  <c r="AJ116" i="17"/>
  <c r="AJ127" i="17"/>
  <c r="AJ143" i="17"/>
  <c r="AJ150" i="17"/>
  <c r="AJ157" i="17"/>
  <c r="AJ169" i="17"/>
  <c r="AJ184" i="17"/>
  <c r="AJ195" i="17"/>
  <c r="AJ203" i="17"/>
  <c r="AJ156" i="17"/>
  <c r="T13" i="7"/>
  <c r="AJ27" i="17"/>
  <c r="AJ34" i="17"/>
  <c r="AJ45" i="17"/>
  <c r="AJ16" i="17"/>
  <c r="AJ60" i="17"/>
  <c r="AJ67" i="17"/>
  <c r="AJ178" i="16"/>
  <c r="AJ145" i="16"/>
  <c r="AJ113" i="16"/>
  <c r="AJ144" i="16"/>
  <c r="AJ112" i="16"/>
  <c r="AJ86" i="16"/>
  <c r="AJ72" i="16"/>
  <c r="AJ39" i="16"/>
  <c r="AJ27" i="16"/>
  <c r="AJ22" i="16"/>
  <c r="AJ283" i="16"/>
  <c r="AJ251" i="16"/>
  <c r="AJ219" i="16"/>
  <c r="AJ179" i="16"/>
  <c r="AJ206" i="16"/>
  <c r="AJ164" i="16"/>
  <c r="AJ101" i="16"/>
  <c r="AJ76" i="16"/>
  <c r="AJ377" i="16"/>
  <c r="AJ358" i="16"/>
  <c r="AJ311" i="16"/>
  <c r="AJ250" i="16"/>
  <c r="AJ271" i="16"/>
  <c r="AJ197" i="16"/>
  <c r="AJ55" i="16"/>
  <c r="AJ343" i="16"/>
  <c r="AJ365" i="16"/>
  <c r="AJ344" i="16"/>
  <c r="AJ321" i="16"/>
  <c r="AJ295" i="16"/>
  <c r="AJ266" i="16"/>
  <c r="AJ237" i="16"/>
  <c r="AJ304" i="16"/>
  <c r="AJ233" i="16"/>
  <c r="AJ168" i="16"/>
  <c r="AJ137" i="16"/>
  <c r="AJ82" i="16"/>
  <c r="F7" i="16"/>
  <c r="O12" i="16" s="1"/>
  <c r="AJ374" i="16"/>
  <c r="AA44" i="6"/>
  <c r="AN20" i="6"/>
  <c r="S48" i="6"/>
  <c r="D381" i="15"/>
  <c r="D382" i="1"/>
  <c r="D9" i="1"/>
  <c r="D11" i="1" s="1"/>
  <c r="E35" i="19" s="1"/>
  <c r="D381" i="1"/>
  <c r="C29" i="7"/>
  <c r="AJ360" i="16"/>
  <c r="AJ315" i="16"/>
  <c r="AJ256" i="16"/>
  <c r="AJ216" i="16"/>
  <c r="AJ19" i="16"/>
  <c r="AJ77" i="16"/>
  <c r="AJ132" i="16"/>
  <c r="AJ166" i="16"/>
  <c r="AJ229" i="16"/>
  <c r="AJ297" i="16"/>
  <c r="AJ38" i="16"/>
  <c r="AJ161" i="16"/>
  <c r="AJ248" i="16"/>
  <c r="AJ234" i="16"/>
  <c r="AJ264" i="16"/>
  <c r="AJ293" i="16"/>
  <c r="AJ319" i="16"/>
  <c r="AJ342" i="16"/>
  <c r="AJ364" i="16"/>
  <c r="AJ341" i="16"/>
  <c r="AJ26" i="16"/>
  <c r="AJ23" i="16"/>
  <c r="AJ85" i="16"/>
  <c r="AJ142" i="16"/>
  <c r="AJ143" i="16"/>
  <c r="AJ336" i="16"/>
  <c r="AJ224" i="16"/>
  <c r="AJ44" i="16"/>
  <c r="AJ191" i="16"/>
  <c r="AJ262" i="16"/>
  <c r="AJ98" i="16"/>
  <c r="AJ313" i="16"/>
  <c r="AJ276" i="16"/>
  <c r="AJ330" i="16"/>
  <c r="AJ373" i="16"/>
  <c r="AJ30" i="16"/>
  <c r="AJ111" i="16"/>
  <c r="AJ29" i="16"/>
  <c r="AJ32" i="16"/>
  <c r="AJ48" i="16"/>
  <c r="AJ69" i="16"/>
  <c r="AJ99" i="16"/>
  <c r="AJ125" i="16"/>
  <c r="AJ83" i="16"/>
  <c r="AJ120" i="16"/>
  <c r="AJ150" i="16"/>
  <c r="AJ186" i="16"/>
  <c r="AJ202" i="16"/>
  <c r="AJ160" i="16"/>
  <c r="AJ175" i="16"/>
  <c r="AJ198" i="16"/>
  <c r="AJ213" i="16"/>
  <c r="AJ226" i="16"/>
  <c r="AJ244" i="16"/>
  <c r="AJ259" i="16"/>
  <c r="AJ280" i="16"/>
  <c r="AJ294" i="16"/>
  <c r="AJ310" i="16"/>
  <c r="AJ324" i="16"/>
  <c r="AJ222" i="16"/>
  <c r="AJ231" i="16"/>
  <c r="AJ240" i="16"/>
  <c r="AJ245" i="16"/>
  <c r="AJ255" i="16"/>
  <c r="AJ263" i="16"/>
  <c r="AJ270" i="16"/>
  <c r="AJ275" i="16"/>
  <c r="AJ284" i="16"/>
  <c r="AJ292" i="16"/>
  <c r="AJ299" i="16"/>
  <c r="AJ307" i="16"/>
  <c r="AJ312" i="16"/>
  <c r="AJ318" i="16"/>
  <c r="AJ323" i="16"/>
  <c r="AJ329" i="16"/>
  <c r="AJ335" i="16"/>
  <c r="AJ340" i="16"/>
  <c r="AJ346" i="16"/>
  <c r="AJ353" i="16"/>
  <c r="AJ359" i="16"/>
  <c r="AJ363" i="16"/>
  <c r="AJ367" i="16"/>
  <c r="AJ371" i="16"/>
  <c r="AJ380" i="16"/>
  <c r="AJ337" i="16"/>
  <c r="AJ350" i="16"/>
  <c r="AJ372" i="16"/>
  <c r="AJ379" i="16"/>
  <c r="AJ24" i="16"/>
  <c r="AJ73" i="16"/>
  <c r="AJ115" i="16"/>
  <c r="AJ114" i="16"/>
  <c r="AJ180" i="16"/>
  <c r="AJ158" i="16"/>
  <c r="AJ188" i="16"/>
  <c r="AJ223" i="16"/>
  <c r="AJ254" i="16"/>
  <c r="AJ289" i="16"/>
  <c r="AJ320" i="16"/>
  <c r="AJ230" i="16"/>
  <c r="AJ243" i="16"/>
  <c r="AJ260" i="16"/>
  <c r="AJ274" i="16"/>
  <c r="AJ291" i="16"/>
  <c r="AJ302" i="16"/>
  <c r="AJ317" i="16"/>
  <c r="AJ327" i="16"/>
  <c r="AJ339" i="16"/>
  <c r="AJ351" i="16"/>
  <c r="AJ362" i="16"/>
  <c r="AJ370" i="16"/>
  <c r="AJ333" i="16"/>
  <c r="AJ357" i="16"/>
  <c r="AJ25" i="16"/>
  <c r="AJ15" i="16"/>
  <c r="AJ56" i="16"/>
  <c r="AJ63" i="16"/>
  <c r="AJ79" i="16"/>
  <c r="AJ104" i="16"/>
  <c r="AJ134" i="16"/>
  <c r="Q381" i="1"/>
  <c r="AE382" i="1"/>
  <c r="AJ183" i="16"/>
  <c r="AJ165" i="16"/>
  <c r="AJ149" i="16"/>
  <c r="AJ136" i="16"/>
  <c r="AJ119" i="16"/>
  <c r="AJ102" i="16"/>
  <c r="AJ154" i="16"/>
  <c r="AJ138" i="16"/>
  <c r="AJ124" i="16"/>
  <c r="AJ105" i="16"/>
  <c r="AJ97" i="16"/>
  <c r="AJ81" i="16"/>
  <c r="AJ80" i="16"/>
  <c r="AJ65" i="16"/>
  <c r="AJ40" i="16"/>
  <c r="AJ53" i="16"/>
  <c r="AJ34" i="16"/>
  <c r="AJ51" i="16"/>
  <c r="AJ33" i="16"/>
  <c r="AJ20" i="16"/>
  <c r="AJ290" i="16"/>
  <c r="AJ278" i="16"/>
  <c r="AJ258" i="16"/>
  <c r="AJ239" i="16"/>
  <c r="AJ225" i="16"/>
  <c r="AJ211" i="16"/>
  <c r="AJ194" i="16"/>
  <c r="AJ173" i="16"/>
  <c r="AJ159" i="16"/>
  <c r="AJ200" i="16"/>
  <c r="AJ182" i="16"/>
  <c r="AJ148" i="16"/>
  <c r="AJ117" i="16"/>
  <c r="AJ153" i="16"/>
  <c r="AJ95" i="16"/>
  <c r="AJ64" i="16"/>
  <c r="AJ35" i="16"/>
  <c r="AJ349" i="16"/>
  <c r="AJ366" i="16"/>
  <c r="AJ345" i="16"/>
  <c r="AJ322" i="16"/>
  <c r="AJ298" i="16"/>
  <c r="AJ268" i="16"/>
  <c r="AJ238" i="16"/>
  <c r="AJ306" i="16"/>
  <c r="AJ236" i="16"/>
  <c r="AJ172" i="16"/>
  <c r="AJ146" i="16"/>
  <c r="AJ92" i="16"/>
  <c r="AJ21" i="16"/>
  <c r="AJ355" i="16"/>
  <c r="AJ331" i="16"/>
  <c r="AJ369" i="16"/>
  <c r="AJ361" i="16"/>
  <c r="AJ348" i="16"/>
  <c r="AJ338" i="16"/>
  <c r="AJ326" i="16"/>
  <c r="AJ316" i="16"/>
  <c r="AJ301" i="16"/>
  <c r="AJ286" i="16"/>
  <c r="AJ273" i="16"/>
  <c r="AJ257" i="16"/>
  <c r="AJ242" i="16"/>
  <c r="AJ228" i="16"/>
  <c r="AJ314" i="16"/>
  <c r="AJ287" i="16"/>
  <c r="AJ252" i="16"/>
  <c r="AJ220" i="16"/>
  <c r="AJ184" i="16"/>
  <c r="AJ210" i="16"/>
  <c r="AJ169" i="16"/>
  <c r="AJ106" i="16"/>
  <c r="AJ107" i="16"/>
  <c r="AJ66" i="16"/>
  <c r="AJ46" i="16"/>
  <c r="AJ68" i="16"/>
  <c r="AJ354" i="16"/>
  <c r="AJ246" i="16"/>
  <c r="AJ214" i="16"/>
  <c r="AJ129" i="16"/>
  <c r="AJ285" i="16"/>
  <c r="U12" i="1"/>
  <c r="AT2" i="7"/>
  <c r="AI12" i="1"/>
  <c r="D11" i="7"/>
  <c r="AC382" i="1"/>
  <c r="Q382" i="1"/>
  <c r="I15" i="7"/>
  <c r="AE383" i="1"/>
  <c r="AE381" i="1"/>
  <c r="Q383" i="1"/>
  <c r="AJ369" i="15"/>
  <c r="AJ367" i="15"/>
  <c r="AJ365" i="15"/>
  <c r="AJ363" i="15"/>
  <c r="AJ357" i="15"/>
  <c r="AJ347" i="15"/>
  <c r="AJ314" i="15"/>
  <c r="AJ224" i="15"/>
  <c r="AJ220" i="15"/>
  <c r="AJ95" i="15"/>
  <c r="AJ91" i="15"/>
  <c r="AJ85" i="15"/>
  <c r="AJ83" i="15"/>
  <c r="AJ81" i="15"/>
  <c r="AJ53" i="15"/>
  <c r="AJ45" i="15"/>
  <c r="AJ39" i="15"/>
  <c r="AJ31" i="15"/>
  <c r="AJ29" i="15"/>
  <c r="AJ27" i="15"/>
  <c r="AJ18" i="15"/>
  <c r="AJ19" i="15"/>
  <c r="AJ23" i="15"/>
  <c r="AJ33" i="15"/>
  <c r="AJ36" i="15"/>
  <c r="AJ41" i="15"/>
  <c r="AJ46" i="15"/>
  <c r="AJ49" i="15"/>
  <c r="AJ54" i="15"/>
  <c r="AJ58" i="15"/>
  <c r="AJ63" i="15"/>
  <c r="AJ65" i="15"/>
  <c r="AJ69" i="15"/>
  <c r="AJ72" i="15"/>
  <c r="AJ77" i="15"/>
  <c r="AJ86" i="15"/>
  <c r="AJ89" i="15"/>
  <c r="AJ93" i="15"/>
  <c r="AJ97" i="15"/>
  <c r="AJ100" i="15"/>
  <c r="AJ102" i="15"/>
  <c r="AJ107" i="15"/>
  <c r="AJ109" i="15"/>
  <c r="AJ114" i="15"/>
  <c r="AJ116" i="15"/>
  <c r="AJ119" i="15"/>
  <c r="AJ128" i="15"/>
  <c r="AJ132" i="15"/>
  <c r="AJ135" i="15"/>
  <c r="AJ138" i="15"/>
  <c r="AJ142" i="15"/>
  <c r="AJ147" i="15"/>
  <c r="AJ151" i="15"/>
  <c r="AJ153" i="15"/>
  <c r="AJ155" i="15"/>
  <c r="AJ162" i="15"/>
  <c r="AJ164" i="15"/>
  <c r="AJ170" i="15"/>
  <c r="AJ172" i="15"/>
  <c r="AJ174" i="15"/>
  <c r="AJ177" i="15"/>
  <c r="AJ181" i="15"/>
  <c r="AJ24" i="15"/>
  <c r="AJ34" i="15"/>
  <c r="AJ42" i="15"/>
  <c r="AJ50" i="15"/>
  <c r="AJ55" i="15"/>
  <c r="AJ59" i="15"/>
  <c r="AJ73" i="15"/>
  <c r="AJ75" i="15"/>
  <c r="AJ98" i="15"/>
  <c r="AJ104" i="15"/>
  <c r="AJ111" i="15"/>
  <c r="AJ121" i="15"/>
  <c r="AJ123" i="15"/>
  <c r="AJ125" i="15"/>
  <c r="AJ130" i="15"/>
  <c r="AJ139" i="15"/>
  <c r="AJ165" i="15"/>
  <c r="AJ182" i="15"/>
  <c r="AJ190" i="15"/>
  <c r="AJ192" i="15"/>
  <c r="AJ195" i="15"/>
  <c r="AJ197" i="15"/>
  <c r="AJ202" i="15"/>
  <c r="AJ208" i="15"/>
  <c r="AJ211" i="15"/>
  <c r="AJ213" i="15"/>
  <c r="AJ218" i="15"/>
  <c r="AJ222" i="15"/>
  <c r="AJ226" i="15"/>
  <c r="AJ230" i="15"/>
  <c r="AJ232" i="15"/>
  <c r="AJ234" i="15"/>
  <c r="AJ242" i="15"/>
  <c r="AJ244" i="15"/>
  <c r="AJ248" i="15"/>
  <c r="AJ254" i="15"/>
  <c r="AJ260" i="15"/>
  <c r="AJ262" i="15"/>
  <c r="AJ265" i="15"/>
  <c r="AJ267" i="15"/>
  <c r="AJ271" i="15"/>
  <c r="AJ276" i="15"/>
  <c r="AJ278" i="15"/>
  <c r="AJ281" i="15"/>
  <c r="AJ284" i="15"/>
  <c r="AJ287" i="15"/>
  <c r="AJ289" i="15"/>
  <c r="AJ293" i="15"/>
  <c r="AJ296" i="15"/>
  <c r="AJ300" i="15"/>
  <c r="AJ302" i="15"/>
  <c r="AJ304" i="15"/>
  <c r="AJ308" i="15"/>
  <c r="AJ310" i="15"/>
  <c r="AJ315" i="15"/>
  <c r="AJ318" i="15"/>
  <c r="AJ321" i="15"/>
  <c r="AJ325" i="15"/>
  <c r="AJ330" i="15"/>
  <c r="AJ332" i="15"/>
  <c r="AJ339" i="15"/>
  <c r="AJ341" i="15"/>
  <c r="AJ344" i="15"/>
  <c r="AJ349" i="15"/>
  <c r="AJ351" i="15"/>
  <c r="AJ353" i="15"/>
  <c r="AJ358" i="15"/>
  <c r="AJ370" i="15"/>
  <c r="AJ376" i="15"/>
  <c r="AJ378" i="15"/>
  <c r="AJ380" i="15"/>
  <c r="AJ61" i="15"/>
  <c r="AJ67" i="15"/>
  <c r="AJ106" i="15"/>
  <c r="AJ118" i="15"/>
  <c r="AJ134" i="15"/>
  <c r="AJ144" i="15"/>
  <c r="AJ146" i="15"/>
  <c r="AJ168" i="15"/>
  <c r="AJ176" i="15"/>
  <c r="AJ198" i="15"/>
  <c r="AJ204" i="15"/>
  <c r="AJ215" i="15"/>
  <c r="AJ227" i="15"/>
  <c r="AJ236" i="15"/>
  <c r="AJ238" i="15"/>
  <c r="AJ240" i="15"/>
  <c r="AJ246" i="15"/>
  <c r="AJ250" i="15"/>
  <c r="AJ256" i="15"/>
  <c r="AJ258" i="15"/>
  <c r="AJ273" i="15"/>
  <c r="AJ282" i="15"/>
  <c r="AJ291" i="15"/>
  <c r="AJ297" i="15"/>
  <c r="AJ305" i="15"/>
  <c r="AJ311" i="15"/>
  <c r="AJ316" i="15"/>
  <c r="AJ323" i="15"/>
  <c r="AJ327" i="15"/>
  <c r="AJ333" i="15"/>
  <c r="AJ335" i="15"/>
  <c r="AJ342" i="15"/>
  <c r="AJ368" i="15"/>
  <c r="AJ364" i="15"/>
  <c r="AJ348" i="15"/>
  <c r="AJ225" i="15"/>
  <c r="AJ96" i="15"/>
  <c r="AJ88" i="15"/>
  <c r="AJ82" i="15"/>
  <c r="AJ48" i="15"/>
  <c r="AJ32" i="15"/>
  <c r="AJ28" i="15"/>
  <c r="AJ15" i="15"/>
  <c r="AJ26" i="15"/>
  <c r="AJ38" i="15"/>
  <c r="AJ47" i="15"/>
  <c r="AJ57" i="15"/>
  <c r="AJ64" i="15"/>
  <c r="AJ71" i="15"/>
  <c r="AJ79" i="15"/>
  <c r="AJ90" i="15"/>
  <c r="AJ99" i="15"/>
  <c r="AJ105" i="15"/>
  <c r="AJ112" i="15"/>
  <c r="AJ117" i="15"/>
  <c r="AJ131" i="15"/>
  <c r="AJ137" i="15"/>
  <c r="AJ143" i="15"/>
  <c r="AJ152" i="15"/>
  <c r="AJ156" i="15"/>
  <c r="AJ166" i="15"/>
  <c r="AJ173" i="15"/>
  <c r="AJ179" i="15"/>
  <c r="AJ25" i="15"/>
  <c r="AJ43" i="15"/>
  <c r="AJ56" i="15"/>
  <c r="AJ74" i="15"/>
  <c r="AJ103" i="15"/>
  <c r="AJ120" i="15"/>
  <c r="AJ124" i="15"/>
  <c r="AJ136" i="15"/>
  <c r="AJ178" i="15"/>
  <c r="AJ191" i="15"/>
  <c r="AJ196" i="15"/>
  <c r="AJ205" i="15"/>
  <c r="AJ212" i="15"/>
  <c r="AJ219" i="15"/>
  <c r="AJ228" i="15"/>
  <c r="AJ233" i="15"/>
  <c r="AJ243" i="15"/>
  <c r="AJ251" i="15"/>
  <c r="AJ261" i="15"/>
  <c r="AJ266" i="15"/>
  <c r="AJ274" i="15"/>
  <c r="AJ280" i="15"/>
  <c r="AJ285" i="15"/>
  <c r="AJ292" i="15"/>
  <c r="AJ299" i="15"/>
  <c r="AJ303" i="15"/>
  <c r="AJ309" i="15"/>
  <c r="AJ317" i="15"/>
  <c r="AJ324" i="15"/>
  <c r="AJ331" i="15"/>
  <c r="AJ340" i="15"/>
  <c r="AJ346" i="15"/>
  <c r="AJ352" i="15"/>
  <c r="AJ361" i="15"/>
  <c r="AJ377" i="15"/>
  <c r="AJ16" i="15"/>
  <c r="AJ68" i="15"/>
  <c r="AJ127" i="15"/>
  <c r="AJ145" i="15"/>
  <c r="AJ169" i="15"/>
  <c r="AJ203" i="15"/>
  <c r="AJ216" i="15"/>
  <c r="AJ237" i="15"/>
  <c r="AJ245" i="15"/>
  <c r="AJ255" i="15"/>
  <c r="AJ272" i="15"/>
  <c r="AJ290" i="15"/>
  <c r="AJ298" i="15"/>
  <c r="AJ312" i="15"/>
  <c r="AJ326" i="15"/>
  <c r="AJ334" i="15"/>
  <c r="AJ345" i="15"/>
  <c r="AJ355" i="15"/>
  <c r="AJ360" i="15"/>
  <c r="H13" i="7"/>
  <c r="E7" i="15"/>
  <c r="O381" i="1"/>
  <c r="AC383" i="1"/>
  <c r="O382" i="1"/>
  <c r="N50" i="6"/>
  <c r="V24" i="6"/>
  <c r="V23" i="6" s="1"/>
  <c r="V25" i="6" s="1"/>
  <c r="U31" i="6"/>
  <c r="R35" i="6"/>
  <c r="T31" i="6"/>
  <c r="AL24" i="6"/>
  <c r="AL23" i="6" s="1"/>
  <c r="AL25" i="6" s="1"/>
  <c r="R24" i="6"/>
  <c r="R23" i="6" s="1"/>
  <c r="R25" i="6" s="1"/>
  <c r="S39" i="6"/>
  <c r="S38" i="6" s="1"/>
  <c r="S40" i="6" s="1"/>
  <c r="Q24" i="6"/>
  <c r="Q23" i="6" s="1"/>
  <c r="Q25" i="6" s="1"/>
  <c r="E13" i="6"/>
  <c r="T24" i="6"/>
  <c r="T23" i="6" s="1"/>
  <c r="T25" i="6" s="1"/>
  <c r="Z24" i="6"/>
  <c r="Z23" i="6" s="1"/>
  <c r="Z25" i="6" s="1"/>
  <c r="U48" i="6"/>
  <c r="Z33" i="6"/>
  <c r="Y35" i="6"/>
  <c r="AA31" i="6"/>
  <c r="Y31" i="6"/>
  <c r="W35" i="6"/>
  <c r="S46" i="6"/>
  <c r="Q50" i="6"/>
  <c r="O24" i="6"/>
  <c r="O23" i="6" s="1"/>
  <c r="O25" i="6" s="1"/>
  <c r="V46" i="6"/>
  <c r="AF24" i="6"/>
  <c r="AF23" i="6" s="1"/>
  <c r="AF25" i="6" s="1"/>
  <c r="AE24" i="6"/>
  <c r="AE23" i="6" s="1"/>
  <c r="AE25" i="6" s="1"/>
  <c r="R48" i="6"/>
  <c r="O46" i="6"/>
  <c r="M50" i="6"/>
  <c r="W46" i="6"/>
  <c r="U50" i="6"/>
  <c r="AJ93" i="16"/>
  <c r="AJ205" i="16"/>
  <c r="AJ241" i="16"/>
  <c r="AJ300" i="16"/>
  <c r="AJ347" i="16"/>
  <c r="AJ352" i="16"/>
  <c r="AJ42" i="16"/>
  <c r="AJ57" i="16"/>
  <c r="AJ90" i="16"/>
  <c r="AJ89" i="16"/>
  <c r="AJ156" i="16"/>
  <c r="AJ189" i="16"/>
  <c r="AJ203" i="16"/>
  <c r="AJ163" i="16"/>
  <c r="AJ176" i="16"/>
  <c r="AJ199" i="16"/>
  <c r="AJ215" i="16"/>
  <c r="AJ227" i="16"/>
  <c r="AJ247" i="16"/>
  <c r="AJ261" i="16"/>
  <c r="AJ281" i="16"/>
  <c r="AJ296" i="16"/>
  <c r="N13" i="7"/>
  <c r="AJ28" i="16"/>
  <c r="AJ45" i="16"/>
  <c r="AJ31" i="16"/>
  <c r="AJ50" i="16"/>
  <c r="AJ60" i="16"/>
  <c r="AJ62" i="16"/>
  <c r="AJ74" i="16"/>
  <c r="AJ78" i="16"/>
  <c r="AJ94" i="16"/>
  <c r="AJ103" i="16"/>
  <c r="AJ118" i="16"/>
  <c r="AJ130" i="16"/>
  <c r="AJ152" i="16"/>
  <c r="AJ100" i="16"/>
  <c r="AJ116" i="16"/>
  <c r="AJ133" i="16"/>
  <c r="AJ147" i="16"/>
  <c r="AJ162" i="16"/>
  <c r="AJ181" i="16"/>
  <c r="AJ192" i="16"/>
  <c r="AJ282" i="16"/>
  <c r="AJ325" i="16"/>
  <c r="AJ49" i="16"/>
  <c r="AJ127" i="16"/>
  <c r="AJ174" i="16"/>
  <c r="AJ212" i="16"/>
  <c r="AJ185" i="16"/>
  <c r="AJ221" i="16"/>
  <c r="AJ253" i="16"/>
  <c r="AJ288" i="16"/>
  <c r="AJ36" i="16"/>
  <c r="AJ43" i="16"/>
  <c r="AJ54" i="16"/>
  <c r="AJ70" i="16"/>
  <c r="AJ87" i="16"/>
  <c r="AJ126" i="16"/>
  <c r="AJ88" i="16"/>
  <c r="AJ121" i="16"/>
  <c r="AJ155" i="16"/>
  <c r="AJ187" i="16"/>
  <c r="AJ59" i="16"/>
  <c r="AJ368" i="16"/>
  <c r="AJ16" i="16"/>
  <c r="AJ122" i="16"/>
  <c r="AJ170" i="16"/>
  <c r="AJ235" i="16"/>
  <c r="AJ305" i="16"/>
  <c r="AJ17" i="16"/>
  <c r="AJ61" i="16"/>
  <c r="AJ84" i="16"/>
  <c r="AJ141" i="16"/>
  <c r="AJ140" i="16"/>
  <c r="AJ272" i="16"/>
  <c r="AJ71" i="16"/>
  <c r="AJ196" i="16"/>
  <c r="AJ208" i="16"/>
  <c r="AJ269" i="16"/>
  <c r="AJ18" i="16"/>
  <c r="AJ67" i="16"/>
  <c r="AJ109" i="16"/>
  <c r="AJ108" i="16"/>
  <c r="AJ171" i="16"/>
  <c r="AC381" i="1"/>
  <c r="O383" i="1"/>
  <c r="C28" i="7"/>
  <c r="E363" i="1"/>
  <c r="C31" i="7"/>
  <c r="AJ21" i="15"/>
  <c r="AJ320" i="15"/>
  <c r="AJ373" i="15"/>
  <c r="AJ374" i="15"/>
  <c r="AJ375" i="15"/>
  <c r="AJ17" i="15"/>
  <c r="E8" i="15"/>
  <c r="K12" i="19" s="1"/>
  <c r="K36" i="19" s="1"/>
  <c r="AJ150" i="15"/>
  <c r="AJ157" i="15"/>
  <c r="AJ158" i="15"/>
  <c r="AJ159" i="15"/>
  <c r="AJ160" i="15"/>
  <c r="AJ161" i="15"/>
  <c r="AJ180" i="15"/>
  <c r="AJ184" i="15"/>
  <c r="AJ185" i="15"/>
  <c r="AJ186" i="15"/>
  <c r="AJ187" i="15"/>
  <c r="AJ188" i="15"/>
  <c r="AJ189" i="15"/>
  <c r="AJ200" i="15"/>
  <c r="AJ201" i="15"/>
  <c r="AJ206" i="15"/>
  <c r="AJ207" i="15"/>
  <c r="AJ210" i="15"/>
  <c r="AJ229" i="15"/>
  <c r="AJ252" i="15"/>
  <c r="AJ253" i="15"/>
  <c r="AJ264" i="15"/>
  <c r="AJ269" i="15"/>
  <c r="AJ270" i="15"/>
  <c r="AJ275" i="15"/>
  <c r="AJ286" i="15"/>
  <c r="AC12" i="18"/>
  <c r="C26" i="7"/>
  <c r="E210" i="1"/>
  <c r="AC24" i="6"/>
  <c r="AC23" i="6" s="1"/>
  <c r="AC25" i="6" s="1"/>
  <c r="R37" i="6"/>
  <c r="AP181" i="6"/>
  <c r="AR181" i="6" s="1"/>
  <c r="AP171" i="6"/>
  <c r="AR171" i="6" s="1"/>
  <c r="AQ125" i="6"/>
  <c r="AP94" i="6"/>
  <c r="AR94" i="6" s="1"/>
  <c r="AQ81" i="6"/>
  <c r="AP183" i="6"/>
  <c r="AR183" i="6" s="1"/>
  <c r="AP86" i="6"/>
  <c r="AR86" i="6" s="1"/>
  <c r="AQ158" i="6"/>
  <c r="AP159" i="6"/>
  <c r="AR159" i="6" s="1"/>
  <c r="AP155" i="6"/>
  <c r="AR155" i="6" s="1"/>
  <c r="AP148" i="6"/>
  <c r="AR148" i="6" s="1"/>
  <c r="AQ148" i="6"/>
  <c r="AQ120" i="6"/>
  <c r="AQ146" i="6"/>
  <c r="AP143" i="6"/>
  <c r="AR143" i="6" s="1"/>
  <c r="AQ140" i="6"/>
  <c r="AP158" i="6"/>
  <c r="AR158" i="6" s="1"/>
  <c r="AP127" i="6"/>
  <c r="AR127" i="6" s="1"/>
  <c r="AP93" i="6"/>
  <c r="AR93" i="6" s="1"/>
  <c r="AP139" i="6"/>
  <c r="AR139" i="6" s="1"/>
  <c r="AP189" i="6"/>
  <c r="AR189" i="6" s="1"/>
  <c r="AP80" i="6"/>
  <c r="AR80" i="6" s="1"/>
  <c r="AQ94" i="6"/>
  <c r="AQ110" i="6"/>
  <c r="AP119" i="6"/>
  <c r="AR119" i="6" s="1"/>
  <c r="AQ122" i="6"/>
  <c r="AQ133" i="6"/>
  <c r="AQ159" i="6"/>
  <c r="AP88" i="6"/>
  <c r="AR88" i="6" s="1"/>
  <c r="AQ113" i="6"/>
  <c r="AP167" i="6"/>
  <c r="AR167" i="6" s="1"/>
  <c r="AP84" i="6"/>
  <c r="AR84" i="6" s="1"/>
  <c r="AQ153" i="6"/>
  <c r="AP117" i="6"/>
  <c r="AR117" i="6" s="1"/>
  <c r="AQ184" i="6"/>
  <c r="AQ164" i="6"/>
  <c r="AQ166" i="6"/>
  <c r="AP92" i="6"/>
  <c r="AR92" i="6" s="1"/>
  <c r="AP123" i="6"/>
  <c r="AR123" i="6" s="1"/>
  <c r="AQ112" i="6"/>
  <c r="AQ174" i="6"/>
  <c r="AQ172" i="6"/>
  <c r="AQ144" i="6"/>
  <c r="AP179" i="6"/>
  <c r="AR179" i="6" s="1"/>
  <c r="AQ149" i="6"/>
  <c r="AP150" i="6"/>
  <c r="AR150" i="6" s="1"/>
  <c r="AQ84" i="6"/>
  <c r="AP107" i="6"/>
  <c r="AR107" i="6" s="1"/>
  <c r="AP118" i="6"/>
  <c r="AR118" i="6" s="1"/>
  <c r="AP154" i="6"/>
  <c r="AR154" i="6" s="1"/>
  <c r="AQ109" i="6"/>
  <c r="AP99" i="6"/>
  <c r="AR99" i="6" s="1"/>
  <c r="AQ171" i="6"/>
  <c r="AP170" i="6"/>
  <c r="AR170" i="6" s="1"/>
  <c r="AQ107" i="6"/>
  <c r="AP175" i="6"/>
  <c r="AR175" i="6" s="1"/>
  <c r="AP160" i="6"/>
  <c r="AR160" i="6" s="1"/>
  <c r="AQ97" i="6"/>
  <c r="AQ143" i="6"/>
  <c r="AP98" i="6"/>
  <c r="AR98" i="6" s="1"/>
  <c r="AQ115" i="6"/>
  <c r="AQ154" i="6"/>
  <c r="AQ91" i="6"/>
  <c r="AQ82" i="6"/>
  <c r="AQ129" i="6"/>
  <c r="AQ139" i="6"/>
  <c r="AP130" i="6"/>
  <c r="AR130" i="6" s="1"/>
  <c r="AP122" i="6"/>
  <c r="AR122" i="6" s="1"/>
  <c r="AS122" i="6" s="1"/>
  <c r="AQ117" i="6"/>
  <c r="AP149" i="6"/>
  <c r="AR149" i="6" s="1"/>
  <c r="AS149" i="6" s="1"/>
  <c r="AQ167" i="6"/>
  <c r="AQ93" i="6"/>
  <c r="AQ90" i="6"/>
  <c r="AP151" i="6"/>
  <c r="AR151" i="6" s="1"/>
  <c r="AQ142" i="6"/>
  <c r="AQ157" i="6"/>
  <c r="AP184" i="6"/>
  <c r="AR184" i="6" s="1"/>
  <c r="AS184" i="6" s="1"/>
  <c r="AQ160" i="6"/>
  <c r="AQ173" i="6"/>
  <c r="AQ165" i="6"/>
  <c r="AP133" i="6"/>
  <c r="AR133" i="6" s="1"/>
  <c r="AS133" i="6" s="1"/>
  <c r="AP105" i="6"/>
  <c r="AR105" i="6" s="1"/>
  <c r="AP178" i="6"/>
  <c r="AR178" i="6" s="1"/>
  <c r="AP114" i="6"/>
  <c r="AR114" i="6" s="1"/>
  <c r="AQ123" i="6"/>
  <c r="AQ98" i="6"/>
  <c r="AP162" i="6"/>
  <c r="AR162" i="6" s="1"/>
  <c r="AQ188" i="6"/>
  <c r="AQ105" i="6"/>
  <c r="AQ96" i="6"/>
  <c r="AQ128" i="6"/>
  <c r="AP100" i="6"/>
  <c r="AR100" i="6" s="1"/>
  <c r="AP173" i="6"/>
  <c r="AR173" i="6" s="1"/>
  <c r="AS173" i="6" s="1"/>
  <c r="AQ187" i="6"/>
  <c r="AP110" i="6"/>
  <c r="AR110" i="6" s="1"/>
  <c r="AQ186" i="6"/>
  <c r="AQ92" i="6"/>
  <c r="AQ124" i="6"/>
  <c r="AP101" i="6"/>
  <c r="AR101" i="6" s="1"/>
  <c r="AQ170" i="6"/>
  <c r="AP116" i="6"/>
  <c r="AR116" i="6" s="1"/>
  <c r="AP79" i="6"/>
  <c r="AR79" i="6" s="1"/>
  <c r="AP177" i="6"/>
  <c r="AR177" i="6" s="1"/>
  <c r="AP161" i="6"/>
  <c r="AR161" i="6" s="1"/>
  <c r="AP128" i="6"/>
  <c r="AR128" i="6" s="1"/>
  <c r="AS128" i="6" s="1"/>
  <c r="AP95" i="6"/>
  <c r="AR95" i="6" s="1"/>
  <c r="AQ182" i="6"/>
  <c r="AP147" i="6"/>
  <c r="AR147" i="6" s="1"/>
  <c r="AP137" i="6"/>
  <c r="AR137" i="6" s="1"/>
  <c r="AQ132" i="6"/>
  <c r="AQ150" i="6"/>
  <c r="AP81" i="6"/>
  <c r="AR81" i="6" s="1"/>
  <c r="AS81" i="6" s="1"/>
  <c r="AQ189" i="6"/>
  <c r="AQ180" i="6"/>
  <c r="AQ175" i="6"/>
  <c r="AQ138" i="6"/>
  <c r="AQ106" i="6"/>
  <c r="AQ183" i="6"/>
  <c r="AP146" i="6"/>
  <c r="AR146" i="6" s="1"/>
  <c r="AS146" i="6" s="1"/>
  <c r="AP108" i="6"/>
  <c r="AR108" i="6" s="1"/>
  <c r="AP112" i="6"/>
  <c r="AR112" i="6" s="1"/>
  <c r="AP140" i="6"/>
  <c r="AR140" i="6" s="1"/>
  <c r="AS140" i="6" s="1"/>
  <c r="AP153" i="6"/>
  <c r="AR153" i="6" s="1"/>
  <c r="AS153" i="6" s="1"/>
  <c r="AP111" i="6"/>
  <c r="AR111" i="6" s="1"/>
  <c r="AP164" i="6"/>
  <c r="AR164" i="6" s="1"/>
  <c r="AP180" i="6"/>
  <c r="AR180" i="6" s="1"/>
  <c r="AS180" i="6" s="1"/>
  <c r="AQ89" i="6"/>
  <c r="AQ136" i="6"/>
  <c r="AQ135" i="6"/>
  <c r="AQ114" i="6"/>
  <c r="AP87" i="6"/>
  <c r="AR87" i="6" s="1"/>
  <c r="AQ130" i="6"/>
  <c r="AQ99" i="6"/>
  <c r="AQ108" i="6"/>
  <c r="AQ155" i="6"/>
  <c r="AQ168" i="6"/>
  <c r="AP97" i="6"/>
  <c r="AR97" i="6" s="1"/>
  <c r="AP115" i="6"/>
  <c r="AR115" i="6" s="1"/>
  <c r="AS115" i="6" s="1"/>
  <c r="AP157" i="6"/>
  <c r="AR157" i="6" s="1"/>
  <c r="AP185" i="6"/>
  <c r="AR185" i="6" s="1"/>
  <c r="AP156" i="6"/>
  <c r="AR156" i="6" s="1"/>
  <c r="AQ137" i="6"/>
  <c r="AS137" i="6" s="1"/>
  <c r="AP102" i="6"/>
  <c r="AR102" i="6" s="1"/>
  <c r="AQ116" i="6"/>
  <c r="AQ145" i="6"/>
  <c r="AQ185" i="6"/>
  <c r="AP163" i="6"/>
  <c r="AR163" i="6" s="1"/>
  <c r="AQ127" i="6"/>
  <c r="AP152" i="6"/>
  <c r="AR152" i="6" s="1"/>
  <c r="AQ141" i="6"/>
  <c r="R36" i="6"/>
  <c r="AP169" i="6"/>
  <c r="AR169" i="6" s="1"/>
  <c r="AP109" i="6"/>
  <c r="AR109" i="6" s="1"/>
  <c r="AS109" i="6" s="1"/>
  <c r="AQ103" i="6"/>
  <c r="AQ156" i="6"/>
  <c r="AP186" i="6"/>
  <c r="AR186" i="6" s="1"/>
  <c r="AS186" i="6" s="1"/>
  <c r="AP188" i="6"/>
  <c r="AR188" i="6" s="1"/>
  <c r="AQ95" i="6"/>
  <c r="AQ134" i="6"/>
  <c r="AQ163" i="6"/>
  <c r="AP138" i="6"/>
  <c r="AR138" i="6" s="1"/>
  <c r="AQ87" i="6"/>
  <c r="AP132" i="6"/>
  <c r="AR132" i="6" s="1"/>
  <c r="AP96" i="6"/>
  <c r="AR96" i="6" s="1"/>
  <c r="AS96" i="6" s="1"/>
  <c r="AP126" i="6"/>
  <c r="AR126" i="6" s="1"/>
  <c r="AP135" i="6"/>
  <c r="AR135" i="6" s="1"/>
  <c r="AS135" i="6" s="1"/>
  <c r="AQ181" i="6"/>
  <c r="AP174" i="6"/>
  <c r="AR174" i="6" s="1"/>
  <c r="AS174" i="6" s="1"/>
  <c r="AQ119" i="6"/>
  <c r="AP131" i="6"/>
  <c r="AR131" i="6" s="1"/>
  <c r="AP136" i="6"/>
  <c r="AR136" i="6" s="1"/>
  <c r="AQ104" i="6"/>
  <c r="AP176" i="6"/>
  <c r="AR176" i="6" s="1"/>
  <c r="AQ169" i="6"/>
  <c r="AQ162" i="6"/>
  <c r="AQ161" i="6"/>
  <c r="AP89" i="6"/>
  <c r="AR89" i="6" s="1"/>
  <c r="AS89" i="6" s="1"/>
  <c r="AQ151" i="6"/>
  <c r="AP145" i="6"/>
  <c r="AR145" i="6" s="1"/>
  <c r="AS145" i="6" s="1"/>
  <c r="AP83" i="6"/>
  <c r="AR83" i="6" s="1"/>
  <c r="AQ118" i="6"/>
  <c r="AP166" i="6"/>
  <c r="AR166" i="6" s="1"/>
  <c r="AS166" i="6" s="1"/>
  <c r="AP144" i="6"/>
  <c r="AR144" i="6" s="1"/>
  <c r="AS144" i="6" s="1"/>
  <c r="AP134" i="6"/>
  <c r="AR134" i="6" s="1"/>
  <c r="AS134" i="6" s="1"/>
  <c r="AP129" i="6"/>
  <c r="AR129" i="6" s="1"/>
  <c r="AS129" i="6" s="1"/>
  <c r="AQ147" i="6"/>
  <c r="AQ179" i="6"/>
  <c r="AP187" i="6"/>
  <c r="AR187" i="6" s="1"/>
  <c r="AS187" i="6" s="1"/>
  <c r="AP82" i="6"/>
  <c r="AR82" i="6" s="1"/>
  <c r="AS82" i="6" s="1"/>
  <c r="AQ178" i="6"/>
  <c r="AP165" i="6"/>
  <c r="AR165" i="6" s="1"/>
  <c r="AS165" i="6" s="1"/>
  <c r="AQ176" i="6"/>
  <c r="AP121" i="6"/>
  <c r="AR121" i="6" s="1"/>
  <c r="AQ100" i="6"/>
  <c r="AP141" i="6"/>
  <c r="AR141" i="6" s="1"/>
  <c r="AP106" i="6"/>
  <c r="AR106" i="6" s="1"/>
  <c r="AS106" i="6" s="1"/>
  <c r="AQ83" i="6"/>
  <c r="AP85" i="6"/>
  <c r="AR85" i="6" s="1"/>
  <c r="AQ131" i="6"/>
  <c r="AP168" i="6"/>
  <c r="AR168" i="6" s="1"/>
  <c r="AS168" i="6" s="1"/>
  <c r="AQ85" i="6"/>
  <c r="AQ177" i="6"/>
  <c r="AQ79" i="6"/>
  <c r="AP103" i="6"/>
  <c r="AR103" i="6" s="1"/>
  <c r="AS103" i="6" s="1"/>
  <c r="AQ88" i="6"/>
  <c r="AQ111" i="6"/>
  <c r="AP120" i="6"/>
  <c r="AR120" i="6" s="1"/>
  <c r="AS120" i="6" s="1"/>
  <c r="AP142" i="6"/>
  <c r="AR142" i="6" s="1"/>
  <c r="AS142" i="6" s="1"/>
  <c r="AP91" i="6"/>
  <c r="AR91" i="6" s="1"/>
  <c r="AS91" i="6" s="1"/>
  <c r="AP113" i="6"/>
  <c r="AR113" i="6" s="1"/>
  <c r="AS113" i="6" s="1"/>
  <c r="AQ152" i="6"/>
  <c r="AQ86" i="6"/>
  <c r="AP182" i="6"/>
  <c r="AR182" i="6" s="1"/>
  <c r="AS182" i="6" s="1"/>
  <c r="AQ101" i="6"/>
  <c r="AQ80" i="6"/>
  <c r="AP104" i="6"/>
  <c r="AR104" i="6" s="1"/>
  <c r="AS104" i="6" s="1"/>
  <c r="AQ121" i="6"/>
  <c r="AQ126" i="6"/>
  <c r="AP124" i="6"/>
  <c r="AR124" i="6" s="1"/>
  <c r="AS124" i="6" s="1"/>
  <c r="AP90" i="6"/>
  <c r="AR90" i="6" s="1"/>
  <c r="AS90" i="6" s="1"/>
  <c r="AP125" i="6"/>
  <c r="AR125" i="6" s="1"/>
  <c r="AS125" i="6" s="1"/>
  <c r="AP172" i="6"/>
  <c r="AR172" i="6" s="1"/>
  <c r="AS172" i="6" s="1"/>
  <c r="AQ102" i="6"/>
  <c r="BH11" i="6"/>
  <c r="BH12" i="6" s="1"/>
  <c r="BH147" i="6" s="1"/>
  <c r="M16" i="6"/>
  <c r="M29" i="6"/>
  <c r="U24" i="6"/>
  <c r="U23" i="6" s="1"/>
  <c r="U25" i="6" s="1"/>
  <c r="Q31" i="6"/>
  <c r="O35" i="6"/>
  <c r="P33" i="6"/>
  <c r="AG21" i="6"/>
  <c r="F192" i="6"/>
  <c r="H192" i="6" s="1"/>
  <c r="F199" i="6"/>
  <c r="H199" i="6" s="1"/>
  <c r="G254" i="6"/>
  <c r="F263" i="6"/>
  <c r="H263" i="6" s="1"/>
  <c r="G275" i="6"/>
  <c r="F236" i="6"/>
  <c r="H236" i="6" s="1"/>
  <c r="G235" i="6"/>
  <c r="G203" i="6"/>
  <c r="F260" i="6"/>
  <c r="H260" i="6" s="1"/>
  <c r="F196" i="6"/>
  <c r="H196" i="6" s="1"/>
  <c r="F280" i="6"/>
  <c r="H280" i="6" s="1"/>
  <c r="F195" i="6"/>
  <c r="H195" i="6" s="1"/>
  <c r="F256" i="6"/>
  <c r="H256" i="6" s="1"/>
  <c r="F286" i="6"/>
  <c r="H286" i="6" s="1"/>
  <c r="F272" i="6"/>
  <c r="H272" i="6" s="1"/>
  <c r="G192" i="6"/>
  <c r="G244" i="6"/>
  <c r="F249" i="6"/>
  <c r="H249" i="6" s="1"/>
  <c r="F258" i="6"/>
  <c r="H258" i="6" s="1"/>
  <c r="F254" i="6"/>
  <c r="H254" i="6" s="1"/>
  <c r="F281" i="6"/>
  <c r="H281" i="6" s="1"/>
  <c r="F237" i="6"/>
  <c r="H237" i="6" s="1"/>
  <c r="F234" i="6"/>
  <c r="H234" i="6" s="1"/>
  <c r="G280" i="6"/>
  <c r="F285" i="6"/>
  <c r="H285" i="6" s="1"/>
  <c r="F235" i="6"/>
  <c r="H235" i="6" s="1"/>
  <c r="F261" i="6"/>
  <c r="H261" i="6" s="1"/>
  <c r="G256" i="6"/>
  <c r="G236" i="6"/>
  <c r="G251" i="6"/>
  <c r="F265" i="6"/>
  <c r="H265" i="6" s="1"/>
  <c r="G261" i="6"/>
  <c r="G263" i="6"/>
  <c r="G287" i="6"/>
  <c r="F271" i="6"/>
  <c r="H271" i="6" s="1"/>
  <c r="F276" i="6"/>
  <c r="H276" i="6" s="1"/>
  <c r="G246" i="6"/>
  <c r="F247" i="6"/>
  <c r="H247" i="6" s="1"/>
  <c r="F242" i="6"/>
  <c r="H242" i="6" s="1"/>
  <c r="F246" i="6"/>
  <c r="H246" i="6" s="1"/>
  <c r="G201" i="6"/>
  <c r="G238" i="6"/>
  <c r="G257" i="6"/>
  <c r="G259" i="6"/>
  <c r="G260" i="6"/>
  <c r="F241" i="6"/>
  <c r="H241" i="6" s="1"/>
  <c r="F243" i="6"/>
  <c r="H243" i="6" s="1"/>
  <c r="F283" i="6"/>
  <c r="H283" i="6" s="1"/>
  <c r="G277" i="6"/>
  <c r="F259" i="6"/>
  <c r="H259" i="6" s="1"/>
  <c r="I259" i="6" s="1"/>
  <c r="G233" i="6"/>
  <c r="F278" i="6"/>
  <c r="H278" i="6" s="1"/>
  <c r="F191" i="6"/>
  <c r="H191" i="6" s="1"/>
  <c r="G239" i="6"/>
  <c r="F269" i="6"/>
  <c r="H269" i="6" s="1"/>
  <c r="G276" i="6"/>
  <c r="G195" i="6"/>
  <c r="F251" i="6"/>
  <c r="H251" i="6" s="1"/>
  <c r="I251" i="6" s="1"/>
  <c r="G250" i="6"/>
  <c r="F282" i="6"/>
  <c r="H282" i="6" s="1"/>
  <c r="F212" i="6"/>
  <c r="H212" i="6" s="1"/>
  <c r="G227" i="6"/>
  <c r="F207" i="6"/>
  <c r="H207" i="6" s="1"/>
  <c r="G215" i="6"/>
  <c r="G208" i="6"/>
  <c r="F228" i="6"/>
  <c r="H228" i="6" s="1"/>
  <c r="F248" i="6"/>
  <c r="H248" i="6" s="1"/>
  <c r="G226" i="6"/>
  <c r="G211" i="6"/>
  <c r="G249" i="6"/>
  <c r="G217" i="6"/>
  <c r="G231" i="6"/>
  <c r="G225" i="6"/>
  <c r="F209" i="6"/>
  <c r="H209" i="6" s="1"/>
  <c r="F288" i="6"/>
  <c r="H288" i="6" s="1"/>
  <c r="G234" i="6"/>
  <c r="G245" i="6"/>
  <c r="G193" i="6"/>
  <c r="F240" i="6"/>
  <c r="H240" i="6" s="1"/>
  <c r="G232" i="6"/>
  <c r="F257" i="6"/>
  <c r="H257" i="6" s="1"/>
  <c r="I257" i="6" s="1"/>
  <c r="F267" i="6"/>
  <c r="H267" i="6" s="1"/>
  <c r="G242" i="6"/>
  <c r="G267" i="6"/>
  <c r="G240" i="6"/>
  <c r="F232" i="6"/>
  <c r="H232" i="6" s="1"/>
  <c r="I232" i="6" s="1"/>
  <c r="G252" i="6"/>
  <c r="G223" i="6"/>
  <c r="F233" i="6"/>
  <c r="H233" i="6" s="1"/>
  <c r="I233" i="6" s="1"/>
  <c r="F275" i="6"/>
  <c r="H275" i="6" s="1"/>
  <c r="F204" i="6"/>
  <c r="H204" i="6" s="1"/>
  <c r="F217" i="6"/>
  <c r="H217" i="6" s="1"/>
  <c r="G206" i="6"/>
  <c r="F227" i="6"/>
  <c r="H227" i="6" s="1"/>
  <c r="I227" i="6" s="1"/>
  <c r="F208" i="6"/>
  <c r="H208" i="6" s="1"/>
  <c r="I208" i="6" s="1"/>
  <c r="F220" i="6"/>
  <c r="H220" i="6" s="1"/>
  <c r="F229" i="6"/>
  <c r="H229" i="6" s="1"/>
  <c r="F218" i="6"/>
  <c r="H218" i="6" s="1"/>
  <c r="G220" i="6"/>
  <c r="G221" i="6"/>
  <c r="F231" i="6"/>
  <c r="H231" i="6" s="1"/>
  <c r="F224" i="6"/>
  <c r="H224" i="6" s="1"/>
  <c r="G230" i="6"/>
  <c r="G216" i="6"/>
  <c r="F274" i="6"/>
  <c r="H274" i="6" s="1"/>
  <c r="G265" i="6"/>
  <c r="F210" i="6"/>
  <c r="H210" i="6" s="1"/>
  <c r="F215" i="6"/>
  <c r="H215" i="6" s="1"/>
  <c r="I215" i="6" s="1"/>
  <c r="G270" i="6"/>
  <c r="F253" i="6"/>
  <c r="H253" i="6" s="1"/>
  <c r="G258" i="6"/>
  <c r="F193" i="6"/>
  <c r="H193" i="6" s="1"/>
  <c r="I193" i="6" s="1"/>
  <c r="G191" i="6"/>
  <c r="G285" i="6"/>
  <c r="G241" i="6"/>
  <c r="F238" i="6"/>
  <c r="H238" i="6" s="1"/>
  <c r="I238" i="6" s="1"/>
  <c r="G284" i="6"/>
  <c r="F279" i="6"/>
  <c r="H279" i="6" s="1"/>
  <c r="F197" i="6"/>
  <c r="H197" i="6" s="1"/>
  <c r="F287" i="6"/>
  <c r="H287" i="6" s="1"/>
  <c r="I287" i="6" s="1"/>
  <c r="F250" i="6"/>
  <c r="H250" i="6" s="1"/>
  <c r="I250" i="6" s="1"/>
  <c r="G262" i="6"/>
  <c r="G282" i="6"/>
  <c r="G271" i="6"/>
  <c r="G274" i="6"/>
  <c r="F270" i="6"/>
  <c r="H270" i="6" s="1"/>
  <c r="F266" i="6"/>
  <c r="H266" i="6" s="1"/>
  <c r="F244" i="6"/>
  <c r="H244" i="6" s="1"/>
  <c r="G264" i="6"/>
  <c r="F221" i="6"/>
  <c r="H221" i="6" s="1"/>
  <c r="I221" i="6" s="1"/>
  <c r="F226" i="6"/>
  <c r="H226" i="6" s="1"/>
  <c r="G224" i="6"/>
  <c r="F200" i="6"/>
  <c r="H200" i="6" s="1"/>
  <c r="F206" i="6"/>
  <c r="H206" i="6" s="1"/>
  <c r="G278" i="6"/>
  <c r="G222" i="6"/>
  <c r="G268" i="6"/>
  <c r="F225" i="6"/>
  <c r="H225" i="6" s="1"/>
  <c r="G288" i="6"/>
  <c r="G247" i="6"/>
  <c r="F262" i="6"/>
  <c r="H262" i="6" s="1"/>
  <c r="G255" i="6"/>
  <c r="G272" i="6"/>
  <c r="G198" i="6"/>
  <c r="F268" i="6"/>
  <c r="H268" i="6" s="1"/>
  <c r="I268" i="6" s="1"/>
  <c r="G248" i="6"/>
  <c r="F223" i="6"/>
  <c r="H223" i="6" s="1"/>
  <c r="F230" i="6"/>
  <c r="H230" i="6" s="1"/>
  <c r="F214" i="6"/>
  <c r="H214" i="6" s="1"/>
  <c r="F252" i="6"/>
  <c r="H252" i="6" s="1"/>
  <c r="G205" i="6"/>
  <c r="F205" i="6"/>
  <c r="H205" i="6" s="1"/>
  <c r="F239" i="6"/>
  <c r="H239" i="6" s="1"/>
  <c r="F264" i="6"/>
  <c r="H264" i="6" s="1"/>
  <c r="F201" i="6"/>
  <c r="H201" i="6" s="1"/>
  <c r="I201" i="6" s="1"/>
  <c r="G243" i="6"/>
  <c r="F245" i="6"/>
  <c r="H245" i="6" s="1"/>
  <c r="I245" i="6" s="1"/>
  <c r="G202" i="6"/>
  <c r="G237" i="6"/>
  <c r="G266" i="6"/>
  <c r="G218" i="6"/>
  <c r="G219" i="6"/>
  <c r="G207" i="6"/>
  <c r="F216" i="6"/>
  <c r="H216" i="6" s="1"/>
  <c r="I216" i="6" s="1"/>
  <c r="G204" i="6"/>
  <c r="F273" i="6"/>
  <c r="H273" i="6" s="1"/>
  <c r="F284" i="6"/>
  <c r="H284" i="6" s="1"/>
  <c r="I284" i="6" s="1"/>
  <c r="G286" i="6"/>
  <c r="G279" i="6"/>
  <c r="F211" i="6"/>
  <c r="H211" i="6" s="1"/>
  <c r="I211" i="6" s="1"/>
  <c r="F219" i="6"/>
  <c r="H219" i="6" s="1"/>
  <c r="G228" i="6"/>
  <c r="G209" i="6"/>
  <c r="G214" i="6"/>
  <c r="G200" i="6"/>
  <c r="G199" i="6"/>
  <c r="G253" i="6"/>
  <c r="G196" i="6"/>
  <c r="F202" i="6"/>
  <c r="H202" i="6" s="1"/>
  <c r="G269" i="6"/>
  <c r="G197" i="6"/>
  <c r="F277" i="6"/>
  <c r="H277" i="6" s="1"/>
  <c r="I277" i="6" s="1"/>
  <c r="G194" i="6"/>
  <c r="G212" i="6"/>
  <c r="F222" i="6"/>
  <c r="H222" i="6" s="1"/>
  <c r="G210" i="6"/>
  <c r="F194" i="6"/>
  <c r="H194" i="6" s="1"/>
  <c r="I194" i="6" s="1"/>
  <c r="F198" i="6"/>
  <c r="H198" i="6" s="1"/>
  <c r="I198" i="6" s="1"/>
  <c r="F203" i="6"/>
  <c r="H203" i="6" s="1"/>
  <c r="F255" i="6"/>
  <c r="H255" i="6" s="1"/>
  <c r="I255" i="6" s="1"/>
  <c r="G283" i="6"/>
  <c r="G229" i="6"/>
  <c r="G213" i="6"/>
  <c r="G281" i="6"/>
  <c r="F213" i="6"/>
  <c r="H213" i="6" s="1"/>
  <c r="I213" i="6" s="1"/>
  <c r="G273" i="6"/>
  <c r="AD24" i="6"/>
  <c r="AD23" i="6" s="1"/>
  <c r="AD25" i="6" s="1"/>
  <c r="V47" i="6"/>
  <c r="U49" i="6"/>
  <c r="W45" i="6"/>
  <c r="V45" i="6"/>
  <c r="T49" i="6"/>
  <c r="U47" i="6"/>
  <c r="U52" i="6" s="1"/>
  <c r="S49" i="6"/>
  <c r="T47" i="6"/>
  <c r="U45" i="6"/>
  <c r="S47" i="6"/>
  <c r="S51" i="6" s="1"/>
  <c r="T45" i="6"/>
  <c r="R49" i="6"/>
  <c r="R52" i="6" s="1"/>
  <c r="R45" i="6"/>
  <c r="P49" i="6"/>
  <c r="Q47" i="6"/>
  <c r="Q52" i="6" s="1"/>
  <c r="S22" i="6"/>
  <c r="F24" i="6"/>
  <c r="H24" i="6" s="1"/>
  <c r="G29" i="6"/>
  <c r="F22" i="6"/>
  <c r="H22" i="6" s="1"/>
  <c r="G21" i="6"/>
  <c r="F33" i="6"/>
  <c r="H33" i="6" s="1"/>
  <c r="F19" i="6"/>
  <c r="H19" i="6" s="1"/>
  <c r="F23" i="6"/>
  <c r="H23" i="6" s="1"/>
  <c r="F180" i="6"/>
  <c r="H180" i="6" s="1"/>
  <c r="G18" i="6"/>
  <c r="G94" i="6"/>
  <c r="G178" i="6"/>
  <c r="G24" i="6"/>
  <c r="F189" i="6"/>
  <c r="H189" i="6" s="1"/>
  <c r="F183" i="6"/>
  <c r="H183" i="6" s="1"/>
  <c r="G164" i="6"/>
  <c r="G184" i="6"/>
  <c r="G20" i="6"/>
  <c r="G16" i="6"/>
  <c r="G177" i="6"/>
  <c r="F174" i="6"/>
  <c r="H174" i="6" s="1"/>
  <c r="F187" i="6"/>
  <c r="H187" i="6" s="1"/>
  <c r="F179" i="6"/>
  <c r="H179" i="6" s="1"/>
  <c r="G166" i="6"/>
  <c r="G105" i="6"/>
  <c r="F102" i="6"/>
  <c r="H102" i="6" s="1"/>
  <c r="F93" i="6"/>
  <c r="H93" i="6" s="1"/>
  <c r="G93" i="6"/>
  <c r="F92" i="6"/>
  <c r="H92" i="6" s="1"/>
  <c r="G182" i="6"/>
  <c r="F169" i="6"/>
  <c r="H169" i="6" s="1"/>
  <c r="G30" i="6"/>
  <c r="G163" i="6"/>
  <c r="F188" i="6"/>
  <c r="H188" i="6" s="1"/>
  <c r="G101" i="6"/>
  <c r="F100" i="6"/>
  <c r="H100" i="6" s="1"/>
  <c r="F124" i="6"/>
  <c r="H124" i="6" s="1"/>
  <c r="F65" i="6"/>
  <c r="H65" i="6" s="1"/>
  <c r="F31" i="6"/>
  <c r="H31" i="6" s="1"/>
  <c r="F135" i="6"/>
  <c r="H135" i="6" s="1"/>
  <c r="F105" i="6"/>
  <c r="H105" i="6" s="1"/>
  <c r="I105" i="6" s="1"/>
  <c r="F166" i="6"/>
  <c r="H166" i="6" s="1"/>
  <c r="I166" i="6" s="1"/>
  <c r="F16" i="6"/>
  <c r="H16" i="6" s="1"/>
  <c r="I16" i="6" s="1"/>
  <c r="G145" i="6"/>
  <c r="G15" i="6"/>
  <c r="F149" i="6"/>
  <c r="H149" i="6" s="1"/>
  <c r="F182" i="6"/>
  <c r="H182" i="6" s="1"/>
  <c r="F131" i="6"/>
  <c r="H131" i="6" s="1"/>
  <c r="F20" i="6"/>
  <c r="H20" i="6" s="1"/>
  <c r="G172" i="6"/>
  <c r="F121" i="6"/>
  <c r="H121" i="6" s="1"/>
  <c r="F141" i="6"/>
  <c r="H141" i="6" s="1"/>
  <c r="G131" i="6"/>
  <c r="F84" i="6"/>
  <c r="H84" i="6" s="1"/>
  <c r="G121" i="6"/>
  <c r="F156" i="6"/>
  <c r="H156" i="6" s="1"/>
  <c r="G139" i="6"/>
  <c r="G74" i="6"/>
  <c r="F88" i="6"/>
  <c r="H88" i="6" s="1"/>
  <c r="G90" i="6"/>
  <c r="F26" i="6"/>
  <c r="H26" i="6" s="1"/>
  <c r="F98" i="6"/>
  <c r="H98" i="6" s="1"/>
  <c r="F129" i="6"/>
  <c r="H129" i="6" s="1"/>
  <c r="G162" i="6"/>
  <c r="G19" i="6"/>
  <c r="G169" i="6"/>
  <c r="F173" i="6"/>
  <c r="H173" i="6" s="1"/>
  <c r="G185" i="6"/>
  <c r="G34" i="6"/>
  <c r="F29" i="6"/>
  <c r="H29" i="6" s="1"/>
  <c r="G158" i="6"/>
  <c r="G170" i="6"/>
  <c r="F114" i="6"/>
  <c r="H114" i="6" s="1"/>
  <c r="G181" i="6"/>
  <c r="F21" i="6"/>
  <c r="H21" i="6" s="1"/>
  <c r="I21" i="6" s="1"/>
  <c r="F87" i="6"/>
  <c r="H87" i="6" s="1"/>
  <c r="G25" i="6"/>
  <c r="G17" i="6"/>
  <c r="G171" i="6"/>
  <c r="F18" i="6"/>
  <c r="H18" i="6" s="1"/>
  <c r="I18" i="6" s="1"/>
  <c r="G64" i="6"/>
  <c r="F67" i="6"/>
  <c r="H67" i="6" s="1"/>
  <c r="F181" i="6"/>
  <c r="H181" i="6" s="1"/>
  <c r="G22" i="6"/>
  <c r="I22" i="6" s="1"/>
  <c r="G81" i="6"/>
  <c r="F73" i="6"/>
  <c r="H73" i="6" s="1"/>
  <c r="G27" i="6"/>
  <c r="F95" i="6"/>
  <c r="H95" i="6" s="1"/>
  <c r="F167" i="6"/>
  <c r="H167" i="6" s="1"/>
  <c r="G96" i="6"/>
  <c r="G95" i="6"/>
  <c r="G84" i="6"/>
  <c r="G183" i="6"/>
  <c r="I183" i="6" s="1"/>
  <c r="G78" i="6"/>
  <c r="F161" i="6"/>
  <c r="H161" i="6" s="1"/>
  <c r="F162" i="6"/>
  <c r="H162" i="6" s="1"/>
  <c r="F165" i="6"/>
  <c r="H165" i="6" s="1"/>
  <c r="G23" i="6"/>
  <c r="G31" i="6"/>
  <c r="F99" i="6"/>
  <c r="H99" i="6" s="1"/>
  <c r="F163" i="6"/>
  <c r="H163" i="6" s="1"/>
  <c r="I163" i="6" s="1"/>
  <c r="F168" i="6"/>
  <c r="H168" i="6" s="1"/>
  <c r="F175" i="6"/>
  <c r="H175" i="6" s="1"/>
  <c r="F101" i="6"/>
  <c r="H101" i="6" s="1"/>
  <c r="G92" i="6"/>
  <c r="G123" i="6"/>
  <c r="F185" i="6"/>
  <c r="H185" i="6" s="1"/>
  <c r="F94" i="6"/>
  <c r="H94" i="6" s="1"/>
  <c r="G114" i="6"/>
  <c r="F17" i="6"/>
  <c r="H17" i="6" s="1"/>
  <c r="I17" i="6" s="1"/>
  <c r="G165" i="6"/>
  <c r="G140" i="6"/>
  <c r="G99" i="6"/>
  <c r="F145" i="6"/>
  <c r="H145" i="6" s="1"/>
  <c r="I145" i="6" s="1"/>
  <c r="G86" i="6"/>
  <c r="F127" i="6"/>
  <c r="H127" i="6" s="1"/>
  <c r="G119" i="6"/>
  <c r="G134" i="6"/>
  <c r="G100" i="6"/>
  <c r="F177" i="6"/>
  <c r="H177" i="6" s="1"/>
  <c r="I177" i="6" s="1"/>
  <c r="G129" i="6"/>
  <c r="G179" i="6"/>
  <c r="F157" i="6"/>
  <c r="H157" i="6" s="1"/>
  <c r="G88" i="6"/>
  <c r="F128" i="6"/>
  <c r="H128" i="6" s="1"/>
  <c r="F184" i="6"/>
  <c r="H184" i="6" s="1"/>
  <c r="F96" i="6"/>
  <c r="H96" i="6" s="1"/>
  <c r="G116" i="6"/>
  <c r="G76" i="6"/>
  <c r="G89" i="6"/>
  <c r="G188" i="6"/>
  <c r="G103" i="6"/>
  <c r="G82" i="6"/>
  <c r="G109" i="6"/>
  <c r="F113" i="6"/>
  <c r="H113" i="6" s="1"/>
  <c r="G173" i="6"/>
  <c r="F160" i="6"/>
  <c r="H160" i="6" s="1"/>
  <c r="G68" i="6"/>
  <c r="G35" i="6"/>
  <c r="F78" i="6"/>
  <c r="H78" i="6" s="1"/>
  <c r="I78" i="6" s="1"/>
  <c r="G28" i="6"/>
  <c r="F122" i="6"/>
  <c r="H122" i="6" s="1"/>
  <c r="G174" i="6"/>
  <c r="F134" i="6"/>
  <c r="H134" i="6" s="1"/>
  <c r="I134" i="6" s="1"/>
  <c r="G167" i="6"/>
  <c r="F35" i="6"/>
  <c r="H35" i="6" s="1"/>
  <c r="G149" i="6"/>
  <c r="G97" i="6"/>
  <c r="F27" i="6"/>
  <c r="H27" i="6" s="1"/>
  <c r="I27" i="6" s="1"/>
  <c r="G156" i="6"/>
  <c r="G136" i="6"/>
  <c r="F155" i="6"/>
  <c r="H155" i="6" s="1"/>
  <c r="F139" i="6"/>
  <c r="H139" i="6" s="1"/>
  <c r="I139" i="6" s="1"/>
  <c r="G150" i="6"/>
  <c r="G154" i="6"/>
  <c r="F147" i="6"/>
  <c r="H147" i="6" s="1"/>
  <c r="G143" i="6"/>
  <c r="F108" i="6"/>
  <c r="H108" i="6" s="1"/>
  <c r="F120" i="6"/>
  <c r="H120" i="6" s="1"/>
  <c r="G111" i="6"/>
  <c r="F132" i="6"/>
  <c r="H132" i="6" s="1"/>
  <c r="G110" i="6"/>
  <c r="F133" i="6"/>
  <c r="H133" i="6" s="1"/>
  <c r="G106" i="6"/>
  <c r="F110" i="6"/>
  <c r="H110" i="6" s="1"/>
  <c r="F71" i="6"/>
  <c r="H71" i="6" s="1"/>
  <c r="G66" i="6"/>
  <c r="G80" i="6"/>
  <c r="F77" i="6"/>
  <c r="H77" i="6" s="1"/>
  <c r="G72" i="6"/>
  <c r="G85" i="6"/>
  <c r="F83" i="6"/>
  <c r="H83" i="6" s="1"/>
  <c r="G138" i="6"/>
  <c r="F158" i="6"/>
  <c r="H158" i="6" s="1"/>
  <c r="F154" i="6"/>
  <c r="H154" i="6" s="1"/>
  <c r="I154" i="6" s="1"/>
  <c r="G152" i="6"/>
  <c r="G135" i="6"/>
  <c r="G159" i="6"/>
  <c r="F159" i="6"/>
  <c r="H159" i="6" s="1"/>
  <c r="F106" i="6"/>
  <c r="H106" i="6" s="1"/>
  <c r="I106" i="6" s="1"/>
  <c r="G107" i="6"/>
  <c r="G122" i="6"/>
  <c r="G124" i="6"/>
  <c r="I124" i="6" s="1"/>
  <c r="F111" i="6"/>
  <c r="H111" i="6" s="1"/>
  <c r="I111" i="6" s="1"/>
  <c r="G108" i="6"/>
  <c r="F86" i="6"/>
  <c r="H86" i="6" s="1"/>
  <c r="G71" i="6"/>
  <c r="F90" i="6"/>
  <c r="H90" i="6" s="1"/>
  <c r="I90" i="6" s="1"/>
  <c r="G75" i="6"/>
  <c r="G87" i="6"/>
  <c r="G65" i="6"/>
  <c r="G69" i="6"/>
  <c r="F74" i="6"/>
  <c r="H74" i="6" s="1"/>
  <c r="F186" i="6"/>
  <c r="H186" i="6" s="1"/>
  <c r="G32" i="6"/>
  <c r="F176" i="6"/>
  <c r="H176" i="6" s="1"/>
  <c r="G187" i="6"/>
  <c r="G102" i="6"/>
  <c r="F109" i="6"/>
  <c r="H109" i="6" s="1"/>
  <c r="F150" i="6"/>
  <c r="H150" i="6" s="1"/>
  <c r="I150" i="6" s="1"/>
  <c r="G120" i="6"/>
  <c r="G104" i="6"/>
  <c r="F152" i="6"/>
  <c r="H152" i="6" s="1"/>
  <c r="F172" i="6"/>
  <c r="H172" i="6" s="1"/>
  <c r="I172" i="6" s="1"/>
  <c r="G180" i="6"/>
  <c r="F103" i="6"/>
  <c r="H103" i="6" s="1"/>
  <c r="I103" i="6" s="1"/>
  <c r="F112" i="6"/>
  <c r="H112" i="6" s="1"/>
  <c r="G148" i="6"/>
  <c r="G155" i="6"/>
  <c r="G175" i="6"/>
  <c r="G144" i="6"/>
  <c r="F85" i="6"/>
  <c r="H85" i="6" s="1"/>
  <c r="G128" i="6"/>
  <c r="F153" i="6"/>
  <c r="H153" i="6" s="1"/>
  <c r="G79" i="6"/>
  <c r="G127" i="6"/>
  <c r="F123" i="6"/>
  <c r="H123" i="6" s="1"/>
  <c r="G112" i="6"/>
  <c r="F15" i="6"/>
  <c r="H15" i="6" s="1"/>
  <c r="I15" i="6" s="1"/>
  <c r="F75" i="6"/>
  <c r="H75" i="6" s="1"/>
  <c r="G157" i="6"/>
  <c r="F144" i="6"/>
  <c r="H144" i="6" s="1"/>
  <c r="G147" i="6"/>
  <c r="G146" i="6"/>
  <c r="G130" i="6"/>
  <c r="G133" i="6"/>
  <c r="F119" i="6"/>
  <c r="H119" i="6" s="1"/>
  <c r="I119" i="6" s="1"/>
  <c r="F68" i="6"/>
  <c r="H68" i="6" s="1"/>
  <c r="I68" i="6" s="1"/>
  <c r="F76" i="6"/>
  <c r="H76" i="6" s="1"/>
  <c r="I76" i="6" s="1"/>
  <c r="F79" i="6"/>
  <c r="H79" i="6" s="1"/>
  <c r="G141" i="6"/>
  <c r="F138" i="6"/>
  <c r="H138" i="6" s="1"/>
  <c r="F142" i="6"/>
  <c r="H142" i="6" s="1"/>
  <c r="G113" i="6"/>
  <c r="G126" i="6"/>
  <c r="G132" i="6"/>
  <c r="F89" i="6"/>
  <c r="H89" i="6" s="1"/>
  <c r="G83" i="6"/>
  <c r="F72" i="6"/>
  <c r="H72" i="6" s="1"/>
  <c r="G91" i="6"/>
  <c r="F64" i="6"/>
  <c r="H64" i="6" s="1"/>
  <c r="I64" i="6" s="1"/>
  <c r="F170" i="6"/>
  <c r="H170" i="6" s="1"/>
  <c r="F32" i="6"/>
  <c r="H32" i="6" s="1"/>
  <c r="I32" i="6" s="1"/>
  <c r="G176" i="6"/>
  <c r="G33" i="6"/>
  <c r="G186" i="6"/>
  <c r="I186" i="6" s="1"/>
  <c r="G125" i="6"/>
  <c r="G98" i="6"/>
  <c r="F164" i="6"/>
  <c r="H164" i="6" s="1"/>
  <c r="F81" i="6"/>
  <c r="H81" i="6" s="1"/>
  <c r="F34" i="6"/>
  <c r="H34" i="6" s="1"/>
  <c r="I34" i="6" s="1"/>
  <c r="F104" i="6"/>
  <c r="H104" i="6" s="1"/>
  <c r="I104" i="6" s="1"/>
  <c r="F25" i="6"/>
  <c r="H25" i="6" s="1"/>
  <c r="I25" i="6" s="1"/>
  <c r="F69" i="6"/>
  <c r="H69" i="6" s="1"/>
  <c r="I69" i="6" s="1"/>
  <c r="F82" i="6"/>
  <c r="H82" i="6" s="1"/>
  <c r="I82" i="6" s="1"/>
  <c r="G151" i="6"/>
  <c r="F146" i="6"/>
  <c r="H146" i="6" s="1"/>
  <c r="F137" i="6"/>
  <c r="H137" i="6" s="1"/>
  <c r="G117" i="6"/>
  <c r="G115" i="6"/>
  <c r="F91" i="6"/>
  <c r="H91" i="6" s="1"/>
  <c r="G142" i="6"/>
  <c r="G161" i="6"/>
  <c r="F151" i="6"/>
  <c r="H151" i="6" s="1"/>
  <c r="I151" i="6" s="1"/>
  <c r="F117" i="6"/>
  <c r="H117" i="6" s="1"/>
  <c r="I117" i="6" s="1"/>
  <c r="F70" i="6"/>
  <c r="H70" i="6" s="1"/>
  <c r="G70" i="6"/>
  <c r="F28" i="6"/>
  <c r="H28" i="6" s="1"/>
  <c r="F97" i="6"/>
  <c r="H97" i="6" s="1"/>
  <c r="G168" i="6"/>
  <c r="F130" i="6"/>
  <c r="H130" i="6" s="1"/>
  <c r="I130" i="6" s="1"/>
  <c r="G118" i="6"/>
  <c r="F126" i="6"/>
  <c r="H126" i="6" s="1"/>
  <c r="I126" i="6" s="1"/>
  <c r="F178" i="6"/>
  <c r="H178" i="6" s="1"/>
  <c r="I178" i="6" s="1"/>
  <c r="G26" i="6"/>
  <c r="G73" i="6"/>
  <c r="F171" i="6"/>
  <c r="H171" i="6" s="1"/>
  <c r="I171" i="6" s="1"/>
  <c r="F143" i="6"/>
  <c r="H143" i="6" s="1"/>
  <c r="G189" i="6"/>
  <c r="F115" i="6"/>
  <c r="H115" i="6" s="1"/>
  <c r="I115" i="6" s="1"/>
  <c r="F140" i="6"/>
  <c r="H140" i="6" s="1"/>
  <c r="F136" i="6"/>
  <c r="H136" i="6" s="1"/>
  <c r="G153" i="6"/>
  <c r="G160" i="6"/>
  <c r="F118" i="6"/>
  <c r="H118" i="6" s="1"/>
  <c r="F125" i="6"/>
  <c r="H125" i="6" s="1"/>
  <c r="G77" i="6"/>
  <c r="F80" i="6"/>
  <c r="H80" i="6" s="1"/>
  <c r="I80" i="6" s="1"/>
  <c r="F148" i="6"/>
  <c r="H148" i="6" s="1"/>
  <c r="G137" i="6"/>
  <c r="F116" i="6"/>
  <c r="H116" i="6" s="1"/>
  <c r="F107" i="6"/>
  <c r="H107" i="6" s="1"/>
  <c r="G67" i="6"/>
  <c r="F66" i="6"/>
  <c r="H66" i="6" s="1"/>
  <c r="M49" i="6"/>
  <c r="N47" i="6"/>
  <c r="O45" i="6"/>
  <c r="O51" i="6" s="1"/>
  <c r="M18" i="6"/>
  <c r="M24" i="6" s="1"/>
  <c r="M23" i="6" s="1"/>
  <c r="M25" i="6" s="1"/>
  <c r="M44" i="6"/>
  <c r="N16" i="6"/>
  <c r="X31" i="6"/>
  <c r="W33" i="6"/>
  <c r="V35" i="6"/>
  <c r="U33" i="6"/>
  <c r="V31" i="6"/>
  <c r="T35" i="6"/>
  <c r="AG22" i="6"/>
  <c r="AG24" i="6" s="1"/>
  <c r="AG23" i="6" s="1"/>
  <c r="AG25" i="6" s="1"/>
  <c r="S21" i="6"/>
  <c r="Y45" i="6"/>
  <c r="AA36" i="6"/>
  <c r="N49" i="6"/>
  <c r="N52" i="6" s="1"/>
  <c r="E12" i="6"/>
  <c r="W21" i="6"/>
  <c r="W22" i="6"/>
  <c r="AN18" i="6"/>
  <c r="AM20" i="6"/>
  <c r="AM24" i="6" s="1"/>
  <c r="AM23" i="6" s="1"/>
  <c r="AM25" i="6" s="1"/>
  <c r="AA29" i="6"/>
  <c r="N33" i="6"/>
  <c r="O31" i="6"/>
  <c r="M35" i="6"/>
  <c r="P35" i="6"/>
  <c r="Q33" i="6"/>
  <c r="R31" i="6"/>
  <c r="AH24" i="6"/>
  <c r="AH23" i="6" s="1"/>
  <c r="AH25" i="6" s="1"/>
  <c r="V49" i="6"/>
  <c r="W47" i="6"/>
  <c r="W52" i="6" s="1"/>
  <c r="X45" i="6"/>
  <c r="X51" i="6" s="1"/>
  <c r="AA22" i="6"/>
  <c r="AA24" i="6" s="1"/>
  <c r="AA23" i="6" s="1"/>
  <c r="AA25" i="6" s="1"/>
  <c r="AA21" i="6"/>
  <c r="F190" i="6"/>
  <c r="H190" i="6" s="1"/>
  <c r="G190" i="6"/>
  <c r="R51" i="6"/>
  <c r="O49" i="6"/>
  <c r="O52" i="6" s="1"/>
  <c r="P47" i="6"/>
  <c r="Q45" i="6"/>
  <c r="Q51" i="6" s="1"/>
  <c r="M47" i="6"/>
  <c r="N45" i="6"/>
  <c r="N51" i="6" s="1"/>
  <c r="L43" i="6"/>
  <c r="M45" i="6" s="1"/>
  <c r="M51" i="6" s="1"/>
  <c r="AA46" i="6"/>
  <c r="Y50" i="6"/>
  <c r="Z48" i="6"/>
  <c r="Y33" i="6"/>
  <c r="Z31" i="6"/>
  <c r="X35" i="6"/>
  <c r="W31" i="6"/>
  <c r="U35" i="6"/>
  <c r="V33" i="6"/>
  <c r="AB24" i="6"/>
  <c r="AB23" i="6" s="1"/>
  <c r="AB25" i="6" s="1"/>
  <c r="AI21" i="6"/>
  <c r="AI24" i="6" s="1"/>
  <c r="AI23" i="6" s="1"/>
  <c r="AI25" i="6" s="1"/>
  <c r="AJ22" i="6"/>
  <c r="AJ21" i="6"/>
  <c r="H30" i="6"/>
  <c r="AV56" i="6"/>
  <c r="AU63" i="6"/>
  <c r="AW63" i="6" s="1"/>
  <c r="AV46" i="6"/>
  <c r="AU82" i="6"/>
  <c r="AW82" i="6" s="1"/>
  <c r="AV84" i="6"/>
  <c r="AV82" i="6"/>
  <c r="AV79" i="6"/>
  <c r="AU74" i="6"/>
  <c r="AW74" i="6" s="1"/>
  <c r="AV86" i="6"/>
  <c r="AU81" i="6"/>
  <c r="AW81" i="6" s="1"/>
  <c r="AV73" i="6"/>
  <c r="AV69" i="6"/>
  <c r="AV60" i="6"/>
  <c r="AV42" i="6"/>
  <c r="AV80" i="6"/>
  <c r="AU90" i="6"/>
  <c r="AW90" i="6" s="1"/>
  <c r="AV70" i="6"/>
  <c r="AU37" i="6"/>
  <c r="AW37" i="6" s="1"/>
  <c r="AV68" i="6"/>
  <c r="AV85" i="6"/>
  <c r="AV83" i="6"/>
  <c r="AU60" i="6"/>
  <c r="AW60" i="6" s="1"/>
  <c r="AU58" i="6"/>
  <c r="AW58" i="6" s="1"/>
  <c r="AV75" i="6"/>
  <c r="AV43" i="6"/>
  <c r="AU64" i="6"/>
  <c r="AW64" i="6" s="1"/>
  <c r="AV81" i="6"/>
  <c r="AV49" i="6"/>
  <c r="AU67" i="6"/>
  <c r="AW67" i="6" s="1"/>
  <c r="AV53" i="6"/>
  <c r="AU55" i="6"/>
  <c r="AW55" i="6" s="1"/>
  <c r="AV76" i="6"/>
  <c r="AU87" i="6"/>
  <c r="AW87" i="6" s="1"/>
  <c r="AU36" i="6"/>
  <c r="AU73" i="6"/>
  <c r="AW73" i="6" s="1"/>
  <c r="AX73" i="6" s="1"/>
  <c r="AV55" i="6"/>
  <c r="X32" i="6"/>
  <c r="Y30" i="6"/>
  <c r="Y36" i="6" s="1"/>
  <c r="W34" i="6"/>
  <c r="W37" i="6" s="1"/>
  <c r="N30" i="6"/>
  <c r="N36" i="6" s="1"/>
  <c r="L28" i="6"/>
  <c r="M30" i="6" s="1"/>
  <c r="M32" i="6"/>
  <c r="AK22" i="6"/>
  <c r="G331" i="6"/>
  <c r="F342" i="6"/>
  <c r="H342" i="6" s="1"/>
  <c r="G335" i="6"/>
  <c r="G332" i="6"/>
  <c r="G342" i="6"/>
  <c r="F335" i="6"/>
  <c r="H335" i="6" s="1"/>
  <c r="G341" i="6"/>
  <c r="G338" i="6"/>
  <c r="G326" i="6"/>
  <c r="F317" i="6"/>
  <c r="H317" i="6" s="1"/>
  <c r="F318" i="6"/>
  <c r="H318" i="6" s="1"/>
  <c r="F289" i="6"/>
  <c r="H289" i="6" s="1"/>
  <c r="G318" i="6"/>
  <c r="F341" i="6"/>
  <c r="H341" i="6" s="1"/>
  <c r="F333" i="6"/>
  <c r="H333" i="6" s="1"/>
  <c r="G304" i="6"/>
  <c r="F329" i="6"/>
  <c r="H329" i="6" s="1"/>
  <c r="G297" i="6"/>
  <c r="G294" i="6"/>
  <c r="F321" i="6"/>
  <c r="H321" i="6" s="1"/>
  <c r="F294" i="6"/>
  <c r="H294" i="6" s="1"/>
  <c r="I294" i="6" s="1"/>
  <c r="G292" i="6"/>
  <c r="F306" i="6"/>
  <c r="H306" i="6" s="1"/>
  <c r="F316" i="6"/>
  <c r="H316" i="6" s="1"/>
  <c r="G299" i="6"/>
  <c r="G339" i="6"/>
  <c r="F304" i="6"/>
  <c r="H304" i="6" s="1"/>
  <c r="I304" i="6" s="1"/>
  <c r="F292" i="6"/>
  <c r="H292" i="6" s="1"/>
  <c r="I292" i="6" s="1"/>
  <c r="F375" i="6"/>
  <c r="H375" i="6" s="1"/>
  <c r="F379" i="6"/>
  <c r="H379" i="6" s="1"/>
  <c r="F361" i="6"/>
  <c r="H361" i="6" s="1"/>
  <c r="G346" i="6"/>
  <c r="F356" i="6"/>
  <c r="H356" i="6" s="1"/>
  <c r="F370" i="6"/>
  <c r="H370" i="6" s="1"/>
  <c r="F364" i="6"/>
  <c r="H364" i="6" s="1"/>
  <c r="F367" i="6"/>
  <c r="H367" i="6" s="1"/>
  <c r="G355" i="6"/>
  <c r="F350" i="6"/>
  <c r="H350" i="6" s="1"/>
  <c r="F371" i="6"/>
  <c r="H371" i="6" s="1"/>
  <c r="F360" i="6"/>
  <c r="H360" i="6" s="1"/>
  <c r="F353" i="6"/>
  <c r="H353" i="6" s="1"/>
  <c r="F331" i="6"/>
  <c r="H331" i="6" s="1"/>
  <c r="F343" i="6"/>
  <c r="H343" i="6" s="1"/>
  <c r="F325" i="6"/>
  <c r="H325" i="6" s="1"/>
  <c r="F296" i="6"/>
  <c r="H296" i="6" s="1"/>
  <c r="G322" i="6"/>
  <c r="G307" i="6"/>
  <c r="F340" i="6"/>
  <c r="H340" i="6" s="1"/>
  <c r="G308" i="6"/>
  <c r="F373" i="6"/>
  <c r="H373" i="6" s="1"/>
  <c r="F366" i="6"/>
  <c r="H366" i="6" s="1"/>
  <c r="G371" i="6"/>
  <c r="G347" i="6"/>
  <c r="F368" i="6"/>
  <c r="H368" i="6" s="1"/>
  <c r="G354" i="6"/>
  <c r="G370" i="6"/>
  <c r="G344" i="6"/>
  <c r="G358" i="6"/>
  <c r="G366" i="6"/>
  <c r="F354" i="6"/>
  <c r="H354" i="6" s="1"/>
  <c r="F363" i="6"/>
  <c r="H363" i="6" s="1"/>
  <c r="F358" i="6"/>
  <c r="H358" i="6" s="1"/>
  <c r="I358" i="6" s="1"/>
  <c r="G321" i="6"/>
  <c r="F337" i="6"/>
  <c r="H337" i="6" s="1"/>
  <c r="F324" i="6"/>
  <c r="H324" i="6" s="1"/>
  <c r="F327" i="6"/>
  <c r="H327" i="6" s="1"/>
  <c r="F376" i="6"/>
  <c r="H376" i="6" s="1"/>
  <c r="F305" i="6"/>
  <c r="H305" i="6" s="1"/>
  <c r="G323" i="6"/>
  <c r="G337" i="6"/>
  <c r="F293" i="6"/>
  <c r="H293" i="6" s="1"/>
  <c r="F302" i="6"/>
  <c r="H302" i="6" s="1"/>
  <c r="F320" i="6"/>
  <c r="H320" i="6" s="1"/>
  <c r="F334" i="6"/>
  <c r="H334" i="6" s="1"/>
  <c r="F338" i="6"/>
  <c r="H338" i="6" s="1"/>
  <c r="I338" i="6" s="1"/>
  <c r="F339" i="6"/>
  <c r="H339" i="6" s="1"/>
  <c r="I339" i="6" s="1"/>
  <c r="G336" i="6"/>
  <c r="G290" i="6"/>
  <c r="G291" i="6"/>
  <c r="F298" i="6"/>
  <c r="H298" i="6" s="1"/>
  <c r="G289" i="6"/>
  <c r="F300" i="6"/>
  <c r="H300" i="6" s="1"/>
  <c r="F314" i="6"/>
  <c r="H314" i="6" s="1"/>
  <c r="G305" i="6"/>
  <c r="F328" i="6"/>
  <c r="H328" i="6" s="1"/>
  <c r="G324" i="6"/>
  <c r="F323" i="6"/>
  <c r="H323" i="6" s="1"/>
  <c r="I323" i="6" s="1"/>
  <c r="G340" i="6"/>
  <c r="G343" i="6"/>
  <c r="G316" i="6"/>
  <c r="G315" i="6"/>
  <c r="G333" i="6"/>
  <c r="G303" i="6"/>
  <c r="F332" i="6"/>
  <c r="H332" i="6" s="1"/>
  <c r="I332" i="6" s="1"/>
  <c r="F290" i="6"/>
  <c r="H290" i="6" s="1"/>
  <c r="I290" i="6" s="1"/>
  <c r="G327" i="6"/>
  <c r="G306" i="6"/>
  <c r="G378" i="6"/>
  <c r="F365" i="6"/>
  <c r="H365" i="6" s="1"/>
  <c r="G345" i="6"/>
  <c r="F345" i="6"/>
  <c r="H345" i="6" s="1"/>
  <c r="I345" i="6" s="1"/>
  <c r="F301" i="6"/>
  <c r="H301" i="6" s="1"/>
  <c r="F309" i="6"/>
  <c r="H309" i="6" s="1"/>
  <c r="G319" i="6"/>
  <c r="G310" i="6"/>
  <c r="F336" i="6"/>
  <c r="H336" i="6" s="1"/>
  <c r="F312" i="6"/>
  <c r="H312" i="6" s="1"/>
  <c r="F291" i="6"/>
  <c r="H291" i="6" s="1"/>
  <c r="G320" i="6"/>
  <c r="F313" i="6"/>
  <c r="H313" i="6" s="1"/>
  <c r="G298" i="6"/>
  <c r="F377" i="6"/>
  <c r="H377" i="6" s="1"/>
  <c r="G369" i="6"/>
  <c r="G356" i="6"/>
  <c r="F355" i="6"/>
  <c r="H355" i="6" s="1"/>
  <c r="I355" i="6" s="1"/>
  <c r="F352" i="6"/>
  <c r="H352" i="6" s="1"/>
  <c r="G360" i="6"/>
  <c r="G359" i="6"/>
  <c r="F362" i="6"/>
  <c r="H362" i="6" s="1"/>
  <c r="I362" i="6" s="1"/>
  <c r="G367" i="6"/>
  <c r="G349" i="6"/>
  <c r="G362" i="6"/>
  <c r="F344" i="6"/>
  <c r="H344" i="6" s="1"/>
  <c r="I344" i="6" s="1"/>
  <c r="G363" i="6"/>
  <c r="G330" i="6"/>
  <c r="G334" i="6"/>
  <c r="G325" i="6"/>
  <c r="F319" i="6"/>
  <c r="H319" i="6" s="1"/>
  <c r="I319" i="6" s="1"/>
  <c r="F326" i="6"/>
  <c r="H326" i="6" s="1"/>
  <c r="I326" i="6" s="1"/>
  <c r="G380" i="6"/>
  <c r="F372" i="6"/>
  <c r="H372" i="6" s="1"/>
  <c r="F299" i="6"/>
  <c r="H299" i="6" s="1"/>
  <c r="F303" i="6"/>
  <c r="H303" i="6" s="1"/>
  <c r="I303" i="6" s="1"/>
  <c r="G295" i="6"/>
  <c r="F295" i="6"/>
  <c r="H295" i="6" s="1"/>
  <c r="I295" i="6" s="1"/>
  <c r="F380" i="6"/>
  <c r="H380" i="6" s="1"/>
  <c r="I380" i="6" s="1"/>
  <c r="G379" i="6"/>
  <c r="G309" i="6"/>
  <c r="F310" i="6"/>
  <c r="H310" i="6" s="1"/>
  <c r="I310" i="6" s="1"/>
  <c r="G301" i="6"/>
  <c r="G311" i="6"/>
  <c r="F349" i="6"/>
  <c r="H349" i="6" s="1"/>
  <c r="G361" i="6"/>
  <c r="G364" i="6"/>
  <c r="F347" i="6"/>
  <c r="H347" i="6" s="1"/>
  <c r="I347" i="6" s="1"/>
  <c r="G351" i="6"/>
  <c r="F369" i="6"/>
  <c r="H369" i="6" s="1"/>
  <c r="I369" i="6" s="1"/>
  <c r="F359" i="6"/>
  <c r="H359" i="6" s="1"/>
  <c r="I359" i="6" s="1"/>
  <c r="G365" i="6"/>
  <c r="F322" i="6"/>
  <c r="H322" i="6" s="1"/>
  <c r="I322" i="6" s="1"/>
  <c r="G329" i="6"/>
  <c r="G328" i="6"/>
  <c r="F374" i="6"/>
  <c r="H374" i="6" s="1"/>
  <c r="G377" i="6"/>
  <c r="F378" i="6"/>
  <c r="H378" i="6" s="1"/>
  <c r="I378" i="6" s="1"/>
  <c r="G372" i="6"/>
  <c r="G302" i="6"/>
  <c r="G296" i="6"/>
  <c r="G312" i="6"/>
  <c r="F311" i="6"/>
  <c r="H311" i="6" s="1"/>
  <c r="F308" i="6"/>
  <c r="H308" i="6" s="1"/>
  <c r="I308" i="6" s="1"/>
  <c r="G300" i="6"/>
  <c r="G376" i="6"/>
  <c r="G314" i="6"/>
  <c r="F315" i="6"/>
  <c r="H315" i="6" s="1"/>
  <c r="I315" i="6" s="1"/>
  <c r="G353" i="6"/>
  <c r="G357" i="6"/>
  <c r="G348" i="6"/>
  <c r="F346" i="6"/>
  <c r="H346" i="6" s="1"/>
  <c r="I346" i="6" s="1"/>
  <c r="G350" i="6"/>
  <c r="G352" i="6"/>
  <c r="F357" i="6"/>
  <c r="H357" i="6" s="1"/>
  <c r="G368" i="6"/>
  <c r="F351" i="6"/>
  <c r="H351" i="6" s="1"/>
  <c r="I351" i="6" s="1"/>
  <c r="F348" i="6"/>
  <c r="H348" i="6" s="1"/>
  <c r="I348" i="6" s="1"/>
  <c r="F330" i="6"/>
  <c r="H330" i="6" s="1"/>
  <c r="G317" i="6"/>
  <c r="G373" i="6"/>
  <c r="G374" i="6"/>
  <c r="G375" i="6"/>
  <c r="F297" i="6"/>
  <c r="H297" i="6" s="1"/>
  <c r="I297" i="6" s="1"/>
  <c r="F307" i="6"/>
  <c r="H307" i="6" s="1"/>
  <c r="G293" i="6"/>
  <c r="G313" i="6"/>
  <c r="AK21" i="6"/>
  <c r="P22" i="6"/>
  <c r="F37" i="6"/>
  <c r="H37" i="6" s="1"/>
  <c r="F43" i="6"/>
  <c r="H43" i="6" s="1"/>
  <c r="G38" i="6"/>
  <c r="F63" i="6"/>
  <c r="H63" i="6" s="1"/>
  <c r="G41" i="6"/>
  <c r="G43" i="6"/>
  <c r="G37" i="6"/>
  <c r="F39" i="6"/>
  <c r="H39" i="6" s="1"/>
  <c r="G52" i="6"/>
  <c r="F61" i="6"/>
  <c r="H61" i="6" s="1"/>
  <c r="G48" i="6"/>
  <c r="F60" i="6"/>
  <c r="H60" i="6" s="1"/>
  <c r="F50" i="6"/>
  <c r="H50" i="6" s="1"/>
  <c r="G61" i="6"/>
  <c r="G51" i="6"/>
  <c r="F45" i="6"/>
  <c r="H45" i="6" s="1"/>
  <c r="G57" i="6"/>
  <c r="G46" i="6"/>
  <c r="G53" i="6"/>
  <c r="F40" i="6"/>
  <c r="H40" i="6" s="1"/>
  <c r="G56" i="6"/>
  <c r="G39" i="6"/>
  <c r="F49" i="6"/>
  <c r="H49" i="6" s="1"/>
  <c r="F57" i="6"/>
  <c r="H57" i="6" s="1"/>
  <c r="F44" i="6"/>
  <c r="H44" i="6" s="1"/>
  <c r="G55" i="6"/>
  <c r="G59" i="6"/>
  <c r="G47" i="6"/>
  <c r="F55" i="6"/>
  <c r="H55" i="6" s="1"/>
  <c r="F48" i="6"/>
  <c r="H48" i="6" s="1"/>
  <c r="G62" i="6"/>
  <c r="F56" i="6"/>
  <c r="H56" i="6" s="1"/>
  <c r="G36" i="6"/>
  <c r="G44" i="6"/>
  <c r="F54" i="6"/>
  <c r="H54" i="6" s="1"/>
  <c r="F47" i="6"/>
  <c r="H47" i="6" s="1"/>
  <c r="I47" i="6" s="1"/>
  <c r="F41" i="6"/>
  <c r="H41" i="6" s="1"/>
  <c r="I41" i="6" s="1"/>
  <c r="F53" i="6"/>
  <c r="H53" i="6" s="1"/>
  <c r="F46" i="6"/>
  <c r="H46" i="6" s="1"/>
  <c r="F36" i="6"/>
  <c r="H36" i="6" s="1"/>
  <c r="F58" i="6"/>
  <c r="H58" i="6" s="1"/>
  <c r="F38" i="6"/>
  <c r="H38" i="6" s="1"/>
  <c r="G40" i="6"/>
  <c r="G49" i="6"/>
  <c r="G58" i="6"/>
  <c r="G45" i="6"/>
  <c r="F62" i="6"/>
  <c r="H62" i="6" s="1"/>
  <c r="I62" i="6" s="1"/>
  <c r="F52" i="6"/>
  <c r="H52" i="6" s="1"/>
  <c r="G63" i="6"/>
  <c r="F42" i="6"/>
  <c r="H42" i="6" s="1"/>
  <c r="G60" i="6"/>
  <c r="G50" i="6"/>
  <c r="G42" i="6"/>
  <c r="F51" i="6"/>
  <c r="H51" i="6" s="1"/>
  <c r="F59" i="6"/>
  <c r="H59" i="6" s="1"/>
  <c r="I59" i="6" s="1"/>
  <c r="G54" i="6"/>
  <c r="Y49" i="6"/>
  <c r="Z47" i="6"/>
  <c r="AA45" i="6"/>
  <c r="AA51" i="6" s="1"/>
  <c r="Y47" i="6"/>
  <c r="Z45" i="6"/>
  <c r="X49" i="6"/>
  <c r="X52" i="6" s="1"/>
  <c r="P21" i="6"/>
  <c r="AK212" i="16" l="1"/>
  <c r="AK18" i="16"/>
  <c r="AK181" i="15"/>
  <c r="AK64" i="15"/>
  <c r="AK50" i="15"/>
  <c r="AK241" i="15"/>
  <c r="AK341" i="15"/>
  <c r="AK105" i="15"/>
  <c r="AK93" i="15"/>
  <c r="AK19" i="15"/>
  <c r="AK263" i="15"/>
  <c r="AK121" i="15"/>
  <c r="AK257" i="15"/>
  <c r="AK378" i="15"/>
  <c r="AK321" i="15"/>
  <c r="AK254" i="15"/>
  <c r="AK167" i="15"/>
  <c r="AK95" i="15"/>
  <c r="AK202" i="15"/>
  <c r="AK56" i="15"/>
  <c r="AK124" i="15"/>
  <c r="AK117" i="15"/>
  <c r="AK185" i="15"/>
  <c r="AK186" i="15"/>
  <c r="AK259" i="15"/>
  <c r="AK319" i="15"/>
  <c r="AK310" i="15"/>
  <c r="AK110" i="15"/>
  <c r="AK377" i="15"/>
  <c r="AK302" i="15"/>
  <c r="AK289" i="15"/>
  <c r="AK156" i="15"/>
  <c r="AK81" i="15"/>
  <c r="AK60" i="15"/>
  <c r="AK361" i="15"/>
  <c r="AK364" i="15"/>
  <c r="AK290" i="15"/>
  <c r="AK229" i="15"/>
  <c r="AK234" i="15"/>
  <c r="AK168" i="15"/>
  <c r="AK164" i="15"/>
  <c r="AK103" i="15"/>
  <c r="AK100" i="15"/>
  <c r="AK46" i="15"/>
  <c r="AK352" i="15"/>
  <c r="AK17" i="15"/>
  <c r="AK115" i="15"/>
  <c r="AK318" i="15"/>
  <c r="AK331" i="15"/>
  <c r="AK236" i="15"/>
  <c r="AK102" i="15"/>
  <c r="AK21" i="15"/>
  <c r="AK44" i="15"/>
  <c r="AK25" i="15"/>
  <c r="AK67" i="15"/>
  <c r="AK88" i="15"/>
  <c r="AK63" i="15"/>
  <c r="AK40" i="15"/>
  <c r="AK104" i="15"/>
  <c r="AK344" i="15"/>
  <c r="AK122" i="15"/>
  <c r="AK23" i="15"/>
  <c r="AK152" i="15"/>
  <c r="AK210" i="15"/>
  <c r="AK317" i="15"/>
  <c r="AK342" i="15"/>
  <c r="AK35" i="15"/>
  <c r="AK187" i="15"/>
  <c r="AK273" i="15"/>
  <c r="AK116" i="15"/>
  <c r="AK337" i="15"/>
  <c r="AK198" i="15"/>
  <c r="AK139" i="15"/>
  <c r="AK75" i="15"/>
  <c r="AK220" i="15"/>
  <c r="AK222" i="15"/>
  <c r="AK49" i="15"/>
  <c r="AK111" i="15"/>
  <c r="AK109" i="15"/>
  <c r="AK171" i="15"/>
  <c r="AK174" i="15"/>
  <c r="AK245" i="15"/>
  <c r="AK309" i="15"/>
  <c r="AK239" i="15"/>
  <c r="AK264" i="15"/>
  <c r="AK301" i="15"/>
  <c r="AK340" i="15"/>
  <c r="AK148" i="16"/>
  <c r="F8" i="16"/>
  <c r="L13" i="19" s="1"/>
  <c r="AK161" i="16"/>
  <c r="BH360" i="6"/>
  <c r="BH120" i="6"/>
  <c r="AK322" i="16"/>
  <c r="AK280" i="16"/>
  <c r="AK232" i="16"/>
  <c r="AK315" i="16"/>
  <c r="AK259" i="16"/>
  <c r="AK143" i="16"/>
  <c r="AK211" i="16"/>
  <c r="AK316" i="16"/>
  <c r="AK82" i="16"/>
  <c r="AK331" i="16"/>
  <c r="AK366" i="16"/>
  <c r="AK125" i="16"/>
  <c r="AK238" i="16"/>
  <c r="AK371" i="16"/>
  <c r="AK151" i="16"/>
  <c r="AK185" i="16"/>
  <c r="AK360" i="16"/>
  <c r="AK89" i="16"/>
  <c r="Q10" i="15"/>
  <c r="K15" i="7" s="1"/>
  <c r="AK354" i="16"/>
  <c r="AK38" i="16"/>
  <c r="AK284" i="15"/>
  <c r="AK31" i="15"/>
  <c r="AK379" i="15"/>
  <c r="AK175" i="15"/>
  <c r="AK29" i="15"/>
  <c r="AK314" i="15"/>
  <c r="AK188" i="15"/>
  <c r="AK51" i="15"/>
  <c r="AK59" i="16"/>
  <c r="AK160" i="16"/>
  <c r="AK296" i="16"/>
  <c r="AK24" i="16"/>
  <c r="AK273" i="16"/>
  <c r="AK294" i="16"/>
  <c r="AK203" i="16"/>
  <c r="AK73" i="16"/>
  <c r="AK306" i="16"/>
  <c r="AK249" i="16"/>
  <c r="AK347" i="16"/>
  <c r="AK121" i="16"/>
  <c r="AK72" i="16"/>
  <c r="AK317" i="16"/>
  <c r="AK276" i="16"/>
  <c r="AK56" i="16"/>
  <c r="AK63" i="16"/>
  <c r="AK213" i="16"/>
  <c r="AK139" i="16"/>
  <c r="AK19" i="16"/>
  <c r="AK136" i="16"/>
  <c r="AK287" i="16"/>
  <c r="AK80" i="16"/>
  <c r="AK321" i="16"/>
  <c r="AK22" i="16"/>
  <c r="AK98" i="16"/>
  <c r="AK153" i="16"/>
  <c r="AK223" i="16"/>
  <c r="AK225" i="16"/>
  <c r="AK355" i="16"/>
  <c r="AK359" i="16"/>
  <c r="AK33" i="16"/>
  <c r="AK207" i="16"/>
  <c r="AK290" i="16"/>
  <c r="AK104" i="16"/>
  <c r="AK32" i="16"/>
  <c r="AK168" i="16"/>
  <c r="AK272" i="16"/>
  <c r="AK260" i="16"/>
  <c r="AK182" i="16"/>
  <c r="AK135" i="16"/>
  <c r="AK54" i="16"/>
  <c r="AK269" i="16"/>
  <c r="AK373" i="16"/>
  <c r="AK341" i="16"/>
  <c r="AK363" i="16"/>
  <c r="AK251" i="16"/>
  <c r="AK186" i="16"/>
  <c r="AK218" i="16"/>
  <c r="AK49" i="16"/>
  <c r="AK345" i="16"/>
  <c r="AK222" i="16"/>
  <c r="AK27" i="16"/>
  <c r="AK267" i="16"/>
  <c r="AK357" i="16"/>
  <c r="AK264" i="16"/>
  <c r="AK137" i="16"/>
  <c r="AK284" i="16"/>
  <c r="AK84" i="16"/>
  <c r="AK362" i="16"/>
  <c r="AK282" i="16"/>
  <c r="AK268" i="16"/>
  <c r="AK197" i="16"/>
  <c r="AK145" i="16"/>
  <c r="AK62" i="16"/>
  <c r="AK130" i="16"/>
  <c r="AK350" i="16"/>
  <c r="AK263" i="16"/>
  <c r="AK265" i="16"/>
  <c r="AK52" i="16"/>
  <c r="AK159" i="16"/>
  <c r="AK69" i="16"/>
  <c r="AK176" i="16"/>
  <c r="AC9" i="15"/>
  <c r="AC9" i="17"/>
  <c r="AC9" i="18" s="1"/>
  <c r="AK41" i="16"/>
  <c r="AK242" i="16"/>
  <c r="AK97" i="16"/>
  <c r="P12" i="16"/>
  <c r="AK305" i="16"/>
  <c r="AK368" i="16"/>
  <c r="AK128" i="16"/>
  <c r="AK237" i="16"/>
  <c r="AK309" i="16"/>
  <c r="AK323" i="16"/>
  <c r="AK171" i="16"/>
  <c r="AK206" i="16"/>
  <c r="AK327" i="16"/>
  <c r="AK231" i="16"/>
  <c r="AK102" i="16"/>
  <c r="AK338" i="16"/>
  <c r="AK295" i="16"/>
  <c r="AK105" i="16"/>
  <c r="AK299" i="16"/>
  <c r="AK380" i="16"/>
  <c r="AK92" i="16"/>
  <c r="AK277" i="16"/>
  <c r="AK189" i="16"/>
  <c r="AK57" i="16"/>
  <c r="AK351" i="16"/>
  <c r="AK318" i="16"/>
  <c r="AK204" i="16"/>
  <c r="AK126" i="16"/>
  <c r="AK74" i="16"/>
  <c r="AK15" i="16"/>
  <c r="AK326" i="16"/>
  <c r="AK278" i="16"/>
  <c r="AK266" i="16"/>
  <c r="AK194" i="16"/>
  <c r="AK142" i="16"/>
  <c r="AK58" i="16"/>
  <c r="AK31" i="16"/>
  <c r="AK36" i="16"/>
  <c r="AK64" i="16"/>
  <c r="AK68" i="16"/>
  <c r="AK88" i="16"/>
  <c r="AK133" i="16"/>
  <c r="AK85" i="16"/>
  <c r="AK123" i="16"/>
  <c r="AK155" i="16"/>
  <c r="AK178" i="16"/>
  <c r="AK165" i="16"/>
  <c r="AK200" i="16"/>
  <c r="AK227" i="16"/>
  <c r="AK258" i="16"/>
  <c r="AK286" i="16"/>
  <c r="AK312" i="16"/>
  <c r="AK229" i="16"/>
  <c r="AK262" i="16"/>
  <c r="AK304" i="16"/>
  <c r="AK343" i="16"/>
  <c r="AK378" i="16"/>
  <c r="AK348" i="16"/>
  <c r="AK377" i="16"/>
  <c r="AK35" i="16"/>
  <c r="AK79" i="16"/>
  <c r="AK132" i="16"/>
  <c r="AK122" i="16"/>
  <c r="AK177" i="16"/>
  <c r="AK199" i="16"/>
  <c r="AK257" i="16"/>
  <c r="AK311" i="16"/>
  <c r="AK39" i="16"/>
  <c r="AK50" i="16"/>
  <c r="AK103" i="16"/>
  <c r="AK100" i="16"/>
  <c r="AK162" i="16"/>
  <c r="AK179" i="16"/>
  <c r="AK234" i="16"/>
  <c r="AK292" i="16"/>
  <c r="AK239" i="16"/>
  <c r="AK310" i="16"/>
  <c r="AK329" i="16"/>
  <c r="AK17" i="16"/>
  <c r="AK87" i="16"/>
  <c r="AK138" i="16"/>
  <c r="AK210" i="16"/>
  <c r="AK324" i="16"/>
  <c r="AK281" i="16"/>
  <c r="AK356" i="16"/>
  <c r="AK361" i="16"/>
  <c r="AK46" i="16"/>
  <c r="AK81" i="16"/>
  <c r="AK156" i="16"/>
  <c r="AK279" i="16"/>
  <c r="AK293" i="16"/>
  <c r="AK369" i="16"/>
  <c r="AK124" i="16"/>
  <c r="AK313" i="16"/>
  <c r="AK21" i="16"/>
  <c r="AK140" i="16"/>
  <c r="AK214" i="16"/>
  <c r="AK26" i="16"/>
  <c r="AK42" i="16"/>
  <c r="AK95" i="16"/>
  <c r="AK152" i="16"/>
  <c r="AK208" i="16"/>
  <c r="AK274" i="16"/>
  <c r="AK291" i="16"/>
  <c r="AK367" i="16"/>
  <c r="AK107" i="16"/>
  <c r="AK297" i="16"/>
  <c r="AK339" i="16"/>
  <c r="AK20" i="16"/>
  <c r="AK173" i="16"/>
  <c r="AK255" i="16"/>
  <c r="AK134" i="16"/>
  <c r="AK349" i="16"/>
  <c r="AK270" i="16"/>
  <c r="AK115" i="16"/>
  <c r="AK192" i="16"/>
  <c r="AK303" i="16"/>
  <c r="AK334" i="16"/>
  <c r="AK43" i="16"/>
  <c r="AK166" i="16"/>
  <c r="AK226" i="16"/>
  <c r="AK376" i="16"/>
  <c r="AK76" i="16"/>
  <c r="AK193" i="16"/>
  <c r="AK335" i="16"/>
  <c r="AK180" i="16"/>
  <c r="AK29" i="16"/>
  <c r="AK283" i="16"/>
  <c r="AK23" i="16"/>
  <c r="AK47" i="16"/>
  <c r="AK30" i="16"/>
  <c r="AK70" i="16"/>
  <c r="AK91" i="16"/>
  <c r="AK119" i="16"/>
  <c r="AK147" i="16"/>
  <c r="AK112" i="16"/>
  <c r="AK144" i="16"/>
  <c r="AK169" i="16"/>
  <c r="AK201" i="16"/>
  <c r="AK190" i="16"/>
  <c r="AK215" i="16"/>
  <c r="AK244" i="16"/>
  <c r="AK271" i="16"/>
  <c r="AK301" i="16"/>
  <c r="AK216" i="16"/>
  <c r="AK250" i="16"/>
  <c r="AK285" i="16"/>
  <c r="AK325" i="16"/>
  <c r="AK336" i="16"/>
  <c r="AK243" i="16"/>
  <c r="AK117" i="16"/>
  <c r="AK379" i="16"/>
  <c r="AK228" i="16"/>
  <c r="AK99" i="16"/>
  <c r="AK330" i="16"/>
  <c r="AK240" i="16"/>
  <c r="AK236" i="16"/>
  <c r="AK163" i="16"/>
  <c r="AK106" i="16"/>
  <c r="AK40" i="16"/>
  <c r="AK340" i="16"/>
  <c r="AK328" i="16"/>
  <c r="AK252" i="16"/>
  <c r="AK302" i="16"/>
  <c r="AK246" i="16"/>
  <c r="AK191" i="16"/>
  <c r="AK170" i="16"/>
  <c r="AK113" i="16"/>
  <c r="AK120" i="16"/>
  <c r="AK71" i="16"/>
  <c r="AE11" i="16"/>
  <c r="AK28" i="16"/>
  <c r="AK78" i="16"/>
  <c r="AK131" i="16"/>
  <c r="AK118" i="16"/>
  <c r="AK175" i="16"/>
  <c r="AK196" i="16"/>
  <c r="AK254" i="16"/>
  <c r="AK307" i="16"/>
  <c r="AK256" i="16"/>
  <c r="AK337" i="16"/>
  <c r="AK375" i="16"/>
  <c r="AK344" i="16"/>
  <c r="AK372" i="16"/>
  <c r="AK48" i="16"/>
  <c r="AK93" i="16"/>
  <c r="AK149" i="16"/>
  <c r="AK217" i="16"/>
  <c r="AK219" i="16"/>
  <c r="AK370" i="16"/>
  <c r="AK51" i="16"/>
  <c r="AK181" i="16"/>
  <c r="AK314" i="16"/>
  <c r="AK157" i="16"/>
  <c r="AK45" i="16"/>
  <c r="AK248" i="16"/>
  <c r="AK308" i="16"/>
  <c r="AK233" i="16"/>
  <c r="AK288" i="16"/>
  <c r="AK230" i="16"/>
  <c r="AK174" i="16"/>
  <c r="AK158" i="16"/>
  <c r="AK94" i="16"/>
  <c r="AK101" i="16"/>
  <c r="AK66" i="16"/>
  <c r="AK34" i="16"/>
  <c r="AK198" i="16"/>
  <c r="AK53" i="16"/>
  <c r="AK116" i="16"/>
  <c r="AK300" i="16"/>
  <c r="AK110" i="16"/>
  <c r="AK253" i="16"/>
  <c r="AK172" i="16"/>
  <c r="AK146" i="16"/>
  <c r="AK342" i="16"/>
  <c r="AK129" i="16"/>
  <c r="AK261" i="16"/>
  <c r="AK61" i="16"/>
  <c r="AK220" i="16"/>
  <c r="AK150" i="16"/>
  <c r="AK75" i="16"/>
  <c r="AK364" i="16"/>
  <c r="AK90" i="16"/>
  <c r="AK202" i="16"/>
  <c r="AK374" i="16"/>
  <c r="AK221" i="16"/>
  <c r="AK96" i="16"/>
  <c r="AK332" i="16"/>
  <c r="AK245" i="16"/>
  <c r="AK195" i="16"/>
  <c r="AK60" i="16"/>
  <c r="AK352" i="16"/>
  <c r="AK320" i="16"/>
  <c r="AK205" i="16"/>
  <c r="AK127" i="16"/>
  <c r="AK77" i="16"/>
  <c r="AK16" i="16"/>
  <c r="AK224" i="16"/>
  <c r="AK154" i="16"/>
  <c r="AK86" i="16"/>
  <c r="AK25" i="16"/>
  <c r="AK333" i="16"/>
  <c r="AK319" i="16"/>
  <c r="AK247" i="16"/>
  <c r="AK298" i="16"/>
  <c r="AK241" i="16"/>
  <c r="AK187" i="16"/>
  <c r="AK167" i="16"/>
  <c r="AK109" i="16"/>
  <c r="AK114" i="16"/>
  <c r="AK67" i="16"/>
  <c r="AK44" i="16"/>
  <c r="AK83" i="16"/>
  <c r="AK209" i="16"/>
  <c r="AK346" i="16"/>
  <c r="AK55" i="16"/>
  <c r="AK184" i="16"/>
  <c r="AK275" i="16"/>
  <c r="AK141" i="16"/>
  <c r="AK358" i="16"/>
  <c r="AK111" i="16"/>
  <c r="AK183" i="16"/>
  <c r="AK37" i="16"/>
  <c r="AK235" i="16"/>
  <c r="AK353" i="16"/>
  <c r="AK65" i="16"/>
  <c r="AK188" i="16"/>
  <c r="AK108" i="16"/>
  <c r="AK289" i="16"/>
  <c r="AK164" i="16"/>
  <c r="O11" i="7"/>
  <c r="BZ9" i="7"/>
  <c r="BW10" i="7"/>
  <c r="L382" i="22"/>
  <c r="L383" i="22"/>
  <c r="D382" i="15"/>
  <c r="AJ8" i="1"/>
  <c r="L382" i="20"/>
  <c r="L381" i="20"/>
  <c r="L382" i="25"/>
  <c r="L381" i="25"/>
  <c r="L383" i="25"/>
  <c r="AC12" i="16"/>
  <c r="AC12" i="17"/>
  <c r="D9" i="15"/>
  <c r="D11" i="15" s="1"/>
  <c r="E36" i="19" s="1"/>
  <c r="D383" i="1"/>
  <c r="D383" i="15"/>
  <c r="BH207" i="6"/>
  <c r="BH199" i="6"/>
  <c r="BH166" i="6"/>
  <c r="BH242" i="6"/>
  <c r="BH167" i="6"/>
  <c r="BH196" i="6"/>
  <c r="AJ19" i="20"/>
  <c r="D9" i="16"/>
  <c r="D11" i="16" s="1"/>
  <c r="E37" i="19" s="1"/>
  <c r="D381" i="16"/>
  <c r="D383" i="16"/>
  <c r="D382" i="16"/>
  <c r="J183" i="6"/>
  <c r="T39" i="6"/>
  <c r="T38" i="6" s="1"/>
  <c r="T40" i="6" s="1"/>
  <c r="L35" i="19"/>
  <c r="O11" i="16"/>
  <c r="O12" i="15"/>
  <c r="BH139" i="6"/>
  <c r="BH231" i="6"/>
  <c r="BH380" i="6"/>
  <c r="BH106" i="6"/>
  <c r="BH353" i="6"/>
  <c r="BH267" i="6"/>
  <c r="BH19" i="6"/>
  <c r="BH368" i="6"/>
  <c r="Q13" i="7"/>
  <c r="J13" i="7"/>
  <c r="AC9" i="16"/>
  <c r="AC12" i="15"/>
  <c r="AC35" i="15" s="1"/>
  <c r="O11" i="17"/>
  <c r="O12" i="18"/>
  <c r="AJ270" i="20"/>
  <c r="O10" i="17"/>
  <c r="P11" i="17"/>
  <c r="T15" i="7"/>
  <c r="AE11" i="15"/>
  <c r="L12" i="19"/>
  <c r="P10" i="15"/>
  <c r="AI11" i="15"/>
  <c r="X54" i="6"/>
  <c r="X53" i="6" s="1"/>
  <c r="X55" i="6" s="1"/>
  <c r="AJ8" i="17"/>
  <c r="AJ5" i="17"/>
  <c r="O9" i="22"/>
  <c r="AJ6" i="17"/>
  <c r="AJ7" i="17"/>
  <c r="O10" i="15"/>
  <c r="AC10" i="15"/>
  <c r="AJ291" i="20"/>
  <c r="AJ273" i="20"/>
  <c r="AJ230" i="20"/>
  <c r="AJ129" i="20"/>
  <c r="AJ144" i="20"/>
  <c r="AJ55" i="20"/>
  <c r="AJ363" i="20"/>
  <c r="AJ240" i="20"/>
  <c r="AJ326" i="20"/>
  <c r="AJ304" i="20"/>
  <c r="AJ134" i="20"/>
  <c r="AJ264" i="20"/>
  <c r="AJ48" i="20"/>
  <c r="AJ356" i="20"/>
  <c r="AJ348" i="20"/>
  <c r="AJ285" i="20"/>
  <c r="AJ219" i="20"/>
  <c r="AJ369" i="20"/>
  <c r="AJ306" i="20"/>
  <c r="AJ245" i="20"/>
  <c r="AJ287" i="20"/>
  <c r="AJ168" i="20"/>
  <c r="AJ110" i="20"/>
  <c r="AJ21" i="20"/>
  <c r="AJ228" i="20"/>
  <c r="AJ155" i="20"/>
  <c r="AJ102" i="20"/>
  <c r="AJ345" i="20"/>
  <c r="AJ370" i="20"/>
  <c r="AJ338" i="20"/>
  <c r="AJ307" i="20"/>
  <c r="AJ278" i="20"/>
  <c r="AJ246" i="20"/>
  <c r="AJ377" i="20"/>
  <c r="AJ339" i="20"/>
  <c r="AJ362" i="20"/>
  <c r="AJ332" i="20"/>
  <c r="AJ295" i="20"/>
  <c r="AJ267" i="20"/>
  <c r="AJ238" i="20"/>
  <c r="AJ314" i="20"/>
  <c r="AJ280" i="20"/>
  <c r="AJ215" i="20"/>
  <c r="AJ207" i="20"/>
  <c r="AJ147" i="20"/>
  <c r="AJ93" i="20"/>
  <c r="AJ60" i="20"/>
  <c r="AJ226" i="20"/>
  <c r="AJ281" i="20"/>
  <c r="AJ209" i="20"/>
  <c r="AJ202" i="20"/>
  <c r="AJ142" i="20"/>
  <c r="AJ83" i="20"/>
  <c r="AJ76" i="20"/>
  <c r="AJ38" i="20"/>
  <c r="AJ59" i="20"/>
  <c r="AJ47" i="20"/>
  <c r="AJ80" i="20"/>
  <c r="AJ88" i="20"/>
  <c r="AJ137" i="20"/>
  <c r="AJ58" i="20"/>
  <c r="AJ79" i="20"/>
  <c r="AJ133" i="20"/>
  <c r="AJ106" i="20"/>
  <c r="AJ125" i="20"/>
  <c r="AJ138" i="20"/>
  <c r="AJ153" i="20"/>
  <c r="AJ166" i="20"/>
  <c r="AJ183" i="20"/>
  <c r="AJ200" i="20"/>
  <c r="AJ157" i="20"/>
  <c r="AJ173" i="20"/>
  <c r="AJ188" i="20"/>
  <c r="AJ205" i="20"/>
  <c r="AJ225" i="20"/>
  <c r="AJ242" i="20"/>
  <c r="AJ261" i="20"/>
  <c r="AJ277" i="20"/>
  <c r="AJ299" i="20"/>
  <c r="AJ312" i="20"/>
  <c r="AJ323" i="20"/>
  <c r="AJ223" i="20"/>
  <c r="AF13" i="7"/>
  <c r="AJ41" i="20"/>
  <c r="AJ214" i="20"/>
  <c r="AJ195" i="20"/>
  <c r="AJ192" i="20"/>
  <c r="AJ296" i="20"/>
  <c r="AJ260" i="20"/>
  <c r="AJ29" i="20"/>
  <c r="AJ316" i="20"/>
  <c r="AJ344" i="20"/>
  <c r="AJ276" i="20"/>
  <c r="AJ234" i="20"/>
  <c r="AJ77" i="20"/>
  <c r="AJ159" i="20"/>
  <c r="AJ49" i="20"/>
  <c r="AJ328" i="20"/>
  <c r="AJ327" i="20"/>
  <c r="AJ263" i="20"/>
  <c r="AJ354" i="20"/>
  <c r="AJ347" i="20"/>
  <c r="AJ283" i="20"/>
  <c r="AJ216" i="20"/>
  <c r="AJ256" i="20"/>
  <c r="AJ177" i="20"/>
  <c r="AJ104" i="20"/>
  <c r="AJ315" i="20"/>
  <c r="AJ176" i="20"/>
  <c r="AJ112" i="20"/>
  <c r="AJ28" i="20"/>
  <c r="AJ18" i="20"/>
  <c r="AJ51" i="20"/>
  <c r="AJ84" i="20"/>
  <c r="AJ37" i="20"/>
  <c r="AJ97" i="20"/>
  <c r="AJ119" i="20"/>
  <c r="AJ146" i="20"/>
  <c r="AJ175" i="20"/>
  <c r="AJ206" i="20"/>
  <c r="AJ180" i="20"/>
  <c r="AJ213" i="20"/>
  <c r="AJ251" i="20"/>
  <c r="AJ286" i="20"/>
  <c r="AJ319" i="20"/>
  <c r="AJ232" i="20"/>
  <c r="AJ31" i="20"/>
  <c r="AJ54" i="20"/>
  <c r="AJ68" i="20"/>
  <c r="AJ86" i="20"/>
  <c r="AJ113" i="20"/>
  <c r="AJ148" i="20"/>
  <c r="AJ100" i="20"/>
  <c r="AJ116" i="20"/>
  <c r="AJ124" i="20"/>
  <c r="AJ136" i="20"/>
  <c r="AJ152" i="20"/>
  <c r="AJ164" i="20"/>
  <c r="AJ181" i="20"/>
  <c r="AJ199" i="20"/>
  <c r="AJ211" i="20"/>
  <c r="AJ171" i="20"/>
  <c r="AJ187" i="20"/>
  <c r="AJ204" i="20"/>
  <c r="AJ220" i="20"/>
  <c r="AJ241" i="20"/>
  <c r="AJ258" i="20"/>
  <c r="AJ272" i="20"/>
  <c r="AJ297" i="20"/>
  <c r="AJ309" i="20"/>
  <c r="AJ322" i="20"/>
  <c r="AJ236" i="20"/>
  <c r="AJ250" i="20"/>
  <c r="AJ265" i="20"/>
  <c r="AJ279" i="20"/>
  <c r="AJ293" i="20"/>
  <c r="AJ310" i="20"/>
  <c r="AJ330" i="20"/>
  <c r="AJ341" i="20"/>
  <c r="AJ360" i="20"/>
  <c r="AJ371" i="20"/>
  <c r="AJ329" i="20"/>
  <c r="AJ350" i="20"/>
  <c r="AJ365" i="20"/>
  <c r="AJ224" i="20"/>
  <c r="AJ244" i="20"/>
  <c r="AJ259" i="20"/>
  <c r="AJ275" i="20"/>
  <c r="AJ290" i="20"/>
  <c r="AJ305" i="20"/>
  <c r="AJ325" i="20"/>
  <c r="AJ335" i="20"/>
  <c r="AJ351" i="20"/>
  <c r="AJ367" i="20"/>
  <c r="AJ376" i="20"/>
  <c r="AJ343" i="20"/>
  <c r="AJ358" i="20"/>
  <c r="AJ33" i="20"/>
  <c r="AJ64" i="20"/>
  <c r="AJ92" i="20"/>
  <c r="AJ16" i="20"/>
  <c r="AJ108" i="20"/>
  <c r="AJ123" i="20"/>
  <c r="AJ151" i="20"/>
  <c r="AJ178" i="20"/>
  <c r="AJ210" i="20"/>
  <c r="AJ184" i="20"/>
  <c r="AJ217" i="20"/>
  <c r="AJ257" i="20"/>
  <c r="AJ288" i="20"/>
  <c r="AJ321" i="20"/>
  <c r="AJ235" i="20"/>
  <c r="AJ56" i="20"/>
  <c r="AJ75" i="20"/>
  <c r="AJ128" i="20"/>
  <c r="AJ103" i="20"/>
  <c r="AJ126" i="20"/>
  <c r="AJ154" i="20"/>
  <c r="AJ185" i="20"/>
  <c r="AJ158" i="20"/>
  <c r="AJ189" i="20"/>
  <c r="AJ227" i="20"/>
  <c r="AJ262" i="20"/>
  <c r="AJ25" i="20"/>
  <c r="AJ36" i="20"/>
  <c r="AJ23" i="20"/>
  <c r="AJ57" i="20"/>
  <c r="AJ40" i="20"/>
  <c r="AJ39" i="20"/>
  <c r="AJ63" i="20"/>
  <c r="AJ78" i="20"/>
  <c r="AJ81" i="20"/>
  <c r="AJ96" i="20"/>
  <c r="AJ105" i="20"/>
  <c r="AJ130" i="20"/>
  <c r="AJ32" i="20"/>
  <c r="AJ42" i="20"/>
  <c r="AJ62" i="20"/>
  <c r="AJ70" i="20"/>
  <c r="AJ89" i="20"/>
  <c r="AJ115" i="20"/>
  <c r="AJ149" i="20"/>
  <c r="AJ101" i="20"/>
  <c r="AJ117" i="20"/>
  <c r="AJ340" i="20"/>
  <c r="AJ333" i="20"/>
  <c r="AJ353" i="20"/>
  <c r="AJ378" i="20"/>
  <c r="AJ379" i="20"/>
  <c r="AJ196" i="20"/>
  <c r="AJ186" i="20"/>
  <c r="AJ374" i="20"/>
  <c r="AJ254" i="20"/>
  <c r="AJ320" i="20"/>
  <c r="AJ301" i="20"/>
  <c r="AJ364" i="20"/>
  <c r="AJ292" i="20"/>
  <c r="AJ373" i="20"/>
  <c r="AJ253" i="20"/>
  <c r="AJ182" i="20"/>
  <c r="AJ22" i="20"/>
  <c r="AJ169" i="20"/>
  <c r="AJ67" i="20"/>
  <c r="AJ44" i="20"/>
  <c r="AJ132" i="20"/>
  <c r="AJ191" i="20"/>
  <c r="AJ194" i="20"/>
  <c r="AJ269" i="20"/>
  <c r="AJ218" i="20"/>
  <c r="AJ17" i="20"/>
  <c r="AJ72" i="20"/>
  <c r="AJ140" i="20"/>
  <c r="AJ107" i="20"/>
  <c r="AJ131" i="20"/>
  <c r="AJ156" i="20"/>
  <c r="AJ190" i="20"/>
  <c r="AJ160" i="20"/>
  <c r="AJ193" i="20"/>
  <c r="AJ229" i="20"/>
  <c r="AJ268" i="20"/>
  <c r="AJ302" i="20"/>
  <c r="AJ222" i="20"/>
  <c r="AJ255" i="20"/>
  <c r="AJ289" i="20"/>
  <c r="AJ318" i="20"/>
  <c r="AJ349" i="20"/>
  <c r="AJ375" i="20"/>
  <c r="AJ357" i="20"/>
  <c r="AJ237" i="20"/>
  <c r="AJ266" i="20"/>
  <c r="AJ294" i="20"/>
  <c r="AJ331" i="20"/>
  <c r="AJ361" i="20"/>
  <c r="AJ336" i="20"/>
  <c r="AJ368" i="20"/>
  <c r="AJ71" i="20"/>
  <c r="AJ65" i="20"/>
  <c r="AJ135" i="20"/>
  <c r="AJ197" i="20"/>
  <c r="AJ198" i="20"/>
  <c r="AJ271" i="20"/>
  <c r="AJ221" i="20"/>
  <c r="AJ66" i="20"/>
  <c r="AJ150" i="20"/>
  <c r="AJ139" i="20"/>
  <c r="AJ201" i="20"/>
  <c r="AJ208" i="20"/>
  <c r="F7" i="20"/>
  <c r="AJ43" i="20"/>
  <c r="AJ20" i="20"/>
  <c r="AJ52" i="20"/>
  <c r="AJ73" i="20"/>
  <c r="AJ95" i="20"/>
  <c r="AJ15" i="20"/>
  <c r="AJ24" i="20"/>
  <c r="AJ74" i="20"/>
  <c r="AJ141" i="20"/>
  <c r="AJ109" i="20"/>
  <c r="AJ337" i="20"/>
  <c r="AJ162" i="20"/>
  <c r="AJ145" i="20"/>
  <c r="AJ355" i="20"/>
  <c r="AJ233" i="20"/>
  <c r="AJ313" i="20"/>
  <c r="AJ300" i="20"/>
  <c r="AJ122" i="20"/>
  <c r="AJ248" i="20"/>
  <c r="AJ380" i="20"/>
  <c r="AJ30" i="20"/>
  <c r="AJ111" i="20"/>
  <c r="AJ82" i="20"/>
  <c r="AJ161" i="20"/>
  <c r="AJ165" i="20"/>
  <c r="AJ231" i="20"/>
  <c r="AJ303" i="20"/>
  <c r="AJ26" i="20"/>
  <c r="AJ50" i="20"/>
  <c r="AJ90" i="20"/>
  <c r="AJ85" i="20"/>
  <c r="AJ120" i="20"/>
  <c r="AJ143" i="20"/>
  <c r="AJ172" i="20"/>
  <c r="AJ203" i="20"/>
  <c r="AJ179" i="20"/>
  <c r="AJ212" i="20"/>
  <c r="AJ249" i="20"/>
  <c r="AJ284" i="20"/>
  <c r="AJ317" i="20"/>
  <c r="AJ243" i="20"/>
  <c r="AJ274" i="20"/>
  <c r="AJ298" i="20"/>
  <c r="AJ334" i="20"/>
  <c r="AJ366" i="20"/>
  <c r="AJ342" i="20"/>
  <c r="AJ324" i="20"/>
  <c r="AJ252" i="20"/>
  <c r="AJ282" i="20"/>
  <c r="AJ311" i="20"/>
  <c r="AJ346" i="20"/>
  <c r="AJ372" i="20"/>
  <c r="AJ352" i="20"/>
  <c r="AJ46" i="20"/>
  <c r="AJ127" i="20"/>
  <c r="AJ99" i="20"/>
  <c r="AJ163" i="20"/>
  <c r="AJ170" i="20"/>
  <c r="AJ239" i="20"/>
  <c r="AJ308" i="20"/>
  <c r="AJ35" i="20"/>
  <c r="AJ94" i="20"/>
  <c r="AJ118" i="20"/>
  <c r="AJ167" i="20"/>
  <c r="AJ174" i="20"/>
  <c r="AJ247" i="20"/>
  <c r="AJ27" i="20"/>
  <c r="AJ34" i="20"/>
  <c r="AJ61" i="20"/>
  <c r="AJ69" i="20"/>
  <c r="AJ87" i="20"/>
  <c r="AJ114" i="20"/>
  <c r="AJ45" i="20"/>
  <c r="AJ53" i="20"/>
  <c r="AJ98" i="20"/>
  <c r="AJ91" i="20"/>
  <c r="AJ121" i="20"/>
  <c r="AJ6" i="16"/>
  <c r="W13" i="7"/>
  <c r="AJ8" i="16"/>
  <c r="J177" i="6"/>
  <c r="AN24" i="6"/>
  <c r="AN23" i="6" s="1"/>
  <c r="AN25" i="6" s="1"/>
  <c r="Z50" i="6"/>
  <c r="AA48" i="6"/>
  <c r="AA54" i="6" s="1"/>
  <c r="AA53" i="6" s="1"/>
  <c r="AA55" i="6" s="1"/>
  <c r="BH49" i="6"/>
  <c r="U11" i="1"/>
  <c r="U10" i="1"/>
  <c r="AI246" i="1" s="1"/>
  <c r="AH246" i="1" s="1"/>
  <c r="AG246" i="1" s="1"/>
  <c r="AF246" i="1" s="1"/>
  <c r="BH369" i="6"/>
  <c r="BH311" i="6"/>
  <c r="BH36" i="6"/>
  <c r="BH89" i="6"/>
  <c r="BH228" i="6"/>
  <c r="BH34" i="6"/>
  <c r="BH234" i="6"/>
  <c r="BH27" i="6"/>
  <c r="BH317" i="6"/>
  <c r="BH104" i="6"/>
  <c r="BH110" i="6"/>
  <c r="BH243" i="6"/>
  <c r="BH42" i="6"/>
  <c r="BH224" i="6"/>
  <c r="BH287" i="6"/>
  <c r="BH206" i="6"/>
  <c r="BH63" i="6"/>
  <c r="BH16" i="6"/>
  <c r="AJ5" i="16"/>
  <c r="AJ6" i="15"/>
  <c r="BW16" i="7"/>
  <c r="BK16" i="7"/>
  <c r="C16" i="7"/>
  <c r="U180" i="1"/>
  <c r="T180" i="1" s="1"/>
  <c r="S180" i="1" s="1"/>
  <c r="R180" i="1" s="1"/>
  <c r="BQ16" i="7"/>
  <c r="AI80" i="1"/>
  <c r="AH80" i="1" s="1"/>
  <c r="AG80" i="1" s="1"/>
  <c r="AF80" i="1" s="1"/>
  <c r="AJ7" i="16"/>
  <c r="BH48" i="6"/>
  <c r="BH83" i="6"/>
  <c r="BH188" i="6"/>
  <c r="BH21" i="6"/>
  <c r="BH181" i="6"/>
  <c r="BH319" i="6"/>
  <c r="BH362" i="6"/>
  <c r="BH332" i="6"/>
  <c r="BH249" i="6"/>
  <c r="BH293" i="6"/>
  <c r="BH340" i="6"/>
  <c r="BH348" i="6"/>
  <c r="BH212" i="6"/>
  <c r="BH179" i="6"/>
  <c r="BH142" i="6"/>
  <c r="BH190" i="6"/>
  <c r="BH250" i="6"/>
  <c r="BH153" i="6"/>
  <c r="BH269" i="6"/>
  <c r="BH24" i="6"/>
  <c r="BH155" i="6"/>
  <c r="BH189" i="6"/>
  <c r="BH103" i="6"/>
  <c r="BH281" i="6"/>
  <c r="BH306" i="6"/>
  <c r="BH109" i="6"/>
  <c r="BH277" i="6"/>
  <c r="BH149" i="6"/>
  <c r="BH210" i="6"/>
  <c r="BH217" i="6"/>
  <c r="BH266" i="6"/>
  <c r="BH118" i="6"/>
  <c r="BH163" i="6"/>
  <c r="BH256" i="6"/>
  <c r="BH173" i="6"/>
  <c r="BH294" i="6"/>
  <c r="Q312" i="15"/>
  <c r="J186" i="6"/>
  <c r="J68" i="6"/>
  <c r="I116" i="6"/>
  <c r="I148" i="6"/>
  <c r="I140" i="6"/>
  <c r="I189" i="6"/>
  <c r="J189" i="6" s="1"/>
  <c r="I97" i="6"/>
  <c r="I164" i="6"/>
  <c r="I33" i="6"/>
  <c r="I89" i="6"/>
  <c r="I123" i="6"/>
  <c r="I74" i="6"/>
  <c r="I65" i="6"/>
  <c r="I203" i="6"/>
  <c r="I222" i="6"/>
  <c r="I202" i="6"/>
  <c r="I219" i="6"/>
  <c r="I237" i="6"/>
  <c r="I239" i="6"/>
  <c r="I223" i="6"/>
  <c r="I262" i="6"/>
  <c r="I226" i="6"/>
  <c r="I231" i="6"/>
  <c r="R39" i="6"/>
  <c r="R38" i="6" s="1"/>
  <c r="R40" i="6" s="1"/>
  <c r="J231" i="6"/>
  <c r="J233" i="6"/>
  <c r="J268" i="6"/>
  <c r="J164" i="6"/>
  <c r="J178" i="6"/>
  <c r="J226" i="6"/>
  <c r="J359" i="6"/>
  <c r="J358" i="6"/>
  <c r="W39" i="6"/>
  <c r="W38" i="6" s="1"/>
  <c r="W40" i="6" s="1"/>
  <c r="J221" i="6"/>
  <c r="J116" i="6"/>
  <c r="J119" i="6"/>
  <c r="J111" i="6"/>
  <c r="J262" i="6"/>
  <c r="J123" i="6"/>
  <c r="J126" i="6"/>
  <c r="J166" i="6"/>
  <c r="J172" i="6"/>
  <c r="J232" i="6"/>
  <c r="J227" i="6"/>
  <c r="J219" i="6"/>
  <c r="J369" i="6"/>
  <c r="J362" i="6"/>
  <c r="Y39" i="6"/>
  <c r="Y38" i="6" s="1"/>
  <c r="Y40" i="6" s="1"/>
  <c r="J222" i="6"/>
  <c r="J287" i="6"/>
  <c r="J171" i="6"/>
  <c r="J130" i="6"/>
  <c r="J117" i="6"/>
  <c r="J124" i="6"/>
  <c r="J163" i="6"/>
  <c r="J237" i="6"/>
  <c r="J245" i="6"/>
  <c r="J239" i="6"/>
  <c r="J223" i="6"/>
  <c r="AJ8" i="15"/>
  <c r="O11" i="18"/>
  <c r="BH257" i="6"/>
  <c r="BH107" i="6"/>
  <c r="BH174" i="6"/>
  <c r="BH51" i="6"/>
  <c r="BH328" i="6"/>
  <c r="BH237" i="6"/>
  <c r="BH211" i="6"/>
  <c r="BH93" i="6"/>
  <c r="BH164" i="6"/>
  <c r="BH371" i="6"/>
  <c r="BH263" i="6"/>
  <c r="BH101" i="6"/>
  <c r="BH77" i="6"/>
  <c r="BH374" i="6"/>
  <c r="BH170" i="6"/>
  <c r="BH213" i="6"/>
  <c r="BH18" i="6"/>
  <c r="BH176" i="6"/>
  <c r="BH352" i="6"/>
  <c r="BH86" i="6"/>
  <c r="AJ7" i="15"/>
  <c r="AJ5" i="15"/>
  <c r="O24" i="15"/>
  <c r="E24" i="15" s="1"/>
  <c r="O38" i="15"/>
  <c r="E38" i="15" s="1"/>
  <c r="O44" i="15"/>
  <c r="E44" i="15" s="1"/>
  <c r="O46" i="15"/>
  <c r="E46" i="15" s="1"/>
  <c r="O33" i="15"/>
  <c r="E33" i="15" s="1"/>
  <c r="O43" i="15"/>
  <c r="E43" i="15" s="1"/>
  <c r="O73" i="15"/>
  <c r="E73" i="15" s="1"/>
  <c r="O100" i="15"/>
  <c r="E100" i="15" s="1"/>
  <c r="O29" i="15"/>
  <c r="O55" i="15"/>
  <c r="E55" i="15" s="1"/>
  <c r="O85" i="15"/>
  <c r="E85" i="15" s="1"/>
  <c r="O92" i="15"/>
  <c r="E92" i="15" s="1"/>
  <c r="O104" i="15"/>
  <c r="E104" i="15" s="1"/>
  <c r="O27" i="15"/>
  <c r="E27" i="15" s="1"/>
  <c r="O113" i="15"/>
  <c r="E113" i="15" s="1"/>
  <c r="O31" i="15"/>
  <c r="E31" i="15" s="1"/>
  <c r="O48" i="15"/>
  <c r="E48" i="15" s="1"/>
  <c r="O25" i="15"/>
  <c r="E25" i="15" s="1"/>
  <c r="O61" i="15"/>
  <c r="E61" i="15" s="1"/>
  <c r="O72" i="15"/>
  <c r="E72" i="15" s="1"/>
  <c r="O75" i="15"/>
  <c r="E75" i="15" s="1"/>
  <c r="O93" i="15"/>
  <c r="E93" i="15" s="1"/>
  <c r="O98" i="15"/>
  <c r="E98" i="15" s="1"/>
  <c r="O127" i="15"/>
  <c r="E127" i="15" s="1"/>
  <c r="O131" i="15"/>
  <c r="E131" i="15" s="1"/>
  <c r="O133" i="15"/>
  <c r="E133" i="15" s="1"/>
  <c r="O153" i="15"/>
  <c r="E153" i="15" s="1"/>
  <c r="O159" i="15"/>
  <c r="E159" i="15" s="1"/>
  <c r="O161" i="15"/>
  <c r="E161" i="15" s="1"/>
  <c r="O163" i="15"/>
  <c r="E163" i="15" s="1"/>
  <c r="O169" i="15"/>
  <c r="E169" i="15" s="1"/>
  <c r="O173" i="15"/>
  <c r="E173" i="15" s="1"/>
  <c r="O175" i="15"/>
  <c r="E175" i="15" s="1"/>
  <c r="O177" i="15"/>
  <c r="E177" i="15" s="1"/>
  <c r="O67" i="15"/>
  <c r="E67" i="15" s="1"/>
  <c r="O207" i="15"/>
  <c r="E207" i="15" s="1"/>
  <c r="O197" i="15"/>
  <c r="E197" i="15" s="1"/>
  <c r="O209" i="15"/>
  <c r="E209" i="15" s="1"/>
  <c r="O214" i="15"/>
  <c r="E214" i="15" s="1"/>
  <c r="O193" i="15"/>
  <c r="E193" i="15" s="1"/>
  <c r="O189" i="15"/>
  <c r="E189" i="15" s="1"/>
  <c r="O225" i="15"/>
  <c r="E225" i="15" s="1"/>
  <c r="O182" i="15"/>
  <c r="E182" i="15" s="1"/>
  <c r="O194" i="15"/>
  <c r="E194" i="15" s="1"/>
  <c r="O208" i="15"/>
  <c r="E208" i="15" s="1"/>
  <c r="O195" i="15"/>
  <c r="E195" i="15" s="1"/>
  <c r="O213" i="15"/>
  <c r="E213" i="15" s="1"/>
  <c r="O226" i="15"/>
  <c r="E226" i="15" s="1"/>
  <c r="O188" i="15"/>
  <c r="E188" i="15" s="1"/>
  <c r="O180" i="15"/>
  <c r="O219" i="15"/>
  <c r="E219" i="15" s="1"/>
  <c r="O218" i="15"/>
  <c r="E218" i="15" s="1"/>
  <c r="O192" i="15"/>
  <c r="E192" i="15" s="1"/>
  <c r="O204" i="15"/>
  <c r="E204" i="15" s="1"/>
  <c r="O187" i="15"/>
  <c r="E187" i="15" s="1"/>
  <c r="O211" i="15"/>
  <c r="E211" i="15" s="1"/>
  <c r="O224" i="15"/>
  <c r="E224" i="15" s="1"/>
  <c r="O34" i="15"/>
  <c r="E34" i="15" s="1"/>
  <c r="O125" i="15"/>
  <c r="E125" i="15" s="1"/>
  <c r="O39" i="15"/>
  <c r="E39" i="15" s="1"/>
  <c r="O91" i="15"/>
  <c r="E91" i="15" s="1"/>
  <c r="O103" i="15"/>
  <c r="E103" i="15" s="1"/>
  <c r="O19" i="15"/>
  <c r="E19" i="15" s="1"/>
  <c r="O99" i="15"/>
  <c r="E99" i="15" s="1"/>
  <c r="O52" i="15"/>
  <c r="E52" i="15" s="1"/>
  <c r="O155" i="15"/>
  <c r="E155" i="15" s="1"/>
  <c r="O65" i="15"/>
  <c r="E65" i="15" s="1"/>
  <c r="O78" i="15"/>
  <c r="E78" i="15" s="1"/>
  <c r="O129" i="15"/>
  <c r="E129" i="15" s="1"/>
  <c r="O167" i="15"/>
  <c r="E167" i="15" s="1"/>
  <c r="O88" i="15"/>
  <c r="O45" i="15"/>
  <c r="E45" i="15" s="1"/>
  <c r="O53" i="15"/>
  <c r="E53" i="15" s="1"/>
  <c r="O105" i="15"/>
  <c r="E105" i="15" s="1"/>
  <c r="O107" i="15"/>
  <c r="E107" i="15" s="1"/>
  <c r="O121" i="15"/>
  <c r="E121" i="15" s="1"/>
  <c r="O137" i="15"/>
  <c r="E137" i="15" s="1"/>
  <c r="O143" i="15"/>
  <c r="E143" i="15" s="1"/>
  <c r="O171" i="15"/>
  <c r="E171" i="15" s="1"/>
  <c r="O49" i="15"/>
  <c r="E49" i="15" s="1"/>
  <c r="O57" i="15"/>
  <c r="E57" i="15" s="1"/>
  <c r="O79" i="15"/>
  <c r="E79" i="15" s="1"/>
  <c r="O201" i="15"/>
  <c r="E201" i="15" s="1"/>
  <c r="O21" i="15"/>
  <c r="E21" i="15" s="1"/>
  <c r="O47" i="15"/>
  <c r="E47" i="15" s="1"/>
  <c r="O83" i="15"/>
  <c r="E83" i="15" s="1"/>
  <c r="O51" i="15"/>
  <c r="E51" i="15" s="1"/>
  <c r="O96" i="15"/>
  <c r="E96" i="15" s="1"/>
  <c r="O147" i="15"/>
  <c r="E147" i="15" s="1"/>
  <c r="O16" i="15"/>
  <c r="E16" i="15" s="1"/>
  <c r="O18" i="15"/>
  <c r="E18" i="15" s="1"/>
  <c r="O23" i="15"/>
  <c r="E23" i="15" s="1"/>
  <c r="O37" i="15"/>
  <c r="E37" i="15" s="1"/>
  <c r="O84" i="15"/>
  <c r="E84" i="15" s="1"/>
  <c r="O87" i="15"/>
  <c r="E87" i="15" s="1"/>
  <c r="O109" i="15"/>
  <c r="E109" i="15" s="1"/>
  <c r="O111" i="15"/>
  <c r="E111" i="15" s="1"/>
  <c r="O115" i="15"/>
  <c r="E115" i="15" s="1"/>
  <c r="O117" i="15"/>
  <c r="E117" i="15" s="1"/>
  <c r="O123" i="15"/>
  <c r="E123" i="15" s="1"/>
  <c r="O135" i="15"/>
  <c r="E135" i="15" s="1"/>
  <c r="O151" i="15"/>
  <c r="E151" i="15" s="1"/>
  <c r="O179" i="15"/>
  <c r="E179" i="15" s="1"/>
  <c r="O71" i="15"/>
  <c r="E71" i="15" s="1"/>
  <c r="O196" i="15"/>
  <c r="E196" i="15" s="1"/>
  <c r="O185" i="15"/>
  <c r="E185" i="15" s="1"/>
  <c r="O206" i="15"/>
  <c r="E206" i="15" s="1"/>
  <c r="O200" i="15"/>
  <c r="E200" i="15" s="1"/>
  <c r="O205" i="15"/>
  <c r="E205" i="15" s="1"/>
  <c r="O199" i="15"/>
  <c r="E199" i="15" s="1"/>
  <c r="O198" i="15"/>
  <c r="E198" i="15" s="1"/>
  <c r="O202" i="15"/>
  <c r="E202" i="15" s="1"/>
  <c r="O181" i="15"/>
  <c r="E181" i="15" s="1"/>
  <c r="O190" i="15"/>
  <c r="E190" i="15" s="1"/>
  <c r="O222" i="15"/>
  <c r="E222" i="15" s="1"/>
  <c r="O203" i="15"/>
  <c r="E203" i="15" s="1"/>
  <c r="O210" i="15"/>
  <c r="O217" i="15"/>
  <c r="E217" i="15" s="1"/>
  <c r="O215" i="15"/>
  <c r="E215" i="15" s="1"/>
  <c r="O212" i="15"/>
  <c r="E212" i="15" s="1"/>
  <c r="O183" i="15"/>
  <c r="E183" i="15" s="1"/>
  <c r="O220" i="15"/>
  <c r="E220" i="15" s="1"/>
  <c r="O186" i="15"/>
  <c r="E186" i="15" s="1"/>
  <c r="O216" i="15"/>
  <c r="E216" i="15" s="1"/>
  <c r="O119" i="15"/>
  <c r="O165" i="15"/>
  <c r="E165" i="15" s="1"/>
  <c r="O90" i="15"/>
  <c r="E90" i="15" s="1"/>
  <c r="O50" i="15"/>
  <c r="E50" i="15" s="1"/>
  <c r="O74" i="15"/>
  <c r="E74" i="15" s="1"/>
  <c r="O68" i="15"/>
  <c r="E68" i="15" s="1"/>
  <c r="O30" i="15"/>
  <c r="E30" i="15" s="1"/>
  <c r="O58" i="15"/>
  <c r="E58" i="15" s="1"/>
  <c r="O64" i="15"/>
  <c r="E64" i="15" s="1"/>
  <c r="O40" i="15"/>
  <c r="E40" i="15" s="1"/>
  <c r="O80" i="15"/>
  <c r="E80" i="15" s="1"/>
  <c r="O22" i="15"/>
  <c r="E22" i="15" s="1"/>
  <c r="O26" i="15"/>
  <c r="E26" i="15" s="1"/>
  <c r="O36" i="15"/>
  <c r="E36" i="15" s="1"/>
  <c r="O28" i="15"/>
  <c r="E28" i="15" s="1"/>
  <c r="O41" i="15"/>
  <c r="E41" i="15" s="1"/>
  <c r="O59" i="15"/>
  <c r="E59" i="15" s="1"/>
  <c r="O95" i="15"/>
  <c r="E95" i="15" s="1"/>
  <c r="O110" i="15"/>
  <c r="E110" i="15" s="1"/>
  <c r="O81" i="15"/>
  <c r="E81" i="15" s="1"/>
  <c r="O102" i="15"/>
  <c r="E102" i="15" s="1"/>
  <c r="O56" i="15"/>
  <c r="E56" i="15" s="1"/>
  <c r="O101" i="15"/>
  <c r="E101" i="15" s="1"/>
  <c r="O157" i="15"/>
  <c r="E157" i="15" s="1"/>
  <c r="O66" i="15"/>
  <c r="E66" i="15" s="1"/>
  <c r="O191" i="15"/>
  <c r="E191" i="15" s="1"/>
  <c r="O223" i="15"/>
  <c r="E223" i="15" s="1"/>
  <c r="O116" i="15"/>
  <c r="E116" i="15" s="1"/>
  <c r="O122" i="15"/>
  <c r="E122" i="15" s="1"/>
  <c r="O126" i="15"/>
  <c r="E126" i="15" s="1"/>
  <c r="O136" i="15"/>
  <c r="E136" i="15" s="1"/>
  <c r="O140" i="15"/>
  <c r="E140" i="15" s="1"/>
  <c r="O156" i="15"/>
  <c r="E156" i="15" s="1"/>
  <c r="O162" i="15"/>
  <c r="E162" i="15" s="1"/>
  <c r="O166" i="15"/>
  <c r="E166" i="15" s="1"/>
  <c r="O170" i="15"/>
  <c r="E170" i="15" s="1"/>
  <c r="O172" i="15"/>
  <c r="E172" i="15" s="1"/>
  <c r="O176" i="15"/>
  <c r="E176" i="15" s="1"/>
  <c r="O114" i="15"/>
  <c r="E114" i="15" s="1"/>
  <c r="O124" i="15"/>
  <c r="E124" i="15" s="1"/>
  <c r="O134" i="15"/>
  <c r="E134" i="15" s="1"/>
  <c r="O141" i="15"/>
  <c r="E141" i="15" s="1"/>
  <c r="O144" i="15"/>
  <c r="E144" i="15" s="1"/>
  <c r="O146" i="15"/>
  <c r="E146" i="15" s="1"/>
  <c r="O150" i="15"/>
  <c r="E150" i="15" s="1"/>
  <c r="O158" i="15"/>
  <c r="E158" i="15" s="1"/>
  <c r="O70" i="15"/>
  <c r="E70" i="15" s="1"/>
  <c r="O94" i="15"/>
  <c r="E94" i="15" s="1"/>
  <c r="O42" i="15"/>
  <c r="E42" i="15" s="1"/>
  <c r="O60" i="15"/>
  <c r="O76" i="15"/>
  <c r="E76" i="15" s="1"/>
  <c r="O20" i="15"/>
  <c r="E20" i="15" s="1"/>
  <c r="O62" i="15"/>
  <c r="E62" i="15" s="1"/>
  <c r="O54" i="15"/>
  <c r="E54" i="15" s="1"/>
  <c r="O82" i="15"/>
  <c r="E82" i="15" s="1"/>
  <c r="O149" i="15"/>
  <c r="O32" i="15"/>
  <c r="E32" i="15" s="1"/>
  <c r="O15" i="15"/>
  <c r="O63" i="15"/>
  <c r="E63" i="15" s="1"/>
  <c r="O77" i="15"/>
  <c r="E77" i="15" s="1"/>
  <c r="O89" i="15"/>
  <c r="E89" i="15" s="1"/>
  <c r="O97" i="15"/>
  <c r="E97" i="15" s="1"/>
  <c r="O106" i="15"/>
  <c r="E106" i="15" s="1"/>
  <c r="O17" i="15"/>
  <c r="E17" i="15" s="1"/>
  <c r="O69" i="15"/>
  <c r="E69" i="15" s="1"/>
  <c r="O86" i="15"/>
  <c r="E86" i="15" s="1"/>
  <c r="O108" i="15"/>
  <c r="E108" i="15" s="1"/>
  <c r="O35" i="15"/>
  <c r="E35" i="15" s="1"/>
  <c r="O184" i="15"/>
  <c r="E184" i="15" s="1"/>
  <c r="O221" i="15"/>
  <c r="E221" i="15" s="1"/>
  <c r="O112" i="15"/>
  <c r="E112" i="15" s="1"/>
  <c r="O118" i="15"/>
  <c r="E118" i="15" s="1"/>
  <c r="O130" i="15"/>
  <c r="E130" i="15" s="1"/>
  <c r="O139" i="15"/>
  <c r="E139" i="15" s="1"/>
  <c r="O154" i="15"/>
  <c r="E154" i="15" s="1"/>
  <c r="O164" i="15"/>
  <c r="E164" i="15" s="1"/>
  <c r="O168" i="15"/>
  <c r="E168" i="15" s="1"/>
  <c r="O120" i="15"/>
  <c r="E120" i="15" s="1"/>
  <c r="O128" i="15"/>
  <c r="E128" i="15" s="1"/>
  <c r="O132" i="15"/>
  <c r="E132" i="15" s="1"/>
  <c r="O138" i="15"/>
  <c r="E138" i="15" s="1"/>
  <c r="O142" i="15"/>
  <c r="E142" i="15" s="1"/>
  <c r="O145" i="15"/>
  <c r="E145" i="15" s="1"/>
  <c r="O148" i="15"/>
  <c r="E148" i="15" s="1"/>
  <c r="O152" i="15"/>
  <c r="E152" i="15" s="1"/>
  <c r="O160" i="15"/>
  <c r="E160" i="15" s="1"/>
  <c r="O174" i="15"/>
  <c r="E174" i="15" s="1"/>
  <c r="O178" i="15"/>
  <c r="E178" i="15" s="1"/>
  <c r="AK8" i="1"/>
  <c r="E381" i="1"/>
  <c r="AJ10" i="1"/>
  <c r="AJ12" i="1" s="1"/>
  <c r="AJ13" i="1" s="1"/>
  <c r="E9" i="1"/>
  <c r="E382" i="1"/>
  <c r="E383" i="1"/>
  <c r="R54" i="6"/>
  <c r="R53" i="6" s="1"/>
  <c r="R55" i="6" s="1"/>
  <c r="AV72" i="6"/>
  <c r="AV40" i="6"/>
  <c r="AU65" i="6"/>
  <c r="AW65" i="6" s="1"/>
  <c r="AU48" i="6"/>
  <c r="AW48" i="6" s="1"/>
  <c r="AV62" i="6"/>
  <c r="AV89" i="6"/>
  <c r="AU85" i="6"/>
  <c r="AW85" i="6" s="1"/>
  <c r="AX85" i="6" s="1"/>
  <c r="AU69" i="6"/>
  <c r="AW69" i="6" s="1"/>
  <c r="AU86" i="6"/>
  <c r="AW86" i="6" s="1"/>
  <c r="AX86" i="6" s="1"/>
  <c r="AV52" i="6"/>
  <c r="AU51" i="6"/>
  <c r="AW51" i="6" s="1"/>
  <c r="AV50" i="6"/>
  <c r="AU56" i="6"/>
  <c r="AW56" i="6" s="1"/>
  <c r="AX56" i="6" s="1"/>
  <c r="AV47" i="6"/>
  <c r="AU75" i="6"/>
  <c r="AW75" i="6" s="1"/>
  <c r="AU45" i="6"/>
  <c r="AW45" i="6" s="1"/>
  <c r="AU42" i="6"/>
  <c r="AW42" i="6" s="1"/>
  <c r="AV67" i="6"/>
  <c r="AX67" i="6" s="1"/>
  <c r="AV87" i="6"/>
  <c r="AX87" i="6" s="1"/>
  <c r="AU79" i="6"/>
  <c r="AW79" i="6" s="1"/>
  <c r="AU47" i="6"/>
  <c r="AW47" i="6" s="1"/>
  <c r="AX47" i="6" s="1"/>
  <c r="AV57" i="6"/>
  <c r="AU52" i="6"/>
  <c r="AW52" i="6" s="1"/>
  <c r="AX52" i="6" s="1"/>
  <c r="AV37" i="6"/>
  <c r="AU40" i="6"/>
  <c r="AW40" i="6" s="1"/>
  <c r="AX40" i="6" s="1"/>
  <c r="AU84" i="6"/>
  <c r="AW84" i="6" s="1"/>
  <c r="AV74" i="6"/>
  <c r="AX74" i="6" s="1"/>
  <c r="AV71" i="6"/>
  <c r="AV64" i="6"/>
  <c r="AX64" i="6" s="1"/>
  <c r="AU91" i="6"/>
  <c r="AW91" i="6" s="1"/>
  <c r="AU80" i="6"/>
  <c r="AW80" i="6" s="1"/>
  <c r="AX80" i="6" s="1"/>
  <c r="AV88" i="6"/>
  <c r="AV54" i="6"/>
  <c r="AU50" i="6"/>
  <c r="AW50" i="6" s="1"/>
  <c r="AX50" i="6" s="1"/>
  <c r="AV77" i="6"/>
  <c r="AU57" i="6"/>
  <c r="AW57" i="6" s="1"/>
  <c r="AX57" i="6" s="1"/>
  <c r="AV36" i="6"/>
  <c r="AV66" i="6"/>
  <c r="AU62" i="6"/>
  <c r="AW62" i="6" s="1"/>
  <c r="AX62" i="6" s="1"/>
  <c r="AV63" i="6"/>
  <c r="AU76" i="6"/>
  <c r="AW76" i="6" s="1"/>
  <c r="J284" i="6"/>
  <c r="J115" i="6"/>
  <c r="J106" i="6"/>
  <c r="J238" i="6"/>
  <c r="Z51" i="6"/>
  <c r="I307" i="6"/>
  <c r="J307" i="6" s="1"/>
  <c r="I331" i="6"/>
  <c r="J257" i="6"/>
  <c r="AU41" i="6"/>
  <c r="AW41" i="6" s="1"/>
  <c r="AV58" i="6"/>
  <c r="AU66" i="6"/>
  <c r="AW66" i="6" s="1"/>
  <c r="AV44" i="6"/>
  <c r="AU46" i="6"/>
  <c r="AW46" i="6" s="1"/>
  <c r="AX46" i="6" s="1"/>
  <c r="AU78" i="6"/>
  <c r="AW78" i="6" s="1"/>
  <c r="AV90" i="6"/>
  <c r="AV91" i="6"/>
  <c r="AV65" i="6"/>
  <c r="AU54" i="6"/>
  <c r="AW54" i="6" s="1"/>
  <c r="AU83" i="6"/>
  <c r="AW83" i="6" s="1"/>
  <c r="AX83" i="6" s="1"/>
  <c r="AV59" i="6"/>
  <c r="AU44" i="6"/>
  <c r="AW44" i="6" s="1"/>
  <c r="AU59" i="6"/>
  <c r="AW59" i="6" s="1"/>
  <c r="AU61" i="6"/>
  <c r="AW61" i="6" s="1"/>
  <c r="AU39" i="6"/>
  <c r="AW39" i="6" s="1"/>
  <c r="AU68" i="6"/>
  <c r="AW68" i="6" s="1"/>
  <c r="AX68" i="6" s="1"/>
  <c r="AV45" i="6"/>
  <c r="AX45" i="6" s="1"/>
  <c r="AV38" i="6"/>
  <c r="AU38" i="6"/>
  <c r="AW38" i="6" s="1"/>
  <c r="AV48" i="6"/>
  <c r="AV39" i="6"/>
  <c r="AU53" i="6"/>
  <c r="AW53" i="6" s="1"/>
  <c r="AU72" i="6"/>
  <c r="AW72" i="6" s="1"/>
  <c r="AV41" i="6"/>
  <c r="AU49" i="6"/>
  <c r="AW49" i="6" s="1"/>
  <c r="AV51" i="6"/>
  <c r="AU43" i="6"/>
  <c r="AW43" i="6" s="1"/>
  <c r="AU77" i="6"/>
  <c r="AW77" i="6" s="1"/>
  <c r="AU71" i="6"/>
  <c r="AW71" i="6" s="1"/>
  <c r="AU89" i="6"/>
  <c r="AW89" i="6" s="1"/>
  <c r="AV61" i="6"/>
  <c r="AU88" i="6"/>
  <c r="AW88" i="6" s="1"/>
  <c r="AV78" i="6"/>
  <c r="AU70" i="6"/>
  <c r="AW70" i="6" s="1"/>
  <c r="V39" i="6"/>
  <c r="V38" i="6" s="1"/>
  <c r="V40" i="6" s="1"/>
  <c r="I266" i="6"/>
  <c r="J266" i="6" s="1"/>
  <c r="I248" i="6"/>
  <c r="J248" i="6" s="1"/>
  <c r="I243" i="6"/>
  <c r="I271" i="6"/>
  <c r="J271" i="6" s="1"/>
  <c r="I265" i="6"/>
  <c r="J265" i="6" s="1"/>
  <c r="I261" i="6"/>
  <c r="J261" i="6" s="1"/>
  <c r="I285" i="6"/>
  <c r="I234" i="6"/>
  <c r="J234" i="6" s="1"/>
  <c r="I256" i="6"/>
  <c r="I280" i="6"/>
  <c r="J280" i="6" s="1"/>
  <c r="I192" i="6"/>
  <c r="AS85" i="6"/>
  <c r="AS83" i="6"/>
  <c r="AS131" i="6"/>
  <c r="AS105" i="6"/>
  <c r="AS175" i="6"/>
  <c r="AS99" i="6"/>
  <c r="AS107" i="6"/>
  <c r="AS150" i="6"/>
  <c r="AS92" i="6"/>
  <c r="AS117" i="6"/>
  <c r="AS84" i="6"/>
  <c r="AS94" i="6"/>
  <c r="AS171" i="6"/>
  <c r="P52" i="6"/>
  <c r="W24" i="6"/>
  <c r="W23" i="6" s="1"/>
  <c r="S24" i="6"/>
  <c r="S23" i="6" s="1"/>
  <c r="I66" i="6"/>
  <c r="I107" i="6"/>
  <c r="J107" i="6" s="1"/>
  <c r="I125" i="6"/>
  <c r="J125" i="6" s="1"/>
  <c r="I136" i="6"/>
  <c r="I143" i="6"/>
  <c r="I28" i="6"/>
  <c r="I70" i="6"/>
  <c r="J70" i="6" s="1"/>
  <c r="I81" i="6"/>
  <c r="I113" i="6"/>
  <c r="J113" i="6" s="1"/>
  <c r="I138" i="6"/>
  <c r="I79" i="6"/>
  <c r="I144" i="6"/>
  <c r="I75" i="6"/>
  <c r="J75" i="6" s="1"/>
  <c r="I153" i="6"/>
  <c r="I85" i="6"/>
  <c r="I86" i="6"/>
  <c r="I158" i="6"/>
  <c r="I71" i="6"/>
  <c r="I108" i="6"/>
  <c r="J108" i="6" s="1"/>
  <c r="I147" i="6"/>
  <c r="I155" i="6"/>
  <c r="I35" i="6"/>
  <c r="I184" i="6"/>
  <c r="J184" i="6" s="1"/>
  <c r="I94" i="6"/>
  <c r="I101" i="6"/>
  <c r="I99" i="6"/>
  <c r="I95" i="6"/>
  <c r="I29" i="6"/>
  <c r="I131" i="6"/>
  <c r="J131" i="6" s="1"/>
  <c r="I24" i="6"/>
  <c r="T51" i="6"/>
  <c r="U51" i="6"/>
  <c r="U54" i="6" s="1"/>
  <c r="U53" i="6" s="1"/>
  <c r="U55" i="6" s="1"/>
  <c r="J255" i="6"/>
  <c r="BH347" i="6"/>
  <c r="BH100" i="6"/>
  <c r="BH246" i="6"/>
  <c r="BH305" i="6"/>
  <c r="BH144" i="6"/>
  <c r="BH259" i="6"/>
  <c r="BH223" i="6"/>
  <c r="BH128" i="6"/>
  <c r="BH61" i="6"/>
  <c r="BH204" i="6"/>
  <c r="BH32" i="6"/>
  <c r="BH157" i="6"/>
  <c r="BH303" i="6"/>
  <c r="BH324" i="6"/>
  <c r="BH290" i="6"/>
  <c r="BH318" i="6"/>
  <c r="BH141" i="6"/>
  <c r="BH79" i="6"/>
  <c r="BH31" i="6"/>
  <c r="BH40" i="6"/>
  <c r="BH156" i="6"/>
  <c r="BH148" i="6"/>
  <c r="BH50" i="6"/>
  <c r="BH102" i="6"/>
  <c r="BH229" i="6"/>
  <c r="BH316" i="6"/>
  <c r="BH308" i="6"/>
  <c r="BH159" i="6"/>
  <c r="BH81" i="6"/>
  <c r="BH26" i="6"/>
  <c r="BH30" i="6"/>
  <c r="BH248" i="6"/>
  <c r="BH227" i="6"/>
  <c r="BH297" i="6"/>
  <c r="BH46" i="6"/>
  <c r="BH123" i="6"/>
  <c r="BH244" i="6"/>
  <c r="BH33" i="6"/>
  <c r="BH310" i="6"/>
  <c r="BH258" i="6"/>
  <c r="BH270" i="6"/>
  <c r="BH343" i="6"/>
  <c r="BH180" i="6"/>
  <c r="BH313" i="6"/>
  <c r="BH284" i="6"/>
  <c r="BH365" i="6"/>
  <c r="BH253" i="6"/>
  <c r="BH203" i="6"/>
  <c r="BH299" i="6"/>
  <c r="BH171" i="6"/>
  <c r="BH288" i="6"/>
  <c r="BH152" i="6"/>
  <c r="BH272" i="6"/>
  <c r="BH92" i="6"/>
  <c r="BH322" i="6"/>
  <c r="BH193" i="6"/>
  <c r="BH302" i="6"/>
  <c r="BH252" i="6"/>
  <c r="BH304" i="6"/>
  <c r="BH363" i="6"/>
  <c r="BH80" i="6"/>
  <c r="BH145" i="6"/>
  <c r="BH200" i="6"/>
  <c r="BH367" i="6"/>
  <c r="BH177" i="6"/>
  <c r="BH69" i="6"/>
  <c r="BH88" i="6"/>
  <c r="BH195" i="6"/>
  <c r="BH358" i="6"/>
  <c r="BH39" i="6"/>
  <c r="BH314" i="6"/>
  <c r="BH336" i="6"/>
  <c r="BH273" i="6"/>
  <c r="BH309" i="6"/>
  <c r="BH295" i="6"/>
  <c r="BH201" i="6"/>
  <c r="BH209" i="6"/>
  <c r="BH346" i="6"/>
  <c r="BH54" i="6"/>
  <c r="BH99" i="6"/>
  <c r="BH105" i="6"/>
  <c r="BH298" i="6"/>
  <c r="BH87" i="6"/>
  <c r="BH361" i="6"/>
  <c r="BH260" i="6"/>
  <c r="BH264" i="6"/>
  <c r="BH301" i="6"/>
  <c r="BH66" i="6"/>
  <c r="BH143" i="6"/>
  <c r="BH335" i="6"/>
  <c r="BH349" i="6"/>
  <c r="BH222" i="6"/>
  <c r="I330" i="6"/>
  <c r="I299" i="6"/>
  <c r="J299" i="6" s="1"/>
  <c r="J292" i="6"/>
  <c r="J74" i="6"/>
  <c r="I190" i="6"/>
  <c r="J190" i="6" s="1"/>
  <c r="AA33" i="6"/>
  <c r="AA39" i="6" s="1"/>
  <c r="AA38" i="6" s="1"/>
  <c r="AA40" i="6" s="1"/>
  <c r="Z35" i="6"/>
  <c r="Z39" i="6" s="1"/>
  <c r="Z38" i="6" s="1"/>
  <c r="Z40" i="6" s="1"/>
  <c r="N24" i="6"/>
  <c r="N23" i="6" s="1"/>
  <c r="P51" i="6"/>
  <c r="P54" i="6" s="1"/>
  <c r="P53" i="6" s="1"/>
  <c r="I118" i="6"/>
  <c r="J118" i="6" s="1"/>
  <c r="I91" i="6"/>
  <c r="I146" i="6"/>
  <c r="I72" i="6"/>
  <c r="J72" i="6" s="1"/>
  <c r="I142" i="6"/>
  <c r="I112" i="6"/>
  <c r="J112" i="6" s="1"/>
  <c r="I152" i="6"/>
  <c r="I109" i="6"/>
  <c r="J109" i="6" s="1"/>
  <c r="I159" i="6"/>
  <c r="I77" i="6"/>
  <c r="I110" i="6"/>
  <c r="J110" i="6" s="1"/>
  <c r="I133" i="6"/>
  <c r="J133" i="6" s="1"/>
  <c r="I132" i="6"/>
  <c r="J132" i="6" s="1"/>
  <c r="I120" i="6"/>
  <c r="J120" i="6" s="1"/>
  <c r="I160" i="6"/>
  <c r="I96" i="6"/>
  <c r="I128" i="6"/>
  <c r="J128" i="6" s="1"/>
  <c r="I157" i="6"/>
  <c r="I185" i="6"/>
  <c r="J185" i="6" s="1"/>
  <c r="I175" i="6"/>
  <c r="J175" i="6" s="1"/>
  <c r="I165" i="6"/>
  <c r="J165" i="6" s="1"/>
  <c r="I161" i="6"/>
  <c r="I167" i="6"/>
  <c r="J167" i="6" s="1"/>
  <c r="I181" i="6"/>
  <c r="J181" i="6" s="1"/>
  <c r="I114" i="6"/>
  <c r="J114" i="6" s="1"/>
  <c r="I173" i="6"/>
  <c r="J173" i="6" s="1"/>
  <c r="I129" i="6"/>
  <c r="J129" i="6" s="1"/>
  <c r="I26" i="6"/>
  <c r="I88" i="6"/>
  <c r="I121" i="6"/>
  <c r="J121" i="6" s="1"/>
  <c r="I20" i="6"/>
  <c r="I182" i="6"/>
  <c r="J182" i="6" s="1"/>
  <c r="I31" i="6"/>
  <c r="I169" i="6"/>
  <c r="J169" i="6" s="1"/>
  <c r="I92" i="6"/>
  <c r="I93" i="6"/>
  <c r="I179" i="6"/>
  <c r="J179" i="6" s="1"/>
  <c r="J297" i="6"/>
  <c r="J315" i="6"/>
  <c r="J308" i="6"/>
  <c r="J310" i="6"/>
  <c r="J295" i="6"/>
  <c r="J303" i="6"/>
  <c r="J290" i="6"/>
  <c r="J304" i="6"/>
  <c r="J294" i="6"/>
  <c r="U39" i="6"/>
  <c r="U38" i="6" s="1"/>
  <c r="N46" i="6"/>
  <c r="N54" i="6" s="1"/>
  <c r="N53" i="6" s="1"/>
  <c r="N55" i="6" s="1"/>
  <c r="M48" i="6"/>
  <c r="M52" i="6"/>
  <c r="I137" i="6"/>
  <c r="I176" i="6"/>
  <c r="J176" i="6" s="1"/>
  <c r="I83" i="6"/>
  <c r="I122" i="6"/>
  <c r="J122" i="6" s="1"/>
  <c r="I127" i="6"/>
  <c r="J127" i="6" s="1"/>
  <c r="I168" i="6"/>
  <c r="J168" i="6" s="1"/>
  <c r="I73" i="6"/>
  <c r="J73" i="6" s="1"/>
  <c r="I67" i="6"/>
  <c r="J67" i="6" s="1"/>
  <c r="I87" i="6"/>
  <c r="I170" i="6"/>
  <c r="J170" i="6" s="1"/>
  <c r="I162" i="6"/>
  <c r="J162" i="6" s="1"/>
  <c r="I98" i="6"/>
  <c r="I156" i="6"/>
  <c r="I84" i="6"/>
  <c r="I141" i="6"/>
  <c r="I149" i="6"/>
  <c r="I135" i="6"/>
  <c r="I100" i="6"/>
  <c r="I188" i="6"/>
  <c r="J188" i="6" s="1"/>
  <c r="I102" i="6"/>
  <c r="I187" i="6"/>
  <c r="J187" i="6" s="1"/>
  <c r="I23" i="6"/>
  <c r="Q54" i="6"/>
  <c r="Q53" i="6" s="1"/>
  <c r="W51" i="6"/>
  <c r="W54" i="6" s="1"/>
  <c r="W53" i="6" s="1"/>
  <c r="V51" i="6"/>
  <c r="V52" i="6"/>
  <c r="J198" i="6"/>
  <c r="J211" i="6"/>
  <c r="I273" i="6"/>
  <c r="J273" i="6" s="1"/>
  <c r="J216" i="6"/>
  <c r="I264" i="6"/>
  <c r="J264" i="6" s="1"/>
  <c r="I205" i="6"/>
  <c r="J205" i="6" s="1"/>
  <c r="I252" i="6"/>
  <c r="J252" i="6" s="1"/>
  <c r="I230" i="6"/>
  <c r="J230" i="6" s="1"/>
  <c r="I225" i="6"/>
  <c r="J225" i="6" s="1"/>
  <c r="I206" i="6"/>
  <c r="J206" i="6" s="1"/>
  <c r="I244" i="6"/>
  <c r="J244" i="6" s="1"/>
  <c r="I270" i="6"/>
  <c r="J270" i="6" s="1"/>
  <c r="I279" i="6"/>
  <c r="J279" i="6" s="1"/>
  <c r="J193" i="6"/>
  <c r="I253" i="6"/>
  <c r="J253" i="6" s="1"/>
  <c r="J215" i="6"/>
  <c r="I224" i="6"/>
  <c r="J224" i="6" s="1"/>
  <c r="I218" i="6"/>
  <c r="J218" i="6" s="1"/>
  <c r="I220" i="6"/>
  <c r="J220" i="6" s="1"/>
  <c r="I217" i="6"/>
  <c r="J217" i="6" s="1"/>
  <c r="I275" i="6"/>
  <c r="J275" i="6" s="1"/>
  <c r="I267" i="6"/>
  <c r="J267" i="6" s="1"/>
  <c r="I209" i="6"/>
  <c r="J209" i="6" s="1"/>
  <c r="I228" i="6"/>
  <c r="J228" i="6" s="1"/>
  <c r="I282" i="6"/>
  <c r="J282" i="6" s="1"/>
  <c r="J251" i="6"/>
  <c r="I278" i="6"/>
  <c r="J278" i="6" s="1"/>
  <c r="J259" i="6"/>
  <c r="I283" i="6"/>
  <c r="J283" i="6" s="1"/>
  <c r="I241" i="6"/>
  <c r="J241" i="6" s="1"/>
  <c r="I246" i="6"/>
  <c r="J246" i="6" s="1"/>
  <c r="I247" i="6"/>
  <c r="J247" i="6" s="1"/>
  <c r="I276" i="6"/>
  <c r="I235" i="6"/>
  <c r="J235" i="6" s="1"/>
  <c r="I254" i="6"/>
  <c r="J254" i="6" s="1"/>
  <c r="I249" i="6"/>
  <c r="J249" i="6" s="1"/>
  <c r="I286" i="6"/>
  <c r="J286" i="6" s="1"/>
  <c r="I195" i="6"/>
  <c r="J195" i="6" s="1"/>
  <c r="I196" i="6"/>
  <c r="J196" i="6" s="1"/>
  <c r="I236" i="6"/>
  <c r="J236" i="6" s="1"/>
  <c r="I263" i="6"/>
  <c r="J263" i="6" s="1"/>
  <c r="I199" i="6"/>
  <c r="J199" i="6" s="1"/>
  <c r="O39" i="6"/>
  <c r="O38" i="6" s="1"/>
  <c r="BH197" i="6"/>
  <c r="BH161" i="6"/>
  <c r="BH115" i="6"/>
  <c r="BH62" i="6"/>
  <c r="BH337" i="6"/>
  <c r="BH327" i="6"/>
  <c r="BH23" i="6"/>
  <c r="BH261" i="6"/>
  <c r="BH183" i="6"/>
  <c r="BH214" i="6"/>
  <c r="BH276" i="6"/>
  <c r="BH372" i="6"/>
  <c r="BH76" i="6"/>
  <c r="BH280" i="6"/>
  <c r="BH98" i="6"/>
  <c r="BH136" i="6"/>
  <c r="BH240" i="6"/>
  <c r="BH130" i="6"/>
  <c r="BH255" i="6"/>
  <c r="BH97" i="6"/>
  <c r="BH198" i="6"/>
  <c r="BH20" i="6"/>
  <c r="BH205" i="6"/>
  <c r="BH53" i="6"/>
  <c r="BH326" i="6"/>
  <c r="BH370" i="6"/>
  <c r="BH323" i="6"/>
  <c r="BH74" i="6"/>
  <c r="BH150" i="6"/>
  <c r="BH271" i="6"/>
  <c r="BH73" i="6"/>
  <c r="BH67" i="6"/>
  <c r="BH65" i="6"/>
  <c r="BH218" i="6"/>
  <c r="BH375" i="6"/>
  <c r="BH232" i="6"/>
  <c r="BH29" i="6"/>
  <c r="BH57" i="6"/>
  <c r="BH373" i="6"/>
  <c r="BH187" i="6"/>
  <c r="BH122" i="6"/>
  <c r="BH137" i="6"/>
  <c r="BH113" i="6"/>
  <c r="BH43" i="6"/>
  <c r="BH235" i="6"/>
  <c r="BH339" i="6"/>
  <c r="BH356" i="6"/>
  <c r="BH182" i="6"/>
  <c r="BH285" i="6"/>
  <c r="BH44" i="6"/>
  <c r="BH84" i="6"/>
  <c r="BH91" i="6"/>
  <c r="BH134" i="6"/>
  <c r="BH238" i="6"/>
  <c r="BH194" i="6"/>
  <c r="BH208" i="6"/>
  <c r="BH121" i="6"/>
  <c r="BH90" i="6"/>
  <c r="BH117" i="6"/>
  <c r="BH275" i="6"/>
  <c r="BH60" i="6"/>
  <c r="BH355" i="6"/>
  <c r="BH221" i="6"/>
  <c r="BH239" i="6"/>
  <c r="BH245" i="6"/>
  <c r="BH300" i="6"/>
  <c r="BH112" i="6"/>
  <c r="BH165" i="6"/>
  <c r="BH52" i="6"/>
  <c r="BH279" i="6"/>
  <c r="BH125" i="6"/>
  <c r="BH331" i="6"/>
  <c r="BH325" i="6"/>
  <c r="BH140" i="6"/>
  <c r="BH95" i="6"/>
  <c r="BH108" i="6"/>
  <c r="BH135" i="6"/>
  <c r="BH75" i="6"/>
  <c r="BH274" i="6"/>
  <c r="BH127" i="6"/>
  <c r="BH82" i="6"/>
  <c r="BH56" i="6"/>
  <c r="BH17" i="6"/>
  <c r="BH225" i="6"/>
  <c r="BH241" i="6"/>
  <c r="BH72" i="6"/>
  <c r="BH377" i="6"/>
  <c r="BH131" i="6"/>
  <c r="BH265" i="6"/>
  <c r="BH350" i="6"/>
  <c r="BH186" i="6"/>
  <c r="BH94" i="6"/>
  <c r="BH345" i="6"/>
  <c r="BH47" i="6"/>
  <c r="BH96" i="6"/>
  <c r="BH78" i="6"/>
  <c r="BH254" i="6"/>
  <c r="BH230" i="6"/>
  <c r="BH233" i="6"/>
  <c r="BH226" i="6"/>
  <c r="BH321" i="6"/>
  <c r="BH296" i="6"/>
  <c r="BH25" i="6"/>
  <c r="BH85" i="6"/>
  <c r="BH286" i="6"/>
  <c r="BH64" i="6"/>
  <c r="BH119" i="6"/>
  <c r="BH162" i="6"/>
  <c r="BH138" i="6"/>
  <c r="BH168" i="6"/>
  <c r="BH202" i="6"/>
  <c r="BH71" i="6"/>
  <c r="BH283" i="6"/>
  <c r="BH175" i="6"/>
  <c r="BH289" i="6"/>
  <c r="BH251" i="6"/>
  <c r="BH357" i="6"/>
  <c r="BH37" i="6"/>
  <c r="BH124" i="6"/>
  <c r="BH354" i="6"/>
  <c r="BH333" i="6"/>
  <c r="BH216" i="6"/>
  <c r="BH236" i="6"/>
  <c r="BH359" i="6"/>
  <c r="AS141" i="6"/>
  <c r="AS121" i="6"/>
  <c r="AS176" i="6"/>
  <c r="AS136" i="6"/>
  <c r="AS126" i="6"/>
  <c r="AS132" i="6"/>
  <c r="AS138" i="6"/>
  <c r="AS188" i="6"/>
  <c r="AS152" i="6"/>
  <c r="AS163" i="6"/>
  <c r="AS102" i="6"/>
  <c r="AS156" i="6"/>
  <c r="AS157" i="6"/>
  <c r="AS97" i="6"/>
  <c r="AS87" i="6"/>
  <c r="AS164" i="6"/>
  <c r="AS112" i="6"/>
  <c r="AS177" i="6"/>
  <c r="AS116" i="6"/>
  <c r="AS101" i="6"/>
  <c r="AS110" i="6"/>
  <c r="AS162" i="6"/>
  <c r="AS178" i="6"/>
  <c r="AS130" i="6"/>
  <c r="AS160" i="6"/>
  <c r="AS118" i="6"/>
  <c r="AS123" i="6"/>
  <c r="AS167" i="6"/>
  <c r="AS88" i="6"/>
  <c r="AS119" i="6"/>
  <c r="AS189" i="6"/>
  <c r="AS93" i="6"/>
  <c r="AS158" i="6"/>
  <c r="AS143" i="6"/>
  <c r="AS148" i="6"/>
  <c r="AS159" i="6"/>
  <c r="AS86" i="6"/>
  <c r="AS181" i="6"/>
  <c r="I174" i="6"/>
  <c r="J174" i="6" s="1"/>
  <c r="I180" i="6"/>
  <c r="J180" i="6" s="1"/>
  <c r="I19" i="6"/>
  <c r="S52" i="6"/>
  <c r="S54" i="6" s="1"/>
  <c r="S53" i="6" s="1"/>
  <c r="AU239" i="6"/>
  <c r="AW239" i="6" s="1"/>
  <c r="AV227" i="6"/>
  <c r="AV215" i="6"/>
  <c r="AU240" i="6"/>
  <c r="AW240" i="6" s="1"/>
  <c r="AV208" i="6"/>
  <c r="AV234" i="6"/>
  <c r="AU227" i="6"/>
  <c r="AW227" i="6" s="1"/>
  <c r="AV224" i="6"/>
  <c r="AU243" i="6"/>
  <c r="AW243" i="6" s="1"/>
  <c r="AU224" i="6"/>
  <c r="AW224" i="6" s="1"/>
  <c r="AX224" i="6" s="1"/>
  <c r="AU251" i="6"/>
  <c r="AW251" i="6" s="1"/>
  <c r="AV226" i="6"/>
  <c r="AV216" i="6"/>
  <c r="AV233" i="6"/>
  <c r="AV241" i="6"/>
  <c r="AU219" i="6"/>
  <c r="AW219" i="6" s="1"/>
  <c r="AU213" i="6"/>
  <c r="AW213" i="6" s="1"/>
  <c r="T52" i="6"/>
  <c r="AU252" i="6"/>
  <c r="AW252" i="6" s="1"/>
  <c r="AV209" i="6"/>
  <c r="AV230" i="6"/>
  <c r="AU253" i="6"/>
  <c r="AW253" i="6" s="1"/>
  <c r="AV258" i="6"/>
  <c r="AV240" i="6"/>
  <c r="AU205" i="6"/>
  <c r="AW205" i="6" s="1"/>
  <c r="AV232" i="6"/>
  <c r="AV248" i="6"/>
  <c r="AV235" i="6"/>
  <c r="AU208" i="6"/>
  <c r="AW208" i="6" s="1"/>
  <c r="AX208" i="6" s="1"/>
  <c r="AV246" i="6"/>
  <c r="AV247" i="6"/>
  <c r="AU218" i="6"/>
  <c r="AW218" i="6" s="1"/>
  <c r="AV219" i="6"/>
  <c r="AU225" i="6"/>
  <c r="AW225" i="6" s="1"/>
  <c r="AU246" i="6"/>
  <c r="AW246" i="6" s="1"/>
  <c r="AV239" i="6"/>
  <c r="AU245" i="6"/>
  <c r="AW245" i="6" s="1"/>
  <c r="AU209" i="6"/>
  <c r="AW209" i="6" s="1"/>
  <c r="AX209" i="6" s="1"/>
  <c r="AV252" i="6"/>
  <c r="AU204" i="6"/>
  <c r="AW204" i="6" s="1"/>
  <c r="AV214" i="6"/>
  <c r="AU242" i="6"/>
  <c r="AW242" i="6" s="1"/>
  <c r="AV206" i="6"/>
  <c r="AU247" i="6"/>
  <c r="AW247" i="6" s="1"/>
  <c r="AU212" i="6"/>
  <c r="AW212" i="6" s="1"/>
  <c r="AV250" i="6"/>
  <c r="AV244" i="6"/>
  <c r="AV242" i="6"/>
  <c r="AU221" i="6"/>
  <c r="AW221" i="6" s="1"/>
  <c r="AU231" i="6"/>
  <c r="AW231" i="6" s="1"/>
  <c r="AU220" i="6"/>
  <c r="AW220" i="6" s="1"/>
  <c r="AV245" i="6"/>
  <c r="AV204" i="6"/>
  <c r="AV257" i="6"/>
  <c r="AU257" i="6"/>
  <c r="AW257" i="6" s="1"/>
  <c r="AU248" i="6"/>
  <c r="AW248" i="6" s="1"/>
  <c r="AV176" i="6"/>
  <c r="AV173" i="6"/>
  <c r="AU128" i="6"/>
  <c r="AW128" i="6" s="1"/>
  <c r="AU121" i="6"/>
  <c r="AW121" i="6" s="1"/>
  <c r="AU106" i="6"/>
  <c r="AW106" i="6" s="1"/>
  <c r="AU99" i="6"/>
  <c r="AW99" i="6" s="1"/>
  <c r="AU97" i="6"/>
  <c r="AW97" i="6" s="1"/>
  <c r="AU96" i="6"/>
  <c r="AW96" i="6" s="1"/>
  <c r="AU95" i="6"/>
  <c r="AW95" i="6" s="1"/>
  <c r="AV199" i="6"/>
  <c r="AV167" i="6"/>
  <c r="AU175" i="6"/>
  <c r="AW175" i="6" s="1"/>
  <c r="AV142" i="6"/>
  <c r="AV110" i="6"/>
  <c r="AV139" i="6"/>
  <c r="AV101" i="6"/>
  <c r="AV195" i="6"/>
  <c r="AU165" i="6"/>
  <c r="AW165" i="6" s="1"/>
  <c r="AU117" i="6"/>
  <c r="AW117" i="6" s="1"/>
  <c r="AV201" i="6"/>
  <c r="AV166" i="6"/>
  <c r="AV140" i="6"/>
  <c r="AV108" i="6"/>
  <c r="AV147" i="6"/>
  <c r="AV157" i="6"/>
  <c r="AV113" i="6"/>
  <c r="AU146" i="6"/>
  <c r="AW146" i="6" s="1"/>
  <c r="AU133" i="6"/>
  <c r="AW133" i="6" s="1"/>
  <c r="AU124" i="6"/>
  <c r="AW124" i="6" s="1"/>
  <c r="AU115" i="6"/>
  <c r="AW115" i="6" s="1"/>
  <c r="AU110" i="6"/>
  <c r="AW110" i="6" s="1"/>
  <c r="AV193" i="6"/>
  <c r="AU166" i="6"/>
  <c r="AW166" i="6" s="1"/>
  <c r="AX166" i="6" s="1"/>
  <c r="AV169" i="6"/>
  <c r="AV104" i="6"/>
  <c r="AV186" i="6"/>
  <c r="AU153" i="6"/>
  <c r="AW153" i="6" s="1"/>
  <c r="AU144" i="6"/>
  <c r="AW144" i="6" s="1"/>
  <c r="AU129" i="6"/>
  <c r="AW129" i="6" s="1"/>
  <c r="AU98" i="6"/>
  <c r="AW98" i="6" s="1"/>
  <c r="AV181" i="6"/>
  <c r="AV120" i="6"/>
  <c r="AV103" i="6"/>
  <c r="AU35" i="6"/>
  <c r="AW35" i="6" s="1"/>
  <c r="AU34" i="6"/>
  <c r="AW34" i="6" s="1"/>
  <c r="AU29" i="6"/>
  <c r="AW29" i="6" s="1"/>
  <c r="AU28" i="6"/>
  <c r="AW28" i="6" s="1"/>
  <c r="AU27" i="6"/>
  <c r="AW27" i="6" s="1"/>
  <c r="AU26" i="6"/>
  <c r="AW26" i="6" s="1"/>
  <c r="AV32" i="6"/>
  <c r="AU15" i="6"/>
  <c r="AU24" i="6"/>
  <c r="AW24" i="6" s="1"/>
  <c r="AV20" i="6"/>
  <c r="AV172" i="6"/>
  <c r="AU156" i="6"/>
  <c r="AW156" i="6" s="1"/>
  <c r="AU152" i="6"/>
  <c r="AW152" i="6" s="1"/>
  <c r="AU145" i="6"/>
  <c r="AW145" i="6" s="1"/>
  <c r="AU134" i="6"/>
  <c r="AW134" i="6" s="1"/>
  <c r="AU116" i="6"/>
  <c r="AW116" i="6" s="1"/>
  <c r="AV202" i="6"/>
  <c r="AU162" i="6"/>
  <c r="AW162" i="6" s="1"/>
  <c r="AV148" i="6"/>
  <c r="AV118" i="6"/>
  <c r="AV151" i="6"/>
  <c r="AU174" i="6"/>
  <c r="AW174" i="6" s="1"/>
  <c r="AV137" i="6"/>
  <c r="AU201" i="6"/>
  <c r="AW201" i="6" s="1"/>
  <c r="AU187" i="6"/>
  <c r="AW187" i="6" s="1"/>
  <c r="AU127" i="6"/>
  <c r="AW127" i="6" s="1"/>
  <c r="AU101" i="6"/>
  <c r="AW101" i="6" s="1"/>
  <c r="AX101" i="6" s="1"/>
  <c r="AU189" i="6"/>
  <c r="AW189" i="6" s="1"/>
  <c r="AU163" i="6"/>
  <c r="AW163" i="6" s="1"/>
  <c r="AV185" i="6"/>
  <c r="AV134" i="6"/>
  <c r="AV102" i="6"/>
  <c r="AV127" i="6"/>
  <c r="AV125" i="6"/>
  <c r="AV190" i="6"/>
  <c r="AU148" i="6"/>
  <c r="AW148" i="6" s="1"/>
  <c r="AU184" i="6"/>
  <c r="AW184" i="6" s="1"/>
  <c r="AU188" i="6"/>
  <c r="AW188" i="6" s="1"/>
  <c r="AV122" i="6"/>
  <c r="AV149" i="6"/>
  <c r="AU157" i="6"/>
  <c r="AW157" i="6" s="1"/>
  <c r="AU173" i="6"/>
  <c r="AW173" i="6" s="1"/>
  <c r="AV106" i="6"/>
  <c r="AV141" i="6"/>
  <c r="AU21" i="6"/>
  <c r="AW21" i="6" s="1"/>
  <c r="AU19" i="6"/>
  <c r="AW19" i="6" s="1"/>
  <c r="AV35" i="6"/>
  <c r="AV19" i="6"/>
  <c r="AU30" i="6"/>
  <c r="AW30" i="6" s="1"/>
  <c r="AV23" i="6"/>
  <c r="AV194" i="6"/>
  <c r="AU139" i="6"/>
  <c r="AW139" i="6" s="1"/>
  <c r="AX139" i="6" s="1"/>
  <c r="AU196" i="6"/>
  <c r="AW196" i="6" s="1"/>
  <c r="AV183" i="6"/>
  <c r="AV111" i="6"/>
  <c r="AU155" i="6"/>
  <c r="AW155" i="6" s="1"/>
  <c r="AV198" i="6"/>
  <c r="AV98" i="6"/>
  <c r="AV29" i="6"/>
  <c r="AU141" i="6"/>
  <c r="AW141" i="6" s="1"/>
  <c r="AX141" i="6" s="1"/>
  <c r="AV177" i="6"/>
  <c r="AU160" i="6"/>
  <c r="AW160" i="6" s="1"/>
  <c r="AU32" i="6"/>
  <c r="AW32" i="6" s="1"/>
  <c r="AX32" i="6" s="1"/>
  <c r="AU186" i="6"/>
  <c r="AW186" i="6" s="1"/>
  <c r="AV143" i="6"/>
  <c r="AU114" i="6"/>
  <c r="AW114" i="6" s="1"/>
  <c r="AV112" i="6"/>
  <c r="AU23" i="6"/>
  <c r="AW23" i="6" s="1"/>
  <c r="AX23" i="6" s="1"/>
  <c r="AV162" i="6"/>
  <c r="AU125" i="6"/>
  <c r="AW125" i="6" s="1"/>
  <c r="AX125" i="6" s="1"/>
  <c r="AU111" i="6"/>
  <c r="AW111" i="6" s="1"/>
  <c r="AX111" i="6" s="1"/>
  <c r="AU182" i="6"/>
  <c r="AW182" i="6" s="1"/>
  <c r="AV165" i="6"/>
  <c r="AU172" i="6"/>
  <c r="AW172" i="6" s="1"/>
  <c r="AU185" i="6"/>
  <c r="AW185" i="6" s="1"/>
  <c r="AU171" i="6"/>
  <c r="AW171" i="6" s="1"/>
  <c r="AU107" i="6"/>
  <c r="AW107" i="6" s="1"/>
  <c r="AU190" i="6"/>
  <c r="AW190" i="6" s="1"/>
  <c r="AV123" i="6"/>
  <c r="AV30" i="6"/>
  <c r="AV92" i="6"/>
  <c r="AU132" i="6"/>
  <c r="AW132" i="6" s="1"/>
  <c r="AV96" i="6"/>
  <c r="AV144" i="6"/>
  <c r="AV26" i="6"/>
  <c r="AV25" i="6"/>
  <c r="AU164" i="6"/>
  <c r="AW164" i="6" s="1"/>
  <c r="AV105" i="6"/>
  <c r="AV182" i="6"/>
  <c r="AV33" i="6"/>
  <c r="AV298" i="6"/>
  <c r="AV266" i="6"/>
  <c r="AU303" i="6"/>
  <c r="AW303" i="6" s="1"/>
  <c r="AV279" i="6"/>
  <c r="AU268" i="6"/>
  <c r="AW268" i="6" s="1"/>
  <c r="AU311" i="6"/>
  <c r="AW311" i="6" s="1"/>
  <c r="AU306" i="6"/>
  <c r="AW306" i="6" s="1"/>
  <c r="AU305" i="6"/>
  <c r="AW305" i="6" s="1"/>
  <c r="AV303" i="6"/>
  <c r="AU293" i="6"/>
  <c r="AW293" i="6" s="1"/>
  <c r="AU274" i="6"/>
  <c r="AW274" i="6" s="1"/>
  <c r="AV267" i="6"/>
  <c r="AU298" i="6"/>
  <c r="AW298" i="6" s="1"/>
  <c r="AX298" i="6" s="1"/>
  <c r="AU266" i="6"/>
  <c r="AW266" i="6" s="1"/>
  <c r="AX266" i="6" s="1"/>
  <c r="AU287" i="6"/>
  <c r="AW287" i="6" s="1"/>
  <c r="AV263" i="6"/>
  <c r="AU280" i="6"/>
  <c r="AW280" i="6" s="1"/>
  <c r="AV286" i="6"/>
  <c r="AU263" i="6"/>
  <c r="AW263" i="6" s="1"/>
  <c r="AU261" i="6"/>
  <c r="AW261" i="6" s="1"/>
  <c r="AV275" i="6"/>
  <c r="AV315" i="6"/>
  <c r="AU308" i="6"/>
  <c r="AW308" i="6" s="1"/>
  <c r="AU292" i="6"/>
  <c r="AW292" i="6" s="1"/>
  <c r="AU288" i="6"/>
  <c r="AW288" i="6" s="1"/>
  <c r="AU279" i="6"/>
  <c r="AW279" i="6" s="1"/>
  <c r="AX279" i="6" s="1"/>
  <c r="AV271" i="6"/>
  <c r="AU302" i="6"/>
  <c r="AW302" i="6" s="1"/>
  <c r="AV278" i="6"/>
  <c r="AU314" i="6"/>
  <c r="AW314" i="6" s="1"/>
  <c r="AV260" i="6"/>
  <c r="AV288" i="6"/>
  <c r="AV261" i="6"/>
  <c r="AV265" i="6"/>
  <c r="AV285" i="6"/>
  <c r="AV304" i="6"/>
  <c r="AV293" i="6"/>
  <c r="AU312" i="6"/>
  <c r="AW312" i="6" s="1"/>
  <c r="AU299" i="6"/>
  <c r="AW299" i="6" s="1"/>
  <c r="AU297" i="6"/>
  <c r="AW297" i="6" s="1"/>
  <c r="AU265" i="6"/>
  <c r="AW265" i="6" s="1"/>
  <c r="AV300" i="6"/>
  <c r="AU315" i="6"/>
  <c r="AW315" i="6" s="1"/>
  <c r="AV280" i="6"/>
  <c r="AV277" i="6"/>
  <c r="AU277" i="6"/>
  <c r="AW277" i="6" s="1"/>
  <c r="AU301" i="6"/>
  <c r="AW301" i="6" s="1"/>
  <c r="AV295" i="6"/>
  <c r="AV308" i="6"/>
  <c r="AU278" i="6"/>
  <c r="AW278" i="6" s="1"/>
  <c r="AU285" i="6"/>
  <c r="AW285" i="6" s="1"/>
  <c r="AX285" i="6" s="1"/>
  <c r="AV281" i="6"/>
  <c r="AV292" i="6"/>
  <c r="AU234" i="6"/>
  <c r="AW234" i="6" s="1"/>
  <c r="AX234" i="6" s="1"/>
  <c r="AV210" i="6"/>
  <c r="AV160" i="6"/>
  <c r="AU126" i="6"/>
  <c r="AW126" i="6" s="1"/>
  <c r="AU179" i="6"/>
  <c r="AW179" i="6" s="1"/>
  <c r="AV124" i="6"/>
  <c r="AV107" i="6"/>
  <c r="AV175" i="6"/>
  <c r="AU102" i="6"/>
  <c r="AW102" i="6" s="1"/>
  <c r="AX102" i="6" s="1"/>
  <c r="AU177" i="6"/>
  <c r="AW177" i="6" s="1"/>
  <c r="AX177" i="6" s="1"/>
  <c r="AV126" i="6"/>
  <c r="AV115" i="6"/>
  <c r="AV174" i="6"/>
  <c r="AU130" i="6"/>
  <c r="AW130" i="6" s="1"/>
  <c r="AU112" i="6"/>
  <c r="AW112" i="6" s="1"/>
  <c r="AU180" i="6"/>
  <c r="AW180" i="6" s="1"/>
  <c r="AV136" i="6"/>
  <c r="AU167" i="6"/>
  <c r="AW167" i="6" s="1"/>
  <c r="AV203" i="6"/>
  <c r="AV184" i="6"/>
  <c r="AV24" i="6"/>
  <c r="AV28" i="6"/>
  <c r="AV189" i="6"/>
  <c r="AU150" i="6"/>
  <c r="AW150" i="6" s="1"/>
  <c r="AU119" i="6"/>
  <c r="AW119" i="6" s="1"/>
  <c r="AU195" i="6"/>
  <c r="AW195" i="6" s="1"/>
  <c r="AV187" i="6"/>
  <c r="AV100" i="6"/>
  <c r="AV133" i="6"/>
  <c r="AU199" i="6"/>
  <c r="AW199" i="6" s="1"/>
  <c r="AX199" i="6" s="1"/>
  <c r="AU120" i="6"/>
  <c r="AW120" i="6" s="1"/>
  <c r="AX120" i="6" s="1"/>
  <c r="AV170" i="6"/>
  <c r="AV150" i="6"/>
  <c r="AV180" i="6"/>
  <c r="AV121" i="6"/>
  <c r="AU138" i="6"/>
  <c r="AW138" i="6" s="1"/>
  <c r="AU202" i="6"/>
  <c r="AW202" i="6" s="1"/>
  <c r="AX202" i="6" s="1"/>
  <c r="AU170" i="6"/>
  <c r="AW170" i="6" s="1"/>
  <c r="AX170" i="6" s="1"/>
  <c r="AV152" i="6"/>
  <c r="AU178" i="6"/>
  <c r="AW178" i="6" s="1"/>
  <c r="AV179" i="6"/>
  <c r="AU194" i="6"/>
  <c r="AW194" i="6" s="1"/>
  <c r="AX194" i="6" s="1"/>
  <c r="AV138" i="6"/>
  <c r="AV145" i="6"/>
  <c r="AU18" i="6"/>
  <c r="AW18" i="6" s="1"/>
  <c r="AU31" i="6"/>
  <c r="AW31" i="6" s="1"/>
  <c r="AV16" i="6"/>
  <c r="AU118" i="6"/>
  <c r="AW118" i="6" s="1"/>
  <c r="AV114" i="6"/>
  <c r="AU142" i="6"/>
  <c r="AW142" i="6" s="1"/>
  <c r="AV109" i="6"/>
  <c r="AU22" i="6"/>
  <c r="AW22" i="6" s="1"/>
  <c r="AV22" i="6"/>
  <c r="AU181" i="6"/>
  <c r="AW181" i="6" s="1"/>
  <c r="AU137" i="6"/>
  <c r="AW137" i="6" s="1"/>
  <c r="AX137" i="6" s="1"/>
  <c r="AU161" i="6"/>
  <c r="AW161" i="6" s="1"/>
  <c r="AV17" i="6"/>
  <c r="AU168" i="6"/>
  <c r="AW168" i="6" s="1"/>
  <c r="AV146" i="6"/>
  <c r="AU100" i="6"/>
  <c r="AW100" i="6" s="1"/>
  <c r="AX100" i="6" s="1"/>
  <c r="AV21" i="6"/>
  <c r="AV178" i="6"/>
  <c r="AV163" i="6"/>
  <c r="AU17" i="6"/>
  <c r="AW17" i="6" s="1"/>
  <c r="AU123" i="6"/>
  <c r="AW123" i="6" s="1"/>
  <c r="AU151" i="6"/>
  <c r="AW151" i="6" s="1"/>
  <c r="AX151" i="6" s="1"/>
  <c r="AV18" i="6"/>
  <c r="AV282" i="6"/>
  <c r="AV310" i="6"/>
  <c r="AU271" i="6"/>
  <c r="AW271" i="6" s="1"/>
  <c r="AX271" i="6" s="1"/>
  <c r="AU310" i="6"/>
  <c r="AW310" i="6" s="1"/>
  <c r="AX310" i="6" s="1"/>
  <c r="AU304" i="6"/>
  <c r="AW304" i="6" s="1"/>
  <c r="AU294" i="6"/>
  <c r="AW294" i="6" s="1"/>
  <c r="AU289" i="6"/>
  <c r="AW289" i="6" s="1"/>
  <c r="AU273" i="6"/>
  <c r="AW273" i="6" s="1"/>
  <c r="AV274" i="6"/>
  <c r="AU286" i="6"/>
  <c r="AW286" i="6" s="1"/>
  <c r="AX286" i="6" s="1"/>
  <c r="AV302" i="6"/>
  <c r="AU262" i="6"/>
  <c r="AW262" i="6" s="1"/>
  <c r="AU264" i="6"/>
  <c r="AW264" i="6" s="1"/>
  <c r="AV299" i="6"/>
  <c r="AV287" i="6"/>
  <c r="AV311" i="6"/>
  <c r="AU270" i="6"/>
  <c r="AW270" i="6" s="1"/>
  <c r="AV262" i="6"/>
  <c r="AV296" i="6"/>
  <c r="AV313" i="6"/>
  <c r="AV272" i="6"/>
  <c r="AV284" i="6"/>
  <c r="AU307" i="6"/>
  <c r="AW307" i="6" s="1"/>
  <c r="AV309" i="6"/>
  <c r="AV305" i="6"/>
  <c r="AV264" i="6"/>
  <c r="AU284" i="6"/>
  <c r="AW284" i="6" s="1"/>
  <c r="AU283" i="6"/>
  <c r="AW283" i="6" s="1"/>
  <c r="AV268" i="6"/>
  <c r="AV276" i="6"/>
  <c r="AV205" i="6"/>
  <c r="AV249" i="6"/>
  <c r="AV192" i="6"/>
  <c r="AU131" i="6"/>
  <c r="AW131" i="6" s="1"/>
  <c r="AU108" i="6"/>
  <c r="AW108" i="6" s="1"/>
  <c r="AU192" i="6"/>
  <c r="AW192" i="6" s="1"/>
  <c r="AV158" i="6"/>
  <c r="AU176" i="6"/>
  <c r="AW176" i="6" s="1"/>
  <c r="AX176" i="6" s="1"/>
  <c r="AV129" i="6"/>
  <c r="AV159" i="6"/>
  <c r="AU193" i="6"/>
  <c r="AW193" i="6" s="1"/>
  <c r="AX193" i="6" s="1"/>
  <c r="AV156" i="6"/>
  <c r="AV94" i="6"/>
  <c r="AV93" i="6"/>
  <c r="AU140" i="6"/>
  <c r="AW140" i="6" s="1"/>
  <c r="AX140" i="6" s="1"/>
  <c r="AU122" i="6"/>
  <c r="AW122" i="6" s="1"/>
  <c r="AX122" i="6" s="1"/>
  <c r="AU104" i="6"/>
  <c r="AW104" i="6" s="1"/>
  <c r="AV197" i="6"/>
  <c r="AV99" i="6"/>
  <c r="AV154" i="6"/>
  <c r="AV153" i="6"/>
  <c r="AU25" i="6"/>
  <c r="AW25" i="6" s="1"/>
  <c r="AX25" i="6" s="1"/>
  <c r="AV188" i="6"/>
  <c r="AU154" i="6"/>
  <c r="AW154" i="6" s="1"/>
  <c r="AX154" i="6" s="1"/>
  <c r="AU143" i="6"/>
  <c r="AW143" i="6" s="1"/>
  <c r="AX143" i="6" s="1"/>
  <c r="AU94" i="6"/>
  <c r="AW94" i="6" s="1"/>
  <c r="AV171" i="6"/>
  <c r="AV132" i="6"/>
  <c r="AV119" i="6"/>
  <c r="AU203" i="6"/>
  <c r="AW203" i="6" s="1"/>
  <c r="AX203" i="6" s="1"/>
  <c r="AU169" i="6"/>
  <c r="AW169" i="6" s="1"/>
  <c r="AX169" i="6" s="1"/>
  <c r="AV196" i="6"/>
  <c r="AU159" i="6"/>
  <c r="AW159" i="6" s="1"/>
  <c r="AV116" i="6"/>
  <c r="AV95" i="6"/>
  <c r="AU158" i="6"/>
  <c r="AW158" i="6" s="1"/>
  <c r="AU136" i="6"/>
  <c r="AW136" i="6" s="1"/>
  <c r="AU198" i="6"/>
  <c r="AW198" i="6" s="1"/>
  <c r="AX198" i="6" s="1"/>
  <c r="AV161" i="6"/>
  <c r="AV131" i="6"/>
  <c r="AU183" i="6"/>
  <c r="AW183" i="6" s="1"/>
  <c r="AU109" i="6"/>
  <c r="AW109" i="6" s="1"/>
  <c r="AX109" i="6" s="1"/>
  <c r="AV168" i="6"/>
  <c r="AV135" i="6"/>
  <c r="AU20" i="6"/>
  <c r="AW20" i="6" s="1"/>
  <c r="AV27" i="6"/>
  <c r="AV31" i="6"/>
  <c r="AU147" i="6"/>
  <c r="AW147" i="6" s="1"/>
  <c r="AX147" i="6" s="1"/>
  <c r="AV200" i="6"/>
  <c r="AU197" i="6"/>
  <c r="AW197" i="6" s="1"/>
  <c r="AX197" i="6" s="1"/>
  <c r="AV164" i="6"/>
  <c r="AU33" i="6"/>
  <c r="AW33" i="6" s="1"/>
  <c r="AX33" i="6" s="1"/>
  <c r="AU16" i="6"/>
  <c r="AW16" i="6" s="1"/>
  <c r="AU113" i="6"/>
  <c r="AW113" i="6" s="1"/>
  <c r="AX113" i="6" s="1"/>
  <c r="AV155" i="6"/>
  <c r="AU105" i="6"/>
  <c r="AW105" i="6" s="1"/>
  <c r="AX105" i="6" s="1"/>
  <c r="AV191" i="6"/>
  <c r="AV34" i="6"/>
  <c r="AU135" i="6"/>
  <c r="AW135" i="6" s="1"/>
  <c r="AU103" i="6"/>
  <c r="AW103" i="6" s="1"/>
  <c r="AX103" i="6" s="1"/>
  <c r="AU191" i="6"/>
  <c r="AW191" i="6" s="1"/>
  <c r="AX191" i="6" s="1"/>
  <c r="AV117" i="6"/>
  <c r="AV130" i="6"/>
  <c r="AV15" i="6"/>
  <c r="AU200" i="6"/>
  <c r="AW200" i="6" s="1"/>
  <c r="AX200" i="6" s="1"/>
  <c r="AV97" i="6"/>
  <c r="AU149" i="6"/>
  <c r="AW149" i="6" s="1"/>
  <c r="AV128" i="6"/>
  <c r="AU93" i="6"/>
  <c r="AW93" i="6" s="1"/>
  <c r="AU92" i="6"/>
  <c r="AW92" i="6" s="1"/>
  <c r="AX92" i="6" s="1"/>
  <c r="AV314" i="6"/>
  <c r="AU260" i="6"/>
  <c r="AW260" i="6" s="1"/>
  <c r="AX260" i="6" s="1"/>
  <c r="AU300" i="6"/>
  <c r="AW300" i="6" s="1"/>
  <c r="AU267" i="6"/>
  <c r="AW267" i="6" s="1"/>
  <c r="AX267" i="6" s="1"/>
  <c r="AU295" i="6"/>
  <c r="AW295" i="6" s="1"/>
  <c r="AU290" i="6"/>
  <c r="AW290" i="6" s="1"/>
  <c r="AV283" i="6"/>
  <c r="AV306" i="6"/>
  <c r="AV289" i="6"/>
  <c r="AV290" i="6"/>
  <c r="AV270" i="6"/>
  <c r="AV307" i="6"/>
  <c r="AU309" i="6"/>
  <c r="AW309" i="6" s="1"/>
  <c r="AU291" i="6"/>
  <c r="AW291" i="6" s="1"/>
  <c r="AU272" i="6"/>
  <c r="AW272" i="6" s="1"/>
  <c r="AX272" i="6" s="1"/>
  <c r="AU281" i="6"/>
  <c r="AW281" i="6" s="1"/>
  <c r="AX281" i="6" s="1"/>
  <c r="AV291" i="6"/>
  <c r="AU296" i="6"/>
  <c r="AW296" i="6" s="1"/>
  <c r="AU275" i="6"/>
  <c r="AW275" i="6" s="1"/>
  <c r="AX275" i="6" s="1"/>
  <c r="AV294" i="6"/>
  <c r="AV297" i="6"/>
  <c r="AU282" i="6"/>
  <c r="AW282" i="6" s="1"/>
  <c r="AU276" i="6"/>
  <c r="AW276" i="6" s="1"/>
  <c r="AV312" i="6"/>
  <c r="AV301" i="6"/>
  <c r="AU269" i="6"/>
  <c r="AW269" i="6" s="1"/>
  <c r="AU313" i="6"/>
  <c r="AW313" i="6" s="1"/>
  <c r="AV273" i="6"/>
  <c r="AV269" i="6"/>
  <c r="AV256" i="6"/>
  <c r="AU235" i="6"/>
  <c r="AW235" i="6" s="1"/>
  <c r="AX235" i="6" s="1"/>
  <c r="AU223" i="6"/>
  <c r="AW223" i="6" s="1"/>
  <c r="AV254" i="6"/>
  <c r="AV223" i="6"/>
  <c r="AV237" i="6"/>
  <c r="AU250" i="6"/>
  <c r="AW250" i="6" s="1"/>
  <c r="AX250" i="6" s="1"/>
  <c r="AV253" i="6"/>
  <c r="AX253" i="6" s="1"/>
  <c r="AV236" i="6"/>
  <c r="AU211" i="6"/>
  <c r="AW211" i="6" s="1"/>
  <c r="AU236" i="6"/>
  <c r="AW236" i="6" s="1"/>
  <c r="AX236" i="6" s="1"/>
  <c r="AV207" i="6"/>
  <c r="AU206" i="6"/>
  <c r="AW206" i="6" s="1"/>
  <c r="AX206" i="6" s="1"/>
  <c r="AV229" i="6"/>
  <c r="AV221" i="6"/>
  <c r="AX221" i="6" s="1"/>
  <c r="AU259" i="6"/>
  <c r="AW259" i="6" s="1"/>
  <c r="AU241" i="6"/>
  <c r="AW241" i="6" s="1"/>
  <c r="AX241" i="6" s="1"/>
  <c r="AU238" i="6"/>
  <c r="AW238" i="6" s="1"/>
  <c r="AV211" i="6"/>
  <c r="AU214" i="6"/>
  <c r="AW214" i="6" s="1"/>
  <c r="AU217" i="6"/>
  <c r="AW217" i="6" s="1"/>
  <c r="AV212" i="6"/>
  <c r="AU210" i="6"/>
  <c r="AW210" i="6" s="1"/>
  <c r="AX210" i="6" s="1"/>
  <c r="AV217" i="6"/>
  <c r="AU255" i="6"/>
  <c r="AW255" i="6" s="1"/>
  <c r="AU254" i="6"/>
  <c r="AW254" i="6" s="1"/>
  <c r="AX254" i="6" s="1"/>
  <c r="AU258" i="6"/>
  <c r="AW258" i="6" s="1"/>
  <c r="AX258" i="6" s="1"/>
  <c r="AV243" i="6"/>
  <c r="AV231" i="6"/>
  <c r="AX231" i="6" s="1"/>
  <c r="AU216" i="6"/>
  <c r="AW216" i="6" s="1"/>
  <c r="AU244" i="6"/>
  <c r="AW244" i="6" s="1"/>
  <c r="AX244" i="6" s="1"/>
  <c r="AU215" i="6"/>
  <c r="AW215" i="6" s="1"/>
  <c r="AU256" i="6"/>
  <c r="AW256" i="6" s="1"/>
  <c r="AX256" i="6" s="1"/>
  <c r="AU237" i="6"/>
  <c r="AW237" i="6" s="1"/>
  <c r="AX237" i="6" s="1"/>
  <c r="AV218" i="6"/>
  <c r="AX218" i="6" s="1"/>
  <c r="AV259" i="6"/>
  <c r="AU249" i="6"/>
  <c r="AW249" i="6" s="1"/>
  <c r="AX249" i="6" s="1"/>
  <c r="AV251" i="6"/>
  <c r="AU226" i="6"/>
  <c r="AW226" i="6" s="1"/>
  <c r="AX226" i="6" s="1"/>
  <c r="AU207" i="6"/>
  <c r="AW207" i="6" s="1"/>
  <c r="AX207" i="6" s="1"/>
  <c r="AV213" i="6"/>
  <c r="AX213" i="6" s="1"/>
  <c r="AV238" i="6"/>
  <c r="AV228" i="6"/>
  <c r="AU228" i="6"/>
  <c r="AW228" i="6" s="1"/>
  <c r="AV255" i="6"/>
  <c r="AV225" i="6"/>
  <c r="AX225" i="6" s="1"/>
  <c r="AU230" i="6"/>
  <c r="AW230" i="6" s="1"/>
  <c r="AX230" i="6" s="1"/>
  <c r="AV222" i="6"/>
  <c r="AV220" i="6"/>
  <c r="AX220" i="6" s="1"/>
  <c r="AU222" i="6"/>
  <c r="AW222" i="6" s="1"/>
  <c r="AX222" i="6" s="1"/>
  <c r="AU229" i="6"/>
  <c r="AW229" i="6" s="1"/>
  <c r="AU232" i="6"/>
  <c r="AW232" i="6" s="1"/>
  <c r="AX232" i="6" s="1"/>
  <c r="AU233" i="6"/>
  <c r="AW233" i="6" s="1"/>
  <c r="AX233" i="6" s="1"/>
  <c r="J213" i="6"/>
  <c r="J203" i="6"/>
  <c r="J194" i="6"/>
  <c r="J202" i="6"/>
  <c r="J201" i="6"/>
  <c r="I214" i="6"/>
  <c r="J214" i="6" s="1"/>
  <c r="I200" i="6"/>
  <c r="J200" i="6" s="1"/>
  <c r="J250" i="6"/>
  <c r="I197" i="6"/>
  <c r="J197" i="6" s="1"/>
  <c r="I210" i="6"/>
  <c r="J210" i="6" s="1"/>
  <c r="I274" i="6"/>
  <c r="J274" i="6" s="1"/>
  <c r="I229" i="6"/>
  <c r="J229" i="6" s="1"/>
  <c r="J208" i="6"/>
  <c r="I204" i="6"/>
  <c r="J204" i="6" s="1"/>
  <c r="I240" i="6"/>
  <c r="J240" i="6" s="1"/>
  <c r="I288" i="6"/>
  <c r="J288" i="6" s="1"/>
  <c r="I207" i="6"/>
  <c r="J207" i="6" s="1"/>
  <c r="I212" i="6"/>
  <c r="J212" i="6" s="1"/>
  <c r="I269" i="6"/>
  <c r="J269" i="6" s="1"/>
  <c r="I191" i="6"/>
  <c r="J191" i="6" s="1"/>
  <c r="J243" i="6"/>
  <c r="I242" i="6"/>
  <c r="J242" i="6" s="1"/>
  <c r="I281" i="6"/>
  <c r="J281" i="6" s="1"/>
  <c r="I258" i="6"/>
  <c r="J258" i="6" s="1"/>
  <c r="I272" i="6"/>
  <c r="J272" i="6" s="1"/>
  <c r="J256" i="6"/>
  <c r="I260" i="6"/>
  <c r="J260" i="6" s="1"/>
  <c r="J192" i="6"/>
  <c r="P39" i="6"/>
  <c r="P38" i="6" s="1"/>
  <c r="P40" i="6" s="1"/>
  <c r="Q39" i="6"/>
  <c r="Q38" i="6" s="1"/>
  <c r="N31" i="6"/>
  <c r="N39" i="6" s="1"/>
  <c r="N38" i="6" s="1"/>
  <c r="N40" i="6" s="1"/>
  <c r="M33" i="6"/>
  <c r="BH344" i="6"/>
  <c r="BH338" i="6"/>
  <c r="BH364" i="6"/>
  <c r="BH126" i="6"/>
  <c r="BH160" i="6"/>
  <c r="BH215" i="6"/>
  <c r="BH341" i="6"/>
  <c r="BH307" i="6"/>
  <c r="BH70" i="6"/>
  <c r="BH114" i="6"/>
  <c r="BH38" i="6"/>
  <c r="BH45" i="6"/>
  <c r="BH312" i="6"/>
  <c r="BH330" i="6"/>
  <c r="BH158" i="6"/>
  <c r="BH154" i="6"/>
  <c r="BH378" i="6"/>
  <c r="BH268" i="6"/>
  <c r="BH59" i="6"/>
  <c r="BH379" i="6"/>
  <c r="BH178" i="6"/>
  <c r="BH41" i="6"/>
  <c r="BH278" i="6"/>
  <c r="BH116" i="6"/>
  <c r="BH111" i="6"/>
  <c r="BH15" i="6"/>
  <c r="BH342" i="6"/>
  <c r="BH132" i="6"/>
  <c r="BH185" i="6"/>
  <c r="BH366" i="6"/>
  <c r="BH129" i="6"/>
  <c r="BH191" i="6"/>
  <c r="BH291" i="6"/>
  <c r="BH315" i="6"/>
  <c r="BH58" i="6"/>
  <c r="BH192" i="6"/>
  <c r="BH262" i="6"/>
  <c r="BH219" i="6"/>
  <c r="BH68" i="6"/>
  <c r="BH151" i="6"/>
  <c r="BH220" i="6"/>
  <c r="BH169" i="6"/>
  <c r="BH282" i="6"/>
  <c r="BH28" i="6"/>
  <c r="BH334" i="6"/>
  <c r="BH133" i="6"/>
  <c r="BH247" i="6"/>
  <c r="BH329" i="6"/>
  <c r="BH35" i="6"/>
  <c r="BH55" i="6"/>
  <c r="BH184" i="6"/>
  <c r="BH351" i="6"/>
  <c r="BH146" i="6"/>
  <c r="BH292" i="6"/>
  <c r="BH320" i="6"/>
  <c r="BH22" i="6"/>
  <c r="BH172" i="6"/>
  <c r="BH376" i="6"/>
  <c r="AS169" i="6"/>
  <c r="AS185" i="6"/>
  <c r="AS111" i="6"/>
  <c r="AS108" i="6"/>
  <c r="AS147" i="6"/>
  <c r="AS95" i="6"/>
  <c r="AS161" i="6"/>
  <c r="AS79" i="6"/>
  <c r="AS100" i="6"/>
  <c r="AS114" i="6"/>
  <c r="AS151" i="6"/>
  <c r="AS98" i="6"/>
  <c r="AS170" i="6"/>
  <c r="AS154" i="6"/>
  <c r="AS179" i="6"/>
  <c r="AS80" i="6"/>
  <c r="AS139" i="6"/>
  <c r="AS127" i="6"/>
  <c r="AS155" i="6"/>
  <c r="AS183" i="6"/>
  <c r="I51" i="6"/>
  <c r="I42" i="6"/>
  <c r="I52" i="6"/>
  <c r="I38" i="6"/>
  <c r="I36" i="6"/>
  <c r="I53" i="6"/>
  <c r="I56" i="6"/>
  <c r="I48" i="6"/>
  <c r="I57" i="6"/>
  <c r="I40" i="6"/>
  <c r="I60" i="6"/>
  <c r="I63" i="6"/>
  <c r="J71" i="6"/>
  <c r="I372" i="6"/>
  <c r="I309" i="6"/>
  <c r="J309" i="6" s="1"/>
  <c r="I324" i="6"/>
  <c r="I371" i="6"/>
  <c r="J371" i="6" s="1"/>
  <c r="AX66" i="6"/>
  <c r="AX54" i="6"/>
  <c r="AX37" i="6"/>
  <c r="AX72" i="6"/>
  <c r="AX71" i="6"/>
  <c r="AX89" i="6"/>
  <c r="J76" i="6"/>
  <c r="J65" i="6"/>
  <c r="J64" i="6"/>
  <c r="J66" i="6"/>
  <c r="J69" i="6"/>
  <c r="J277" i="6"/>
  <c r="J285" i="6"/>
  <c r="J276" i="6"/>
  <c r="Y52" i="6"/>
  <c r="AU316" i="6"/>
  <c r="AW316" i="6" s="1"/>
  <c r="AV316" i="6"/>
  <c r="AV12" i="6" s="1"/>
  <c r="AV379" i="6"/>
  <c r="AU379" i="6"/>
  <c r="AW379" i="6" s="1"/>
  <c r="AU374" i="6"/>
  <c r="AW374" i="6" s="1"/>
  <c r="AV377" i="6"/>
  <c r="AU372" i="6"/>
  <c r="AW372" i="6" s="1"/>
  <c r="AU375" i="6"/>
  <c r="AW375" i="6" s="1"/>
  <c r="AU377" i="6"/>
  <c r="AW377" i="6" s="1"/>
  <c r="AV378" i="6"/>
  <c r="AU380" i="6"/>
  <c r="AW380" i="6" s="1"/>
  <c r="Z52" i="6"/>
  <c r="AU378" i="6"/>
  <c r="AW378" i="6" s="1"/>
  <c r="AV380" i="6"/>
  <c r="AV373" i="6"/>
  <c r="AV376" i="6"/>
  <c r="AV375" i="6"/>
  <c r="AV372" i="6"/>
  <c r="AU373" i="6"/>
  <c r="AW373" i="6" s="1"/>
  <c r="AX373" i="6" s="1"/>
  <c r="AU376" i="6"/>
  <c r="AW376" i="6" s="1"/>
  <c r="AX376" i="6" s="1"/>
  <c r="AV374" i="6"/>
  <c r="AV361" i="6"/>
  <c r="AV342" i="6"/>
  <c r="AV340" i="6"/>
  <c r="AU319" i="6"/>
  <c r="AW319" i="6" s="1"/>
  <c r="AU370" i="6"/>
  <c r="AW370" i="6" s="1"/>
  <c r="AV354" i="6"/>
  <c r="AU368" i="6"/>
  <c r="AW368" i="6" s="1"/>
  <c r="AV360" i="6"/>
  <c r="AU323" i="6"/>
  <c r="AW323" i="6" s="1"/>
  <c r="AU330" i="6"/>
  <c r="AW330" i="6" s="1"/>
  <c r="AV339" i="6"/>
  <c r="AU369" i="6"/>
  <c r="AW369" i="6" s="1"/>
  <c r="AU357" i="6"/>
  <c r="AW357" i="6" s="1"/>
  <c r="AU354" i="6"/>
  <c r="AW354" i="6" s="1"/>
  <c r="AX354" i="6" s="1"/>
  <c r="AV355" i="6"/>
  <c r="AU345" i="6"/>
  <c r="AW345" i="6" s="1"/>
  <c r="AV330" i="6"/>
  <c r="AV336" i="6"/>
  <c r="AU344" i="6"/>
  <c r="AW344" i="6" s="1"/>
  <c r="AU362" i="6"/>
  <c r="AW362" i="6" s="1"/>
  <c r="AU347" i="6"/>
  <c r="AW347" i="6" s="1"/>
  <c r="AU340" i="6"/>
  <c r="AW340" i="6" s="1"/>
  <c r="AV331" i="6"/>
  <c r="AV337" i="6"/>
  <c r="AU358" i="6"/>
  <c r="AW358" i="6" s="1"/>
  <c r="AU332" i="6"/>
  <c r="AW332" i="6" s="1"/>
  <c r="AU321" i="6"/>
  <c r="AW321" i="6" s="1"/>
  <c r="AV317" i="6"/>
  <c r="AV349" i="6"/>
  <c r="AV332" i="6"/>
  <c r="AV370" i="6"/>
  <c r="AU335" i="6"/>
  <c r="AW335" i="6" s="1"/>
  <c r="AU333" i="6"/>
  <c r="AW333" i="6" s="1"/>
  <c r="AU329" i="6"/>
  <c r="AW329" i="6" s="1"/>
  <c r="AU351" i="6"/>
  <c r="AW351" i="6" s="1"/>
  <c r="AV358" i="6"/>
  <c r="AV364" i="6"/>
  <c r="AU328" i="6"/>
  <c r="AW328" i="6" s="1"/>
  <c r="AV368" i="6"/>
  <c r="AV345" i="6"/>
  <c r="AU366" i="6"/>
  <c r="AW366" i="6" s="1"/>
  <c r="AV369" i="6"/>
  <c r="AV363" i="6"/>
  <c r="AV371" i="6"/>
  <c r="AU339" i="6"/>
  <c r="AW339" i="6" s="1"/>
  <c r="AX339" i="6" s="1"/>
  <c r="AV327" i="6"/>
  <c r="AV335" i="6"/>
  <c r="AV344" i="6"/>
  <c r="AV329" i="6"/>
  <c r="AU337" i="6"/>
  <c r="AW337" i="6" s="1"/>
  <c r="AX337" i="6" s="1"/>
  <c r="AU326" i="6"/>
  <c r="AW326" i="6" s="1"/>
  <c r="AV334" i="6"/>
  <c r="AU336" i="6"/>
  <c r="AW336" i="6" s="1"/>
  <c r="AU341" i="6"/>
  <c r="AW341" i="6" s="1"/>
  <c r="AU371" i="6"/>
  <c r="AW371" i="6" s="1"/>
  <c r="AV351" i="6"/>
  <c r="AV326" i="6"/>
  <c r="AU331" i="6"/>
  <c r="AW331" i="6" s="1"/>
  <c r="AU327" i="6"/>
  <c r="AW327" i="6" s="1"/>
  <c r="AV366" i="6"/>
  <c r="AV362" i="6"/>
  <c r="AV333" i="6"/>
  <c r="AU348" i="6"/>
  <c r="AW348" i="6" s="1"/>
  <c r="AU324" i="6"/>
  <c r="AW324" i="6" s="1"/>
  <c r="AU322" i="6"/>
  <c r="AW322" i="6" s="1"/>
  <c r="AU342" i="6"/>
  <c r="AW342" i="6" s="1"/>
  <c r="AX342" i="6" s="1"/>
  <c r="AV323" i="6"/>
  <c r="AU367" i="6"/>
  <c r="AW367" i="6" s="1"/>
  <c r="AV365" i="6"/>
  <c r="AU352" i="6"/>
  <c r="AW352" i="6" s="1"/>
  <c r="AV347" i="6"/>
  <c r="AU346" i="6"/>
  <c r="AW346" i="6" s="1"/>
  <c r="AV367" i="6"/>
  <c r="AU320" i="6"/>
  <c r="AW320" i="6" s="1"/>
  <c r="AV318" i="6"/>
  <c r="AU356" i="6"/>
  <c r="AW356" i="6" s="1"/>
  <c r="AU353" i="6"/>
  <c r="AW353" i="6" s="1"/>
  <c r="AV348" i="6"/>
  <c r="AU325" i="6"/>
  <c r="AW325" i="6" s="1"/>
  <c r="AU350" i="6"/>
  <c r="AW350" i="6" s="1"/>
  <c r="AV356" i="6"/>
  <c r="AU363" i="6"/>
  <c r="AW363" i="6" s="1"/>
  <c r="AV319" i="6"/>
  <c r="AU343" i="6"/>
  <c r="AW343" i="6" s="1"/>
  <c r="AU318" i="6"/>
  <c r="AW318" i="6" s="1"/>
  <c r="AX318" i="6" s="1"/>
  <c r="AU338" i="6"/>
  <c r="AW338" i="6" s="1"/>
  <c r="AU359" i="6"/>
  <c r="AW359" i="6" s="1"/>
  <c r="AV338" i="6"/>
  <c r="AU355" i="6"/>
  <c r="AW355" i="6" s="1"/>
  <c r="AX355" i="6" s="1"/>
  <c r="AU365" i="6"/>
  <c r="AW365" i="6" s="1"/>
  <c r="AV321" i="6"/>
  <c r="AU349" i="6"/>
  <c r="AW349" i="6" s="1"/>
  <c r="AV328" i="6"/>
  <c r="AV343" i="6"/>
  <c r="AV352" i="6"/>
  <c r="AU360" i="6"/>
  <c r="AW360" i="6" s="1"/>
  <c r="AX360" i="6" s="1"/>
  <c r="AU334" i="6"/>
  <c r="AW334" i="6" s="1"/>
  <c r="AU361" i="6"/>
  <c r="AW361" i="6" s="1"/>
  <c r="AV350" i="6"/>
  <c r="AU317" i="6"/>
  <c r="AW317" i="6" s="1"/>
  <c r="AX317" i="6" s="1"/>
  <c r="AV353" i="6"/>
  <c r="AV325" i="6"/>
  <c r="AV322" i="6"/>
  <c r="AV359" i="6"/>
  <c r="AU364" i="6"/>
  <c r="AW364" i="6" s="1"/>
  <c r="AX364" i="6" s="1"/>
  <c r="AV346" i="6"/>
  <c r="AV341" i="6"/>
  <c r="AV357" i="6"/>
  <c r="AV320" i="6"/>
  <c r="AV324" i="6"/>
  <c r="Y51" i="6"/>
  <c r="I58" i="6"/>
  <c r="I46" i="6"/>
  <c r="I54" i="6"/>
  <c r="G13" i="6"/>
  <c r="G12" i="6"/>
  <c r="I55" i="6"/>
  <c r="I44" i="6"/>
  <c r="I49" i="6"/>
  <c r="I50" i="6"/>
  <c r="I37" i="6"/>
  <c r="I357" i="6"/>
  <c r="I311" i="6"/>
  <c r="J311" i="6" s="1"/>
  <c r="I349" i="6"/>
  <c r="I352" i="6"/>
  <c r="I377" i="6"/>
  <c r="I313" i="6"/>
  <c r="J313" i="6" s="1"/>
  <c r="I291" i="6"/>
  <c r="J291" i="6" s="1"/>
  <c r="I336" i="6"/>
  <c r="I301" i="6"/>
  <c r="J301" i="6" s="1"/>
  <c r="I300" i="6"/>
  <c r="J300" i="6" s="1"/>
  <c r="I298" i="6"/>
  <c r="J298" i="6" s="1"/>
  <c r="I334" i="6"/>
  <c r="I302" i="6"/>
  <c r="J302" i="6" s="1"/>
  <c r="I305" i="6"/>
  <c r="J305" i="6" s="1"/>
  <c r="I327" i="6"/>
  <c r="I337" i="6"/>
  <c r="I354" i="6"/>
  <c r="I368" i="6"/>
  <c r="J368" i="6" s="1"/>
  <c r="I373" i="6"/>
  <c r="I340" i="6"/>
  <c r="I325" i="6"/>
  <c r="I360" i="6"/>
  <c r="J360" i="6" s="1"/>
  <c r="I350" i="6"/>
  <c r="I367" i="6"/>
  <c r="J367" i="6" s="1"/>
  <c r="I370" i="6"/>
  <c r="J370" i="6" s="1"/>
  <c r="I379" i="6"/>
  <c r="I316" i="6"/>
  <c r="I321" i="6"/>
  <c r="I341" i="6"/>
  <c r="I289" i="6"/>
  <c r="J289" i="6" s="1"/>
  <c r="I317" i="6"/>
  <c r="I335" i="6"/>
  <c r="I342" i="6"/>
  <c r="AK24" i="6"/>
  <c r="AK23" i="6" s="1"/>
  <c r="AK25" i="6" s="1"/>
  <c r="M36" i="6"/>
  <c r="X37" i="6"/>
  <c r="AP311" i="6"/>
  <c r="AR311" i="6" s="1"/>
  <c r="AQ304" i="6"/>
  <c r="AP338" i="6"/>
  <c r="AR338" i="6" s="1"/>
  <c r="AQ337" i="6"/>
  <c r="AP331" i="6"/>
  <c r="AR331" i="6" s="1"/>
  <c r="AQ346" i="6"/>
  <c r="AQ373" i="6"/>
  <c r="AQ340" i="6"/>
  <c r="AQ374" i="6"/>
  <c r="AP325" i="6"/>
  <c r="AR325" i="6" s="1"/>
  <c r="AQ308" i="6"/>
  <c r="AP326" i="6"/>
  <c r="AR326" i="6" s="1"/>
  <c r="AQ305" i="6"/>
  <c r="AP349" i="6"/>
  <c r="AR349" i="6" s="1"/>
  <c r="AP353" i="6"/>
  <c r="AR353" i="6" s="1"/>
  <c r="AQ379" i="6"/>
  <c r="AQ320" i="6"/>
  <c r="AP369" i="6"/>
  <c r="AR369" i="6" s="1"/>
  <c r="AQ327" i="6"/>
  <c r="AQ380" i="6"/>
  <c r="AP330" i="6"/>
  <c r="AR330" i="6" s="1"/>
  <c r="AQ365" i="6"/>
  <c r="AQ336" i="6"/>
  <c r="AQ376" i="6"/>
  <c r="AQ332" i="6"/>
  <c r="AP315" i="6"/>
  <c r="AR315" i="6" s="1"/>
  <c r="AP354" i="6"/>
  <c r="AR354" i="6" s="1"/>
  <c r="AP348" i="6"/>
  <c r="AR348" i="6" s="1"/>
  <c r="AP358" i="6"/>
  <c r="AR358" i="6" s="1"/>
  <c r="AP343" i="6"/>
  <c r="AR343" i="6" s="1"/>
  <c r="AQ321" i="6"/>
  <c r="AQ356" i="6"/>
  <c r="AP379" i="6"/>
  <c r="AR379" i="6" s="1"/>
  <c r="AP344" i="6"/>
  <c r="AR344" i="6" s="1"/>
  <c r="AP355" i="6"/>
  <c r="AR355" i="6" s="1"/>
  <c r="AP305" i="6"/>
  <c r="AR305" i="6" s="1"/>
  <c r="AP347" i="6"/>
  <c r="AR347" i="6" s="1"/>
  <c r="AQ368" i="6"/>
  <c r="AP332" i="6"/>
  <c r="AR332" i="6" s="1"/>
  <c r="AS332" i="6" s="1"/>
  <c r="AP374" i="6"/>
  <c r="AR374" i="6" s="1"/>
  <c r="AQ319" i="6"/>
  <c r="AP329" i="6"/>
  <c r="AR329" i="6" s="1"/>
  <c r="AQ348" i="6"/>
  <c r="AP368" i="6"/>
  <c r="AR368" i="6" s="1"/>
  <c r="AS368" i="6" s="1"/>
  <c r="AQ342" i="6"/>
  <c r="AP352" i="6"/>
  <c r="AR352" i="6" s="1"/>
  <c r="AQ363" i="6"/>
  <c r="AQ328" i="6"/>
  <c r="AP328" i="6"/>
  <c r="AR328" i="6" s="1"/>
  <c r="AP372" i="6"/>
  <c r="AR372" i="6" s="1"/>
  <c r="AQ318" i="6"/>
  <c r="AP306" i="6"/>
  <c r="AR306" i="6" s="1"/>
  <c r="AQ302" i="6"/>
  <c r="AQ360" i="6"/>
  <c r="AP313" i="6"/>
  <c r="AR313" i="6" s="1"/>
  <c r="AQ326" i="6"/>
  <c r="AQ347" i="6"/>
  <c r="AP340" i="6"/>
  <c r="AR340" i="6" s="1"/>
  <c r="AS340" i="6" s="1"/>
  <c r="AP377" i="6"/>
  <c r="AR377" i="6" s="1"/>
  <c r="AP359" i="6"/>
  <c r="AR359" i="6" s="1"/>
  <c r="AP323" i="6"/>
  <c r="AR323" i="6" s="1"/>
  <c r="AP335" i="6"/>
  <c r="AR335" i="6" s="1"/>
  <c r="AQ322" i="6"/>
  <c r="AQ367" i="6"/>
  <c r="AP336" i="6"/>
  <c r="AR336" i="6" s="1"/>
  <c r="AS336" i="6" s="1"/>
  <c r="AQ310" i="6"/>
  <c r="AP346" i="6"/>
  <c r="AR346" i="6" s="1"/>
  <c r="AQ338" i="6"/>
  <c r="AP365" i="6"/>
  <c r="AR365" i="6" s="1"/>
  <c r="AP308" i="6"/>
  <c r="AR308" i="6" s="1"/>
  <c r="AP321" i="6"/>
  <c r="AR321" i="6" s="1"/>
  <c r="AS321" i="6" s="1"/>
  <c r="AQ378" i="6"/>
  <c r="AP342" i="6"/>
  <c r="AR342" i="6" s="1"/>
  <c r="AS342" i="6" s="1"/>
  <c r="AQ330" i="6"/>
  <c r="AQ314" i="6"/>
  <c r="AQ352" i="6"/>
  <c r="AQ361" i="6"/>
  <c r="AP367" i="6"/>
  <c r="AR367" i="6" s="1"/>
  <c r="AS367" i="6" s="1"/>
  <c r="AQ351" i="6"/>
  <c r="AQ312" i="6"/>
  <c r="AP318" i="6"/>
  <c r="AR318" i="6" s="1"/>
  <c r="AS318" i="6" s="1"/>
  <c r="AQ345" i="6"/>
  <c r="AP341" i="6"/>
  <c r="AR341" i="6" s="1"/>
  <c r="AP366" i="6"/>
  <c r="AR366" i="6" s="1"/>
  <c r="AP362" i="6"/>
  <c r="AR362" i="6" s="1"/>
  <c r="AQ309" i="6"/>
  <c r="AQ306" i="6"/>
  <c r="AP351" i="6"/>
  <c r="AR351" i="6" s="1"/>
  <c r="AP373" i="6"/>
  <c r="AR373" i="6" s="1"/>
  <c r="AS373" i="6" s="1"/>
  <c r="AQ325" i="6"/>
  <c r="AQ371" i="6"/>
  <c r="AQ317" i="6"/>
  <c r="AQ354" i="6"/>
  <c r="AQ377" i="6"/>
  <c r="AP357" i="6"/>
  <c r="AR357" i="6" s="1"/>
  <c r="AQ369" i="6"/>
  <c r="AQ366" i="6"/>
  <c r="AQ311" i="6"/>
  <c r="AP360" i="6"/>
  <c r="AR360" i="6" s="1"/>
  <c r="AP378" i="6"/>
  <c r="AR378" i="6" s="1"/>
  <c r="AS378" i="6" s="1"/>
  <c r="AP309" i="6"/>
  <c r="AR309" i="6" s="1"/>
  <c r="AP312" i="6"/>
  <c r="AR312" i="6" s="1"/>
  <c r="AS312" i="6" s="1"/>
  <c r="AQ358" i="6"/>
  <c r="AQ315" i="6"/>
  <c r="AP320" i="6"/>
  <c r="AR320" i="6" s="1"/>
  <c r="AS320" i="6" s="1"/>
  <c r="AP303" i="6"/>
  <c r="AR303" i="6" s="1"/>
  <c r="AQ333" i="6"/>
  <c r="AP327" i="6"/>
  <c r="AR327" i="6" s="1"/>
  <c r="AQ350" i="6"/>
  <c r="AQ375" i="6"/>
  <c r="AQ303" i="6"/>
  <c r="AQ316" i="6"/>
  <c r="AQ323" i="6"/>
  <c r="AP364" i="6"/>
  <c r="AR364" i="6" s="1"/>
  <c r="AQ331" i="6"/>
  <c r="AP370" i="6"/>
  <c r="AR370" i="6" s="1"/>
  <c r="AQ355" i="6"/>
  <c r="AQ313" i="6"/>
  <c r="AP324" i="6"/>
  <c r="AR324" i="6" s="1"/>
  <c r="AQ226" i="6"/>
  <c r="AP242" i="6"/>
  <c r="AR242" i="6" s="1"/>
  <c r="AP225" i="6"/>
  <c r="AR225" i="6" s="1"/>
  <c r="AQ199" i="6"/>
  <c r="AP238" i="6"/>
  <c r="AR238" i="6" s="1"/>
  <c r="AQ200" i="6"/>
  <c r="AP196" i="6"/>
  <c r="AR196" i="6" s="1"/>
  <c r="AQ233" i="6"/>
  <c r="AQ214" i="6"/>
  <c r="AQ195" i="6"/>
  <c r="AQ239" i="6"/>
  <c r="AQ217" i="6"/>
  <c r="AQ202" i="6"/>
  <c r="AP219" i="6"/>
  <c r="AR219" i="6" s="1"/>
  <c r="AQ212" i="6"/>
  <c r="AQ207" i="6"/>
  <c r="AQ235" i="6"/>
  <c r="AQ344" i="6"/>
  <c r="AP361" i="6"/>
  <c r="AR361" i="6" s="1"/>
  <c r="AP307" i="6"/>
  <c r="AR307" i="6" s="1"/>
  <c r="AP376" i="6"/>
  <c r="AR376" i="6" s="1"/>
  <c r="AS376" i="6" s="1"/>
  <c r="AP350" i="6"/>
  <c r="AR350" i="6" s="1"/>
  <c r="AS350" i="6" s="1"/>
  <c r="AQ324" i="6"/>
  <c r="AP333" i="6"/>
  <c r="AR333" i="6" s="1"/>
  <c r="AS333" i="6" s="1"/>
  <c r="AQ335" i="6"/>
  <c r="AP314" i="6"/>
  <c r="AR314" i="6" s="1"/>
  <c r="AS314" i="6" s="1"/>
  <c r="AQ339" i="6"/>
  <c r="AP339" i="6"/>
  <c r="AR339" i="6" s="1"/>
  <c r="AQ329" i="6"/>
  <c r="AP363" i="6"/>
  <c r="AR363" i="6" s="1"/>
  <c r="AS363" i="6" s="1"/>
  <c r="AQ349" i="6"/>
  <c r="AP319" i="6"/>
  <c r="AR319" i="6" s="1"/>
  <c r="AS319" i="6" s="1"/>
  <c r="AP337" i="6"/>
  <c r="AR337" i="6" s="1"/>
  <c r="AS337" i="6" s="1"/>
  <c r="AP334" i="6"/>
  <c r="AR334" i="6" s="1"/>
  <c r="AQ307" i="6"/>
  <c r="AP310" i="6"/>
  <c r="AR310" i="6" s="1"/>
  <c r="AQ334" i="6"/>
  <c r="AP316" i="6"/>
  <c r="AR316" i="6" s="1"/>
  <c r="AQ370" i="6"/>
  <c r="AQ343" i="6"/>
  <c r="AP304" i="6"/>
  <c r="AR304" i="6" s="1"/>
  <c r="AS304" i="6" s="1"/>
  <c r="AQ357" i="6"/>
  <c r="AQ364" i="6"/>
  <c r="AP317" i="6"/>
  <c r="AR317" i="6" s="1"/>
  <c r="AP302" i="6"/>
  <c r="AR302" i="6" s="1"/>
  <c r="AQ362" i="6"/>
  <c r="AQ359" i="6"/>
  <c r="AQ372" i="6"/>
  <c r="AP380" i="6"/>
  <c r="AR380" i="6" s="1"/>
  <c r="AS380" i="6" s="1"/>
  <c r="AP322" i="6"/>
  <c r="AR322" i="6" s="1"/>
  <c r="AS322" i="6" s="1"/>
  <c r="AQ353" i="6"/>
  <c r="AP371" i="6"/>
  <c r="AR371" i="6" s="1"/>
  <c r="AS371" i="6" s="1"/>
  <c r="AP345" i="6"/>
  <c r="AR345" i="6" s="1"/>
  <c r="AS345" i="6" s="1"/>
  <c r="AP356" i="6"/>
  <c r="AR356" i="6" s="1"/>
  <c r="AS356" i="6" s="1"/>
  <c r="AP375" i="6"/>
  <c r="AR375" i="6" s="1"/>
  <c r="AS375" i="6" s="1"/>
  <c r="AQ341" i="6"/>
  <c r="AQ198" i="6"/>
  <c r="AQ245" i="6"/>
  <c r="AP202" i="6"/>
  <c r="AR202" i="6" s="1"/>
  <c r="AS202" i="6" s="1"/>
  <c r="AP206" i="6"/>
  <c r="AR206" i="6" s="1"/>
  <c r="AP230" i="6"/>
  <c r="AR230" i="6" s="1"/>
  <c r="AQ192" i="6"/>
  <c r="AQ222" i="6"/>
  <c r="AQ227" i="6"/>
  <c r="AQ210" i="6"/>
  <c r="AP221" i="6"/>
  <c r="AR221" i="6" s="1"/>
  <c r="AQ234" i="6"/>
  <c r="AQ194" i="6"/>
  <c r="AQ236" i="6"/>
  <c r="AQ211" i="6"/>
  <c r="AP224" i="6"/>
  <c r="AR224" i="6" s="1"/>
  <c r="AP223" i="6"/>
  <c r="AR223" i="6" s="1"/>
  <c r="AQ229" i="6"/>
  <c r="AP205" i="6"/>
  <c r="AR205" i="6" s="1"/>
  <c r="AP231" i="6"/>
  <c r="AR231" i="6" s="1"/>
  <c r="AP217" i="6"/>
  <c r="AR217" i="6" s="1"/>
  <c r="AS217" i="6" s="1"/>
  <c r="AP229" i="6"/>
  <c r="AR229" i="6" s="1"/>
  <c r="AS229" i="6" s="1"/>
  <c r="AP215" i="6"/>
  <c r="AR215" i="6" s="1"/>
  <c r="AQ223" i="6"/>
  <c r="AP234" i="6"/>
  <c r="AR234" i="6" s="1"/>
  <c r="AP209" i="6"/>
  <c r="AR209" i="6" s="1"/>
  <c r="AP207" i="6"/>
  <c r="AR207" i="6" s="1"/>
  <c r="AS207" i="6" s="1"/>
  <c r="AQ244" i="6"/>
  <c r="AQ221" i="6"/>
  <c r="AQ197" i="6"/>
  <c r="AQ218" i="6"/>
  <c r="AP236" i="6"/>
  <c r="AR236" i="6" s="1"/>
  <c r="AS236" i="6" s="1"/>
  <c r="AP203" i="6"/>
  <c r="AR203" i="6" s="1"/>
  <c r="AP213" i="6"/>
  <c r="AR213" i="6" s="1"/>
  <c r="AQ242" i="6"/>
  <c r="AP243" i="6"/>
  <c r="AR243" i="6" s="1"/>
  <c r="AP241" i="6"/>
  <c r="AR241" i="6" s="1"/>
  <c r="AQ225" i="6"/>
  <c r="AP239" i="6"/>
  <c r="AR239" i="6" s="1"/>
  <c r="AP212" i="6"/>
  <c r="AR212" i="6" s="1"/>
  <c r="AS212" i="6" s="1"/>
  <c r="AQ220" i="6"/>
  <c r="AP195" i="6"/>
  <c r="AR195" i="6" s="1"/>
  <c r="AP245" i="6"/>
  <c r="AR245" i="6" s="1"/>
  <c r="AS245" i="6" s="1"/>
  <c r="AQ205" i="6"/>
  <c r="AP201" i="6"/>
  <c r="AR201" i="6" s="1"/>
  <c r="AQ243" i="6"/>
  <c r="AQ240" i="6"/>
  <c r="AQ208" i="6"/>
  <c r="AP200" i="6"/>
  <c r="AR200" i="6" s="1"/>
  <c r="AS200" i="6" s="1"/>
  <c r="AQ204" i="6"/>
  <c r="AQ238" i="6"/>
  <c r="AP258" i="6"/>
  <c r="AR258" i="6" s="1"/>
  <c r="AQ287" i="6"/>
  <c r="AQ288" i="6"/>
  <c r="AP282" i="6"/>
  <c r="AR282" i="6" s="1"/>
  <c r="AP251" i="6"/>
  <c r="AR251" i="6" s="1"/>
  <c r="AP275" i="6"/>
  <c r="AR275" i="6" s="1"/>
  <c r="AQ298" i="6"/>
  <c r="AQ265" i="6"/>
  <c r="AQ297" i="6"/>
  <c r="AQ260" i="6"/>
  <c r="AQ293" i="6"/>
  <c r="AP254" i="6"/>
  <c r="AR254" i="6" s="1"/>
  <c r="AQ290" i="6"/>
  <c r="AP271" i="6"/>
  <c r="AR271" i="6" s="1"/>
  <c r="AQ273" i="6"/>
  <c r="AQ266" i="6"/>
  <c r="AQ270" i="6"/>
  <c r="AQ251" i="6"/>
  <c r="AP260" i="6"/>
  <c r="AR260" i="6" s="1"/>
  <c r="AQ268" i="6"/>
  <c r="AQ275" i="6"/>
  <c r="AP256" i="6"/>
  <c r="AR256" i="6" s="1"/>
  <c r="AQ264" i="6"/>
  <c r="AP301" i="6"/>
  <c r="AR301" i="6" s="1"/>
  <c r="AQ267" i="6"/>
  <c r="AQ272" i="6"/>
  <c r="AP255" i="6"/>
  <c r="AR255" i="6" s="1"/>
  <c r="AQ262" i="6"/>
  <c r="AQ301" i="6"/>
  <c r="AP263" i="6"/>
  <c r="AR263" i="6" s="1"/>
  <c r="AP298" i="6"/>
  <c r="AR298" i="6" s="1"/>
  <c r="AS298" i="6" s="1"/>
  <c r="AQ286" i="6"/>
  <c r="AQ248" i="6"/>
  <c r="AP283" i="6"/>
  <c r="AR283" i="6" s="1"/>
  <c r="AP287" i="6"/>
  <c r="AR287" i="6" s="1"/>
  <c r="AQ280" i="6"/>
  <c r="AP276" i="6"/>
  <c r="AR276" i="6" s="1"/>
  <c r="AP280" i="6"/>
  <c r="AR280" i="6" s="1"/>
  <c r="AS280" i="6" s="1"/>
  <c r="AQ249" i="6"/>
  <c r="AP248" i="6"/>
  <c r="AR248" i="6" s="1"/>
  <c r="AP286" i="6"/>
  <c r="AR286" i="6" s="1"/>
  <c r="AP293" i="6"/>
  <c r="AR293" i="6" s="1"/>
  <c r="AP273" i="6"/>
  <c r="AR273" i="6" s="1"/>
  <c r="AS273" i="6" s="1"/>
  <c r="AP285" i="6"/>
  <c r="AR285" i="6" s="1"/>
  <c r="AQ300" i="6"/>
  <c r="AP278" i="6"/>
  <c r="AR278" i="6" s="1"/>
  <c r="AP299" i="6"/>
  <c r="AR299" i="6" s="1"/>
  <c r="AP288" i="6"/>
  <c r="AR288" i="6" s="1"/>
  <c r="AP265" i="6"/>
  <c r="AR265" i="6" s="1"/>
  <c r="AQ274" i="6"/>
  <c r="AQ256" i="6"/>
  <c r="AP289" i="6"/>
  <c r="AR289" i="6" s="1"/>
  <c r="AQ247" i="6"/>
  <c r="AQ241" i="6"/>
  <c r="AP204" i="6"/>
  <c r="AR204" i="6" s="1"/>
  <c r="AS204" i="6" s="1"/>
  <c r="AP233" i="6"/>
  <c r="AR233" i="6" s="1"/>
  <c r="AS233" i="6" s="1"/>
  <c r="AP226" i="6"/>
  <c r="AR226" i="6" s="1"/>
  <c r="AS226" i="6" s="1"/>
  <c r="AP191" i="6"/>
  <c r="AR191" i="6" s="1"/>
  <c r="AQ206" i="6"/>
  <c r="AP227" i="6"/>
  <c r="AR227" i="6" s="1"/>
  <c r="AS227" i="6" s="1"/>
  <c r="AQ237" i="6"/>
  <c r="AQ209" i="6"/>
  <c r="AQ201" i="6"/>
  <c r="AQ191" i="6"/>
  <c r="AP222" i="6"/>
  <c r="AR222" i="6" s="1"/>
  <c r="AS222" i="6" s="1"/>
  <c r="AQ215" i="6"/>
  <c r="AP240" i="6"/>
  <c r="AR240" i="6" s="1"/>
  <c r="AQ230" i="6"/>
  <c r="AP198" i="6"/>
  <c r="AR198" i="6" s="1"/>
  <c r="AS198" i="6" s="1"/>
  <c r="AQ203" i="6"/>
  <c r="AQ216" i="6"/>
  <c r="AP218" i="6"/>
  <c r="AR218" i="6" s="1"/>
  <c r="AS218" i="6" s="1"/>
  <c r="AP194" i="6"/>
  <c r="AR194" i="6" s="1"/>
  <c r="AQ232" i="6"/>
  <c r="AP208" i="6"/>
  <c r="AR208" i="6" s="1"/>
  <c r="AS208" i="6" s="1"/>
  <c r="AP211" i="6"/>
  <c r="AR211" i="6" s="1"/>
  <c r="AS211" i="6" s="1"/>
  <c r="AP216" i="6"/>
  <c r="AR216" i="6" s="1"/>
  <c r="AS216" i="6" s="1"/>
  <c r="AP214" i="6"/>
  <c r="AR214" i="6" s="1"/>
  <c r="AQ193" i="6"/>
  <c r="AP228" i="6"/>
  <c r="AR228" i="6" s="1"/>
  <c r="AP244" i="6"/>
  <c r="AR244" i="6" s="1"/>
  <c r="AS244" i="6" s="1"/>
  <c r="AP192" i="6"/>
  <c r="AR192" i="6" s="1"/>
  <c r="AS192" i="6" s="1"/>
  <c r="AQ213" i="6"/>
  <c r="AQ224" i="6"/>
  <c r="AP193" i="6"/>
  <c r="AR193" i="6" s="1"/>
  <c r="AS193" i="6" s="1"/>
  <c r="AP232" i="6"/>
  <c r="AR232" i="6" s="1"/>
  <c r="AS232" i="6" s="1"/>
  <c r="AQ231" i="6"/>
  <c r="AP197" i="6"/>
  <c r="AR197" i="6" s="1"/>
  <c r="AQ196" i="6"/>
  <c r="AP237" i="6"/>
  <c r="AR237" i="6" s="1"/>
  <c r="AQ228" i="6"/>
  <c r="AP220" i="6"/>
  <c r="AR220" i="6" s="1"/>
  <c r="AS220" i="6" s="1"/>
  <c r="AP235" i="6"/>
  <c r="AR235" i="6" s="1"/>
  <c r="AS235" i="6" s="1"/>
  <c r="AQ219" i="6"/>
  <c r="AP210" i="6"/>
  <c r="AR210" i="6" s="1"/>
  <c r="AS210" i="6" s="1"/>
  <c r="AP199" i="6"/>
  <c r="AR199" i="6" s="1"/>
  <c r="AS199" i="6" s="1"/>
  <c r="AP269" i="6"/>
  <c r="AR269" i="6" s="1"/>
  <c r="AP297" i="6"/>
  <c r="AR297" i="6" s="1"/>
  <c r="AQ259" i="6"/>
  <c r="AP252" i="6"/>
  <c r="AR252" i="6" s="1"/>
  <c r="AQ269" i="6"/>
  <c r="AP284" i="6"/>
  <c r="AR284" i="6" s="1"/>
  <c r="AP246" i="6"/>
  <c r="AR246" i="6" s="1"/>
  <c r="AQ282" i="6"/>
  <c r="AP270" i="6"/>
  <c r="AR270" i="6" s="1"/>
  <c r="AS270" i="6" s="1"/>
  <c r="AP277" i="6"/>
  <c r="AR277" i="6" s="1"/>
  <c r="AQ279" i="6"/>
  <c r="AP300" i="6"/>
  <c r="AR300" i="6" s="1"/>
  <c r="AQ257" i="6"/>
  <c r="AP262" i="6"/>
  <c r="AR262" i="6" s="1"/>
  <c r="AS262" i="6" s="1"/>
  <c r="AQ299" i="6"/>
  <c r="AQ263" i="6"/>
  <c r="AQ289" i="6"/>
  <c r="AP266" i="6"/>
  <c r="AR266" i="6" s="1"/>
  <c r="AS266" i="6" s="1"/>
  <c r="AQ294" i="6"/>
  <c r="AP268" i="6"/>
  <c r="AR268" i="6" s="1"/>
  <c r="AS268" i="6" s="1"/>
  <c r="AP247" i="6"/>
  <c r="AR247" i="6" s="1"/>
  <c r="AS247" i="6" s="1"/>
  <c r="AP294" i="6"/>
  <c r="AR294" i="6" s="1"/>
  <c r="AQ281" i="6"/>
  <c r="AQ292" i="6"/>
  <c r="AP272" i="6"/>
  <c r="AR272" i="6" s="1"/>
  <c r="AP253" i="6"/>
  <c r="AR253" i="6" s="1"/>
  <c r="AQ278" i="6"/>
  <c r="AQ252" i="6"/>
  <c r="AP296" i="6"/>
  <c r="AR296" i="6" s="1"/>
  <c r="AQ246" i="6"/>
  <c r="AQ277" i="6"/>
  <c r="AP292" i="6"/>
  <c r="AR292" i="6" s="1"/>
  <c r="AS292" i="6" s="1"/>
  <c r="AQ276" i="6"/>
  <c r="AQ283" i="6"/>
  <c r="AQ296" i="6"/>
  <c r="AQ285" i="6"/>
  <c r="AP264" i="6"/>
  <c r="AR264" i="6" s="1"/>
  <c r="AS264" i="6" s="1"/>
  <c r="AP274" i="6"/>
  <c r="AR274" i="6" s="1"/>
  <c r="AS274" i="6" s="1"/>
  <c r="AQ253" i="6"/>
  <c r="AQ271" i="6"/>
  <c r="AQ254" i="6"/>
  <c r="AQ284" i="6"/>
  <c r="AQ255" i="6"/>
  <c r="AP290" i="6"/>
  <c r="AR290" i="6" s="1"/>
  <c r="AP267" i="6"/>
  <c r="AR267" i="6" s="1"/>
  <c r="AS267" i="6" s="1"/>
  <c r="AP295" i="6"/>
  <c r="AR295" i="6" s="1"/>
  <c r="AQ261" i="6"/>
  <c r="AQ295" i="6"/>
  <c r="AP291" i="6"/>
  <c r="AR291" i="6" s="1"/>
  <c r="AP257" i="6"/>
  <c r="AR257" i="6" s="1"/>
  <c r="AP259" i="6"/>
  <c r="AR259" i="6" s="1"/>
  <c r="AS259" i="6" s="1"/>
  <c r="AP261" i="6"/>
  <c r="AR261" i="6" s="1"/>
  <c r="AQ250" i="6"/>
  <c r="AP279" i="6"/>
  <c r="AR279" i="6" s="1"/>
  <c r="AQ291" i="6"/>
  <c r="AP250" i="6"/>
  <c r="AR250" i="6" s="1"/>
  <c r="AP281" i="6"/>
  <c r="AR281" i="6" s="1"/>
  <c r="AS281" i="6" s="1"/>
  <c r="AQ258" i="6"/>
  <c r="AP249" i="6"/>
  <c r="AR249" i="6" s="1"/>
  <c r="AS249" i="6" s="1"/>
  <c r="AX59" i="6"/>
  <c r="AX90" i="6"/>
  <c r="AX53" i="6"/>
  <c r="AX49" i="6"/>
  <c r="AX81" i="6"/>
  <c r="AX43" i="6"/>
  <c r="AX82" i="6"/>
  <c r="AX88" i="6"/>
  <c r="AX63" i="6"/>
  <c r="AX70" i="6"/>
  <c r="X36" i="6"/>
  <c r="F13" i="6"/>
  <c r="I45" i="6"/>
  <c r="I61" i="6"/>
  <c r="I39" i="6"/>
  <c r="I43" i="6"/>
  <c r="P24" i="6"/>
  <c r="P23" i="6" s="1"/>
  <c r="P25" i="6" s="1"/>
  <c r="I374" i="6"/>
  <c r="I312" i="6"/>
  <c r="J312" i="6" s="1"/>
  <c r="I365" i="6"/>
  <c r="J365" i="6" s="1"/>
  <c r="I328" i="6"/>
  <c r="I314" i="6"/>
  <c r="J314" i="6" s="1"/>
  <c r="I320" i="6"/>
  <c r="I293" i="6"/>
  <c r="J293" i="6" s="1"/>
  <c r="I376" i="6"/>
  <c r="I363" i="6"/>
  <c r="J363" i="6" s="1"/>
  <c r="I366" i="6"/>
  <c r="J366" i="6" s="1"/>
  <c r="I296" i="6"/>
  <c r="J296" i="6" s="1"/>
  <c r="I343" i="6"/>
  <c r="I353" i="6"/>
  <c r="I364" i="6"/>
  <c r="J364" i="6" s="1"/>
  <c r="I356" i="6"/>
  <c r="I361" i="6"/>
  <c r="J361" i="6" s="1"/>
  <c r="I375" i="6"/>
  <c r="I306" i="6"/>
  <c r="J306" i="6" s="1"/>
  <c r="I329" i="6"/>
  <c r="I333" i="6"/>
  <c r="I318" i="6"/>
  <c r="AP18" i="6"/>
  <c r="AR18" i="6" s="1"/>
  <c r="AP17" i="6"/>
  <c r="AR17" i="6" s="1"/>
  <c r="AP20" i="6"/>
  <c r="AR20" i="6" s="1"/>
  <c r="AQ16" i="6"/>
  <c r="AQ21" i="6"/>
  <c r="M37" i="6"/>
  <c r="AQ15" i="6"/>
  <c r="AP19" i="6"/>
  <c r="AR19" i="6" s="1"/>
  <c r="AQ17" i="6"/>
  <c r="AQ19" i="6"/>
  <c r="AQ20" i="6"/>
  <c r="AP16" i="6"/>
  <c r="AR16" i="6" s="1"/>
  <c r="AS16" i="6" s="1"/>
  <c r="AP15" i="6"/>
  <c r="AP21" i="6"/>
  <c r="AR21" i="6" s="1"/>
  <c r="AQ18" i="6"/>
  <c r="AW36" i="6"/>
  <c r="AU12" i="6"/>
  <c r="AX55" i="6"/>
  <c r="AX58" i="6"/>
  <c r="AX60" i="6"/>
  <c r="AX76" i="6"/>
  <c r="AX91" i="6"/>
  <c r="O54" i="6"/>
  <c r="O53" i="6" s="1"/>
  <c r="O55" i="6" s="1"/>
  <c r="AX84" i="6"/>
  <c r="AX79" i="6"/>
  <c r="AX42" i="6"/>
  <c r="AX75" i="6"/>
  <c r="AX51" i="6"/>
  <c r="AX69" i="6"/>
  <c r="AX48" i="6"/>
  <c r="F12" i="6"/>
  <c r="I30" i="6"/>
  <c r="H13" i="6"/>
  <c r="H12" i="6"/>
  <c r="AJ24" i="6"/>
  <c r="AJ23" i="6" s="1"/>
  <c r="AJ25" i="6" s="1"/>
  <c r="J77" i="6"/>
  <c r="AI11" i="16" l="1"/>
  <c r="AM9" i="15"/>
  <c r="AI288" i="1"/>
  <c r="AH288" i="1" s="1"/>
  <c r="AG288" i="1" s="1"/>
  <c r="AF288" i="1" s="1"/>
  <c r="AI187" i="1"/>
  <c r="AH187" i="1" s="1"/>
  <c r="AG187" i="1" s="1"/>
  <c r="AF187" i="1" s="1"/>
  <c r="AK7" i="15"/>
  <c r="AK11" i="15" s="1"/>
  <c r="AE170" i="15"/>
  <c r="Q165" i="15"/>
  <c r="AM5" i="16"/>
  <c r="AI61" i="1"/>
  <c r="AH61" i="1" s="1"/>
  <c r="AG61" i="1" s="1"/>
  <c r="AF61" i="1" s="1"/>
  <c r="AI181" i="1"/>
  <c r="AH181" i="1" s="1"/>
  <c r="AG181" i="1" s="1"/>
  <c r="AF181" i="1" s="1"/>
  <c r="Q191" i="15"/>
  <c r="AE105" i="15"/>
  <c r="AE62" i="15"/>
  <c r="AE346" i="15"/>
  <c r="Q170" i="15"/>
  <c r="AE213" i="15"/>
  <c r="Q172" i="15"/>
  <c r="Q15" i="15"/>
  <c r="P10" i="16"/>
  <c r="AI191" i="1"/>
  <c r="AH191" i="1" s="1"/>
  <c r="AG191" i="1" s="1"/>
  <c r="AF191" i="1" s="1"/>
  <c r="AI180" i="1"/>
  <c r="AH180" i="1" s="1"/>
  <c r="AG180" i="1" s="1"/>
  <c r="AF180" i="1" s="1"/>
  <c r="U63" i="1"/>
  <c r="AI104" i="1"/>
  <c r="AH104" i="1" s="1"/>
  <c r="AG104" i="1" s="1"/>
  <c r="AF104" i="1" s="1"/>
  <c r="U268" i="1"/>
  <c r="T268" i="1" s="1"/>
  <c r="S268" i="1" s="1"/>
  <c r="R268" i="1" s="1"/>
  <c r="AK9" i="15"/>
  <c r="Q124" i="15"/>
  <c r="Q339" i="15"/>
  <c r="AE67" i="15"/>
  <c r="Q67" i="15"/>
  <c r="Q134" i="15"/>
  <c r="AE291" i="15"/>
  <c r="AE63" i="15"/>
  <c r="AE98" i="15"/>
  <c r="Q332" i="15"/>
  <c r="AI110" i="1"/>
  <c r="AH110" i="1" s="1"/>
  <c r="AG110" i="1" s="1"/>
  <c r="AF110" i="1" s="1"/>
  <c r="AI224" i="1"/>
  <c r="AH224" i="1" s="1"/>
  <c r="AG224" i="1" s="1"/>
  <c r="AF224" i="1" s="1"/>
  <c r="U117" i="1"/>
  <c r="T117" i="1" s="1"/>
  <c r="S117" i="1" s="1"/>
  <c r="R117" i="1" s="1"/>
  <c r="U251" i="1"/>
  <c r="T251" i="1" s="1"/>
  <c r="S251" i="1" s="1"/>
  <c r="R251" i="1" s="1"/>
  <c r="AI366" i="1"/>
  <c r="AH366" i="1" s="1"/>
  <c r="AG366" i="1" s="1"/>
  <c r="AF366" i="1" s="1"/>
  <c r="U344" i="1"/>
  <c r="T344" i="1" s="1"/>
  <c r="S344" i="1" s="1"/>
  <c r="R344" i="1" s="1"/>
  <c r="AI279" i="1"/>
  <c r="AH279" i="1" s="1"/>
  <c r="AG279" i="1" s="1"/>
  <c r="AF279" i="1" s="1"/>
  <c r="U138" i="1"/>
  <c r="T138" i="1" s="1"/>
  <c r="S138" i="1" s="1"/>
  <c r="R138" i="1" s="1"/>
  <c r="U270" i="1"/>
  <c r="T270" i="1" s="1"/>
  <c r="S270" i="1" s="1"/>
  <c r="R270" i="1" s="1"/>
  <c r="AI202" i="1"/>
  <c r="AH202" i="1" s="1"/>
  <c r="AG202" i="1" s="1"/>
  <c r="AF202" i="1" s="1"/>
  <c r="AI356" i="1"/>
  <c r="AH356" i="1" s="1"/>
  <c r="AG356" i="1" s="1"/>
  <c r="AF356" i="1" s="1"/>
  <c r="U173" i="1"/>
  <c r="T173" i="1" s="1"/>
  <c r="S173" i="1" s="1"/>
  <c r="R173" i="1" s="1"/>
  <c r="AI50" i="1"/>
  <c r="AH50" i="1" s="1"/>
  <c r="AG50" i="1" s="1"/>
  <c r="AF50" i="1" s="1"/>
  <c r="AI39" i="1"/>
  <c r="AH39" i="1" s="1"/>
  <c r="AG39" i="1" s="1"/>
  <c r="AF39" i="1" s="1"/>
  <c r="AI265" i="1"/>
  <c r="AH265" i="1" s="1"/>
  <c r="AG265" i="1" s="1"/>
  <c r="AF265" i="1" s="1"/>
  <c r="AI153" i="1"/>
  <c r="AH153" i="1" s="1"/>
  <c r="AG153" i="1" s="1"/>
  <c r="AF153" i="1" s="1"/>
  <c r="U202" i="1"/>
  <c r="T202" i="1" s="1"/>
  <c r="S202" i="1" s="1"/>
  <c r="R202" i="1" s="1"/>
  <c r="U39" i="1"/>
  <c r="T39" i="1" s="1"/>
  <c r="S39" i="1" s="1"/>
  <c r="R39" i="1" s="1"/>
  <c r="AI353" i="1"/>
  <c r="AH353" i="1" s="1"/>
  <c r="AG353" i="1" s="1"/>
  <c r="AF353" i="1" s="1"/>
  <c r="AM7" i="16"/>
  <c r="AM11" i="16" s="1"/>
  <c r="AK5" i="15"/>
  <c r="Q94" i="15"/>
  <c r="Q218" i="15"/>
  <c r="Q107" i="15"/>
  <c r="AE265" i="15"/>
  <c r="Q25" i="15"/>
  <c r="Q323" i="15"/>
  <c r="Q210" i="15"/>
  <c r="AE91" i="15"/>
  <c r="AE140" i="15"/>
  <c r="Q365" i="15"/>
  <c r="AE348" i="15"/>
  <c r="AE233" i="15"/>
  <c r="AE134" i="15"/>
  <c r="AE343" i="15"/>
  <c r="Q204" i="15"/>
  <c r="Q132" i="15"/>
  <c r="AI175" i="1"/>
  <c r="AH175" i="1" s="1"/>
  <c r="AG175" i="1" s="1"/>
  <c r="AF175" i="1" s="1"/>
  <c r="AI89" i="1"/>
  <c r="AH89" i="1" s="1"/>
  <c r="AG89" i="1" s="1"/>
  <c r="AF89" i="1" s="1"/>
  <c r="AI230" i="1"/>
  <c r="AH230" i="1" s="1"/>
  <c r="AG230" i="1" s="1"/>
  <c r="AF230" i="1" s="1"/>
  <c r="AI323" i="1"/>
  <c r="AI249" i="1"/>
  <c r="AH249" i="1" s="1"/>
  <c r="AG249" i="1" s="1"/>
  <c r="AF249" i="1" s="1"/>
  <c r="U54" i="1"/>
  <c r="T54" i="1" s="1"/>
  <c r="S54" i="1" s="1"/>
  <c r="R54" i="1" s="1"/>
  <c r="U149" i="1"/>
  <c r="T149" i="1" s="1"/>
  <c r="S149" i="1" s="1"/>
  <c r="R149" i="1" s="1"/>
  <c r="U212" i="1"/>
  <c r="T212" i="1" s="1"/>
  <c r="S212" i="1" s="1"/>
  <c r="R212" i="1" s="1"/>
  <c r="U322" i="1"/>
  <c r="T322" i="1" s="1"/>
  <c r="S322" i="1" s="1"/>
  <c r="R322" i="1" s="1"/>
  <c r="AI363" i="1"/>
  <c r="AH363" i="1" s="1"/>
  <c r="AG363" i="1" s="1"/>
  <c r="AF363" i="1" s="1"/>
  <c r="AI41" i="1"/>
  <c r="AH41" i="1" s="1"/>
  <c r="AG41" i="1" s="1"/>
  <c r="AF41" i="1" s="1"/>
  <c r="AI160" i="1"/>
  <c r="AH160" i="1" s="1"/>
  <c r="AG160" i="1" s="1"/>
  <c r="AF160" i="1" s="1"/>
  <c r="AI119" i="1"/>
  <c r="AH119" i="1" s="1"/>
  <c r="AG119" i="1" s="1"/>
  <c r="AF119" i="1" s="1"/>
  <c r="U115" i="1"/>
  <c r="T115" i="1" s="1"/>
  <c r="S115" i="1" s="1"/>
  <c r="R115" i="1" s="1"/>
  <c r="U248" i="1"/>
  <c r="T248" i="1" s="1"/>
  <c r="S248" i="1" s="1"/>
  <c r="R248" i="1" s="1"/>
  <c r="U42" i="1"/>
  <c r="T42" i="1" s="1"/>
  <c r="S42" i="1" s="1"/>
  <c r="R42" i="1" s="1"/>
  <c r="AI52" i="1"/>
  <c r="AH52" i="1" s="1"/>
  <c r="AG52" i="1" s="1"/>
  <c r="AF52" i="1" s="1"/>
  <c r="AI342" i="1"/>
  <c r="AH342" i="1" s="1"/>
  <c r="AG342" i="1" s="1"/>
  <c r="AF342" i="1" s="1"/>
  <c r="AI194" i="1"/>
  <c r="AH194" i="1" s="1"/>
  <c r="AG194" i="1" s="1"/>
  <c r="AF194" i="1" s="1"/>
  <c r="AI236" i="1"/>
  <c r="AH236" i="1" s="1"/>
  <c r="AG236" i="1" s="1"/>
  <c r="AF236" i="1" s="1"/>
  <c r="AI228" i="1"/>
  <c r="AH228" i="1" s="1"/>
  <c r="AG228" i="1" s="1"/>
  <c r="AF228" i="1" s="1"/>
  <c r="AI241" i="1"/>
  <c r="AH241" i="1" s="1"/>
  <c r="AG241" i="1" s="1"/>
  <c r="AF241" i="1" s="1"/>
  <c r="U91" i="1"/>
  <c r="T91" i="1" s="1"/>
  <c r="S91" i="1" s="1"/>
  <c r="R91" i="1" s="1"/>
  <c r="U165" i="1"/>
  <c r="T165" i="1" s="1"/>
  <c r="S165" i="1" s="1"/>
  <c r="R165" i="1" s="1"/>
  <c r="U230" i="1"/>
  <c r="T230" i="1" s="1"/>
  <c r="S230" i="1" s="1"/>
  <c r="R230" i="1" s="1"/>
  <c r="U346" i="1"/>
  <c r="T346" i="1" s="1"/>
  <c r="S346" i="1" s="1"/>
  <c r="R346" i="1" s="1"/>
  <c r="AI259" i="1"/>
  <c r="AH259" i="1" s="1"/>
  <c r="AG259" i="1" s="1"/>
  <c r="AF259" i="1" s="1"/>
  <c r="U111" i="1"/>
  <c r="T111" i="1" s="1"/>
  <c r="S111" i="1" s="1"/>
  <c r="R111" i="1" s="1"/>
  <c r="AI170" i="1"/>
  <c r="AH170" i="1" s="1"/>
  <c r="AG170" i="1" s="1"/>
  <c r="AF170" i="1" s="1"/>
  <c r="AM7" i="15"/>
  <c r="AM11" i="15" s="1"/>
  <c r="AK3" i="15" s="1"/>
  <c r="Q12" i="19" s="1"/>
  <c r="AM5" i="15"/>
  <c r="AK6" i="15"/>
  <c r="AD224" i="1"/>
  <c r="AI30" i="1"/>
  <c r="AH30" i="1" s="1"/>
  <c r="AG30" i="1" s="1"/>
  <c r="AF30" i="1" s="1"/>
  <c r="AI222" i="1"/>
  <c r="AH222" i="1" s="1"/>
  <c r="AG222" i="1" s="1"/>
  <c r="AF222" i="1" s="1"/>
  <c r="AI247" i="1"/>
  <c r="AH247" i="1" s="1"/>
  <c r="AG247" i="1" s="1"/>
  <c r="AF247" i="1" s="1"/>
  <c r="AI260" i="1"/>
  <c r="AH260" i="1" s="1"/>
  <c r="AG260" i="1" s="1"/>
  <c r="AF260" i="1" s="1"/>
  <c r="AI92" i="1"/>
  <c r="AH92" i="1" s="1"/>
  <c r="AG92" i="1" s="1"/>
  <c r="AF92" i="1" s="1"/>
  <c r="AI306" i="1"/>
  <c r="AH306" i="1" s="1"/>
  <c r="AG306" i="1" s="1"/>
  <c r="AF306" i="1" s="1"/>
  <c r="AI273" i="1"/>
  <c r="AH273" i="1" s="1"/>
  <c r="AG273" i="1" s="1"/>
  <c r="AF273" i="1" s="1"/>
  <c r="AI109" i="1"/>
  <c r="AH109" i="1" s="1"/>
  <c r="AG109" i="1" s="1"/>
  <c r="AF109" i="1" s="1"/>
  <c r="AI270" i="1"/>
  <c r="AH270" i="1" s="1"/>
  <c r="AG270" i="1" s="1"/>
  <c r="AF270" i="1" s="1"/>
  <c r="AI90" i="1"/>
  <c r="AH90" i="1" s="1"/>
  <c r="AG90" i="1" s="1"/>
  <c r="AF90" i="1" s="1"/>
  <c r="AI35" i="1"/>
  <c r="AH35" i="1" s="1"/>
  <c r="AG35" i="1" s="1"/>
  <c r="AF35" i="1" s="1"/>
  <c r="AI120" i="1"/>
  <c r="AH120" i="1" s="1"/>
  <c r="AG120" i="1" s="1"/>
  <c r="AF120" i="1" s="1"/>
  <c r="U86" i="1"/>
  <c r="T86" i="1" s="1"/>
  <c r="S86" i="1" s="1"/>
  <c r="R86" i="1" s="1"/>
  <c r="U135" i="1"/>
  <c r="T135" i="1" s="1"/>
  <c r="S135" i="1" s="1"/>
  <c r="R135" i="1" s="1"/>
  <c r="U164" i="1"/>
  <c r="T164" i="1" s="1"/>
  <c r="S164" i="1" s="1"/>
  <c r="R164" i="1" s="1"/>
  <c r="U198" i="1"/>
  <c r="T198" i="1" s="1"/>
  <c r="S198" i="1" s="1"/>
  <c r="R198" i="1" s="1"/>
  <c r="U227" i="1"/>
  <c r="T227" i="1" s="1"/>
  <c r="S227" i="1" s="1"/>
  <c r="R227" i="1" s="1"/>
  <c r="U266" i="1"/>
  <c r="T266" i="1" s="1"/>
  <c r="S266" i="1" s="1"/>
  <c r="R266" i="1" s="1"/>
  <c r="U114" i="1"/>
  <c r="T114" i="1" s="1"/>
  <c r="S114" i="1" s="1"/>
  <c r="R114" i="1" s="1"/>
  <c r="AI142" i="1"/>
  <c r="AH142" i="1" s="1"/>
  <c r="AG142" i="1" s="1"/>
  <c r="AF142" i="1" s="1"/>
  <c r="AI111" i="1"/>
  <c r="AH111" i="1" s="1"/>
  <c r="AG111" i="1" s="1"/>
  <c r="AF111" i="1" s="1"/>
  <c r="AI91" i="1"/>
  <c r="AH91" i="1" s="1"/>
  <c r="AG91" i="1" s="1"/>
  <c r="AF91" i="1" s="1"/>
  <c r="AI44" i="1"/>
  <c r="AH44" i="1" s="1"/>
  <c r="AG44" i="1" s="1"/>
  <c r="AF44" i="1" s="1"/>
  <c r="AI286" i="1"/>
  <c r="AH286" i="1" s="1"/>
  <c r="AG286" i="1" s="1"/>
  <c r="AF286" i="1" s="1"/>
  <c r="AI210" i="1"/>
  <c r="AH210" i="1" s="1"/>
  <c r="AG210" i="1" s="1"/>
  <c r="AF210" i="1" s="1"/>
  <c r="AI68" i="1"/>
  <c r="AH68" i="1" s="1"/>
  <c r="AG68" i="1" s="1"/>
  <c r="AF68" i="1" s="1"/>
  <c r="AI335" i="1"/>
  <c r="AH335" i="1" s="1"/>
  <c r="AG335" i="1" s="1"/>
  <c r="AF335" i="1" s="1"/>
  <c r="U52" i="1"/>
  <c r="T52" i="1" s="1"/>
  <c r="S52" i="1" s="1"/>
  <c r="R52" i="1" s="1"/>
  <c r="U147" i="1"/>
  <c r="T147" i="1" s="1"/>
  <c r="S147" i="1" s="1"/>
  <c r="R147" i="1" s="1"/>
  <c r="U210" i="1"/>
  <c r="T210" i="1" s="1"/>
  <c r="S210" i="1" s="1"/>
  <c r="R210" i="1" s="1"/>
  <c r="U287" i="1"/>
  <c r="T287" i="1" s="1"/>
  <c r="S287" i="1" s="1"/>
  <c r="R287" i="1" s="1"/>
  <c r="U96" i="1"/>
  <c r="T96" i="1" s="1"/>
  <c r="S96" i="1" s="1"/>
  <c r="R96" i="1" s="1"/>
  <c r="AI338" i="1"/>
  <c r="AH338" i="1" s="1"/>
  <c r="AG338" i="1" s="1"/>
  <c r="AF338" i="1" s="1"/>
  <c r="AI364" i="1"/>
  <c r="AH364" i="1" s="1"/>
  <c r="AG364" i="1" s="1"/>
  <c r="AF364" i="1" s="1"/>
  <c r="AI350" i="1"/>
  <c r="AH350" i="1" s="1"/>
  <c r="AG350" i="1" s="1"/>
  <c r="AF350" i="1" s="1"/>
  <c r="AI233" i="1"/>
  <c r="AH233" i="1" s="1"/>
  <c r="AG233" i="1" s="1"/>
  <c r="AF233" i="1" s="1"/>
  <c r="AI25" i="1"/>
  <c r="AH25" i="1" s="1"/>
  <c r="AG25" i="1" s="1"/>
  <c r="AF25" i="1" s="1"/>
  <c r="AI183" i="1"/>
  <c r="AH183" i="1" s="1"/>
  <c r="AG183" i="1" s="1"/>
  <c r="AF183" i="1" s="1"/>
  <c r="AI215" i="1"/>
  <c r="AH215" i="1" s="1"/>
  <c r="AG215" i="1" s="1"/>
  <c r="AF215" i="1" s="1"/>
  <c r="AI168" i="1"/>
  <c r="AH168" i="1" s="1"/>
  <c r="AG168" i="1" s="1"/>
  <c r="AF168" i="1" s="1"/>
  <c r="AI340" i="1"/>
  <c r="AH340" i="1" s="1"/>
  <c r="AG340" i="1" s="1"/>
  <c r="AF340" i="1" s="1"/>
  <c r="AI49" i="1"/>
  <c r="AH49" i="1" s="1"/>
  <c r="AG49" i="1" s="1"/>
  <c r="AF49" i="1" s="1"/>
  <c r="AI143" i="1"/>
  <c r="AH143" i="1" s="1"/>
  <c r="AG143" i="1" s="1"/>
  <c r="AF143" i="1" s="1"/>
  <c r="AI349" i="1"/>
  <c r="AH349" i="1" s="1"/>
  <c r="AG349" i="1" s="1"/>
  <c r="AF349" i="1" s="1"/>
  <c r="AI56" i="1"/>
  <c r="AH56" i="1" s="1"/>
  <c r="AG56" i="1" s="1"/>
  <c r="AF56" i="1" s="1"/>
  <c r="U55" i="1"/>
  <c r="T55" i="1" s="1"/>
  <c r="S55" i="1" s="1"/>
  <c r="R55" i="1" s="1"/>
  <c r="U121" i="1"/>
  <c r="T121" i="1" s="1"/>
  <c r="S121" i="1" s="1"/>
  <c r="R121" i="1" s="1"/>
  <c r="U150" i="1"/>
  <c r="T150" i="1" s="1"/>
  <c r="S150" i="1" s="1"/>
  <c r="R150" i="1" s="1"/>
  <c r="U182" i="1"/>
  <c r="T182" i="1" s="1"/>
  <c r="S182" i="1" s="1"/>
  <c r="R182" i="1" s="1"/>
  <c r="U215" i="1"/>
  <c r="T215" i="1" s="1"/>
  <c r="S215" i="1" s="1"/>
  <c r="R215" i="1" s="1"/>
  <c r="U253" i="1"/>
  <c r="T253" i="1" s="1"/>
  <c r="S253" i="1" s="1"/>
  <c r="R253" i="1" s="1"/>
  <c r="U295" i="1"/>
  <c r="T295" i="1" s="1"/>
  <c r="S295" i="1" s="1"/>
  <c r="R295" i="1" s="1"/>
  <c r="U93" i="1"/>
  <c r="T93" i="1" s="1"/>
  <c r="S93" i="1" s="1"/>
  <c r="R93" i="1" s="1"/>
  <c r="AI369" i="1"/>
  <c r="AH369" i="1" s="1"/>
  <c r="AG369" i="1" s="1"/>
  <c r="AF369" i="1" s="1"/>
  <c r="AI351" i="1"/>
  <c r="AH351" i="1" s="1"/>
  <c r="AG351" i="1" s="1"/>
  <c r="AF351" i="1" s="1"/>
  <c r="U330" i="1"/>
  <c r="T330" i="1" s="1"/>
  <c r="S330" i="1" s="1"/>
  <c r="R330" i="1" s="1"/>
  <c r="U59" i="1"/>
  <c r="T59" i="1" s="1"/>
  <c r="S59" i="1" s="1"/>
  <c r="R59" i="1" s="1"/>
  <c r="AI292" i="1"/>
  <c r="AH292" i="1" s="1"/>
  <c r="AG292" i="1" s="1"/>
  <c r="AF292" i="1" s="1"/>
  <c r="AI256" i="1"/>
  <c r="AH256" i="1" s="1"/>
  <c r="AG256" i="1" s="1"/>
  <c r="AF256" i="1" s="1"/>
  <c r="AI178" i="1"/>
  <c r="AH178" i="1" s="1"/>
  <c r="AG178" i="1" s="1"/>
  <c r="AF178" i="1" s="1"/>
  <c r="AI314" i="1"/>
  <c r="AH314" i="1" s="1"/>
  <c r="AG314" i="1" s="1"/>
  <c r="AF314" i="1" s="1"/>
  <c r="AI34" i="1"/>
  <c r="AH34" i="1" s="1"/>
  <c r="AG34" i="1" s="1"/>
  <c r="AF34" i="1" s="1"/>
  <c r="AI76" i="1"/>
  <c r="AH76" i="1" s="1"/>
  <c r="AG76" i="1" s="1"/>
  <c r="AF76" i="1" s="1"/>
  <c r="AI324" i="1"/>
  <c r="AH324" i="1" s="1"/>
  <c r="AG324" i="1" s="1"/>
  <c r="AF324" i="1" s="1"/>
  <c r="AI257" i="1"/>
  <c r="AH257" i="1" s="1"/>
  <c r="AG257" i="1" s="1"/>
  <c r="AF257" i="1" s="1"/>
  <c r="AI361" i="1"/>
  <c r="AH361" i="1" s="1"/>
  <c r="AG361" i="1" s="1"/>
  <c r="AF361" i="1" s="1"/>
  <c r="AI253" i="1"/>
  <c r="AH253" i="1" s="1"/>
  <c r="AG253" i="1" s="1"/>
  <c r="AF253" i="1" s="1"/>
  <c r="U23" i="1"/>
  <c r="T23" i="1" s="1"/>
  <c r="S23" i="1" s="1"/>
  <c r="R23" i="1" s="1"/>
  <c r="U43" i="1"/>
  <c r="T43" i="1" s="1"/>
  <c r="S43" i="1" s="1"/>
  <c r="R43" i="1" s="1"/>
  <c r="U70" i="1"/>
  <c r="T70" i="1" s="1"/>
  <c r="S70" i="1" s="1"/>
  <c r="R70" i="1" s="1"/>
  <c r="U97" i="1"/>
  <c r="T97" i="1" s="1"/>
  <c r="S97" i="1" s="1"/>
  <c r="R97" i="1" s="1"/>
  <c r="U375" i="1"/>
  <c r="T375" i="1" s="1"/>
  <c r="S375" i="1" s="1"/>
  <c r="R375" i="1" s="1"/>
  <c r="U343" i="1"/>
  <c r="T343" i="1" s="1"/>
  <c r="S343" i="1" s="1"/>
  <c r="R343" i="1" s="1"/>
  <c r="U312" i="1"/>
  <c r="T312" i="1" s="1"/>
  <c r="S312" i="1" s="1"/>
  <c r="R312" i="1" s="1"/>
  <c r="U286" i="1"/>
  <c r="T286" i="1" s="1"/>
  <c r="S286" i="1" s="1"/>
  <c r="R286" i="1" s="1"/>
  <c r="AI232" i="1"/>
  <c r="AH232" i="1" s="1"/>
  <c r="AG232" i="1" s="1"/>
  <c r="AF232" i="1" s="1"/>
  <c r="AI199" i="1"/>
  <c r="AH199" i="1" s="1"/>
  <c r="AG199" i="1" s="1"/>
  <c r="AF199" i="1" s="1"/>
  <c r="AI352" i="1"/>
  <c r="AH352" i="1" s="1"/>
  <c r="AG352" i="1" s="1"/>
  <c r="AF352" i="1" s="1"/>
  <c r="AI318" i="1"/>
  <c r="AH318" i="1" s="1"/>
  <c r="AG318" i="1" s="1"/>
  <c r="AF318" i="1" s="1"/>
  <c r="AI328" i="1"/>
  <c r="AH328" i="1" s="1"/>
  <c r="AG328" i="1" s="1"/>
  <c r="AF328" i="1" s="1"/>
  <c r="AI262" i="1"/>
  <c r="AH262" i="1" s="1"/>
  <c r="AG262" i="1" s="1"/>
  <c r="AF262" i="1" s="1"/>
  <c r="AI98" i="1"/>
  <c r="AH98" i="1" s="1"/>
  <c r="AG98" i="1" s="1"/>
  <c r="AF98" i="1" s="1"/>
  <c r="U29" i="1"/>
  <c r="T29" i="1" s="1"/>
  <c r="S29" i="1" s="1"/>
  <c r="R29" i="1" s="1"/>
  <c r="U51" i="1"/>
  <c r="T51" i="1" s="1"/>
  <c r="S51" i="1" s="1"/>
  <c r="R51" i="1" s="1"/>
  <c r="U81" i="1"/>
  <c r="T81" i="1" s="1"/>
  <c r="S81" i="1" s="1"/>
  <c r="R81" i="1" s="1"/>
  <c r="U107" i="1"/>
  <c r="T107" i="1" s="1"/>
  <c r="S107" i="1" s="1"/>
  <c r="R107" i="1" s="1"/>
  <c r="U369" i="1"/>
  <c r="T369" i="1" s="1"/>
  <c r="S369" i="1" s="1"/>
  <c r="R369" i="1" s="1"/>
  <c r="U336" i="1"/>
  <c r="T336" i="1" s="1"/>
  <c r="S336" i="1" s="1"/>
  <c r="R336" i="1" s="1"/>
  <c r="U302" i="1"/>
  <c r="T302" i="1" s="1"/>
  <c r="S302" i="1" s="1"/>
  <c r="R302" i="1" s="1"/>
  <c r="U291" i="1"/>
  <c r="T291" i="1" s="1"/>
  <c r="S291" i="1" s="1"/>
  <c r="R291" i="1" s="1"/>
  <c r="U279" i="1"/>
  <c r="T279" i="1" s="1"/>
  <c r="S279" i="1" s="1"/>
  <c r="R279" i="1" s="1"/>
  <c r="U261" i="1"/>
  <c r="T261" i="1" s="1"/>
  <c r="S261" i="1" s="1"/>
  <c r="R261" i="1" s="1"/>
  <c r="U255" i="1"/>
  <c r="T255" i="1" s="1"/>
  <c r="S255" i="1" s="1"/>
  <c r="R255" i="1" s="1"/>
  <c r="U250" i="1"/>
  <c r="T250" i="1" s="1"/>
  <c r="S250" i="1" s="1"/>
  <c r="R250" i="1" s="1"/>
  <c r="U241" i="1"/>
  <c r="T241" i="1" s="1"/>
  <c r="S241" i="1" s="1"/>
  <c r="R241" i="1" s="1"/>
  <c r="U226" i="1"/>
  <c r="T226" i="1" s="1"/>
  <c r="S226" i="1" s="1"/>
  <c r="R226" i="1" s="1"/>
  <c r="U220" i="1"/>
  <c r="U211" i="1"/>
  <c r="T211" i="1" s="1"/>
  <c r="S211" i="1" s="1"/>
  <c r="R211" i="1" s="1"/>
  <c r="U206" i="1"/>
  <c r="T206" i="1" s="1"/>
  <c r="S206" i="1" s="1"/>
  <c r="R206" i="1" s="1"/>
  <c r="U196" i="1"/>
  <c r="T196" i="1" s="1"/>
  <c r="S196" i="1" s="1"/>
  <c r="R196" i="1" s="1"/>
  <c r="U186" i="1"/>
  <c r="T186" i="1" s="1"/>
  <c r="S186" i="1" s="1"/>
  <c r="R186" i="1" s="1"/>
  <c r="U176" i="1"/>
  <c r="T176" i="1" s="1"/>
  <c r="S176" i="1" s="1"/>
  <c r="R176" i="1" s="1"/>
  <c r="U170" i="1"/>
  <c r="T170" i="1" s="1"/>
  <c r="S170" i="1" s="1"/>
  <c r="R170" i="1" s="1"/>
  <c r="U163" i="1"/>
  <c r="T163" i="1" s="1"/>
  <c r="S163" i="1" s="1"/>
  <c r="R163" i="1" s="1"/>
  <c r="P163" i="1" s="1"/>
  <c r="V163" i="1" s="1"/>
  <c r="U153" i="1"/>
  <c r="T153" i="1" s="1"/>
  <c r="S153" i="1" s="1"/>
  <c r="R153" i="1" s="1"/>
  <c r="U148" i="1"/>
  <c r="T148" i="1" s="1"/>
  <c r="S148" i="1" s="1"/>
  <c r="R148" i="1" s="1"/>
  <c r="U140" i="1"/>
  <c r="T140" i="1" s="1"/>
  <c r="S140" i="1" s="1"/>
  <c r="R140" i="1" s="1"/>
  <c r="U129" i="1"/>
  <c r="T129" i="1" s="1"/>
  <c r="S129" i="1" s="1"/>
  <c r="R129" i="1" s="1"/>
  <c r="U124" i="1"/>
  <c r="T124" i="1" s="1"/>
  <c r="S124" i="1" s="1"/>
  <c r="R124" i="1" s="1"/>
  <c r="U116" i="1"/>
  <c r="T116" i="1" s="1"/>
  <c r="S116" i="1" s="1"/>
  <c r="R116" i="1" s="1"/>
  <c r="U99" i="1"/>
  <c r="T99" i="1" s="1"/>
  <c r="S99" i="1" s="1"/>
  <c r="R99" i="1" s="1"/>
  <c r="U85" i="1"/>
  <c r="T85" i="1" s="1"/>
  <c r="S85" i="1" s="1"/>
  <c r="R85" i="1" s="1"/>
  <c r="U67" i="1"/>
  <c r="T67" i="1" s="1"/>
  <c r="S67" i="1" s="1"/>
  <c r="R67" i="1" s="1"/>
  <c r="U53" i="1"/>
  <c r="T53" i="1" s="1"/>
  <c r="S53" i="1" s="1"/>
  <c r="R53" i="1" s="1"/>
  <c r="AI280" i="1"/>
  <c r="AH280" i="1" s="1"/>
  <c r="AG280" i="1" s="1"/>
  <c r="AF280" i="1" s="1"/>
  <c r="AI55" i="1"/>
  <c r="AH55" i="1" s="1"/>
  <c r="AG55" i="1" s="1"/>
  <c r="AF55" i="1" s="1"/>
  <c r="AI309" i="1"/>
  <c r="AH309" i="1" s="1"/>
  <c r="AG309" i="1" s="1"/>
  <c r="AF309" i="1" s="1"/>
  <c r="AI188" i="1"/>
  <c r="AH188" i="1" s="1"/>
  <c r="AG188" i="1" s="1"/>
  <c r="AF188" i="1" s="1"/>
  <c r="AI150" i="1"/>
  <c r="AH150" i="1" s="1"/>
  <c r="AG150" i="1" s="1"/>
  <c r="AF150" i="1" s="1"/>
  <c r="AI83" i="1"/>
  <c r="AH83" i="1" s="1"/>
  <c r="AG83" i="1" s="1"/>
  <c r="AF83" i="1" s="1"/>
  <c r="AI354" i="1"/>
  <c r="AH354" i="1" s="1"/>
  <c r="AG354" i="1" s="1"/>
  <c r="AF354" i="1" s="1"/>
  <c r="AI144" i="1"/>
  <c r="AH144" i="1" s="1"/>
  <c r="AG144" i="1" s="1"/>
  <c r="AF144" i="1" s="1"/>
  <c r="AI177" i="1"/>
  <c r="AH177" i="1" s="1"/>
  <c r="AG177" i="1" s="1"/>
  <c r="AF177" i="1" s="1"/>
  <c r="AI179" i="1"/>
  <c r="AH179" i="1" s="1"/>
  <c r="AG179" i="1" s="1"/>
  <c r="AF179" i="1" s="1"/>
  <c r="AI54" i="1"/>
  <c r="AH54" i="1" s="1"/>
  <c r="AG54" i="1" s="1"/>
  <c r="AF54" i="1" s="1"/>
  <c r="AI359" i="1"/>
  <c r="AH359" i="1" s="1"/>
  <c r="AG359" i="1" s="1"/>
  <c r="AF359" i="1" s="1"/>
  <c r="AD359" i="1" s="1"/>
  <c r="AI113" i="1"/>
  <c r="AH113" i="1" s="1"/>
  <c r="AG113" i="1" s="1"/>
  <c r="AF113" i="1" s="1"/>
  <c r="AI231" i="1"/>
  <c r="AH231" i="1" s="1"/>
  <c r="AG231" i="1" s="1"/>
  <c r="AF231" i="1" s="1"/>
  <c r="AD231" i="1" s="1"/>
  <c r="AI347" i="1"/>
  <c r="AH347" i="1" s="1"/>
  <c r="AG347" i="1" s="1"/>
  <c r="AF347" i="1" s="1"/>
  <c r="AI371" i="1"/>
  <c r="AH371" i="1" s="1"/>
  <c r="AG371" i="1" s="1"/>
  <c r="AF371" i="1" s="1"/>
  <c r="AI42" i="1"/>
  <c r="AH42" i="1" s="1"/>
  <c r="AG42" i="1" s="1"/>
  <c r="AF42" i="1" s="1"/>
  <c r="AI151" i="1"/>
  <c r="AH151" i="1" s="1"/>
  <c r="AG151" i="1" s="1"/>
  <c r="AF151" i="1" s="1"/>
  <c r="AI48" i="1"/>
  <c r="AH48" i="1" s="1"/>
  <c r="AG48" i="1" s="1"/>
  <c r="AF48" i="1" s="1"/>
  <c r="AI291" i="1"/>
  <c r="AH291" i="1" s="1"/>
  <c r="AG291" i="1" s="1"/>
  <c r="AF291" i="1" s="1"/>
  <c r="AI198" i="1"/>
  <c r="AH198" i="1" s="1"/>
  <c r="AG198" i="1" s="1"/>
  <c r="AF198" i="1" s="1"/>
  <c r="AI114" i="1"/>
  <c r="AH114" i="1" s="1"/>
  <c r="AG114" i="1" s="1"/>
  <c r="AF114" i="1" s="1"/>
  <c r="AI200" i="1"/>
  <c r="AH200" i="1" s="1"/>
  <c r="AG200" i="1" s="1"/>
  <c r="AF200" i="1" s="1"/>
  <c r="AI71" i="1"/>
  <c r="AH71" i="1" s="1"/>
  <c r="AG71" i="1" s="1"/>
  <c r="AF71" i="1" s="1"/>
  <c r="AI315" i="1"/>
  <c r="AH315" i="1" s="1"/>
  <c r="AG315" i="1" s="1"/>
  <c r="AF315" i="1" s="1"/>
  <c r="AI131" i="1"/>
  <c r="AH131" i="1" s="1"/>
  <c r="AG131" i="1" s="1"/>
  <c r="AF131" i="1" s="1"/>
  <c r="AI78" i="1"/>
  <c r="AH78" i="1" s="1"/>
  <c r="AG78" i="1" s="1"/>
  <c r="AF78" i="1" s="1"/>
  <c r="AI304" i="1"/>
  <c r="AH304" i="1" s="1"/>
  <c r="AG304" i="1" s="1"/>
  <c r="AF304" i="1" s="1"/>
  <c r="AI274" i="1"/>
  <c r="AH274" i="1" s="1"/>
  <c r="AG274" i="1" s="1"/>
  <c r="AF274" i="1" s="1"/>
  <c r="AI146" i="1"/>
  <c r="AH146" i="1" s="1"/>
  <c r="AG146" i="1" s="1"/>
  <c r="AF146" i="1" s="1"/>
  <c r="AI269" i="1"/>
  <c r="AH269" i="1" s="1"/>
  <c r="AG269" i="1" s="1"/>
  <c r="AF269" i="1" s="1"/>
  <c r="AI379" i="1"/>
  <c r="AH379" i="1" s="1"/>
  <c r="AG379" i="1" s="1"/>
  <c r="AF379" i="1" s="1"/>
  <c r="AI322" i="1"/>
  <c r="AH322" i="1" s="1"/>
  <c r="AG322" i="1" s="1"/>
  <c r="AF322" i="1" s="1"/>
  <c r="AI136" i="1"/>
  <c r="AH136" i="1" s="1"/>
  <c r="AG136" i="1" s="1"/>
  <c r="AF136" i="1" s="1"/>
  <c r="AI107" i="1"/>
  <c r="AH107" i="1" s="1"/>
  <c r="AG107" i="1" s="1"/>
  <c r="AF107" i="1" s="1"/>
  <c r="AI331" i="1"/>
  <c r="AH331" i="1" s="1"/>
  <c r="AG331" i="1" s="1"/>
  <c r="AF331" i="1" s="1"/>
  <c r="AI46" i="1"/>
  <c r="AH46" i="1" s="1"/>
  <c r="AG46" i="1" s="1"/>
  <c r="AF46" i="1" s="1"/>
  <c r="AI345" i="1"/>
  <c r="AH345" i="1" s="1"/>
  <c r="AG345" i="1" s="1"/>
  <c r="AF345" i="1" s="1"/>
  <c r="AI283" i="1"/>
  <c r="AH283" i="1" s="1"/>
  <c r="AG283" i="1" s="1"/>
  <c r="AF283" i="1" s="1"/>
  <c r="AI287" i="1"/>
  <c r="AH287" i="1" s="1"/>
  <c r="AG287" i="1" s="1"/>
  <c r="AF287" i="1" s="1"/>
  <c r="AI226" i="1"/>
  <c r="AH226" i="1" s="1"/>
  <c r="AG226" i="1" s="1"/>
  <c r="AF226" i="1" s="1"/>
  <c r="AI296" i="1"/>
  <c r="AH296" i="1" s="1"/>
  <c r="AG296" i="1" s="1"/>
  <c r="AF296" i="1" s="1"/>
  <c r="AI298" i="1"/>
  <c r="AH298" i="1" s="1"/>
  <c r="AG298" i="1" s="1"/>
  <c r="AF298" i="1" s="1"/>
  <c r="AI336" i="1"/>
  <c r="AH336" i="1" s="1"/>
  <c r="AG336" i="1" s="1"/>
  <c r="AF336" i="1" s="1"/>
  <c r="AI362" i="1"/>
  <c r="AH362" i="1" s="1"/>
  <c r="AG362" i="1" s="1"/>
  <c r="AF362" i="1" s="1"/>
  <c r="AI127" i="1"/>
  <c r="AH127" i="1" s="1"/>
  <c r="AG127" i="1" s="1"/>
  <c r="AF127" i="1" s="1"/>
  <c r="AI325" i="1"/>
  <c r="AH325" i="1" s="1"/>
  <c r="AG325" i="1" s="1"/>
  <c r="AF325" i="1" s="1"/>
  <c r="AI368" i="1"/>
  <c r="AH368" i="1" s="1"/>
  <c r="AG368" i="1" s="1"/>
  <c r="AF368" i="1" s="1"/>
  <c r="AI258" i="1"/>
  <c r="AH258" i="1" s="1"/>
  <c r="AG258" i="1" s="1"/>
  <c r="AF258" i="1" s="1"/>
  <c r="AI271" i="1"/>
  <c r="AH271" i="1" s="1"/>
  <c r="AG271" i="1" s="1"/>
  <c r="AF271" i="1" s="1"/>
  <c r="AI303" i="1"/>
  <c r="AH303" i="1" s="1"/>
  <c r="AG303" i="1" s="1"/>
  <c r="AF303" i="1" s="1"/>
  <c r="AI218" i="1"/>
  <c r="AH218" i="1" s="1"/>
  <c r="AG218" i="1" s="1"/>
  <c r="AF218" i="1" s="1"/>
  <c r="AI51" i="1"/>
  <c r="AH51" i="1" s="1"/>
  <c r="AG51" i="1" s="1"/>
  <c r="AF51" i="1" s="1"/>
  <c r="AI278" i="1"/>
  <c r="AH278" i="1" s="1"/>
  <c r="AG278" i="1" s="1"/>
  <c r="AF278" i="1" s="1"/>
  <c r="U31" i="1"/>
  <c r="T31" i="1" s="1"/>
  <c r="S31" i="1" s="1"/>
  <c r="R31" i="1" s="1"/>
  <c r="U57" i="1"/>
  <c r="T57" i="1" s="1"/>
  <c r="S57" i="1" s="1"/>
  <c r="R57" i="1" s="1"/>
  <c r="U84" i="1"/>
  <c r="T84" i="1" s="1"/>
  <c r="S84" i="1" s="1"/>
  <c r="R84" i="1" s="1"/>
  <c r="U110" i="1"/>
  <c r="U358" i="1"/>
  <c r="T358" i="1" s="1"/>
  <c r="S358" i="1" s="1"/>
  <c r="R358" i="1" s="1"/>
  <c r="U333" i="1"/>
  <c r="T333" i="1" s="1"/>
  <c r="S333" i="1" s="1"/>
  <c r="R333" i="1" s="1"/>
  <c r="U297" i="1"/>
  <c r="T297" i="1" s="1"/>
  <c r="S297" i="1" s="1"/>
  <c r="R297" i="1" s="1"/>
  <c r="P297" i="1" s="1"/>
  <c r="V297" i="1" s="1"/>
  <c r="F297" i="1" s="1"/>
  <c r="U273" i="1"/>
  <c r="T273" i="1" s="1"/>
  <c r="S273" i="1" s="1"/>
  <c r="R273" i="1" s="1"/>
  <c r="U254" i="1"/>
  <c r="T254" i="1" s="1"/>
  <c r="S254" i="1" s="1"/>
  <c r="R254" i="1" s="1"/>
  <c r="U235" i="1"/>
  <c r="T235" i="1" s="1"/>
  <c r="S235" i="1" s="1"/>
  <c r="R235" i="1" s="1"/>
  <c r="U216" i="1"/>
  <c r="T216" i="1" s="1"/>
  <c r="S216" i="1" s="1"/>
  <c r="R216" i="1" s="1"/>
  <c r="U205" i="1"/>
  <c r="T205" i="1" s="1"/>
  <c r="S205" i="1" s="1"/>
  <c r="R205" i="1" s="1"/>
  <c r="U185" i="1"/>
  <c r="T185" i="1" s="1"/>
  <c r="S185" i="1" s="1"/>
  <c r="R185" i="1" s="1"/>
  <c r="P185" i="1" s="1"/>
  <c r="V185" i="1" s="1"/>
  <c r="F185" i="1" s="1"/>
  <c r="G185" i="1" s="1"/>
  <c r="BW185" i="6" s="1"/>
  <c r="U166" i="1"/>
  <c r="T166" i="1" s="1"/>
  <c r="S166" i="1" s="1"/>
  <c r="R166" i="1" s="1"/>
  <c r="U151" i="1"/>
  <c r="T151" i="1" s="1"/>
  <c r="S151" i="1" s="1"/>
  <c r="R151" i="1" s="1"/>
  <c r="U139" i="1"/>
  <c r="T139" i="1" s="1"/>
  <c r="S139" i="1" s="1"/>
  <c r="R139" i="1" s="1"/>
  <c r="U123" i="1"/>
  <c r="T123" i="1" s="1"/>
  <c r="S123" i="1" s="1"/>
  <c r="R123" i="1" s="1"/>
  <c r="U94" i="1"/>
  <c r="T94" i="1" s="1"/>
  <c r="S94" i="1" s="1"/>
  <c r="R94" i="1" s="1"/>
  <c r="U58" i="1"/>
  <c r="T58" i="1" s="1"/>
  <c r="S58" i="1" s="1"/>
  <c r="R58" i="1" s="1"/>
  <c r="AI252" i="1"/>
  <c r="AH252" i="1" s="1"/>
  <c r="AG252" i="1" s="1"/>
  <c r="AF252" i="1" s="1"/>
  <c r="AI195" i="1"/>
  <c r="AH195" i="1" s="1"/>
  <c r="AG195" i="1" s="1"/>
  <c r="AF195" i="1" s="1"/>
  <c r="AI319" i="1"/>
  <c r="AH319" i="1" s="1"/>
  <c r="AG319" i="1" s="1"/>
  <c r="AF319" i="1" s="1"/>
  <c r="AI220" i="1"/>
  <c r="AH220" i="1" s="1"/>
  <c r="AG220" i="1" s="1"/>
  <c r="AF220" i="1" s="1"/>
  <c r="AI334" i="1"/>
  <c r="AH334" i="1" s="1"/>
  <c r="AG334" i="1" s="1"/>
  <c r="AF334" i="1" s="1"/>
  <c r="AI344" i="1"/>
  <c r="AH344" i="1" s="1"/>
  <c r="AG344" i="1" s="1"/>
  <c r="AF344" i="1" s="1"/>
  <c r="AI254" i="1"/>
  <c r="AH254" i="1" s="1"/>
  <c r="AG254" i="1" s="1"/>
  <c r="AF254" i="1" s="1"/>
  <c r="AI307" i="1"/>
  <c r="AH307" i="1" s="1"/>
  <c r="AG307" i="1" s="1"/>
  <c r="AF307" i="1" s="1"/>
  <c r="AI70" i="1"/>
  <c r="AH70" i="1" s="1"/>
  <c r="AG70" i="1" s="1"/>
  <c r="AF70" i="1" s="1"/>
  <c r="AI317" i="1"/>
  <c r="AH317" i="1" s="1"/>
  <c r="AG317" i="1" s="1"/>
  <c r="AF317" i="1" s="1"/>
  <c r="AI24" i="1"/>
  <c r="AH24" i="1" s="1"/>
  <c r="AG24" i="1" s="1"/>
  <c r="AF24" i="1" s="1"/>
  <c r="AI101" i="1"/>
  <c r="AH101" i="1" s="1"/>
  <c r="AG101" i="1" s="1"/>
  <c r="AF101" i="1" s="1"/>
  <c r="AI211" i="1"/>
  <c r="AH211" i="1" s="1"/>
  <c r="AG211" i="1" s="1"/>
  <c r="AF211" i="1" s="1"/>
  <c r="AI129" i="1"/>
  <c r="AH129" i="1" s="1"/>
  <c r="AG129" i="1" s="1"/>
  <c r="AF129" i="1" s="1"/>
  <c r="AI162" i="1"/>
  <c r="AH162" i="1" s="1"/>
  <c r="AG162" i="1" s="1"/>
  <c r="AF162" i="1" s="1"/>
  <c r="AI148" i="1"/>
  <c r="AH148" i="1" s="1"/>
  <c r="AG148" i="1" s="1"/>
  <c r="AF148" i="1" s="1"/>
  <c r="AI346" i="1"/>
  <c r="AH346" i="1" s="1"/>
  <c r="AG346" i="1" s="1"/>
  <c r="AF346" i="1" s="1"/>
  <c r="U15" i="1"/>
  <c r="T15" i="1" s="1"/>
  <c r="S15" i="1" s="1"/>
  <c r="R15" i="1" s="1"/>
  <c r="AI216" i="1"/>
  <c r="AH216" i="1" s="1"/>
  <c r="AG216" i="1" s="1"/>
  <c r="AF216" i="1" s="1"/>
  <c r="AI173" i="1"/>
  <c r="AH173" i="1" s="1"/>
  <c r="AG173" i="1" s="1"/>
  <c r="AF173" i="1" s="1"/>
  <c r="AI149" i="1"/>
  <c r="AH149" i="1" s="1"/>
  <c r="AG149" i="1" s="1"/>
  <c r="AF149" i="1" s="1"/>
  <c r="AI358" i="1"/>
  <c r="AH358" i="1" s="1"/>
  <c r="AG358" i="1" s="1"/>
  <c r="AF358" i="1" s="1"/>
  <c r="AI93" i="1"/>
  <c r="AH93" i="1" s="1"/>
  <c r="AG93" i="1" s="1"/>
  <c r="AF93" i="1" s="1"/>
  <c r="AI60" i="1"/>
  <c r="AH60" i="1" s="1"/>
  <c r="AG60" i="1" s="1"/>
  <c r="AF60" i="1" s="1"/>
  <c r="AI133" i="1"/>
  <c r="AH133" i="1" s="1"/>
  <c r="AG133" i="1" s="1"/>
  <c r="AF133" i="1" s="1"/>
  <c r="AI242" i="1"/>
  <c r="AH242" i="1" s="1"/>
  <c r="AG242" i="1" s="1"/>
  <c r="AF242" i="1" s="1"/>
  <c r="AI47" i="1"/>
  <c r="AH47" i="1" s="1"/>
  <c r="AG47" i="1" s="1"/>
  <c r="AF47" i="1" s="1"/>
  <c r="AI263" i="1"/>
  <c r="AI43" i="1"/>
  <c r="AH43" i="1" s="1"/>
  <c r="AG43" i="1" s="1"/>
  <c r="AF43" i="1" s="1"/>
  <c r="AI100" i="1"/>
  <c r="AH100" i="1" s="1"/>
  <c r="AG100" i="1" s="1"/>
  <c r="AF100" i="1" s="1"/>
  <c r="AI163" i="1"/>
  <c r="AH163" i="1" s="1"/>
  <c r="AG163" i="1" s="1"/>
  <c r="AF163" i="1" s="1"/>
  <c r="AI45" i="1"/>
  <c r="AH45" i="1" s="1"/>
  <c r="AG45" i="1" s="1"/>
  <c r="AF45" i="1" s="1"/>
  <c r="U27" i="1"/>
  <c r="T27" i="1" s="1"/>
  <c r="S27" i="1" s="1"/>
  <c r="R27" i="1" s="1"/>
  <c r="U47" i="1"/>
  <c r="T47" i="1" s="1"/>
  <c r="S47" i="1" s="1"/>
  <c r="R47" i="1" s="1"/>
  <c r="U77" i="1"/>
  <c r="T77" i="1" s="1"/>
  <c r="S77" i="1" s="1"/>
  <c r="R77" i="1" s="1"/>
  <c r="P77" i="1" s="1"/>
  <c r="V77" i="1" s="1"/>
  <c r="U102" i="1"/>
  <c r="T102" i="1" s="1"/>
  <c r="S102" i="1" s="1"/>
  <c r="R102" i="1" s="1"/>
  <c r="U371" i="1"/>
  <c r="T371" i="1" s="1"/>
  <c r="S371" i="1" s="1"/>
  <c r="R371" i="1" s="1"/>
  <c r="U339" i="1"/>
  <c r="T339" i="1" s="1"/>
  <c r="S339" i="1" s="1"/>
  <c r="R339" i="1" s="1"/>
  <c r="U304" i="1"/>
  <c r="T304" i="1" s="1"/>
  <c r="S304" i="1" s="1"/>
  <c r="R304" i="1" s="1"/>
  <c r="P304" i="1" s="1"/>
  <c r="V304" i="1" s="1"/>
  <c r="F304" i="1" s="1"/>
  <c r="U282" i="1"/>
  <c r="T282" i="1" s="1"/>
  <c r="S282" i="1" s="1"/>
  <c r="R282" i="1" s="1"/>
  <c r="AE49" i="15"/>
  <c r="Q268" i="15"/>
  <c r="AK6" i="16"/>
  <c r="AD242" i="1"/>
  <c r="Q23" i="15"/>
  <c r="Q262" i="15"/>
  <c r="Q152" i="15"/>
  <c r="Q285" i="15"/>
  <c r="Q366" i="15"/>
  <c r="Q296" i="15"/>
  <c r="AE175" i="15"/>
  <c r="Q286" i="15"/>
  <c r="AE45" i="15"/>
  <c r="Q150" i="15"/>
  <c r="Q306" i="15"/>
  <c r="AE103" i="15"/>
  <c r="Q176" i="15"/>
  <c r="AE37" i="15"/>
  <c r="Q166" i="15"/>
  <c r="Q43" i="15"/>
  <c r="AE326" i="15"/>
  <c r="Q190" i="15"/>
  <c r="AE339" i="15"/>
  <c r="AE23" i="15"/>
  <c r="AE46" i="15"/>
  <c r="AE146" i="15"/>
  <c r="AE54" i="15"/>
  <c r="AE372" i="15"/>
  <c r="AE315" i="15"/>
  <c r="AE271" i="15"/>
  <c r="AE238" i="15"/>
  <c r="AE21" i="15"/>
  <c r="AE245" i="15"/>
  <c r="Q115" i="15"/>
  <c r="Q299" i="15"/>
  <c r="Q279" i="15"/>
  <c r="Q313" i="15"/>
  <c r="Q238" i="15"/>
  <c r="AI157" i="1"/>
  <c r="AH157" i="1" s="1"/>
  <c r="AG157" i="1" s="1"/>
  <c r="AF157" i="1" s="1"/>
  <c r="AI108" i="1"/>
  <c r="AH108" i="1" s="1"/>
  <c r="AG108" i="1" s="1"/>
  <c r="AF108" i="1" s="1"/>
  <c r="AI155" i="1"/>
  <c r="AH155" i="1" s="1"/>
  <c r="AG155" i="1" s="1"/>
  <c r="AF155" i="1" s="1"/>
  <c r="AI205" i="1"/>
  <c r="AH205" i="1" s="1"/>
  <c r="AG205" i="1" s="1"/>
  <c r="AF205" i="1" s="1"/>
  <c r="AI65" i="1"/>
  <c r="AH65" i="1" s="1"/>
  <c r="AG65" i="1" s="1"/>
  <c r="AF65" i="1" s="1"/>
  <c r="AI248" i="1"/>
  <c r="AH248" i="1" s="1"/>
  <c r="AG248" i="1" s="1"/>
  <c r="AF248" i="1" s="1"/>
  <c r="AI311" i="1"/>
  <c r="AH311" i="1" s="1"/>
  <c r="AG311" i="1" s="1"/>
  <c r="AF311" i="1" s="1"/>
  <c r="AI377" i="1"/>
  <c r="AH377" i="1" s="1"/>
  <c r="AG377" i="1" s="1"/>
  <c r="AF377" i="1" s="1"/>
  <c r="AI221" i="1"/>
  <c r="AH221" i="1" s="1"/>
  <c r="AG221" i="1" s="1"/>
  <c r="AF221" i="1" s="1"/>
  <c r="AI40" i="1"/>
  <c r="AH40" i="1" s="1"/>
  <c r="AG40" i="1" s="1"/>
  <c r="AF40" i="1" s="1"/>
  <c r="AI182" i="1"/>
  <c r="AH182" i="1" s="1"/>
  <c r="AG182" i="1" s="1"/>
  <c r="AF182" i="1" s="1"/>
  <c r="AI330" i="1"/>
  <c r="AH330" i="1" s="1"/>
  <c r="AG330" i="1" s="1"/>
  <c r="AF330" i="1" s="1"/>
  <c r="AI36" i="1"/>
  <c r="AH36" i="1" s="1"/>
  <c r="AG36" i="1" s="1"/>
  <c r="AF36" i="1" s="1"/>
  <c r="AI355" i="1"/>
  <c r="AH355" i="1" s="1"/>
  <c r="AG355" i="1" s="1"/>
  <c r="AF355" i="1" s="1"/>
  <c r="AI326" i="1"/>
  <c r="AH326" i="1" s="1"/>
  <c r="AG326" i="1" s="1"/>
  <c r="AF326" i="1" s="1"/>
  <c r="AI23" i="1"/>
  <c r="AH23" i="1" s="1"/>
  <c r="AG23" i="1" s="1"/>
  <c r="AF23" i="1" s="1"/>
  <c r="AI266" i="1"/>
  <c r="AH266" i="1" s="1"/>
  <c r="AG266" i="1" s="1"/>
  <c r="AF266" i="1" s="1"/>
  <c r="AI214" i="1"/>
  <c r="AH214" i="1" s="1"/>
  <c r="AG214" i="1" s="1"/>
  <c r="AF214" i="1" s="1"/>
  <c r="AI341" i="1"/>
  <c r="AH341" i="1" s="1"/>
  <c r="AG341" i="1" s="1"/>
  <c r="AF341" i="1" s="1"/>
  <c r="AI312" i="1"/>
  <c r="AH312" i="1" s="1"/>
  <c r="AG312" i="1" s="1"/>
  <c r="AF312" i="1" s="1"/>
  <c r="AI227" i="1"/>
  <c r="AH227" i="1" s="1"/>
  <c r="AG227" i="1" s="1"/>
  <c r="AF227" i="1" s="1"/>
  <c r="AI135" i="1"/>
  <c r="AH135" i="1" s="1"/>
  <c r="AG135" i="1" s="1"/>
  <c r="AF135" i="1" s="1"/>
  <c r="U24" i="1"/>
  <c r="T24" i="1" s="1"/>
  <c r="S24" i="1" s="1"/>
  <c r="R24" i="1" s="1"/>
  <c r="U72" i="1"/>
  <c r="T72" i="1" s="1"/>
  <c r="S72" i="1" s="1"/>
  <c r="R72" i="1" s="1"/>
  <c r="U100" i="1"/>
  <c r="T100" i="1" s="1"/>
  <c r="S100" i="1" s="1"/>
  <c r="R100" i="1" s="1"/>
  <c r="U126" i="1"/>
  <c r="T126" i="1" s="1"/>
  <c r="S126" i="1" s="1"/>
  <c r="R126" i="1" s="1"/>
  <c r="U143" i="1"/>
  <c r="T143" i="1" s="1"/>
  <c r="S143" i="1" s="1"/>
  <c r="R143" i="1" s="1"/>
  <c r="U155" i="1"/>
  <c r="T155" i="1" s="1"/>
  <c r="S155" i="1" s="1"/>
  <c r="R155" i="1" s="1"/>
  <c r="U171" i="1"/>
  <c r="T171" i="1" s="1"/>
  <c r="S171" i="1" s="1"/>
  <c r="R171" i="1" s="1"/>
  <c r="U187" i="1"/>
  <c r="T187" i="1" s="1"/>
  <c r="S187" i="1" s="1"/>
  <c r="R187" i="1" s="1"/>
  <c r="U207" i="1"/>
  <c r="T207" i="1" s="1"/>
  <c r="S207" i="1" s="1"/>
  <c r="R207" i="1" s="1"/>
  <c r="U222" i="1"/>
  <c r="U242" i="1"/>
  <c r="T242" i="1" s="1"/>
  <c r="S242" i="1" s="1"/>
  <c r="R242" i="1" s="1"/>
  <c r="U257" i="1"/>
  <c r="T257" i="1" s="1"/>
  <c r="S257" i="1" s="1"/>
  <c r="R257" i="1" s="1"/>
  <c r="U293" i="1"/>
  <c r="T293" i="1" s="1"/>
  <c r="S293" i="1" s="1"/>
  <c r="R293" i="1" s="1"/>
  <c r="U348" i="1"/>
  <c r="T348" i="1" s="1"/>
  <c r="S348" i="1" s="1"/>
  <c r="R348" i="1" s="1"/>
  <c r="U90" i="1"/>
  <c r="T90" i="1" s="1"/>
  <c r="S90" i="1" s="1"/>
  <c r="R90" i="1" s="1"/>
  <c r="U36" i="1"/>
  <c r="T36" i="1" s="1"/>
  <c r="S36" i="1" s="1"/>
  <c r="R36" i="1" s="1"/>
  <c r="AI337" i="1"/>
  <c r="AH337" i="1" s="1"/>
  <c r="AG337" i="1" s="1"/>
  <c r="AF337" i="1" s="1"/>
  <c r="AI79" i="1"/>
  <c r="AH79" i="1" s="1"/>
  <c r="AG79" i="1" s="1"/>
  <c r="AF79" i="1" s="1"/>
  <c r="AI17" i="1"/>
  <c r="AH17" i="1" s="1"/>
  <c r="AG17" i="1" s="1"/>
  <c r="U17" i="1"/>
  <c r="T17" i="1" s="1"/>
  <c r="S17" i="1" s="1"/>
  <c r="R17" i="1" s="1"/>
  <c r="AI284" i="1"/>
  <c r="AH284" i="1" s="1"/>
  <c r="AG284" i="1" s="1"/>
  <c r="AF284" i="1" s="1"/>
  <c r="AD284" i="1" s="1"/>
  <c r="AI64" i="1"/>
  <c r="AH64" i="1" s="1"/>
  <c r="AG64" i="1" s="1"/>
  <c r="AF64" i="1" s="1"/>
  <c r="AI272" i="1"/>
  <c r="AH272" i="1" s="1"/>
  <c r="AG272" i="1" s="1"/>
  <c r="AF272" i="1" s="1"/>
  <c r="AI161" i="1"/>
  <c r="AH161" i="1" s="1"/>
  <c r="AG161" i="1" s="1"/>
  <c r="AF161" i="1" s="1"/>
  <c r="AI277" i="1"/>
  <c r="AH277" i="1" s="1"/>
  <c r="AG277" i="1" s="1"/>
  <c r="AF277" i="1" s="1"/>
  <c r="AI154" i="1"/>
  <c r="AH154" i="1" s="1"/>
  <c r="AG154" i="1" s="1"/>
  <c r="AF154" i="1" s="1"/>
  <c r="AI62" i="1"/>
  <c r="AH62" i="1" s="1"/>
  <c r="AG62" i="1" s="1"/>
  <c r="AF62" i="1" s="1"/>
  <c r="AI87" i="1"/>
  <c r="AH87" i="1" s="1"/>
  <c r="AG87" i="1" s="1"/>
  <c r="AF87" i="1" s="1"/>
  <c r="AI217" i="1"/>
  <c r="AH217" i="1" s="1"/>
  <c r="AG217" i="1" s="1"/>
  <c r="AF217" i="1" s="1"/>
  <c r="AI176" i="1"/>
  <c r="AH176" i="1" s="1"/>
  <c r="AG176" i="1" s="1"/>
  <c r="AF176" i="1" s="1"/>
  <c r="AI370" i="1"/>
  <c r="AH370" i="1" s="1"/>
  <c r="AG370" i="1" s="1"/>
  <c r="AF370" i="1" s="1"/>
  <c r="AI105" i="1"/>
  <c r="AH105" i="1" s="1"/>
  <c r="AG105" i="1" s="1"/>
  <c r="AF105" i="1" s="1"/>
  <c r="U79" i="1"/>
  <c r="T79" i="1" s="1"/>
  <c r="S79" i="1" s="1"/>
  <c r="R79" i="1" s="1"/>
  <c r="U128" i="1"/>
  <c r="T128" i="1" s="1"/>
  <c r="S128" i="1" s="1"/>
  <c r="R128" i="1" s="1"/>
  <c r="U160" i="1"/>
  <c r="T160" i="1" s="1"/>
  <c r="S160" i="1" s="1"/>
  <c r="R160" i="1" s="1"/>
  <c r="U194" i="1"/>
  <c r="T194" i="1" s="1"/>
  <c r="S194" i="1" s="1"/>
  <c r="R194" i="1" s="1"/>
  <c r="U225" i="1"/>
  <c r="T225" i="1" s="1"/>
  <c r="S225" i="1" s="1"/>
  <c r="R225" i="1" s="1"/>
  <c r="U259" i="1"/>
  <c r="T259" i="1" s="1"/>
  <c r="S259" i="1" s="1"/>
  <c r="R259" i="1" s="1"/>
  <c r="U315" i="1"/>
  <c r="T315" i="1" s="1"/>
  <c r="S315" i="1" s="1"/>
  <c r="R315" i="1" s="1"/>
  <c r="U376" i="1"/>
  <c r="T376" i="1" s="1"/>
  <c r="S376" i="1" s="1"/>
  <c r="R376" i="1" s="1"/>
  <c r="U69" i="1"/>
  <c r="T69" i="1" s="1"/>
  <c r="S69" i="1" s="1"/>
  <c r="R69" i="1" s="1"/>
  <c r="U21" i="1"/>
  <c r="T21" i="1" s="1"/>
  <c r="S21" i="1" s="1"/>
  <c r="R21" i="1" s="1"/>
  <c r="AI20" i="1"/>
  <c r="AH20" i="1" s="1"/>
  <c r="AG20" i="1" s="1"/>
  <c r="AF20" i="1" s="1"/>
  <c r="AI169" i="1"/>
  <c r="AH169" i="1" s="1"/>
  <c r="AG169" i="1" s="1"/>
  <c r="AF169" i="1" s="1"/>
  <c r="AI27" i="1"/>
  <c r="AH27" i="1" s="1"/>
  <c r="AG27" i="1" s="1"/>
  <c r="AF27" i="1" s="1"/>
  <c r="AI66" i="1"/>
  <c r="AH66" i="1" s="1"/>
  <c r="AG66" i="1" s="1"/>
  <c r="AF66" i="1" s="1"/>
  <c r="AI207" i="1"/>
  <c r="AH207" i="1" s="1"/>
  <c r="AG207" i="1" s="1"/>
  <c r="AF207" i="1" s="1"/>
  <c r="AI281" i="1"/>
  <c r="AH281" i="1" s="1"/>
  <c r="AG281" i="1" s="1"/>
  <c r="AF281" i="1" s="1"/>
  <c r="AI31" i="1"/>
  <c r="AH31" i="1" s="1"/>
  <c r="AG31" i="1" s="1"/>
  <c r="AF31" i="1" s="1"/>
  <c r="AI99" i="1"/>
  <c r="AH99" i="1" s="1"/>
  <c r="AG99" i="1" s="1"/>
  <c r="AF99" i="1" s="1"/>
  <c r="AI63" i="1"/>
  <c r="AH63" i="1" s="1"/>
  <c r="AG63" i="1" s="1"/>
  <c r="AF63" i="1" s="1"/>
  <c r="AI123" i="1"/>
  <c r="AH123" i="1" s="1"/>
  <c r="AG123" i="1" s="1"/>
  <c r="AF123" i="1" s="1"/>
  <c r="AI267" i="1"/>
  <c r="AH267" i="1" s="1"/>
  <c r="AG267" i="1" s="1"/>
  <c r="AF267" i="1" s="1"/>
  <c r="AI234" i="1"/>
  <c r="AH234" i="1" s="1"/>
  <c r="AG234" i="1" s="1"/>
  <c r="AF234" i="1" s="1"/>
  <c r="AI313" i="1"/>
  <c r="AH313" i="1" s="1"/>
  <c r="AG313" i="1" s="1"/>
  <c r="AF313" i="1" s="1"/>
  <c r="AI125" i="1"/>
  <c r="AH125" i="1" s="1"/>
  <c r="AG125" i="1" s="1"/>
  <c r="AF125" i="1" s="1"/>
  <c r="AI365" i="1"/>
  <c r="AH365" i="1" s="1"/>
  <c r="AG365" i="1" s="1"/>
  <c r="AF365" i="1" s="1"/>
  <c r="AI209" i="1"/>
  <c r="AH209" i="1" s="1"/>
  <c r="AG209" i="1" s="1"/>
  <c r="AF209" i="1" s="1"/>
  <c r="AI126" i="1"/>
  <c r="AH126" i="1" s="1"/>
  <c r="AG126" i="1" s="1"/>
  <c r="AF126" i="1" s="1"/>
  <c r="AI213" i="1"/>
  <c r="AH213" i="1" s="1"/>
  <c r="AG213" i="1" s="1"/>
  <c r="AF213" i="1" s="1"/>
  <c r="AI85" i="1"/>
  <c r="AH85" i="1" s="1"/>
  <c r="AG85" i="1" s="1"/>
  <c r="AF85" i="1" s="1"/>
  <c r="AI197" i="1"/>
  <c r="AI88" i="1"/>
  <c r="AH88" i="1" s="1"/>
  <c r="AG88" i="1" s="1"/>
  <c r="AF88" i="1" s="1"/>
  <c r="AI282" i="1"/>
  <c r="AH282" i="1" s="1"/>
  <c r="AG282" i="1" s="1"/>
  <c r="AF282" i="1" s="1"/>
  <c r="AI81" i="1"/>
  <c r="AH81" i="1" s="1"/>
  <c r="AG81" i="1" s="1"/>
  <c r="AF81" i="1" s="1"/>
  <c r="AI255" i="1"/>
  <c r="AH255" i="1" s="1"/>
  <c r="AG255" i="1" s="1"/>
  <c r="AF255" i="1" s="1"/>
  <c r="AI302" i="1"/>
  <c r="AH302" i="1" s="1"/>
  <c r="AG302" i="1" s="1"/>
  <c r="AF302" i="1" s="1"/>
  <c r="U40" i="1"/>
  <c r="T40" i="1" s="1"/>
  <c r="S40" i="1" s="1"/>
  <c r="R40" i="1" s="1"/>
  <c r="U78" i="1"/>
  <c r="T78" i="1" s="1"/>
  <c r="S78" i="1" s="1"/>
  <c r="R78" i="1" s="1"/>
  <c r="U108" i="1"/>
  <c r="T108" i="1" s="1"/>
  <c r="S108" i="1" s="1"/>
  <c r="R108" i="1" s="1"/>
  <c r="U127" i="1"/>
  <c r="T127" i="1" s="1"/>
  <c r="S127" i="1" s="1"/>
  <c r="R127" i="1" s="1"/>
  <c r="U144" i="1"/>
  <c r="T144" i="1" s="1"/>
  <c r="S144" i="1" s="1"/>
  <c r="R144" i="1" s="1"/>
  <c r="U158" i="1"/>
  <c r="T158" i="1" s="1"/>
  <c r="S158" i="1" s="1"/>
  <c r="R158" i="1" s="1"/>
  <c r="U172" i="1"/>
  <c r="T172" i="1" s="1"/>
  <c r="S172" i="1" s="1"/>
  <c r="R172" i="1" s="1"/>
  <c r="U193" i="1"/>
  <c r="T193" i="1" s="1"/>
  <c r="S193" i="1" s="1"/>
  <c r="R193" i="1" s="1"/>
  <c r="U209" i="1"/>
  <c r="T209" i="1" s="1"/>
  <c r="S209" i="1" s="1"/>
  <c r="R209" i="1" s="1"/>
  <c r="U223" i="1"/>
  <c r="T223" i="1" s="1"/>
  <c r="S223" i="1" s="1"/>
  <c r="R223" i="1" s="1"/>
  <c r="U243" i="1"/>
  <c r="T243" i="1" s="1"/>
  <c r="S243" i="1" s="1"/>
  <c r="R243" i="1" s="1"/>
  <c r="U258" i="1"/>
  <c r="T258" i="1" s="1"/>
  <c r="S258" i="1" s="1"/>
  <c r="R258" i="1" s="1"/>
  <c r="U285" i="1"/>
  <c r="T285" i="1" s="1"/>
  <c r="S285" i="1" s="1"/>
  <c r="R285" i="1" s="1"/>
  <c r="U319" i="1"/>
  <c r="T319" i="1" s="1"/>
  <c r="S319" i="1" s="1"/>
  <c r="R319" i="1" s="1"/>
  <c r="U378" i="1"/>
  <c r="T378" i="1" s="1"/>
  <c r="S378" i="1" s="1"/>
  <c r="R378" i="1" s="1"/>
  <c r="U66" i="1"/>
  <c r="T66" i="1" s="1"/>
  <c r="S66" i="1" s="1"/>
  <c r="R66" i="1" s="1"/>
  <c r="U18" i="1"/>
  <c r="T18" i="1" s="1"/>
  <c r="S18" i="1" s="1"/>
  <c r="R18" i="1" s="1"/>
  <c r="AI275" i="1"/>
  <c r="AH275" i="1" s="1"/>
  <c r="AG275" i="1" s="1"/>
  <c r="AF275" i="1" s="1"/>
  <c r="AI189" i="1"/>
  <c r="AH189" i="1" s="1"/>
  <c r="AG189" i="1" s="1"/>
  <c r="AF189" i="1" s="1"/>
  <c r="AI376" i="1"/>
  <c r="AH376" i="1" s="1"/>
  <c r="AG376" i="1" s="1"/>
  <c r="AF376" i="1" s="1"/>
  <c r="U296" i="1"/>
  <c r="T296" i="1" s="1"/>
  <c r="S296" i="1" s="1"/>
  <c r="R296" i="1" s="1"/>
  <c r="U354" i="1"/>
  <c r="T354" i="1" s="1"/>
  <c r="S354" i="1" s="1"/>
  <c r="R354" i="1" s="1"/>
  <c r="U87" i="1"/>
  <c r="T87" i="1" s="1"/>
  <c r="S87" i="1" s="1"/>
  <c r="R87" i="1" s="1"/>
  <c r="U32" i="1"/>
  <c r="T32" i="1" s="1"/>
  <c r="S32" i="1" s="1"/>
  <c r="R32" i="1" s="1"/>
  <c r="AI75" i="1"/>
  <c r="AH75" i="1" s="1"/>
  <c r="AG75" i="1" s="1"/>
  <c r="AF75" i="1" s="1"/>
  <c r="AI237" i="1"/>
  <c r="AH237" i="1" s="1"/>
  <c r="AG237" i="1" s="1"/>
  <c r="AF237" i="1" s="1"/>
  <c r="AI240" i="1"/>
  <c r="AH240" i="1" s="1"/>
  <c r="AG240" i="1" s="1"/>
  <c r="AF240" i="1" s="1"/>
  <c r="AI147" i="1"/>
  <c r="AH147" i="1" s="1"/>
  <c r="AG147" i="1" s="1"/>
  <c r="AF147" i="1" s="1"/>
  <c r="AI239" i="1"/>
  <c r="AH239" i="1" s="1"/>
  <c r="AG239" i="1" s="1"/>
  <c r="AF239" i="1" s="1"/>
  <c r="Q16" i="15"/>
  <c r="Q284" i="15"/>
  <c r="Q353" i="15"/>
  <c r="Q145" i="15"/>
  <c r="Q61" i="15"/>
  <c r="Q163" i="15"/>
  <c r="Q140" i="15"/>
  <c r="Q217" i="15"/>
  <c r="Q234" i="15"/>
  <c r="Q301" i="15"/>
  <c r="Q255" i="15"/>
  <c r="AE360" i="15"/>
  <c r="Q126" i="15"/>
  <c r="AE174" i="15"/>
  <c r="Q199" i="15"/>
  <c r="Q282" i="15"/>
  <c r="AE124" i="15"/>
  <c r="AE301" i="15"/>
  <c r="Q209" i="15"/>
  <c r="AE178" i="15"/>
  <c r="AE323" i="15"/>
  <c r="AE352" i="15"/>
  <c r="Q142" i="15"/>
  <c r="AE142" i="15"/>
  <c r="Q157" i="15"/>
  <c r="Q89" i="15"/>
  <c r="AE148" i="15"/>
  <c r="AE293" i="15"/>
  <c r="Q177" i="15"/>
  <c r="AE202" i="15"/>
  <c r="AE347" i="15"/>
  <c r="AE304" i="15"/>
  <c r="Q211" i="15"/>
  <c r="Q345" i="15"/>
  <c r="Q320" i="15"/>
  <c r="AE87" i="15"/>
  <c r="Q344" i="15"/>
  <c r="Q330" i="15"/>
  <c r="Q151" i="15"/>
  <c r="AE296" i="15"/>
  <c r="AE239" i="15"/>
  <c r="AE92" i="15"/>
  <c r="AE269" i="15"/>
  <c r="AE35" i="15"/>
  <c r="AE288" i="15"/>
  <c r="AE167" i="15"/>
  <c r="AE116" i="15"/>
  <c r="AE261" i="15"/>
  <c r="AE59" i="15"/>
  <c r="AE368" i="15"/>
  <c r="AE311" i="15"/>
  <c r="AE363" i="15"/>
  <c r="AE216" i="15"/>
  <c r="AE110" i="15"/>
  <c r="AE204" i="15"/>
  <c r="AE30" i="15"/>
  <c r="AE235" i="15"/>
  <c r="AE22" i="15"/>
  <c r="AE236" i="15"/>
  <c r="AE350" i="15"/>
  <c r="AK9" i="16"/>
  <c r="Q343" i="15"/>
  <c r="Q335" i="15"/>
  <c r="Q171" i="15"/>
  <c r="Q295" i="15"/>
  <c r="Q355" i="15"/>
  <c r="Q338" i="15"/>
  <c r="Q375" i="15"/>
  <c r="Q96" i="15"/>
  <c r="Q371" i="15"/>
  <c r="Q278" i="15"/>
  <c r="Q230" i="15"/>
  <c r="AE342" i="15"/>
  <c r="AE34" i="15"/>
  <c r="Q88" i="15"/>
  <c r="AK7" i="16"/>
  <c r="AK11" i="16" s="1"/>
  <c r="AC183" i="15"/>
  <c r="AC169" i="15"/>
  <c r="AC162" i="15"/>
  <c r="AC220" i="15"/>
  <c r="AC189" i="15"/>
  <c r="P13" i="7"/>
  <c r="AC266" i="15"/>
  <c r="K13" i="7"/>
  <c r="V13" i="7"/>
  <c r="Q326" i="15"/>
  <c r="Q372" i="15"/>
  <c r="Q99" i="15"/>
  <c r="Q178" i="15"/>
  <c r="Q111" i="15"/>
  <c r="Q226" i="15"/>
  <c r="Q71" i="15"/>
  <c r="Q156" i="15"/>
  <c r="Q224" i="15"/>
  <c r="Q256" i="15"/>
  <c r="Q81" i="15"/>
  <c r="Q103" i="15"/>
  <c r="Q65" i="15"/>
  <c r="Q112" i="15"/>
  <c r="Q146" i="15"/>
  <c r="Q49" i="15"/>
  <c r="Q373" i="15"/>
  <c r="Q110" i="15"/>
  <c r="Q129" i="15"/>
  <c r="Q185" i="15"/>
  <c r="Q104" i="15"/>
  <c r="AE104" i="15"/>
  <c r="AE217" i="15"/>
  <c r="Q257" i="15"/>
  <c r="AE254" i="15"/>
  <c r="AE287" i="15"/>
  <c r="Q193" i="15"/>
  <c r="AE24" i="15"/>
  <c r="Q367" i="15"/>
  <c r="Q32" i="15"/>
  <c r="Q249" i="15"/>
  <c r="Q66" i="15"/>
  <c r="AE252" i="15"/>
  <c r="AE173" i="15"/>
  <c r="Q213" i="15"/>
  <c r="Q148" i="15"/>
  <c r="Q29" i="15"/>
  <c r="AE50" i="15"/>
  <c r="AE306" i="15"/>
  <c r="AE195" i="15"/>
  <c r="Q136" i="15"/>
  <c r="AE96" i="15"/>
  <c r="AE209" i="15"/>
  <c r="Q225" i="15"/>
  <c r="AE246" i="15"/>
  <c r="AE359" i="15"/>
  <c r="Q216" i="15"/>
  <c r="Q260" i="15"/>
  <c r="Q91" i="15"/>
  <c r="Q231" i="15"/>
  <c r="Q155" i="15"/>
  <c r="AE20" i="15"/>
  <c r="AE276" i="15"/>
  <c r="AE165" i="15"/>
  <c r="Q181" i="15"/>
  <c r="Q164" i="15"/>
  <c r="Q63" i="15"/>
  <c r="AE74" i="15"/>
  <c r="AE330" i="15"/>
  <c r="AE219" i="15"/>
  <c r="Q340" i="15"/>
  <c r="AE48" i="15"/>
  <c r="AE161" i="15"/>
  <c r="Q232" i="15"/>
  <c r="AE70" i="15"/>
  <c r="AE247" i="15"/>
  <c r="AE317" i="15"/>
  <c r="Q214" i="15"/>
  <c r="AE95" i="15"/>
  <c r="AE264" i="15"/>
  <c r="Q90" i="15"/>
  <c r="AE292" i="15"/>
  <c r="AE278" i="15"/>
  <c r="Q116" i="15"/>
  <c r="AE328" i="15"/>
  <c r="AE320" i="15"/>
  <c r="Q316" i="15"/>
  <c r="AE40" i="15"/>
  <c r="AE153" i="15"/>
  <c r="AE318" i="15"/>
  <c r="AE159" i="15"/>
  <c r="AE152" i="15"/>
  <c r="AE220" i="15"/>
  <c r="AE141" i="15"/>
  <c r="AE16" i="15"/>
  <c r="AE274" i="15"/>
  <c r="AE163" i="15"/>
  <c r="AE32" i="15"/>
  <c r="AE145" i="15"/>
  <c r="AE310" i="15"/>
  <c r="AE255" i="15"/>
  <c r="AE120" i="15"/>
  <c r="AE244" i="15"/>
  <c r="AE133" i="15"/>
  <c r="AE42" i="15"/>
  <c r="AE298" i="15"/>
  <c r="AE187" i="15"/>
  <c r="AE112" i="15"/>
  <c r="AE225" i="15"/>
  <c r="AE55" i="15"/>
  <c r="AE268" i="15"/>
  <c r="AE249" i="15"/>
  <c r="AE149" i="15"/>
  <c r="AE83" i="15"/>
  <c r="AE307" i="15"/>
  <c r="AE125" i="15"/>
  <c r="AE88" i="15"/>
  <c r="AE143" i="15"/>
  <c r="AE121" i="15"/>
  <c r="AE321" i="15"/>
  <c r="AE122" i="15"/>
  <c r="AE312" i="15"/>
  <c r="AE211" i="15"/>
  <c r="AE79" i="15"/>
  <c r="AE214" i="15"/>
  <c r="AE267" i="15"/>
  <c r="AE221" i="15"/>
  <c r="AM9" i="16"/>
  <c r="Q261" i="15"/>
  <c r="Q309" i="15"/>
  <c r="Q180" i="15"/>
  <c r="Q105" i="15"/>
  <c r="Q315" i="15"/>
  <c r="Q143" i="15"/>
  <c r="Q56" i="15"/>
  <c r="Q356" i="15"/>
  <c r="Q98" i="15"/>
  <c r="Q219" i="15"/>
  <c r="Q168" i="15"/>
  <c r="Q359" i="15"/>
  <c r="Q95" i="15"/>
  <c r="Q69" i="15"/>
  <c r="Q130" i="15"/>
  <c r="Q186" i="15"/>
  <c r="Q269" i="15"/>
  <c r="Q297" i="15"/>
  <c r="Q52" i="15"/>
  <c r="Q62" i="15"/>
  <c r="AE305" i="15"/>
  <c r="Q308" i="15"/>
  <c r="Q336" i="15"/>
  <c r="AE222" i="15"/>
  <c r="AE206" i="15"/>
  <c r="AE193" i="15"/>
  <c r="AK5" i="16"/>
  <c r="U11" i="7"/>
  <c r="Q11" i="16"/>
  <c r="AC186" i="15"/>
  <c r="AC152" i="15"/>
  <c r="AC104" i="15"/>
  <c r="AC209" i="15"/>
  <c r="AC84" i="15"/>
  <c r="AC215" i="15"/>
  <c r="AC37" i="15"/>
  <c r="AC148" i="15"/>
  <c r="AC199" i="15"/>
  <c r="AC19" i="15"/>
  <c r="AC108" i="15"/>
  <c r="AC70" i="15"/>
  <c r="AC165" i="15"/>
  <c r="AC18" i="15"/>
  <c r="AC219" i="15"/>
  <c r="AC214" i="15"/>
  <c r="AC43" i="15"/>
  <c r="AC174" i="15"/>
  <c r="AC48" i="15"/>
  <c r="AC114" i="15"/>
  <c r="AC202" i="15"/>
  <c r="AC196" i="15"/>
  <c r="AC176" i="15"/>
  <c r="AC117" i="15"/>
  <c r="AC119" i="15"/>
  <c r="AC168" i="15"/>
  <c r="AC131" i="15"/>
  <c r="AC150" i="15"/>
  <c r="AC200" i="15"/>
  <c r="AC113" i="15"/>
  <c r="AC96" i="15"/>
  <c r="AC145" i="15"/>
  <c r="AC126" i="15"/>
  <c r="AC237" i="15"/>
  <c r="AC212" i="15"/>
  <c r="AC181" i="15"/>
  <c r="AC187" i="15"/>
  <c r="AC81" i="15"/>
  <c r="AC57" i="15"/>
  <c r="AC64" i="15"/>
  <c r="AC164" i="15"/>
  <c r="AC128" i="15"/>
  <c r="AC38" i="15"/>
  <c r="AC80" i="15"/>
  <c r="AC240" i="15"/>
  <c r="AC223" i="15"/>
  <c r="AC231" i="15"/>
  <c r="AC225" i="15"/>
  <c r="AC22" i="15"/>
  <c r="AC29" i="15"/>
  <c r="AC156" i="15"/>
  <c r="AC125" i="15"/>
  <c r="AC213" i="15"/>
  <c r="AC163" i="15"/>
  <c r="AC20" i="15"/>
  <c r="AC17" i="15"/>
  <c r="AC31" i="15"/>
  <c r="AC193" i="15"/>
  <c r="AC58" i="15"/>
  <c r="AC141" i="15"/>
  <c r="AC221" i="15"/>
  <c r="AC233" i="15"/>
  <c r="AC69" i="15"/>
  <c r="AC135" i="15"/>
  <c r="AC103" i="15"/>
  <c r="AC77" i="15"/>
  <c r="AC106" i="15"/>
  <c r="AC92" i="15"/>
  <c r="AC146" i="15"/>
  <c r="AC28" i="15"/>
  <c r="AC46" i="15"/>
  <c r="AC44" i="15"/>
  <c r="AC138" i="15"/>
  <c r="AC140" i="15"/>
  <c r="AC173" i="15"/>
  <c r="AC56" i="15"/>
  <c r="AC47" i="15"/>
  <c r="AC63" i="15"/>
  <c r="AC97" i="15"/>
  <c r="AC15" i="15"/>
  <c r="AC51" i="15"/>
  <c r="AC129" i="15"/>
  <c r="AC167" i="15"/>
  <c r="AC95" i="15"/>
  <c r="AC45" i="15"/>
  <c r="AC87" i="15"/>
  <c r="AC101" i="15"/>
  <c r="AC107" i="15"/>
  <c r="AC111" i="15"/>
  <c r="AC115" i="15"/>
  <c r="AC123" i="15"/>
  <c r="AC137" i="15"/>
  <c r="AC161" i="15"/>
  <c r="AC175" i="15"/>
  <c r="AC49" i="15"/>
  <c r="AC71" i="15"/>
  <c r="AC184" i="15"/>
  <c r="AC190" i="15"/>
  <c r="AC217" i="15"/>
  <c r="AC192" i="15"/>
  <c r="AC226" i="15"/>
  <c r="AC194" i="15"/>
  <c r="AC320" i="15"/>
  <c r="AC238" i="15"/>
  <c r="AC330" i="15"/>
  <c r="AC36" i="15"/>
  <c r="AC120" i="15"/>
  <c r="AC66" i="15"/>
  <c r="AC65" i="15"/>
  <c r="AC177" i="15"/>
  <c r="AC53" i="15"/>
  <c r="AC61" i="15"/>
  <c r="AC105" i="15"/>
  <c r="AC149" i="15"/>
  <c r="AC157" i="15"/>
  <c r="AC201" i="15"/>
  <c r="AC208" i="15"/>
  <c r="AC227" i="15"/>
  <c r="AC253" i="15"/>
  <c r="AC130" i="15"/>
  <c r="AC166" i="15"/>
  <c r="AC170" i="15"/>
  <c r="AC40" i="15"/>
  <c r="AC59" i="15"/>
  <c r="AC99" i="15"/>
  <c r="AC86" i="15"/>
  <c r="AC16" i="15"/>
  <c r="AC23" i="15"/>
  <c r="AC93" i="15"/>
  <c r="AC127" i="15"/>
  <c r="AC159" i="15"/>
  <c r="AC33" i="15"/>
  <c r="AC76" i="15"/>
  <c r="AC210" i="15"/>
  <c r="AC206" i="15"/>
  <c r="AC252" i="15"/>
  <c r="AC182" i="15"/>
  <c r="AC78" i="15"/>
  <c r="AC27" i="15"/>
  <c r="AC154" i="15"/>
  <c r="AC54" i="15"/>
  <c r="AC122" i="15"/>
  <c r="AC142" i="15"/>
  <c r="AC160" i="15"/>
  <c r="AC171" i="15"/>
  <c r="AC52" i="15"/>
  <c r="AC26" i="15"/>
  <c r="AC67" i="15"/>
  <c r="AC100" i="15"/>
  <c r="AC21" i="15"/>
  <c r="AC91" i="15"/>
  <c r="AC191" i="15"/>
  <c r="AC116" i="15"/>
  <c r="AC222" i="15"/>
  <c r="AC255" i="15"/>
  <c r="AC242" i="15"/>
  <c r="AC185" i="15"/>
  <c r="AC188" i="15"/>
  <c r="AC230" i="15"/>
  <c r="AC203" i="15"/>
  <c r="AC197" i="15"/>
  <c r="AC143" i="15"/>
  <c r="AC94" i="15"/>
  <c r="AC102" i="15"/>
  <c r="AC39" i="15"/>
  <c r="AC74" i="15"/>
  <c r="AC90" i="15"/>
  <c r="AC144" i="15"/>
  <c r="AC158" i="15"/>
  <c r="AC139" i="15"/>
  <c r="AC118" i="15"/>
  <c r="AC88" i="15"/>
  <c r="AC30" i="15"/>
  <c r="AC24" i="15"/>
  <c r="AC132" i="15"/>
  <c r="AC112" i="15"/>
  <c r="AC256" i="15"/>
  <c r="AC264" i="15"/>
  <c r="AC229" i="15"/>
  <c r="AC195" i="15"/>
  <c r="AC204" i="15"/>
  <c r="AC236" i="15"/>
  <c r="AC207" i="15"/>
  <c r="AC211" i="15"/>
  <c r="AC55" i="15"/>
  <c r="AC85" i="15"/>
  <c r="AC68" i="15"/>
  <c r="AC136" i="15"/>
  <c r="AC134" i="15"/>
  <c r="AC60" i="15"/>
  <c r="AC82" i="15"/>
  <c r="AC216" i="15"/>
  <c r="AC180" i="15"/>
  <c r="AC41" i="15"/>
  <c r="AC133" i="15"/>
  <c r="AC42" i="15"/>
  <c r="AC110" i="15"/>
  <c r="AC83" i="15"/>
  <c r="AC178" i="15"/>
  <c r="AC153" i="15"/>
  <c r="AC224" i="15"/>
  <c r="AC251" i="15"/>
  <c r="AC155" i="15"/>
  <c r="AC75" i="15"/>
  <c r="AC50" i="15"/>
  <c r="AC32" i="15"/>
  <c r="AC62" i="15"/>
  <c r="AC364" i="15"/>
  <c r="AC218" i="15"/>
  <c r="AC198" i="15"/>
  <c r="AC205" i="15"/>
  <c r="AC79" i="15"/>
  <c r="AC179" i="15"/>
  <c r="AC151" i="15"/>
  <c r="AC121" i="15"/>
  <c r="AC109" i="15"/>
  <c r="AC98" i="15"/>
  <c r="AC34" i="15"/>
  <c r="AC147" i="15"/>
  <c r="AC73" i="15"/>
  <c r="AC89" i="15"/>
  <c r="AC72" i="15"/>
  <c r="AC172" i="15"/>
  <c r="AC124" i="15"/>
  <c r="AC25" i="15"/>
  <c r="O376" i="17"/>
  <c r="E376" i="17" s="1"/>
  <c r="O338" i="17"/>
  <c r="E338" i="17" s="1"/>
  <c r="O330" i="17"/>
  <c r="E330" i="17" s="1"/>
  <c r="AD181" i="1"/>
  <c r="AE26" i="15"/>
  <c r="AE331" i="15"/>
  <c r="Q161" i="15"/>
  <c r="AE184" i="15"/>
  <c r="AE73" i="15"/>
  <c r="Q55" i="15"/>
  <c r="AE256" i="15"/>
  <c r="Q120" i="15"/>
  <c r="AE314" i="15"/>
  <c r="AI29" i="1"/>
  <c r="AH29" i="1" s="1"/>
  <c r="AG29" i="1" s="1"/>
  <c r="AF29" i="1" s="1"/>
  <c r="AI38" i="1"/>
  <c r="AH38" i="1" s="1"/>
  <c r="AG38" i="1" s="1"/>
  <c r="AF38" i="1" s="1"/>
  <c r="AI251" i="1"/>
  <c r="AH251" i="1" s="1"/>
  <c r="AG251" i="1" s="1"/>
  <c r="AF251" i="1" s="1"/>
  <c r="AI305" i="1"/>
  <c r="AH305" i="1" s="1"/>
  <c r="AG305" i="1" s="1"/>
  <c r="AF305" i="1" s="1"/>
  <c r="AI19" i="1"/>
  <c r="AH19" i="1" s="1"/>
  <c r="AG19" i="1" s="1"/>
  <c r="AF19" i="1" s="1"/>
  <c r="U19" i="1"/>
  <c r="T19" i="1" s="1"/>
  <c r="S19" i="1" s="1"/>
  <c r="R19" i="1" s="1"/>
  <c r="AI289" i="1"/>
  <c r="AH289" i="1" s="1"/>
  <c r="AG289" i="1" s="1"/>
  <c r="AF289" i="1" s="1"/>
  <c r="AI28" i="1"/>
  <c r="AH28" i="1" s="1"/>
  <c r="AG28" i="1" s="1"/>
  <c r="AF28" i="1" s="1"/>
  <c r="AI15" i="1"/>
  <c r="AH15" i="1" s="1"/>
  <c r="AG15" i="1" s="1"/>
  <c r="AF15" i="1" s="1"/>
  <c r="AI245" i="1"/>
  <c r="AH245" i="1" s="1"/>
  <c r="AG245" i="1" s="1"/>
  <c r="AF245" i="1" s="1"/>
  <c r="AI208" i="1"/>
  <c r="AH208" i="1" s="1"/>
  <c r="AG208" i="1" s="1"/>
  <c r="AF208" i="1" s="1"/>
  <c r="AI333" i="1"/>
  <c r="AH333" i="1" s="1"/>
  <c r="AG333" i="1" s="1"/>
  <c r="AF333" i="1" s="1"/>
  <c r="AI67" i="1"/>
  <c r="AH67" i="1" s="1"/>
  <c r="AG67" i="1" s="1"/>
  <c r="AF67" i="1" s="1"/>
  <c r="AI106" i="1"/>
  <c r="AH106" i="1" s="1"/>
  <c r="AG106" i="1" s="1"/>
  <c r="AF106" i="1" s="1"/>
  <c r="AI166" i="1"/>
  <c r="AH166" i="1" s="1"/>
  <c r="AG166" i="1" s="1"/>
  <c r="AF166" i="1" s="1"/>
  <c r="AI212" i="1"/>
  <c r="AH212" i="1" s="1"/>
  <c r="AG212" i="1" s="1"/>
  <c r="AF212" i="1" s="1"/>
  <c r="AI84" i="1"/>
  <c r="AH84" i="1" s="1"/>
  <c r="AG84" i="1" s="1"/>
  <c r="AF84" i="1" s="1"/>
  <c r="AI367" i="1"/>
  <c r="AH367" i="1" s="1"/>
  <c r="AG367" i="1" s="1"/>
  <c r="AF367" i="1" s="1"/>
  <c r="AI165" i="1"/>
  <c r="AH165" i="1" s="1"/>
  <c r="AG165" i="1" s="1"/>
  <c r="AF165" i="1" s="1"/>
  <c r="AI316" i="1"/>
  <c r="AH316" i="1" s="1"/>
  <c r="AG316" i="1" s="1"/>
  <c r="AF316" i="1" s="1"/>
  <c r="U28" i="1"/>
  <c r="T28" i="1" s="1"/>
  <c r="S28" i="1" s="1"/>
  <c r="R28" i="1" s="1"/>
  <c r="U37" i="1"/>
  <c r="T37" i="1" s="1"/>
  <c r="S37" i="1" s="1"/>
  <c r="R37" i="1" s="1"/>
  <c r="U48" i="1"/>
  <c r="T48" i="1" s="1"/>
  <c r="S48" i="1" s="1"/>
  <c r="R48" i="1" s="1"/>
  <c r="U64" i="1"/>
  <c r="T64" i="1" s="1"/>
  <c r="S64" i="1" s="1"/>
  <c r="R64" i="1" s="1"/>
  <c r="U80" i="1"/>
  <c r="T80" i="1" s="1"/>
  <c r="S80" i="1" s="1"/>
  <c r="R80" i="1" s="1"/>
  <c r="U92" i="1"/>
  <c r="T92" i="1" s="1"/>
  <c r="S92" i="1" s="1"/>
  <c r="R92" i="1" s="1"/>
  <c r="U103" i="1"/>
  <c r="T103" i="1" s="1"/>
  <c r="S103" i="1" s="1"/>
  <c r="R103" i="1" s="1"/>
  <c r="U118" i="1"/>
  <c r="T118" i="1" s="1"/>
  <c r="S118" i="1" s="1"/>
  <c r="R118" i="1" s="1"/>
  <c r="U370" i="1"/>
  <c r="T370" i="1" s="1"/>
  <c r="S370" i="1" s="1"/>
  <c r="R370" i="1" s="1"/>
  <c r="U347" i="1"/>
  <c r="T347" i="1" s="1"/>
  <c r="S347" i="1" s="1"/>
  <c r="R347" i="1" s="1"/>
  <c r="U338" i="1"/>
  <c r="T338" i="1" s="1"/>
  <c r="S338" i="1" s="1"/>
  <c r="R338" i="1" s="1"/>
  <c r="U320" i="1"/>
  <c r="T320" i="1" s="1"/>
  <c r="S320" i="1" s="1"/>
  <c r="R320" i="1" s="1"/>
  <c r="U303" i="1"/>
  <c r="T303" i="1" s="1"/>
  <c r="S303" i="1" s="1"/>
  <c r="R303" i="1" s="1"/>
  <c r="U292" i="1"/>
  <c r="T292" i="1" s="1"/>
  <c r="S292" i="1" s="1"/>
  <c r="R292" i="1" s="1"/>
  <c r="U281" i="1"/>
  <c r="T281" i="1" s="1"/>
  <c r="S281" i="1" s="1"/>
  <c r="R281" i="1" s="1"/>
  <c r="U265" i="1"/>
  <c r="T265" i="1" s="1"/>
  <c r="S265" i="1" s="1"/>
  <c r="R265" i="1" s="1"/>
  <c r="AI250" i="1"/>
  <c r="AH250" i="1" s="1"/>
  <c r="AG250" i="1" s="1"/>
  <c r="AF250" i="1" s="1"/>
  <c r="AI86" i="1"/>
  <c r="AH86" i="1" s="1"/>
  <c r="AG86" i="1" s="1"/>
  <c r="AF86" i="1" s="1"/>
  <c r="AI156" i="1"/>
  <c r="AH156" i="1" s="1"/>
  <c r="AG156" i="1" s="1"/>
  <c r="AF156" i="1" s="1"/>
  <c r="AI204" i="1"/>
  <c r="AH204" i="1" s="1"/>
  <c r="AG204" i="1" s="1"/>
  <c r="AF204" i="1" s="1"/>
  <c r="AI238" i="1"/>
  <c r="AH238" i="1" s="1"/>
  <c r="AG238" i="1" s="1"/>
  <c r="AF238" i="1" s="1"/>
  <c r="AI308" i="1"/>
  <c r="AH308" i="1" s="1"/>
  <c r="AG308" i="1" s="1"/>
  <c r="AF308" i="1" s="1"/>
  <c r="AI297" i="1"/>
  <c r="AH297" i="1" s="1"/>
  <c r="AG297" i="1" s="1"/>
  <c r="AF297" i="1" s="1"/>
  <c r="AI167" i="1"/>
  <c r="AH167" i="1" s="1"/>
  <c r="AG167" i="1" s="1"/>
  <c r="AF167" i="1" s="1"/>
  <c r="AI164" i="1"/>
  <c r="AH164" i="1" s="1"/>
  <c r="AG164" i="1" s="1"/>
  <c r="AF164" i="1" s="1"/>
  <c r="AI137" i="1"/>
  <c r="AH137" i="1" s="1"/>
  <c r="AG137" i="1" s="1"/>
  <c r="AF137" i="1" s="1"/>
  <c r="AI102" i="1"/>
  <c r="AH102" i="1" s="1"/>
  <c r="AG102" i="1" s="1"/>
  <c r="AF102" i="1" s="1"/>
  <c r="AI327" i="1"/>
  <c r="AH327" i="1" s="1"/>
  <c r="AG327" i="1" s="1"/>
  <c r="AF327" i="1" s="1"/>
  <c r="AI53" i="1"/>
  <c r="AH53" i="1" s="1"/>
  <c r="AG53" i="1" s="1"/>
  <c r="AF53" i="1" s="1"/>
  <c r="U25" i="1"/>
  <c r="U33" i="1"/>
  <c r="T33" i="1" s="1"/>
  <c r="S33" i="1" s="1"/>
  <c r="R33" i="1" s="1"/>
  <c r="U45" i="1"/>
  <c r="T45" i="1" s="1"/>
  <c r="S45" i="1" s="1"/>
  <c r="R45" i="1" s="1"/>
  <c r="U60" i="1"/>
  <c r="T60" i="1" s="1"/>
  <c r="S60" i="1" s="1"/>
  <c r="R60" i="1" s="1"/>
  <c r="U71" i="1"/>
  <c r="T71" i="1" s="1"/>
  <c r="S71" i="1" s="1"/>
  <c r="R71" i="1" s="1"/>
  <c r="U88" i="1"/>
  <c r="T88" i="1" s="1"/>
  <c r="S88" i="1" s="1"/>
  <c r="R88" i="1" s="1"/>
  <c r="U98" i="1"/>
  <c r="T98" i="1" s="1"/>
  <c r="S98" i="1" s="1"/>
  <c r="R98" i="1" s="1"/>
  <c r="U112" i="1"/>
  <c r="T112" i="1" s="1"/>
  <c r="S112" i="1" s="1"/>
  <c r="R112" i="1" s="1"/>
  <c r="U374" i="1"/>
  <c r="T374" i="1" s="1"/>
  <c r="S374" i="1" s="1"/>
  <c r="R374" i="1" s="1"/>
  <c r="U352" i="1"/>
  <c r="T352" i="1" s="1"/>
  <c r="S352" i="1" s="1"/>
  <c r="R352" i="1" s="1"/>
  <c r="U342" i="1"/>
  <c r="T342" i="1" s="1"/>
  <c r="S342" i="1" s="1"/>
  <c r="R342" i="1" s="1"/>
  <c r="U324" i="1"/>
  <c r="T324" i="1" s="1"/>
  <c r="S324" i="1" s="1"/>
  <c r="R324" i="1" s="1"/>
  <c r="U308" i="1"/>
  <c r="T308" i="1" s="1"/>
  <c r="S308" i="1" s="1"/>
  <c r="R308" i="1" s="1"/>
  <c r="Q198" i="15"/>
  <c r="AE102" i="15"/>
  <c r="Q200" i="15"/>
  <c r="Q241" i="15"/>
  <c r="AE100" i="15"/>
  <c r="Q221" i="15"/>
  <c r="Q206" i="15"/>
  <c r="AE147" i="15"/>
  <c r="Q149" i="15"/>
  <c r="Q74" i="15"/>
  <c r="Q293" i="15"/>
  <c r="Q240" i="15"/>
  <c r="Q78" i="15"/>
  <c r="Q244" i="15"/>
  <c r="AE139" i="15"/>
  <c r="Q192" i="15"/>
  <c r="AE132" i="15"/>
  <c r="AE322" i="15"/>
  <c r="AE144" i="15"/>
  <c r="AE181" i="15"/>
  <c r="AE78" i="15"/>
  <c r="Q347" i="15"/>
  <c r="AE115" i="15"/>
  <c r="AD240" i="1"/>
  <c r="O281" i="17"/>
  <c r="E281" i="17" s="1"/>
  <c r="AT178" i="6"/>
  <c r="AT173" i="6"/>
  <c r="AT177" i="6"/>
  <c r="AT164" i="6"/>
  <c r="AT163" i="6"/>
  <c r="AT188" i="6"/>
  <c r="AT182" i="6"/>
  <c r="AT165" i="6"/>
  <c r="O231" i="17"/>
  <c r="E231" i="17" s="1"/>
  <c r="O373" i="17"/>
  <c r="E373" i="17" s="1"/>
  <c r="AC247" i="15"/>
  <c r="AT185" i="6"/>
  <c r="AT186" i="6"/>
  <c r="J355" i="6"/>
  <c r="AT179" i="6"/>
  <c r="AT170" i="6"/>
  <c r="AT187" i="6"/>
  <c r="AT181" i="6"/>
  <c r="AT167" i="6"/>
  <c r="AT168" i="6"/>
  <c r="AT180" i="6"/>
  <c r="AT183" i="6"/>
  <c r="AT175" i="6"/>
  <c r="AT169" i="6"/>
  <c r="AT174" i="6"/>
  <c r="AT189" i="6"/>
  <c r="AT184" i="6"/>
  <c r="AT162" i="6"/>
  <c r="AT176" i="6"/>
  <c r="AT171" i="6"/>
  <c r="AT172" i="6"/>
  <c r="AT166" i="6"/>
  <c r="O155" i="17"/>
  <c r="E155" i="17" s="1"/>
  <c r="AC352" i="15"/>
  <c r="AC376" i="15"/>
  <c r="AC276" i="15"/>
  <c r="AC234" i="15"/>
  <c r="AC313" i="15"/>
  <c r="AC246" i="15"/>
  <c r="AC245" i="15"/>
  <c r="AC363" i="15"/>
  <c r="AC336" i="15"/>
  <c r="AC243" i="15"/>
  <c r="AC254" i="15"/>
  <c r="AC257" i="15"/>
  <c r="AC249" i="15"/>
  <c r="AC311" i="15"/>
  <c r="AC239" i="15"/>
  <c r="AC241" i="15"/>
  <c r="AC235" i="15"/>
  <c r="AC228" i="15"/>
  <c r="AC232" i="15"/>
  <c r="AC244" i="15"/>
  <c r="AC248" i="15"/>
  <c r="AC250" i="15"/>
  <c r="O356" i="15"/>
  <c r="E356" i="15" s="1"/>
  <c r="O232" i="15"/>
  <c r="E232" i="15" s="1"/>
  <c r="O230" i="15"/>
  <c r="E230" i="15" s="1"/>
  <c r="O241" i="15"/>
  <c r="C39" i="7" s="1"/>
  <c r="O279" i="15"/>
  <c r="E279" i="15" s="1"/>
  <c r="O251" i="15"/>
  <c r="E251" i="15" s="1"/>
  <c r="O216" i="17"/>
  <c r="E216" i="17" s="1"/>
  <c r="O267" i="17"/>
  <c r="E267" i="17" s="1"/>
  <c r="O150" i="17"/>
  <c r="E150" i="17" s="1"/>
  <c r="O183" i="17"/>
  <c r="E183" i="17" s="1"/>
  <c r="O251" i="17"/>
  <c r="E251" i="17" s="1"/>
  <c r="O303" i="15"/>
  <c r="E303" i="15" s="1"/>
  <c r="O254" i="15"/>
  <c r="E254" i="15" s="1"/>
  <c r="O253" i="15"/>
  <c r="E253" i="15" s="1"/>
  <c r="O257" i="15"/>
  <c r="E257" i="15" s="1"/>
  <c r="O237" i="15"/>
  <c r="E237" i="15" s="1"/>
  <c r="O234" i="17"/>
  <c r="E234" i="17" s="1"/>
  <c r="O138" i="17"/>
  <c r="E138" i="17" s="1"/>
  <c r="O203" i="17"/>
  <c r="E203" i="17" s="1"/>
  <c r="O356" i="17"/>
  <c r="E356" i="17" s="1"/>
  <c r="O181" i="17"/>
  <c r="E181" i="17" s="1"/>
  <c r="O276" i="17"/>
  <c r="E276" i="17" s="1"/>
  <c r="O133" i="17"/>
  <c r="E133" i="17" s="1"/>
  <c r="O288" i="17"/>
  <c r="E288" i="17" s="1"/>
  <c r="O360" i="17"/>
  <c r="E360" i="17" s="1"/>
  <c r="O144" i="17"/>
  <c r="E144" i="17" s="1"/>
  <c r="O249" i="15"/>
  <c r="E249" i="15" s="1"/>
  <c r="O244" i="15"/>
  <c r="E244" i="15" s="1"/>
  <c r="O311" i="15"/>
  <c r="E311" i="15" s="1"/>
  <c r="O238" i="15"/>
  <c r="E238" i="15" s="1"/>
  <c r="O239" i="15"/>
  <c r="E239" i="15" s="1"/>
  <c r="O229" i="15"/>
  <c r="E229" i="15" s="1"/>
  <c r="O252" i="15"/>
  <c r="E252" i="15" s="1"/>
  <c r="O372" i="17"/>
  <c r="E372" i="17" s="1"/>
  <c r="O134" i="17"/>
  <c r="E134" i="17" s="1"/>
  <c r="O314" i="17"/>
  <c r="E314" i="17" s="1"/>
  <c r="U13" i="7"/>
  <c r="E8" i="18" s="1"/>
  <c r="K15" i="19" s="1"/>
  <c r="K39" i="19" s="1"/>
  <c r="O340" i="17"/>
  <c r="E340" i="17" s="1"/>
  <c r="O280" i="17"/>
  <c r="E280" i="17" s="1"/>
  <c r="O137" i="17"/>
  <c r="E137" i="17" s="1"/>
  <c r="O266" i="17"/>
  <c r="E266" i="17" s="1"/>
  <c r="O176" i="17"/>
  <c r="E176" i="17" s="1"/>
  <c r="O347" i="17"/>
  <c r="E347" i="17" s="1"/>
  <c r="O174" i="17"/>
  <c r="E174" i="17" s="1"/>
  <c r="O282" i="17"/>
  <c r="E282" i="17" s="1"/>
  <c r="O273" i="17"/>
  <c r="E273" i="17" s="1"/>
  <c r="O223" i="17"/>
  <c r="E223" i="17" s="1"/>
  <c r="O164" i="17"/>
  <c r="E164" i="17" s="1"/>
  <c r="O371" i="17"/>
  <c r="E371" i="17" s="1"/>
  <c r="O220" i="17"/>
  <c r="E220" i="17" s="1"/>
  <c r="O222" i="17"/>
  <c r="E222" i="17" s="1"/>
  <c r="O263" i="17"/>
  <c r="E263" i="17" s="1"/>
  <c r="O196" i="17"/>
  <c r="E196" i="17" s="1"/>
  <c r="O313" i="17"/>
  <c r="E313" i="17" s="1"/>
  <c r="O157" i="17"/>
  <c r="E157" i="17" s="1"/>
  <c r="O185" i="17"/>
  <c r="E185" i="17" s="1"/>
  <c r="O240" i="15"/>
  <c r="E240" i="15" s="1"/>
  <c r="O360" i="15"/>
  <c r="E360" i="15" s="1"/>
  <c r="O328" i="15"/>
  <c r="E328" i="15" s="1"/>
  <c r="O255" i="15"/>
  <c r="E255" i="15" s="1"/>
  <c r="O233" i="15"/>
  <c r="E233" i="15" s="1"/>
  <c r="O248" i="15"/>
  <c r="E248" i="15" s="1"/>
  <c r="O243" i="15"/>
  <c r="E243" i="15" s="1"/>
  <c r="O234" i="15"/>
  <c r="E234" i="15" s="1"/>
  <c r="O235" i="15"/>
  <c r="E235" i="15" s="1"/>
  <c r="O236" i="15"/>
  <c r="E236" i="15" s="1"/>
  <c r="O247" i="15"/>
  <c r="E247" i="15" s="1"/>
  <c r="O250" i="15"/>
  <c r="E250" i="15" s="1"/>
  <c r="O227" i="15"/>
  <c r="E227" i="15" s="1"/>
  <c r="O246" i="15"/>
  <c r="E246" i="15" s="1"/>
  <c r="O245" i="15"/>
  <c r="E245" i="15" s="1"/>
  <c r="O256" i="15"/>
  <c r="E256" i="15" s="1"/>
  <c r="O283" i="15"/>
  <c r="E283" i="15" s="1"/>
  <c r="O242" i="15"/>
  <c r="E242" i="15" s="1"/>
  <c r="O307" i="15"/>
  <c r="E307" i="15" s="1"/>
  <c r="O339" i="15"/>
  <c r="E339" i="15" s="1"/>
  <c r="O228" i="15"/>
  <c r="E228" i="15" s="1"/>
  <c r="O231" i="15"/>
  <c r="E231" i="15" s="1"/>
  <c r="O334" i="17"/>
  <c r="E334" i="17" s="1"/>
  <c r="O331" i="17"/>
  <c r="E331" i="17" s="1"/>
  <c r="O268" i="17"/>
  <c r="E268" i="17" s="1"/>
  <c r="O232" i="17"/>
  <c r="E232" i="17" s="1"/>
  <c r="O290" i="17"/>
  <c r="E290" i="17" s="1"/>
  <c r="O131" i="17"/>
  <c r="E131" i="17" s="1"/>
  <c r="O198" i="17"/>
  <c r="E198" i="17" s="1"/>
  <c r="O158" i="17"/>
  <c r="E158" i="17" s="1"/>
  <c r="O307" i="17"/>
  <c r="E307" i="17" s="1"/>
  <c r="O184" i="17"/>
  <c r="E184" i="17" s="1"/>
  <c r="O361" i="17"/>
  <c r="E361" i="17" s="1"/>
  <c r="O240" i="17"/>
  <c r="E240" i="17" s="1"/>
  <c r="O283" i="17"/>
  <c r="E283" i="17" s="1"/>
  <c r="O302" i="17"/>
  <c r="C65" i="7" s="1"/>
  <c r="O304" i="17"/>
  <c r="E304" i="17" s="1"/>
  <c r="O326" i="17"/>
  <c r="E326" i="17" s="1"/>
  <c r="O354" i="17"/>
  <c r="E354" i="17" s="1"/>
  <c r="O353" i="17"/>
  <c r="E353" i="17" s="1"/>
  <c r="O339" i="17"/>
  <c r="E339" i="17" s="1"/>
  <c r="O325" i="17"/>
  <c r="E325" i="17" s="1"/>
  <c r="O180" i="17"/>
  <c r="E180" i="17" s="1"/>
  <c r="O324" i="17"/>
  <c r="E324" i="17" s="1"/>
  <c r="O332" i="17"/>
  <c r="E332" i="17" s="1"/>
  <c r="O292" i="17"/>
  <c r="E292" i="17" s="1"/>
  <c r="O287" i="17"/>
  <c r="E287" i="17" s="1"/>
  <c r="O177" i="17"/>
  <c r="E177" i="17" s="1"/>
  <c r="O202" i="17"/>
  <c r="E202" i="17" s="1"/>
  <c r="O175" i="17"/>
  <c r="E175" i="17" s="1"/>
  <c r="O379" i="17"/>
  <c r="C38" i="19" s="1"/>
  <c r="O163" i="17"/>
  <c r="E163" i="17" s="1"/>
  <c r="O159" i="17"/>
  <c r="E159" i="17" s="1"/>
  <c r="O195" i="17"/>
  <c r="E195" i="17" s="1"/>
  <c r="O275" i="17"/>
  <c r="E275" i="17" s="1"/>
  <c r="O210" i="17"/>
  <c r="E210" i="17" s="1"/>
  <c r="O151" i="17"/>
  <c r="E151" i="17" s="1"/>
  <c r="O128" i="17"/>
  <c r="E128" i="17" s="1"/>
  <c r="O295" i="17"/>
  <c r="E295" i="17" s="1"/>
  <c r="O233" i="17"/>
  <c r="E233" i="17" s="1"/>
  <c r="O277" i="17"/>
  <c r="E277" i="17" s="1"/>
  <c r="O219" i="17"/>
  <c r="E219" i="17" s="1"/>
  <c r="O211" i="17"/>
  <c r="E211" i="17" s="1"/>
  <c r="O359" i="17"/>
  <c r="E359" i="17" s="1"/>
  <c r="E11" i="1"/>
  <c r="AD241" i="1"/>
  <c r="AD249" i="1"/>
  <c r="AD189" i="1"/>
  <c r="AI290" i="1"/>
  <c r="AH290" i="1" s="1"/>
  <c r="AG290" i="1" s="1"/>
  <c r="AF290" i="1" s="1"/>
  <c r="AI184" i="1"/>
  <c r="AH184" i="1" s="1"/>
  <c r="AG184" i="1" s="1"/>
  <c r="AF184" i="1" s="1"/>
  <c r="AI174" i="1"/>
  <c r="AH174" i="1" s="1"/>
  <c r="AG174" i="1" s="1"/>
  <c r="AF174" i="1" s="1"/>
  <c r="AI122" i="1"/>
  <c r="AH122" i="1" s="1"/>
  <c r="AG122" i="1" s="1"/>
  <c r="AF122" i="1" s="1"/>
  <c r="AI139" i="1"/>
  <c r="AH139" i="1" s="1"/>
  <c r="AG139" i="1" s="1"/>
  <c r="AF139" i="1" s="1"/>
  <c r="AI140" i="1"/>
  <c r="AH140" i="1" s="1"/>
  <c r="AG140" i="1" s="1"/>
  <c r="AF140" i="1" s="1"/>
  <c r="AI103" i="1"/>
  <c r="AH103" i="1" s="1"/>
  <c r="AG103" i="1" s="1"/>
  <c r="AF103" i="1" s="1"/>
  <c r="AI22" i="1"/>
  <c r="AH22" i="1" s="1"/>
  <c r="AG22" i="1" s="1"/>
  <c r="AF22" i="1" s="1"/>
  <c r="AI310" i="1"/>
  <c r="AH310" i="1" s="1"/>
  <c r="AG310" i="1" s="1"/>
  <c r="AF310" i="1" s="1"/>
  <c r="AI115" i="1"/>
  <c r="AH115" i="1" s="1"/>
  <c r="AG115" i="1" s="1"/>
  <c r="AF115" i="1" s="1"/>
  <c r="AI82" i="1"/>
  <c r="AH82" i="1" s="1"/>
  <c r="AG82" i="1" s="1"/>
  <c r="AF82" i="1" s="1"/>
  <c r="AI121" i="1"/>
  <c r="AH121" i="1" s="1"/>
  <c r="AG121" i="1" s="1"/>
  <c r="AF121" i="1" s="1"/>
  <c r="AI145" i="1"/>
  <c r="AH145" i="1" s="1"/>
  <c r="AG145" i="1" s="1"/>
  <c r="AF145" i="1" s="1"/>
  <c r="AI77" i="1"/>
  <c r="AH77" i="1" s="1"/>
  <c r="AG77" i="1" s="1"/>
  <c r="AF77" i="1" s="1"/>
  <c r="AI116" i="1"/>
  <c r="AH116" i="1" s="1"/>
  <c r="AG116" i="1" s="1"/>
  <c r="AF116" i="1" s="1"/>
  <c r="AI244" i="1"/>
  <c r="AH244" i="1" s="1"/>
  <c r="AG244" i="1" s="1"/>
  <c r="AF244" i="1" s="1"/>
  <c r="AI339" i="1"/>
  <c r="AH339" i="1" s="1"/>
  <c r="AG339" i="1" s="1"/>
  <c r="AF339" i="1" s="1"/>
  <c r="AI117" i="1"/>
  <c r="AH117" i="1" s="1"/>
  <c r="AG117" i="1" s="1"/>
  <c r="AF117" i="1" s="1"/>
  <c r="AI112" i="1"/>
  <c r="AH112" i="1" s="1"/>
  <c r="AG112" i="1" s="1"/>
  <c r="AF112" i="1" s="1"/>
  <c r="AI69" i="1"/>
  <c r="AH69" i="1" s="1"/>
  <c r="AG69" i="1" s="1"/>
  <c r="AF69" i="1" s="1"/>
  <c r="AI201" i="1"/>
  <c r="AI97" i="1"/>
  <c r="AH97" i="1" s="1"/>
  <c r="AG97" i="1" s="1"/>
  <c r="AF97" i="1" s="1"/>
  <c r="AI320" i="1"/>
  <c r="AH320" i="1" s="1"/>
  <c r="AG320" i="1" s="1"/>
  <c r="AF320" i="1" s="1"/>
  <c r="AI26" i="1"/>
  <c r="AH26" i="1" s="1"/>
  <c r="AG26" i="1" s="1"/>
  <c r="AF26" i="1" s="1"/>
  <c r="AI58" i="1"/>
  <c r="AH58" i="1" s="1"/>
  <c r="AG58" i="1" s="1"/>
  <c r="AF58" i="1" s="1"/>
  <c r="AI243" i="1"/>
  <c r="AH243" i="1" s="1"/>
  <c r="AG243" i="1" s="1"/>
  <c r="AF243" i="1" s="1"/>
  <c r="AI185" i="1"/>
  <c r="AH185" i="1" s="1"/>
  <c r="AG185" i="1" s="1"/>
  <c r="AF185" i="1" s="1"/>
  <c r="AI57" i="1"/>
  <c r="AH57" i="1" s="1"/>
  <c r="AG57" i="1" s="1"/>
  <c r="AF57" i="1" s="1"/>
  <c r="AI357" i="1"/>
  <c r="AH357" i="1" s="1"/>
  <c r="AG357" i="1" s="1"/>
  <c r="AF357" i="1" s="1"/>
  <c r="AI94" i="1"/>
  <c r="AH94" i="1" s="1"/>
  <c r="AG94" i="1" s="1"/>
  <c r="AF94" i="1" s="1"/>
  <c r="AI378" i="1"/>
  <c r="AH378" i="1" s="1"/>
  <c r="AG378" i="1" s="1"/>
  <c r="AF378" i="1" s="1"/>
  <c r="AI329" i="1"/>
  <c r="AH329" i="1" s="1"/>
  <c r="AG329" i="1" s="1"/>
  <c r="AF329" i="1" s="1"/>
  <c r="AI95" i="1"/>
  <c r="AH95" i="1" s="1"/>
  <c r="AG95" i="1" s="1"/>
  <c r="AF95" i="1" s="1"/>
  <c r="AI190" i="1"/>
  <c r="AH190" i="1" s="1"/>
  <c r="AG190" i="1" s="1"/>
  <c r="AF190" i="1" s="1"/>
  <c r="AI196" i="1"/>
  <c r="AH196" i="1" s="1"/>
  <c r="AG196" i="1" s="1"/>
  <c r="AF196" i="1" s="1"/>
  <c r="AI235" i="1"/>
  <c r="AH235" i="1" s="1"/>
  <c r="AG235" i="1" s="1"/>
  <c r="AF235" i="1" s="1"/>
  <c r="AI193" i="1"/>
  <c r="AH193" i="1" s="1"/>
  <c r="AG193" i="1" s="1"/>
  <c r="AF193" i="1" s="1"/>
  <c r="AI372" i="1"/>
  <c r="AH372" i="1" s="1"/>
  <c r="AG372" i="1" s="1"/>
  <c r="AF372" i="1" s="1"/>
  <c r="AI268" i="1"/>
  <c r="AH268" i="1" s="1"/>
  <c r="AG268" i="1" s="1"/>
  <c r="AF268" i="1" s="1"/>
  <c r="AD268" i="1" s="1"/>
  <c r="U20" i="1"/>
  <c r="T20" i="1" s="1"/>
  <c r="S20" i="1" s="1"/>
  <c r="R20" i="1" s="1"/>
  <c r="U26" i="1"/>
  <c r="T26" i="1" s="1"/>
  <c r="S26" i="1" s="1"/>
  <c r="R26" i="1" s="1"/>
  <c r="U30" i="1"/>
  <c r="T30" i="1" s="1"/>
  <c r="S30" i="1" s="1"/>
  <c r="R30" i="1" s="1"/>
  <c r="U34" i="1"/>
  <c r="T34" i="1" s="1"/>
  <c r="S34" i="1" s="1"/>
  <c r="R34" i="1" s="1"/>
  <c r="U41" i="1"/>
  <c r="T41" i="1" s="1"/>
  <c r="S41" i="1" s="1"/>
  <c r="R41" i="1" s="1"/>
  <c r="U46" i="1"/>
  <c r="T46" i="1" s="1"/>
  <c r="S46" i="1" s="1"/>
  <c r="R46" i="1" s="1"/>
  <c r="U56" i="1"/>
  <c r="T56" i="1" s="1"/>
  <c r="S56" i="1" s="1"/>
  <c r="R56" i="1" s="1"/>
  <c r="U61" i="1"/>
  <c r="T61" i="1" s="1"/>
  <c r="S61" i="1" s="1"/>
  <c r="R61" i="1" s="1"/>
  <c r="U68" i="1"/>
  <c r="T68" i="1" s="1"/>
  <c r="S68" i="1" s="1"/>
  <c r="R68" i="1" s="1"/>
  <c r="U73" i="1"/>
  <c r="T73" i="1" s="1"/>
  <c r="S73" i="1" s="1"/>
  <c r="R73" i="1" s="1"/>
  <c r="U82" i="1"/>
  <c r="T82" i="1" s="1"/>
  <c r="S82" i="1" s="1"/>
  <c r="R82" i="1" s="1"/>
  <c r="U89" i="1"/>
  <c r="T89" i="1" s="1"/>
  <c r="S89" i="1" s="1"/>
  <c r="R89" i="1" s="1"/>
  <c r="U95" i="1"/>
  <c r="T95" i="1" s="1"/>
  <c r="S95" i="1" s="1"/>
  <c r="R95" i="1" s="1"/>
  <c r="U101" i="1"/>
  <c r="T101" i="1" s="1"/>
  <c r="S101" i="1" s="1"/>
  <c r="R101" i="1" s="1"/>
  <c r="U109" i="1"/>
  <c r="T109" i="1" s="1"/>
  <c r="S109" i="1" s="1"/>
  <c r="R109" i="1" s="1"/>
  <c r="U113" i="1"/>
  <c r="T113" i="1" s="1"/>
  <c r="S113" i="1" s="1"/>
  <c r="R113" i="1" s="1"/>
  <c r="U377" i="1"/>
  <c r="T377" i="1" s="1"/>
  <c r="S377" i="1" s="1"/>
  <c r="R377" i="1" s="1"/>
  <c r="U372" i="1"/>
  <c r="T372" i="1" s="1"/>
  <c r="S372" i="1" s="1"/>
  <c r="R372" i="1" s="1"/>
  <c r="U366" i="1"/>
  <c r="T366" i="1" s="1"/>
  <c r="S366" i="1" s="1"/>
  <c r="R366" i="1" s="1"/>
  <c r="P366" i="1" s="1"/>
  <c r="U350" i="1"/>
  <c r="T350" i="1" s="1"/>
  <c r="S350" i="1" s="1"/>
  <c r="R350" i="1" s="1"/>
  <c r="U345" i="1"/>
  <c r="T345" i="1" s="1"/>
  <c r="S345" i="1" s="1"/>
  <c r="R345" i="1" s="1"/>
  <c r="U341" i="1"/>
  <c r="T341" i="1" s="1"/>
  <c r="S341" i="1" s="1"/>
  <c r="R341" i="1" s="1"/>
  <c r="U334" i="1"/>
  <c r="T334" i="1" s="1"/>
  <c r="S334" i="1" s="1"/>
  <c r="R334" i="1" s="1"/>
  <c r="U323" i="1"/>
  <c r="T323" i="1" s="1"/>
  <c r="S323" i="1" s="1"/>
  <c r="R323" i="1" s="1"/>
  <c r="U317" i="1"/>
  <c r="T317" i="1" s="1"/>
  <c r="S317" i="1" s="1"/>
  <c r="R317" i="1" s="1"/>
  <c r="U307" i="1"/>
  <c r="T307" i="1" s="1"/>
  <c r="S307" i="1" s="1"/>
  <c r="R307" i="1" s="1"/>
  <c r="U298" i="1"/>
  <c r="T298" i="1" s="1"/>
  <c r="S298" i="1" s="1"/>
  <c r="R298" i="1" s="1"/>
  <c r="P298" i="1" s="1"/>
  <c r="U294" i="1"/>
  <c r="T294" i="1" s="1"/>
  <c r="S294" i="1" s="1"/>
  <c r="R294" i="1" s="1"/>
  <c r="P294" i="1" s="1"/>
  <c r="V294" i="1" s="1"/>
  <c r="F294" i="1" s="1"/>
  <c r="I294" i="1" s="1"/>
  <c r="U288" i="1"/>
  <c r="T288" i="1" s="1"/>
  <c r="S288" i="1" s="1"/>
  <c r="R288" i="1" s="1"/>
  <c r="U283" i="1"/>
  <c r="T283" i="1" s="1"/>
  <c r="S283" i="1" s="1"/>
  <c r="R283" i="1" s="1"/>
  <c r="U274" i="1"/>
  <c r="T274" i="1" s="1"/>
  <c r="S274" i="1" s="1"/>
  <c r="R274" i="1" s="1"/>
  <c r="U267" i="1"/>
  <c r="T267" i="1" s="1"/>
  <c r="S267" i="1" s="1"/>
  <c r="R267" i="1" s="1"/>
  <c r="U260" i="1"/>
  <c r="T260" i="1" s="1"/>
  <c r="S260" i="1" s="1"/>
  <c r="R260" i="1" s="1"/>
  <c r="AI73" i="1"/>
  <c r="AH73" i="1" s="1"/>
  <c r="AG73" i="1" s="1"/>
  <c r="AF73" i="1" s="1"/>
  <c r="AI18" i="1"/>
  <c r="AH18" i="1" s="1"/>
  <c r="AG18" i="1" s="1"/>
  <c r="AF18" i="1" s="1"/>
  <c r="AI374" i="1"/>
  <c r="AH374" i="1" s="1"/>
  <c r="AG374" i="1" s="1"/>
  <c r="AF374" i="1" s="1"/>
  <c r="AI299" i="1"/>
  <c r="AH299" i="1" s="1"/>
  <c r="AG299" i="1" s="1"/>
  <c r="AF299" i="1" s="1"/>
  <c r="AI96" i="1"/>
  <c r="AH96" i="1" s="1"/>
  <c r="AG96" i="1" s="1"/>
  <c r="AF96" i="1" s="1"/>
  <c r="AI33" i="1"/>
  <c r="AH33" i="1" s="1"/>
  <c r="AG33" i="1" s="1"/>
  <c r="AF33" i="1" s="1"/>
  <c r="AI276" i="1"/>
  <c r="AH276" i="1" s="1"/>
  <c r="AG276" i="1" s="1"/>
  <c r="AF276" i="1" s="1"/>
  <c r="AI223" i="1"/>
  <c r="AH223" i="1" s="1"/>
  <c r="AG223" i="1" s="1"/>
  <c r="AF223" i="1" s="1"/>
  <c r="AI134" i="1"/>
  <c r="AH134" i="1" s="1"/>
  <c r="AG134" i="1" s="1"/>
  <c r="AF134" i="1" s="1"/>
  <c r="AI118" i="1"/>
  <c r="AH118" i="1" s="1"/>
  <c r="AG118" i="1" s="1"/>
  <c r="AF118" i="1" s="1"/>
  <c r="AI373" i="1"/>
  <c r="AH373" i="1" s="1"/>
  <c r="AG373" i="1" s="1"/>
  <c r="AF373" i="1" s="1"/>
  <c r="AI74" i="1"/>
  <c r="AH74" i="1" s="1"/>
  <c r="AG74" i="1" s="1"/>
  <c r="AF74" i="1" s="1"/>
  <c r="AI301" i="1"/>
  <c r="AH301" i="1" s="1"/>
  <c r="AG301" i="1" s="1"/>
  <c r="AF301" i="1" s="1"/>
  <c r="AB13" i="7"/>
  <c r="AC13" i="7"/>
  <c r="O127" i="17"/>
  <c r="E127" i="17" s="1"/>
  <c r="O178" i="17"/>
  <c r="E178" i="17" s="1"/>
  <c r="O126" i="17"/>
  <c r="E126" i="17" s="1"/>
  <c r="O366" i="17"/>
  <c r="E366" i="17" s="1"/>
  <c r="O182" i="17"/>
  <c r="E182" i="17" s="1"/>
  <c r="O189" i="17"/>
  <c r="E189" i="17" s="1"/>
  <c r="O169" i="17"/>
  <c r="E169" i="17" s="1"/>
  <c r="O208" i="17"/>
  <c r="E208" i="17" s="1"/>
  <c r="O365" i="17"/>
  <c r="E365" i="17" s="1"/>
  <c r="O173" i="17"/>
  <c r="E173" i="17" s="1"/>
  <c r="O165" i="17"/>
  <c r="E165" i="17" s="1"/>
  <c r="O145" i="17"/>
  <c r="E145" i="17" s="1"/>
  <c r="O312" i="17"/>
  <c r="E312" i="17" s="1"/>
  <c r="O269" i="17"/>
  <c r="E269" i="17" s="1"/>
  <c r="O206" i="17"/>
  <c r="E206" i="17" s="1"/>
  <c r="O370" i="17"/>
  <c r="E370" i="17" s="1"/>
  <c r="O149" i="17"/>
  <c r="E149" i="17" s="1"/>
  <c r="O243" i="17"/>
  <c r="E243" i="17" s="1"/>
  <c r="O152" i="17"/>
  <c r="E152" i="17" s="1"/>
  <c r="O218" i="17"/>
  <c r="E218" i="17" s="1"/>
  <c r="O197" i="17"/>
  <c r="E197" i="17" s="1"/>
  <c r="O378" i="17"/>
  <c r="E378" i="17" s="1"/>
  <c r="O242" i="17"/>
  <c r="E242" i="17" s="1"/>
  <c r="O309" i="17"/>
  <c r="E309" i="17" s="1"/>
  <c r="O260" i="17"/>
  <c r="E260" i="17" s="1"/>
  <c r="O171" i="17"/>
  <c r="E171" i="17" s="1"/>
  <c r="O215" i="17"/>
  <c r="E215" i="17" s="1"/>
  <c r="O248" i="17"/>
  <c r="E248" i="17" s="1"/>
  <c r="O375" i="17"/>
  <c r="E375" i="17" s="1"/>
  <c r="O272" i="17"/>
  <c r="E272" i="17" s="1"/>
  <c r="O315" i="17"/>
  <c r="E315" i="17" s="1"/>
  <c r="O253" i="17"/>
  <c r="E253" i="17" s="1"/>
  <c r="O255" i="17"/>
  <c r="E255" i="17" s="1"/>
  <c r="O320" i="17"/>
  <c r="E320" i="17" s="1"/>
  <c r="O308" i="17"/>
  <c r="E308" i="17" s="1"/>
  <c r="O271" i="17"/>
  <c r="E271" i="17" s="1"/>
  <c r="O205" i="17"/>
  <c r="E205" i="17" s="1"/>
  <c r="O301" i="17"/>
  <c r="E301" i="17" s="1"/>
  <c r="O125" i="17"/>
  <c r="E125" i="17" s="1"/>
  <c r="O129" i="17"/>
  <c r="E129" i="17" s="1"/>
  <c r="O343" i="17"/>
  <c r="E343" i="17" s="1"/>
  <c r="O259" i="17"/>
  <c r="E259" i="17" s="1"/>
  <c r="O322" i="17"/>
  <c r="E322" i="17" s="1"/>
  <c r="O333" i="17"/>
  <c r="E333" i="17" s="1"/>
  <c r="O336" i="17"/>
  <c r="E336" i="17" s="1"/>
  <c r="O293" i="17"/>
  <c r="E293" i="17" s="1"/>
  <c r="O289" i="17"/>
  <c r="E289" i="17" s="1"/>
  <c r="O192" i="17"/>
  <c r="E192" i="17" s="1"/>
  <c r="O212" i="17"/>
  <c r="E212" i="17" s="1"/>
  <c r="O344" i="17"/>
  <c r="E344" i="17" s="1"/>
  <c r="O319" i="17"/>
  <c r="E319" i="17" s="1"/>
  <c r="O298" i="17"/>
  <c r="E298" i="17" s="1"/>
  <c r="O191" i="17"/>
  <c r="E191" i="17" s="1"/>
  <c r="O351" i="17"/>
  <c r="E351" i="17" s="1"/>
  <c r="O341" i="17"/>
  <c r="E341" i="17" s="1"/>
  <c r="O335" i="17"/>
  <c r="E335" i="17" s="1"/>
  <c r="O342" i="17"/>
  <c r="E342" i="17" s="1"/>
  <c r="O204" i="17"/>
  <c r="E204" i="17" s="1"/>
  <c r="O161" i="17"/>
  <c r="E161" i="17" s="1"/>
  <c r="O278" i="17"/>
  <c r="E278" i="17" s="1"/>
  <c r="O362" i="17"/>
  <c r="E362" i="17" s="1"/>
  <c r="O241" i="17"/>
  <c r="E241" i="17" s="1"/>
  <c r="O213" i="17"/>
  <c r="E213" i="17" s="1"/>
  <c r="O227" i="17"/>
  <c r="E227" i="17" s="1"/>
  <c r="O229" i="17"/>
  <c r="E229" i="17" s="1"/>
  <c r="O207" i="17"/>
  <c r="E207" i="17" s="1"/>
  <c r="O321" i="17"/>
  <c r="E321" i="17" s="1"/>
  <c r="O168" i="17"/>
  <c r="E168" i="17" s="1"/>
  <c r="O286" i="17"/>
  <c r="E286" i="17" s="1"/>
  <c r="O239" i="17"/>
  <c r="E239" i="17" s="1"/>
  <c r="O238" i="17"/>
  <c r="E238" i="17" s="1"/>
  <c r="O258" i="17"/>
  <c r="E258" i="17" s="1"/>
  <c r="O187" i="17"/>
  <c r="E187" i="17" s="1"/>
  <c r="O346" i="17"/>
  <c r="E346" i="17" s="1"/>
  <c r="O209" i="17"/>
  <c r="E209" i="17" s="1"/>
  <c r="O363" i="17"/>
  <c r="C67" i="7" s="1"/>
  <c r="O377" i="17"/>
  <c r="E377" i="17" s="1"/>
  <c r="O147" i="17"/>
  <c r="E147" i="17" s="1"/>
  <c r="O199" i="17"/>
  <c r="E199" i="17" s="1"/>
  <c r="O274" i="17"/>
  <c r="E274" i="17" s="1"/>
  <c r="O352" i="17"/>
  <c r="E352" i="17" s="1"/>
  <c r="O235" i="17"/>
  <c r="E235" i="17" s="1"/>
  <c r="O250" i="17"/>
  <c r="E250" i="17" s="1"/>
  <c r="O236" i="17"/>
  <c r="E236" i="17" s="1"/>
  <c r="O148" i="17"/>
  <c r="E148" i="17" s="1"/>
  <c r="C66" i="7"/>
  <c r="O170" i="17"/>
  <c r="E170" i="17" s="1"/>
  <c r="O130" i="17"/>
  <c r="E130" i="17" s="1"/>
  <c r="O256" i="17"/>
  <c r="E256" i="17" s="1"/>
  <c r="O217" i="17"/>
  <c r="E217" i="17" s="1"/>
  <c r="O261" i="17"/>
  <c r="E261" i="17" s="1"/>
  <c r="O316" i="17"/>
  <c r="E316" i="17" s="1"/>
  <c r="O230" i="17"/>
  <c r="E230" i="17" s="1"/>
  <c r="O247" i="17"/>
  <c r="E247" i="17" s="1"/>
  <c r="O345" i="17"/>
  <c r="E345" i="17" s="1"/>
  <c r="O154" i="17"/>
  <c r="E154" i="17" s="1"/>
  <c r="O124" i="17"/>
  <c r="E124" i="17" s="1"/>
  <c r="O179" i="17"/>
  <c r="E179" i="17" s="1"/>
  <c r="O285" i="17"/>
  <c r="E285" i="17" s="1"/>
  <c r="O350" i="17"/>
  <c r="E350" i="17" s="1"/>
  <c r="O305" i="17"/>
  <c r="E305" i="17" s="1"/>
  <c r="O167" i="17"/>
  <c r="E167" i="17" s="1"/>
  <c r="O252" i="17"/>
  <c r="E252" i="17" s="1"/>
  <c r="O349" i="17"/>
  <c r="E349" i="17" s="1"/>
  <c r="O245" i="17"/>
  <c r="E245" i="17" s="1"/>
  <c r="O226" i="17"/>
  <c r="E226" i="17" s="1"/>
  <c r="O224" i="17"/>
  <c r="E224" i="17" s="1"/>
  <c r="O299" i="17"/>
  <c r="E299" i="17" s="1"/>
  <c r="O328" i="17"/>
  <c r="E328" i="17" s="1"/>
  <c r="O160" i="17"/>
  <c r="E160" i="17" s="1"/>
  <c r="O264" i="17"/>
  <c r="E264" i="17" s="1"/>
  <c r="O257" i="17"/>
  <c r="E257" i="17" s="1"/>
  <c r="O254" i="17"/>
  <c r="E254" i="17" s="1"/>
  <c r="O200" i="17"/>
  <c r="E200" i="17" s="1"/>
  <c r="O139" i="17"/>
  <c r="E139" i="17" s="1"/>
  <c r="O225" i="17"/>
  <c r="E225" i="17" s="1"/>
  <c r="O367" i="17"/>
  <c r="E367" i="17" s="1"/>
  <c r="O214" i="17"/>
  <c r="E214" i="17" s="1"/>
  <c r="O368" i="17"/>
  <c r="E368" i="17" s="1"/>
  <c r="O193" i="17"/>
  <c r="E193" i="17" s="1"/>
  <c r="O246" i="17"/>
  <c r="E246" i="17" s="1"/>
  <c r="O323" i="17"/>
  <c r="E323" i="17" s="1"/>
  <c r="O327" i="17"/>
  <c r="E327" i="17" s="1"/>
  <c r="O153" i="17"/>
  <c r="E153" i="17" s="1"/>
  <c r="O141" i="17"/>
  <c r="E141" i="17" s="1"/>
  <c r="O265" i="17"/>
  <c r="E265" i="17" s="1"/>
  <c r="O249" i="17"/>
  <c r="E249" i="17" s="1"/>
  <c r="O303" i="17"/>
  <c r="E303" i="17" s="1"/>
  <c r="O186" i="17"/>
  <c r="E186" i="17" s="1"/>
  <c r="O146" i="17"/>
  <c r="E146" i="17" s="1"/>
  <c r="O143" i="17"/>
  <c r="E143" i="17" s="1"/>
  <c r="O166" i="17"/>
  <c r="E166" i="17" s="1"/>
  <c r="O228" i="17"/>
  <c r="E228" i="17" s="1"/>
  <c r="O284" i="17"/>
  <c r="E284" i="17" s="1"/>
  <c r="O310" i="17"/>
  <c r="E310" i="17" s="1"/>
  <c r="O357" i="17"/>
  <c r="E357" i="17" s="1"/>
  <c r="O296" i="17"/>
  <c r="E296" i="17" s="1"/>
  <c r="O311" i="17"/>
  <c r="E311" i="17" s="1"/>
  <c r="O348" i="17"/>
  <c r="E348" i="17" s="1"/>
  <c r="O194" i="17"/>
  <c r="E194" i="17" s="1"/>
  <c r="O237" i="17"/>
  <c r="E237" i="17" s="1"/>
  <c r="O132" i="17"/>
  <c r="E132" i="17" s="1"/>
  <c r="O306" i="17"/>
  <c r="E306" i="17" s="1"/>
  <c r="O294" i="17"/>
  <c r="E294" i="17" s="1"/>
  <c r="O221" i="17"/>
  <c r="E221" i="17" s="1"/>
  <c r="O270" i="17"/>
  <c r="E270" i="17" s="1"/>
  <c r="O136" i="17"/>
  <c r="E136" i="17" s="1"/>
  <c r="O300" i="17"/>
  <c r="E300" i="17" s="1"/>
  <c r="O162" i="17"/>
  <c r="E162" i="17" s="1"/>
  <c r="O188" i="17"/>
  <c r="E188" i="17" s="1"/>
  <c r="O358" i="17"/>
  <c r="E358" i="17" s="1"/>
  <c r="O329" i="17"/>
  <c r="E329" i="17" s="1"/>
  <c r="O355" i="17"/>
  <c r="E355" i="17" s="1"/>
  <c r="O337" i="17"/>
  <c r="E337" i="17" s="1"/>
  <c r="O172" i="17"/>
  <c r="E172" i="17" s="1"/>
  <c r="O156" i="17"/>
  <c r="E156" i="17" s="1"/>
  <c r="O318" i="17"/>
  <c r="E318" i="17" s="1"/>
  <c r="O135" i="17"/>
  <c r="E135" i="17" s="1"/>
  <c r="O201" i="17"/>
  <c r="E201" i="17" s="1"/>
  <c r="O190" i="17"/>
  <c r="E190" i="17" s="1"/>
  <c r="O364" i="17"/>
  <c r="E364" i="17" s="1"/>
  <c r="O279" i="17"/>
  <c r="E279" i="17" s="1"/>
  <c r="O369" i="17"/>
  <c r="E369" i="17" s="1"/>
  <c r="O297" i="17"/>
  <c r="E297" i="17" s="1"/>
  <c r="O317" i="17"/>
  <c r="E317" i="17" s="1"/>
  <c r="O142" i="17"/>
  <c r="E142" i="17" s="1"/>
  <c r="O374" i="17"/>
  <c r="E374" i="17" s="1"/>
  <c r="O140" i="17"/>
  <c r="E140" i="17" s="1"/>
  <c r="O244" i="17"/>
  <c r="E244" i="17" s="1"/>
  <c r="O291" i="17"/>
  <c r="E291" i="17" s="1"/>
  <c r="O262" i="17"/>
  <c r="E262" i="17" s="1"/>
  <c r="I13" i="7"/>
  <c r="E7" i="16" s="1"/>
  <c r="O353" i="15"/>
  <c r="E353" i="15" s="1"/>
  <c r="O340" i="15"/>
  <c r="E340" i="15" s="1"/>
  <c r="O326" i="15"/>
  <c r="E326" i="15" s="1"/>
  <c r="O309" i="15"/>
  <c r="E309" i="15" s="1"/>
  <c r="O290" i="15"/>
  <c r="E290" i="15" s="1"/>
  <c r="O358" i="15"/>
  <c r="E358" i="15" s="1"/>
  <c r="O347" i="15"/>
  <c r="E347" i="15" s="1"/>
  <c r="O372" i="15"/>
  <c r="E372" i="15" s="1"/>
  <c r="O341" i="15"/>
  <c r="E341" i="15" s="1"/>
  <c r="O310" i="15"/>
  <c r="E310" i="15" s="1"/>
  <c r="O258" i="15"/>
  <c r="E258" i="15" s="1"/>
  <c r="O291" i="15"/>
  <c r="E291" i="15" s="1"/>
  <c r="O302" i="15"/>
  <c r="E302" i="15" s="1"/>
  <c r="O316" i="15"/>
  <c r="E316" i="15" s="1"/>
  <c r="O275" i="15"/>
  <c r="E275" i="15" s="1"/>
  <c r="O346" i="15"/>
  <c r="E346" i="15" s="1"/>
  <c r="O334" i="15"/>
  <c r="E334" i="15" s="1"/>
  <c r="O364" i="15"/>
  <c r="E364" i="15" s="1"/>
  <c r="O361" i="15"/>
  <c r="E361" i="15" s="1"/>
  <c r="AE223" i="15"/>
  <c r="AE194" i="15"/>
  <c r="Q76" i="15"/>
  <c r="Q47" i="15"/>
  <c r="Q281" i="15"/>
  <c r="Q245" i="15"/>
  <c r="AE282" i="15"/>
  <c r="Q33" i="15"/>
  <c r="Q45" i="15"/>
  <c r="Q265" i="15"/>
  <c r="AE154" i="15"/>
  <c r="Q248" i="15"/>
  <c r="Q27" i="15"/>
  <c r="Q106" i="15"/>
  <c r="AE257" i="15"/>
  <c r="AE218" i="15"/>
  <c r="AE373" i="15"/>
  <c r="Q18" i="15"/>
  <c r="Q352" i="15"/>
  <c r="Q342" i="15"/>
  <c r="AE179" i="15"/>
  <c r="AE93" i="15"/>
  <c r="AE207" i="15"/>
  <c r="AE72" i="15"/>
  <c r="AE335" i="15"/>
  <c r="Q253" i="15"/>
  <c r="AE44" i="15"/>
  <c r="Q378" i="15"/>
  <c r="AE162" i="15"/>
  <c r="AE275" i="15"/>
  <c r="AE241" i="15"/>
  <c r="AE150" i="15"/>
  <c r="Q92" i="15"/>
  <c r="Q39" i="15"/>
  <c r="Q349" i="15"/>
  <c r="AE228" i="15"/>
  <c r="AE341" i="15"/>
  <c r="Q258" i="15"/>
  <c r="AE43" i="15"/>
  <c r="Q334" i="15"/>
  <c r="Q291" i="15"/>
  <c r="AE358" i="15"/>
  <c r="AE191" i="15"/>
  <c r="Q220" i="15"/>
  <c r="Q324" i="15"/>
  <c r="AE199" i="15"/>
  <c r="AE260" i="15"/>
  <c r="Q73" i="15"/>
  <c r="Q227" i="15"/>
  <c r="AE309" i="15"/>
  <c r="Q246" i="15"/>
  <c r="Q263" i="15"/>
  <c r="AE196" i="15"/>
  <c r="AE71" i="15"/>
  <c r="Q118" i="15"/>
  <c r="AE200" i="15"/>
  <c r="AE329" i="15"/>
  <c r="AE157" i="15"/>
  <c r="AE19" i="15"/>
  <c r="Q97" i="15"/>
  <c r="AE56" i="15"/>
  <c r="Q50" i="15"/>
  <c r="Q266" i="15"/>
  <c r="AE299" i="15"/>
  <c r="Q298" i="15"/>
  <c r="AE53" i="15"/>
  <c r="AE66" i="15"/>
  <c r="AE192" i="15"/>
  <c r="Q131" i="15"/>
  <c r="AE129" i="15"/>
  <c r="AE166" i="15"/>
  <c r="Q93" i="15"/>
  <c r="Q205" i="15"/>
  <c r="Q348" i="15"/>
  <c r="Q250" i="15"/>
  <c r="Q141" i="15"/>
  <c r="AE186" i="15"/>
  <c r="AE364" i="15"/>
  <c r="Q319" i="15"/>
  <c r="AE294" i="15"/>
  <c r="Q305" i="15"/>
  <c r="Q329" i="15"/>
  <c r="AE64" i="15"/>
  <c r="Q60" i="15"/>
  <c r="Q182" i="15"/>
  <c r="AE319" i="15"/>
  <c r="AE85" i="15"/>
  <c r="AE336" i="15"/>
  <c r="AE57" i="15"/>
  <c r="Q290" i="15"/>
  <c r="AE41" i="15"/>
  <c r="AE151" i="15"/>
  <c r="Q276" i="15"/>
  <c r="AE215" i="15"/>
  <c r="Q44" i="15"/>
  <c r="AE80" i="15"/>
  <c r="AE171" i="15"/>
  <c r="AE58" i="15"/>
  <c r="Q331" i="15"/>
  <c r="AE356" i="15"/>
  <c r="Q300" i="15"/>
  <c r="Q208" i="15"/>
  <c r="AE169" i="15"/>
  <c r="AE135" i="15"/>
  <c r="Q271" i="15"/>
  <c r="Q327" i="15"/>
  <c r="AE290" i="15"/>
  <c r="Q273" i="15"/>
  <c r="AE300" i="15"/>
  <c r="Q64" i="15"/>
  <c r="Q369" i="15"/>
  <c r="AE185" i="15"/>
  <c r="Q337" i="15"/>
  <c r="Q34" i="15"/>
  <c r="AE258" i="15"/>
  <c r="AE177" i="15"/>
  <c r="AE334" i="15"/>
  <c r="Q144" i="15"/>
  <c r="AE117" i="15"/>
  <c r="Q70" i="15"/>
  <c r="AE18" i="15"/>
  <c r="AE279" i="15"/>
  <c r="Q122" i="15"/>
  <c r="Q302" i="15"/>
  <c r="Q113" i="15"/>
  <c r="AE38" i="15"/>
  <c r="AE108" i="15"/>
  <c r="Q79" i="15"/>
  <c r="AE203" i="15"/>
  <c r="Q196" i="15"/>
  <c r="Q114" i="15"/>
  <c r="Q138" i="15"/>
  <c r="AE86" i="15"/>
  <c r="AE371" i="15"/>
  <c r="Q288" i="15"/>
  <c r="Q17" i="15"/>
  <c r="Q207" i="15"/>
  <c r="Q233" i="15"/>
  <c r="Q128" i="15"/>
  <c r="Q108" i="15"/>
  <c r="Q102" i="15"/>
  <c r="Q362" i="15"/>
  <c r="Q283" i="15"/>
  <c r="Q215" i="15"/>
  <c r="Q275" i="15"/>
  <c r="Q86" i="15"/>
  <c r="Q346" i="15"/>
  <c r="Q121" i="15"/>
  <c r="Q303" i="15"/>
  <c r="Q243" i="15"/>
  <c r="Q173" i="15"/>
  <c r="Q379" i="15"/>
  <c r="Q28" i="15"/>
  <c r="Q127" i="15"/>
  <c r="Q304" i="15"/>
  <c r="Q247" i="15"/>
  <c r="Q174" i="15"/>
  <c r="Q54" i="15"/>
  <c r="Q30" i="15"/>
  <c r="Q360" i="15"/>
  <c r="Q72" i="15"/>
  <c r="Q100" i="15"/>
  <c r="Q270" i="15"/>
  <c r="Q236" i="15"/>
  <c r="Q222" i="15"/>
  <c r="Q137" i="15"/>
  <c r="Q84" i="15"/>
  <c r="Q119" i="15"/>
  <c r="Q354" i="15"/>
  <c r="Q51" i="15"/>
  <c r="Q169" i="15"/>
  <c r="Q183" i="15"/>
  <c r="Q188" i="15"/>
  <c r="Q153" i="15"/>
  <c r="Q162" i="15"/>
  <c r="Q374" i="15"/>
  <c r="AE243" i="15"/>
  <c r="AE272" i="15"/>
  <c r="AE90" i="15"/>
  <c r="AE68" i="15"/>
  <c r="AE51" i="15"/>
  <c r="AE94" i="15"/>
  <c r="AE29" i="15"/>
  <c r="AE354" i="15"/>
  <c r="AE113" i="15"/>
  <c r="AE263" i="15"/>
  <c r="AE164" i="15"/>
  <c r="AE277" i="15"/>
  <c r="AE378" i="15"/>
  <c r="AE208" i="15"/>
  <c r="AE230" i="15"/>
  <c r="AE136" i="15"/>
  <c r="AE377" i="15"/>
  <c r="AE286" i="15"/>
  <c r="AE351" i="15"/>
  <c r="AE201" i="15"/>
  <c r="AE76" i="15"/>
  <c r="AE332" i="15"/>
  <c r="AE253" i="15"/>
  <c r="AE297" i="15"/>
  <c r="AE349" i="15"/>
  <c r="AE285" i="15"/>
  <c r="AE128" i="15"/>
  <c r="AE36" i="15"/>
  <c r="AE250" i="15"/>
  <c r="AE65" i="15"/>
  <c r="AE158" i="15"/>
  <c r="AE344" i="15"/>
  <c r="AE189" i="15"/>
  <c r="AE183" i="15"/>
  <c r="AE262" i="15"/>
  <c r="AE353" i="15"/>
  <c r="AE97" i="15"/>
  <c r="AE240" i="15"/>
  <c r="AE379" i="15"/>
  <c r="AE12" i="16" s="1"/>
  <c r="AE251" i="15"/>
  <c r="AE123" i="15"/>
  <c r="AE362" i="15"/>
  <c r="AE234" i="15"/>
  <c r="AE106" i="15"/>
  <c r="AE325" i="15"/>
  <c r="AE197" i="15"/>
  <c r="AE69" i="15"/>
  <c r="AE308" i="15"/>
  <c r="AE180" i="15"/>
  <c r="AE52" i="15"/>
  <c r="AE376" i="15"/>
  <c r="AE270" i="15"/>
  <c r="AE295" i="15"/>
  <c r="AE39" i="15"/>
  <c r="AE182" i="15"/>
  <c r="AE273" i="15"/>
  <c r="AE17" i="15"/>
  <c r="AE160" i="15"/>
  <c r="AE355" i="15"/>
  <c r="AE227" i="15"/>
  <c r="AE99" i="15"/>
  <c r="AE338" i="15"/>
  <c r="AE210" i="15"/>
  <c r="AE82" i="15"/>
  <c r="AE333" i="15"/>
  <c r="AE205" i="15"/>
  <c r="AE77" i="15"/>
  <c r="AE284" i="15"/>
  <c r="AE156" i="15"/>
  <c r="AE28" i="15"/>
  <c r="AE137" i="15"/>
  <c r="AE302" i="15"/>
  <c r="AE367" i="15"/>
  <c r="AE111" i="15"/>
  <c r="AE190" i="15"/>
  <c r="AE281" i="15"/>
  <c r="AE25" i="15"/>
  <c r="AE168" i="15"/>
  <c r="AE75" i="15"/>
  <c r="Q167" i="15"/>
  <c r="AE324" i="15"/>
  <c r="AE327" i="15"/>
  <c r="AE130" i="15"/>
  <c r="AE313" i="15"/>
  <c r="AE366" i="15"/>
  <c r="AE172" i="15"/>
  <c r="AE226" i="15"/>
  <c r="AE369" i="15"/>
  <c r="Q197" i="15"/>
  <c r="Q87" i="15"/>
  <c r="Q117" i="15"/>
  <c r="AE107" i="15"/>
  <c r="Q310" i="15"/>
  <c r="Q41" i="15"/>
  <c r="Q239" i="15"/>
  <c r="AE15" i="15"/>
  <c r="Q307" i="15"/>
  <c r="Q123" i="15"/>
  <c r="Q350" i="15"/>
  <c r="AE61" i="15"/>
  <c r="Q318" i="15"/>
  <c r="AE375" i="15"/>
  <c r="AE119" i="15"/>
  <c r="AE198" i="15"/>
  <c r="Q242" i="15"/>
  <c r="Q21" i="15"/>
  <c r="Q83" i="15"/>
  <c r="AE289" i="15"/>
  <c r="AE33" i="15"/>
  <c r="AE176" i="15"/>
  <c r="Q154" i="15"/>
  <c r="Q201" i="15"/>
  <c r="Q237" i="15"/>
  <c r="AE283" i="15"/>
  <c r="AE155" i="15"/>
  <c r="AE27" i="15"/>
  <c r="AE266" i="15"/>
  <c r="AE138" i="15"/>
  <c r="Q38" i="15"/>
  <c r="Q292" i="15"/>
  <c r="Q361" i="15"/>
  <c r="Q36" i="15"/>
  <c r="Q294" i="15"/>
  <c r="Q363" i="15"/>
  <c r="AE357" i="15"/>
  <c r="AE229" i="15"/>
  <c r="AE101" i="15"/>
  <c r="AE340" i="15"/>
  <c r="AE212" i="15"/>
  <c r="AE84" i="15"/>
  <c r="Q82" i="15"/>
  <c r="Q328" i="15"/>
  <c r="Q317" i="15"/>
  <c r="Q184" i="15"/>
  <c r="Q48" i="15"/>
  <c r="Q314" i="15"/>
  <c r="Q351" i="15"/>
  <c r="Q40" i="15"/>
  <c r="AE248" i="15"/>
  <c r="AE361" i="15"/>
  <c r="Q175" i="15"/>
  <c r="AE127" i="15"/>
  <c r="AE231" i="15"/>
  <c r="AE374" i="15"/>
  <c r="AE118" i="15"/>
  <c r="Q31" i="15"/>
  <c r="Q272" i="15"/>
  <c r="AE337" i="15"/>
  <c r="AE81" i="15"/>
  <c r="AE224" i="15"/>
  <c r="Q58" i="15"/>
  <c r="Q341" i="15"/>
  <c r="Q109" i="15"/>
  <c r="AE259" i="15"/>
  <c r="AE131" i="15"/>
  <c r="AE370" i="15"/>
  <c r="AE242" i="15"/>
  <c r="AE114" i="15"/>
  <c r="Q22" i="15"/>
  <c r="Q274" i="15"/>
  <c r="Q377" i="15"/>
  <c r="Q20" i="15"/>
  <c r="Q280" i="15"/>
  <c r="Q287" i="15"/>
  <c r="AE365" i="15"/>
  <c r="AE237" i="15"/>
  <c r="AE109" i="15"/>
  <c r="AE316" i="15"/>
  <c r="AE188" i="15"/>
  <c r="AE60" i="15"/>
  <c r="Q194" i="15"/>
  <c r="Q251" i="15"/>
  <c r="Q24" i="15"/>
  <c r="Q311" i="15"/>
  <c r="Q160" i="15"/>
  <c r="Q59" i="15"/>
  <c r="Q189" i="15"/>
  <c r="Q139" i="15"/>
  <c r="AE280" i="15"/>
  <c r="Q179" i="15"/>
  <c r="Q158" i="15"/>
  <c r="AE31" i="15"/>
  <c r="AE303" i="15"/>
  <c r="AE47" i="15"/>
  <c r="AE126" i="15"/>
  <c r="Q376" i="15"/>
  <c r="Q254" i="15"/>
  <c r="AE345" i="15"/>
  <c r="AE89" i="15"/>
  <c r="AE232" i="15"/>
  <c r="Q42" i="15"/>
  <c r="Q357" i="15"/>
  <c r="Q75" i="15"/>
  <c r="Q321" i="15"/>
  <c r="Q147" i="15"/>
  <c r="Q46" i="15"/>
  <c r="Q125" i="15"/>
  <c r="Q277" i="15"/>
  <c r="Q289" i="15"/>
  <c r="Q26" i="15"/>
  <c r="Q19" i="15"/>
  <c r="Q195" i="15"/>
  <c r="Q228" i="15"/>
  <c r="Q53" i="15"/>
  <c r="Q35" i="15"/>
  <c r="Q322" i="15"/>
  <c r="Q370" i="15"/>
  <c r="Q267" i="15"/>
  <c r="Q264" i="15"/>
  <c r="Q101" i="15"/>
  <c r="Q135" i="15"/>
  <c r="Q159" i="15"/>
  <c r="Q212" i="15"/>
  <c r="Q85" i="15"/>
  <c r="Q333" i="15"/>
  <c r="Q77" i="15"/>
  <c r="Q187" i="15"/>
  <c r="Q202" i="15"/>
  <c r="Q252" i="15"/>
  <c r="Q133" i="15"/>
  <c r="Q364" i="15"/>
  <c r="Q223" i="15"/>
  <c r="Q57" i="15"/>
  <c r="Q325" i="15"/>
  <c r="Q203" i="15"/>
  <c r="Q259" i="15"/>
  <c r="Q80" i="15"/>
  <c r="Q235" i="15"/>
  <c r="Q37" i="15"/>
  <c r="Q358" i="15"/>
  <c r="Q229" i="15"/>
  <c r="Q68" i="15"/>
  <c r="P11" i="18"/>
  <c r="Z15" i="7"/>
  <c r="AK222" i="17"/>
  <c r="AK356" i="17"/>
  <c r="AK267" i="17"/>
  <c r="AK265" i="17"/>
  <c r="P12" i="17"/>
  <c r="AK226" i="17"/>
  <c r="AK285" i="17"/>
  <c r="AK93" i="17"/>
  <c r="AK278" i="17"/>
  <c r="AK128" i="17"/>
  <c r="AK358" i="17"/>
  <c r="AK102" i="17"/>
  <c r="AK130" i="17"/>
  <c r="AK59" i="17"/>
  <c r="AK366" i="17"/>
  <c r="AK90" i="17"/>
  <c r="AK298" i="17"/>
  <c r="AK307" i="17"/>
  <c r="AK19" i="17"/>
  <c r="AK129" i="17"/>
  <c r="AK224" i="17"/>
  <c r="AK46" i="17"/>
  <c r="AK275" i="17"/>
  <c r="AK160" i="17"/>
  <c r="AK56" i="17"/>
  <c r="AK187" i="17"/>
  <c r="AK280" i="17"/>
  <c r="AK141" i="17"/>
  <c r="AK363" i="17"/>
  <c r="AK119" i="17"/>
  <c r="AK145" i="17"/>
  <c r="AK347" i="17"/>
  <c r="AK75" i="17"/>
  <c r="AK355" i="17"/>
  <c r="AK279" i="17"/>
  <c r="AK55" i="17"/>
  <c r="AK223" i="17"/>
  <c r="AK37" i="17"/>
  <c r="F8" i="17"/>
  <c r="AK69" i="17"/>
  <c r="AK112" i="17"/>
  <c r="AK108" i="17"/>
  <c r="AK174" i="17"/>
  <c r="AK173" i="17"/>
  <c r="AK243" i="17"/>
  <c r="AK306" i="17"/>
  <c r="AK228" i="17"/>
  <c r="AK253" i="17"/>
  <c r="AK284" i="17"/>
  <c r="AK316" i="17"/>
  <c r="AK350" i="17"/>
  <c r="AK333" i="17"/>
  <c r="AK361" i="17"/>
  <c r="AK16" i="17"/>
  <c r="AK31" i="17"/>
  <c r="AK88" i="17"/>
  <c r="AK147" i="17"/>
  <c r="AK139" i="17"/>
  <c r="AK205" i="17"/>
  <c r="AK214" i="17"/>
  <c r="AK282" i="17"/>
  <c r="AK238" i="17"/>
  <c r="AK293" i="17"/>
  <c r="AK364" i="17"/>
  <c r="AK368" i="17"/>
  <c r="AK67" i="17"/>
  <c r="AK85" i="17"/>
  <c r="AK212" i="17"/>
  <c r="AK297" i="17"/>
  <c r="AK305" i="17"/>
  <c r="AK21" i="17"/>
  <c r="AK76" i="17"/>
  <c r="AK131" i="17"/>
  <c r="AK199" i="17"/>
  <c r="AK227" i="17"/>
  <c r="AK348" i="17"/>
  <c r="AK20" i="17"/>
  <c r="AK33" i="17"/>
  <c r="AK89" i="17"/>
  <c r="AK149" i="17"/>
  <c r="AK143" i="17"/>
  <c r="AK206" i="17"/>
  <c r="AK215" i="17"/>
  <c r="AK288" i="17"/>
  <c r="AK239" i="17"/>
  <c r="AK294" i="17"/>
  <c r="AK369" i="17"/>
  <c r="AK371" i="17"/>
  <c r="AK64" i="17"/>
  <c r="AK105" i="17"/>
  <c r="AK166" i="17"/>
  <c r="AK309" i="17"/>
  <c r="AK317" i="17"/>
  <c r="AK29" i="17"/>
  <c r="AK136" i="17"/>
  <c r="AK234" i="17"/>
  <c r="AK32" i="17"/>
  <c r="AK177" i="17"/>
  <c r="AK157" i="17"/>
  <c r="AK328" i="17"/>
  <c r="AK196" i="17"/>
  <c r="AK183" i="17"/>
  <c r="AK315" i="17"/>
  <c r="AK269" i="17"/>
  <c r="AK273" i="17"/>
  <c r="AK192" i="17"/>
  <c r="AK304" i="17"/>
  <c r="AK186" i="17"/>
  <c r="AK161" i="17"/>
  <c r="AK62" i="17"/>
  <c r="AK146" i="17"/>
  <c r="AK204" i="17"/>
  <c r="AK281" i="17"/>
  <c r="AK242" i="17"/>
  <c r="AK299" i="17"/>
  <c r="AK375" i="17"/>
  <c r="AK373" i="17"/>
  <c r="AK70" i="17"/>
  <c r="AK109" i="17"/>
  <c r="AK180" i="17"/>
  <c r="AK314" i="17"/>
  <c r="AK324" i="17"/>
  <c r="AK34" i="17"/>
  <c r="AK155" i="17"/>
  <c r="AK247" i="17"/>
  <c r="AK57" i="17"/>
  <c r="AK190" i="17"/>
  <c r="AK283" i="17"/>
  <c r="AK28" i="17"/>
  <c r="AK114" i="17"/>
  <c r="AK176" i="17"/>
  <c r="AK250" i="17"/>
  <c r="AK262" i="17"/>
  <c r="AK344" i="17"/>
  <c r="AK103" i="17"/>
  <c r="AK236" i="17"/>
  <c r="AK336" i="17"/>
  <c r="AK210" i="17"/>
  <c r="AK115" i="17"/>
  <c r="AK263" i="17"/>
  <c r="AK332" i="17"/>
  <c r="AK78" i="17"/>
  <c r="AK202" i="17"/>
  <c r="AK352" i="17"/>
  <c r="AK201" i="17"/>
  <c r="AK80" i="17"/>
  <c r="AK330" i="17"/>
  <c r="AK251" i="17"/>
  <c r="AK230" i="17"/>
  <c r="AK164" i="17"/>
  <c r="AK96" i="17"/>
  <c r="AK40" i="17"/>
  <c r="AK252" i="17"/>
  <c r="AK165" i="17"/>
  <c r="AK41" i="17"/>
  <c r="AK218" i="17"/>
  <c r="AK124" i="17"/>
  <c r="AK380" i="17"/>
  <c r="AK308" i="17"/>
  <c r="AK302" i="17"/>
  <c r="AK158" i="17"/>
  <c r="AK98" i="17"/>
  <c r="AK44" i="17"/>
  <c r="AK367" i="17"/>
  <c r="AK362" i="17"/>
  <c r="AK289" i="17"/>
  <c r="AK235" i="17"/>
  <c r="AK266" i="17"/>
  <c r="AK184" i="17"/>
  <c r="AK127" i="17"/>
  <c r="AK48" i="17"/>
  <c r="AK43" i="17"/>
  <c r="AK82" i="17"/>
  <c r="AK123" i="17"/>
  <c r="AK122" i="17"/>
  <c r="AK182" i="17"/>
  <c r="AK193" i="17"/>
  <c r="AK264" i="17"/>
  <c r="AK326" i="17"/>
  <c r="AK274" i="17"/>
  <c r="AK339" i="17"/>
  <c r="AK354" i="17"/>
  <c r="AK38" i="17"/>
  <c r="AK117" i="17"/>
  <c r="AK179" i="17"/>
  <c r="AK260" i="17"/>
  <c r="AK270" i="17"/>
  <c r="AK351" i="17"/>
  <c r="AK111" i="17"/>
  <c r="AK240" i="17"/>
  <c r="AK338" i="17"/>
  <c r="AK150" i="17"/>
  <c r="AK290" i="17"/>
  <c r="AK372" i="17"/>
  <c r="AK60" i="17"/>
  <c r="AK142" i="17"/>
  <c r="AK197" i="17"/>
  <c r="AK276" i="17"/>
  <c r="AK286" i="17"/>
  <c r="AK365" i="17"/>
  <c r="AK153" i="17"/>
  <c r="AK292" i="17"/>
  <c r="AK374" i="17"/>
  <c r="AK311" i="17"/>
  <c r="AK144" i="17"/>
  <c r="AK53" i="17"/>
  <c r="AK110" i="17"/>
  <c r="AK170" i="17"/>
  <c r="AK237" i="17"/>
  <c r="AK256" i="17"/>
  <c r="AK337" i="17"/>
  <c r="AK95" i="17"/>
  <c r="AK219" i="17"/>
  <c r="AK376" i="17"/>
  <c r="AK172" i="17"/>
  <c r="AK91" i="17"/>
  <c r="AK370" i="17"/>
  <c r="AK24" i="17"/>
  <c r="AK36" i="17"/>
  <c r="AK45" i="17"/>
  <c r="AK79" i="17"/>
  <c r="AK92" i="17"/>
  <c r="AK42" i="17"/>
  <c r="AK73" i="17"/>
  <c r="AK49" i="17"/>
  <c r="AK359" i="17"/>
  <c r="AK198" i="17"/>
  <c r="AK343" i="17"/>
  <c r="AK87" i="17"/>
  <c r="AK213" i="17"/>
  <c r="AK268" i="17"/>
  <c r="AK349" i="17"/>
  <c r="AK113" i="17"/>
  <c r="AK245" i="17"/>
  <c r="AK342" i="17"/>
  <c r="AK221" i="17"/>
  <c r="AK137" i="17"/>
  <c r="AK360" i="17"/>
  <c r="AK118" i="17"/>
  <c r="AK318" i="17"/>
  <c r="AK52" i="17"/>
  <c r="AK255" i="17"/>
  <c r="AK357" i="17"/>
  <c r="AK345" i="17"/>
  <c r="AK287" i="17"/>
  <c r="AK229" i="17"/>
  <c r="AK25" i="17"/>
  <c r="AK303" i="17"/>
  <c r="AK101" i="17"/>
  <c r="AK331" i="17"/>
  <c r="AK99" i="17"/>
  <c r="AK194" i="17"/>
  <c r="AK329" i="17"/>
  <c r="AK225" i="17"/>
  <c r="AK94" i="17"/>
  <c r="AK340" i="17"/>
  <c r="AK258" i="17"/>
  <c r="AK195" i="17"/>
  <c r="AK72" i="17"/>
  <c r="AK66" i="17"/>
  <c r="AK156" i="17"/>
  <c r="AK211" i="17"/>
  <c r="AK296" i="17"/>
  <c r="AK301" i="17"/>
  <c r="AK378" i="17"/>
  <c r="AK121" i="17"/>
  <c r="AK325" i="17"/>
  <c r="AK54" i="17"/>
  <c r="AK257" i="17"/>
  <c r="AK207" i="17"/>
  <c r="AK26" i="17"/>
  <c r="AK135" i="17"/>
  <c r="AK231" i="17"/>
  <c r="AK63" i="17"/>
  <c r="AK300" i="17"/>
  <c r="AK22" i="17"/>
  <c r="AK65" i="17"/>
  <c r="AK169" i="17"/>
  <c r="AK320" i="17"/>
  <c r="AK151" i="17"/>
  <c r="AK68" i="17"/>
  <c r="AK216" i="17"/>
  <c r="AK51" i="17"/>
  <c r="AK50" i="17"/>
  <c r="AK100" i="17"/>
  <c r="AK140" i="17"/>
  <c r="AK104" i="17"/>
  <c r="AK132" i="17"/>
  <c r="AK167" i="17"/>
  <c r="AK191" i="17"/>
  <c r="AK163" i="17"/>
  <c r="AK200" i="17"/>
  <c r="AK233" i="17"/>
  <c r="AK272" i="17"/>
  <c r="AK346" i="17"/>
  <c r="AK277" i="17"/>
  <c r="AK319" i="17"/>
  <c r="AK18" i="17"/>
  <c r="AK323" i="17"/>
  <c r="AK15" i="17"/>
  <c r="AK261" i="17"/>
  <c r="AK379" i="17"/>
  <c r="AK74" i="17"/>
  <c r="AK327" i="17"/>
  <c r="AK86" i="17"/>
  <c r="AK185" i="17"/>
  <c r="AK133" i="17"/>
  <c r="AK159" i="17"/>
  <c r="AK232" i="17"/>
  <c r="AK71" i="17"/>
  <c r="AK162" i="17"/>
  <c r="AK322" i="17"/>
  <c r="AK126" i="17"/>
  <c r="AK97" i="17"/>
  <c r="AK220" i="17"/>
  <c r="AK377" i="17"/>
  <c r="AK189" i="17"/>
  <c r="AK171" i="17"/>
  <c r="AK295" i="17"/>
  <c r="AK203" i="17"/>
  <c r="AK209" i="17"/>
  <c r="AK241" i="17"/>
  <c r="AK310" i="17"/>
  <c r="AK244" i="17"/>
  <c r="AK23" i="17"/>
  <c r="AK77" i="17"/>
  <c r="AK152" i="17"/>
  <c r="AK148" i="17"/>
  <c r="AK208" i="17"/>
  <c r="AK217" i="17"/>
  <c r="AK291" i="17"/>
  <c r="AK248" i="17"/>
  <c r="AK134" i="17"/>
  <c r="AK125" i="17"/>
  <c r="AK138" i="17"/>
  <c r="AK334" i="17"/>
  <c r="AK175" i="17"/>
  <c r="AK83" i="17"/>
  <c r="AK271" i="17"/>
  <c r="AK181" i="17"/>
  <c r="AK168" i="17"/>
  <c r="AK254" i="17"/>
  <c r="AK61" i="17"/>
  <c r="AK313" i="17"/>
  <c r="AK47" i="17"/>
  <c r="AK341" i="17"/>
  <c r="AK249" i="17"/>
  <c r="AK39" i="17"/>
  <c r="AK312" i="17"/>
  <c r="AK17" i="17"/>
  <c r="AK30" i="17"/>
  <c r="AK154" i="17"/>
  <c r="AK246" i="17"/>
  <c r="AK81" i="17"/>
  <c r="AK335" i="17"/>
  <c r="AK35" i="17"/>
  <c r="AK84" i="17"/>
  <c r="AK353" i="17"/>
  <c r="AK107" i="17"/>
  <c r="AK106" i="17"/>
  <c r="AK27" i="17"/>
  <c r="AK321" i="17"/>
  <c r="AK58" i="17"/>
  <c r="AK116" i="17"/>
  <c r="AK120" i="17"/>
  <c r="AK178" i="17"/>
  <c r="AK188" i="17"/>
  <c r="AK259" i="17"/>
  <c r="Q368" i="15"/>
  <c r="AC368" i="15"/>
  <c r="AC263" i="15"/>
  <c r="AC295" i="15"/>
  <c r="AC303" i="15"/>
  <c r="AC331" i="15"/>
  <c r="AC346" i="15"/>
  <c r="AC351" i="15"/>
  <c r="AC324" i="15"/>
  <c r="AC268" i="15"/>
  <c r="AC362" i="15"/>
  <c r="AC353" i="15"/>
  <c r="AC325" i="15"/>
  <c r="AC371" i="15"/>
  <c r="AC270" i="15"/>
  <c r="AC308" i="15"/>
  <c r="AC338" i="15"/>
  <c r="AC347" i="15"/>
  <c r="AC305" i="15"/>
  <c r="AC267" i="15"/>
  <c r="AC327" i="15"/>
  <c r="AC319" i="15"/>
  <c r="AC359" i="15"/>
  <c r="AC345" i="15"/>
  <c r="AC302" i="15"/>
  <c r="AC274" i="15"/>
  <c r="AC262" i="15"/>
  <c r="AC378" i="15"/>
  <c r="AC306" i="15"/>
  <c r="AC280" i="15"/>
  <c r="AC367" i="15"/>
  <c r="AC293" i="15"/>
  <c r="AC298" i="15"/>
  <c r="AC304" i="15"/>
  <c r="AC289" i="15"/>
  <c r="AC370" i="15"/>
  <c r="AC265" i="15"/>
  <c r="AC287" i="15"/>
  <c r="AC315" i="15"/>
  <c r="AC288" i="15"/>
  <c r="AC299" i="15"/>
  <c r="AC329" i="15"/>
  <c r="AC259" i="15"/>
  <c r="AC372" i="15"/>
  <c r="AC356" i="15"/>
  <c r="AC273" i="15"/>
  <c r="AC312" i="15"/>
  <c r="AC379" i="15"/>
  <c r="AC310" i="15"/>
  <c r="AC285" i="15"/>
  <c r="AC279" i="15"/>
  <c r="AC277" i="15"/>
  <c r="J376" i="6"/>
  <c r="J374" i="6"/>
  <c r="J373" i="6"/>
  <c r="AD373" i="1" s="1"/>
  <c r="J377" i="6"/>
  <c r="AD377" i="1" s="1"/>
  <c r="AC354" i="15"/>
  <c r="AC369" i="15"/>
  <c r="AC340" i="15"/>
  <c r="AC297" i="15"/>
  <c r="AC373" i="15"/>
  <c r="AC339" i="15"/>
  <c r="AC357" i="15"/>
  <c r="AC332" i="15"/>
  <c r="AC278" i="15"/>
  <c r="AC314" i="15"/>
  <c r="AC316" i="15"/>
  <c r="AC292" i="15"/>
  <c r="AC290" i="15"/>
  <c r="AC261" i="15"/>
  <c r="AC275" i="15"/>
  <c r="AC374" i="15"/>
  <c r="AC341" i="15"/>
  <c r="AC360" i="15"/>
  <c r="AC333" i="15"/>
  <c r="AC281" i="15"/>
  <c r="AC321" i="15"/>
  <c r="AC366" i="15"/>
  <c r="AC326" i="15"/>
  <c r="AC350" i="15"/>
  <c r="AC317" i="15"/>
  <c r="AC291" i="15"/>
  <c r="AC309" i="15"/>
  <c r="AC283" i="15"/>
  <c r="AC322" i="15"/>
  <c r="AC282" i="15"/>
  <c r="AC269" i="15"/>
  <c r="AC349" i="15"/>
  <c r="AC335" i="15"/>
  <c r="AC337" i="15"/>
  <c r="AC328" i="15"/>
  <c r="AC307" i="15"/>
  <c r="AC286" i="15"/>
  <c r="AC258" i="15"/>
  <c r="AC272" i="15"/>
  <c r="AC365" i="15"/>
  <c r="AC348" i="15"/>
  <c r="AC355" i="15"/>
  <c r="AC343" i="15"/>
  <c r="AC300" i="15"/>
  <c r="AC271" i="15"/>
  <c r="AC358" i="15"/>
  <c r="AC375" i="15"/>
  <c r="AC344" i="15"/>
  <c r="AC301" i="15"/>
  <c r="AC377" i="15"/>
  <c r="AC342" i="15"/>
  <c r="AC361" i="15"/>
  <c r="AC334" i="15"/>
  <c r="AC284" i="15"/>
  <c r="AC323" i="15"/>
  <c r="AC318" i="15"/>
  <c r="AC296" i="15"/>
  <c r="AC260" i="15"/>
  <c r="AC294" i="15"/>
  <c r="O278" i="15"/>
  <c r="E278" i="15" s="1"/>
  <c r="O262" i="15"/>
  <c r="E262" i="15" s="1"/>
  <c r="O329" i="15"/>
  <c r="E329" i="15" s="1"/>
  <c r="O276" i="15"/>
  <c r="E276" i="15" s="1"/>
  <c r="O261" i="15"/>
  <c r="E261" i="15" s="1"/>
  <c r="O355" i="15"/>
  <c r="E355" i="15" s="1"/>
  <c r="O378" i="15"/>
  <c r="E378" i="15" s="1"/>
  <c r="O273" i="15"/>
  <c r="E273" i="15" s="1"/>
  <c r="O352" i="15"/>
  <c r="E352" i="15" s="1"/>
  <c r="O297" i="15"/>
  <c r="E297" i="15" s="1"/>
  <c r="O315" i="15"/>
  <c r="E315" i="15" s="1"/>
  <c r="O317" i="15"/>
  <c r="E317" i="15" s="1"/>
  <c r="O293" i="15"/>
  <c r="E293" i="15" s="1"/>
  <c r="O277" i="15"/>
  <c r="E277" i="15" s="1"/>
  <c r="O374" i="15"/>
  <c r="E374" i="15" s="1"/>
  <c r="O269" i="15"/>
  <c r="E269" i="15" s="1"/>
  <c r="O286" i="15"/>
  <c r="E286" i="15" s="1"/>
  <c r="O351" i="15"/>
  <c r="E351" i="15" s="1"/>
  <c r="O362" i="15"/>
  <c r="E362" i="15" s="1"/>
  <c r="O305" i="15"/>
  <c r="E305" i="15" s="1"/>
  <c r="O264" i="15"/>
  <c r="E264" i="15" s="1"/>
  <c r="O335" i="15"/>
  <c r="E335" i="15" s="1"/>
  <c r="O301" i="15"/>
  <c r="E301" i="15" s="1"/>
  <c r="O312" i="15"/>
  <c r="E312" i="15" s="1"/>
  <c r="O266" i="15"/>
  <c r="E266" i="15" s="1"/>
  <c r="O366" i="15"/>
  <c r="E366" i="15" s="1"/>
  <c r="O363" i="15"/>
  <c r="E363" i="15" s="1"/>
  <c r="O306" i="15"/>
  <c r="E306" i="15" s="1"/>
  <c r="O344" i="15"/>
  <c r="E344" i="15" s="1"/>
  <c r="O314" i="15"/>
  <c r="E314" i="15" s="1"/>
  <c r="O308" i="15"/>
  <c r="E308" i="15" s="1"/>
  <c r="O330" i="15"/>
  <c r="E330" i="15" s="1"/>
  <c r="O12" i="20"/>
  <c r="AC12" i="20"/>
  <c r="O9" i="23"/>
  <c r="O337" i="15"/>
  <c r="E337" i="15" s="1"/>
  <c r="O304" i="15"/>
  <c r="E304" i="15" s="1"/>
  <c r="O295" i="15"/>
  <c r="E295" i="15" s="1"/>
  <c r="O300" i="15"/>
  <c r="E300" i="15" s="1"/>
  <c r="O289" i="15"/>
  <c r="E289" i="15" s="1"/>
  <c r="O292" i="15"/>
  <c r="E292" i="15" s="1"/>
  <c r="O336" i="15"/>
  <c r="E336" i="15" s="1"/>
  <c r="O359" i="15"/>
  <c r="E359" i="15" s="1"/>
  <c r="O267" i="15"/>
  <c r="E267" i="15" s="1"/>
  <c r="O379" i="15"/>
  <c r="O332" i="15"/>
  <c r="E332" i="15" s="1"/>
  <c r="O354" i="15"/>
  <c r="E354" i="15" s="1"/>
  <c r="O331" i="15"/>
  <c r="E331" i="15" s="1"/>
  <c r="O284" i="15"/>
  <c r="E284" i="15" s="1"/>
  <c r="O357" i="15"/>
  <c r="E357" i="15" s="1"/>
  <c r="O287" i="15"/>
  <c r="E287" i="15" s="1"/>
  <c r="O321" i="15"/>
  <c r="E321" i="15" s="1"/>
  <c r="O288" i="15"/>
  <c r="E288" i="15" s="1"/>
  <c r="O271" i="15"/>
  <c r="E271" i="15" s="1"/>
  <c r="O368" i="15"/>
  <c r="E368" i="15" s="1"/>
  <c r="O369" i="15"/>
  <c r="E369" i="15" s="1"/>
  <c r="O259" i="15"/>
  <c r="E259" i="15" s="1"/>
  <c r="O319" i="15"/>
  <c r="E319" i="15" s="1"/>
  <c r="O260" i="15"/>
  <c r="E260" i="15" s="1"/>
  <c r="O313" i="15"/>
  <c r="E313" i="15" s="1"/>
  <c r="O343" i="15"/>
  <c r="E343" i="15" s="1"/>
  <c r="O324" i="15"/>
  <c r="E324" i="15" s="1"/>
  <c r="O320" i="15"/>
  <c r="E320" i="15" s="1"/>
  <c r="O299" i="15"/>
  <c r="E299" i="15" s="1"/>
  <c r="O350" i="15"/>
  <c r="E350" i="15" s="1"/>
  <c r="O338" i="15"/>
  <c r="E338" i="15" s="1"/>
  <c r="O263" i="15"/>
  <c r="E263" i="15" s="1"/>
  <c r="O322" i="15"/>
  <c r="E322" i="15" s="1"/>
  <c r="O296" i="15"/>
  <c r="E296" i="15" s="1"/>
  <c r="O268" i="15"/>
  <c r="E268" i="15" s="1"/>
  <c r="O318" i="15"/>
  <c r="E318" i="15" s="1"/>
  <c r="O282" i="15"/>
  <c r="E282" i="15" s="1"/>
  <c r="O376" i="15"/>
  <c r="E376" i="15" s="1"/>
  <c r="O345" i="15"/>
  <c r="E345" i="15" s="1"/>
  <c r="O377" i="15"/>
  <c r="E377" i="15" s="1"/>
  <c r="O333" i="15"/>
  <c r="C42" i="7" s="1"/>
  <c r="O274" i="15"/>
  <c r="E274" i="15" s="1"/>
  <c r="O325" i="15"/>
  <c r="E325" i="15" s="1"/>
  <c r="O298" i="15"/>
  <c r="E298" i="15" s="1"/>
  <c r="O270" i="15"/>
  <c r="E270" i="15" s="1"/>
  <c r="O323" i="15"/>
  <c r="E323" i="15" s="1"/>
  <c r="O285" i="15"/>
  <c r="E285" i="15" s="1"/>
  <c r="O348" i="15"/>
  <c r="E348" i="15" s="1"/>
  <c r="O327" i="15"/>
  <c r="E327" i="15" s="1"/>
  <c r="O349" i="15"/>
  <c r="E349" i="15" s="1"/>
  <c r="O281" i="15"/>
  <c r="E281" i="15" s="1"/>
  <c r="O265" i="15"/>
  <c r="E265" i="15" s="1"/>
  <c r="O375" i="15"/>
  <c r="E375" i="15" s="1"/>
  <c r="O373" i="15"/>
  <c r="E373" i="15" s="1"/>
  <c r="O272" i="15"/>
  <c r="E272" i="15" s="1"/>
  <c r="O367" i="15"/>
  <c r="E367" i="15" s="1"/>
  <c r="O365" i="15"/>
  <c r="E365" i="15" s="1"/>
  <c r="O370" i="15"/>
  <c r="E370" i="15" s="1"/>
  <c r="O342" i="15"/>
  <c r="E342" i="15" s="1"/>
  <c r="O371" i="15"/>
  <c r="E371" i="15" s="1"/>
  <c r="O294" i="15"/>
  <c r="E294" i="15" s="1"/>
  <c r="O280" i="15"/>
  <c r="E280" i="15" s="1"/>
  <c r="AJ16" i="22"/>
  <c r="AJ42" i="22"/>
  <c r="AJ51" i="22"/>
  <c r="AJ27" i="22"/>
  <c r="AJ60" i="22"/>
  <c r="AJ48" i="22"/>
  <c r="AJ77" i="22"/>
  <c r="AJ78" i="22"/>
  <c r="AJ95" i="22"/>
  <c r="AJ93" i="22"/>
  <c r="AJ108" i="22"/>
  <c r="AJ132" i="22"/>
  <c r="AJ147" i="22"/>
  <c r="AJ100" i="22"/>
  <c r="AJ118" i="22"/>
  <c r="AJ130" i="22"/>
  <c r="AJ144" i="22"/>
  <c r="AJ165" i="22"/>
  <c r="AJ180" i="22"/>
  <c r="AJ191" i="22"/>
  <c r="AJ210" i="22"/>
  <c r="AJ164" i="22"/>
  <c r="AJ183" i="22"/>
  <c r="AJ200" i="22"/>
  <c r="AJ216" i="22"/>
  <c r="AJ239" i="22"/>
  <c r="AJ256" i="22"/>
  <c r="AJ268" i="22"/>
  <c r="AJ282" i="22"/>
  <c r="AJ295" i="22"/>
  <c r="AJ315" i="22"/>
  <c r="AJ218" i="22"/>
  <c r="AJ229" i="22"/>
  <c r="AJ241" i="22"/>
  <c r="AJ257" i="22"/>
  <c r="AJ277" i="22"/>
  <c r="AJ297" i="22"/>
  <c r="AJ307" i="22"/>
  <c r="AJ326" i="22"/>
  <c r="AJ337" i="22"/>
  <c r="AJ347" i="22"/>
  <c r="AJ358" i="22"/>
  <c r="AJ371" i="22"/>
  <c r="AJ343" i="22"/>
  <c r="AJ367" i="22"/>
  <c r="AJ22" i="22"/>
  <c r="AJ40" i="22"/>
  <c r="AJ29" i="22"/>
  <c r="AJ57" i="22"/>
  <c r="AJ79" i="22"/>
  <c r="AJ98" i="22"/>
  <c r="AJ134" i="22"/>
  <c r="AJ106" i="22"/>
  <c r="AJ131" i="22"/>
  <c r="AJ168" i="22"/>
  <c r="AJ192" i="22"/>
  <c r="AJ166" i="22"/>
  <c r="AJ201" i="22"/>
  <c r="AJ244" i="22"/>
  <c r="AJ17" i="22"/>
  <c r="AJ46" i="22"/>
  <c r="AJ18" i="22"/>
  <c r="AJ41" i="22"/>
  <c r="AJ74" i="22"/>
  <c r="AJ90" i="22"/>
  <c r="AJ124" i="22"/>
  <c r="AJ96" i="22"/>
  <c r="AJ128" i="22"/>
  <c r="AJ160" i="22"/>
  <c r="AJ188" i="22"/>
  <c r="AJ162" i="22"/>
  <c r="AJ197" i="22"/>
  <c r="AJ233" i="22"/>
  <c r="AJ265" i="22"/>
  <c r="AJ292" i="22"/>
  <c r="AJ212" i="22"/>
  <c r="AJ238" i="22"/>
  <c r="AJ273" i="22"/>
  <c r="AJ305" i="22"/>
  <c r="AJ333" i="22"/>
  <c r="AJ356" i="22"/>
  <c r="AJ334" i="22"/>
  <c r="AJ378" i="22"/>
  <c r="AJ56" i="22"/>
  <c r="AJ71" i="22"/>
  <c r="AJ121" i="22"/>
  <c r="AJ126" i="22"/>
  <c r="AJ187" i="22"/>
  <c r="AJ195" i="22"/>
  <c r="AJ263" i="22"/>
  <c r="AJ291" i="22"/>
  <c r="AJ323" i="22"/>
  <c r="AJ237" i="22"/>
  <c r="AJ271" i="22"/>
  <c r="AJ303" i="22"/>
  <c r="AJ331" i="22"/>
  <c r="AJ355" i="22"/>
  <c r="AJ332" i="22"/>
  <c r="AJ377" i="22"/>
  <c r="AJ37" i="22"/>
  <c r="AJ59" i="22"/>
  <c r="AJ66" i="22"/>
  <c r="AJ69" i="22"/>
  <c r="AJ86" i="22"/>
  <c r="AJ116" i="22"/>
  <c r="AJ151" i="22"/>
  <c r="AJ123" i="22"/>
  <c r="AJ153" i="22"/>
  <c r="AJ185" i="22"/>
  <c r="AJ156" i="22"/>
  <c r="AJ193" i="22"/>
  <c r="AJ225" i="22"/>
  <c r="AJ260" i="22"/>
  <c r="AJ288" i="22"/>
  <c r="AJ26" i="22"/>
  <c r="AJ33" i="22"/>
  <c r="AJ30" i="22"/>
  <c r="AJ62" i="22"/>
  <c r="AJ82" i="22"/>
  <c r="AJ101" i="22"/>
  <c r="AJ135" i="22"/>
  <c r="AJ109" i="22"/>
  <c r="AJ133" i="22"/>
  <c r="AJ169" i="22"/>
  <c r="AJ196" i="22"/>
  <c r="AJ167" i="22"/>
  <c r="AJ203" i="22"/>
  <c r="AJ246" i="22"/>
  <c r="AJ272" i="22"/>
  <c r="AJ304" i="22"/>
  <c r="AJ220" i="22"/>
  <c r="AJ243" i="22"/>
  <c r="AJ283" i="22"/>
  <c r="AJ309" i="22"/>
  <c r="AJ339" i="22"/>
  <c r="AJ361" i="22"/>
  <c r="AJ348" i="22"/>
  <c r="AJ19" i="22"/>
  <c r="AJ50" i="22"/>
  <c r="AJ88" i="22"/>
  <c r="AJ141" i="22"/>
  <c r="AJ139" i="22"/>
  <c r="AJ204" i="22"/>
  <c r="AJ209" i="22"/>
  <c r="AJ269" i="22"/>
  <c r="AJ302" i="22"/>
  <c r="AJ219" i="22"/>
  <c r="AJ242" i="22"/>
  <c r="AJ279" i="22"/>
  <c r="AJ308" i="22"/>
  <c r="AJ338" i="22"/>
  <c r="AJ359" i="22"/>
  <c r="AJ344" i="22"/>
  <c r="F7" i="22"/>
  <c r="AJ43" i="22"/>
  <c r="AJ23" i="22"/>
  <c r="AJ44" i="22"/>
  <c r="AJ76" i="22"/>
  <c r="AJ91" i="22"/>
  <c r="AJ127" i="22"/>
  <c r="AJ99" i="22"/>
  <c r="AJ129" i="22"/>
  <c r="AJ161" i="22"/>
  <c r="AJ190" i="22"/>
  <c r="AJ163" i="22"/>
  <c r="AJ198" i="22"/>
  <c r="AJ235" i="22"/>
  <c r="AJ267" i="22"/>
  <c r="AJ294" i="22"/>
  <c r="AJ214" i="22"/>
  <c r="AJ240" i="22"/>
  <c r="AJ276" i="22"/>
  <c r="AJ306" i="22"/>
  <c r="AJ335" i="22"/>
  <c r="AJ357" i="22"/>
  <c r="AJ336" i="22"/>
  <c r="AJ310" i="22"/>
  <c r="AJ222" i="22"/>
  <c r="AJ245" i="22"/>
  <c r="AJ285" i="22"/>
  <c r="AJ317" i="22"/>
  <c r="AJ340" i="22"/>
  <c r="AJ363" i="22"/>
  <c r="AJ349" i="22"/>
  <c r="AJ35" i="22"/>
  <c r="AJ58" i="22"/>
  <c r="AJ36" i="22"/>
  <c r="AJ70" i="22"/>
  <c r="AJ87" i="22"/>
  <c r="AJ119" i="22"/>
  <c r="AJ80" i="22"/>
  <c r="AJ125" i="22"/>
  <c r="AJ154" i="22"/>
  <c r="AJ186" i="22"/>
  <c r="AJ158" i="22"/>
  <c r="AJ194" i="22"/>
  <c r="AJ226" i="22"/>
  <c r="AJ262" i="22"/>
  <c r="AJ290" i="22"/>
  <c r="AJ320" i="22"/>
  <c r="AJ236" i="22"/>
  <c r="AJ270" i="22"/>
  <c r="AJ301" i="22"/>
  <c r="AJ330" i="22"/>
  <c r="AJ354" i="22"/>
  <c r="AJ380" i="22"/>
  <c r="AJ376" i="22"/>
  <c r="AJ45" i="22"/>
  <c r="AJ67" i="22"/>
  <c r="AJ113" i="22"/>
  <c r="AJ120" i="22"/>
  <c r="AJ181" i="22"/>
  <c r="AJ184" i="22"/>
  <c r="AJ258" i="22"/>
  <c r="AJ54" i="22"/>
  <c r="AJ73" i="22"/>
  <c r="AJ105" i="22"/>
  <c r="AJ115" i="22"/>
  <c r="AJ177" i="22"/>
  <c r="AJ176" i="22"/>
  <c r="AJ252" i="22"/>
  <c r="AJ313" i="22"/>
  <c r="AJ254" i="22"/>
  <c r="AJ324" i="22"/>
  <c r="AJ369" i="22"/>
  <c r="AJ34" i="22"/>
  <c r="AJ89" i="22"/>
  <c r="AJ157" i="22"/>
  <c r="AJ230" i="22"/>
  <c r="AJ312" i="22"/>
  <c r="AJ251" i="22"/>
  <c r="AJ322" i="22"/>
  <c r="AJ366" i="22"/>
  <c r="AJ25" i="22"/>
  <c r="AJ31" i="22"/>
  <c r="AJ83" i="22"/>
  <c r="AJ138" i="22"/>
  <c r="AJ136" i="22"/>
  <c r="AJ199" i="22"/>
  <c r="AJ206" i="22"/>
  <c r="AJ274" i="22"/>
  <c r="AJ38" i="22"/>
  <c r="AJ63" i="22"/>
  <c r="AJ85" i="22"/>
  <c r="AJ150" i="22"/>
  <c r="AJ152" i="22"/>
  <c r="AJ155" i="22"/>
  <c r="AJ221" i="22"/>
  <c r="AJ286" i="22"/>
  <c r="AJ232" i="22"/>
  <c r="AJ299" i="22"/>
  <c r="AJ352" i="22"/>
  <c r="AJ372" i="22"/>
  <c r="AJ72" i="22"/>
  <c r="AJ112" i="22"/>
  <c r="AJ173" i="22"/>
  <c r="AJ284" i="22"/>
  <c r="AJ231" i="22"/>
  <c r="AJ298" i="22"/>
  <c r="AJ350" i="22"/>
  <c r="AJ368" i="22"/>
  <c r="AJ52" i="22"/>
  <c r="AJ75" i="22"/>
  <c r="AJ107" i="22"/>
  <c r="AJ117" i="22"/>
  <c r="AJ178" i="22"/>
  <c r="AJ179" i="22"/>
  <c r="AJ253" i="22"/>
  <c r="AJ314" i="22"/>
  <c r="AJ255" i="22"/>
  <c r="AJ325" i="22"/>
  <c r="AJ370" i="22"/>
  <c r="AJ319" i="22"/>
  <c r="AJ266" i="22"/>
  <c r="AJ329" i="22"/>
  <c r="AJ379" i="22"/>
  <c r="AJ24" i="22"/>
  <c r="AJ49" i="22"/>
  <c r="AJ32" i="22"/>
  <c r="AJ65" i="22"/>
  <c r="AJ84" i="22"/>
  <c r="AJ103" i="22"/>
  <c r="AJ140" i="22"/>
  <c r="AJ111" i="22"/>
  <c r="AJ137" i="22"/>
  <c r="AJ174" i="22"/>
  <c r="AJ202" i="22"/>
  <c r="AJ172" i="22"/>
  <c r="AJ207" i="22"/>
  <c r="AJ248" i="22"/>
  <c r="AJ275" i="22"/>
  <c r="AJ311" i="22"/>
  <c r="AJ223" i="22"/>
  <c r="AJ249" i="22"/>
  <c r="AJ287" i="22"/>
  <c r="AJ321" i="22"/>
  <c r="AJ341" i="22"/>
  <c r="AJ365" i="22"/>
  <c r="AJ351" i="22"/>
  <c r="AL13" i="7"/>
  <c r="AJ61" i="22"/>
  <c r="AJ97" i="22"/>
  <c r="AJ148" i="22"/>
  <c r="AJ149" i="22"/>
  <c r="AJ211" i="22"/>
  <c r="AJ217" i="22"/>
  <c r="AJ28" i="22"/>
  <c r="AJ53" i="22"/>
  <c r="AJ92" i="22"/>
  <c r="AJ145" i="22"/>
  <c r="AJ142" i="22"/>
  <c r="AJ205" i="22"/>
  <c r="AJ213" i="22"/>
  <c r="AJ280" i="22"/>
  <c r="AJ227" i="22"/>
  <c r="AJ293" i="22"/>
  <c r="AJ345" i="22"/>
  <c r="AJ362" i="22"/>
  <c r="AJ39" i="22"/>
  <c r="AJ81" i="22"/>
  <c r="AJ159" i="22"/>
  <c r="AJ278" i="22"/>
  <c r="AJ224" i="22"/>
  <c r="AJ289" i="22"/>
  <c r="AJ342" i="22"/>
  <c r="AJ360" i="22"/>
  <c r="AJ15" i="22"/>
  <c r="AJ64" i="22"/>
  <c r="AJ102" i="22"/>
  <c r="AJ110" i="22"/>
  <c r="AJ170" i="22"/>
  <c r="AJ171" i="22"/>
  <c r="AJ247" i="22"/>
  <c r="AJ21" i="22"/>
  <c r="AJ68" i="22"/>
  <c r="AJ114" i="22"/>
  <c r="AJ122" i="22"/>
  <c r="AJ182" i="22"/>
  <c r="AJ189" i="22"/>
  <c r="AJ259" i="22"/>
  <c r="AJ318" i="22"/>
  <c r="AJ264" i="22"/>
  <c r="AJ328" i="22"/>
  <c r="AJ375" i="22"/>
  <c r="AJ47" i="22"/>
  <c r="AJ104" i="22"/>
  <c r="AJ175" i="22"/>
  <c r="AJ250" i="22"/>
  <c r="AJ316" i="22"/>
  <c r="AJ261" i="22"/>
  <c r="AJ327" i="22"/>
  <c r="AJ373" i="22"/>
  <c r="AJ20" i="22"/>
  <c r="AJ55" i="22"/>
  <c r="AJ94" i="22"/>
  <c r="AJ146" i="22"/>
  <c r="AJ143" i="22"/>
  <c r="AJ208" i="22"/>
  <c r="AJ215" i="22"/>
  <c r="AJ281" i="22"/>
  <c r="AJ228" i="22"/>
  <c r="AJ296" i="22"/>
  <c r="AJ346" i="22"/>
  <c r="AJ364" i="22"/>
  <c r="AJ234" i="22"/>
  <c r="AJ300" i="22"/>
  <c r="AJ353" i="22"/>
  <c r="AJ374" i="22"/>
  <c r="AC9" i="20"/>
  <c r="J375" i="6"/>
  <c r="J379" i="6"/>
  <c r="Z54" i="6"/>
  <c r="Z53" i="6" s="1"/>
  <c r="Z55" i="6" s="1"/>
  <c r="J372" i="6"/>
  <c r="J380" i="6"/>
  <c r="J378" i="6"/>
  <c r="T222" i="1"/>
  <c r="S222" i="1" s="1"/>
  <c r="R222" i="1" s="1"/>
  <c r="P222" i="1" s="1"/>
  <c r="V222" i="1" s="1"/>
  <c r="F222" i="1" s="1"/>
  <c r="AH263" i="1"/>
  <c r="AG263" i="1" s="1"/>
  <c r="AF263" i="1" s="1"/>
  <c r="T110" i="1"/>
  <c r="S110" i="1" s="1"/>
  <c r="R110" i="1" s="1"/>
  <c r="P110" i="1" s="1"/>
  <c r="V110" i="1" s="1"/>
  <c r="T220" i="1"/>
  <c r="S220" i="1" s="1"/>
  <c r="R220" i="1" s="1"/>
  <c r="P220" i="1" s="1"/>
  <c r="V220" i="1" s="1"/>
  <c r="F220" i="1" s="1"/>
  <c r="AH201" i="1"/>
  <c r="AG201" i="1" s="1"/>
  <c r="AF201" i="1" s="1"/>
  <c r="AD201" i="1" s="1"/>
  <c r="AD260" i="1"/>
  <c r="P180" i="1"/>
  <c r="V180" i="1" s="1"/>
  <c r="P182" i="1"/>
  <c r="V182" i="1" s="1"/>
  <c r="F182" i="1" s="1"/>
  <c r="AH323" i="1"/>
  <c r="AG323" i="1" s="1"/>
  <c r="AF323" i="1" s="1"/>
  <c r="T63" i="1"/>
  <c r="S63" i="1" s="1"/>
  <c r="R63" i="1" s="1"/>
  <c r="AH197" i="1"/>
  <c r="AG197" i="1" s="1"/>
  <c r="AF197" i="1" s="1"/>
  <c r="T25" i="1"/>
  <c r="S25" i="1" s="1"/>
  <c r="R25" i="1" s="1"/>
  <c r="BY16" i="7"/>
  <c r="BS16" i="7"/>
  <c r="E16" i="7"/>
  <c r="BM16" i="7"/>
  <c r="AI294" i="1"/>
  <c r="AH294" i="1" s="1"/>
  <c r="AG294" i="1" s="1"/>
  <c r="AF294" i="1" s="1"/>
  <c r="AI343" i="1"/>
  <c r="AH343" i="1" s="1"/>
  <c r="AG343" i="1" s="1"/>
  <c r="AF343" i="1" s="1"/>
  <c r="AI375" i="1"/>
  <c r="AH375" i="1" s="1"/>
  <c r="AG375" i="1" s="1"/>
  <c r="AF375" i="1" s="1"/>
  <c r="AI261" i="1"/>
  <c r="AH261" i="1" s="1"/>
  <c r="AG261" i="1" s="1"/>
  <c r="AF261" i="1" s="1"/>
  <c r="AI186" i="1"/>
  <c r="AH186" i="1" s="1"/>
  <c r="AG186" i="1" s="1"/>
  <c r="AF186" i="1" s="1"/>
  <c r="AI332" i="1"/>
  <c r="AH332" i="1" s="1"/>
  <c r="AG332" i="1" s="1"/>
  <c r="AF332" i="1" s="1"/>
  <c r="AI37" i="1"/>
  <c r="AH37" i="1" s="1"/>
  <c r="AG37" i="1" s="1"/>
  <c r="AF37" i="1" s="1"/>
  <c r="AI293" i="1"/>
  <c r="AH293" i="1" s="1"/>
  <c r="AG293" i="1" s="1"/>
  <c r="AF293" i="1" s="1"/>
  <c r="AI59" i="1"/>
  <c r="AH59" i="1" s="1"/>
  <c r="AG59" i="1" s="1"/>
  <c r="AF59" i="1" s="1"/>
  <c r="U22" i="1"/>
  <c r="T22" i="1" s="1"/>
  <c r="S22" i="1" s="1"/>
  <c r="R22" i="1" s="1"/>
  <c r="U49" i="1"/>
  <c r="T49" i="1" s="1"/>
  <c r="S49" i="1" s="1"/>
  <c r="R49" i="1" s="1"/>
  <c r="U62" i="1"/>
  <c r="T62" i="1" s="1"/>
  <c r="S62" i="1" s="1"/>
  <c r="R62" i="1" s="1"/>
  <c r="U74" i="1"/>
  <c r="T74" i="1" s="1"/>
  <c r="S74" i="1" s="1"/>
  <c r="R74" i="1" s="1"/>
  <c r="P74" i="1" s="1"/>
  <c r="V74" i="1" s="1"/>
  <c r="U76" i="1"/>
  <c r="U119" i="1"/>
  <c r="T119" i="1" s="1"/>
  <c r="S119" i="1" s="1"/>
  <c r="R119" i="1" s="1"/>
  <c r="U122" i="1"/>
  <c r="T122" i="1" s="1"/>
  <c r="S122" i="1" s="1"/>
  <c r="R122" i="1" s="1"/>
  <c r="U130" i="1"/>
  <c r="T130" i="1" s="1"/>
  <c r="S130" i="1" s="1"/>
  <c r="R130" i="1" s="1"/>
  <c r="U132" i="1"/>
  <c r="T132" i="1" s="1"/>
  <c r="S132" i="1" s="1"/>
  <c r="R132" i="1" s="1"/>
  <c r="U134" i="1"/>
  <c r="T134" i="1" s="1"/>
  <c r="S134" i="1" s="1"/>
  <c r="R134" i="1" s="1"/>
  <c r="U156" i="1"/>
  <c r="T156" i="1" s="1"/>
  <c r="S156" i="1" s="1"/>
  <c r="R156" i="1" s="1"/>
  <c r="U161" i="1"/>
  <c r="T161" i="1" s="1"/>
  <c r="S161" i="1" s="1"/>
  <c r="R161" i="1" s="1"/>
  <c r="U177" i="1"/>
  <c r="T177" i="1" s="1"/>
  <c r="S177" i="1" s="1"/>
  <c r="R177" i="1" s="1"/>
  <c r="U179" i="1"/>
  <c r="T179" i="1" s="1"/>
  <c r="S179" i="1" s="1"/>
  <c r="R179" i="1" s="1"/>
  <c r="U184" i="1"/>
  <c r="T184" i="1" s="1"/>
  <c r="S184" i="1" s="1"/>
  <c r="R184" i="1" s="1"/>
  <c r="U191" i="1"/>
  <c r="T191" i="1" s="1"/>
  <c r="S191" i="1" s="1"/>
  <c r="R191" i="1" s="1"/>
  <c r="U195" i="1"/>
  <c r="T195" i="1" s="1"/>
  <c r="S195" i="1" s="1"/>
  <c r="R195" i="1" s="1"/>
  <c r="P195" i="1" s="1"/>
  <c r="V195" i="1" s="1"/>
  <c r="F195" i="1" s="1"/>
  <c r="U221" i="1"/>
  <c r="T221" i="1" s="1"/>
  <c r="S221" i="1" s="1"/>
  <c r="R221" i="1" s="1"/>
  <c r="U231" i="1"/>
  <c r="T231" i="1" s="1"/>
  <c r="S231" i="1" s="1"/>
  <c r="R231" i="1" s="1"/>
  <c r="U233" i="1"/>
  <c r="T233" i="1" s="1"/>
  <c r="S233" i="1" s="1"/>
  <c r="R233" i="1" s="1"/>
  <c r="U249" i="1"/>
  <c r="T249" i="1" s="1"/>
  <c r="S249" i="1" s="1"/>
  <c r="R249" i="1" s="1"/>
  <c r="P249" i="1" s="1"/>
  <c r="U269" i="1"/>
  <c r="T269" i="1" s="1"/>
  <c r="S269" i="1" s="1"/>
  <c r="R269" i="1" s="1"/>
  <c r="U277" i="1"/>
  <c r="T277" i="1" s="1"/>
  <c r="S277" i="1" s="1"/>
  <c r="R277" i="1" s="1"/>
  <c r="U299" i="1"/>
  <c r="T299" i="1" s="1"/>
  <c r="S299" i="1" s="1"/>
  <c r="R299" i="1" s="1"/>
  <c r="U301" i="1"/>
  <c r="T301" i="1" s="1"/>
  <c r="S301" i="1" s="1"/>
  <c r="R301" i="1" s="1"/>
  <c r="U314" i="1"/>
  <c r="T314" i="1" s="1"/>
  <c r="S314" i="1" s="1"/>
  <c r="R314" i="1" s="1"/>
  <c r="U321" i="1"/>
  <c r="T321" i="1" s="1"/>
  <c r="S321" i="1" s="1"/>
  <c r="R321" i="1" s="1"/>
  <c r="U326" i="1"/>
  <c r="T326" i="1" s="1"/>
  <c r="S326" i="1" s="1"/>
  <c r="R326" i="1" s="1"/>
  <c r="U379" i="1"/>
  <c r="AI285" i="1"/>
  <c r="AH285" i="1" s="1"/>
  <c r="AG285" i="1" s="1"/>
  <c r="AF285" i="1" s="1"/>
  <c r="AI16" i="1"/>
  <c r="AI159" i="1"/>
  <c r="AH159" i="1" s="1"/>
  <c r="AG159" i="1" s="1"/>
  <c r="AF159" i="1" s="1"/>
  <c r="AI203" i="1"/>
  <c r="AH203" i="1" s="1"/>
  <c r="AG203" i="1" s="1"/>
  <c r="AF203" i="1" s="1"/>
  <c r="U136" i="1"/>
  <c r="T136" i="1" s="1"/>
  <c r="S136" i="1" s="1"/>
  <c r="R136" i="1" s="1"/>
  <c r="U141" i="1"/>
  <c r="T141" i="1" s="1"/>
  <c r="S141" i="1" s="1"/>
  <c r="R141" i="1" s="1"/>
  <c r="U145" i="1"/>
  <c r="T145" i="1" s="1"/>
  <c r="S145" i="1" s="1"/>
  <c r="R145" i="1" s="1"/>
  <c r="U167" i="1"/>
  <c r="T167" i="1" s="1"/>
  <c r="S167" i="1" s="1"/>
  <c r="R167" i="1" s="1"/>
  <c r="U169" i="1"/>
  <c r="T169" i="1" s="1"/>
  <c r="S169" i="1" s="1"/>
  <c r="R169" i="1" s="1"/>
  <c r="U175" i="1"/>
  <c r="T175" i="1" s="1"/>
  <c r="S175" i="1" s="1"/>
  <c r="R175" i="1" s="1"/>
  <c r="U208" i="1"/>
  <c r="T208" i="1" s="1"/>
  <c r="S208" i="1" s="1"/>
  <c r="R208" i="1" s="1"/>
  <c r="U214" i="1"/>
  <c r="T214" i="1" s="1"/>
  <c r="S214" i="1" s="1"/>
  <c r="R214" i="1" s="1"/>
  <c r="U218" i="1"/>
  <c r="T218" i="1" s="1"/>
  <c r="S218" i="1" s="1"/>
  <c r="R218" i="1" s="1"/>
  <c r="U228" i="1"/>
  <c r="T228" i="1" s="1"/>
  <c r="S228" i="1" s="1"/>
  <c r="R228" i="1" s="1"/>
  <c r="U252" i="1"/>
  <c r="T252" i="1" s="1"/>
  <c r="S252" i="1" s="1"/>
  <c r="R252" i="1" s="1"/>
  <c r="U272" i="1"/>
  <c r="T272" i="1" s="1"/>
  <c r="S272" i="1" s="1"/>
  <c r="R272" i="1" s="1"/>
  <c r="U278" i="1"/>
  <c r="T278" i="1" s="1"/>
  <c r="S278" i="1" s="1"/>
  <c r="R278" i="1" s="1"/>
  <c r="U289" i="1"/>
  <c r="T289" i="1" s="1"/>
  <c r="S289" i="1" s="1"/>
  <c r="R289" i="1" s="1"/>
  <c r="U316" i="1"/>
  <c r="T316" i="1" s="1"/>
  <c r="S316" i="1" s="1"/>
  <c r="R316" i="1" s="1"/>
  <c r="U332" i="1"/>
  <c r="T332" i="1" s="1"/>
  <c r="S332" i="1" s="1"/>
  <c r="R332" i="1" s="1"/>
  <c r="U349" i="1"/>
  <c r="T349" i="1" s="1"/>
  <c r="S349" i="1" s="1"/>
  <c r="R349" i="1" s="1"/>
  <c r="U356" i="1"/>
  <c r="T356" i="1" s="1"/>
  <c r="S356" i="1" s="1"/>
  <c r="R356" i="1" s="1"/>
  <c r="U367" i="1"/>
  <c r="T367" i="1" s="1"/>
  <c r="S367" i="1" s="1"/>
  <c r="R367" i="1" s="1"/>
  <c r="AI321" i="1"/>
  <c r="AH321" i="1" s="1"/>
  <c r="AG321" i="1" s="1"/>
  <c r="AF321" i="1" s="1"/>
  <c r="AI124" i="1"/>
  <c r="AH124" i="1" s="1"/>
  <c r="AG124" i="1" s="1"/>
  <c r="AF124" i="1" s="1"/>
  <c r="AI225" i="1"/>
  <c r="AH225" i="1" s="1"/>
  <c r="AG225" i="1" s="1"/>
  <c r="AF225" i="1" s="1"/>
  <c r="AI360" i="1"/>
  <c r="AH360" i="1" s="1"/>
  <c r="AG360" i="1" s="1"/>
  <c r="AF360" i="1" s="1"/>
  <c r="AI264" i="1"/>
  <c r="AH264" i="1" s="1"/>
  <c r="AG264" i="1" s="1"/>
  <c r="AF264" i="1" s="1"/>
  <c r="U35" i="1"/>
  <c r="T35" i="1" s="1"/>
  <c r="S35" i="1" s="1"/>
  <c r="R35" i="1" s="1"/>
  <c r="U104" i="1"/>
  <c r="T104" i="1" s="1"/>
  <c r="S104" i="1" s="1"/>
  <c r="R104" i="1" s="1"/>
  <c r="U106" i="1"/>
  <c r="T106" i="1" s="1"/>
  <c r="S106" i="1" s="1"/>
  <c r="R106" i="1" s="1"/>
  <c r="U159" i="1"/>
  <c r="T159" i="1" s="1"/>
  <c r="S159" i="1" s="1"/>
  <c r="R159" i="1" s="1"/>
  <c r="U188" i="1"/>
  <c r="T188" i="1" s="1"/>
  <c r="S188" i="1" s="1"/>
  <c r="R188" i="1" s="1"/>
  <c r="U197" i="1"/>
  <c r="T197" i="1" s="1"/>
  <c r="S197" i="1" s="1"/>
  <c r="R197" i="1" s="1"/>
  <c r="U200" i="1"/>
  <c r="T200" i="1" s="1"/>
  <c r="S200" i="1" s="1"/>
  <c r="R200" i="1" s="1"/>
  <c r="U236" i="1"/>
  <c r="T236" i="1" s="1"/>
  <c r="S236" i="1" s="1"/>
  <c r="R236" i="1" s="1"/>
  <c r="U238" i="1"/>
  <c r="T238" i="1" s="1"/>
  <c r="S238" i="1" s="1"/>
  <c r="R238" i="1" s="1"/>
  <c r="U240" i="1"/>
  <c r="T240" i="1" s="1"/>
  <c r="S240" i="1" s="1"/>
  <c r="R240" i="1" s="1"/>
  <c r="U245" i="1"/>
  <c r="T245" i="1" s="1"/>
  <c r="S245" i="1" s="1"/>
  <c r="R245" i="1" s="1"/>
  <c r="U247" i="1"/>
  <c r="T247" i="1" s="1"/>
  <c r="S247" i="1" s="1"/>
  <c r="R247" i="1" s="1"/>
  <c r="U263" i="1"/>
  <c r="T263" i="1" s="1"/>
  <c r="S263" i="1" s="1"/>
  <c r="R263" i="1" s="1"/>
  <c r="U305" i="1"/>
  <c r="T305" i="1" s="1"/>
  <c r="S305" i="1" s="1"/>
  <c r="R305" i="1" s="1"/>
  <c r="U309" i="1"/>
  <c r="T309" i="1" s="1"/>
  <c r="S309" i="1" s="1"/>
  <c r="R309" i="1" s="1"/>
  <c r="U311" i="1"/>
  <c r="T311" i="1" s="1"/>
  <c r="S311" i="1" s="1"/>
  <c r="R311" i="1" s="1"/>
  <c r="U328" i="1"/>
  <c r="T328" i="1" s="1"/>
  <c r="S328" i="1" s="1"/>
  <c r="R328" i="1" s="1"/>
  <c r="U337" i="1"/>
  <c r="T337" i="1" s="1"/>
  <c r="S337" i="1" s="1"/>
  <c r="R337" i="1" s="1"/>
  <c r="U351" i="1"/>
  <c r="T351" i="1" s="1"/>
  <c r="S351" i="1" s="1"/>
  <c r="R351" i="1" s="1"/>
  <c r="U359" i="1"/>
  <c r="T359" i="1" s="1"/>
  <c r="S359" i="1" s="1"/>
  <c r="R359" i="1" s="1"/>
  <c r="U361" i="1"/>
  <c r="T361" i="1" s="1"/>
  <c r="S361" i="1" s="1"/>
  <c r="R361" i="1" s="1"/>
  <c r="U363" i="1"/>
  <c r="T363" i="1" s="1"/>
  <c r="S363" i="1" s="1"/>
  <c r="R363" i="1" s="1"/>
  <c r="U365" i="1"/>
  <c r="T365" i="1" s="1"/>
  <c r="S365" i="1" s="1"/>
  <c r="R365" i="1" s="1"/>
  <c r="AI72" i="1"/>
  <c r="AH72" i="1" s="1"/>
  <c r="AG72" i="1" s="1"/>
  <c r="AF72" i="1" s="1"/>
  <c r="AI141" i="1"/>
  <c r="AH141" i="1" s="1"/>
  <c r="AG141" i="1" s="1"/>
  <c r="AF141" i="1" s="1"/>
  <c r="AI348" i="1"/>
  <c r="AH348" i="1" s="1"/>
  <c r="AG348" i="1" s="1"/>
  <c r="AF348" i="1" s="1"/>
  <c r="AI130" i="1"/>
  <c r="AH130" i="1" s="1"/>
  <c r="AG130" i="1" s="1"/>
  <c r="AF130" i="1" s="1"/>
  <c r="AI206" i="1"/>
  <c r="AH206" i="1" s="1"/>
  <c r="AG206" i="1" s="1"/>
  <c r="AF206" i="1" s="1"/>
  <c r="AI295" i="1"/>
  <c r="AH295" i="1" s="1"/>
  <c r="AG295" i="1" s="1"/>
  <c r="AF295" i="1" s="1"/>
  <c r="AI21" i="1"/>
  <c r="AH21" i="1" s="1"/>
  <c r="AG21" i="1" s="1"/>
  <c r="AF21" i="1" s="1"/>
  <c r="AI152" i="1"/>
  <c r="AH152" i="1" s="1"/>
  <c r="AG152" i="1" s="1"/>
  <c r="AF152" i="1" s="1"/>
  <c r="AI219" i="1"/>
  <c r="AH219" i="1" s="1"/>
  <c r="AG219" i="1" s="1"/>
  <c r="AF219" i="1" s="1"/>
  <c r="AI300" i="1"/>
  <c r="AH300" i="1" s="1"/>
  <c r="AG300" i="1" s="1"/>
  <c r="AF300" i="1" s="1"/>
  <c r="U44" i="1"/>
  <c r="T44" i="1" s="1"/>
  <c r="S44" i="1" s="1"/>
  <c r="R44" i="1" s="1"/>
  <c r="U50" i="1"/>
  <c r="T50" i="1" s="1"/>
  <c r="S50" i="1" s="1"/>
  <c r="R50" i="1" s="1"/>
  <c r="U65" i="1"/>
  <c r="T65" i="1" s="1"/>
  <c r="S65" i="1" s="1"/>
  <c r="R65" i="1" s="1"/>
  <c r="U75" i="1"/>
  <c r="T75" i="1" s="1"/>
  <c r="S75" i="1" s="1"/>
  <c r="R75" i="1" s="1"/>
  <c r="U83" i="1"/>
  <c r="T83" i="1" s="1"/>
  <c r="S83" i="1" s="1"/>
  <c r="R83" i="1" s="1"/>
  <c r="U120" i="1"/>
  <c r="T120" i="1" s="1"/>
  <c r="S120" i="1" s="1"/>
  <c r="R120" i="1" s="1"/>
  <c r="U125" i="1"/>
  <c r="T125" i="1" s="1"/>
  <c r="S125" i="1" s="1"/>
  <c r="R125" i="1" s="1"/>
  <c r="U131" i="1"/>
  <c r="T131" i="1" s="1"/>
  <c r="S131" i="1" s="1"/>
  <c r="R131" i="1" s="1"/>
  <c r="U133" i="1"/>
  <c r="T133" i="1" s="1"/>
  <c r="S133" i="1" s="1"/>
  <c r="R133" i="1" s="1"/>
  <c r="U152" i="1"/>
  <c r="T152" i="1" s="1"/>
  <c r="S152" i="1" s="1"/>
  <c r="R152" i="1" s="1"/>
  <c r="U157" i="1"/>
  <c r="T157" i="1" s="1"/>
  <c r="S157" i="1" s="1"/>
  <c r="R157" i="1" s="1"/>
  <c r="U162" i="1"/>
  <c r="T162" i="1" s="1"/>
  <c r="S162" i="1" s="1"/>
  <c r="R162" i="1" s="1"/>
  <c r="U178" i="1"/>
  <c r="T178" i="1" s="1"/>
  <c r="S178" i="1" s="1"/>
  <c r="R178" i="1" s="1"/>
  <c r="U183" i="1"/>
  <c r="T183" i="1" s="1"/>
  <c r="S183" i="1" s="1"/>
  <c r="R183" i="1" s="1"/>
  <c r="U190" i="1"/>
  <c r="T190" i="1" s="1"/>
  <c r="S190" i="1" s="1"/>
  <c r="R190" i="1" s="1"/>
  <c r="U192" i="1"/>
  <c r="T192" i="1" s="1"/>
  <c r="S192" i="1" s="1"/>
  <c r="R192" i="1" s="1"/>
  <c r="U203" i="1"/>
  <c r="T203" i="1" s="1"/>
  <c r="S203" i="1" s="1"/>
  <c r="R203" i="1" s="1"/>
  <c r="U224" i="1"/>
  <c r="T224" i="1" s="1"/>
  <c r="S224" i="1" s="1"/>
  <c r="R224" i="1" s="1"/>
  <c r="U232" i="1"/>
  <c r="T232" i="1" s="1"/>
  <c r="S232" i="1" s="1"/>
  <c r="R232" i="1" s="1"/>
  <c r="U234" i="1"/>
  <c r="T234" i="1" s="1"/>
  <c r="S234" i="1" s="1"/>
  <c r="R234" i="1" s="1"/>
  <c r="U256" i="1"/>
  <c r="T256" i="1" s="1"/>
  <c r="S256" i="1" s="1"/>
  <c r="R256" i="1" s="1"/>
  <c r="U276" i="1"/>
  <c r="T276" i="1" s="1"/>
  <c r="S276" i="1" s="1"/>
  <c r="R276" i="1" s="1"/>
  <c r="U284" i="1"/>
  <c r="T284" i="1" s="1"/>
  <c r="S284" i="1" s="1"/>
  <c r="R284" i="1" s="1"/>
  <c r="U300" i="1"/>
  <c r="T300" i="1" s="1"/>
  <c r="S300" i="1" s="1"/>
  <c r="R300" i="1" s="1"/>
  <c r="U313" i="1"/>
  <c r="T313" i="1" s="1"/>
  <c r="S313" i="1" s="1"/>
  <c r="R313" i="1" s="1"/>
  <c r="U318" i="1"/>
  <c r="T318" i="1" s="1"/>
  <c r="S318" i="1" s="1"/>
  <c r="R318" i="1" s="1"/>
  <c r="U325" i="1"/>
  <c r="T325" i="1" s="1"/>
  <c r="S325" i="1" s="1"/>
  <c r="R325" i="1" s="1"/>
  <c r="U373" i="1"/>
  <c r="T373" i="1" s="1"/>
  <c r="S373" i="1" s="1"/>
  <c r="R373" i="1" s="1"/>
  <c r="AI158" i="1"/>
  <c r="AH158" i="1" s="1"/>
  <c r="AG158" i="1" s="1"/>
  <c r="AF158" i="1" s="1"/>
  <c r="AI32" i="1"/>
  <c r="AH32" i="1" s="1"/>
  <c r="AG32" i="1" s="1"/>
  <c r="AF32" i="1" s="1"/>
  <c r="AI132" i="1"/>
  <c r="AH132" i="1" s="1"/>
  <c r="AG132" i="1" s="1"/>
  <c r="AF132" i="1" s="1"/>
  <c r="AI138" i="1"/>
  <c r="AH138" i="1" s="1"/>
  <c r="AG138" i="1" s="1"/>
  <c r="AF138" i="1" s="1"/>
  <c r="AI128" i="1"/>
  <c r="AH128" i="1" s="1"/>
  <c r="AG128" i="1" s="1"/>
  <c r="AF128" i="1" s="1"/>
  <c r="U137" i="1"/>
  <c r="T137" i="1" s="1"/>
  <c r="S137" i="1" s="1"/>
  <c r="R137" i="1" s="1"/>
  <c r="U142" i="1"/>
  <c r="T142" i="1" s="1"/>
  <c r="S142" i="1" s="1"/>
  <c r="R142" i="1" s="1"/>
  <c r="U146" i="1"/>
  <c r="T146" i="1" s="1"/>
  <c r="S146" i="1" s="1"/>
  <c r="R146" i="1" s="1"/>
  <c r="U168" i="1"/>
  <c r="T168" i="1" s="1"/>
  <c r="S168" i="1" s="1"/>
  <c r="R168" i="1" s="1"/>
  <c r="U174" i="1"/>
  <c r="T174" i="1" s="1"/>
  <c r="S174" i="1" s="1"/>
  <c r="R174" i="1" s="1"/>
  <c r="U204" i="1"/>
  <c r="T204" i="1" s="1"/>
  <c r="S204" i="1" s="1"/>
  <c r="R204" i="1" s="1"/>
  <c r="U213" i="1"/>
  <c r="T213" i="1" s="1"/>
  <c r="S213" i="1" s="1"/>
  <c r="R213" i="1" s="1"/>
  <c r="U217" i="1"/>
  <c r="T217" i="1" s="1"/>
  <c r="S217" i="1" s="1"/>
  <c r="R217" i="1" s="1"/>
  <c r="P217" i="1" s="1"/>
  <c r="V217" i="1" s="1"/>
  <c r="F217" i="1" s="1"/>
  <c r="I217" i="1" s="1"/>
  <c r="U219" i="1"/>
  <c r="T219" i="1" s="1"/>
  <c r="S219" i="1" s="1"/>
  <c r="R219" i="1" s="1"/>
  <c r="U229" i="1"/>
  <c r="T229" i="1" s="1"/>
  <c r="S229" i="1" s="1"/>
  <c r="R229" i="1" s="1"/>
  <c r="U271" i="1"/>
  <c r="T271" i="1" s="1"/>
  <c r="S271" i="1" s="1"/>
  <c r="R271" i="1" s="1"/>
  <c r="U275" i="1"/>
  <c r="T275" i="1" s="1"/>
  <c r="S275" i="1" s="1"/>
  <c r="R275" i="1" s="1"/>
  <c r="U280" i="1"/>
  <c r="T280" i="1" s="1"/>
  <c r="S280" i="1" s="1"/>
  <c r="R280" i="1" s="1"/>
  <c r="U290" i="1"/>
  <c r="T290" i="1" s="1"/>
  <c r="S290" i="1" s="1"/>
  <c r="R290" i="1" s="1"/>
  <c r="U331" i="1"/>
  <c r="T331" i="1" s="1"/>
  <c r="S331" i="1" s="1"/>
  <c r="R331" i="1" s="1"/>
  <c r="U335" i="1"/>
  <c r="T335" i="1" s="1"/>
  <c r="S335" i="1" s="1"/>
  <c r="R335" i="1" s="1"/>
  <c r="U355" i="1"/>
  <c r="T355" i="1" s="1"/>
  <c r="S355" i="1" s="1"/>
  <c r="R355" i="1" s="1"/>
  <c r="U357" i="1"/>
  <c r="T357" i="1" s="1"/>
  <c r="S357" i="1" s="1"/>
  <c r="R357" i="1" s="1"/>
  <c r="U368" i="1"/>
  <c r="T368" i="1" s="1"/>
  <c r="S368" i="1" s="1"/>
  <c r="R368" i="1" s="1"/>
  <c r="AI229" i="1"/>
  <c r="U16" i="1"/>
  <c r="AI171" i="1"/>
  <c r="AH171" i="1" s="1"/>
  <c r="AG171" i="1" s="1"/>
  <c r="AF171" i="1" s="1"/>
  <c r="AI192" i="1"/>
  <c r="AH192" i="1" s="1"/>
  <c r="AG192" i="1" s="1"/>
  <c r="AF192" i="1" s="1"/>
  <c r="AI172" i="1"/>
  <c r="AH172" i="1" s="1"/>
  <c r="AG172" i="1" s="1"/>
  <c r="AF172" i="1" s="1"/>
  <c r="U38" i="1"/>
  <c r="T38" i="1" s="1"/>
  <c r="S38" i="1" s="1"/>
  <c r="R38" i="1" s="1"/>
  <c r="U105" i="1"/>
  <c r="T105" i="1" s="1"/>
  <c r="S105" i="1" s="1"/>
  <c r="R105" i="1" s="1"/>
  <c r="U154" i="1"/>
  <c r="U181" i="1"/>
  <c r="T181" i="1" s="1"/>
  <c r="S181" i="1" s="1"/>
  <c r="R181" i="1" s="1"/>
  <c r="U189" i="1"/>
  <c r="T189" i="1" s="1"/>
  <c r="U199" i="1"/>
  <c r="T199" i="1" s="1"/>
  <c r="S199" i="1" s="1"/>
  <c r="R199" i="1" s="1"/>
  <c r="U201" i="1"/>
  <c r="T201" i="1" s="1"/>
  <c r="S201" i="1" s="1"/>
  <c r="R201" i="1" s="1"/>
  <c r="U237" i="1"/>
  <c r="T237" i="1" s="1"/>
  <c r="S237" i="1" s="1"/>
  <c r="R237" i="1" s="1"/>
  <c r="U239" i="1"/>
  <c r="U244" i="1"/>
  <c r="T244" i="1" s="1"/>
  <c r="S244" i="1" s="1"/>
  <c r="R244" i="1" s="1"/>
  <c r="U246" i="1"/>
  <c r="T246" i="1" s="1"/>
  <c r="S246" i="1" s="1"/>
  <c r="R246" i="1" s="1"/>
  <c r="U262" i="1"/>
  <c r="U264" i="1"/>
  <c r="T264" i="1" s="1"/>
  <c r="S264" i="1" s="1"/>
  <c r="R264" i="1" s="1"/>
  <c r="P264" i="1" s="1"/>
  <c r="U306" i="1"/>
  <c r="T306" i="1" s="1"/>
  <c r="S306" i="1" s="1"/>
  <c r="R306" i="1" s="1"/>
  <c r="U310" i="1"/>
  <c r="T310" i="1" s="1"/>
  <c r="S310" i="1" s="1"/>
  <c r="R310" i="1" s="1"/>
  <c r="U327" i="1"/>
  <c r="T327" i="1" s="1"/>
  <c r="S327" i="1" s="1"/>
  <c r="R327" i="1" s="1"/>
  <c r="U329" i="1"/>
  <c r="T329" i="1" s="1"/>
  <c r="S329" i="1" s="1"/>
  <c r="R329" i="1" s="1"/>
  <c r="U340" i="1"/>
  <c r="T340" i="1" s="1"/>
  <c r="S340" i="1" s="1"/>
  <c r="R340" i="1" s="1"/>
  <c r="U353" i="1"/>
  <c r="T353" i="1" s="1"/>
  <c r="S353" i="1" s="1"/>
  <c r="R353" i="1" s="1"/>
  <c r="U360" i="1"/>
  <c r="T360" i="1" s="1"/>
  <c r="S360" i="1" s="1"/>
  <c r="R360" i="1" s="1"/>
  <c r="U362" i="1"/>
  <c r="T362" i="1" s="1"/>
  <c r="S362" i="1" s="1"/>
  <c r="R362" i="1" s="1"/>
  <c r="U364" i="1"/>
  <c r="T364" i="1" s="1"/>
  <c r="S364" i="1" s="1"/>
  <c r="R364" i="1" s="1"/>
  <c r="P183" i="1"/>
  <c r="V183" i="1" s="1"/>
  <c r="AD266" i="1"/>
  <c r="P286" i="1"/>
  <c r="V286" i="1" s="1"/>
  <c r="F286" i="1" s="1"/>
  <c r="AD187" i="1"/>
  <c r="AD129" i="1"/>
  <c r="AD124" i="1"/>
  <c r="P111" i="1"/>
  <c r="V111" i="1" s="1"/>
  <c r="AD122" i="1"/>
  <c r="P261" i="1"/>
  <c r="V261" i="1" s="1"/>
  <c r="F261" i="1" s="1"/>
  <c r="P126" i="1"/>
  <c r="V126" i="1" s="1"/>
  <c r="O11" i="20"/>
  <c r="AY48" i="6"/>
  <c r="AY51" i="6"/>
  <c r="AY42" i="6"/>
  <c r="P174" i="1"/>
  <c r="V174" i="1" s="1"/>
  <c r="AD117" i="1"/>
  <c r="AY47" i="6"/>
  <c r="AX38" i="6"/>
  <c r="AX44" i="6"/>
  <c r="AX77" i="6"/>
  <c r="AX65" i="6"/>
  <c r="AD75" i="1"/>
  <c r="AD173" i="1"/>
  <c r="AD230" i="1"/>
  <c r="P164" i="1"/>
  <c r="V164" i="1" s="1"/>
  <c r="AD67" i="1"/>
  <c r="AD215" i="1"/>
  <c r="AT145" i="6"/>
  <c r="AT134" i="6"/>
  <c r="AT155" i="6"/>
  <c r="AT139" i="6"/>
  <c r="AT148" i="6"/>
  <c r="AT158" i="6"/>
  <c r="AT160" i="6"/>
  <c r="AD110" i="1"/>
  <c r="AD66" i="1"/>
  <c r="AT146" i="6"/>
  <c r="AT268" i="6"/>
  <c r="AT266" i="6"/>
  <c r="AT262" i="6"/>
  <c r="AT154" i="6"/>
  <c r="AT151" i="6"/>
  <c r="AT161" i="6"/>
  <c r="AT147" i="6"/>
  <c r="P172" i="1"/>
  <c r="V172" i="1" s="1"/>
  <c r="F172" i="1" s="1"/>
  <c r="G172" i="1" s="1"/>
  <c r="BW172" i="6" s="1"/>
  <c r="AT156" i="6"/>
  <c r="AT136" i="6"/>
  <c r="AT141" i="6"/>
  <c r="J356" i="6"/>
  <c r="J353" i="6"/>
  <c r="J347" i="6"/>
  <c r="J346" i="6"/>
  <c r="P346" i="1" s="1"/>
  <c r="AT356" i="6"/>
  <c r="AT333" i="6"/>
  <c r="AT350" i="6"/>
  <c r="AT342" i="6"/>
  <c r="AT336" i="6"/>
  <c r="AT332" i="6"/>
  <c r="P358" i="1"/>
  <c r="V358" i="1" s="1"/>
  <c r="F358" i="1" s="1"/>
  <c r="P129" i="1"/>
  <c r="V129" i="1" s="1"/>
  <c r="J345" i="6"/>
  <c r="J344" i="6"/>
  <c r="J348" i="6"/>
  <c r="P263" i="1"/>
  <c r="V263" i="1" s="1"/>
  <c r="F263" i="1" s="1"/>
  <c r="AT371" i="6"/>
  <c r="AT363" i="6"/>
  <c r="AT373" i="6"/>
  <c r="P369" i="1"/>
  <c r="V369" i="1" s="1"/>
  <c r="F369" i="1" s="1"/>
  <c r="G369" i="1" s="1"/>
  <c r="BW369" i="6" s="1"/>
  <c r="P114" i="1"/>
  <c r="V114" i="1" s="1"/>
  <c r="P212" i="1"/>
  <c r="V212" i="1" s="1"/>
  <c r="F212" i="1" s="1"/>
  <c r="P265" i="1"/>
  <c r="V265" i="1" s="1"/>
  <c r="F265" i="1" s="1"/>
  <c r="I265" i="1" s="1"/>
  <c r="P194" i="1"/>
  <c r="V194" i="1" s="1"/>
  <c r="F194" i="1" s="1"/>
  <c r="P115" i="1"/>
  <c r="V115" i="1" s="1"/>
  <c r="AD180" i="1"/>
  <c r="P234" i="1"/>
  <c r="V234" i="1" s="1"/>
  <c r="F234" i="1" s="1"/>
  <c r="G234" i="1" s="1"/>
  <c r="BW234" i="6" s="1"/>
  <c r="AY45" i="6"/>
  <c r="AY40" i="6"/>
  <c r="AY56" i="6"/>
  <c r="AD176" i="1"/>
  <c r="AD213" i="1"/>
  <c r="C35" i="7"/>
  <c r="E119" i="15"/>
  <c r="E210" i="15"/>
  <c r="C38" i="7"/>
  <c r="E88" i="15"/>
  <c r="C34" i="7"/>
  <c r="C32" i="7"/>
  <c r="E29" i="15"/>
  <c r="E15" i="15"/>
  <c r="C36" i="7"/>
  <c r="E149" i="15"/>
  <c r="E60" i="15"/>
  <c r="C33" i="7"/>
  <c r="C37" i="7"/>
  <c r="E180" i="15"/>
  <c r="Q55" i="6"/>
  <c r="Q40" i="6"/>
  <c r="AT114" i="6" s="1"/>
  <c r="AV13" i="6"/>
  <c r="AW15" i="6"/>
  <c r="AW12" i="6" s="1"/>
  <c r="AU13" i="6"/>
  <c r="W25" i="6"/>
  <c r="J153" i="6" s="1"/>
  <c r="AX39" i="6"/>
  <c r="AX78" i="6"/>
  <c r="AT137" i="6"/>
  <c r="AT144" i="6"/>
  <c r="AT142" i="6"/>
  <c r="M39" i="6"/>
  <c r="M38" i="6" s="1"/>
  <c r="M40" i="6" s="1"/>
  <c r="AT249" i="6"/>
  <c r="AT259" i="6"/>
  <c r="AT267" i="6"/>
  <c r="AT264" i="6"/>
  <c r="AT247" i="6"/>
  <c r="AT270" i="6"/>
  <c r="AT273" i="6"/>
  <c r="AT375" i="6"/>
  <c r="AT345" i="6"/>
  <c r="AT380" i="6"/>
  <c r="AT337" i="6"/>
  <c r="AT376" i="6"/>
  <c r="AT378" i="6"/>
  <c r="AT367" i="6"/>
  <c r="AT340" i="6"/>
  <c r="AT368" i="6"/>
  <c r="AX228" i="6"/>
  <c r="AX251" i="6"/>
  <c r="AX215" i="6"/>
  <c r="AX216" i="6"/>
  <c r="AX243" i="6"/>
  <c r="AX212" i="6"/>
  <c r="AX214" i="6"/>
  <c r="AX211" i="6"/>
  <c r="AX313" i="6"/>
  <c r="AX276" i="6"/>
  <c r="AX309" i="6"/>
  <c r="AX295" i="6"/>
  <c r="AX300" i="6"/>
  <c r="AX93" i="6"/>
  <c r="AX149" i="6"/>
  <c r="AX135" i="6"/>
  <c r="AX16" i="6"/>
  <c r="AX20" i="6"/>
  <c r="AX183" i="6"/>
  <c r="AX136" i="6"/>
  <c r="AX159" i="6"/>
  <c r="AX104" i="6"/>
  <c r="AX108" i="6"/>
  <c r="AX284" i="6"/>
  <c r="AX307" i="6"/>
  <c r="AX264" i="6"/>
  <c r="AX304" i="6"/>
  <c r="AX17" i="6"/>
  <c r="AX181" i="6"/>
  <c r="AX22" i="6"/>
  <c r="AX142" i="6"/>
  <c r="AX118" i="6"/>
  <c r="AX138" i="6"/>
  <c r="AX195" i="6"/>
  <c r="AX150" i="6"/>
  <c r="AX167" i="6"/>
  <c r="AX126" i="6"/>
  <c r="AX315" i="6"/>
  <c r="AX265" i="6"/>
  <c r="AX299" i="6"/>
  <c r="AX288" i="6"/>
  <c r="AX263" i="6"/>
  <c r="AX280" i="6"/>
  <c r="AX107" i="6"/>
  <c r="AX185" i="6"/>
  <c r="AX30" i="6"/>
  <c r="AX157" i="6"/>
  <c r="AX187" i="6"/>
  <c r="AX98" i="6"/>
  <c r="AX144" i="6"/>
  <c r="AX248" i="6"/>
  <c r="AX247" i="6"/>
  <c r="AX204" i="6"/>
  <c r="T54" i="6"/>
  <c r="T53" i="6" s="1"/>
  <c r="AX219" i="6"/>
  <c r="AT159" i="6"/>
  <c r="AT143" i="6"/>
  <c r="AT153" i="6"/>
  <c r="AT157" i="6"/>
  <c r="AT152" i="6"/>
  <c r="AT138" i="6"/>
  <c r="V54" i="6"/>
  <c r="V53" i="6" s="1"/>
  <c r="S25" i="6"/>
  <c r="AT150" i="6"/>
  <c r="AX61" i="6"/>
  <c r="AX41" i="6"/>
  <c r="AY41" i="6" s="1"/>
  <c r="AT140" i="6"/>
  <c r="AT135" i="6"/>
  <c r="AT149" i="6"/>
  <c r="AD191" i="1"/>
  <c r="P202" i="1"/>
  <c r="V202" i="1" s="1"/>
  <c r="F202" i="1" s="1"/>
  <c r="AD202" i="1"/>
  <c r="AD255" i="1"/>
  <c r="AD209" i="1"/>
  <c r="P253" i="1"/>
  <c r="V253" i="1" s="1"/>
  <c r="F253" i="1" s="1"/>
  <c r="P270" i="1"/>
  <c r="AD246" i="1"/>
  <c r="P292" i="1"/>
  <c r="V292" i="1" s="1"/>
  <c r="F292" i="1" s="1"/>
  <c r="P117" i="1"/>
  <c r="V117" i="1" s="1"/>
  <c r="AD288" i="1"/>
  <c r="AD285" i="1"/>
  <c r="AD251" i="1"/>
  <c r="P108" i="1"/>
  <c r="V108" i="1" s="1"/>
  <c r="AD214" i="1"/>
  <c r="AD315" i="1"/>
  <c r="P167" i="1"/>
  <c r="V167" i="1" s="1"/>
  <c r="AD204" i="1"/>
  <c r="AD198" i="1"/>
  <c r="O40" i="6"/>
  <c r="AT58" i="6" s="1"/>
  <c r="AS21" i="6"/>
  <c r="S55" i="6"/>
  <c r="W55" i="6"/>
  <c r="P55" i="6"/>
  <c r="AY82" i="6" s="1"/>
  <c r="AX229" i="6"/>
  <c r="AX255" i="6"/>
  <c r="AX217" i="6"/>
  <c r="AX223" i="6"/>
  <c r="AX269" i="6"/>
  <c r="AX282" i="6"/>
  <c r="AX296" i="6"/>
  <c r="AX291" i="6"/>
  <c r="AX290" i="6"/>
  <c r="AX158" i="6"/>
  <c r="AX94" i="6"/>
  <c r="AX192" i="6"/>
  <c r="AX131" i="6"/>
  <c r="AX283" i="6"/>
  <c r="AX262" i="6"/>
  <c r="AX273" i="6"/>
  <c r="AX294" i="6"/>
  <c r="AX123" i="6"/>
  <c r="AX18" i="6"/>
  <c r="AX119" i="6"/>
  <c r="AX112" i="6"/>
  <c r="AX179" i="6"/>
  <c r="AX278" i="6"/>
  <c r="AX277" i="6"/>
  <c r="AX297" i="6"/>
  <c r="AX312" i="6"/>
  <c r="AX314" i="6"/>
  <c r="AX302" i="6"/>
  <c r="AX292" i="6"/>
  <c r="AX261" i="6"/>
  <c r="AX293" i="6"/>
  <c r="AX305" i="6"/>
  <c r="AX311" i="6"/>
  <c r="AX132" i="6"/>
  <c r="AX190" i="6"/>
  <c r="AX171" i="6"/>
  <c r="AX172" i="6"/>
  <c r="AX182" i="6"/>
  <c r="AX114" i="6"/>
  <c r="AX186" i="6"/>
  <c r="AX160" i="6"/>
  <c r="AX155" i="6"/>
  <c r="AX19" i="6"/>
  <c r="AX173" i="6"/>
  <c r="AX188" i="6"/>
  <c r="AX148" i="6"/>
  <c r="AX189" i="6"/>
  <c r="AX127" i="6"/>
  <c r="AX201" i="6"/>
  <c r="AX174" i="6"/>
  <c r="AX162" i="6"/>
  <c r="AX116" i="6"/>
  <c r="AX145" i="6"/>
  <c r="AX156" i="6"/>
  <c r="AX15" i="6"/>
  <c r="AX26" i="6"/>
  <c r="AX28" i="6"/>
  <c r="AX34" i="6"/>
  <c r="AX129" i="6"/>
  <c r="AX153" i="6"/>
  <c r="AX110" i="6"/>
  <c r="AX124" i="6"/>
  <c r="AX146" i="6"/>
  <c r="AX117" i="6"/>
  <c r="AX95" i="6"/>
  <c r="AX97" i="6"/>
  <c r="AX106" i="6"/>
  <c r="AX128" i="6"/>
  <c r="AX257" i="6"/>
  <c r="AX245" i="6"/>
  <c r="AX246" i="6"/>
  <c r="AX205" i="6"/>
  <c r="AX252" i="6"/>
  <c r="AX227" i="6"/>
  <c r="AX239" i="6"/>
  <c r="M54" i="6"/>
  <c r="M53" i="6" s="1"/>
  <c r="U40" i="6"/>
  <c r="AT204" i="6" s="1"/>
  <c r="AS272" i="6"/>
  <c r="AT272" i="6" s="1"/>
  <c r="AS246" i="6"/>
  <c r="AT246" i="6" s="1"/>
  <c r="AS194" i="6"/>
  <c r="AS240" i="6"/>
  <c r="AS265" i="6"/>
  <c r="AT265" i="6" s="1"/>
  <c r="AS286" i="6"/>
  <c r="AS287" i="6"/>
  <c r="AS260" i="6"/>
  <c r="AT260" i="6" s="1"/>
  <c r="AS251" i="6"/>
  <c r="AT251" i="6" s="1"/>
  <c r="AS195" i="6"/>
  <c r="AS209" i="6"/>
  <c r="AS230" i="6"/>
  <c r="AS302" i="6"/>
  <c r="AS361" i="6"/>
  <c r="AT361" i="6" s="1"/>
  <c r="AS327" i="6"/>
  <c r="AS303" i="6"/>
  <c r="AS351" i="6"/>
  <c r="AT351" i="6" s="1"/>
  <c r="AS366" i="6"/>
  <c r="AT366" i="6" s="1"/>
  <c r="AS308" i="6"/>
  <c r="AS306" i="6"/>
  <c r="AS374" i="6"/>
  <c r="AT374" i="6" s="1"/>
  <c r="AS305" i="6"/>
  <c r="AS344" i="6"/>
  <c r="AT344" i="6" s="1"/>
  <c r="AS348" i="6"/>
  <c r="AT348" i="6" s="1"/>
  <c r="AX238" i="6"/>
  <c r="AX259" i="6"/>
  <c r="AX270" i="6"/>
  <c r="AX289" i="6"/>
  <c r="AX168" i="6"/>
  <c r="AX161" i="6"/>
  <c r="AX31" i="6"/>
  <c r="AX178" i="6"/>
  <c r="AX180" i="6"/>
  <c r="AX130" i="6"/>
  <c r="AX301" i="6"/>
  <c r="AX308" i="6"/>
  <c r="AX287" i="6"/>
  <c r="AX274" i="6"/>
  <c r="AX306" i="6"/>
  <c r="AX268" i="6"/>
  <c r="AX303" i="6"/>
  <c r="AX164" i="6"/>
  <c r="AX196" i="6"/>
  <c r="AX21" i="6"/>
  <c r="AX184" i="6"/>
  <c r="AX163" i="6"/>
  <c r="AX134" i="6"/>
  <c r="AX152" i="6"/>
  <c r="AX24" i="6"/>
  <c r="AX27" i="6"/>
  <c r="AX29" i="6"/>
  <c r="AX35" i="6"/>
  <c r="AX115" i="6"/>
  <c r="AX133" i="6"/>
  <c r="AX165" i="6"/>
  <c r="AX175" i="6"/>
  <c r="AX96" i="6"/>
  <c r="AX99" i="6"/>
  <c r="AX121" i="6"/>
  <c r="AX242" i="6"/>
  <c r="AX240" i="6"/>
  <c r="N25" i="6"/>
  <c r="J16" i="6" s="1"/>
  <c r="AY52" i="6"/>
  <c r="AY50" i="6"/>
  <c r="AY55" i="6"/>
  <c r="AS17" i="6"/>
  <c r="J39" i="6"/>
  <c r="J60" i="6"/>
  <c r="J40" i="6"/>
  <c r="J47" i="6"/>
  <c r="J52" i="6"/>
  <c r="AS258" i="6"/>
  <c r="AT258" i="6" s="1"/>
  <c r="AS224" i="6"/>
  <c r="AS238" i="6"/>
  <c r="AY62" i="6"/>
  <c r="AY60" i="6"/>
  <c r="J43" i="6"/>
  <c r="J48" i="6"/>
  <c r="AD48" i="1" s="1"/>
  <c r="J36" i="6"/>
  <c r="J51" i="6"/>
  <c r="P51" i="1" s="1"/>
  <c r="V51" i="1" s="1"/>
  <c r="AX334" i="6"/>
  <c r="AX359" i="6"/>
  <c r="AX325" i="6"/>
  <c r="AX348" i="6"/>
  <c r="AX327" i="6"/>
  <c r="AX371" i="6"/>
  <c r="AX336" i="6"/>
  <c r="AX366" i="6"/>
  <c r="AX351" i="6"/>
  <c r="AX333" i="6"/>
  <c r="AX358" i="6"/>
  <c r="AX344" i="6"/>
  <c r="AX357" i="6"/>
  <c r="AX375" i="6"/>
  <c r="AX379" i="6"/>
  <c r="P278" i="1"/>
  <c r="V278" i="1" s="1"/>
  <c r="F278" i="1" s="1"/>
  <c r="G278" i="1" s="1"/>
  <c r="BW278" i="6" s="1"/>
  <c r="I12" i="6"/>
  <c r="I13" i="6"/>
  <c r="AX36" i="6"/>
  <c r="AW13" i="6"/>
  <c r="AS19" i="6"/>
  <c r="J318" i="6"/>
  <c r="J329" i="6"/>
  <c r="AD361" i="1"/>
  <c r="J320" i="6"/>
  <c r="J323" i="6"/>
  <c r="AD312" i="1"/>
  <c r="AY63" i="6"/>
  <c r="AY37" i="6"/>
  <c r="AY39" i="6"/>
  <c r="AY59" i="6"/>
  <c r="AS291" i="6"/>
  <c r="AS296" i="6"/>
  <c r="AS269" i="6"/>
  <c r="AT269" i="6" s="1"/>
  <c r="AS299" i="6"/>
  <c r="AS276" i="6"/>
  <c r="AS255" i="6"/>
  <c r="AT255" i="6" s="1"/>
  <c r="AS243" i="6"/>
  <c r="AS213" i="6"/>
  <c r="AS231" i="6"/>
  <c r="AS196" i="6"/>
  <c r="AS225" i="6"/>
  <c r="AS370" i="6"/>
  <c r="AT370" i="6" s="1"/>
  <c r="AS364" i="6"/>
  <c r="AT364" i="6" s="1"/>
  <c r="AS335" i="6"/>
  <c r="AT335" i="6" s="1"/>
  <c r="AS359" i="6"/>
  <c r="AT359" i="6" s="1"/>
  <c r="AS372" i="6"/>
  <c r="AT372" i="6" s="1"/>
  <c r="AS352" i="6"/>
  <c r="AT352" i="6" s="1"/>
  <c r="AS329" i="6"/>
  <c r="AS343" i="6"/>
  <c r="AT343" i="6" s="1"/>
  <c r="AS315" i="6"/>
  <c r="AS369" i="6"/>
  <c r="AT369" i="6" s="1"/>
  <c r="AS349" i="6"/>
  <c r="AT349" i="6" s="1"/>
  <c r="AS326" i="6"/>
  <c r="AS325" i="6"/>
  <c r="X39" i="6"/>
  <c r="X38" i="6" s="1"/>
  <c r="X40" i="6" s="1"/>
  <c r="J335" i="6"/>
  <c r="J321" i="6"/>
  <c r="J325" i="6"/>
  <c r="J354" i="6"/>
  <c r="J337" i="6"/>
  <c r="AD305" i="1"/>
  <c r="J334" i="6"/>
  <c r="J332" i="6"/>
  <c r="J336" i="6"/>
  <c r="J352" i="6"/>
  <c r="J349" i="6"/>
  <c r="J322" i="6"/>
  <c r="J357" i="6"/>
  <c r="J330" i="6"/>
  <c r="J50" i="6"/>
  <c r="J44" i="6"/>
  <c r="J54" i="6"/>
  <c r="J46" i="6"/>
  <c r="J62" i="6"/>
  <c r="AX353" i="6"/>
  <c r="AX322" i="6"/>
  <c r="AX326" i="6"/>
  <c r="AX321" i="6"/>
  <c r="AX347" i="6"/>
  <c r="AX323" i="6"/>
  <c r="AX368" i="6"/>
  <c r="AX370" i="6"/>
  <c r="Y54" i="6"/>
  <c r="Y53" i="6" s="1"/>
  <c r="Y55" i="6" s="1"/>
  <c r="AY57" i="6"/>
  <c r="AY58" i="6"/>
  <c r="AR15" i="6"/>
  <c r="AP13" i="6"/>
  <c r="AP12" i="6"/>
  <c r="AQ12" i="6"/>
  <c r="AQ13" i="6"/>
  <c r="AS20" i="6"/>
  <c r="AS18" i="6"/>
  <c r="J333" i="6"/>
  <c r="J343" i="6"/>
  <c r="AD366" i="1"/>
  <c r="J324" i="6"/>
  <c r="J338" i="6"/>
  <c r="J328" i="6"/>
  <c r="J326" i="6"/>
  <c r="J63" i="6"/>
  <c r="J61" i="6"/>
  <c r="J45" i="6"/>
  <c r="J57" i="6"/>
  <c r="J56" i="6"/>
  <c r="J53" i="6"/>
  <c r="J38" i="6"/>
  <c r="J42" i="6"/>
  <c r="AY43" i="6"/>
  <c r="AY49" i="6"/>
  <c r="AY53" i="6"/>
  <c r="AY38" i="6"/>
  <c r="AY61" i="6"/>
  <c r="AY44" i="6"/>
  <c r="AY54" i="6"/>
  <c r="AY46" i="6"/>
  <c r="AS250" i="6"/>
  <c r="AT250" i="6" s="1"/>
  <c r="AS279" i="6"/>
  <c r="AS261" i="6"/>
  <c r="AT261" i="6" s="1"/>
  <c r="AS257" i="6"/>
  <c r="AT257" i="6" s="1"/>
  <c r="AS295" i="6"/>
  <c r="AS290" i="6"/>
  <c r="AS253" i="6"/>
  <c r="AT253" i="6" s="1"/>
  <c r="AS294" i="6"/>
  <c r="AS300" i="6"/>
  <c r="AS277" i="6"/>
  <c r="AS284" i="6"/>
  <c r="AS252" i="6"/>
  <c r="AT252" i="6" s="1"/>
  <c r="AS297" i="6"/>
  <c r="AS237" i="6"/>
  <c r="AS197" i="6"/>
  <c r="AS228" i="6"/>
  <c r="AS214" i="6"/>
  <c r="AS191" i="6"/>
  <c r="AS289" i="6"/>
  <c r="AS288" i="6"/>
  <c r="AS278" i="6"/>
  <c r="AS285" i="6"/>
  <c r="AS293" i="6"/>
  <c r="AS248" i="6"/>
  <c r="AT248" i="6" s="1"/>
  <c r="AS283" i="6"/>
  <c r="AS263" i="6"/>
  <c r="AT263" i="6" s="1"/>
  <c r="AS301" i="6"/>
  <c r="AS256" i="6"/>
  <c r="AT256" i="6" s="1"/>
  <c r="AS271" i="6"/>
  <c r="AT271" i="6" s="1"/>
  <c r="AS254" i="6"/>
  <c r="AT254" i="6" s="1"/>
  <c r="AS275" i="6"/>
  <c r="AS282" i="6"/>
  <c r="AS201" i="6"/>
  <c r="AS239" i="6"/>
  <c r="AS241" i="6"/>
  <c r="AS203" i="6"/>
  <c r="AS234" i="6"/>
  <c r="AS215" i="6"/>
  <c r="AS205" i="6"/>
  <c r="AS223" i="6"/>
  <c r="AS221" i="6"/>
  <c r="AS206" i="6"/>
  <c r="AS317" i="6"/>
  <c r="AS316" i="6"/>
  <c r="AS310" i="6"/>
  <c r="AS334" i="6"/>
  <c r="AT334" i="6" s="1"/>
  <c r="AS339" i="6"/>
  <c r="AT339" i="6" s="1"/>
  <c r="AS307" i="6"/>
  <c r="AS219" i="6"/>
  <c r="AS242" i="6"/>
  <c r="AS324" i="6"/>
  <c r="AS309" i="6"/>
  <c r="AS360" i="6"/>
  <c r="AT360" i="6" s="1"/>
  <c r="AS357" i="6"/>
  <c r="AT357" i="6" s="1"/>
  <c r="AS362" i="6"/>
  <c r="AT362" i="6" s="1"/>
  <c r="AS341" i="6"/>
  <c r="AT341" i="6" s="1"/>
  <c r="AS365" i="6"/>
  <c r="AT365" i="6" s="1"/>
  <c r="AS346" i="6"/>
  <c r="AT346" i="6" s="1"/>
  <c r="AS323" i="6"/>
  <c r="AS377" i="6"/>
  <c r="AT377" i="6" s="1"/>
  <c r="AS313" i="6"/>
  <c r="AS328" i="6"/>
  <c r="AS347" i="6"/>
  <c r="AT347" i="6" s="1"/>
  <c r="AS355" i="6"/>
  <c r="AT355" i="6" s="1"/>
  <c r="AS379" i="6"/>
  <c r="AT379" i="6" s="1"/>
  <c r="AS358" i="6"/>
  <c r="AT358" i="6" s="1"/>
  <c r="AS354" i="6"/>
  <c r="AT354" i="6" s="1"/>
  <c r="AS330" i="6"/>
  <c r="AT330" i="6" s="1"/>
  <c r="AS353" i="6"/>
  <c r="AT353" i="6" s="1"/>
  <c r="AS331" i="6"/>
  <c r="AT331" i="6" s="1"/>
  <c r="AS338" i="6"/>
  <c r="AT338" i="6" s="1"/>
  <c r="AS311" i="6"/>
  <c r="J342" i="6"/>
  <c r="J317" i="6"/>
  <c r="J341" i="6"/>
  <c r="J316" i="6"/>
  <c r="AD370" i="1"/>
  <c r="J350" i="6"/>
  <c r="J331" i="6"/>
  <c r="J340" i="6"/>
  <c r="AD368" i="1"/>
  <c r="J327" i="6"/>
  <c r="AD302" i="1"/>
  <c r="J339" i="6"/>
  <c r="AD300" i="1"/>
  <c r="P291" i="1"/>
  <c r="V291" i="1" s="1"/>
  <c r="J319" i="6"/>
  <c r="J351" i="6"/>
  <c r="J37" i="6"/>
  <c r="J49" i="6"/>
  <c r="J55" i="6"/>
  <c r="J41" i="6"/>
  <c r="J58" i="6"/>
  <c r="J59" i="6"/>
  <c r="AX361" i="6"/>
  <c r="AX349" i="6"/>
  <c r="AX365" i="6"/>
  <c r="AX338" i="6"/>
  <c r="AX343" i="6"/>
  <c r="AX363" i="6"/>
  <c r="AX350" i="6"/>
  <c r="AX356" i="6"/>
  <c r="AX320" i="6"/>
  <c r="AX346" i="6"/>
  <c r="AX352" i="6"/>
  <c r="AX367" i="6"/>
  <c r="AX324" i="6"/>
  <c r="AX331" i="6"/>
  <c r="AX341" i="6"/>
  <c r="AX328" i="6"/>
  <c r="AX329" i="6"/>
  <c r="AX335" i="6"/>
  <c r="AX332" i="6"/>
  <c r="AX340" i="6"/>
  <c r="AX362" i="6"/>
  <c r="AX345" i="6"/>
  <c r="AX369" i="6"/>
  <c r="AX330" i="6"/>
  <c r="AX319" i="6"/>
  <c r="AX378" i="6"/>
  <c r="AX380" i="6"/>
  <c r="AX377" i="6"/>
  <c r="AX372" i="6"/>
  <c r="AX374" i="6"/>
  <c r="AX316" i="6"/>
  <c r="AD193" i="1" l="1"/>
  <c r="P73" i="1"/>
  <c r="V73" i="1" s="1"/>
  <c r="P113" i="1"/>
  <c r="V113" i="1" s="1"/>
  <c r="AD301" i="1"/>
  <c r="P360" i="1"/>
  <c r="AD252" i="1"/>
  <c r="AD216" i="1"/>
  <c r="AD290" i="1"/>
  <c r="P211" i="1"/>
  <c r="V211" i="1" s="1"/>
  <c r="F211" i="1" s="1"/>
  <c r="I211" i="1" s="1"/>
  <c r="P273" i="1"/>
  <c r="V273" i="1" s="1"/>
  <c r="F273" i="1" s="1"/>
  <c r="P198" i="1"/>
  <c r="V198" i="1" s="1"/>
  <c r="F198" i="1" s="1"/>
  <c r="G198" i="1" s="1"/>
  <c r="BW198" i="6" s="1"/>
  <c r="P307" i="1"/>
  <c r="V307" i="1" s="1"/>
  <c r="F307" i="1" s="1"/>
  <c r="AD116" i="1"/>
  <c r="AD196" i="1"/>
  <c r="AD119" i="1"/>
  <c r="P242" i="1"/>
  <c r="V242" i="1" s="1"/>
  <c r="F242" i="1" s="1"/>
  <c r="P127" i="1"/>
  <c r="V127" i="1" s="1"/>
  <c r="AD170" i="1"/>
  <c r="P283" i="1"/>
  <c r="V283" i="1" s="1"/>
  <c r="F283" i="1" s="1"/>
  <c r="G283" i="1" s="1"/>
  <c r="BW283" i="6" s="1"/>
  <c r="AD112" i="1"/>
  <c r="AD185" i="1"/>
  <c r="AA185" i="1" s="1"/>
  <c r="Z185" i="1" s="1"/>
  <c r="Y185" i="1" s="1"/>
  <c r="AD73" i="1"/>
  <c r="P267" i="1"/>
  <c r="V267" i="1" s="1"/>
  <c r="AD276" i="1"/>
  <c r="P69" i="1"/>
  <c r="V69" i="1" s="1"/>
  <c r="P375" i="1"/>
  <c r="V375" i="1" s="1"/>
  <c r="AD194" i="1"/>
  <c r="P248" i="1"/>
  <c r="P252" i="1"/>
  <c r="V252" i="1" s="1"/>
  <c r="F252" i="1" s="1"/>
  <c r="P233" i="1"/>
  <c r="V233" i="1" s="1"/>
  <c r="F233" i="1" s="1"/>
  <c r="P251" i="1"/>
  <c r="P70" i="1"/>
  <c r="V70" i="1" s="1"/>
  <c r="AD304" i="1"/>
  <c r="AA304" i="1" s="1"/>
  <c r="Z304" i="1" s="1"/>
  <c r="Y304" i="1" s="1"/>
  <c r="AD221" i="1"/>
  <c r="P303" i="1"/>
  <c r="V303" i="1" s="1"/>
  <c r="F303" i="1" s="1"/>
  <c r="I303" i="1" s="1"/>
  <c r="AD254" i="1"/>
  <c r="AD192" i="1"/>
  <c r="AD250" i="1"/>
  <c r="AD188" i="1"/>
  <c r="AD178" i="1"/>
  <c r="AD163" i="1"/>
  <c r="AD227" i="1"/>
  <c r="AD292" i="1"/>
  <c r="AA292" i="1" s="1"/>
  <c r="Z292" i="1" s="1"/>
  <c r="Y292" i="1" s="1"/>
  <c r="AD109" i="1"/>
  <c r="P238" i="1"/>
  <c r="V238" i="1" s="1"/>
  <c r="P268" i="1"/>
  <c r="V268" i="1" s="1"/>
  <c r="P226" i="1"/>
  <c r="V226" i="1" s="1"/>
  <c r="AD222" i="1"/>
  <c r="AD184" i="1"/>
  <c r="AD121" i="1"/>
  <c r="AD238" i="1"/>
  <c r="P162" i="1"/>
  <c r="V162" i="1" s="1"/>
  <c r="P250" i="1"/>
  <c r="V250" i="1" s="1"/>
  <c r="F250" i="1" s="1"/>
  <c r="G250" i="1" s="1"/>
  <c r="BW250" i="6" s="1"/>
  <c r="AD218" i="1"/>
  <c r="AD243" i="1"/>
  <c r="AD371" i="1"/>
  <c r="AI12" i="15"/>
  <c r="AD297" i="1"/>
  <c r="P173" i="1"/>
  <c r="V173" i="1" s="1"/>
  <c r="F173" i="1" s="1"/>
  <c r="G173" i="1" s="1"/>
  <c r="BW173" i="6" s="1"/>
  <c r="P353" i="1"/>
  <c r="AD374" i="1"/>
  <c r="AK3" i="16"/>
  <c r="Q13" i="19" s="1"/>
  <c r="P370" i="1"/>
  <c r="V370" i="1" s="1"/>
  <c r="AD298" i="1"/>
  <c r="AD289" i="1"/>
  <c r="AD363" i="1"/>
  <c r="P296" i="1"/>
  <c r="V296" i="1" s="1"/>
  <c r="AD282" i="1"/>
  <c r="P259" i="1"/>
  <c r="V259" i="1" s="1"/>
  <c r="F259" i="1" s="1"/>
  <c r="AD248" i="1"/>
  <c r="P310" i="1"/>
  <c r="V310" i="1" s="1"/>
  <c r="F310" i="1" s="1"/>
  <c r="G310" i="1" s="1"/>
  <c r="BW310" i="6" s="1"/>
  <c r="AD208" i="1"/>
  <c r="AD108" i="1"/>
  <c r="P216" i="1"/>
  <c r="AD247" i="1"/>
  <c r="AD273" i="1"/>
  <c r="AA273" i="1" s="1"/>
  <c r="Z273" i="1" s="1"/>
  <c r="Y273" i="1" s="1"/>
  <c r="AD265" i="1"/>
  <c r="AA265" i="1" s="1"/>
  <c r="Z265" i="1" s="1"/>
  <c r="Y265" i="1" s="1"/>
  <c r="P246" i="1"/>
  <c r="AD253" i="1"/>
  <c r="AA253" i="1" s="1"/>
  <c r="Z253" i="1" s="1"/>
  <c r="Y253" i="1" s="1"/>
  <c r="P209" i="1"/>
  <c r="V209" i="1" s="1"/>
  <c r="F209" i="1" s="1"/>
  <c r="G209" i="1" s="1"/>
  <c r="BW209" i="6" s="1"/>
  <c r="AD205" i="1"/>
  <c r="AD258" i="1"/>
  <c r="AD234" i="1"/>
  <c r="AA234" i="1" s="1"/>
  <c r="Z234" i="1" s="1"/>
  <c r="Y234" i="1" s="1"/>
  <c r="P200" i="1"/>
  <c r="V200" i="1" s="1"/>
  <c r="F200" i="1" s="1"/>
  <c r="P206" i="1"/>
  <c r="V206" i="1" s="1"/>
  <c r="F206" i="1" s="1"/>
  <c r="AD210" i="1"/>
  <c r="P243" i="1"/>
  <c r="V243" i="1" s="1"/>
  <c r="F243" i="1" s="1"/>
  <c r="I243" i="1" s="1"/>
  <c r="P224" i="1"/>
  <c r="V224" i="1" s="1"/>
  <c r="F224" i="1" s="1"/>
  <c r="G224" i="1" s="1"/>
  <c r="BW224" i="6" s="1"/>
  <c r="P128" i="1"/>
  <c r="V128" i="1" s="1"/>
  <c r="AD344" i="1"/>
  <c r="P221" i="1"/>
  <c r="V221" i="1" s="1"/>
  <c r="F221" i="1" s="1"/>
  <c r="I221" i="1" s="1"/>
  <c r="P187" i="1"/>
  <c r="AD195" i="1"/>
  <c r="AD111" i="1"/>
  <c r="AD166" i="1"/>
  <c r="P72" i="1"/>
  <c r="V72" i="1" s="1"/>
  <c r="P218" i="1"/>
  <c r="V218" i="1" s="1"/>
  <c r="F218" i="1" s="1"/>
  <c r="AA218" i="1" s="1"/>
  <c r="Z218" i="1" s="1"/>
  <c r="Y218" i="1" s="1"/>
  <c r="P257" i="1"/>
  <c r="V257" i="1" s="1"/>
  <c r="P281" i="1"/>
  <c r="V281" i="1" s="1"/>
  <c r="F281" i="1" s="1"/>
  <c r="I281" i="1" s="1"/>
  <c r="P165" i="1"/>
  <c r="V165" i="1" s="1"/>
  <c r="AD279" i="1"/>
  <c r="AD164" i="1"/>
  <c r="AD358" i="1"/>
  <c r="P227" i="1"/>
  <c r="V227" i="1" s="1"/>
  <c r="P245" i="1"/>
  <c r="V245" i="1" s="1"/>
  <c r="AD280" i="1"/>
  <c r="AD169" i="1"/>
  <c r="AD236" i="1"/>
  <c r="AD123" i="1"/>
  <c r="AD239" i="1"/>
  <c r="AD307" i="1"/>
  <c r="AD165" i="1"/>
  <c r="AA165" i="1" s="1"/>
  <c r="Z165" i="1" s="1"/>
  <c r="Y165" i="1" s="1"/>
  <c r="P285" i="1"/>
  <c r="V285" i="1" s="1"/>
  <c r="AD257" i="1"/>
  <c r="P170" i="1"/>
  <c r="V170" i="1" s="1"/>
  <c r="P186" i="1"/>
  <c r="V186" i="1" s="1"/>
  <c r="AD274" i="1"/>
  <c r="AD281" i="1"/>
  <c r="AD309" i="1"/>
  <c r="AD125" i="1"/>
  <c r="P378" i="1"/>
  <c r="V378" i="1" s="1"/>
  <c r="F378" i="1" s="1"/>
  <c r="G378" i="1" s="1"/>
  <c r="BW378" i="6" s="1"/>
  <c r="P121" i="1"/>
  <c r="V121" i="1" s="1"/>
  <c r="AD107" i="1"/>
  <c r="AD355" i="1"/>
  <c r="P287" i="1"/>
  <c r="V287" i="1" s="1"/>
  <c r="F287" i="1" s="1"/>
  <c r="G287" i="1" s="1"/>
  <c r="BW287" i="6" s="1"/>
  <c r="AD64" i="1"/>
  <c r="AD311" i="1"/>
  <c r="AD291" i="1"/>
  <c r="P293" i="1"/>
  <c r="V293" i="1" s="1"/>
  <c r="AD77" i="1"/>
  <c r="AA77" i="1" s="1"/>
  <c r="Z77" i="1" s="1"/>
  <c r="Y77" i="1" s="1"/>
  <c r="P313" i="1"/>
  <c r="V313" i="1" s="1"/>
  <c r="P312" i="1"/>
  <c r="V312" i="1" s="1"/>
  <c r="AD296" i="1"/>
  <c r="AD364" i="1"/>
  <c r="AD306" i="1"/>
  <c r="AD278" i="1"/>
  <c r="AA278" i="1" s="1"/>
  <c r="Z278" i="1" s="1"/>
  <c r="Y278" i="1" s="1"/>
  <c r="AD43" i="1"/>
  <c r="AD52" i="1"/>
  <c r="P215" i="1"/>
  <c r="AD259" i="1"/>
  <c r="P193" i="1"/>
  <c r="V193" i="1" s="1"/>
  <c r="F193" i="1" s="1"/>
  <c r="I193" i="1" s="1"/>
  <c r="AD114" i="1"/>
  <c r="AA114" i="1" s="1"/>
  <c r="Z114" i="1" s="1"/>
  <c r="Y114" i="1" s="1"/>
  <c r="AD271" i="1"/>
  <c r="P225" i="1"/>
  <c r="AD70" i="1"/>
  <c r="P116" i="1"/>
  <c r="V116" i="1" s="1"/>
  <c r="AD272" i="1"/>
  <c r="P205" i="1"/>
  <c r="P176" i="1"/>
  <c r="V176" i="1" s="1"/>
  <c r="F176" i="1" s="1"/>
  <c r="G176" i="1" s="1"/>
  <c r="BW176" i="6" s="1"/>
  <c r="AD211" i="1"/>
  <c r="P295" i="1"/>
  <c r="V295" i="1" s="1"/>
  <c r="P210" i="1"/>
  <c r="V210" i="1" s="1"/>
  <c r="AD369" i="1"/>
  <c r="AA369" i="1" s="1"/>
  <c r="Z369" i="1" s="1"/>
  <c r="Y369" i="1" s="1"/>
  <c r="P266" i="1"/>
  <c r="V266" i="1" s="1"/>
  <c r="AD162" i="1"/>
  <c r="AA162" i="1" s="1"/>
  <c r="Z162" i="1" s="1"/>
  <c r="Y162" i="1" s="1"/>
  <c r="AD264" i="1"/>
  <c r="P196" i="1"/>
  <c r="V196" i="1" s="1"/>
  <c r="F196" i="1" s="1"/>
  <c r="P207" i="1"/>
  <c r="AD287" i="1"/>
  <c r="AD244" i="1"/>
  <c r="AD286" i="1"/>
  <c r="AD120" i="1"/>
  <c r="AD71" i="1"/>
  <c r="AD267" i="1"/>
  <c r="AD228" i="1"/>
  <c r="P371" i="1"/>
  <c r="V371" i="1" s="1"/>
  <c r="AD233" i="1"/>
  <c r="AA233" i="1" s="1"/>
  <c r="Z233" i="1" s="1"/>
  <c r="Y233" i="1" s="1"/>
  <c r="AD232" i="1"/>
  <c r="AD131" i="1"/>
  <c r="AD133" i="1"/>
  <c r="P235" i="1"/>
  <c r="V235" i="1" s="1"/>
  <c r="AD68" i="1"/>
  <c r="AD127" i="1"/>
  <c r="AA127" i="1" s="1"/>
  <c r="Z127" i="1" s="1"/>
  <c r="Y127" i="1" s="1"/>
  <c r="AD275" i="1"/>
  <c r="P107" i="1"/>
  <c r="V107" i="1" s="1"/>
  <c r="AD175" i="1"/>
  <c r="AD168" i="1"/>
  <c r="P230" i="1"/>
  <c r="V230" i="1" s="1"/>
  <c r="F230" i="1" s="1"/>
  <c r="G230" i="1" s="1"/>
  <c r="BW230" i="6" s="1"/>
  <c r="AD65" i="1"/>
  <c r="AD183" i="1"/>
  <c r="P112" i="1"/>
  <c r="V112" i="1" s="1"/>
  <c r="P311" i="1"/>
  <c r="V311" i="1" s="1"/>
  <c r="F311" i="1" s="1"/>
  <c r="P302" i="1"/>
  <c r="V302" i="1" s="1"/>
  <c r="AD365" i="1"/>
  <c r="AD313" i="1"/>
  <c r="AD367" i="1"/>
  <c r="AD314" i="1"/>
  <c r="P363" i="1"/>
  <c r="D31" i="7" s="1"/>
  <c r="P364" i="1"/>
  <c r="V364" i="1" s="1"/>
  <c r="F364" i="1" s="1"/>
  <c r="AD203" i="1"/>
  <c r="AD197" i="1"/>
  <c r="AD225" i="1"/>
  <c r="P240" i="1"/>
  <c r="V240" i="1" s="1"/>
  <c r="F240" i="1" s="1"/>
  <c r="G240" i="1" s="1"/>
  <c r="BW240" i="6" s="1"/>
  <c r="AD200" i="1"/>
  <c r="AD308" i="1"/>
  <c r="AD303" i="1"/>
  <c r="P255" i="1"/>
  <c r="V255" i="1" s="1"/>
  <c r="F255" i="1" s="1"/>
  <c r="I255" i="1" s="1"/>
  <c r="P254" i="1"/>
  <c r="V254" i="1" s="1"/>
  <c r="F254" i="1" s="1"/>
  <c r="G254" i="1" s="1"/>
  <c r="BW254" i="6" s="1"/>
  <c r="P132" i="1"/>
  <c r="V132" i="1" s="1"/>
  <c r="P308" i="1"/>
  <c r="V308" i="1" s="1"/>
  <c r="F308" i="1" s="1"/>
  <c r="I308" i="1" s="1"/>
  <c r="AD299" i="1"/>
  <c r="AD206" i="1"/>
  <c r="P197" i="1"/>
  <c r="V197" i="1" s="1"/>
  <c r="AD76" i="1"/>
  <c r="P124" i="1"/>
  <c r="V124" i="1" s="1"/>
  <c r="AA124" i="1" s="1"/>
  <c r="Z124" i="1" s="1"/>
  <c r="Y124" i="1" s="1"/>
  <c r="AD212" i="1"/>
  <c r="AA212" i="1" s="1"/>
  <c r="Z212" i="1" s="1"/>
  <c r="Y212" i="1" s="1"/>
  <c r="AD256" i="1"/>
  <c r="P123" i="1"/>
  <c r="V123" i="1" s="1"/>
  <c r="AD220" i="1"/>
  <c r="AA220" i="1" s="1"/>
  <c r="Z220" i="1" s="1"/>
  <c r="Y220" i="1" s="1"/>
  <c r="AD207" i="1"/>
  <c r="P64" i="1"/>
  <c r="V64" i="1" s="1"/>
  <c r="AD347" i="1"/>
  <c r="P258" i="1"/>
  <c r="V258" i="1" s="1"/>
  <c r="F258" i="1" s="1"/>
  <c r="G258" i="1" s="1"/>
  <c r="BW258" i="6" s="1"/>
  <c r="P181" i="1"/>
  <c r="V181" i="1" s="1"/>
  <c r="P282" i="1"/>
  <c r="V282" i="1" s="1"/>
  <c r="F282" i="1" s="1"/>
  <c r="I282" i="1" s="1"/>
  <c r="AD118" i="1"/>
  <c r="P223" i="1"/>
  <c r="V223" i="1" s="1"/>
  <c r="AD126" i="1"/>
  <c r="AA126" i="1" s="1"/>
  <c r="Z126" i="1" s="1"/>
  <c r="Y126" i="1" s="1"/>
  <c r="AD106" i="1"/>
  <c r="AD182" i="1"/>
  <c r="AA182" i="1" s="1"/>
  <c r="Z182" i="1" s="1"/>
  <c r="Y182" i="1" s="1"/>
  <c r="AD226" i="1"/>
  <c r="AD245" i="1"/>
  <c r="AD262" i="1"/>
  <c r="P171" i="1"/>
  <c r="V171" i="1" s="1"/>
  <c r="F171" i="1" s="1"/>
  <c r="I171" i="1" s="1"/>
  <c r="AD113" i="1"/>
  <c r="P241" i="1"/>
  <c r="D27" i="7" s="1"/>
  <c r="P178" i="1"/>
  <c r="V178" i="1" s="1"/>
  <c r="F178" i="1" s="1"/>
  <c r="I178" i="1" s="1"/>
  <c r="AD237" i="1"/>
  <c r="AD74" i="1"/>
  <c r="P279" i="1"/>
  <c r="V279" i="1" s="1"/>
  <c r="AD283" i="1"/>
  <c r="AA283" i="1" s="1"/>
  <c r="Z283" i="1" s="1"/>
  <c r="Y283" i="1" s="1"/>
  <c r="AD362" i="1"/>
  <c r="P109" i="1"/>
  <c r="V109" i="1" s="1"/>
  <c r="AA109" i="1" s="1"/>
  <c r="Z109" i="1" s="1"/>
  <c r="Y109" i="1" s="1"/>
  <c r="P67" i="1"/>
  <c r="V67" i="1" s="1"/>
  <c r="AA67" i="1" s="1"/>
  <c r="Z67" i="1" s="1"/>
  <c r="Y67" i="1" s="1"/>
  <c r="AD217" i="1"/>
  <c r="AA217" i="1" s="1"/>
  <c r="Z217" i="1" s="1"/>
  <c r="Y217" i="1" s="1"/>
  <c r="AD269" i="1"/>
  <c r="P71" i="1"/>
  <c r="V71" i="1" s="1"/>
  <c r="P66" i="1"/>
  <c r="V66" i="1" s="1"/>
  <c r="AD177" i="1"/>
  <c r="AD372" i="1"/>
  <c r="AD376" i="1"/>
  <c r="AD277" i="1"/>
  <c r="AF17" i="1"/>
  <c r="AD199" i="1"/>
  <c r="P166" i="1"/>
  <c r="V166" i="1" s="1"/>
  <c r="AA166" i="1" s="1"/>
  <c r="Z166" i="1" s="1"/>
  <c r="Y166" i="1" s="1"/>
  <c r="C41" i="7"/>
  <c r="C62" i="7"/>
  <c r="AE383" i="15"/>
  <c r="Q12" i="16"/>
  <c r="Q10" i="16" s="1"/>
  <c r="AA11" i="7"/>
  <c r="Q11" i="17"/>
  <c r="E333" i="15"/>
  <c r="C40" i="7"/>
  <c r="E241" i="15"/>
  <c r="P118" i="1"/>
  <c r="V118" i="1" s="1"/>
  <c r="AD167" i="1"/>
  <c r="AA167" i="1" s="1"/>
  <c r="Z167" i="1" s="1"/>
  <c r="Y167" i="1" s="1"/>
  <c r="E7" i="18"/>
  <c r="O10" i="18" s="1"/>
  <c r="E379" i="17"/>
  <c r="AA113" i="1"/>
  <c r="Z113" i="1" s="1"/>
  <c r="Y113" i="1" s="1"/>
  <c r="P290" i="1"/>
  <c r="V290" i="1" s="1"/>
  <c r="F290" i="1" s="1"/>
  <c r="I290" i="1" s="1"/>
  <c r="P190" i="1"/>
  <c r="V190" i="1" s="1"/>
  <c r="F190" i="1" s="1"/>
  <c r="P184" i="1"/>
  <c r="V184" i="1" s="1"/>
  <c r="F184" i="1" s="1"/>
  <c r="G184" i="1" s="1"/>
  <c r="BW184" i="6" s="1"/>
  <c r="P275" i="1"/>
  <c r="V275" i="1" s="1"/>
  <c r="P133" i="1"/>
  <c r="V133" i="1" s="1"/>
  <c r="AA133" i="1" s="1"/>
  <c r="Z133" i="1" s="1"/>
  <c r="Y133" i="1" s="1"/>
  <c r="AD171" i="1"/>
  <c r="AD172" i="1"/>
  <c r="AA172" i="1" s="1"/>
  <c r="Z172" i="1" s="1"/>
  <c r="Y172" i="1" s="1"/>
  <c r="P232" i="1"/>
  <c r="V232" i="1" s="1"/>
  <c r="F232" i="1" s="1"/>
  <c r="I232" i="1" s="1"/>
  <c r="AD310" i="1"/>
  <c r="AY374" i="6"/>
  <c r="AZ374" i="6" s="1"/>
  <c r="AY377" i="6"/>
  <c r="AZ377" i="6" s="1"/>
  <c r="AY378" i="6"/>
  <c r="AZ378" i="6" s="1"/>
  <c r="AA107" i="1"/>
  <c r="Z107" i="1" s="1"/>
  <c r="Y107" i="1" s="1"/>
  <c r="E363" i="17"/>
  <c r="P372" i="1"/>
  <c r="V372" i="1" s="1"/>
  <c r="F372" i="1" s="1"/>
  <c r="AA164" i="1"/>
  <c r="Z164" i="1" s="1"/>
  <c r="Y164" i="1" s="1"/>
  <c r="C63" i="7"/>
  <c r="E302" i="17"/>
  <c r="E8" i="16"/>
  <c r="K13" i="19" s="1"/>
  <c r="K37" i="19" s="1"/>
  <c r="AA121" i="1"/>
  <c r="Z121" i="1" s="1"/>
  <c r="Y121" i="1" s="1"/>
  <c r="C64" i="7"/>
  <c r="C61" i="7"/>
  <c r="AA112" i="1"/>
  <c r="Z112" i="1" s="1"/>
  <c r="Y112" i="1" s="1"/>
  <c r="AE381" i="15"/>
  <c r="Q381" i="15"/>
  <c r="C60" i="7"/>
  <c r="P373" i="1"/>
  <c r="V373" i="1" s="1"/>
  <c r="P300" i="1"/>
  <c r="V300" i="1" s="1"/>
  <c r="F300" i="1" s="1"/>
  <c r="P368" i="1"/>
  <c r="V368" i="1" s="1"/>
  <c r="F368" i="1" s="1"/>
  <c r="P355" i="1"/>
  <c r="V355" i="1" s="1"/>
  <c r="F355" i="1" s="1"/>
  <c r="P365" i="1"/>
  <c r="V365" i="1" s="1"/>
  <c r="AD360" i="1"/>
  <c r="P367" i="1"/>
  <c r="V367" i="1" s="1"/>
  <c r="F367" i="1" s="1"/>
  <c r="AD379" i="1"/>
  <c r="P314" i="1"/>
  <c r="V314" i="1" s="1"/>
  <c r="F314" i="1" s="1"/>
  <c r="P361" i="1"/>
  <c r="V361" i="1" s="1"/>
  <c r="P271" i="1"/>
  <c r="V271" i="1" s="1"/>
  <c r="F271" i="1" s="1"/>
  <c r="P208" i="1"/>
  <c r="V208" i="1" s="1"/>
  <c r="F208" i="1" s="1"/>
  <c r="G208" i="1" s="1"/>
  <c r="BW208" i="6" s="1"/>
  <c r="P309" i="1"/>
  <c r="V309" i="1" s="1"/>
  <c r="F309" i="1" s="1"/>
  <c r="G309" i="1" s="1"/>
  <c r="BW309" i="6" s="1"/>
  <c r="P119" i="1"/>
  <c r="D23" i="7" s="1"/>
  <c r="P191" i="1"/>
  <c r="V191" i="1" s="1"/>
  <c r="F191" i="1" s="1"/>
  <c r="I191" i="1" s="1"/>
  <c r="P192" i="1"/>
  <c r="V192" i="1" s="1"/>
  <c r="F192" i="1" s="1"/>
  <c r="G192" i="1" s="1"/>
  <c r="BW192" i="6" s="1"/>
  <c r="P213" i="1"/>
  <c r="V213" i="1" s="1"/>
  <c r="F213" i="1" s="1"/>
  <c r="G213" i="1" s="1"/>
  <c r="BW213" i="6" s="1"/>
  <c r="P288" i="1"/>
  <c r="V288" i="1" s="1"/>
  <c r="P260" i="1"/>
  <c r="V260" i="1" s="1"/>
  <c r="AD190" i="1"/>
  <c r="P274" i="1"/>
  <c r="V274" i="1" s="1"/>
  <c r="F274" i="1" s="1"/>
  <c r="G274" i="1" s="1"/>
  <c r="BW274" i="6" s="1"/>
  <c r="P219" i="1"/>
  <c r="V219" i="1" s="1"/>
  <c r="F219" i="1" s="1"/>
  <c r="I219" i="1" s="1"/>
  <c r="P130" i="1"/>
  <c r="V130" i="1" s="1"/>
  <c r="P269" i="1"/>
  <c r="V269" i="1" s="1"/>
  <c r="P188" i="1"/>
  <c r="V188" i="1" s="1"/>
  <c r="F188" i="1" s="1"/>
  <c r="G188" i="1" s="1"/>
  <c r="BW188" i="6" s="1"/>
  <c r="AD294" i="1"/>
  <c r="AA294" i="1" s="1"/>
  <c r="Z294" i="1" s="1"/>
  <c r="Y294" i="1" s="1"/>
  <c r="P276" i="1"/>
  <c r="V276" i="1" s="1"/>
  <c r="F276" i="1" s="1"/>
  <c r="I276" i="1" s="1"/>
  <c r="P169" i="1"/>
  <c r="V169" i="1" s="1"/>
  <c r="F169" i="1" s="1"/>
  <c r="I169" i="1" s="1"/>
  <c r="P131" i="1"/>
  <c r="V131" i="1" s="1"/>
  <c r="AA131" i="1" s="1"/>
  <c r="Z131" i="1" s="1"/>
  <c r="Y131" i="1" s="1"/>
  <c r="P362" i="1"/>
  <c r="V362" i="1" s="1"/>
  <c r="F362" i="1" s="1"/>
  <c r="AA362" i="1" s="1"/>
  <c r="Z362" i="1" s="1"/>
  <c r="Y362" i="1" s="1"/>
  <c r="P280" i="1"/>
  <c r="V280" i="1" s="1"/>
  <c r="F280" i="1" s="1"/>
  <c r="G280" i="1" s="1"/>
  <c r="BW280" i="6" s="1"/>
  <c r="P179" i="1"/>
  <c r="V179" i="1" s="1"/>
  <c r="F179" i="1" s="1"/>
  <c r="I179" i="1" s="1"/>
  <c r="P68" i="1"/>
  <c r="V68" i="1" s="1"/>
  <c r="AD223" i="1"/>
  <c r="P75" i="1"/>
  <c r="V75" i="1" s="1"/>
  <c r="AA75" i="1" s="1"/>
  <c r="Z75" i="1" s="1"/>
  <c r="Y75" i="1" s="1"/>
  <c r="AD130" i="1"/>
  <c r="AD115" i="1"/>
  <c r="AA115" i="1" s="1"/>
  <c r="Z115" i="1" s="1"/>
  <c r="Y115" i="1" s="1"/>
  <c r="AD69" i="1"/>
  <c r="AD186" i="1"/>
  <c r="AD235" i="1"/>
  <c r="P377" i="1"/>
  <c r="V377" i="1" s="1"/>
  <c r="C11" i="19"/>
  <c r="F35" i="19"/>
  <c r="AD174" i="1"/>
  <c r="E379" i="15"/>
  <c r="C36" i="19"/>
  <c r="J15" i="7"/>
  <c r="AI13" i="7"/>
  <c r="AE382" i="15"/>
  <c r="Q382" i="15"/>
  <c r="L14" i="19"/>
  <c r="AE11" i="17"/>
  <c r="AI11" i="17"/>
  <c r="P10" i="17"/>
  <c r="P11" i="20"/>
  <c r="AF15" i="7"/>
  <c r="C43" i="7"/>
  <c r="Q383" i="15"/>
  <c r="AM5" i="17"/>
  <c r="AM7" i="17"/>
  <c r="AM11" i="17" s="1"/>
  <c r="AK5" i="17"/>
  <c r="AM9" i="17"/>
  <c r="AK6" i="17"/>
  <c r="AK7" i="17"/>
  <c r="AK11" i="17" s="1"/>
  <c r="AK9" i="17"/>
  <c r="AK18" i="18"/>
  <c r="AK28" i="18"/>
  <c r="AK42" i="18"/>
  <c r="AK37" i="18"/>
  <c r="AK55" i="18"/>
  <c r="AK58" i="18"/>
  <c r="AK49" i="18"/>
  <c r="AK72" i="18"/>
  <c r="AK79" i="18"/>
  <c r="AK95" i="18"/>
  <c r="AK99" i="18"/>
  <c r="AK113" i="18"/>
  <c r="AK128" i="18"/>
  <c r="AK146" i="18"/>
  <c r="AK97" i="18"/>
  <c r="AK118" i="18"/>
  <c r="AK132" i="18"/>
  <c r="AK148" i="18"/>
  <c r="AK164" i="18"/>
  <c r="AK178" i="18"/>
  <c r="AK205" i="18"/>
  <c r="AK166" i="18"/>
  <c r="AK182" i="18"/>
  <c r="AK193" i="18"/>
  <c r="AK204" i="18"/>
  <c r="AK36" i="18"/>
  <c r="AK50" i="18"/>
  <c r="AK65" i="18"/>
  <c r="AK68" i="18"/>
  <c r="AK94" i="18"/>
  <c r="AK123" i="18"/>
  <c r="AK89" i="18"/>
  <c r="AK127" i="18"/>
  <c r="AK159" i="18"/>
  <c r="AK198" i="18"/>
  <c r="AK176" i="18"/>
  <c r="AK201" i="18"/>
  <c r="AK216" i="18"/>
  <c r="AK231" i="18"/>
  <c r="AK246" i="18"/>
  <c r="AK264" i="18"/>
  <c r="AK280" i="18"/>
  <c r="AK297" i="18"/>
  <c r="AK319" i="18"/>
  <c r="AK221" i="18"/>
  <c r="AK240" i="18"/>
  <c r="AK255" i="18"/>
  <c r="AK272" i="18"/>
  <c r="AK287" i="18"/>
  <c r="AK305" i="18"/>
  <c r="AK314" i="18"/>
  <c r="AK326" i="18"/>
  <c r="AK343" i="18"/>
  <c r="AK359" i="18"/>
  <c r="AK371" i="18"/>
  <c r="AK329" i="18"/>
  <c r="AK345" i="18"/>
  <c r="AK363" i="18"/>
  <c r="AK15" i="18"/>
  <c r="AK53" i="18"/>
  <c r="AK77" i="18"/>
  <c r="AK126" i="18"/>
  <c r="AK131" i="18"/>
  <c r="AK200" i="18"/>
  <c r="AK203" i="18"/>
  <c r="AK233" i="18"/>
  <c r="AK266" i="18"/>
  <c r="AK298" i="18"/>
  <c r="AK222" i="18"/>
  <c r="AK257" i="18"/>
  <c r="AK288" i="18"/>
  <c r="AK17" i="18"/>
  <c r="AK62" i="18"/>
  <c r="P12" i="18"/>
  <c r="AK20" i="18"/>
  <c r="AK21" i="18"/>
  <c r="AK67" i="18"/>
  <c r="AK87" i="18"/>
  <c r="AK107" i="18"/>
  <c r="AK136" i="18"/>
  <c r="AK106" i="18"/>
  <c r="AK139" i="18"/>
  <c r="AK172" i="18"/>
  <c r="AK157" i="18"/>
  <c r="AK189" i="18"/>
  <c r="AK16" i="18"/>
  <c r="AK27" i="18"/>
  <c r="AK88" i="18"/>
  <c r="AK140" i="18"/>
  <c r="AK141" i="18"/>
  <c r="AK158" i="18"/>
  <c r="AK209" i="18"/>
  <c r="AK239" i="18"/>
  <c r="AK271" i="18"/>
  <c r="AK302" i="18"/>
  <c r="AK232" i="18"/>
  <c r="AK261" i="18"/>
  <c r="AK295" i="18"/>
  <c r="AK321" i="18"/>
  <c r="AK349" i="18"/>
  <c r="AK377" i="18"/>
  <c r="AK354" i="18"/>
  <c r="AK40" i="18"/>
  <c r="AK98" i="18"/>
  <c r="AK162" i="18"/>
  <c r="AK219" i="18"/>
  <c r="AK282" i="18"/>
  <c r="AK241" i="18"/>
  <c r="AK24" i="18"/>
  <c r="AK84" i="18"/>
  <c r="AK135" i="18"/>
  <c r="AK138" i="18"/>
  <c r="AK156" i="18"/>
  <c r="AK207" i="18"/>
  <c r="AK236" i="18"/>
  <c r="AK270" i="18"/>
  <c r="AK301" i="18"/>
  <c r="AK228" i="18"/>
  <c r="AK260" i="18"/>
  <c r="AK292" i="18"/>
  <c r="AK317" i="18"/>
  <c r="AK348" i="18"/>
  <c r="AK375" i="18"/>
  <c r="AK351" i="18"/>
  <c r="AK315" i="18"/>
  <c r="AK372" i="18"/>
  <c r="AK311" i="18"/>
  <c r="AK368" i="18"/>
  <c r="AK376" i="18"/>
  <c r="AK23" i="18"/>
  <c r="AK34" i="18"/>
  <c r="AK38" i="18"/>
  <c r="AK70" i="18"/>
  <c r="AK90" i="18"/>
  <c r="AK111" i="18"/>
  <c r="AK144" i="18"/>
  <c r="AK109" i="18"/>
  <c r="AK142" i="18"/>
  <c r="AK175" i="18"/>
  <c r="AK160" i="18"/>
  <c r="AK191" i="18"/>
  <c r="AK29" i="18"/>
  <c r="AK60" i="18"/>
  <c r="AK78" i="18"/>
  <c r="AK147" i="18"/>
  <c r="AK151" i="18"/>
  <c r="AK169" i="18"/>
  <c r="AK214" i="18"/>
  <c r="AK243" i="18"/>
  <c r="AK274" i="18"/>
  <c r="AK308" i="18"/>
  <c r="AK237" i="18"/>
  <c r="AK267" i="18"/>
  <c r="AK300" i="18"/>
  <c r="AK323" i="18"/>
  <c r="AK353" i="18"/>
  <c r="AK325" i="18"/>
  <c r="AK357" i="18"/>
  <c r="AK35" i="18"/>
  <c r="AK112" i="18"/>
  <c r="AK177" i="18"/>
  <c r="AK227" i="18"/>
  <c r="AK291" i="18"/>
  <c r="AK251" i="18"/>
  <c r="AK31" i="18"/>
  <c r="AK83" i="18"/>
  <c r="AK154" i="18"/>
  <c r="AK215" i="18"/>
  <c r="AK278" i="18"/>
  <c r="AK238" i="18"/>
  <c r="AK303" i="18"/>
  <c r="AK356" i="18"/>
  <c r="AK358" i="18"/>
  <c r="AK330" i="18"/>
  <c r="AK379" i="18"/>
  <c r="AK30" i="18"/>
  <c r="AK46" i="18"/>
  <c r="AK61" i="18"/>
  <c r="AK75" i="18"/>
  <c r="AK82" i="18"/>
  <c r="AK116" i="18"/>
  <c r="AK149" i="18"/>
  <c r="AK120" i="18"/>
  <c r="AK153" i="18"/>
  <c r="AK183" i="18"/>
  <c r="AK170" i="18"/>
  <c r="AK195" i="18"/>
  <c r="AK43" i="18"/>
  <c r="AK54" i="18"/>
  <c r="AK100" i="18"/>
  <c r="AK103" i="18"/>
  <c r="AK165" i="18"/>
  <c r="AK185" i="18"/>
  <c r="AK224" i="18"/>
  <c r="AK248" i="18"/>
  <c r="AK283" i="18"/>
  <c r="AK211" i="18"/>
  <c r="AK245" i="18"/>
  <c r="AK276" i="18"/>
  <c r="AK307" i="18"/>
  <c r="AK335" i="18"/>
  <c r="AK361" i="18"/>
  <c r="AK331" i="18"/>
  <c r="AK365" i="18"/>
  <c r="AK51" i="18"/>
  <c r="AK145" i="18"/>
  <c r="AK163" i="18"/>
  <c r="AK242" i="18"/>
  <c r="AK304" i="18"/>
  <c r="AK265" i="18"/>
  <c r="AK47" i="18"/>
  <c r="AK117" i="18"/>
  <c r="AK184" i="18"/>
  <c r="AK230" i="18"/>
  <c r="AK294" i="18"/>
  <c r="AK254" i="18"/>
  <c r="AK313" i="18"/>
  <c r="AK370" i="18"/>
  <c r="AK306" i="18"/>
  <c r="AK364" i="18"/>
  <c r="AK355" i="18"/>
  <c r="AK32" i="18"/>
  <c r="AK48" i="18"/>
  <c r="AK64" i="18"/>
  <c r="AK66" i="18"/>
  <c r="AK86" i="18"/>
  <c r="AK122" i="18"/>
  <c r="AK85" i="18"/>
  <c r="AK124" i="18"/>
  <c r="AK155" i="18"/>
  <c r="AK187" i="18"/>
  <c r="AK173" i="18"/>
  <c r="AK197" i="18"/>
  <c r="AK25" i="18"/>
  <c r="AK69" i="18"/>
  <c r="AK110" i="18"/>
  <c r="AK108" i="18"/>
  <c r="AK174" i="18"/>
  <c r="AK190" i="18"/>
  <c r="AK226" i="18"/>
  <c r="AK256" i="18"/>
  <c r="AK289" i="18"/>
  <c r="AK213" i="18"/>
  <c r="AK250" i="18"/>
  <c r="AK279" i="18"/>
  <c r="AK310" i="18"/>
  <c r="AK337" i="18"/>
  <c r="AK366" i="18"/>
  <c r="AK333" i="18"/>
  <c r="AK373" i="18"/>
  <c r="AK44" i="18"/>
  <c r="AK93" i="18"/>
  <c r="AK181" i="18"/>
  <c r="AK247" i="18"/>
  <c r="AK320" i="18"/>
  <c r="AK275" i="18"/>
  <c r="F8" i="18"/>
  <c r="AK102" i="18"/>
  <c r="AK105" i="18"/>
  <c r="AK168" i="18"/>
  <c r="AK188" i="18"/>
  <c r="AK225" i="18"/>
  <c r="AK252" i="18"/>
  <c r="AK285" i="18"/>
  <c r="AK212" i="18"/>
  <c r="AK249" i="18"/>
  <c r="AK277" i="18"/>
  <c r="AK309" i="18"/>
  <c r="AK336" i="18"/>
  <c r="AK362" i="18"/>
  <c r="AK332" i="18"/>
  <c r="AK367" i="18"/>
  <c r="AK344" i="18"/>
  <c r="AK346" i="18"/>
  <c r="AK339" i="18"/>
  <c r="AK334" i="18"/>
  <c r="AK380" i="18"/>
  <c r="AK39" i="18"/>
  <c r="AK52" i="18"/>
  <c r="AK33" i="18"/>
  <c r="AK73" i="18"/>
  <c r="AK96" i="18"/>
  <c r="AK125" i="18"/>
  <c r="AK91" i="18"/>
  <c r="AK129" i="18"/>
  <c r="AK161" i="18"/>
  <c r="AK199" i="18"/>
  <c r="AK180" i="18"/>
  <c r="AK202" i="18"/>
  <c r="AK41" i="18"/>
  <c r="AK74" i="18"/>
  <c r="AK115" i="18"/>
  <c r="AK119" i="18"/>
  <c r="AK179" i="18"/>
  <c r="AK194" i="18"/>
  <c r="AK229" i="18"/>
  <c r="AK262" i="18"/>
  <c r="AK293" i="18"/>
  <c r="AK218" i="18"/>
  <c r="AK253" i="18"/>
  <c r="AK284" i="18"/>
  <c r="AK312" i="18"/>
  <c r="AK341" i="18"/>
  <c r="AK369" i="18"/>
  <c r="AK338" i="18"/>
  <c r="AK378" i="18"/>
  <c r="AK71" i="18"/>
  <c r="AK114" i="18"/>
  <c r="AK192" i="18"/>
  <c r="AK258" i="18"/>
  <c r="AK217" i="18"/>
  <c r="AK281" i="18"/>
  <c r="AK63" i="18"/>
  <c r="AK150" i="18"/>
  <c r="AK171" i="18"/>
  <c r="AK244" i="18"/>
  <c r="AK268" i="18"/>
  <c r="AK327" i="18"/>
  <c r="AK322" i="18"/>
  <c r="AK45" i="18"/>
  <c r="AK57" i="18"/>
  <c r="AK101" i="18"/>
  <c r="AK104" i="18"/>
  <c r="AK167" i="18"/>
  <c r="AK186" i="18"/>
  <c r="AK56" i="18"/>
  <c r="AK130" i="18"/>
  <c r="AK208" i="18"/>
  <c r="AK234" i="18"/>
  <c r="AK299" i="18"/>
  <c r="AK259" i="18"/>
  <c r="AK316" i="18"/>
  <c r="AK374" i="18"/>
  <c r="AK26" i="18"/>
  <c r="AK143" i="18"/>
  <c r="AK273" i="18"/>
  <c r="AK296" i="18"/>
  <c r="AK121" i="18"/>
  <c r="AK263" i="18"/>
  <c r="AK286" i="18"/>
  <c r="AK340" i="18"/>
  <c r="AK352" i="18"/>
  <c r="AK318" i="18"/>
  <c r="AK324" i="18"/>
  <c r="AK328" i="18"/>
  <c r="AK22" i="18"/>
  <c r="AK59" i="18"/>
  <c r="AK81" i="18"/>
  <c r="AK133" i="18"/>
  <c r="AK137" i="18"/>
  <c r="AK152" i="18"/>
  <c r="AK19" i="18"/>
  <c r="AK80" i="18"/>
  <c r="AK134" i="18"/>
  <c r="AK206" i="18"/>
  <c r="AK269" i="18"/>
  <c r="AK223" i="18"/>
  <c r="AK290" i="18"/>
  <c r="AK347" i="18"/>
  <c r="AK350" i="18"/>
  <c r="AK92" i="18"/>
  <c r="AK210" i="18"/>
  <c r="AK235" i="18"/>
  <c r="AK76" i="18"/>
  <c r="AK196" i="18"/>
  <c r="AK220" i="18"/>
  <c r="AK342" i="18"/>
  <c r="AK360" i="18"/>
  <c r="P376" i="1"/>
  <c r="V376" i="1" s="1"/>
  <c r="O383" i="15"/>
  <c r="AC381" i="15"/>
  <c r="P374" i="1"/>
  <c r="V374" i="1" s="1"/>
  <c r="F374" i="1" s="1"/>
  <c r="AD375" i="1"/>
  <c r="AA66" i="1"/>
  <c r="Z66" i="1" s="1"/>
  <c r="Y66" i="1" s="1"/>
  <c r="AD378" i="1"/>
  <c r="AY77" i="6"/>
  <c r="AC383" i="15"/>
  <c r="AC382" i="15"/>
  <c r="O9" i="24"/>
  <c r="O382" i="15"/>
  <c r="O381" i="15"/>
  <c r="AC12" i="22"/>
  <c r="AC9" i="22"/>
  <c r="O12" i="22"/>
  <c r="AJ23" i="23"/>
  <c r="AJ32" i="23"/>
  <c r="AJ44" i="23"/>
  <c r="AJ45" i="23"/>
  <c r="AJ28" i="23"/>
  <c r="AJ41" i="23"/>
  <c r="AJ66" i="23"/>
  <c r="AJ73" i="23"/>
  <c r="AJ92" i="23"/>
  <c r="AJ86" i="23"/>
  <c r="AJ106" i="23"/>
  <c r="AJ118" i="23"/>
  <c r="AJ138" i="23"/>
  <c r="AJ87" i="23"/>
  <c r="AJ111" i="23"/>
  <c r="AJ126" i="23"/>
  <c r="AJ142" i="23"/>
  <c r="AJ20" i="23"/>
  <c r="AJ43" i="23"/>
  <c r="AJ26" i="23"/>
  <c r="AJ65" i="23"/>
  <c r="AJ90" i="23"/>
  <c r="AJ104" i="23"/>
  <c r="AJ135" i="23"/>
  <c r="AJ109" i="23"/>
  <c r="AJ141" i="23"/>
  <c r="AJ154" i="23"/>
  <c r="AJ173" i="23"/>
  <c r="AJ186" i="23"/>
  <c r="AJ200" i="23"/>
  <c r="AJ156" i="23"/>
  <c r="AJ170" i="23"/>
  <c r="AJ191" i="23"/>
  <c r="AJ208" i="23"/>
  <c r="AJ223" i="23"/>
  <c r="AJ236" i="23"/>
  <c r="AJ245" i="23"/>
  <c r="AJ263" i="23"/>
  <c r="AJ277" i="23"/>
  <c r="AJ286" i="23"/>
  <c r="AJ300" i="23"/>
  <c r="AJ313" i="23"/>
  <c r="AJ212" i="23"/>
  <c r="AJ234" i="23"/>
  <c r="AJ255" i="23"/>
  <c r="AJ274" i="23"/>
  <c r="AJ296" i="23"/>
  <c r="AJ320" i="23"/>
  <c r="AJ332" i="23"/>
  <c r="AJ342" i="23"/>
  <c r="AJ358" i="23"/>
  <c r="AJ368" i="23"/>
  <c r="AJ379" i="23"/>
  <c r="AJ347" i="23"/>
  <c r="AJ371" i="23"/>
  <c r="AJ27" i="23"/>
  <c r="AJ15" i="23"/>
  <c r="AJ64" i="23"/>
  <c r="AJ68" i="23"/>
  <c r="AJ83" i="23"/>
  <c r="AJ114" i="23"/>
  <c r="AJ147" i="23"/>
  <c r="AJ121" i="23"/>
  <c r="AJ148" i="23"/>
  <c r="AJ162" i="23"/>
  <c r="AJ178" i="23"/>
  <c r="AJ190" i="23"/>
  <c r="AJ206" i="23"/>
  <c r="AJ160" i="23"/>
  <c r="AJ175" i="23"/>
  <c r="AJ197" i="23"/>
  <c r="AJ216" i="23"/>
  <c r="AJ228" i="23"/>
  <c r="AJ240" i="23"/>
  <c r="AJ252" i="23"/>
  <c r="AJ269" i="23"/>
  <c r="AJ280" i="23"/>
  <c r="AJ291" i="23"/>
  <c r="AJ303" i="23"/>
  <c r="AJ316" i="23"/>
  <c r="AJ221" i="23"/>
  <c r="AJ247" i="23"/>
  <c r="AJ260" i="23"/>
  <c r="AJ285" i="23"/>
  <c r="AJ306" i="23"/>
  <c r="AJ325" i="23"/>
  <c r="AJ336" i="23"/>
  <c r="AJ350" i="23"/>
  <c r="AJ363" i="23"/>
  <c r="AJ373" i="23"/>
  <c r="AJ334" i="23"/>
  <c r="AJ353" i="23"/>
  <c r="AJ22" i="23"/>
  <c r="AJ35" i="23"/>
  <c r="AJ53" i="23"/>
  <c r="AJ57" i="23"/>
  <c r="AJ76" i="23"/>
  <c r="AJ96" i="23"/>
  <c r="AJ124" i="23"/>
  <c r="AJ91" i="23"/>
  <c r="AJ129" i="23"/>
  <c r="AJ19" i="23"/>
  <c r="AJ59" i="23"/>
  <c r="AJ81" i="23"/>
  <c r="AJ143" i="23"/>
  <c r="AJ145" i="23"/>
  <c r="AJ177" i="23"/>
  <c r="AJ205" i="23"/>
  <c r="AJ174" i="23"/>
  <c r="AJ214" i="23"/>
  <c r="AJ239" i="23"/>
  <c r="AJ265" i="23"/>
  <c r="AJ289" i="23"/>
  <c r="AJ315" i="23"/>
  <c r="AJ238" i="23"/>
  <c r="AJ276" i="23"/>
  <c r="AJ324" i="23"/>
  <c r="AJ349" i="23"/>
  <c r="AJ372" i="23"/>
  <c r="AJ352" i="23"/>
  <c r="AJ34" i="23"/>
  <c r="AJ46" i="23"/>
  <c r="AJ95" i="23"/>
  <c r="AJ89" i="23"/>
  <c r="AJ150" i="23"/>
  <c r="AJ181" i="23"/>
  <c r="AJ209" i="23"/>
  <c r="AJ184" i="23"/>
  <c r="AJ218" i="23"/>
  <c r="AJ242" i="23"/>
  <c r="AJ271" i="23"/>
  <c r="AJ294" i="23"/>
  <c r="AJ319" i="23"/>
  <c r="AJ249" i="23"/>
  <c r="AJ290" i="23"/>
  <c r="AJ328" i="23"/>
  <c r="AJ354" i="23"/>
  <c r="AJ376" i="23"/>
  <c r="AJ361" i="23"/>
  <c r="AJ42" i="23"/>
  <c r="AJ63" i="23"/>
  <c r="AJ103" i="23"/>
  <c r="AJ105" i="23"/>
  <c r="AJ37" i="23"/>
  <c r="AJ97" i="23"/>
  <c r="AJ152" i="23"/>
  <c r="AJ210" i="23"/>
  <c r="AJ219" i="23"/>
  <c r="AJ272" i="23"/>
  <c r="AR13" i="7"/>
  <c r="AJ39" i="23"/>
  <c r="AJ55" i="23"/>
  <c r="AJ60" i="23"/>
  <c r="AJ78" i="23"/>
  <c r="AJ98" i="23"/>
  <c r="AJ130" i="23"/>
  <c r="AJ101" i="23"/>
  <c r="AJ132" i="23"/>
  <c r="AJ30" i="23"/>
  <c r="AJ36" i="23"/>
  <c r="AJ85" i="23"/>
  <c r="AJ80" i="23"/>
  <c r="AJ149" i="23"/>
  <c r="AJ180" i="23"/>
  <c r="AJ207" i="23"/>
  <c r="AJ179" i="23"/>
  <c r="AJ217" i="23"/>
  <c r="AJ241" i="23"/>
  <c r="AJ270" i="23"/>
  <c r="AJ293" i="23"/>
  <c r="AJ318" i="23"/>
  <c r="AJ248" i="23"/>
  <c r="AJ287" i="23"/>
  <c r="AJ327" i="23"/>
  <c r="AJ351" i="23"/>
  <c r="AJ375" i="23"/>
  <c r="AJ355" i="23"/>
  <c r="AJ40" i="23"/>
  <c r="AJ61" i="23"/>
  <c r="AJ99" i="23"/>
  <c r="AJ102" i="23"/>
  <c r="AJ153" i="23"/>
  <c r="AJ183" i="23"/>
  <c r="AJ155" i="23"/>
  <c r="AJ189" i="23"/>
  <c r="AJ220" i="23"/>
  <c r="AJ244" i="23"/>
  <c r="AJ273" i="23"/>
  <c r="AJ298" i="23"/>
  <c r="AJ322" i="23"/>
  <c r="AJ253" i="23"/>
  <c r="AJ295" i="23"/>
  <c r="AJ330" i="23"/>
  <c r="AJ357" i="23"/>
  <c r="AJ378" i="23"/>
  <c r="AJ370" i="23"/>
  <c r="AJ48" i="23"/>
  <c r="AJ71" i="23"/>
  <c r="AJ108" i="23"/>
  <c r="AJ115" i="23"/>
  <c r="AJ49" i="23"/>
  <c r="AJ110" i="23"/>
  <c r="AJ161" i="23"/>
  <c r="AJ158" i="23"/>
  <c r="AJ227" i="23"/>
  <c r="AJ279" i="23"/>
  <c r="AJ215" i="23"/>
  <c r="AJ304" i="23"/>
  <c r="AJ360" i="23"/>
  <c r="F7" i="23"/>
  <c r="AJ74" i="23"/>
  <c r="AJ128" i="23"/>
  <c r="AJ194" i="23"/>
  <c r="AJ201" i="23"/>
  <c r="AJ257" i="23"/>
  <c r="AJ307" i="23"/>
  <c r="AJ266" i="23"/>
  <c r="AJ339" i="23"/>
  <c r="AJ343" i="23"/>
  <c r="AJ134" i="23"/>
  <c r="AJ58" i="23"/>
  <c r="AJ182" i="23"/>
  <c r="AJ243" i="23"/>
  <c r="AJ321" i="23"/>
  <c r="AJ292" i="23"/>
  <c r="AJ356" i="23"/>
  <c r="AJ362" i="23"/>
  <c r="AJ67" i="23"/>
  <c r="AJ112" i="23"/>
  <c r="AJ187" i="23"/>
  <c r="AJ192" i="23"/>
  <c r="AJ246" i="23"/>
  <c r="AJ301" i="23"/>
  <c r="AJ256" i="23"/>
  <c r="AJ333" i="23"/>
  <c r="AJ326" i="23"/>
  <c r="AJ17" i="23"/>
  <c r="AJ116" i="23"/>
  <c r="AJ54" i="23"/>
  <c r="AJ169" i="23"/>
  <c r="AJ232" i="23"/>
  <c r="AJ225" i="23"/>
  <c r="AJ366" i="23"/>
  <c r="AJ93" i="23"/>
  <c r="AJ202" i="23"/>
  <c r="AJ264" i="23"/>
  <c r="AJ275" i="23"/>
  <c r="AJ348" i="23"/>
  <c r="AJ33" i="23"/>
  <c r="AJ151" i="23"/>
  <c r="AJ131" i="23"/>
  <c r="AJ203" i="23"/>
  <c r="AJ309" i="23"/>
  <c r="AJ340" i="23"/>
  <c r="AJ31" i="23"/>
  <c r="AJ176" i="23"/>
  <c r="AJ237" i="23"/>
  <c r="AJ235" i="23"/>
  <c r="AJ369" i="23"/>
  <c r="AJ24" i="23"/>
  <c r="AJ50" i="23"/>
  <c r="AJ62" i="23"/>
  <c r="AJ75" i="23"/>
  <c r="AJ82" i="23"/>
  <c r="AJ113" i="23"/>
  <c r="AJ146" i="23"/>
  <c r="AJ120" i="23"/>
  <c r="AJ38" i="23"/>
  <c r="AJ70" i="23"/>
  <c r="AJ117" i="23"/>
  <c r="AJ125" i="23"/>
  <c r="AJ164" i="23"/>
  <c r="AJ193" i="23"/>
  <c r="AJ163" i="23"/>
  <c r="AJ198" i="23"/>
  <c r="AJ229" i="23"/>
  <c r="AJ254" i="23"/>
  <c r="AJ281" i="23"/>
  <c r="AJ305" i="23"/>
  <c r="AJ222" i="23"/>
  <c r="AJ262" i="23"/>
  <c r="AJ308" i="23"/>
  <c r="AJ338" i="23"/>
  <c r="AJ364" i="23"/>
  <c r="AJ337" i="23"/>
  <c r="AJ16" i="23"/>
  <c r="AJ56" i="23"/>
  <c r="AJ79" i="23"/>
  <c r="AJ133" i="23"/>
  <c r="AJ136" i="23"/>
  <c r="AJ172" i="23"/>
  <c r="AJ199" i="23"/>
  <c r="AJ168" i="23"/>
  <c r="AJ204" i="23"/>
  <c r="AJ233" i="23"/>
  <c r="AJ261" i="23"/>
  <c r="AJ284" i="23"/>
  <c r="AJ310" i="23"/>
  <c r="AJ230" i="23"/>
  <c r="AJ268" i="23"/>
  <c r="AJ317" i="23"/>
  <c r="AJ341" i="23"/>
  <c r="AJ367" i="23"/>
  <c r="AJ346" i="23"/>
  <c r="AJ380" i="23"/>
  <c r="AJ51" i="23"/>
  <c r="AJ94" i="23"/>
  <c r="AJ140" i="23"/>
  <c r="AJ21" i="23"/>
  <c r="AJ72" i="23"/>
  <c r="AJ119" i="23"/>
  <c r="AJ188" i="23"/>
  <c r="AJ196" i="23"/>
  <c r="AJ250" i="23"/>
  <c r="AJ302" i="23"/>
  <c r="AJ258" i="23"/>
  <c r="AJ335" i="23"/>
  <c r="AJ331" i="23"/>
  <c r="AJ52" i="23"/>
  <c r="AJ123" i="23"/>
  <c r="AJ167" i="23"/>
  <c r="AJ165" i="23"/>
  <c r="AJ231" i="23"/>
  <c r="AJ282" i="23"/>
  <c r="AJ224" i="23"/>
  <c r="AJ311" i="23"/>
  <c r="AJ365" i="23"/>
  <c r="AJ18" i="23"/>
  <c r="AJ88" i="23"/>
  <c r="AJ137" i="23"/>
  <c r="AJ100" i="23"/>
  <c r="AJ185" i="23"/>
  <c r="AJ297" i="23"/>
  <c r="AJ251" i="23"/>
  <c r="AJ329" i="23"/>
  <c r="AJ377" i="23"/>
  <c r="AJ47" i="23"/>
  <c r="AJ107" i="23"/>
  <c r="AJ159" i="23"/>
  <c r="AJ157" i="23"/>
  <c r="AJ226" i="23"/>
  <c r="AJ278" i="23"/>
  <c r="AJ213" i="23"/>
  <c r="AJ299" i="23"/>
  <c r="AJ359" i="23"/>
  <c r="AJ374" i="23"/>
  <c r="AJ69" i="23"/>
  <c r="AJ122" i="23"/>
  <c r="AJ127" i="23"/>
  <c r="AJ166" i="23"/>
  <c r="AJ283" i="23"/>
  <c r="AJ312" i="23"/>
  <c r="AJ25" i="23"/>
  <c r="AJ144" i="23"/>
  <c r="AJ211" i="23"/>
  <c r="AJ314" i="23"/>
  <c r="AJ344" i="23"/>
  <c r="AJ29" i="23"/>
  <c r="AJ84" i="23"/>
  <c r="AJ77" i="23"/>
  <c r="AJ195" i="23"/>
  <c r="AJ259" i="23"/>
  <c r="AJ267" i="23"/>
  <c r="AJ345" i="23"/>
  <c r="AJ139" i="23"/>
  <c r="AJ171" i="23"/>
  <c r="AJ288" i="23"/>
  <c r="AJ323" i="23"/>
  <c r="AY372" i="6"/>
  <c r="AZ372" i="6" s="1"/>
  <c r="AM380" i="6" s="1"/>
  <c r="AM381" i="6" s="1"/>
  <c r="AY380" i="6"/>
  <c r="AZ380" i="6" s="1"/>
  <c r="AY373" i="6"/>
  <c r="AZ373" i="6" s="1"/>
  <c r="AT311" i="6"/>
  <c r="AT328" i="6"/>
  <c r="AT321" i="6"/>
  <c r="AT324" i="6"/>
  <c r="AT314" i="6"/>
  <c r="AT319" i="6"/>
  <c r="AT310" i="6"/>
  <c r="AT317" i="6"/>
  <c r="F174" i="1"/>
  <c r="I174" i="1" s="1"/>
  <c r="D25" i="7"/>
  <c r="AY379" i="6"/>
  <c r="AZ379" i="6" s="1"/>
  <c r="AT21" i="6"/>
  <c r="AY375" i="6"/>
  <c r="AZ375" i="6" s="1"/>
  <c r="AY376" i="6"/>
  <c r="AZ376" i="6" s="1"/>
  <c r="F245" i="1"/>
  <c r="G245" i="1" s="1"/>
  <c r="BW245" i="6" s="1"/>
  <c r="P120" i="1"/>
  <c r="V120" i="1" s="1"/>
  <c r="P106" i="1"/>
  <c r="V106" i="1" s="1"/>
  <c r="T262" i="1"/>
  <c r="AH229" i="1"/>
  <c r="AI383" i="1"/>
  <c r="AH16" i="1"/>
  <c r="AH381" i="1" s="1"/>
  <c r="T379" i="1"/>
  <c r="BR16" i="7"/>
  <c r="BL16" i="7"/>
  <c r="BX16" i="7"/>
  <c r="U12" i="15"/>
  <c r="D16" i="7"/>
  <c r="J11" i="7" s="1"/>
  <c r="U11" i="15" s="1"/>
  <c r="T76" i="1"/>
  <c r="AI382" i="1"/>
  <c r="U383" i="1"/>
  <c r="AD72" i="1"/>
  <c r="AA72" i="1" s="1"/>
  <c r="Z72" i="1" s="1"/>
  <c r="Y72" i="1" s="1"/>
  <c r="P228" i="1"/>
  <c r="V228" i="1" s="1"/>
  <c r="P177" i="1"/>
  <c r="V177" i="1" s="1"/>
  <c r="F177" i="1" s="1"/>
  <c r="P244" i="1"/>
  <c r="V244" i="1" s="1"/>
  <c r="F244" i="1" s="1"/>
  <c r="I244" i="1" s="1"/>
  <c r="P301" i="1"/>
  <c r="V301" i="1" s="1"/>
  <c r="AD293" i="1"/>
  <c r="F183" i="1"/>
  <c r="G183" i="1" s="1"/>
  <c r="BW183" i="6" s="1"/>
  <c r="F180" i="1"/>
  <c r="AA180" i="1" s="1"/>
  <c r="Z180" i="1" s="1"/>
  <c r="Y180" i="1" s="1"/>
  <c r="P305" i="1"/>
  <c r="V305" i="1" s="1"/>
  <c r="F305" i="1" s="1"/>
  <c r="P289" i="1"/>
  <c r="V289" i="1" s="1"/>
  <c r="F289" i="1" s="1"/>
  <c r="P306" i="1"/>
  <c r="V306" i="1" s="1"/>
  <c r="AD219" i="1"/>
  <c r="P204" i="1"/>
  <c r="V204" i="1" s="1"/>
  <c r="F204" i="1" s="1"/>
  <c r="P203" i="1"/>
  <c r="V203" i="1" s="1"/>
  <c r="F203" i="1" s="1"/>
  <c r="P214" i="1"/>
  <c r="V214" i="1" s="1"/>
  <c r="F214" i="1" s="1"/>
  <c r="P247" i="1"/>
  <c r="V247" i="1" s="1"/>
  <c r="F247" i="1" s="1"/>
  <c r="P175" i="1"/>
  <c r="V175" i="1" s="1"/>
  <c r="F175" i="1" s="1"/>
  <c r="AA175" i="1" s="1"/>
  <c r="Z175" i="1" s="1"/>
  <c r="Y175" i="1" s="1"/>
  <c r="P284" i="1"/>
  <c r="V284" i="1" s="1"/>
  <c r="F284" i="1" s="1"/>
  <c r="AA284" i="1" s="1"/>
  <c r="Z284" i="1" s="1"/>
  <c r="Y284" i="1" s="1"/>
  <c r="AD270" i="1"/>
  <c r="P272" i="1"/>
  <c r="V272" i="1" s="1"/>
  <c r="AA74" i="1"/>
  <c r="Z74" i="1" s="1"/>
  <c r="Y74" i="1" s="1"/>
  <c r="AD132" i="1"/>
  <c r="P229" i="1"/>
  <c r="V229" i="1" s="1"/>
  <c r="F229" i="1" s="1"/>
  <c r="G229" i="1" s="1"/>
  <c r="BW229" i="6" s="1"/>
  <c r="P256" i="1"/>
  <c r="V256" i="1" s="1"/>
  <c r="F256" i="1" s="1"/>
  <c r="I256" i="1" s="1"/>
  <c r="P315" i="1"/>
  <c r="V315" i="1" s="1"/>
  <c r="F315" i="1" s="1"/>
  <c r="I315" i="1" s="1"/>
  <c r="P237" i="1"/>
  <c r="V237" i="1" s="1"/>
  <c r="F237" i="1" s="1"/>
  <c r="G237" i="1" s="1"/>
  <c r="BW237" i="6" s="1"/>
  <c r="P199" i="1"/>
  <c r="V199" i="1" s="1"/>
  <c r="F199" i="1" s="1"/>
  <c r="G199" i="1" s="1"/>
  <c r="BW199" i="6" s="1"/>
  <c r="P125" i="1"/>
  <c r="V125" i="1" s="1"/>
  <c r="AA125" i="1" s="1"/>
  <c r="Z125" i="1" s="1"/>
  <c r="Y125" i="1" s="1"/>
  <c r="P277" i="1"/>
  <c r="V277" i="1" s="1"/>
  <c r="F277" i="1" s="1"/>
  <c r="I277" i="1" s="1"/>
  <c r="P168" i="1"/>
  <c r="V168" i="1" s="1"/>
  <c r="P65" i="1"/>
  <c r="V65" i="1" s="1"/>
  <c r="AA65" i="1" s="1"/>
  <c r="Z65" i="1" s="1"/>
  <c r="Y65" i="1" s="1"/>
  <c r="AD261" i="1"/>
  <c r="AA261" i="1" s="1"/>
  <c r="Z261" i="1" s="1"/>
  <c r="Y261" i="1" s="1"/>
  <c r="P359" i="1"/>
  <c r="V359" i="1" s="1"/>
  <c r="F359" i="1" s="1"/>
  <c r="I359" i="1" s="1"/>
  <c r="AD128" i="1"/>
  <c r="T239" i="1"/>
  <c r="S189" i="1"/>
  <c r="R189" i="1" s="1"/>
  <c r="P189" i="1" s="1"/>
  <c r="T154" i="1"/>
  <c r="S154" i="1" s="1"/>
  <c r="R154" i="1" s="1"/>
  <c r="T16" i="1"/>
  <c r="U381" i="1"/>
  <c r="AI381" i="1"/>
  <c r="P231" i="1"/>
  <c r="V231" i="1" s="1"/>
  <c r="F231" i="1" s="1"/>
  <c r="AA231" i="1" s="1"/>
  <c r="Z231" i="1" s="1"/>
  <c r="Y231" i="1" s="1"/>
  <c r="U382" i="1"/>
  <c r="AD295" i="1"/>
  <c r="P122" i="1"/>
  <c r="V122" i="1" s="1"/>
  <c r="AA122" i="1" s="1"/>
  <c r="Z122" i="1" s="1"/>
  <c r="Y122" i="1" s="1"/>
  <c r="P236" i="1"/>
  <c r="P201" i="1"/>
  <c r="V201" i="1" s="1"/>
  <c r="F201" i="1" s="1"/>
  <c r="AA201" i="1" s="1"/>
  <c r="Z201" i="1" s="1"/>
  <c r="Y201" i="1" s="1"/>
  <c r="P299" i="1"/>
  <c r="AD179" i="1"/>
  <c r="AD263" i="1"/>
  <c r="AA263" i="1" s="1"/>
  <c r="Z263" i="1" s="1"/>
  <c r="Y263" i="1" s="1"/>
  <c r="AA129" i="1"/>
  <c r="Z129" i="1" s="1"/>
  <c r="Y129" i="1" s="1"/>
  <c r="AA73" i="1"/>
  <c r="Z73" i="1" s="1"/>
  <c r="Y73" i="1" s="1"/>
  <c r="AA111" i="1"/>
  <c r="Z111" i="1" s="1"/>
  <c r="Y111" i="1" s="1"/>
  <c r="AC10" i="16"/>
  <c r="O10" i="16"/>
  <c r="AH13" i="7"/>
  <c r="O11" i="22"/>
  <c r="AT18" i="6"/>
  <c r="F268" i="1"/>
  <c r="AA268" i="1" s="1"/>
  <c r="Z268" i="1" s="1"/>
  <c r="Y268" i="1" s="1"/>
  <c r="AT19" i="6"/>
  <c r="AA117" i="1"/>
  <c r="Z117" i="1" s="1"/>
  <c r="Y117" i="1" s="1"/>
  <c r="AY78" i="6"/>
  <c r="AY72" i="6"/>
  <c r="AY64" i="6"/>
  <c r="AT44" i="6"/>
  <c r="AZ44" i="6" s="1"/>
  <c r="AT224" i="6"/>
  <c r="AY289" i="6"/>
  <c r="AT195" i="6"/>
  <c r="AY302" i="6"/>
  <c r="AY312" i="6"/>
  <c r="AT32" i="6"/>
  <c r="AT52" i="6"/>
  <c r="AZ52" i="6" s="1"/>
  <c r="AT274" i="6"/>
  <c r="AT295" i="6"/>
  <c r="AY88" i="6"/>
  <c r="AT25" i="6"/>
  <c r="AY73" i="6"/>
  <c r="AT51" i="6"/>
  <c r="AZ51" i="6" s="1"/>
  <c r="P348" i="1"/>
  <c r="V348" i="1" s="1"/>
  <c r="G294" i="1"/>
  <c r="BW294" i="6" s="1"/>
  <c r="AD36" i="1"/>
  <c r="AD346" i="1"/>
  <c r="AY148" i="6"/>
  <c r="AZ148" i="6" s="1"/>
  <c r="W380" i="6" s="1"/>
  <c r="W381" i="6" s="1"/>
  <c r="P36" i="1"/>
  <c r="V36" i="1" s="1"/>
  <c r="I198" i="1"/>
  <c r="AT110" i="6"/>
  <c r="AT101" i="6"/>
  <c r="AT83" i="6"/>
  <c r="AA163" i="1"/>
  <c r="Z163" i="1" s="1"/>
  <c r="Y163" i="1" s="1"/>
  <c r="AD353" i="1"/>
  <c r="G211" i="1"/>
  <c r="BW211" i="6" s="1"/>
  <c r="F371" i="1"/>
  <c r="G371" i="1" s="1"/>
  <c r="BW371" i="6" s="1"/>
  <c r="G265" i="1"/>
  <c r="BW265" i="6" s="1"/>
  <c r="I185" i="1"/>
  <c r="F295" i="1"/>
  <c r="I295" i="1" s="1"/>
  <c r="P52" i="1"/>
  <c r="V52" i="1" s="1"/>
  <c r="P40" i="1"/>
  <c r="V40" i="1" s="1"/>
  <c r="AD39" i="1"/>
  <c r="G282" i="1"/>
  <c r="BW282" i="6" s="1"/>
  <c r="I172" i="1"/>
  <c r="G243" i="1"/>
  <c r="BW243" i="6" s="1"/>
  <c r="I369" i="1"/>
  <c r="AA194" i="1"/>
  <c r="Z194" i="1" s="1"/>
  <c r="Y194" i="1" s="1"/>
  <c r="AA110" i="1"/>
  <c r="Z110" i="1" s="1"/>
  <c r="Y110" i="1" s="1"/>
  <c r="AD356" i="1"/>
  <c r="I176" i="1"/>
  <c r="P345" i="1"/>
  <c r="V345" i="1" s="1"/>
  <c r="I234" i="1"/>
  <c r="AY86" i="6"/>
  <c r="AY69" i="6"/>
  <c r="AY65" i="6"/>
  <c r="AY91" i="6"/>
  <c r="AY71" i="6"/>
  <c r="AY81" i="6"/>
  <c r="AY90" i="6"/>
  <c r="AY83" i="6"/>
  <c r="AY66" i="6"/>
  <c r="AY87" i="6"/>
  <c r="AT64" i="6"/>
  <c r="AT66" i="6"/>
  <c r="AT59" i="6"/>
  <c r="AZ59" i="6" s="1"/>
  <c r="AT72" i="6"/>
  <c r="AT75" i="6"/>
  <c r="AT74" i="6"/>
  <c r="AT50" i="6"/>
  <c r="AZ50" i="6" s="1"/>
  <c r="P380" i="6" s="1"/>
  <c r="P381" i="6" s="1"/>
  <c r="AT43" i="6"/>
  <c r="AZ43" i="6" s="1"/>
  <c r="AT45" i="6"/>
  <c r="AZ45" i="6" s="1"/>
  <c r="AT31" i="6"/>
  <c r="AT22" i="6"/>
  <c r="AY102" i="6"/>
  <c r="V187" i="1"/>
  <c r="F187" i="1" s="1"/>
  <c r="P347" i="1"/>
  <c r="V347" i="1" s="1"/>
  <c r="F347" i="1" s="1"/>
  <c r="F266" i="1"/>
  <c r="G266" i="1" s="1"/>
  <c r="BW266" i="6" s="1"/>
  <c r="AY68" i="6"/>
  <c r="AY89" i="6"/>
  <c r="AY70" i="6"/>
  <c r="AT38" i="6"/>
  <c r="AZ38" i="6" s="1"/>
  <c r="AT33" i="6"/>
  <c r="AY67" i="6"/>
  <c r="AY76" i="6"/>
  <c r="AY80" i="6"/>
  <c r="AY74" i="6"/>
  <c r="P47" i="1"/>
  <c r="V47" i="1" s="1"/>
  <c r="I278" i="1"/>
  <c r="AD51" i="1"/>
  <c r="AA51" i="1" s="1"/>
  <c r="Z51" i="1" s="1"/>
  <c r="Y51" i="1" s="1"/>
  <c r="P48" i="1"/>
  <c r="V48" i="1" s="1"/>
  <c r="AA48" i="1" s="1"/>
  <c r="Z48" i="1" s="1"/>
  <c r="Y48" i="1" s="1"/>
  <c r="AT36" i="6"/>
  <c r="AY84" i="6"/>
  <c r="AY79" i="6"/>
  <c r="AT199" i="6"/>
  <c r="AT244" i="6"/>
  <c r="AY132" i="6"/>
  <c r="AY119" i="6"/>
  <c r="AY310" i="6"/>
  <c r="AY313" i="6"/>
  <c r="AT46" i="6"/>
  <c r="AZ46" i="6" s="1"/>
  <c r="AT65" i="6"/>
  <c r="AT69" i="6"/>
  <c r="AT67" i="6"/>
  <c r="AT62" i="6"/>
  <c r="AZ62" i="6" s="1"/>
  <c r="G217" i="1"/>
  <c r="BW217" i="6" s="1"/>
  <c r="I209" i="1"/>
  <c r="G212" i="1"/>
  <c r="BW212" i="6" s="1"/>
  <c r="AZ58" i="6"/>
  <c r="AY121" i="6"/>
  <c r="AY96" i="6"/>
  <c r="AY115" i="6"/>
  <c r="AY294" i="6"/>
  <c r="J26" i="6"/>
  <c r="P26" i="1" s="1"/>
  <c r="V26" i="1" s="1"/>
  <c r="J27" i="6"/>
  <c r="P27" i="1" s="1"/>
  <c r="V27" i="1" s="1"/>
  <c r="J29" i="6"/>
  <c r="AD29" i="1" s="1"/>
  <c r="J30" i="6"/>
  <c r="P30" i="1" s="1"/>
  <c r="V30" i="1" s="1"/>
  <c r="J138" i="6"/>
  <c r="J151" i="6"/>
  <c r="P151" i="1" s="1"/>
  <c r="V151" i="1" s="1"/>
  <c r="J154" i="6"/>
  <c r="J149" i="6"/>
  <c r="J147" i="6"/>
  <c r="AD147" i="1" s="1"/>
  <c r="J136" i="6"/>
  <c r="J148" i="6"/>
  <c r="AT122" i="6"/>
  <c r="AT78" i="6"/>
  <c r="AT126" i="6"/>
  <c r="AT119" i="6"/>
  <c r="AT102" i="6"/>
  <c r="G307" i="1"/>
  <c r="BW307" i="6" s="1"/>
  <c r="AA307" i="1"/>
  <c r="Z307" i="1" s="1"/>
  <c r="Y307" i="1" s="1"/>
  <c r="P356" i="1"/>
  <c r="V356" i="1" s="1"/>
  <c r="F356" i="1" s="1"/>
  <c r="AD47" i="1"/>
  <c r="AD60" i="1"/>
  <c r="P60" i="1"/>
  <c r="D21" i="7" s="1"/>
  <c r="I307" i="1"/>
  <c r="P43" i="1"/>
  <c r="V43" i="1" s="1"/>
  <c r="J25" i="6"/>
  <c r="AT121" i="6"/>
  <c r="AT80" i="6"/>
  <c r="AA193" i="1"/>
  <c r="Z193" i="1" s="1"/>
  <c r="Y193" i="1" s="1"/>
  <c r="I253" i="1"/>
  <c r="G253" i="1"/>
  <c r="BW253" i="6" s="1"/>
  <c r="J157" i="6"/>
  <c r="AD157" i="1" s="1"/>
  <c r="J145" i="6"/>
  <c r="P145" i="1" s="1"/>
  <c r="V145" i="1" s="1"/>
  <c r="AY125" i="6"/>
  <c r="AY100" i="6"/>
  <c r="AY109" i="6"/>
  <c r="AA176" i="1"/>
  <c r="Z176" i="1" s="1"/>
  <c r="Y176" i="1" s="1"/>
  <c r="P344" i="1"/>
  <c r="V344" i="1" s="1"/>
  <c r="F344" i="1" s="1"/>
  <c r="G304" i="1"/>
  <c r="BW304" i="6" s="1"/>
  <c r="I304" i="1"/>
  <c r="J101" i="6"/>
  <c r="J102" i="6"/>
  <c r="J93" i="6"/>
  <c r="J90" i="6"/>
  <c r="P153" i="1"/>
  <c r="V153" i="1" s="1"/>
  <c r="AD153" i="1"/>
  <c r="V55" i="6"/>
  <c r="AY275" i="6" s="1"/>
  <c r="T55" i="6"/>
  <c r="AY213" i="6" s="1"/>
  <c r="AT103" i="6"/>
  <c r="AT81" i="6"/>
  <c r="AT98" i="6"/>
  <c r="AT79" i="6"/>
  <c r="AT111" i="6"/>
  <c r="AT127" i="6"/>
  <c r="AT92" i="6"/>
  <c r="AT99" i="6"/>
  <c r="AT105" i="6"/>
  <c r="AT108" i="6"/>
  <c r="AT85" i="6"/>
  <c r="AT90" i="6"/>
  <c r="AT115" i="6"/>
  <c r="AT86" i="6"/>
  <c r="AT123" i="6"/>
  <c r="AT112" i="6"/>
  <c r="AT109" i="6"/>
  <c r="AT82" i="6"/>
  <c r="AZ82" i="6" s="1"/>
  <c r="AT124" i="6"/>
  <c r="AT93" i="6"/>
  <c r="AT118" i="6"/>
  <c r="AT133" i="6"/>
  <c r="AT116" i="6"/>
  <c r="AT87" i="6"/>
  <c r="AT132" i="6"/>
  <c r="AT129" i="6"/>
  <c r="AT120" i="6"/>
  <c r="J87" i="6"/>
  <c r="I250" i="1"/>
  <c r="D26" i="7"/>
  <c r="AY316" i="6"/>
  <c r="AY330" i="6"/>
  <c r="AZ330" i="6" s="1"/>
  <c r="AJ380" i="6" s="1"/>
  <c r="AJ381" i="6" s="1"/>
  <c r="AY354" i="6"/>
  <c r="AZ354" i="6" s="1"/>
  <c r="AY362" i="6"/>
  <c r="AZ362" i="6" s="1"/>
  <c r="AY332" i="6"/>
  <c r="AZ332" i="6" s="1"/>
  <c r="AY329" i="6"/>
  <c r="AY337" i="6"/>
  <c r="AZ337" i="6" s="1"/>
  <c r="AY331" i="6"/>
  <c r="AZ331" i="6" s="1"/>
  <c r="AY342" i="6"/>
  <c r="AZ342" i="6" s="1"/>
  <c r="AY352" i="6"/>
  <c r="AZ352" i="6" s="1"/>
  <c r="AY320" i="6"/>
  <c r="AY350" i="6"/>
  <c r="AZ350" i="6" s="1"/>
  <c r="AY343" i="6"/>
  <c r="AZ343" i="6" s="1"/>
  <c r="AY365" i="6"/>
  <c r="AZ365" i="6" s="1"/>
  <c r="AY360" i="6"/>
  <c r="AZ360" i="6" s="1"/>
  <c r="AY317" i="6"/>
  <c r="AD348" i="1"/>
  <c r="AD40" i="1"/>
  <c r="P39" i="1"/>
  <c r="V39" i="1" s="1"/>
  <c r="AD345" i="1"/>
  <c r="I212" i="1"/>
  <c r="I254" i="1"/>
  <c r="AT125" i="6"/>
  <c r="AT89" i="6"/>
  <c r="AT128" i="6"/>
  <c r="AT130" i="6"/>
  <c r="AT91" i="6"/>
  <c r="AT97" i="6"/>
  <c r="AT88" i="6"/>
  <c r="AT113" i="6"/>
  <c r="AT100" i="6"/>
  <c r="AT107" i="6"/>
  <c r="J104" i="6"/>
  <c r="AT95" i="6"/>
  <c r="J79" i="6"/>
  <c r="AT96" i="6"/>
  <c r="AY143" i="6"/>
  <c r="AZ143" i="6" s="1"/>
  <c r="AY147" i="6"/>
  <c r="AZ147" i="6" s="1"/>
  <c r="AY93" i="6"/>
  <c r="V207" i="1"/>
  <c r="F207" i="1" s="1"/>
  <c r="AT17" i="6"/>
  <c r="AY130" i="6"/>
  <c r="AY106" i="6"/>
  <c r="AY95" i="6"/>
  <c r="AY146" i="6"/>
  <c r="AZ146" i="6" s="1"/>
  <c r="AY110" i="6"/>
  <c r="AY129" i="6"/>
  <c r="AY145" i="6"/>
  <c r="AZ145" i="6" s="1"/>
  <c r="AY114" i="6"/>
  <c r="AZ114" i="6" s="1"/>
  <c r="AY144" i="6"/>
  <c r="AZ144" i="6" s="1"/>
  <c r="AY118" i="6"/>
  <c r="AY136" i="6"/>
  <c r="AZ136" i="6" s="1"/>
  <c r="AY135" i="6"/>
  <c r="AZ135" i="6" s="1"/>
  <c r="G194" i="1"/>
  <c r="BW194" i="6" s="1"/>
  <c r="I194" i="1"/>
  <c r="AA254" i="1"/>
  <c r="Z254" i="1" s="1"/>
  <c r="Y254" i="1" s="1"/>
  <c r="I310" i="1"/>
  <c r="AJ9" i="15"/>
  <c r="AJ11" i="15" s="1"/>
  <c r="G273" i="1"/>
  <c r="BW273" i="6" s="1"/>
  <c r="I273" i="1"/>
  <c r="AA108" i="1"/>
  <c r="Z108" i="1" s="1"/>
  <c r="Y108" i="1" s="1"/>
  <c r="J155" i="6"/>
  <c r="J142" i="6"/>
  <c r="J159" i="6"/>
  <c r="J139" i="6"/>
  <c r="J160" i="6"/>
  <c r="J141" i="6"/>
  <c r="AY137" i="6"/>
  <c r="AZ137" i="6" s="1"/>
  <c r="AY120" i="6"/>
  <c r="AT309" i="6"/>
  <c r="AT242" i="6"/>
  <c r="AT206" i="6"/>
  <c r="AT223" i="6"/>
  <c r="AT215" i="6"/>
  <c r="AT203" i="6"/>
  <c r="AT239" i="6"/>
  <c r="AT282" i="6"/>
  <c r="AT280" i="6"/>
  <c r="AT293" i="6"/>
  <c r="AT278" i="6"/>
  <c r="AT289" i="6"/>
  <c r="AT214" i="6"/>
  <c r="AT197" i="6"/>
  <c r="AT297" i="6"/>
  <c r="AT284" i="6"/>
  <c r="AT300" i="6"/>
  <c r="AT20" i="6"/>
  <c r="AT196" i="6"/>
  <c r="AT213" i="6"/>
  <c r="AT16" i="6"/>
  <c r="AY99" i="6"/>
  <c r="AY133" i="6"/>
  <c r="AY98" i="6"/>
  <c r="AY134" i="6"/>
  <c r="AZ134" i="6" s="1"/>
  <c r="V380" i="6" s="1"/>
  <c r="V381" i="6" s="1"/>
  <c r="AT202" i="6"/>
  <c r="AT229" i="6"/>
  <c r="AT236" i="6"/>
  <c r="AT222" i="6"/>
  <c r="AT198" i="6"/>
  <c r="AT208" i="6"/>
  <c r="AT235" i="6"/>
  <c r="M55" i="6"/>
  <c r="AY23" i="6" s="1"/>
  <c r="AY128" i="6"/>
  <c r="AY97" i="6"/>
  <c r="AY117" i="6"/>
  <c r="AY124" i="6"/>
  <c r="AY116" i="6"/>
  <c r="AY127" i="6"/>
  <c r="AY311" i="6"/>
  <c r="AY293" i="6"/>
  <c r="AY112" i="6"/>
  <c r="AY123" i="6"/>
  <c r="AY131" i="6"/>
  <c r="AY94" i="6"/>
  <c r="AY113" i="6"/>
  <c r="AY290" i="6"/>
  <c r="AY105" i="6"/>
  <c r="AY92" i="6"/>
  <c r="J97" i="6"/>
  <c r="J94" i="6"/>
  <c r="J80" i="6"/>
  <c r="J81" i="6"/>
  <c r="J103" i="6"/>
  <c r="J105" i="6"/>
  <c r="J99" i="6"/>
  <c r="J89" i="6"/>
  <c r="J98" i="6"/>
  <c r="J96" i="6"/>
  <c r="J82" i="6"/>
  <c r="J88" i="6"/>
  <c r="J78" i="6"/>
  <c r="J92" i="6"/>
  <c r="J144" i="6"/>
  <c r="J86" i="6"/>
  <c r="J91" i="6"/>
  <c r="J161" i="6"/>
  <c r="J84" i="6"/>
  <c r="J100" i="6"/>
  <c r="AY126" i="6"/>
  <c r="AY138" i="6"/>
  <c r="AZ138" i="6" s="1"/>
  <c r="AY142" i="6"/>
  <c r="AZ142" i="6" s="1"/>
  <c r="J140" i="6"/>
  <c r="J134" i="6"/>
  <c r="J150" i="6"/>
  <c r="J143" i="6"/>
  <c r="J158" i="6"/>
  <c r="J146" i="6"/>
  <c r="J152" i="6"/>
  <c r="AY141" i="6"/>
  <c r="AZ141" i="6" s="1"/>
  <c r="AY122" i="6"/>
  <c r="AT117" i="6"/>
  <c r="AT106" i="6"/>
  <c r="AT104" i="6"/>
  <c r="AT84" i="6"/>
  <c r="AT94" i="6"/>
  <c r="AY139" i="6"/>
  <c r="AZ139" i="6" s="1"/>
  <c r="AT131" i="6"/>
  <c r="J85" i="6"/>
  <c r="J95" i="6"/>
  <c r="J137" i="6"/>
  <c r="J156" i="6"/>
  <c r="J135" i="6"/>
  <c r="AY140" i="6"/>
  <c r="AZ140" i="6" s="1"/>
  <c r="J83" i="6"/>
  <c r="AA195" i="1"/>
  <c r="Z195" i="1" s="1"/>
  <c r="Y195" i="1" s="1"/>
  <c r="I195" i="1"/>
  <c r="G195" i="1"/>
  <c r="BW195" i="6" s="1"/>
  <c r="V249" i="1"/>
  <c r="F249" i="1" s="1"/>
  <c r="V215" i="1"/>
  <c r="F215" i="1" s="1"/>
  <c r="V248" i="1"/>
  <c r="F248" i="1" s="1"/>
  <c r="V264" i="1"/>
  <c r="F264" i="1" s="1"/>
  <c r="V225" i="1"/>
  <c r="F225" i="1" s="1"/>
  <c r="V251" i="1"/>
  <c r="F251" i="1" s="1"/>
  <c r="V216" i="1"/>
  <c r="F216" i="1" s="1"/>
  <c r="V270" i="1"/>
  <c r="F270" i="1" s="1"/>
  <c r="V205" i="1"/>
  <c r="F205" i="1" s="1"/>
  <c r="I202" i="1"/>
  <c r="G202" i="1"/>
  <c r="BW202" i="6" s="1"/>
  <c r="AA202" i="1"/>
  <c r="Z202" i="1" s="1"/>
  <c r="Y202" i="1" s="1"/>
  <c r="I233" i="1"/>
  <c r="G233" i="1"/>
  <c r="BW233" i="6" s="1"/>
  <c r="AA70" i="1"/>
  <c r="Z70" i="1" s="1"/>
  <c r="Y70" i="1" s="1"/>
  <c r="V246" i="1"/>
  <c r="F246" i="1" s="1"/>
  <c r="G255" i="1"/>
  <c r="BW255" i="6" s="1"/>
  <c r="AY298" i="6"/>
  <c r="AY299" i="6"/>
  <c r="AY309" i="6"/>
  <c r="AY304" i="6"/>
  <c r="AY315" i="6"/>
  <c r="AY295" i="6"/>
  <c r="AY307" i="6"/>
  <c r="AT217" i="6"/>
  <c r="AT245" i="6"/>
  <c r="AT233" i="6"/>
  <c r="AT218" i="6"/>
  <c r="AT192" i="6"/>
  <c r="AT220" i="6"/>
  <c r="AT29" i="6"/>
  <c r="AT37" i="6"/>
  <c r="AZ37" i="6" s="1"/>
  <c r="AT48" i="6"/>
  <c r="AZ48" i="6" s="1"/>
  <c r="AT35" i="6"/>
  <c r="AT26" i="6"/>
  <c r="AT219" i="6"/>
  <c r="AT221" i="6"/>
  <c r="AT205" i="6"/>
  <c r="AT234" i="6"/>
  <c r="AT241" i="6"/>
  <c r="AT201" i="6"/>
  <c r="AT191" i="6"/>
  <c r="AT228" i="6"/>
  <c r="AT237" i="6"/>
  <c r="AT49" i="6"/>
  <c r="AZ49" i="6" s="1"/>
  <c r="AT47" i="6"/>
  <c r="AZ47" i="6" s="1"/>
  <c r="AT40" i="6"/>
  <c r="AZ40" i="6" s="1"/>
  <c r="AT39" i="6"/>
  <c r="AZ39" i="6" s="1"/>
  <c r="AT30" i="6"/>
  <c r="AT34" i="6"/>
  <c r="AT27" i="6"/>
  <c r="AT225" i="6"/>
  <c r="AT231" i="6"/>
  <c r="AT243" i="6"/>
  <c r="AT23" i="6"/>
  <c r="AT28" i="6"/>
  <c r="AT238" i="6"/>
  <c r="J21" i="6"/>
  <c r="J17" i="6"/>
  <c r="J33" i="6"/>
  <c r="J15" i="6"/>
  <c r="J18" i="6"/>
  <c r="J19" i="6"/>
  <c r="J28" i="6"/>
  <c r="J35" i="6"/>
  <c r="J24" i="6"/>
  <c r="J22" i="6"/>
  <c r="J20" i="6"/>
  <c r="J31" i="6"/>
  <c r="J23" i="6"/>
  <c r="J32" i="6"/>
  <c r="AY303" i="6"/>
  <c r="AY306" i="6"/>
  <c r="AY308" i="6"/>
  <c r="AY301" i="6"/>
  <c r="AT230" i="6"/>
  <c r="AT209" i="6"/>
  <c r="AT212" i="6"/>
  <c r="AT226" i="6"/>
  <c r="AT240" i="6"/>
  <c r="AT194" i="6"/>
  <c r="AT216" i="6"/>
  <c r="AT193" i="6"/>
  <c r="AT210" i="6"/>
  <c r="AT190" i="6"/>
  <c r="AY305" i="6"/>
  <c r="AY292" i="6"/>
  <c r="AY314" i="6"/>
  <c r="AY297" i="6"/>
  <c r="AY291" i="6"/>
  <c r="AY296" i="6"/>
  <c r="J34" i="6"/>
  <c r="AY104" i="6"/>
  <c r="AY101" i="6"/>
  <c r="AY103" i="6"/>
  <c r="AY108" i="6"/>
  <c r="AY111" i="6"/>
  <c r="AY107" i="6"/>
  <c r="AY300" i="6"/>
  <c r="AY288" i="6"/>
  <c r="AT207" i="6"/>
  <c r="AT200" i="6"/>
  <c r="AT227" i="6"/>
  <c r="AT211" i="6"/>
  <c r="AT232" i="6"/>
  <c r="AT41" i="6"/>
  <c r="AZ41" i="6" s="1"/>
  <c r="AT24" i="6"/>
  <c r="AY85" i="6"/>
  <c r="AT73" i="6"/>
  <c r="AT56" i="6"/>
  <c r="AZ56" i="6" s="1"/>
  <c r="AT77" i="6"/>
  <c r="AT57" i="6"/>
  <c r="AZ57" i="6" s="1"/>
  <c r="AT71" i="6"/>
  <c r="AT76" i="6"/>
  <c r="AT68" i="6"/>
  <c r="AT60" i="6"/>
  <c r="AZ60" i="6" s="1"/>
  <c r="AT55" i="6"/>
  <c r="AZ55" i="6" s="1"/>
  <c r="AT61" i="6"/>
  <c r="AZ61" i="6" s="1"/>
  <c r="AT70" i="6"/>
  <c r="AT53" i="6"/>
  <c r="AZ53" i="6" s="1"/>
  <c r="AT63" i="6"/>
  <c r="AZ63" i="6" s="1"/>
  <c r="AT54" i="6"/>
  <c r="AZ54" i="6" s="1"/>
  <c r="AY75" i="6"/>
  <c r="AT42" i="6"/>
  <c r="AZ42" i="6" s="1"/>
  <c r="AY319" i="6"/>
  <c r="AY369" i="6"/>
  <c r="AZ369" i="6" s="1"/>
  <c r="AY345" i="6"/>
  <c r="AZ345" i="6" s="1"/>
  <c r="AY340" i="6"/>
  <c r="AZ340" i="6" s="1"/>
  <c r="AY335" i="6"/>
  <c r="AZ335" i="6" s="1"/>
  <c r="AY328" i="6"/>
  <c r="AY341" i="6"/>
  <c r="AZ341" i="6" s="1"/>
  <c r="AY324" i="6"/>
  <c r="AY367" i="6"/>
  <c r="AZ367" i="6" s="1"/>
  <c r="AY346" i="6"/>
  <c r="AZ346" i="6" s="1"/>
  <c r="AY356" i="6"/>
  <c r="AZ356" i="6" s="1"/>
  <c r="AY363" i="6"/>
  <c r="AZ363" i="6" s="1"/>
  <c r="AY338" i="6"/>
  <c r="AZ338" i="6" s="1"/>
  <c r="AY349" i="6"/>
  <c r="AZ349" i="6" s="1"/>
  <c r="AY361" i="6"/>
  <c r="AZ361" i="6" s="1"/>
  <c r="AT313" i="6"/>
  <c r="AT323" i="6"/>
  <c r="AT318" i="6"/>
  <c r="AT320" i="6"/>
  <c r="AT307" i="6"/>
  <c r="AT316" i="6"/>
  <c r="AT322" i="6"/>
  <c r="AT275" i="6"/>
  <c r="AT301" i="6"/>
  <c r="AT283" i="6"/>
  <c r="AT285" i="6"/>
  <c r="AT288" i="6"/>
  <c r="AT277" i="6"/>
  <c r="AT294" i="6"/>
  <c r="AT292" i="6"/>
  <c r="AT290" i="6"/>
  <c r="AT279" i="6"/>
  <c r="F170" i="1"/>
  <c r="AA170" i="1" s="1"/>
  <c r="Z170" i="1" s="1"/>
  <c r="Y170" i="1" s="1"/>
  <c r="I224" i="1"/>
  <c r="AA224" i="1"/>
  <c r="Z224" i="1" s="1"/>
  <c r="Y224" i="1" s="1"/>
  <c r="I292" i="1"/>
  <c r="G292" i="1"/>
  <c r="BW292" i="6" s="1"/>
  <c r="G221" i="1"/>
  <c r="BW221" i="6" s="1"/>
  <c r="I182" i="1"/>
  <c r="G182" i="1"/>
  <c r="BW182" i="6" s="1"/>
  <c r="AA178" i="1"/>
  <c r="Z178" i="1" s="1"/>
  <c r="Y178" i="1" s="1"/>
  <c r="AA173" i="1"/>
  <c r="Z173" i="1" s="1"/>
  <c r="Y173" i="1" s="1"/>
  <c r="G242" i="1"/>
  <c r="BW242" i="6" s="1"/>
  <c r="I242" i="1"/>
  <c r="AA242" i="1"/>
  <c r="Z242" i="1" s="1"/>
  <c r="Y242" i="1" s="1"/>
  <c r="AA240" i="1"/>
  <c r="Z240" i="1" s="1"/>
  <c r="Y240" i="1" s="1"/>
  <c r="I358" i="1"/>
  <c r="AA358" i="1"/>
  <c r="Z358" i="1" s="1"/>
  <c r="Y358" i="1" s="1"/>
  <c r="G358" i="1"/>
  <c r="BW358" i="6" s="1"/>
  <c r="I222" i="1"/>
  <c r="G222" i="1"/>
  <c r="BW222" i="6" s="1"/>
  <c r="AA222" i="1"/>
  <c r="Z222" i="1" s="1"/>
  <c r="Y222" i="1" s="1"/>
  <c r="G263" i="1"/>
  <c r="BW263" i="6" s="1"/>
  <c r="I263" i="1"/>
  <c r="I297" i="1"/>
  <c r="AA297" i="1"/>
  <c r="Z297" i="1" s="1"/>
  <c r="Y297" i="1" s="1"/>
  <c r="G297" i="1"/>
  <c r="BW297" i="6" s="1"/>
  <c r="I230" i="1"/>
  <c r="AA286" i="1"/>
  <c r="Z286" i="1" s="1"/>
  <c r="Y286" i="1" s="1"/>
  <c r="I286" i="1"/>
  <c r="G286" i="1"/>
  <c r="BW286" i="6" s="1"/>
  <c r="I283" i="1"/>
  <c r="I220" i="1"/>
  <c r="G220" i="1"/>
  <c r="BW220" i="6" s="1"/>
  <c r="AD58" i="1"/>
  <c r="P58" i="1"/>
  <c r="V58" i="1" s="1"/>
  <c r="P55" i="1"/>
  <c r="V55" i="1" s="1"/>
  <c r="AD55" i="1"/>
  <c r="AD37" i="1"/>
  <c r="P37" i="1"/>
  <c r="V37" i="1" s="1"/>
  <c r="AD331" i="1"/>
  <c r="P331" i="1"/>
  <c r="V331" i="1" s="1"/>
  <c r="P316" i="1"/>
  <c r="AD316" i="1"/>
  <c r="AD317" i="1"/>
  <c r="P317" i="1"/>
  <c r="G261" i="1"/>
  <c r="BW261" i="6" s="1"/>
  <c r="I261" i="1"/>
  <c r="P42" i="1"/>
  <c r="V42" i="1" s="1"/>
  <c r="AD42" i="1"/>
  <c r="P53" i="1"/>
  <c r="V53" i="1" s="1"/>
  <c r="AD53" i="1"/>
  <c r="AD57" i="1"/>
  <c r="P57" i="1"/>
  <c r="V57" i="1" s="1"/>
  <c r="P61" i="1"/>
  <c r="V61" i="1" s="1"/>
  <c r="AD61" i="1"/>
  <c r="AD326" i="1"/>
  <c r="P326" i="1"/>
  <c r="AD328" i="1"/>
  <c r="P328" i="1"/>
  <c r="P343" i="1"/>
  <c r="V343" i="1" s="1"/>
  <c r="AD343" i="1"/>
  <c r="AR12" i="6"/>
  <c r="AS15" i="6"/>
  <c r="AR13" i="6"/>
  <c r="AY368" i="6"/>
  <c r="AZ368" i="6" s="1"/>
  <c r="AY357" i="6"/>
  <c r="AZ357" i="6" s="1"/>
  <c r="AY347" i="6"/>
  <c r="AZ347" i="6" s="1"/>
  <c r="AY321" i="6"/>
  <c r="AY351" i="6"/>
  <c r="AZ351" i="6" s="1"/>
  <c r="AY339" i="6"/>
  <c r="AZ339" i="6" s="1"/>
  <c r="AY336" i="6"/>
  <c r="AZ336" i="6" s="1"/>
  <c r="AY327" i="6"/>
  <c r="AY322" i="6"/>
  <c r="AY325" i="6"/>
  <c r="AY359" i="6"/>
  <c r="AZ359" i="6" s="1"/>
  <c r="AY334" i="6"/>
  <c r="AZ334" i="6" s="1"/>
  <c r="AD62" i="1"/>
  <c r="P62" i="1"/>
  <c r="V62" i="1" s="1"/>
  <c r="P54" i="1"/>
  <c r="V54" i="1" s="1"/>
  <c r="AD54" i="1"/>
  <c r="AD50" i="1"/>
  <c r="P50" i="1"/>
  <c r="V50" i="1" s="1"/>
  <c r="P357" i="1"/>
  <c r="AD357" i="1"/>
  <c r="P349" i="1"/>
  <c r="V349" i="1" s="1"/>
  <c r="AD349" i="1"/>
  <c r="P336" i="1"/>
  <c r="V336" i="1" s="1"/>
  <c r="AD336" i="1"/>
  <c r="V298" i="1"/>
  <c r="F298" i="1" s="1"/>
  <c r="P325" i="1"/>
  <c r="V325" i="1" s="1"/>
  <c r="AD325" i="1"/>
  <c r="V360" i="1"/>
  <c r="F360" i="1" s="1"/>
  <c r="AD335" i="1"/>
  <c r="P335" i="1"/>
  <c r="AT325" i="6"/>
  <c r="AT315" i="6"/>
  <c r="AT305" i="6"/>
  <c r="AT306" i="6"/>
  <c r="AT312" i="6"/>
  <c r="AT327" i="6"/>
  <c r="AT302" i="6"/>
  <c r="AT287" i="6"/>
  <c r="AT286" i="6"/>
  <c r="AT291" i="6"/>
  <c r="P320" i="1"/>
  <c r="AD320" i="1"/>
  <c r="V363" i="1"/>
  <c r="F363" i="1" s="1"/>
  <c r="V353" i="1"/>
  <c r="F353" i="1" s="1"/>
  <c r="P318" i="1"/>
  <c r="AD318" i="1"/>
  <c r="AX13" i="6"/>
  <c r="AY36" i="6"/>
  <c r="AX12" i="6"/>
  <c r="P59" i="1"/>
  <c r="V59" i="1" s="1"/>
  <c r="AD59" i="1"/>
  <c r="AD41" i="1"/>
  <c r="P41" i="1"/>
  <c r="V41" i="1" s="1"/>
  <c r="P49" i="1"/>
  <c r="V49" i="1" s="1"/>
  <c r="AD49" i="1"/>
  <c r="AD351" i="1"/>
  <c r="P351" i="1"/>
  <c r="V351" i="1" s="1"/>
  <c r="P319" i="1"/>
  <c r="V319" i="1" s="1"/>
  <c r="AD319" i="1"/>
  <c r="F291" i="1"/>
  <c r="P339" i="1"/>
  <c r="V339" i="1" s="1"/>
  <c r="AD339" i="1"/>
  <c r="P327" i="1"/>
  <c r="V327" i="1" s="1"/>
  <c r="AD327" i="1"/>
  <c r="AD340" i="1"/>
  <c r="P340" i="1"/>
  <c r="V340" i="1" s="1"/>
  <c r="P350" i="1"/>
  <c r="V350" i="1" s="1"/>
  <c r="AD350" i="1"/>
  <c r="P341" i="1"/>
  <c r="AD341" i="1"/>
  <c r="AD342" i="1"/>
  <c r="P342" i="1"/>
  <c r="P38" i="1"/>
  <c r="V38" i="1" s="1"/>
  <c r="AD38" i="1"/>
  <c r="AD56" i="1"/>
  <c r="P56" i="1"/>
  <c r="V56" i="1" s="1"/>
  <c r="AD45" i="1"/>
  <c r="P45" i="1"/>
  <c r="V45" i="1" s="1"/>
  <c r="AD63" i="1"/>
  <c r="P63" i="1"/>
  <c r="V63" i="1" s="1"/>
  <c r="P338" i="1"/>
  <c r="AD338" i="1"/>
  <c r="F293" i="1"/>
  <c r="P324" i="1"/>
  <c r="AD324" i="1"/>
  <c r="V366" i="1"/>
  <c r="F366" i="1" s="1"/>
  <c r="F375" i="1"/>
  <c r="P333" i="1"/>
  <c r="V333" i="1" s="1"/>
  <c r="AD333" i="1"/>
  <c r="AY370" i="6"/>
  <c r="AZ370" i="6" s="1"/>
  <c r="AY323" i="6"/>
  <c r="AY344" i="6"/>
  <c r="AZ344" i="6" s="1"/>
  <c r="AK380" i="6" s="1"/>
  <c r="AK381" i="6" s="1"/>
  <c r="AY358" i="6"/>
  <c r="AZ358" i="6" s="1"/>
  <c r="AL380" i="6" s="1"/>
  <c r="AL381" i="6" s="1"/>
  <c r="AY333" i="6"/>
  <c r="AZ333" i="6" s="1"/>
  <c r="AY366" i="6"/>
  <c r="AZ366" i="6" s="1"/>
  <c r="AY326" i="6"/>
  <c r="AY371" i="6"/>
  <c r="AZ371" i="6" s="1"/>
  <c r="AY348" i="6"/>
  <c r="AZ348" i="6" s="1"/>
  <c r="AY353" i="6"/>
  <c r="AZ353" i="6" s="1"/>
  <c r="AY318" i="6"/>
  <c r="AY355" i="6"/>
  <c r="AZ355" i="6" s="1"/>
  <c r="AY364" i="6"/>
  <c r="AZ364" i="6" s="1"/>
  <c r="P46" i="1"/>
  <c r="V46" i="1" s="1"/>
  <c r="AD46" i="1"/>
  <c r="AD44" i="1"/>
  <c r="P44" i="1"/>
  <c r="P330" i="1"/>
  <c r="AD330" i="1"/>
  <c r="AD322" i="1"/>
  <c r="P322" i="1"/>
  <c r="V322" i="1" s="1"/>
  <c r="P352" i="1"/>
  <c r="V352" i="1" s="1"/>
  <c r="AD352" i="1"/>
  <c r="P332" i="1"/>
  <c r="V332" i="1" s="1"/>
  <c r="AD332" i="1"/>
  <c r="AD334" i="1"/>
  <c r="P334" i="1"/>
  <c r="AD337" i="1"/>
  <c r="P337" i="1"/>
  <c r="V337" i="1" s="1"/>
  <c r="AD354" i="1"/>
  <c r="P354" i="1"/>
  <c r="P321" i="1"/>
  <c r="AD321" i="1"/>
  <c r="AT326" i="6"/>
  <c r="AT329" i="6"/>
  <c r="AT308" i="6"/>
  <c r="AT303" i="6"/>
  <c r="AT304" i="6"/>
  <c r="AT298" i="6"/>
  <c r="AT276" i="6"/>
  <c r="AT299" i="6"/>
  <c r="AT296" i="6"/>
  <c r="AT281" i="6"/>
  <c r="V346" i="1"/>
  <c r="F346" i="1" s="1"/>
  <c r="F312" i="1"/>
  <c r="P323" i="1"/>
  <c r="V323" i="1" s="1"/>
  <c r="AD323" i="1"/>
  <c r="P329" i="1"/>
  <c r="AD329" i="1"/>
  <c r="AA71" i="1" l="1"/>
  <c r="Z71" i="1" s="1"/>
  <c r="Y71" i="1" s="1"/>
  <c r="F313" i="1"/>
  <c r="G281" i="1"/>
  <c r="BW281" i="6" s="1"/>
  <c r="I287" i="1"/>
  <c r="D29" i="7"/>
  <c r="I218" i="1"/>
  <c r="I173" i="1"/>
  <c r="I378" i="1"/>
  <c r="AA221" i="1"/>
  <c r="Z221" i="1" s="1"/>
  <c r="Y221" i="1" s="1"/>
  <c r="G303" i="1"/>
  <c r="BW303" i="6" s="1"/>
  <c r="AA198" i="1"/>
  <c r="Z198" i="1" s="1"/>
  <c r="Y198" i="1" s="1"/>
  <c r="F226" i="1"/>
  <c r="AA226" i="1" s="1"/>
  <c r="Z226" i="1" s="1"/>
  <c r="Y226" i="1" s="1"/>
  <c r="AA177" i="1"/>
  <c r="Z177" i="1" s="1"/>
  <c r="Y177" i="1" s="1"/>
  <c r="AA106" i="1"/>
  <c r="Z106" i="1" s="1"/>
  <c r="Y106" i="1" s="1"/>
  <c r="AA243" i="1"/>
  <c r="Z243" i="1" s="1"/>
  <c r="Y243" i="1" s="1"/>
  <c r="AA69" i="1"/>
  <c r="Z69" i="1" s="1"/>
  <c r="Y69" i="1" s="1"/>
  <c r="F267" i="1"/>
  <c r="G267" i="1" s="1"/>
  <c r="BW267" i="6" s="1"/>
  <c r="AA211" i="1"/>
  <c r="Z211" i="1" s="1"/>
  <c r="Y211" i="1" s="1"/>
  <c r="AA116" i="1"/>
  <c r="Z116" i="1" s="1"/>
  <c r="Y116" i="1" s="1"/>
  <c r="F296" i="1"/>
  <c r="I296" i="1" s="1"/>
  <c r="AA287" i="1"/>
  <c r="Z287" i="1" s="1"/>
  <c r="Y287" i="1" s="1"/>
  <c r="F370" i="1"/>
  <c r="G370" i="1" s="1"/>
  <c r="BW370" i="6" s="1"/>
  <c r="G218" i="1"/>
  <c r="BW218" i="6" s="1"/>
  <c r="G178" i="1"/>
  <c r="BW178" i="6" s="1"/>
  <c r="G193" i="1"/>
  <c r="BW193" i="6" s="1"/>
  <c r="AA303" i="1"/>
  <c r="Z303" i="1" s="1"/>
  <c r="Y303" i="1" s="1"/>
  <c r="AA250" i="1"/>
  <c r="Z250" i="1" s="1"/>
  <c r="Y250" i="1" s="1"/>
  <c r="AA43" i="1"/>
  <c r="Z43" i="1" s="1"/>
  <c r="Y43" i="1" s="1"/>
  <c r="I258" i="1"/>
  <c r="F223" i="1"/>
  <c r="I223" i="1" s="1"/>
  <c r="O15" i="7"/>
  <c r="AA128" i="1"/>
  <c r="Z128" i="1" s="1"/>
  <c r="Y128" i="1" s="1"/>
  <c r="AA168" i="1"/>
  <c r="Z168" i="1" s="1"/>
  <c r="Y168" i="1" s="1"/>
  <c r="F285" i="1"/>
  <c r="G285" i="1" s="1"/>
  <c r="BW285" i="6" s="1"/>
  <c r="F235" i="1"/>
  <c r="I235" i="1" s="1"/>
  <c r="F238" i="1"/>
  <c r="I238" i="1" s="1"/>
  <c r="AA378" i="1"/>
  <c r="Z378" i="1" s="1"/>
  <c r="Y378" i="1" s="1"/>
  <c r="AA123" i="1"/>
  <c r="Z123" i="1" s="1"/>
  <c r="Y123" i="1" s="1"/>
  <c r="AA310" i="1"/>
  <c r="Z310" i="1" s="1"/>
  <c r="Y310" i="1" s="1"/>
  <c r="AA281" i="1"/>
  <c r="Z281" i="1" s="1"/>
  <c r="Y281" i="1" s="1"/>
  <c r="AA120" i="1"/>
  <c r="Z120" i="1" s="1"/>
  <c r="Y120" i="1" s="1"/>
  <c r="AA258" i="1"/>
  <c r="Z258" i="1" s="1"/>
  <c r="Y258" i="1" s="1"/>
  <c r="AA282" i="1"/>
  <c r="Z282" i="1" s="1"/>
  <c r="Y282" i="1" s="1"/>
  <c r="AA230" i="1"/>
  <c r="Z230" i="1" s="1"/>
  <c r="Y230" i="1" s="1"/>
  <c r="AA209" i="1"/>
  <c r="Z209" i="1" s="1"/>
  <c r="Y209" i="1" s="1"/>
  <c r="F210" i="1"/>
  <c r="G210" i="1" s="1"/>
  <c r="BW210" i="6" s="1"/>
  <c r="F181" i="1"/>
  <c r="I181" i="1" s="1"/>
  <c r="AA52" i="1"/>
  <c r="Z52" i="1" s="1"/>
  <c r="Y52" i="1" s="1"/>
  <c r="F257" i="1"/>
  <c r="G257" i="1" s="1"/>
  <c r="BW257" i="6" s="1"/>
  <c r="F186" i="1"/>
  <c r="I186" i="1" s="1"/>
  <c r="F227" i="1"/>
  <c r="I227" i="1" s="1"/>
  <c r="AA68" i="1"/>
  <c r="Z68" i="1" s="1"/>
  <c r="Y68" i="1" s="1"/>
  <c r="AA64" i="1"/>
  <c r="Z64" i="1" s="1"/>
  <c r="Y64" i="1" s="1"/>
  <c r="G171" i="1"/>
  <c r="BW171" i="6" s="1"/>
  <c r="G308" i="1"/>
  <c r="BW308" i="6" s="1"/>
  <c r="AA372" i="1"/>
  <c r="Z372" i="1" s="1"/>
  <c r="Y372" i="1" s="1"/>
  <c r="AA118" i="1"/>
  <c r="Z118" i="1" s="1"/>
  <c r="Y118" i="1" s="1"/>
  <c r="AA308" i="1"/>
  <c r="Z308" i="1" s="1"/>
  <c r="Y308" i="1" s="1"/>
  <c r="F302" i="1"/>
  <c r="G302" i="1" s="1"/>
  <c r="BW302" i="6" s="1"/>
  <c r="I240" i="1"/>
  <c r="AA255" i="1"/>
  <c r="Z255" i="1" s="1"/>
  <c r="Y255" i="1" s="1"/>
  <c r="G290" i="1"/>
  <c r="BW290" i="6" s="1"/>
  <c r="F197" i="1"/>
  <c r="I197" i="1" s="1"/>
  <c r="AA290" i="1"/>
  <c r="Z290" i="1" s="1"/>
  <c r="Y290" i="1" s="1"/>
  <c r="AA132" i="1"/>
  <c r="Z132" i="1" s="1"/>
  <c r="Y132" i="1" s="1"/>
  <c r="F279" i="1"/>
  <c r="G279" i="1" s="1"/>
  <c r="BW279" i="6" s="1"/>
  <c r="V241" i="1"/>
  <c r="F241" i="1" s="1"/>
  <c r="AA241" i="1" s="1"/>
  <c r="Z241" i="1" s="1"/>
  <c r="Y241" i="1" s="1"/>
  <c r="AA171" i="1"/>
  <c r="Z171" i="1" s="1"/>
  <c r="Y171" i="1" s="1"/>
  <c r="E383" i="15"/>
  <c r="Q11" i="18"/>
  <c r="AG11" i="7"/>
  <c r="Q11" i="20" s="1"/>
  <c r="F377" i="1"/>
  <c r="G377" i="1" s="1"/>
  <c r="BW377" i="6" s="1"/>
  <c r="G232" i="1"/>
  <c r="BW232" i="6" s="1"/>
  <c r="I184" i="1"/>
  <c r="AA184" i="1"/>
  <c r="Z184" i="1" s="1"/>
  <c r="Y184" i="1" s="1"/>
  <c r="AA191" i="1"/>
  <c r="Z191" i="1" s="1"/>
  <c r="Y191" i="1" s="1"/>
  <c r="AJ10" i="15"/>
  <c r="AJ12" i="15" s="1"/>
  <c r="AJ13" i="15" s="1"/>
  <c r="F275" i="1"/>
  <c r="I275" i="1" s="1"/>
  <c r="I280" i="1"/>
  <c r="AA232" i="1"/>
  <c r="Z232" i="1" s="1"/>
  <c r="Y232" i="1" s="1"/>
  <c r="AA276" i="1"/>
  <c r="Z276" i="1" s="1"/>
  <c r="Y276" i="1" s="1"/>
  <c r="I241" i="1"/>
  <c r="AA186" i="1"/>
  <c r="Z186" i="1" s="1"/>
  <c r="Y186" i="1" s="1"/>
  <c r="F365" i="1"/>
  <c r="AA365" i="1" s="1"/>
  <c r="Z365" i="1" s="1"/>
  <c r="Y365" i="1" s="1"/>
  <c r="F373" i="1"/>
  <c r="G373" i="1" s="1"/>
  <c r="BW373" i="6" s="1"/>
  <c r="AZ321" i="6"/>
  <c r="AA274" i="1"/>
  <c r="Z274" i="1" s="1"/>
  <c r="Y274" i="1" s="1"/>
  <c r="AA280" i="1"/>
  <c r="Z280" i="1" s="1"/>
  <c r="Y280" i="1" s="1"/>
  <c r="G276" i="1"/>
  <c r="BW276" i="6" s="1"/>
  <c r="AY279" i="6"/>
  <c r="AZ279" i="6" s="1"/>
  <c r="AY263" i="6"/>
  <c r="AZ263" i="6" s="1"/>
  <c r="AZ84" i="6"/>
  <c r="AY233" i="6"/>
  <c r="AZ233" i="6" s="1"/>
  <c r="AA309" i="1"/>
  <c r="Z309" i="1" s="1"/>
  <c r="Y309" i="1" s="1"/>
  <c r="I309" i="1"/>
  <c r="AZ72" i="6"/>
  <c r="AA213" i="1"/>
  <c r="Z213" i="1" s="1"/>
  <c r="Y213" i="1" s="1"/>
  <c r="F260" i="1"/>
  <c r="AA260" i="1" s="1"/>
  <c r="Z260" i="1" s="1"/>
  <c r="Y260" i="1" s="1"/>
  <c r="I274" i="1"/>
  <c r="G191" i="1"/>
  <c r="BW191" i="6" s="1"/>
  <c r="E9" i="15"/>
  <c r="E11" i="15" s="1"/>
  <c r="C12" i="19" s="1"/>
  <c r="AK8" i="15"/>
  <c r="AA188" i="1"/>
  <c r="Z188" i="1" s="1"/>
  <c r="Y188" i="1" s="1"/>
  <c r="I188" i="1"/>
  <c r="G256" i="1"/>
  <c r="BW256" i="6" s="1"/>
  <c r="I213" i="1"/>
  <c r="AJ10" i="17"/>
  <c r="AJ12" i="17" s="1"/>
  <c r="G372" i="1"/>
  <c r="BW372" i="6" s="1"/>
  <c r="I372" i="1"/>
  <c r="AZ289" i="6"/>
  <c r="AZ317" i="6"/>
  <c r="I199" i="1"/>
  <c r="I362" i="1"/>
  <c r="AA130" i="1"/>
  <c r="Z130" i="1" s="1"/>
  <c r="Y130" i="1" s="1"/>
  <c r="G362" i="1"/>
  <c r="BW362" i="6" s="1"/>
  <c r="AA192" i="1"/>
  <c r="Z192" i="1" s="1"/>
  <c r="Y192" i="1" s="1"/>
  <c r="AA219" i="1"/>
  <c r="Z219" i="1" s="1"/>
  <c r="Y219" i="1" s="1"/>
  <c r="E382" i="15"/>
  <c r="E381" i="15"/>
  <c r="F361" i="1"/>
  <c r="I361" i="1" s="1"/>
  <c r="D28" i="7"/>
  <c r="I192" i="1"/>
  <c r="G219" i="1"/>
  <c r="BW219" i="6" s="1"/>
  <c r="F269" i="1"/>
  <c r="I269" i="1" s="1"/>
  <c r="F288" i="1"/>
  <c r="G288" i="1" s="1"/>
  <c r="BW288" i="6" s="1"/>
  <c r="AA208" i="1"/>
  <c r="Z208" i="1" s="1"/>
  <c r="Y208" i="1" s="1"/>
  <c r="I208" i="1"/>
  <c r="V119" i="1"/>
  <c r="AA119" i="1" s="1"/>
  <c r="Z119" i="1" s="1"/>
  <c r="Y119" i="1" s="1"/>
  <c r="L36" i="19"/>
  <c r="AO13" i="7"/>
  <c r="AK23" i="20"/>
  <c r="AK34" i="20"/>
  <c r="AK53" i="20"/>
  <c r="AK68" i="20"/>
  <c r="AK69" i="20"/>
  <c r="AK83" i="20"/>
  <c r="AK125" i="20"/>
  <c r="AK84" i="20"/>
  <c r="AK127" i="20"/>
  <c r="AK158" i="20"/>
  <c r="AK184" i="20"/>
  <c r="AK210" i="20"/>
  <c r="AK191" i="20"/>
  <c r="AK230" i="20"/>
  <c r="AK259" i="20"/>
  <c r="AK296" i="20"/>
  <c r="AK216" i="20"/>
  <c r="AK250" i="20"/>
  <c r="AK282" i="20"/>
  <c r="AK308" i="20"/>
  <c r="AK337" i="20"/>
  <c r="AK366" i="20"/>
  <c r="AK352" i="20"/>
  <c r="AK22" i="20"/>
  <c r="AK52" i="20"/>
  <c r="AK81" i="20"/>
  <c r="AK124" i="20"/>
  <c r="AK123" i="20"/>
  <c r="AK182" i="20"/>
  <c r="AK186" i="20"/>
  <c r="AK257" i="20"/>
  <c r="AK215" i="20"/>
  <c r="AK279" i="20"/>
  <c r="AK41" i="20"/>
  <c r="AK76" i="20"/>
  <c r="AK120" i="20"/>
  <c r="AK114" i="20"/>
  <c r="AK177" i="20"/>
  <c r="AK181" i="20"/>
  <c r="AK252" i="20"/>
  <c r="AK324" i="20"/>
  <c r="AK276" i="20"/>
  <c r="AK330" i="20"/>
  <c r="AK342" i="20"/>
  <c r="AK47" i="20"/>
  <c r="AK109" i="20"/>
  <c r="AK169" i="20"/>
  <c r="AK240" i="20"/>
  <c r="AK269" i="20"/>
  <c r="AK335" i="20"/>
  <c r="AK348" i="20"/>
  <c r="AK61" i="20"/>
  <c r="AK134" i="20"/>
  <c r="AK194" i="20"/>
  <c r="AK266" i="20"/>
  <c r="AK290" i="20"/>
  <c r="AK362" i="20"/>
  <c r="AK37" i="20"/>
  <c r="AK86" i="20"/>
  <c r="AK212" i="20"/>
  <c r="AK303" i="20"/>
  <c r="AK309" i="20"/>
  <c r="AK24" i="20"/>
  <c r="AK62" i="20"/>
  <c r="AK87" i="20"/>
  <c r="AK135" i="20"/>
  <c r="AK140" i="20"/>
  <c r="AK195" i="20"/>
  <c r="AK206" i="20"/>
  <c r="AK268" i="20"/>
  <c r="AK229" i="20"/>
  <c r="AK292" i="20"/>
  <c r="AK347" i="20"/>
  <c r="AK364" i="20"/>
  <c r="AK35" i="20"/>
  <c r="AK146" i="20"/>
  <c r="AK202" i="20"/>
  <c r="AK283" i="20"/>
  <c r="AK299" i="20"/>
  <c r="AK376" i="20"/>
  <c r="AK115" i="20"/>
  <c r="AK325" i="20"/>
  <c r="AK28" i="20"/>
  <c r="AK145" i="20"/>
  <c r="AK236" i="20"/>
  <c r="AK18" i="20"/>
  <c r="AK55" i="20"/>
  <c r="AK75" i="20"/>
  <c r="AK129" i="20"/>
  <c r="AK130" i="20"/>
  <c r="AK188" i="20"/>
  <c r="AK193" i="20"/>
  <c r="AK261" i="20"/>
  <c r="AK221" i="20"/>
  <c r="AK287" i="20"/>
  <c r="AK339" i="20"/>
  <c r="AK356" i="20"/>
  <c r="AK56" i="20"/>
  <c r="AK131" i="20"/>
  <c r="AK189" i="20"/>
  <c r="AK262" i="20"/>
  <c r="AK288" i="20"/>
  <c r="AK357" i="20"/>
  <c r="AK148" i="20"/>
  <c r="AK285" i="20"/>
  <c r="AK378" i="20"/>
  <c r="AK110" i="20"/>
  <c r="AK319" i="20"/>
  <c r="AK380" i="20"/>
  <c r="AK60" i="20"/>
  <c r="AK103" i="20"/>
  <c r="AK164" i="20"/>
  <c r="AK237" i="20"/>
  <c r="AK263" i="20"/>
  <c r="AK370" i="20"/>
  <c r="AK88" i="20"/>
  <c r="AK208" i="20"/>
  <c r="AK320" i="20"/>
  <c r="AK44" i="20"/>
  <c r="AK167" i="20"/>
  <c r="AK265" i="20"/>
  <c r="AK54" i="20"/>
  <c r="AK187" i="20"/>
  <c r="AK286" i="20"/>
  <c r="AK49" i="20"/>
  <c r="AK122" i="20"/>
  <c r="AK179" i="20"/>
  <c r="AK254" i="20"/>
  <c r="AK278" i="20"/>
  <c r="AK346" i="20"/>
  <c r="AK119" i="20"/>
  <c r="AK251" i="20"/>
  <c r="AK341" i="20"/>
  <c r="AK253" i="20"/>
  <c r="AK142" i="20"/>
  <c r="AK372" i="20"/>
  <c r="AK73" i="20"/>
  <c r="AK111" i="20"/>
  <c r="AK175" i="20"/>
  <c r="AK321" i="20"/>
  <c r="AK327" i="20"/>
  <c r="AK40" i="20"/>
  <c r="AK163" i="20"/>
  <c r="AK258" i="20"/>
  <c r="AK96" i="20"/>
  <c r="AK360" i="20"/>
  <c r="AK243" i="20"/>
  <c r="AK79" i="20"/>
  <c r="AK137" i="20"/>
  <c r="AK201" i="20"/>
  <c r="AK227" i="20"/>
  <c r="AK344" i="20"/>
  <c r="AK63" i="20"/>
  <c r="AK196" i="20"/>
  <c r="AK293" i="20"/>
  <c r="AK365" i="20"/>
  <c r="AK102" i="20"/>
  <c r="AK314" i="20"/>
  <c r="AK17" i="20"/>
  <c r="AK128" i="20"/>
  <c r="AK217" i="20"/>
  <c r="AK30" i="20"/>
  <c r="AK98" i="20"/>
  <c r="AK153" i="20"/>
  <c r="AK224" i="20"/>
  <c r="AK247" i="20"/>
  <c r="AK361" i="20"/>
  <c r="AK74" i="20"/>
  <c r="AK180" i="20"/>
  <c r="AK329" i="20"/>
  <c r="AK178" i="20"/>
  <c r="AK21" i="20"/>
  <c r="AK297" i="20"/>
  <c r="AK33" i="20"/>
  <c r="AK143" i="20"/>
  <c r="AK200" i="20"/>
  <c r="AK281" i="20"/>
  <c r="AK298" i="20"/>
  <c r="AK375" i="20"/>
  <c r="AK97" i="20"/>
  <c r="AK306" i="20"/>
  <c r="AK25" i="20"/>
  <c r="AK246" i="20"/>
  <c r="AK172" i="20"/>
  <c r="AK50" i="20"/>
  <c r="AK15" i="20"/>
  <c r="AK89" i="20"/>
  <c r="AK138" i="20"/>
  <c r="AK144" i="20"/>
  <c r="AK197" i="20"/>
  <c r="AK241" i="20"/>
  <c r="AK318" i="20"/>
  <c r="AK270" i="20"/>
  <c r="AK322" i="20"/>
  <c r="AK331" i="20"/>
  <c r="AK31" i="20"/>
  <c r="AK67" i="20"/>
  <c r="AK155" i="20"/>
  <c r="AK209" i="20"/>
  <c r="AK295" i="20"/>
  <c r="AK19" i="20"/>
  <c r="AK95" i="20"/>
  <c r="AK151" i="20"/>
  <c r="AK222" i="20"/>
  <c r="AK284" i="20"/>
  <c r="AK359" i="20"/>
  <c r="AK66" i="20"/>
  <c r="AK166" i="20"/>
  <c r="AK316" i="20"/>
  <c r="AK363" i="20"/>
  <c r="AK82" i="20"/>
  <c r="AK205" i="20"/>
  <c r="AK345" i="20"/>
  <c r="AK85" i="20"/>
  <c r="AK232" i="20"/>
  <c r="AK367" i="20"/>
  <c r="AK64" i="20"/>
  <c r="AK104" i="20"/>
  <c r="AK165" i="20"/>
  <c r="AK315" i="20"/>
  <c r="AK317" i="20"/>
  <c r="AK16" i="20"/>
  <c r="AK150" i="20"/>
  <c r="AK244" i="20"/>
  <c r="AK77" i="20"/>
  <c r="AK332" i="20"/>
  <c r="AK218" i="20"/>
  <c r="AK39" i="20"/>
  <c r="AK92" i="20"/>
  <c r="AK213" i="20"/>
  <c r="AK305" i="20"/>
  <c r="AK310" i="20"/>
  <c r="P12" i="20"/>
  <c r="AK198" i="20"/>
  <c r="AK225" i="20"/>
  <c r="AK59" i="20"/>
  <c r="AK301" i="20"/>
  <c r="AK173" i="20"/>
  <c r="AK42" i="20"/>
  <c r="AK101" i="20"/>
  <c r="AK307" i="20"/>
  <c r="AK26" i="20"/>
  <c r="AK328" i="20"/>
  <c r="AK238" i="20"/>
  <c r="AK126" i="20"/>
  <c r="AK353" i="20"/>
  <c r="AK80" i="20"/>
  <c r="AK185" i="20"/>
  <c r="AK334" i="20"/>
  <c r="AK275" i="20"/>
  <c r="AK121" i="20"/>
  <c r="AK280" i="20"/>
  <c r="F8" i="20"/>
  <c r="AK248" i="20"/>
  <c r="AK336" i="20"/>
  <c r="AK235" i="20"/>
  <c r="AK223" i="20"/>
  <c r="AK333" i="20"/>
  <c r="AK190" i="20"/>
  <c r="AK289" i="20"/>
  <c r="AK136" i="20"/>
  <c r="AK349" i="20"/>
  <c r="AK162" i="20"/>
  <c r="AK313" i="20"/>
  <c r="AK192" i="20"/>
  <c r="AK154" i="20"/>
  <c r="AK291" i="20"/>
  <c r="AK302" i="20"/>
  <c r="AK113" i="20"/>
  <c r="AK48" i="20"/>
  <c r="AK199" i="20"/>
  <c r="AK91" i="20"/>
  <c r="AK219" i="20"/>
  <c r="AK354" i="20"/>
  <c r="AK156" i="20"/>
  <c r="AK152" i="20"/>
  <c r="AK271" i="20"/>
  <c r="AK27" i="20"/>
  <c r="AK71" i="20"/>
  <c r="AK112" i="20"/>
  <c r="AK108" i="20"/>
  <c r="AK171" i="20"/>
  <c r="AK170" i="20"/>
  <c r="AK211" i="20"/>
  <c r="AK274" i="20"/>
  <c r="AK234" i="20"/>
  <c r="AK294" i="20"/>
  <c r="AK350" i="20"/>
  <c r="AK371" i="20"/>
  <c r="AK99" i="20"/>
  <c r="AK157" i="20"/>
  <c r="AK226" i="20"/>
  <c r="AK249" i="20"/>
  <c r="AK43" i="20"/>
  <c r="AK147" i="20"/>
  <c r="AK203" i="20"/>
  <c r="AK245" i="20"/>
  <c r="AK300" i="20"/>
  <c r="AK377" i="20"/>
  <c r="AK105" i="20"/>
  <c r="AK304" i="20"/>
  <c r="AK20" i="20"/>
  <c r="AK139" i="20"/>
  <c r="AK228" i="20"/>
  <c r="AK36" i="20"/>
  <c r="AK160" i="20"/>
  <c r="AK255" i="20"/>
  <c r="AK45" i="20"/>
  <c r="AK107" i="20"/>
  <c r="AK168" i="20"/>
  <c r="AK239" i="20"/>
  <c r="AK267" i="20"/>
  <c r="AK374" i="20"/>
  <c r="AK93" i="20"/>
  <c r="AK220" i="20"/>
  <c r="AK355" i="20"/>
  <c r="AK183" i="20"/>
  <c r="AK90" i="20"/>
  <c r="AK351" i="20"/>
  <c r="AK38" i="20"/>
  <c r="AK94" i="20"/>
  <c r="AK161" i="20"/>
  <c r="AK233" i="20"/>
  <c r="AK256" i="20"/>
  <c r="AK368" i="20"/>
  <c r="AK78" i="20"/>
  <c r="AK133" i="20"/>
  <c r="AK340" i="20"/>
  <c r="AK204" i="20"/>
  <c r="AK72" i="20"/>
  <c r="AK326" i="20"/>
  <c r="AK57" i="20"/>
  <c r="AK159" i="20"/>
  <c r="AK312" i="20"/>
  <c r="AK141" i="20"/>
  <c r="AK231" i="20"/>
  <c r="AK106" i="20"/>
  <c r="AK373" i="20"/>
  <c r="AK260" i="20"/>
  <c r="AK118" i="20"/>
  <c r="AK214" i="20"/>
  <c r="AK32" i="20"/>
  <c r="AK176" i="20"/>
  <c r="AK343" i="20"/>
  <c r="AK117" i="20"/>
  <c r="AK174" i="20"/>
  <c r="AK272" i="20"/>
  <c r="AK100" i="20"/>
  <c r="AK369" i="20"/>
  <c r="AK116" i="20"/>
  <c r="AK132" i="20"/>
  <c r="AK264" i="20"/>
  <c r="AK358" i="20"/>
  <c r="AK273" i="20"/>
  <c r="AK58" i="20"/>
  <c r="AK70" i="20"/>
  <c r="AK338" i="20"/>
  <c r="AK65" i="20"/>
  <c r="AK207" i="20"/>
  <c r="AK379" i="20"/>
  <c r="AK323" i="20"/>
  <c r="AK277" i="20"/>
  <c r="AK29" i="20"/>
  <c r="AK149" i="20"/>
  <c r="AK242" i="20"/>
  <c r="AK46" i="20"/>
  <c r="AK311" i="20"/>
  <c r="AK51" i="20"/>
  <c r="L15" i="19"/>
  <c r="P10" i="18"/>
  <c r="AK3" i="17"/>
  <c r="Q14" i="19" s="1"/>
  <c r="AL15" i="7"/>
  <c r="P11" i="22"/>
  <c r="I183" i="1"/>
  <c r="G179" i="1"/>
  <c r="BW179" i="6" s="1"/>
  <c r="F376" i="1"/>
  <c r="G376" i="1" s="1"/>
  <c r="BW376" i="6" s="1"/>
  <c r="I284" i="1"/>
  <c r="I229" i="1"/>
  <c r="AZ324" i="6"/>
  <c r="AZ328" i="6"/>
  <c r="AY273" i="6"/>
  <c r="AZ273" i="6" s="1"/>
  <c r="G244" i="1"/>
  <c r="BW244" i="6" s="1"/>
  <c r="G284" i="1"/>
  <c r="BW284" i="6" s="1"/>
  <c r="AZ319" i="6"/>
  <c r="AY276" i="6"/>
  <c r="AZ276" i="6" s="1"/>
  <c r="AA179" i="1"/>
  <c r="Z179" i="1" s="1"/>
  <c r="Y179" i="1" s="1"/>
  <c r="AZ77" i="6"/>
  <c r="G174" i="1"/>
  <c r="BW174" i="6" s="1"/>
  <c r="I245" i="1"/>
  <c r="AC9" i="23"/>
  <c r="O9" i="25"/>
  <c r="AC12" i="23"/>
  <c r="O12" i="23"/>
  <c r="AX13" i="7"/>
  <c r="AJ20" i="24"/>
  <c r="AJ41" i="24"/>
  <c r="AJ31" i="24"/>
  <c r="F7" i="24"/>
  <c r="AJ56" i="24"/>
  <c r="AJ55" i="24"/>
  <c r="AJ73" i="24"/>
  <c r="AJ77" i="24"/>
  <c r="AJ96" i="24"/>
  <c r="AJ100" i="24"/>
  <c r="AJ119" i="24"/>
  <c r="AJ149" i="24"/>
  <c r="AJ101" i="24"/>
  <c r="AJ115" i="24"/>
  <c r="AJ125" i="24"/>
  <c r="AJ138" i="24"/>
  <c r="AJ148" i="24"/>
  <c r="AJ167" i="24"/>
  <c r="AJ184" i="24"/>
  <c r="AJ193" i="24"/>
  <c r="AJ207" i="24"/>
  <c r="AJ166" i="24"/>
  <c r="AJ182" i="24"/>
  <c r="AJ206" i="24"/>
  <c r="AJ218" i="24"/>
  <c r="AJ228" i="24"/>
  <c r="AJ245" i="24"/>
  <c r="AJ260" i="24"/>
  <c r="AJ279" i="24"/>
  <c r="AJ293" i="24"/>
  <c r="AJ310" i="24"/>
  <c r="AJ216" i="24"/>
  <c r="AJ236" i="24"/>
  <c r="AJ255" i="24"/>
  <c r="AJ266" i="24"/>
  <c r="AJ283" i="24"/>
  <c r="AJ300" i="24"/>
  <c r="AJ313" i="24"/>
  <c r="AJ327" i="24"/>
  <c r="AJ345" i="24"/>
  <c r="AJ358" i="24"/>
  <c r="AJ372" i="24"/>
  <c r="AJ334" i="24"/>
  <c r="AJ347" i="24"/>
  <c r="AJ368" i="24"/>
  <c r="AJ35" i="24"/>
  <c r="AJ43" i="24"/>
  <c r="AJ63" i="24"/>
  <c r="AJ79" i="24"/>
  <c r="AJ85" i="24"/>
  <c r="AJ133" i="24"/>
  <c r="AJ106" i="24"/>
  <c r="AJ129" i="24"/>
  <c r="AJ154" i="24"/>
  <c r="AJ188" i="24"/>
  <c r="AJ158" i="24"/>
  <c r="AJ197" i="24"/>
  <c r="AJ221" i="24"/>
  <c r="AJ248" i="24"/>
  <c r="AJ284" i="24"/>
  <c r="AJ316" i="24"/>
  <c r="AJ239" i="24"/>
  <c r="AJ273" i="24"/>
  <c r="AJ304" i="24"/>
  <c r="AJ330" i="24"/>
  <c r="AJ362" i="24"/>
  <c r="AJ338" i="24"/>
  <c r="AJ378" i="24"/>
  <c r="AJ32" i="24"/>
  <c r="AJ33" i="24"/>
  <c r="AJ58" i="24"/>
  <c r="AJ74" i="24"/>
  <c r="AJ97" i="24"/>
  <c r="AJ127" i="24"/>
  <c r="AJ104" i="24"/>
  <c r="AJ126" i="24"/>
  <c r="AJ151" i="24"/>
  <c r="AJ186" i="24"/>
  <c r="AJ155" i="24"/>
  <c r="AJ183" i="24"/>
  <c r="AJ219" i="24"/>
  <c r="AJ246" i="24"/>
  <c r="AJ280" i="24"/>
  <c r="AJ314" i="24"/>
  <c r="AJ237" i="24"/>
  <c r="AJ270" i="24"/>
  <c r="AJ302" i="24"/>
  <c r="AJ328" i="24"/>
  <c r="AJ359" i="24"/>
  <c r="AJ335" i="24"/>
  <c r="AJ369" i="24"/>
  <c r="AJ34" i="24"/>
  <c r="AJ36" i="24"/>
  <c r="AJ61" i="24"/>
  <c r="AJ76" i="24"/>
  <c r="AJ81" i="24"/>
  <c r="AJ130" i="24"/>
  <c r="AJ105" i="24"/>
  <c r="AJ128" i="24"/>
  <c r="AJ153" i="24"/>
  <c r="AJ187" i="24"/>
  <c r="AJ156" i="24"/>
  <c r="AJ185" i="24"/>
  <c r="AJ220" i="24"/>
  <c r="AJ247" i="24"/>
  <c r="AJ282" i="24"/>
  <c r="AJ315" i="24"/>
  <c r="AJ238" i="24"/>
  <c r="AJ272" i="24"/>
  <c r="AJ303" i="24"/>
  <c r="AJ329" i="24"/>
  <c r="AJ360" i="24"/>
  <c r="AJ337" i="24"/>
  <c r="AJ375" i="24"/>
  <c r="AJ62" i="24"/>
  <c r="AJ75" i="24"/>
  <c r="AJ144" i="24"/>
  <c r="AJ136" i="24"/>
  <c r="AJ192" i="24"/>
  <c r="AJ203" i="24"/>
  <c r="AJ258" i="24"/>
  <c r="AJ215" i="24"/>
  <c r="AJ281" i="24"/>
  <c r="AJ342" i="24"/>
  <c r="AJ346" i="24"/>
  <c r="AJ38" i="24"/>
  <c r="AJ66" i="24"/>
  <c r="AJ90" i="24"/>
  <c r="AJ112" i="24"/>
  <c r="AJ160" i="24"/>
  <c r="AJ161" i="24"/>
  <c r="AJ224" i="24"/>
  <c r="AJ286" i="24"/>
  <c r="AJ249" i="24"/>
  <c r="AJ309" i="24"/>
  <c r="AJ366" i="24"/>
  <c r="AJ27" i="24"/>
  <c r="AJ52" i="24"/>
  <c r="AJ89" i="24"/>
  <c r="AJ98" i="24"/>
  <c r="AJ146" i="24"/>
  <c r="AJ204" i="24"/>
  <c r="AJ213" i="24"/>
  <c r="AJ275" i="24"/>
  <c r="AJ232" i="24"/>
  <c r="AJ296" i="24"/>
  <c r="AJ355" i="24"/>
  <c r="AJ364" i="24"/>
  <c r="AJ54" i="24"/>
  <c r="AJ99" i="24"/>
  <c r="AJ205" i="24"/>
  <c r="AJ277" i="24"/>
  <c r="AJ297" i="24"/>
  <c r="AJ367" i="24"/>
  <c r="AJ69" i="24"/>
  <c r="AJ122" i="24"/>
  <c r="AJ177" i="24"/>
  <c r="AJ305" i="24"/>
  <c r="AJ324" i="24"/>
  <c r="AJ39" i="24"/>
  <c r="AJ91" i="24"/>
  <c r="AJ163" i="24"/>
  <c r="AJ225" i="24"/>
  <c r="AJ252" i="24"/>
  <c r="AJ370" i="24"/>
  <c r="AJ71" i="24"/>
  <c r="AJ181" i="24"/>
  <c r="AJ326" i="24"/>
  <c r="AJ88" i="24"/>
  <c r="AJ212" i="24"/>
  <c r="AJ354" i="24"/>
  <c r="AJ57" i="24"/>
  <c r="AJ142" i="24"/>
  <c r="AJ191" i="24"/>
  <c r="AJ253" i="24"/>
  <c r="AJ278" i="24"/>
  <c r="AJ344" i="24"/>
  <c r="AJ116" i="24"/>
  <c r="AJ244" i="24"/>
  <c r="AJ333" i="24"/>
  <c r="AJ95" i="24"/>
  <c r="AJ271" i="24"/>
  <c r="AJ363" i="24"/>
  <c r="AJ24" i="24"/>
  <c r="AJ23" i="24"/>
  <c r="AJ37" i="24"/>
  <c r="AJ17" i="24"/>
  <c r="AJ44" i="24"/>
  <c r="AJ46" i="24"/>
  <c r="AJ64" i="24"/>
  <c r="AJ67" i="24"/>
  <c r="AJ80" i="24"/>
  <c r="AJ86" i="24"/>
  <c r="AJ87" i="24"/>
  <c r="AJ108" i="24"/>
  <c r="AJ134" i="24"/>
  <c r="AJ94" i="24"/>
  <c r="AJ109" i="24"/>
  <c r="AJ121" i="24"/>
  <c r="AJ131" i="24"/>
  <c r="AJ143" i="24"/>
  <c r="AJ157" i="24"/>
  <c r="AJ175" i="24"/>
  <c r="AJ189" i="24"/>
  <c r="AJ199" i="24"/>
  <c r="AJ159" i="24"/>
  <c r="AJ174" i="24"/>
  <c r="AJ198" i="24"/>
  <c r="AJ211" i="24"/>
  <c r="AJ223" i="24"/>
  <c r="AJ240" i="24"/>
  <c r="AJ250" i="24"/>
  <c r="AJ269" i="24"/>
  <c r="AJ285" i="24"/>
  <c r="AJ301" i="24"/>
  <c r="AJ318" i="24"/>
  <c r="AJ230" i="24"/>
  <c r="AJ242" i="24"/>
  <c r="AJ261" i="24"/>
  <c r="AJ274" i="24"/>
  <c r="AJ292" i="24"/>
  <c r="AJ306" i="24"/>
  <c r="AJ323" i="24"/>
  <c r="AJ336" i="24"/>
  <c r="AJ353" i="24"/>
  <c r="AJ365" i="24"/>
  <c r="AJ377" i="24"/>
  <c r="AJ341" i="24"/>
  <c r="AJ361" i="24"/>
  <c r="AJ379" i="24"/>
  <c r="AJ21" i="24"/>
  <c r="AJ51" i="24"/>
  <c r="AJ45" i="24"/>
  <c r="AJ65" i="24"/>
  <c r="AJ83" i="24"/>
  <c r="AJ107" i="24"/>
  <c r="AJ84" i="24"/>
  <c r="AJ120" i="24"/>
  <c r="AJ141" i="24"/>
  <c r="AJ173" i="24"/>
  <c r="AJ196" i="24"/>
  <c r="AJ171" i="24"/>
  <c r="AJ210" i="24"/>
  <c r="AJ235" i="24"/>
  <c r="AJ268" i="24"/>
  <c r="AJ299" i="24"/>
  <c r="AJ226" i="24"/>
  <c r="AJ259" i="24"/>
  <c r="AJ291" i="24"/>
  <c r="AJ320" i="24"/>
  <c r="AJ351" i="24"/>
  <c r="AJ376" i="24"/>
  <c r="AJ356" i="24"/>
  <c r="AJ16" i="24"/>
  <c r="AJ42" i="24"/>
  <c r="AJ22" i="24"/>
  <c r="AJ59" i="24"/>
  <c r="AJ78" i="24"/>
  <c r="AJ102" i="24"/>
  <c r="AJ150" i="24"/>
  <c r="AJ117" i="24"/>
  <c r="AJ139" i="24"/>
  <c r="AJ168" i="24"/>
  <c r="AJ194" i="24"/>
  <c r="AJ169" i="24"/>
  <c r="AJ208" i="24"/>
  <c r="AJ229" i="24"/>
  <c r="AJ264" i="24"/>
  <c r="AJ295" i="24"/>
  <c r="AJ217" i="24"/>
  <c r="AJ256" i="24"/>
  <c r="AJ289" i="24"/>
  <c r="AJ317" i="24"/>
  <c r="AJ348" i="24"/>
  <c r="AJ373" i="24"/>
  <c r="AJ349" i="24"/>
  <c r="AJ19" i="24"/>
  <c r="AJ49" i="24"/>
  <c r="AJ28" i="24"/>
  <c r="AJ60" i="24"/>
  <c r="AJ82" i="24"/>
  <c r="AJ103" i="24"/>
  <c r="AJ152" i="24"/>
  <c r="AJ118" i="24"/>
  <c r="AJ140" i="24"/>
  <c r="AJ172" i="24"/>
  <c r="AJ195" i="24"/>
  <c r="AJ170" i="24"/>
  <c r="AJ209" i="24"/>
  <c r="AJ234" i="24"/>
  <c r="AJ267" i="24"/>
  <c r="AJ298" i="24"/>
  <c r="AJ222" i="24"/>
  <c r="AJ257" i="24"/>
  <c r="AJ290" i="24"/>
  <c r="AJ319" i="24"/>
  <c r="AJ350" i="24"/>
  <c r="AJ374" i="24"/>
  <c r="AJ352" i="24"/>
  <c r="AJ40" i="24"/>
  <c r="AJ48" i="24"/>
  <c r="AJ92" i="24"/>
  <c r="AJ114" i="24"/>
  <c r="AJ165" i="24"/>
  <c r="AJ164" i="24"/>
  <c r="AJ227" i="24"/>
  <c r="AJ288" i="24"/>
  <c r="AJ254" i="24"/>
  <c r="AJ312" i="24"/>
  <c r="AJ371" i="24"/>
  <c r="AJ380" i="24"/>
  <c r="AJ53" i="24"/>
  <c r="AJ68" i="24"/>
  <c r="AJ137" i="24"/>
  <c r="AJ132" i="24"/>
  <c r="AJ190" i="24"/>
  <c r="AJ200" i="24"/>
  <c r="AJ251" i="24"/>
  <c r="AJ321" i="24"/>
  <c r="AJ276" i="24"/>
  <c r="AJ339" i="24"/>
  <c r="AJ343" i="24"/>
  <c r="AJ29" i="24"/>
  <c r="AJ70" i="24"/>
  <c r="AJ111" i="24"/>
  <c r="AJ123" i="24"/>
  <c r="AJ178" i="24"/>
  <c r="AJ180" i="24"/>
  <c r="AJ243" i="24"/>
  <c r="AJ307" i="24"/>
  <c r="AJ263" i="24"/>
  <c r="AJ325" i="24"/>
  <c r="AJ332" i="24"/>
  <c r="AJ15" i="24"/>
  <c r="AJ93" i="24"/>
  <c r="AJ147" i="24"/>
  <c r="AJ214" i="24"/>
  <c r="AJ233" i="24"/>
  <c r="AJ357" i="24"/>
  <c r="AJ18" i="24"/>
  <c r="AJ110" i="24"/>
  <c r="AJ176" i="24"/>
  <c r="AJ241" i="24"/>
  <c r="AJ262" i="24"/>
  <c r="AJ331" i="24"/>
  <c r="AJ47" i="24"/>
  <c r="AJ113" i="24"/>
  <c r="AJ162" i="24"/>
  <c r="AJ287" i="24"/>
  <c r="AJ311" i="24"/>
  <c r="AJ25" i="24"/>
  <c r="AJ124" i="24"/>
  <c r="AJ308" i="24"/>
  <c r="AJ26" i="24"/>
  <c r="AJ145" i="24"/>
  <c r="AJ231" i="24"/>
  <c r="AJ72" i="24"/>
  <c r="AJ135" i="24"/>
  <c r="AJ202" i="24"/>
  <c r="AJ322" i="24"/>
  <c r="AJ340" i="24"/>
  <c r="AJ30" i="24"/>
  <c r="AJ179" i="24"/>
  <c r="AJ265" i="24"/>
  <c r="AJ50" i="24"/>
  <c r="AJ201" i="24"/>
  <c r="AJ294" i="24"/>
  <c r="AZ299" i="6"/>
  <c r="AA174" i="1"/>
  <c r="Z174" i="1" s="1"/>
  <c r="Y174" i="1" s="1"/>
  <c r="I226" i="1"/>
  <c r="AA237" i="1"/>
  <c r="Z237" i="1" s="1"/>
  <c r="Y237" i="1" s="1"/>
  <c r="G277" i="1"/>
  <c r="BW277" i="6" s="1"/>
  <c r="AZ314" i="6"/>
  <c r="AZ311" i="6"/>
  <c r="AY190" i="6"/>
  <c r="AZ190" i="6" s="1"/>
  <c r="Z380" i="6" s="1"/>
  <c r="Z381" i="6" s="1"/>
  <c r="AY188" i="6"/>
  <c r="AZ188" i="6" s="1"/>
  <c r="AZ310" i="6"/>
  <c r="G175" i="1"/>
  <c r="BW175" i="6" s="1"/>
  <c r="G180" i="1"/>
  <c r="BW180" i="6" s="1"/>
  <c r="AZ312" i="6"/>
  <c r="AZ89" i="6"/>
  <c r="AA256" i="1"/>
  <c r="Z256" i="1" s="1"/>
  <c r="Y256" i="1" s="1"/>
  <c r="G268" i="1"/>
  <c r="BW268" i="6" s="1"/>
  <c r="AA245" i="1"/>
  <c r="Z245" i="1" s="1"/>
  <c r="Y245" i="1" s="1"/>
  <c r="G359" i="1"/>
  <c r="BW359" i="6" s="1"/>
  <c r="G226" i="1"/>
  <c r="BW226" i="6" s="1"/>
  <c r="I237" i="1"/>
  <c r="I177" i="1"/>
  <c r="AZ295" i="6"/>
  <c r="I175" i="1"/>
  <c r="I180" i="1"/>
  <c r="AA359" i="1"/>
  <c r="Z359" i="1" s="1"/>
  <c r="Y359" i="1" s="1"/>
  <c r="G177" i="1"/>
  <c r="BW177" i="6" s="1"/>
  <c r="G235" i="1"/>
  <c r="BW235" i="6" s="1"/>
  <c r="F228" i="1"/>
  <c r="I228" i="1" s="1"/>
  <c r="AZ302" i="6"/>
  <c r="AH380" i="6" s="1"/>
  <c r="AH381" i="6" s="1"/>
  <c r="AA183" i="1"/>
  <c r="Z183" i="1" s="1"/>
  <c r="Y183" i="1" s="1"/>
  <c r="I231" i="1"/>
  <c r="AZ73" i="6"/>
  <c r="F272" i="1"/>
  <c r="G272" i="1" s="1"/>
  <c r="BW272" i="6" s="1"/>
  <c r="AZ78" i="6"/>
  <c r="R380" i="6" s="1"/>
  <c r="R381" i="6" s="1"/>
  <c r="AA199" i="1"/>
  <c r="Z199" i="1" s="1"/>
  <c r="Y199" i="1" s="1"/>
  <c r="G315" i="1"/>
  <c r="BW315" i="6" s="1"/>
  <c r="AZ64" i="6"/>
  <c r="Q380" i="6" s="1"/>
  <c r="Q381" i="6" s="1"/>
  <c r="AA315" i="1"/>
  <c r="Z315" i="1" s="1"/>
  <c r="Y315" i="1" s="1"/>
  <c r="V299" i="1"/>
  <c r="F299" i="1" s="1"/>
  <c r="V236" i="1"/>
  <c r="F236" i="1" s="1"/>
  <c r="V189" i="1"/>
  <c r="F189" i="1" s="1"/>
  <c r="S239" i="1"/>
  <c r="R239" i="1" s="1"/>
  <c r="P239" i="1" s="1"/>
  <c r="S76" i="1"/>
  <c r="R76" i="1" s="1"/>
  <c r="P76" i="1" s="1"/>
  <c r="V76" i="1" s="1"/>
  <c r="AA76" i="1" s="1"/>
  <c r="Z76" i="1" s="1"/>
  <c r="Y76" i="1" s="1"/>
  <c r="I16" i="7"/>
  <c r="S379" i="1"/>
  <c r="R379" i="1" s="1"/>
  <c r="P379" i="1" s="1"/>
  <c r="D35" i="19" s="1"/>
  <c r="G186" i="1"/>
  <c r="BW186" i="6" s="1"/>
  <c r="I268" i="1"/>
  <c r="F306" i="1"/>
  <c r="I306" i="1" s="1"/>
  <c r="AA244" i="1"/>
  <c r="Z244" i="1" s="1"/>
  <c r="Y244" i="1" s="1"/>
  <c r="F301" i="1"/>
  <c r="I301" i="1" s="1"/>
  <c r="G231" i="1"/>
  <c r="BW231" i="6" s="1"/>
  <c r="AA277" i="1"/>
  <c r="Z277" i="1" s="1"/>
  <c r="Y277" i="1" s="1"/>
  <c r="G201" i="1"/>
  <c r="BW201" i="6" s="1"/>
  <c r="I201" i="1"/>
  <c r="T381" i="1"/>
  <c r="T382" i="1"/>
  <c r="S16" i="1"/>
  <c r="T383" i="1"/>
  <c r="U10" i="15"/>
  <c r="AG16" i="1"/>
  <c r="AH382" i="1"/>
  <c r="AH383" i="1"/>
  <c r="AG229" i="1"/>
  <c r="AF229" i="1" s="1"/>
  <c r="AD229" i="1" s="1"/>
  <c r="AA229" i="1" s="1"/>
  <c r="Z229" i="1" s="1"/>
  <c r="Y229" i="1" s="1"/>
  <c r="S262" i="1"/>
  <c r="R262" i="1" s="1"/>
  <c r="P262" i="1" s="1"/>
  <c r="V262" i="1" s="1"/>
  <c r="F262" i="1" s="1"/>
  <c r="Q15" i="7"/>
  <c r="AE74" i="16"/>
  <c r="AE17" i="16"/>
  <c r="AE364" i="16"/>
  <c r="AE291" i="16"/>
  <c r="AE171" i="16"/>
  <c r="AE60" i="16"/>
  <c r="AE184" i="16"/>
  <c r="AE303" i="16"/>
  <c r="AE199" i="16"/>
  <c r="AE151" i="16"/>
  <c r="AE24" i="16"/>
  <c r="AE28" i="16"/>
  <c r="AE148" i="16"/>
  <c r="AE123" i="16"/>
  <c r="AE305" i="16"/>
  <c r="AE285" i="16"/>
  <c r="AE264" i="16"/>
  <c r="AE144" i="16"/>
  <c r="AE51" i="16"/>
  <c r="AE318" i="16"/>
  <c r="AE228" i="16"/>
  <c r="AE302" i="16"/>
  <c r="AE326" i="16"/>
  <c r="AE138" i="16"/>
  <c r="AE81" i="16"/>
  <c r="AE61" i="16"/>
  <c r="AE355" i="16"/>
  <c r="AE213" i="16"/>
  <c r="AE353" i="16"/>
  <c r="AE226" i="16"/>
  <c r="AE222" i="16"/>
  <c r="AE356" i="16"/>
  <c r="AE88" i="16"/>
  <c r="AE176" i="16"/>
  <c r="AE206" i="16"/>
  <c r="AE173" i="16"/>
  <c r="AE229" i="16"/>
  <c r="AE224" i="16"/>
  <c r="AE167" i="16"/>
  <c r="AE242" i="16"/>
  <c r="AE22" i="16"/>
  <c r="AE118" i="16"/>
  <c r="AE120" i="16"/>
  <c r="AE271" i="16"/>
  <c r="AE257" i="16"/>
  <c r="AE216" i="16"/>
  <c r="AE284" i="16"/>
  <c r="AE347" i="16"/>
  <c r="AE274" i="16"/>
  <c r="AE354" i="16"/>
  <c r="AE297" i="16"/>
  <c r="AE78" i="16"/>
  <c r="AE106" i="16"/>
  <c r="AE268" i="16"/>
  <c r="AE260" i="16"/>
  <c r="AE307" i="16"/>
  <c r="AE373" i="16"/>
  <c r="AE48" i="16"/>
  <c r="AE64" i="16"/>
  <c r="AE189" i="16"/>
  <c r="AE115" i="16"/>
  <c r="AE75" i="16"/>
  <c r="AE53" i="16"/>
  <c r="AE339" i="16"/>
  <c r="AE41" i="16"/>
  <c r="AE187" i="16"/>
  <c r="AE370" i="16"/>
  <c r="AE272" i="16"/>
  <c r="AE376" i="16"/>
  <c r="AE130" i="16"/>
  <c r="AE201" i="16"/>
  <c r="AE91" i="16"/>
  <c r="AE16" i="16"/>
  <c r="AE282" i="16"/>
  <c r="AE175" i="16"/>
  <c r="AE240" i="16"/>
  <c r="AE250" i="16"/>
  <c r="AE18" i="16"/>
  <c r="AE177" i="16"/>
  <c r="AE136" i="16"/>
  <c r="AE190" i="16"/>
  <c r="AE279" i="16"/>
  <c r="AE155" i="16"/>
  <c r="AE82" i="16"/>
  <c r="AE244" i="16"/>
  <c r="AE219" i="16"/>
  <c r="AE342" i="16"/>
  <c r="AE146" i="16"/>
  <c r="AE85" i="16"/>
  <c r="AE225" i="16"/>
  <c r="AE98" i="16"/>
  <c r="AE158" i="16"/>
  <c r="AE245" i="16"/>
  <c r="AE344" i="16"/>
  <c r="AE65" i="16"/>
  <c r="AE198" i="16"/>
  <c r="AE329" i="16"/>
  <c r="AE293" i="16"/>
  <c r="AE160" i="16"/>
  <c r="AE140" i="16"/>
  <c r="AE67" i="16"/>
  <c r="AE90" i="16"/>
  <c r="AE374" i="16"/>
  <c r="AE377" i="16"/>
  <c r="AE166" i="16"/>
  <c r="AE21" i="16"/>
  <c r="AE378" i="16"/>
  <c r="AE308" i="16"/>
  <c r="AE283" i="16"/>
  <c r="AE103" i="16"/>
  <c r="AE210" i="16"/>
  <c r="AE296" i="16"/>
  <c r="AE299" i="16"/>
  <c r="AE188" i="16"/>
  <c r="AE312" i="16"/>
  <c r="AE367" i="16"/>
  <c r="AE54" i="16"/>
  <c r="AE262" i="16"/>
  <c r="AE194" i="16"/>
  <c r="AE36" i="16"/>
  <c r="AE84" i="16"/>
  <c r="AE59" i="16"/>
  <c r="AE369" i="16"/>
  <c r="AE93" i="16"/>
  <c r="AE72" i="16"/>
  <c r="AE23" i="16"/>
  <c r="AE34" i="16"/>
  <c r="AE126" i="16"/>
  <c r="AE117" i="16"/>
  <c r="AE92" i="16"/>
  <c r="AE19" i="16"/>
  <c r="AE372" i="16"/>
  <c r="AE231" i="16"/>
  <c r="AE341" i="16"/>
  <c r="AE286" i="16"/>
  <c r="AE45" i="16"/>
  <c r="AE181" i="16"/>
  <c r="AE288" i="16"/>
  <c r="AE195" i="16"/>
  <c r="AE33" i="16"/>
  <c r="AE79" i="16"/>
  <c r="AE105" i="16"/>
  <c r="AE69" i="16"/>
  <c r="AE359" i="16"/>
  <c r="AE57" i="16"/>
  <c r="AE350" i="16"/>
  <c r="AE169" i="16"/>
  <c r="AE71" i="16"/>
  <c r="AE95" i="16"/>
  <c r="AE357" i="16"/>
  <c r="AE76" i="16"/>
  <c r="AE277" i="16"/>
  <c r="AE252" i="16"/>
  <c r="AE38" i="16"/>
  <c r="AE174" i="16"/>
  <c r="AE116" i="16"/>
  <c r="AE86" i="16"/>
  <c r="AE360" i="16"/>
  <c r="AE345" i="16"/>
  <c r="AE100" i="16"/>
  <c r="AE258" i="16"/>
  <c r="AE182" i="16"/>
  <c r="AE362" i="16"/>
  <c r="AE157" i="16"/>
  <c r="AE162" i="16"/>
  <c r="AE348" i="16"/>
  <c r="AE180" i="16"/>
  <c r="AE214" i="16"/>
  <c r="AE43" i="16"/>
  <c r="AE239" i="16"/>
  <c r="AE304" i="16"/>
  <c r="AE96" i="16"/>
  <c r="AE114" i="16"/>
  <c r="AE363" i="16"/>
  <c r="AE203" i="16"/>
  <c r="Q287" i="16"/>
  <c r="Q177" i="16"/>
  <c r="Q211" i="16"/>
  <c r="Q277" i="16"/>
  <c r="Q254" i="16"/>
  <c r="Q233" i="16"/>
  <c r="Q160" i="16"/>
  <c r="Q268" i="16"/>
  <c r="Q138" i="16"/>
  <c r="Q371" i="16"/>
  <c r="Q181" i="16"/>
  <c r="Q135" i="16"/>
  <c r="Q295" i="16"/>
  <c r="Q132" i="16"/>
  <c r="Q214" i="16"/>
  <c r="Q50" i="16"/>
  <c r="Q237" i="16"/>
  <c r="Q41" i="16"/>
  <c r="Q182" i="16"/>
  <c r="Q228" i="16"/>
  <c r="Q217" i="16"/>
  <c r="Q26" i="16"/>
  <c r="Q25" i="16"/>
  <c r="Q204" i="16"/>
  <c r="Q379" i="16"/>
  <c r="Q309" i="16"/>
  <c r="Q273" i="16"/>
  <c r="Q124" i="16"/>
  <c r="Q198" i="16"/>
  <c r="Q139" i="16"/>
  <c r="Q369" i="16"/>
  <c r="Q244" i="16"/>
  <c r="Q350" i="16"/>
  <c r="Q191" i="16"/>
  <c r="Q219" i="16"/>
  <c r="Q45" i="16"/>
  <c r="Q22" i="16"/>
  <c r="Q343" i="16"/>
  <c r="Q332" i="16"/>
  <c r="Q180" i="16"/>
  <c r="Q195" i="16"/>
  <c r="Q264" i="16"/>
  <c r="Q260" i="16"/>
  <c r="Q29" i="16"/>
  <c r="Q81" i="16"/>
  <c r="Q169" i="16"/>
  <c r="Q171" i="16"/>
  <c r="Q321" i="16"/>
  <c r="Q340" i="16"/>
  <c r="Q243" i="16"/>
  <c r="Q61" i="16"/>
  <c r="Q170" i="16"/>
  <c r="Q96" i="16"/>
  <c r="Q344" i="16"/>
  <c r="Q69" i="16"/>
  <c r="Q239" i="16"/>
  <c r="Q168" i="16"/>
  <c r="Q166" i="16"/>
  <c r="Q39" i="16"/>
  <c r="Q307" i="16"/>
  <c r="Q364" i="16"/>
  <c r="Q105" i="16"/>
  <c r="Q74" i="16"/>
  <c r="Q113" i="16"/>
  <c r="Q258" i="16"/>
  <c r="Q16" i="16"/>
  <c r="Q18" i="16"/>
  <c r="Q356" i="16"/>
  <c r="Q351" i="16"/>
  <c r="Q144" i="16"/>
  <c r="Q62" i="16"/>
  <c r="Q227" i="16"/>
  <c r="Q209" i="16"/>
  <c r="Q215" i="16"/>
  <c r="Q122" i="16"/>
  <c r="Q48" i="16"/>
  <c r="Q21" i="16"/>
  <c r="Q349" i="16"/>
  <c r="Q91" i="16"/>
  <c r="Q306" i="16"/>
  <c r="Q280" i="16"/>
  <c r="Q212" i="16"/>
  <c r="Q143" i="16"/>
  <c r="Q361" i="16"/>
  <c r="Q341" i="16"/>
  <c r="Q302" i="16"/>
  <c r="Q372" i="16"/>
  <c r="Q60" i="16"/>
  <c r="Q196" i="16"/>
  <c r="Q272" i="16"/>
  <c r="Q188" i="16"/>
  <c r="Q282" i="16"/>
  <c r="Q118" i="16"/>
  <c r="Q202" i="16"/>
  <c r="Q70" i="16"/>
  <c r="Q116" i="16"/>
  <c r="Q163" i="16"/>
  <c r="Q346" i="16"/>
  <c r="Q28" i="16"/>
  <c r="Q194" i="16"/>
  <c r="Q303" i="16"/>
  <c r="Q293" i="16"/>
  <c r="Q49" i="16"/>
  <c r="Q208" i="16"/>
  <c r="Q67" i="16"/>
  <c r="Q55" i="16"/>
  <c r="Q281" i="16"/>
  <c r="Q121" i="16"/>
  <c r="Q58" i="16"/>
  <c r="Q83" i="16"/>
  <c r="Q193" i="16"/>
  <c r="Q131" i="16"/>
  <c r="Q201" i="16"/>
  <c r="Q286" i="16"/>
  <c r="Q327" i="16"/>
  <c r="Q173" i="16"/>
  <c r="Q187" i="16"/>
  <c r="Q271" i="16"/>
  <c r="Q256" i="16"/>
  <c r="Q190" i="16"/>
  <c r="Q107" i="16"/>
  <c r="Q157" i="16"/>
  <c r="Q120" i="16"/>
  <c r="Q17" i="16"/>
  <c r="Q336" i="16"/>
  <c r="Q259" i="16"/>
  <c r="Q128" i="16"/>
  <c r="Q251" i="16"/>
  <c r="Q312" i="16"/>
  <c r="Q176" i="16"/>
  <c r="Q125" i="16"/>
  <c r="Q203" i="16"/>
  <c r="Q123" i="16"/>
  <c r="Q34" i="16"/>
  <c r="Q330" i="16"/>
  <c r="Q77" i="16"/>
  <c r="Q200" i="16"/>
  <c r="Q154" i="16"/>
  <c r="Q199" i="16"/>
  <c r="Q331" i="16"/>
  <c r="Q380" i="16"/>
  <c r="Q262" i="16"/>
  <c r="Q236" i="16"/>
  <c r="Q266" i="16"/>
  <c r="Q329" i="16"/>
  <c r="Q108" i="16"/>
  <c r="Q31" i="16"/>
  <c r="Q88" i="16"/>
  <c r="Q72" i="16"/>
  <c r="Q164" i="16"/>
  <c r="Q252" i="16"/>
  <c r="Q106" i="16"/>
  <c r="Q97" i="16"/>
  <c r="Q51" i="16"/>
  <c r="Q305" i="16"/>
  <c r="Q324" i="16"/>
  <c r="Q183" i="16"/>
  <c r="Q355" i="16"/>
  <c r="Q167" i="16"/>
  <c r="Q192" i="16"/>
  <c r="Q175" i="16"/>
  <c r="Q141" i="16"/>
  <c r="Q59" i="16"/>
  <c r="AE168" i="16"/>
  <c r="AE255" i="16"/>
  <c r="AE278" i="16"/>
  <c r="AE143" i="16"/>
  <c r="Q179" i="16"/>
  <c r="Q218" i="16"/>
  <c r="Q253" i="16"/>
  <c r="Q359" i="16"/>
  <c r="Q317" i="16"/>
  <c r="Q226" i="16"/>
  <c r="Q319" i="16"/>
  <c r="Q241" i="16"/>
  <c r="Q30" i="16"/>
  <c r="Q185" i="16"/>
  <c r="Q337" i="16"/>
  <c r="Q19" i="16"/>
  <c r="Q156" i="16"/>
  <c r="Q161" i="16"/>
  <c r="Q153" i="16"/>
  <c r="Q162" i="16"/>
  <c r="Q133" i="16"/>
  <c r="Q36" i="16"/>
  <c r="Q89" i="16"/>
  <c r="Q234" i="16"/>
  <c r="Q283" i="16"/>
  <c r="Q64" i="16"/>
  <c r="Q255" i="16"/>
  <c r="Q109" i="16"/>
  <c r="Q278" i="16"/>
  <c r="Q223" i="16"/>
  <c r="Q33" i="16"/>
  <c r="Q150" i="16"/>
  <c r="Q103" i="16"/>
  <c r="Q126" i="16"/>
  <c r="Q71" i="16"/>
  <c r="Q186" i="16"/>
  <c r="Q240" i="16"/>
  <c r="Q269" i="16"/>
  <c r="Q87" i="16"/>
  <c r="Q270" i="16"/>
  <c r="Q110" i="16"/>
  <c r="Q238" i="16"/>
  <c r="Q274" i="16"/>
  <c r="Q308" i="16"/>
  <c r="Q310" i="16"/>
  <c r="Q368" i="16"/>
  <c r="Q335" i="16"/>
  <c r="Q339" i="16"/>
  <c r="Q114" i="16"/>
  <c r="Q328" i="16"/>
  <c r="Q184" i="16"/>
  <c r="Q288" i="16"/>
  <c r="Q79" i="16"/>
  <c r="Q57" i="16"/>
  <c r="Q94" i="16"/>
  <c r="Q38" i="16"/>
  <c r="Q52" i="16"/>
  <c r="Q263" i="16"/>
  <c r="Q362" i="16"/>
  <c r="Q301" i="16"/>
  <c r="Q246" i="16"/>
  <c r="Q284" i="16"/>
  <c r="Q149" i="16"/>
  <c r="Q378" i="16"/>
  <c r="Q285" i="16"/>
  <c r="Q248" i="16"/>
  <c r="Q205" i="16"/>
  <c r="Q37" i="16"/>
  <c r="Q342" i="16"/>
  <c r="Q299" i="16"/>
  <c r="Q315" i="16"/>
  <c r="Q279" i="16"/>
  <c r="Q377" i="16"/>
  <c r="Q146" i="16"/>
  <c r="Q354" i="16"/>
  <c r="Q46" i="16"/>
  <c r="Q63" i="16"/>
  <c r="Q290" i="16"/>
  <c r="Q294" i="16"/>
  <c r="Q267" i="16"/>
  <c r="Q137" i="16"/>
  <c r="Q40" i="16"/>
  <c r="Q172" i="16"/>
  <c r="Q152" i="16"/>
  <c r="Q322" i="16"/>
  <c r="Q104" i="16"/>
  <c r="Q178" i="16"/>
  <c r="Q221" i="16"/>
  <c r="Q90" i="16"/>
  <c r="Q129" i="16"/>
  <c r="Q338" i="16"/>
  <c r="Q119" i="16"/>
  <c r="Q318" i="16"/>
  <c r="Q326" i="16"/>
  <c r="Q100" i="16"/>
  <c r="Q370" i="16"/>
  <c r="Q257" i="16"/>
  <c r="Q242" i="16"/>
  <c r="Q158" i="16"/>
  <c r="Q376" i="16"/>
  <c r="Q102" i="16"/>
  <c r="Q245" i="16"/>
  <c r="Q136" i="16"/>
  <c r="Q35" i="16"/>
  <c r="Q247" i="16"/>
  <c r="Q230" i="16"/>
  <c r="AE183" i="16"/>
  <c r="AE332" i="16"/>
  <c r="AE87" i="16"/>
  <c r="AE324" i="16"/>
  <c r="AE325" i="16"/>
  <c r="AE249" i="16"/>
  <c r="AE32" i="16"/>
  <c r="AE309" i="16"/>
  <c r="AE30" i="16"/>
  <c r="AE236" i="16"/>
  <c r="AE292" i="16"/>
  <c r="AE290" i="16"/>
  <c r="AE221" i="16"/>
  <c r="AE66" i="16"/>
  <c r="AE110" i="16"/>
  <c r="AE77" i="16"/>
  <c r="AE266" i="16"/>
  <c r="AE55" i="16"/>
  <c r="AE25" i="16"/>
  <c r="AE276" i="16"/>
  <c r="AE102" i="16"/>
  <c r="AE125" i="16"/>
  <c r="AE193" i="16"/>
  <c r="AE58" i="16"/>
  <c r="AE179" i="16"/>
  <c r="AE328" i="16"/>
  <c r="AE20" i="16"/>
  <c r="AE340" i="16"/>
  <c r="AE265" i="16"/>
  <c r="AE147" i="16"/>
  <c r="AE281" i="16"/>
  <c r="AE208" i="16"/>
  <c r="AE99" i="16"/>
  <c r="AE192" i="16"/>
  <c r="AE152" i="16"/>
  <c r="AE311" i="16"/>
  <c r="AE380" i="16"/>
  <c r="AE323" i="16"/>
  <c r="AE49" i="16"/>
  <c r="AE270" i="16"/>
  <c r="AE83" i="16"/>
  <c r="AE186" i="16"/>
  <c r="AE243" i="16"/>
  <c r="AE26" i="16"/>
  <c r="AE108" i="16"/>
  <c r="AE133" i="16"/>
  <c r="AE313" i="16"/>
  <c r="AE241" i="16"/>
  <c r="AE375" i="16"/>
  <c r="AE227" i="16"/>
  <c r="AE31" i="16"/>
  <c r="AE269" i="16"/>
  <c r="AE165" i="16"/>
  <c r="AE365" i="16"/>
  <c r="AE336" i="16"/>
  <c r="AE256" i="16"/>
  <c r="AE233" i="16"/>
  <c r="AE263" i="16"/>
  <c r="AE352" i="16"/>
  <c r="AE280" i="16"/>
  <c r="AE109" i="16"/>
  <c r="AE338" i="16"/>
  <c r="AE322" i="16"/>
  <c r="AE248" i="16"/>
  <c r="AE50" i="16"/>
  <c r="AE343" i="16"/>
  <c r="AE73" i="16"/>
  <c r="AE145" i="16"/>
  <c r="AE63" i="16"/>
  <c r="AE294" i="16"/>
  <c r="AE141" i="16"/>
  <c r="AE131" i="16"/>
  <c r="AE113" i="16"/>
  <c r="AE159" i="16"/>
  <c r="AE301" i="16"/>
  <c r="AE129" i="16"/>
  <c r="AE371" i="16"/>
  <c r="AE154" i="16"/>
  <c r="AE317" i="16"/>
  <c r="AE27" i="16"/>
  <c r="AE134" i="16"/>
  <c r="AE207" i="16"/>
  <c r="AE289" i="16"/>
  <c r="AE178" i="16"/>
  <c r="AE379" i="16"/>
  <c r="AE12" i="17" s="1"/>
  <c r="AE211" i="16"/>
  <c r="AE164" i="16"/>
  <c r="AE358" i="16"/>
  <c r="AE205" i="16"/>
  <c r="AE232" i="16"/>
  <c r="AE273" i="16"/>
  <c r="AE56" i="16"/>
  <c r="AE101" i="16"/>
  <c r="AE89" i="16"/>
  <c r="AE319" i="16"/>
  <c r="Q297" i="16"/>
  <c r="Q292" i="16"/>
  <c r="Q216" i="16"/>
  <c r="Q56" i="16"/>
  <c r="Q53" i="16"/>
  <c r="Q347" i="16"/>
  <c r="Q300" i="16"/>
  <c r="Q213" i="16"/>
  <c r="Q232" i="16"/>
  <c r="Q275" i="16"/>
  <c r="Q229" i="16"/>
  <c r="Q101" i="16"/>
  <c r="Q313" i="16"/>
  <c r="Q320" i="16"/>
  <c r="Q289" i="16"/>
  <c r="Q314" i="16"/>
  <c r="Q47" i="16"/>
  <c r="Q231" i="16"/>
  <c r="Q140" i="16"/>
  <c r="Q117" i="16"/>
  <c r="Q373" i="16"/>
  <c r="Q358" i="16"/>
  <c r="Q174" i="16"/>
  <c r="Q134" i="16"/>
  <c r="Q44" i="16"/>
  <c r="Q145" i="16"/>
  <c r="Q24" i="16"/>
  <c r="Q334" i="16"/>
  <c r="Q333" i="16"/>
  <c r="Q98" i="16"/>
  <c r="Q316" i="16"/>
  <c r="Q112" i="16"/>
  <c r="Q225" i="16"/>
  <c r="Q366" i="16"/>
  <c r="Q189" i="16"/>
  <c r="Q115" i="16"/>
  <c r="Q148" i="16"/>
  <c r="Q375" i="16"/>
  <c r="Q142" i="16"/>
  <c r="Q80" i="16"/>
  <c r="Q27" i="16"/>
  <c r="Q250" i="16"/>
  <c r="Q210" i="16"/>
  <c r="Q235" i="16"/>
  <c r="Q345" i="16"/>
  <c r="Q76" i="16"/>
  <c r="Q224" i="16"/>
  <c r="Q73" i="16"/>
  <c r="Q323" i="16"/>
  <c r="Q374" i="16"/>
  <c r="Q84" i="16"/>
  <c r="Q65" i="16"/>
  <c r="Q197" i="16"/>
  <c r="Q357" i="16"/>
  <c r="Q311" i="16"/>
  <c r="Q222" i="16"/>
  <c r="Q325" i="16"/>
  <c r="Q291" i="16"/>
  <c r="Q82" i="16"/>
  <c r="Q367" i="16"/>
  <c r="Q78" i="16"/>
  <c r="Q93" i="16"/>
  <c r="Q147" i="16"/>
  <c r="Q68" i="16"/>
  <c r="Q155" i="16"/>
  <c r="Q165" i="16"/>
  <c r="Q92" i="16"/>
  <c r="Q130" i="16"/>
  <c r="Q353" i="16"/>
  <c r="Q220" i="16"/>
  <c r="Q151" i="16"/>
  <c r="Q75" i="16"/>
  <c r="Q298" i="16"/>
  <c r="Q276" i="16"/>
  <c r="Q363" i="16"/>
  <c r="Q32" i="16"/>
  <c r="Q348" i="16"/>
  <c r="Q265" i="16"/>
  <c r="Q54" i="16"/>
  <c r="Q86" i="16"/>
  <c r="Q206" i="16"/>
  <c r="Q261" i="16"/>
  <c r="Q42" i="16"/>
  <c r="Q296" i="16"/>
  <c r="Q111" i="16"/>
  <c r="Q15" i="16"/>
  <c r="Q23" i="16"/>
  <c r="Q85" i="16"/>
  <c r="Q304" i="16"/>
  <c r="Q95" i="16"/>
  <c r="Q360" i="16"/>
  <c r="Q127" i="16"/>
  <c r="Q99" i="16"/>
  <c r="Q365" i="16"/>
  <c r="Q207" i="16"/>
  <c r="Q352" i="16"/>
  <c r="Q43" i="16"/>
  <c r="Q249" i="16"/>
  <c r="Q66" i="16"/>
  <c r="Q20" i="16"/>
  <c r="Q159" i="16"/>
  <c r="AE327" i="16"/>
  <c r="AE132" i="16"/>
  <c r="AE298" i="16"/>
  <c r="AE94" i="16"/>
  <c r="AE300" i="16"/>
  <c r="AE46" i="16"/>
  <c r="AE306" i="16"/>
  <c r="AE70" i="16"/>
  <c r="AE331" i="16"/>
  <c r="AE196" i="16"/>
  <c r="AE261" i="16"/>
  <c r="AE237" i="16"/>
  <c r="AE218" i="16"/>
  <c r="AE42" i="16"/>
  <c r="AE156" i="16"/>
  <c r="AE230" i="16"/>
  <c r="AE44" i="16"/>
  <c r="AE191" i="16"/>
  <c r="AE124" i="16"/>
  <c r="AE150" i="16"/>
  <c r="AE137" i="16"/>
  <c r="AE316" i="16"/>
  <c r="AE202" i="16"/>
  <c r="AE275" i="16"/>
  <c r="AE15" i="16"/>
  <c r="AE161" i="16"/>
  <c r="AE349" i="16"/>
  <c r="AE315" i="16"/>
  <c r="AE267" i="16"/>
  <c r="AE139" i="16"/>
  <c r="AE119" i="16"/>
  <c r="AE333" i="16"/>
  <c r="AE68" i="16"/>
  <c r="AE172" i="16"/>
  <c r="AE197" i="16"/>
  <c r="AE361" i="16"/>
  <c r="AE62" i="16"/>
  <c r="AE235" i="16"/>
  <c r="AE29" i="16"/>
  <c r="AE234" i="16"/>
  <c r="AE122" i="16"/>
  <c r="AE127" i="16"/>
  <c r="AE47" i="16"/>
  <c r="AE246" i="16"/>
  <c r="AE35" i="16"/>
  <c r="AE128" i="16"/>
  <c r="AE112" i="16"/>
  <c r="AE259" i="16"/>
  <c r="AE215" i="16"/>
  <c r="AE97" i="16"/>
  <c r="AE320" i="16"/>
  <c r="AE335" i="16"/>
  <c r="AE295" i="16"/>
  <c r="AE223" i="16"/>
  <c r="AE247" i="16"/>
  <c r="AE163" i="16"/>
  <c r="AE142" i="16"/>
  <c r="AE254" i="16"/>
  <c r="AE200" i="16"/>
  <c r="AE212" i="16"/>
  <c r="AE321" i="16"/>
  <c r="AE153" i="16"/>
  <c r="AE209" i="16"/>
  <c r="AE314" i="16"/>
  <c r="AE346" i="16"/>
  <c r="AE251" i="16"/>
  <c r="AE238" i="16"/>
  <c r="AE104" i="16"/>
  <c r="AE287" i="16"/>
  <c r="AE310" i="16"/>
  <c r="AE185" i="16"/>
  <c r="AE107" i="16"/>
  <c r="AE204" i="16"/>
  <c r="AE170" i="16"/>
  <c r="AE351" i="16"/>
  <c r="AE366" i="16"/>
  <c r="AE111" i="16"/>
  <c r="AE135" i="16"/>
  <c r="AE40" i="16"/>
  <c r="AE337" i="16"/>
  <c r="AE52" i="16"/>
  <c r="AE368" i="16"/>
  <c r="AE121" i="16"/>
  <c r="AE149" i="16"/>
  <c r="AE39" i="16"/>
  <c r="AE37" i="16"/>
  <c r="AE334" i="16"/>
  <c r="AE220" i="16"/>
  <c r="AE217" i="16"/>
  <c r="AE80" i="16"/>
  <c r="AE253" i="16"/>
  <c r="AE330" i="16"/>
  <c r="AC30" i="16"/>
  <c r="AC19" i="16"/>
  <c r="AC24" i="16"/>
  <c r="AC39" i="16"/>
  <c r="AC27" i="16"/>
  <c r="AC44" i="16"/>
  <c r="AC35" i="16"/>
  <c r="AC43" i="16"/>
  <c r="AC28" i="16"/>
  <c r="AC20" i="16"/>
  <c r="AC32" i="16"/>
  <c r="AC42" i="16"/>
  <c r="AC23" i="16"/>
  <c r="AC25" i="16"/>
  <c r="AC16" i="16"/>
  <c r="AC21" i="16"/>
  <c r="AC38" i="16"/>
  <c r="AC26" i="16"/>
  <c r="AC37" i="16"/>
  <c r="AC41" i="16"/>
  <c r="AC29" i="16"/>
  <c r="AC18" i="16"/>
  <c r="AC45" i="16"/>
  <c r="AC15" i="16"/>
  <c r="AC17" i="16"/>
  <c r="AC22" i="16"/>
  <c r="AC40" i="16"/>
  <c r="AC31" i="16"/>
  <c r="AC33" i="16"/>
  <c r="AC34" i="16"/>
  <c r="AC36" i="16"/>
  <c r="AC56" i="16"/>
  <c r="AC88" i="16"/>
  <c r="AC63" i="16"/>
  <c r="AC90" i="16"/>
  <c r="AC62" i="16"/>
  <c r="AC89" i="16"/>
  <c r="AC75" i="16"/>
  <c r="AC79" i="16"/>
  <c r="AC53" i="16"/>
  <c r="AC87" i="16"/>
  <c r="AC161" i="16"/>
  <c r="AC244" i="16"/>
  <c r="AC127" i="16"/>
  <c r="AC316" i="16"/>
  <c r="AC179" i="16"/>
  <c r="AC129" i="16"/>
  <c r="AC106" i="16"/>
  <c r="AC346" i="16"/>
  <c r="AC373" i="16"/>
  <c r="AC239" i="16"/>
  <c r="AC366" i="16"/>
  <c r="AC214" i="16"/>
  <c r="AC369" i="16"/>
  <c r="AC315" i="16"/>
  <c r="AC260" i="16"/>
  <c r="AC364" i="16"/>
  <c r="AC344" i="16"/>
  <c r="AC67" i="16"/>
  <c r="AC49" i="16"/>
  <c r="AC182" i="16"/>
  <c r="AC194" i="16"/>
  <c r="AC278" i="16"/>
  <c r="AC271" i="16"/>
  <c r="AC170" i="16"/>
  <c r="AC131" i="16"/>
  <c r="AC199" i="16"/>
  <c r="AC152" i="16"/>
  <c r="AC267" i="16"/>
  <c r="AC91" i="16"/>
  <c r="AC76" i="16"/>
  <c r="AC259" i="16"/>
  <c r="AC348" i="16"/>
  <c r="AC378" i="16"/>
  <c r="AC282" i="16"/>
  <c r="AC233" i="16"/>
  <c r="AC126" i="16"/>
  <c r="AC203" i="16"/>
  <c r="AC223" i="16"/>
  <c r="AC80" i="16"/>
  <c r="AC65" i="16"/>
  <c r="AC84" i="16"/>
  <c r="AC58" i="16"/>
  <c r="AC81" i="16"/>
  <c r="AC68" i="16"/>
  <c r="AC96" i="16"/>
  <c r="AC60" i="16"/>
  <c r="AC83" i="16"/>
  <c r="AC72" i="16"/>
  <c r="AC101" i="16"/>
  <c r="AC46" i="16"/>
  <c r="AC93" i="16"/>
  <c r="AC51" i="16"/>
  <c r="AC69" i="16"/>
  <c r="AC64" i="16"/>
  <c r="AC104" i="16"/>
  <c r="AC78" i="16"/>
  <c r="AC55" i="16"/>
  <c r="AC73" i="16"/>
  <c r="AC102" i="16"/>
  <c r="AC92" i="16"/>
  <c r="AC57" i="16"/>
  <c r="AC103" i="16"/>
  <c r="AC94" i="16"/>
  <c r="AC86" i="16"/>
  <c r="AC222" i="16"/>
  <c r="AC358" i="16"/>
  <c r="AC189" i="16"/>
  <c r="AC327" i="16"/>
  <c r="AC258" i="16"/>
  <c r="AC317" i="16"/>
  <c r="AC118" i="16"/>
  <c r="AC362" i="16"/>
  <c r="AC183" i="16"/>
  <c r="AC270" i="16"/>
  <c r="AC141" i="16"/>
  <c r="AC234" i="16"/>
  <c r="AC173" i="16"/>
  <c r="AC168" i="16"/>
  <c r="AC151" i="16"/>
  <c r="AC328" i="16"/>
  <c r="AC326" i="16"/>
  <c r="AC54" i="16"/>
  <c r="AC329" i="16"/>
  <c r="AC281" i="16"/>
  <c r="AC225" i="16"/>
  <c r="AC324" i="16"/>
  <c r="AC248" i="16"/>
  <c r="AC318" i="16"/>
  <c r="AC139" i="16"/>
  <c r="AC367" i="16"/>
  <c r="AC77" i="16"/>
  <c r="AC100" i="16"/>
  <c r="AC299" i="16"/>
  <c r="AC210" i="16"/>
  <c r="AC113" i="16"/>
  <c r="AC325" i="16"/>
  <c r="AC380" i="16"/>
  <c r="AC302" i="16"/>
  <c r="AC193" i="16"/>
  <c r="AC155" i="16"/>
  <c r="AC217" i="16"/>
  <c r="AC50" i="16"/>
  <c r="AC47" i="16"/>
  <c r="AC97" i="16"/>
  <c r="AC52" i="16"/>
  <c r="AC70" i="16"/>
  <c r="AC66" i="16"/>
  <c r="AC95" i="16"/>
  <c r="AC82" i="16"/>
  <c r="AC48" i="16"/>
  <c r="AC71" i="16"/>
  <c r="AC98" i="16"/>
  <c r="AC85" i="16"/>
  <c r="AC59" i="16"/>
  <c r="AC74" i="16"/>
  <c r="AC105" i="16"/>
  <c r="AC61" i="16"/>
  <c r="AC99" i="16"/>
  <c r="AC273" i="16"/>
  <c r="AC298" i="16"/>
  <c r="AC284" i="16"/>
  <c r="AC138" i="16"/>
  <c r="AC136" i="16"/>
  <c r="AC340" i="16"/>
  <c r="AC265" i="16"/>
  <c r="AC130" i="16"/>
  <c r="AC166" i="16"/>
  <c r="AC296" i="16"/>
  <c r="AC227" i="16"/>
  <c r="AC338" i="16"/>
  <c r="AC360" i="16"/>
  <c r="AC290" i="16"/>
  <c r="AC376" i="16"/>
  <c r="AC116" i="16"/>
  <c r="AC119" i="16"/>
  <c r="AC146" i="16"/>
  <c r="AC207" i="16"/>
  <c r="AC285" i="16"/>
  <c r="AC250" i="16"/>
  <c r="AC293" i="16"/>
  <c r="AC289" i="16"/>
  <c r="AC202" i="16"/>
  <c r="AC333" i="16"/>
  <c r="AC191" i="16"/>
  <c r="AC218" i="16"/>
  <c r="AC266" i="16"/>
  <c r="AC337" i="16"/>
  <c r="AC365" i="16"/>
  <c r="AC341" i="16"/>
  <c r="AC253" i="16"/>
  <c r="AC370" i="16"/>
  <c r="AC291" i="16"/>
  <c r="AC132" i="16"/>
  <c r="AC157" i="16"/>
  <c r="AC122" i="16"/>
  <c r="AC297" i="16"/>
  <c r="AC224" i="16"/>
  <c r="AC309" i="16"/>
  <c r="AC292" i="16"/>
  <c r="AC303" i="16"/>
  <c r="AC347" i="16"/>
  <c r="AC339" i="16"/>
  <c r="AC354" i="16"/>
  <c r="AC201" i="16"/>
  <c r="AC158" i="16"/>
  <c r="AC204" i="16"/>
  <c r="AC144" i="16"/>
  <c r="AC295" i="16"/>
  <c r="AC331" i="16"/>
  <c r="AC345" i="16"/>
  <c r="AC115" i="16"/>
  <c r="AC206" i="16"/>
  <c r="AC243" i="16"/>
  <c r="AC198" i="16"/>
  <c r="AC264" i="16"/>
  <c r="AC275" i="16"/>
  <c r="AC186" i="16"/>
  <c r="AC321" i="16"/>
  <c r="AC174" i="16"/>
  <c r="AC205" i="16"/>
  <c r="AC133" i="16"/>
  <c r="AC247" i="16"/>
  <c r="AC305" i="16"/>
  <c r="AC350" i="16"/>
  <c r="AC196" i="16"/>
  <c r="AC363" i="16"/>
  <c r="AC232" i="16"/>
  <c r="AC379" i="16"/>
  <c r="AC121" i="16"/>
  <c r="AC134" i="16"/>
  <c r="AC162" i="16"/>
  <c r="AC163" i="16"/>
  <c r="AC313" i="16"/>
  <c r="AC164" i="16"/>
  <c r="AC359" i="16"/>
  <c r="AC226" i="16"/>
  <c r="AC335" i="16"/>
  <c r="AC261" i="16"/>
  <c r="AC251" i="16"/>
  <c r="AC172" i="16"/>
  <c r="AC357" i="16"/>
  <c r="AC307" i="16"/>
  <c r="AC283" i="16"/>
  <c r="AC342" i="16"/>
  <c r="AC149" i="16"/>
  <c r="AC230" i="16"/>
  <c r="AC213" i="16"/>
  <c r="AC147" i="16"/>
  <c r="AC192" i="16"/>
  <c r="AC322" i="16"/>
  <c r="AC272" i="16"/>
  <c r="AC180" i="16"/>
  <c r="AC332" i="16"/>
  <c r="AC140" i="16"/>
  <c r="AC123" i="16"/>
  <c r="AC150" i="16"/>
  <c r="AC215" i="16"/>
  <c r="AC237" i="16"/>
  <c r="AC178" i="16"/>
  <c r="AC169" i="16"/>
  <c r="AC352" i="16"/>
  <c r="AC137" i="16"/>
  <c r="AC240" i="16"/>
  <c r="AC160" i="16"/>
  <c r="AC114" i="16"/>
  <c r="AC254" i="16"/>
  <c r="AC356" i="16"/>
  <c r="AC349" i="16"/>
  <c r="AC276" i="16"/>
  <c r="AC300" i="16"/>
  <c r="AC377" i="16"/>
  <c r="AC263" i="16"/>
  <c r="AC304" i="16"/>
  <c r="AC175" i="16"/>
  <c r="AC156" i="16"/>
  <c r="AC221" i="16"/>
  <c r="AC257" i="16"/>
  <c r="AC314" i="16"/>
  <c r="AC256" i="16"/>
  <c r="AC371" i="16"/>
  <c r="AC154" i="16"/>
  <c r="AC165" i="16"/>
  <c r="AC308" i="16"/>
  <c r="AC117" i="16"/>
  <c r="AC238" i="16"/>
  <c r="AC159" i="16"/>
  <c r="AC120" i="16"/>
  <c r="AC145" i="16"/>
  <c r="AC171" i="16"/>
  <c r="AC188" i="16"/>
  <c r="AC195" i="16"/>
  <c r="AC269" i="16"/>
  <c r="AC181" i="16"/>
  <c r="AC330" i="16"/>
  <c r="AC184" i="16"/>
  <c r="AC375" i="16"/>
  <c r="AC242" i="16"/>
  <c r="AC219" i="16"/>
  <c r="AC153" i="16"/>
  <c r="AC372" i="16"/>
  <c r="AC274" i="16"/>
  <c r="AC262" i="16"/>
  <c r="AC187" i="16"/>
  <c r="AC108" i="16"/>
  <c r="AC277" i="16"/>
  <c r="AC361" i="16"/>
  <c r="AC301" i="16"/>
  <c r="AC124" i="16"/>
  <c r="AC208" i="16"/>
  <c r="AC286" i="16"/>
  <c r="AC228" i="16"/>
  <c r="AC355" i="16"/>
  <c r="AC312" i="16"/>
  <c r="AC235" i="16"/>
  <c r="AC374" i="16"/>
  <c r="AC280" i="16"/>
  <c r="AC323" i="16"/>
  <c r="AC229" i="16"/>
  <c r="AC190" i="16"/>
  <c r="AC268" i="16"/>
  <c r="AC311" i="16"/>
  <c r="AC252" i="16"/>
  <c r="AC110" i="16"/>
  <c r="AC128" i="16"/>
  <c r="AC236" i="16"/>
  <c r="AC212" i="16"/>
  <c r="AC200" i="16"/>
  <c r="AC288" i="16"/>
  <c r="AC368" i="16"/>
  <c r="AC177" i="16"/>
  <c r="AC112" i="16"/>
  <c r="AC143" i="16"/>
  <c r="AC211" i="16"/>
  <c r="AC176" i="16"/>
  <c r="AC310" i="16"/>
  <c r="AC246" i="16"/>
  <c r="AC167" i="16"/>
  <c r="AC216" i="16"/>
  <c r="AC241" i="16"/>
  <c r="AC279" i="16"/>
  <c r="AC343" i="16"/>
  <c r="AC107" i="16"/>
  <c r="AC148" i="16"/>
  <c r="AC287" i="16"/>
  <c r="AC125" i="16"/>
  <c r="AC220" i="16"/>
  <c r="AC109" i="16"/>
  <c r="AC245" i="16"/>
  <c r="AC351" i="16"/>
  <c r="AC111" i="16"/>
  <c r="AC185" i="16"/>
  <c r="AC135" i="16"/>
  <c r="AC231" i="16"/>
  <c r="AC306" i="16"/>
  <c r="AC320" i="16"/>
  <c r="AC353" i="16"/>
  <c r="AC142" i="16"/>
  <c r="AC249" i="16"/>
  <c r="AC334" i="16"/>
  <c r="AC255" i="16"/>
  <c r="AC319" i="16"/>
  <c r="AC294" i="16"/>
  <c r="AC209" i="16"/>
  <c r="AC336" i="16"/>
  <c r="AC197" i="16"/>
  <c r="O53" i="16"/>
  <c r="E53" i="16" s="1"/>
  <c r="O44" i="16"/>
  <c r="E44" i="16" s="1"/>
  <c r="O56" i="16"/>
  <c r="E56" i="16" s="1"/>
  <c r="O19" i="16"/>
  <c r="E19" i="16" s="1"/>
  <c r="O82" i="16"/>
  <c r="E82" i="16" s="1"/>
  <c r="O42" i="16"/>
  <c r="E42" i="16" s="1"/>
  <c r="O95" i="16"/>
  <c r="E95" i="16" s="1"/>
  <c r="O50" i="16"/>
  <c r="E50" i="16" s="1"/>
  <c r="O86" i="16"/>
  <c r="E86" i="16" s="1"/>
  <c r="O58" i="16"/>
  <c r="E58" i="16" s="1"/>
  <c r="O101" i="16"/>
  <c r="E101" i="16" s="1"/>
  <c r="O64" i="16"/>
  <c r="E64" i="16" s="1"/>
  <c r="O77" i="16"/>
  <c r="E77" i="16" s="1"/>
  <c r="O36" i="16"/>
  <c r="E36" i="16" s="1"/>
  <c r="O30" i="16"/>
  <c r="E30" i="16" s="1"/>
  <c r="O89" i="16"/>
  <c r="E89" i="16" s="1"/>
  <c r="O21" i="16"/>
  <c r="E21" i="16" s="1"/>
  <c r="O37" i="16"/>
  <c r="E37" i="16" s="1"/>
  <c r="O28" i="16"/>
  <c r="E28" i="16" s="1"/>
  <c r="O72" i="16"/>
  <c r="E72" i="16" s="1"/>
  <c r="O75" i="16"/>
  <c r="E75" i="16" s="1"/>
  <c r="O43" i="16"/>
  <c r="E43" i="16" s="1"/>
  <c r="O35" i="16"/>
  <c r="E35" i="16" s="1"/>
  <c r="O18" i="16"/>
  <c r="E18" i="16" s="1"/>
  <c r="O54" i="16"/>
  <c r="E54" i="16" s="1"/>
  <c r="O16" i="16"/>
  <c r="E16" i="16" s="1"/>
  <c r="O102" i="16"/>
  <c r="E102" i="16" s="1"/>
  <c r="O40" i="16"/>
  <c r="E40" i="16" s="1"/>
  <c r="O87" i="16"/>
  <c r="E87" i="16" s="1"/>
  <c r="O67" i="16"/>
  <c r="E67" i="16" s="1"/>
  <c r="O90" i="16"/>
  <c r="E90" i="16" s="1"/>
  <c r="O70" i="16"/>
  <c r="E70" i="16" s="1"/>
  <c r="O23" i="16"/>
  <c r="E23" i="16" s="1"/>
  <c r="O29" i="16"/>
  <c r="O41" i="16"/>
  <c r="E41" i="16" s="1"/>
  <c r="O69" i="16"/>
  <c r="E69" i="16" s="1"/>
  <c r="O27" i="16"/>
  <c r="E27" i="16" s="1"/>
  <c r="O88" i="16"/>
  <c r="O60" i="16"/>
  <c r="O93" i="16"/>
  <c r="E93" i="16" s="1"/>
  <c r="O71" i="16"/>
  <c r="E71" i="16" s="1"/>
  <c r="O17" i="16"/>
  <c r="E17" i="16" s="1"/>
  <c r="O104" i="16"/>
  <c r="E104" i="16" s="1"/>
  <c r="O34" i="16"/>
  <c r="E34" i="16" s="1"/>
  <c r="O92" i="16"/>
  <c r="E92" i="16" s="1"/>
  <c r="O155" i="16"/>
  <c r="E155" i="16" s="1"/>
  <c r="O307" i="16"/>
  <c r="E307" i="16" s="1"/>
  <c r="O306" i="16"/>
  <c r="E306" i="16" s="1"/>
  <c r="O378" i="16"/>
  <c r="E378" i="16" s="1"/>
  <c r="O79" i="17"/>
  <c r="E79" i="17" s="1"/>
  <c r="O123" i="17"/>
  <c r="E123" i="17" s="1"/>
  <c r="O145" i="16"/>
  <c r="E145" i="16" s="1"/>
  <c r="O147" i="16"/>
  <c r="E147" i="16" s="1"/>
  <c r="O196" i="16"/>
  <c r="E196" i="16" s="1"/>
  <c r="O159" i="16"/>
  <c r="E159" i="16" s="1"/>
  <c r="O179" i="16"/>
  <c r="E179" i="16" s="1"/>
  <c r="O210" i="16"/>
  <c r="O267" i="16"/>
  <c r="E267" i="16" s="1"/>
  <c r="O224" i="16"/>
  <c r="E224" i="16" s="1"/>
  <c r="O274" i="16"/>
  <c r="E274" i="16" s="1"/>
  <c r="O330" i="16"/>
  <c r="E330" i="16" s="1"/>
  <c r="O193" i="16"/>
  <c r="E193" i="16" s="1"/>
  <c r="O373" i="16"/>
  <c r="E373" i="16" s="1"/>
  <c r="O98" i="17"/>
  <c r="E98" i="17" s="1"/>
  <c r="O120" i="16"/>
  <c r="E120" i="16" s="1"/>
  <c r="O203" i="16"/>
  <c r="E203" i="16" s="1"/>
  <c r="O187" i="16"/>
  <c r="E187" i="16" s="1"/>
  <c r="O254" i="16"/>
  <c r="E254" i="16" s="1"/>
  <c r="O278" i="16"/>
  <c r="E278" i="16" s="1"/>
  <c r="O309" i="16"/>
  <c r="E309" i="16" s="1"/>
  <c r="O232" i="16"/>
  <c r="E232" i="16" s="1"/>
  <c r="O251" i="16"/>
  <c r="E251" i="16" s="1"/>
  <c r="O287" i="16"/>
  <c r="E287" i="16" s="1"/>
  <c r="O322" i="16"/>
  <c r="E322" i="16" s="1"/>
  <c r="O336" i="16"/>
  <c r="E336" i="16" s="1"/>
  <c r="O340" i="16"/>
  <c r="E340" i="16" s="1"/>
  <c r="O370" i="16"/>
  <c r="E370" i="16" s="1"/>
  <c r="O29" i="17"/>
  <c r="O23" i="17"/>
  <c r="E23" i="17" s="1"/>
  <c r="O96" i="17"/>
  <c r="E96" i="17" s="1"/>
  <c r="O113" i="17"/>
  <c r="E113" i="17" s="1"/>
  <c r="O21" i="17"/>
  <c r="E21" i="17" s="1"/>
  <c r="O47" i="17"/>
  <c r="E47" i="17" s="1"/>
  <c r="O49" i="16"/>
  <c r="E49" i="16" s="1"/>
  <c r="O51" i="16"/>
  <c r="E51" i="16" s="1"/>
  <c r="O46" i="16"/>
  <c r="E46" i="16" s="1"/>
  <c r="O97" i="16"/>
  <c r="E97" i="16" s="1"/>
  <c r="O66" i="16"/>
  <c r="E66" i="16" s="1"/>
  <c r="O25" i="16"/>
  <c r="E25" i="16" s="1"/>
  <c r="O94" i="16"/>
  <c r="E94" i="16" s="1"/>
  <c r="O55" i="16"/>
  <c r="E55" i="16" s="1"/>
  <c r="O80" i="16"/>
  <c r="E80" i="16" s="1"/>
  <c r="O26" i="16"/>
  <c r="E26" i="16" s="1"/>
  <c r="O99" i="16"/>
  <c r="E99" i="16" s="1"/>
  <c r="O59" i="16"/>
  <c r="E59" i="16" s="1"/>
  <c r="O32" i="16"/>
  <c r="E32" i="16" s="1"/>
  <c r="O74" i="16"/>
  <c r="E74" i="16" s="1"/>
  <c r="O84" i="16"/>
  <c r="E84" i="16" s="1"/>
  <c r="O100" i="16"/>
  <c r="E100" i="16" s="1"/>
  <c r="O47" i="16"/>
  <c r="E47" i="16" s="1"/>
  <c r="O38" i="16"/>
  <c r="E38" i="16" s="1"/>
  <c r="O62" i="16"/>
  <c r="E62" i="16" s="1"/>
  <c r="O76" i="16"/>
  <c r="E76" i="16" s="1"/>
  <c r="O79" i="16"/>
  <c r="E79" i="16" s="1"/>
  <c r="O85" i="16"/>
  <c r="E85" i="16" s="1"/>
  <c r="O63" i="16"/>
  <c r="E63" i="16" s="1"/>
  <c r="O73" i="16"/>
  <c r="E73" i="16" s="1"/>
  <c r="O31" i="16"/>
  <c r="E31" i="16" s="1"/>
  <c r="O48" i="16"/>
  <c r="E48" i="16" s="1"/>
  <c r="O105" i="16"/>
  <c r="E105" i="16" s="1"/>
  <c r="O52" i="16"/>
  <c r="E52" i="16" s="1"/>
  <c r="O15" i="16"/>
  <c r="O103" i="16"/>
  <c r="E103" i="16" s="1"/>
  <c r="O39" i="16"/>
  <c r="E39" i="16" s="1"/>
  <c r="O98" i="16"/>
  <c r="E98" i="16" s="1"/>
  <c r="O22" i="16"/>
  <c r="E22" i="16" s="1"/>
  <c r="O83" i="16"/>
  <c r="E83" i="16" s="1"/>
  <c r="O68" i="16"/>
  <c r="E68" i="16" s="1"/>
  <c r="O20" i="16"/>
  <c r="E20" i="16" s="1"/>
  <c r="O45" i="16"/>
  <c r="E45" i="16" s="1"/>
  <c r="O61" i="16"/>
  <c r="E61" i="16" s="1"/>
  <c r="O81" i="16"/>
  <c r="E81" i="16" s="1"/>
  <c r="O65" i="16"/>
  <c r="E65" i="16" s="1"/>
  <c r="O24" i="16"/>
  <c r="E24" i="16" s="1"/>
  <c r="O91" i="16"/>
  <c r="E91" i="16" s="1"/>
  <c r="O33" i="16"/>
  <c r="E33" i="16" s="1"/>
  <c r="O78" i="16"/>
  <c r="E78" i="16" s="1"/>
  <c r="O57" i="16"/>
  <c r="E57" i="16" s="1"/>
  <c r="O96" i="16"/>
  <c r="E96" i="16" s="1"/>
  <c r="O124" i="16"/>
  <c r="E124" i="16" s="1"/>
  <c r="O209" i="16"/>
  <c r="E209" i="16" s="1"/>
  <c r="O265" i="16"/>
  <c r="E265" i="16" s="1"/>
  <c r="O335" i="16"/>
  <c r="E335" i="16" s="1"/>
  <c r="O55" i="17"/>
  <c r="E55" i="17" s="1"/>
  <c r="O111" i="17"/>
  <c r="E111" i="17" s="1"/>
  <c r="O121" i="16"/>
  <c r="E121" i="16" s="1"/>
  <c r="O125" i="16"/>
  <c r="E125" i="16" s="1"/>
  <c r="O190" i="16"/>
  <c r="E190" i="16" s="1"/>
  <c r="O204" i="16"/>
  <c r="E204" i="16" s="1"/>
  <c r="O166" i="16"/>
  <c r="E166" i="16" s="1"/>
  <c r="O194" i="16"/>
  <c r="E194" i="16" s="1"/>
  <c r="O243" i="16"/>
  <c r="E243" i="16" s="1"/>
  <c r="O291" i="16"/>
  <c r="E291" i="16" s="1"/>
  <c r="O244" i="16"/>
  <c r="E244" i="16" s="1"/>
  <c r="O317" i="16"/>
  <c r="E317" i="16" s="1"/>
  <c r="O115" i="16"/>
  <c r="E115" i="16" s="1"/>
  <c r="O237" i="16"/>
  <c r="E237" i="16" s="1"/>
  <c r="O52" i="17"/>
  <c r="E52" i="17" s="1"/>
  <c r="O128" i="16"/>
  <c r="E128" i="16" s="1"/>
  <c r="O184" i="16"/>
  <c r="E184" i="16" s="1"/>
  <c r="O165" i="16"/>
  <c r="E165" i="16" s="1"/>
  <c r="O220" i="16"/>
  <c r="E220" i="16" s="1"/>
  <c r="O262" i="16"/>
  <c r="E262" i="16" s="1"/>
  <c r="O288" i="16"/>
  <c r="E288" i="16" s="1"/>
  <c r="O223" i="16"/>
  <c r="E223" i="16" s="1"/>
  <c r="O240" i="16"/>
  <c r="E240" i="16" s="1"/>
  <c r="O266" i="16"/>
  <c r="E266" i="16" s="1"/>
  <c r="O311" i="16"/>
  <c r="E311" i="16" s="1"/>
  <c r="O326" i="16"/>
  <c r="E326" i="16" s="1"/>
  <c r="O358" i="16"/>
  <c r="E358" i="16" s="1"/>
  <c r="O352" i="16"/>
  <c r="E352" i="16" s="1"/>
  <c r="O377" i="16"/>
  <c r="E377" i="16" s="1"/>
  <c r="O22" i="17"/>
  <c r="E22" i="17" s="1"/>
  <c r="O70" i="17"/>
  <c r="E70" i="17" s="1"/>
  <c r="O110" i="17"/>
  <c r="E110" i="17" s="1"/>
  <c r="O359" i="16"/>
  <c r="E359" i="16" s="1"/>
  <c r="O50" i="17"/>
  <c r="E50" i="17" s="1"/>
  <c r="O48" i="17"/>
  <c r="E48" i="17" s="1"/>
  <c r="O101" i="17"/>
  <c r="E101" i="17" s="1"/>
  <c r="O357" i="16"/>
  <c r="E357" i="16" s="1"/>
  <c r="O376" i="16"/>
  <c r="E376" i="16" s="1"/>
  <c r="O41" i="17"/>
  <c r="E41" i="17" s="1"/>
  <c r="O81" i="17"/>
  <c r="E81" i="17" s="1"/>
  <c r="O116" i="17"/>
  <c r="E116" i="17" s="1"/>
  <c r="O126" i="16"/>
  <c r="E126" i="16" s="1"/>
  <c r="O272" i="16"/>
  <c r="O113" i="16"/>
  <c r="E113" i="16" s="1"/>
  <c r="O175" i="16"/>
  <c r="E175" i="16" s="1"/>
  <c r="O208" i="16"/>
  <c r="E208" i="16" s="1"/>
  <c r="O300" i="16"/>
  <c r="E300" i="16" s="1"/>
  <c r="O260" i="16"/>
  <c r="E260" i="16" s="1"/>
  <c r="O302" i="16"/>
  <c r="O371" i="16"/>
  <c r="E371" i="16" s="1"/>
  <c r="O77" i="17"/>
  <c r="E77" i="17" s="1"/>
  <c r="O143" i="16"/>
  <c r="E143" i="16" s="1"/>
  <c r="O249" i="16"/>
  <c r="E249" i="16" s="1"/>
  <c r="O282" i="16"/>
  <c r="E282" i="16" s="1"/>
  <c r="O346" i="16"/>
  <c r="E346" i="16" s="1"/>
  <c r="O43" i="17"/>
  <c r="E43" i="17" s="1"/>
  <c r="O88" i="17"/>
  <c r="O108" i="16"/>
  <c r="E108" i="16" s="1"/>
  <c r="O161" i="16"/>
  <c r="E161" i="16" s="1"/>
  <c r="O157" i="16"/>
  <c r="E157" i="16" s="1"/>
  <c r="O214" i="16"/>
  <c r="E214" i="16" s="1"/>
  <c r="O315" i="16"/>
  <c r="E315" i="16" s="1"/>
  <c r="O268" i="16"/>
  <c r="E268" i="16" s="1"/>
  <c r="O308" i="16"/>
  <c r="E308" i="16" s="1"/>
  <c r="O337" i="16"/>
  <c r="E337" i="16" s="1"/>
  <c r="O379" i="16"/>
  <c r="O57" i="17"/>
  <c r="E57" i="17" s="1"/>
  <c r="O82" i="17"/>
  <c r="E82" i="17" s="1"/>
  <c r="O119" i="16"/>
  <c r="O227" i="16"/>
  <c r="E227" i="16" s="1"/>
  <c r="O26" i="17"/>
  <c r="E26" i="17" s="1"/>
  <c r="O110" i="16"/>
  <c r="E110" i="16" s="1"/>
  <c r="O169" i="16"/>
  <c r="E169" i="16" s="1"/>
  <c r="O163" i="16"/>
  <c r="E163" i="16" s="1"/>
  <c r="O217" i="16"/>
  <c r="E217" i="16" s="1"/>
  <c r="O275" i="16"/>
  <c r="E275" i="16" s="1"/>
  <c r="O228" i="16"/>
  <c r="E228" i="16" s="1"/>
  <c r="O284" i="16"/>
  <c r="E284" i="16" s="1"/>
  <c r="O334" i="16"/>
  <c r="E334" i="16" s="1"/>
  <c r="O233" i="16"/>
  <c r="E233" i="16" s="1"/>
  <c r="O343" i="16"/>
  <c r="E343" i="16" s="1"/>
  <c r="O355" i="16"/>
  <c r="E355" i="16" s="1"/>
  <c r="O375" i="16"/>
  <c r="E375" i="16" s="1"/>
  <c r="O39" i="17"/>
  <c r="E39" i="17" s="1"/>
  <c r="O73" i="17"/>
  <c r="E73" i="17" s="1"/>
  <c r="O114" i="17"/>
  <c r="E114" i="17" s="1"/>
  <c r="O372" i="16"/>
  <c r="E372" i="16" s="1"/>
  <c r="O71" i="17"/>
  <c r="E71" i="17" s="1"/>
  <c r="O329" i="16"/>
  <c r="E329" i="16" s="1"/>
  <c r="O61" i="17"/>
  <c r="E61" i="17" s="1"/>
  <c r="O109" i="17"/>
  <c r="E109" i="17" s="1"/>
  <c r="O270" i="16"/>
  <c r="E270" i="16" s="1"/>
  <c r="O356" i="16"/>
  <c r="E356" i="16" s="1"/>
  <c r="O104" i="17"/>
  <c r="E104" i="17" s="1"/>
  <c r="O148" i="16"/>
  <c r="E148" i="16" s="1"/>
  <c r="O189" i="16"/>
  <c r="E189" i="16" s="1"/>
  <c r="O235" i="16"/>
  <c r="E235" i="16" s="1"/>
  <c r="O367" i="16"/>
  <c r="E367" i="16" s="1"/>
  <c r="O42" i="17"/>
  <c r="E42" i="17" s="1"/>
  <c r="O91" i="17"/>
  <c r="E91" i="17" s="1"/>
  <c r="O206" i="16"/>
  <c r="E206" i="16" s="1"/>
  <c r="O327" i="16"/>
  <c r="E327" i="16" s="1"/>
  <c r="O105" i="17"/>
  <c r="E105" i="17" s="1"/>
  <c r="O123" i="16"/>
  <c r="E123" i="16" s="1"/>
  <c r="O176" i="16"/>
  <c r="E176" i="16" s="1"/>
  <c r="O213" i="16"/>
  <c r="E213" i="16" s="1"/>
  <c r="O328" i="16"/>
  <c r="E328" i="16" s="1"/>
  <c r="O20" i="17"/>
  <c r="E20" i="17" s="1"/>
  <c r="O78" i="17"/>
  <c r="E78" i="17" s="1"/>
  <c r="O310" i="16"/>
  <c r="E310" i="16" s="1"/>
  <c r="O323" i="16"/>
  <c r="E323" i="16" s="1"/>
  <c r="O295" i="16"/>
  <c r="E295" i="16" s="1"/>
  <c r="O153" i="16"/>
  <c r="E153" i="16" s="1"/>
  <c r="O178" i="16"/>
  <c r="E178" i="16" s="1"/>
  <c r="O44" i="17"/>
  <c r="E44" i="17" s="1"/>
  <c r="O118" i="17"/>
  <c r="E118" i="17" s="1"/>
  <c r="O312" i="16"/>
  <c r="E312" i="16" s="1"/>
  <c r="O120" i="17"/>
  <c r="E120" i="17" s="1"/>
  <c r="O180" i="16"/>
  <c r="O80" i="17"/>
  <c r="E80" i="17" s="1"/>
  <c r="O121" i="17"/>
  <c r="E121" i="17" s="1"/>
  <c r="O350" i="16"/>
  <c r="E350" i="16" s="1"/>
  <c r="O32" i="17"/>
  <c r="E32" i="17" s="1"/>
  <c r="O59" i="17"/>
  <c r="E59" i="17" s="1"/>
  <c r="O92" i="17"/>
  <c r="E92" i="17" s="1"/>
  <c r="O119" i="17"/>
  <c r="O215" i="16"/>
  <c r="E215" i="16" s="1"/>
  <c r="O72" i="17"/>
  <c r="E72" i="17" s="1"/>
  <c r="O114" i="16"/>
  <c r="E114" i="16" s="1"/>
  <c r="O212" i="16"/>
  <c r="E212" i="16" s="1"/>
  <c r="O253" i="16"/>
  <c r="E253" i="16" s="1"/>
  <c r="O225" i="16"/>
  <c r="E225" i="16" s="1"/>
  <c r="O283" i="16"/>
  <c r="E283" i="16" s="1"/>
  <c r="O332" i="16"/>
  <c r="E332" i="16" s="1"/>
  <c r="O49" i="17"/>
  <c r="E49" i="17" s="1"/>
  <c r="O106" i="17"/>
  <c r="E106" i="17" s="1"/>
  <c r="O177" i="16"/>
  <c r="E177" i="16" s="1"/>
  <c r="O218" i="16"/>
  <c r="E218" i="16" s="1"/>
  <c r="O331" i="16"/>
  <c r="E331" i="16" s="1"/>
  <c r="O27" i="17"/>
  <c r="E27" i="17" s="1"/>
  <c r="O87" i="17"/>
  <c r="E87" i="17" s="1"/>
  <c r="O131" i="16"/>
  <c r="E131" i="16" s="1"/>
  <c r="O134" i="16"/>
  <c r="E134" i="16" s="1"/>
  <c r="O160" i="16"/>
  <c r="E160" i="16" s="1"/>
  <c r="O185" i="16"/>
  <c r="E185" i="16" s="1"/>
  <c r="O259" i="16"/>
  <c r="E259" i="16" s="1"/>
  <c r="O229" i="16"/>
  <c r="E229" i="16" s="1"/>
  <c r="O289" i="16"/>
  <c r="E289" i="16" s="1"/>
  <c r="O348" i="16"/>
  <c r="E348" i="16" s="1"/>
  <c r="O354" i="16"/>
  <c r="E354" i="16" s="1"/>
  <c r="O31" i="17"/>
  <c r="E31" i="17" s="1"/>
  <c r="O38" i="17"/>
  <c r="E38" i="17" s="1"/>
  <c r="O99" i="17"/>
  <c r="E99" i="17" s="1"/>
  <c r="O181" i="16"/>
  <c r="E181" i="16" s="1"/>
  <c r="O341" i="16"/>
  <c r="E341" i="16" s="1"/>
  <c r="O94" i="17"/>
  <c r="E94" i="17" s="1"/>
  <c r="O111" i="16"/>
  <c r="E111" i="16" s="1"/>
  <c r="O199" i="16"/>
  <c r="E199" i="16" s="1"/>
  <c r="O183" i="16"/>
  <c r="E183" i="16" s="1"/>
  <c r="O248" i="16"/>
  <c r="E248" i="16" s="1"/>
  <c r="O304" i="16"/>
  <c r="E304" i="16" s="1"/>
  <c r="O246" i="16"/>
  <c r="E246" i="16" s="1"/>
  <c r="O321" i="16"/>
  <c r="E321" i="16" s="1"/>
  <c r="O129" i="16"/>
  <c r="E129" i="16" s="1"/>
  <c r="O277" i="16"/>
  <c r="E277" i="16" s="1"/>
  <c r="O15" i="17"/>
  <c r="O347" i="16"/>
  <c r="E347" i="16" s="1"/>
  <c r="O30" i="17"/>
  <c r="E30" i="17" s="1"/>
  <c r="O46" i="17"/>
  <c r="E46" i="17" s="1"/>
  <c r="O90" i="17"/>
  <c r="E90" i="17" s="1"/>
  <c r="O117" i="17"/>
  <c r="E117" i="17" s="1"/>
  <c r="O33" i="17"/>
  <c r="E33" i="17" s="1"/>
  <c r="O112" i="17"/>
  <c r="E112" i="17" s="1"/>
  <c r="O17" i="17"/>
  <c r="E17" i="17" s="1"/>
  <c r="O86" i="17"/>
  <c r="E86" i="17" s="1"/>
  <c r="O167" i="16"/>
  <c r="E167" i="16" s="1"/>
  <c r="O293" i="16"/>
  <c r="E293" i="16" s="1"/>
  <c r="O40" i="17"/>
  <c r="E40" i="17" s="1"/>
  <c r="O150" i="16"/>
  <c r="E150" i="16" s="1"/>
  <c r="O173" i="16"/>
  <c r="E173" i="16" s="1"/>
  <c r="O271" i="16"/>
  <c r="E271" i="16" s="1"/>
  <c r="O294" i="16"/>
  <c r="E294" i="16" s="1"/>
  <c r="O360" i="16"/>
  <c r="E360" i="16" s="1"/>
  <c r="O51" i="17"/>
  <c r="E51" i="17" s="1"/>
  <c r="O118" i="16"/>
  <c r="E118" i="16" s="1"/>
  <c r="O252" i="16"/>
  <c r="E252" i="16" s="1"/>
  <c r="O45" i="17"/>
  <c r="E45" i="17" s="1"/>
  <c r="O117" i="16"/>
  <c r="E117" i="16" s="1"/>
  <c r="O141" i="16"/>
  <c r="E141" i="16" s="1"/>
  <c r="O242" i="16"/>
  <c r="E242" i="16" s="1"/>
  <c r="O280" i="16"/>
  <c r="E280" i="16" s="1"/>
  <c r="O344" i="16"/>
  <c r="E344" i="16" s="1"/>
  <c r="O36" i="17"/>
  <c r="E36" i="17" s="1"/>
  <c r="O257" i="16"/>
  <c r="E257" i="16" s="1"/>
  <c r="O255" i="16"/>
  <c r="E255" i="16" s="1"/>
  <c r="O174" i="16"/>
  <c r="E174" i="16" s="1"/>
  <c r="O63" i="17"/>
  <c r="E63" i="17" s="1"/>
  <c r="O195" i="16"/>
  <c r="E195" i="16" s="1"/>
  <c r="O241" i="16"/>
  <c r="O76" i="17"/>
  <c r="E76" i="17" s="1"/>
  <c r="O164" i="16"/>
  <c r="E164" i="16" s="1"/>
  <c r="O380" i="16"/>
  <c r="E380" i="16" s="1"/>
  <c r="O142" i="16"/>
  <c r="E142" i="16" s="1"/>
  <c r="O349" i="16"/>
  <c r="E349" i="16" s="1"/>
  <c r="O56" i="17"/>
  <c r="E56" i="17" s="1"/>
  <c r="O256" i="16"/>
  <c r="E256" i="16" s="1"/>
  <c r="O95" i="17"/>
  <c r="E95" i="17" s="1"/>
  <c r="O156" i="16"/>
  <c r="E156" i="16" s="1"/>
  <c r="O261" i="16"/>
  <c r="E261" i="16" s="1"/>
  <c r="O264" i="16"/>
  <c r="E264" i="16" s="1"/>
  <c r="O172" i="16"/>
  <c r="E172" i="16" s="1"/>
  <c r="O75" i="17"/>
  <c r="E75" i="17" s="1"/>
  <c r="O107" i="16"/>
  <c r="E107" i="16" s="1"/>
  <c r="O197" i="16"/>
  <c r="E197" i="16" s="1"/>
  <c r="O182" i="16"/>
  <c r="E182" i="16" s="1"/>
  <c r="O247" i="16"/>
  <c r="E247" i="16" s="1"/>
  <c r="O303" i="16"/>
  <c r="E303" i="16" s="1"/>
  <c r="O245" i="16"/>
  <c r="E245" i="16" s="1"/>
  <c r="O319" i="16"/>
  <c r="E319" i="16" s="1"/>
  <c r="O364" i="16"/>
  <c r="E364" i="16" s="1"/>
  <c r="O64" i="17"/>
  <c r="E64" i="17" s="1"/>
  <c r="O345" i="16"/>
  <c r="E345" i="16" s="1"/>
  <c r="O115" i="17"/>
  <c r="E115" i="17" s="1"/>
  <c r="O107" i="17"/>
  <c r="E107" i="17" s="1"/>
  <c r="O362" i="16"/>
  <c r="E362" i="16" s="1"/>
  <c r="O130" i="16"/>
  <c r="E130" i="16" s="1"/>
  <c r="O318" i="16"/>
  <c r="E318" i="16" s="1"/>
  <c r="O18" i="17"/>
  <c r="E18" i="17" s="1"/>
  <c r="O205" i="16"/>
  <c r="E205" i="16" s="1"/>
  <c r="O66" i="17"/>
  <c r="E66" i="17" s="1"/>
  <c r="O188" i="16"/>
  <c r="E188" i="16" s="1"/>
  <c r="O298" i="16"/>
  <c r="E298" i="16" s="1"/>
  <c r="O65" i="17"/>
  <c r="E65" i="17" s="1"/>
  <c r="O13" i="7"/>
  <c r="O234" i="16"/>
  <c r="E234" i="16" s="1"/>
  <c r="O361" i="16"/>
  <c r="E361" i="16" s="1"/>
  <c r="O202" i="16"/>
  <c r="E202" i="16" s="1"/>
  <c r="O363" i="16"/>
  <c r="O60" i="17"/>
  <c r="O338" i="16"/>
  <c r="E338" i="16" s="1"/>
  <c r="O106" i="16"/>
  <c r="E106" i="16" s="1"/>
  <c r="O68" i="17"/>
  <c r="E68" i="17" s="1"/>
  <c r="O238" i="16"/>
  <c r="E238" i="16" s="1"/>
  <c r="O136" i="16"/>
  <c r="E136" i="16" s="1"/>
  <c r="O138" i="16"/>
  <c r="E138" i="16" s="1"/>
  <c r="O168" i="16"/>
  <c r="E168" i="16" s="1"/>
  <c r="O281" i="16"/>
  <c r="E281" i="16" s="1"/>
  <c r="O297" i="16"/>
  <c r="E297" i="16" s="1"/>
  <c r="O58" i="17"/>
  <c r="E58" i="17" s="1"/>
  <c r="O84" i="17"/>
  <c r="E84" i="17" s="1"/>
  <c r="O230" i="16"/>
  <c r="E230" i="16" s="1"/>
  <c r="O231" i="16"/>
  <c r="E231" i="16" s="1"/>
  <c r="O109" i="16"/>
  <c r="E109" i="16" s="1"/>
  <c r="O146" i="16"/>
  <c r="E146" i="16" s="1"/>
  <c r="O54" i="17"/>
  <c r="E54" i="17" s="1"/>
  <c r="O292" i="16"/>
  <c r="E292" i="16" s="1"/>
  <c r="O108" i="17"/>
  <c r="E108" i="17" s="1"/>
  <c r="O37" i="17"/>
  <c r="E37" i="17" s="1"/>
  <c r="O122" i="16"/>
  <c r="E122" i="16" s="1"/>
  <c r="O135" i="16"/>
  <c r="E135" i="16" s="1"/>
  <c r="O285" i="16"/>
  <c r="E285" i="16" s="1"/>
  <c r="O171" i="16"/>
  <c r="E171" i="16" s="1"/>
  <c r="O305" i="16"/>
  <c r="E305" i="16" s="1"/>
  <c r="O83" i="17"/>
  <c r="E83" i="17" s="1"/>
  <c r="O207" i="16"/>
  <c r="E207" i="16" s="1"/>
  <c r="O258" i="16"/>
  <c r="E258" i="16" s="1"/>
  <c r="O263" i="16"/>
  <c r="E263" i="16" s="1"/>
  <c r="O19" i="17"/>
  <c r="E19" i="17" s="1"/>
  <c r="O24" i="17"/>
  <c r="E24" i="17" s="1"/>
  <c r="O112" i="16"/>
  <c r="E112" i="16" s="1"/>
  <c r="O139" i="16"/>
  <c r="E139" i="16" s="1"/>
  <c r="O62" i="17"/>
  <c r="E62" i="17" s="1"/>
  <c r="O122" i="17"/>
  <c r="E122" i="17" s="1"/>
  <c r="O374" i="16"/>
  <c r="E374" i="16" s="1"/>
  <c r="O149" i="16"/>
  <c r="O351" i="16"/>
  <c r="E351" i="16" s="1"/>
  <c r="O137" i="16"/>
  <c r="E137" i="16" s="1"/>
  <c r="O201" i="16"/>
  <c r="E201" i="16" s="1"/>
  <c r="O219" i="16"/>
  <c r="E219" i="16" s="1"/>
  <c r="O325" i="16"/>
  <c r="E325" i="16" s="1"/>
  <c r="O314" i="16"/>
  <c r="E314" i="16" s="1"/>
  <c r="O116" i="16"/>
  <c r="E116" i="16" s="1"/>
  <c r="O152" i="16"/>
  <c r="E152" i="16" s="1"/>
  <c r="O162" i="16"/>
  <c r="E162" i="16" s="1"/>
  <c r="O211" i="16"/>
  <c r="E211" i="16" s="1"/>
  <c r="O269" i="16"/>
  <c r="E269" i="16" s="1"/>
  <c r="O226" i="16"/>
  <c r="E226" i="16" s="1"/>
  <c r="O276" i="16"/>
  <c r="E276" i="16" s="1"/>
  <c r="O333" i="16"/>
  <c r="O53" i="17"/>
  <c r="E53" i="17" s="1"/>
  <c r="O102" i="17"/>
  <c r="E102" i="17" s="1"/>
  <c r="O34" i="17"/>
  <c r="E34" i="17" s="1"/>
  <c r="O25" i="17"/>
  <c r="E25" i="17" s="1"/>
  <c r="O186" i="16"/>
  <c r="E186" i="16" s="1"/>
  <c r="O100" i="17"/>
  <c r="E100" i="17" s="1"/>
  <c r="O170" i="16"/>
  <c r="E170" i="16" s="1"/>
  <c r="O313" i="16"/>
  <c r="E313" i="16" s="1"/>
  <c r="O74" i="17"/>
  <c r="E74" i="17" s="1"/>
  <c r="O301" i="16"/>
  <c r="E301" i="16" s="1"/>
  <c r="O140" i="16"/>
  <c r="E140" i="16" s="1"/>
  <c r="O296" i="16"/>
  <c r="E296" i="16" s="1"/>
  <c r="O366" i="16"/>
  <c r="E366" i="16" s="1"/>
  <c r="AC10" i="17"/>
  <c r="O221" i="16"/>
  <c r="E221" i="16" s="1"/>
  <c r="O353" i="16"/>
  <c r="E353" i="16" s="1"/>
  <c r="O144" i="16"/>
  <c r="E144" i="16" s="1"/>
  <c r="O69" i="17"/>
  <c r="E69" i="17" s="1"/>
  <c r="O316" i="16"/>
  <c r="E316" i="16" s="1"/>
  <c r="O151" i="16"/>
  <c r="E151" i="16" s="1"/>
  <c r="O93" i="17"/>
  <c r="E93" i="17" s="1"/>
  <c r="O154" i="16"/>
  <c r="E154" i="16" s="1"/>
  <c r="O192" i="16"/>
  <c r="E192" i="16" s="1"/>
  <c r="O239" i="16"/>
  <c r="E239" i="16" s="1"/>
  <c r="O16" i="17"/>
  <c r="E16" i="17" s="1"/>
  <c r="O191" i="16"/>
  <c r="E191" i="16" s="1"/>
  <c r="O222" i="16"/>
  <c r="E222" i="16" s="1"/>
  <c r="O236" i="16"/>
  <c r="E236" i="16" s="1"/>
  <c r="O368" i="16"/>
  <c r="E368" i="16" s="1"/>
  <c r="O89" i="17"/>
  <c r="E89" i="17" s="1"/>
  <c r="O67" i="17"/>
  <c r="E67" i="17" s="1"/>
  <c r="O127" i="16"/>
  <c r="E127" i="16" s="1"/>
  <c r="O342" i="16"/>
  <c r="E342" i="16" s="1"/>
  <c r="O369" i="16"/>
  <c r="E369" i="16" s="1"/>
  <c r="O250" i="16"/>
  <c r="E250" i="16" s="1"/>
  <c r="O279" i="16"/>
  <c r="E279" i="16" s="1"/>
  <c r="O290" i="16"/>
  <c r="E290" i="16" s="1"/>
  <c r="O158" i="16"/>
  <c r="E158" i="16" s="1"/>
  <c r="O97" i="17"/>
  <c r="E97" i="17" s="1"/>
  <c r="O339" i="16"/>
  <c r="E339" i="16" s="1"/>
  <c r="O28" i="17"/>
  <c r="E28" i="17" s="1"/>
  <c r="O133" i="16"/>
  <c r="E133" i="16" s="1"/>
  <c r="O286" i="16"/>
  <c r="E286" i="16" s="1"/>
  <c r="O320" i="16"/>
  <c r="E320" i="16" s="1"/>
  <c r="O132" i="16"/>
  <c r="E132" i="16" s="1"/>
  <c r="O200" i="16"/>
  <c r="E200" i="16" s="1"/>
  <c r="O216" i="16"/>
  <c r="E216" i="16" s="1"/>
  <c r="O324" i="16"/>
  <c r="E324" i="16" s="1"/>
  <c r="O85" i="17"/>
  <c r="E85" i="17" s="1"/>
  <c r="O365" i="16"/>
  <c r="E365" i="16" s="1"/>
  <c r="O35" i="17"/>
  <c r="E35" i="17" s="1"/>
  <c r="O273" i="16"/>
  <c r="E273" i="16" s="1"/>
  <c r="O299" i="16"/>
  <c r="E299" i="16" s="1"/>
  <c r="O198" i="16"/>
  <c r="E198" i="16" s="1"/>
  <c r="O103" i="17"/>
  <c r="E103" i="17" s="1"/>
  <c r="AC45" i="17"/>
  <c r="AC33" i="17"/>
  <c r="AC118" i="17"/>
  <c r="AC99" i="17"/>
  <c r="AC32" i="17"/>
  <c r="AC81" i="17"/>
  <c r="AC110" i="17"/>
  <c r="AC82" i="17"/>
  <c r="AC19" i="17"/>
  <c r="AC89" i="17"/>
  <c r="AC98" i="17"/>
  <c r="AC49" i="17"/>
  <c r="AC36" i="17"/>
  <c r="AC22" i="17"/>
  <c r="AC23" i="17"/>
  <c r="AC62" i="17"/>
  <c r="AC116" i="17"/>
  <c r="AC109" i="17"/>
  <c r="AC72" i="17"/>
  <c r="AC100" i="17"/>
  <c r="AC39" i="17"/>
  <c r="AC104" i="17"/>
  <c r="AC55" i="17"/>
  <c r="AC59" i="17"/>
  <c r="AC107" i="17"/>
  <c r="AC43" i="17"/>
  <c r="AC42" i="17"/>
  <c r="AC44" i="17"/>
  <c r="AC97" i="17"/>
  <c r="AC108" i="17"/>
  <c r="AC53" i="17"/>
  <c r="AC106" i="17"/>
  <c r="AC66" i="17"/>
  <c r="AC56" i="17"/>
  <c r="AC68" i="17"/>
  <c r="AC51" i="17"/>
  <c r="AC26" i="17"/>
  <c r="AC73" i="17"/>
  <c r="AC88" i="17"/>
  <c r="AC115" i="17"/>
  <c r="AC48" i="17"/>
  <c r="AC113" i="17"/>
  <c r="AC84" i="17"/>
  <c r="AC75" i="17"/>
  <c r="AC86" i="17"/>
  <c r="AC102" i="17"/>
  <c r="AC105" i="17"/>
  <c r="AC92" i="17"/>
  <c r="AC85" i="17"/>
  <c r="AC83" i="17"/>
  <c r="AC61" i="17"/>
  <c r="AC24" i="17"/>
  <c r="AC38" i="17"/>
  <c r="AC64" i="17"/>
  <c r="AC117" i="17"/>
  <c r="AC34" i="17"/>
  <c r="AC31" i="17"/>
  <c r="AC25" i="17"/>
  <c r="AC112" i="17"/>
  <c r="AC103" i="17"/>
  <c r="AC52" i="17"/>
  <c r="AC87" i="17"/>
  <c r="AC65" i="17"/>
  <c r="AC20" i="17"/>
  <c r="AC50" i="17"/>
  <c r="AC30" i="17"/>
  <c r="AC35" i="17"/>
  <c r="AC114" i="17"/>
  <c r="AC77" i="17"/>
  <c r="AC58" i="17"/>
  <c r="AC93" i="17"/>
  <c r="AC41" i="17"/>
  <c r="AC17" i="17"/>
  <c r="AC29" i="17"/>
  <c r="AC15" i="17"/>
  <c r="AC121" i="17"/>
  <c r="AC70" i="17"/>
  <c r="AC71" i="17"/>
  <c r="AC60" i="17"/>
  <c r="AC40" i="17"/>
  <c r="AC47" i="17"/>
  <c r="AC119" i="17"/>
  <c r="AC27" i="17"/>
  <c r="AC120" i="17"/>
  <c r="AC37" i="17"/>
  <c r="AC67" i="17"/>
  <c r="AC21" i="17"/>
  <c r="AC122" i="17"/>
  <c r="AC123" i="17"/>
  <c r="AC91" i="17"/>
  <c r="AC57" i="17"/>
  <c r="AC63" i="17"/>
  <c r="AC101" i="17"/>
  <c r="AC79" i="17"/>
  <c r="AC46" i="17"/>
  <c r="AC28" i="17"/>
  <c r="AC18" i="17"/>
  <c r="AC96" i="17"/>
  <c r="AC90" i="17"/>
  <c r="AC94" i="17"/>
  <c r="AC16" i="17"/>
  <c r="AC76" i="17"/>
  <c r="AC95" i="17"/>
  <c r="AC80" i="17"/>
  <c r="AC78" i="17"/>
  <c r="AC54" i="17"/>
  <c r="AC74" i="17"/>
  <c r="AC111" i="17"/>
  <c r="AC69" i="17"/>
  <c r="AN13" i="7"/>
  <c r="O11" i="23"/>
  <c r="AY214" i="6"/>
  <c r="AZ214" i="6" s="1"/>
  <c r="AY195" i="6"/>
  <c r="AZ195" i="6" s="1"/>
  <c r="AY221" i="6"/>
  <c r="AZ221" i="6" s="1"/>
  <c r="AY183" i="6"/>
  <c r="AZ183" i="6" s="1"/>
  <c r="AY229" i="6"/>
  <c r="AZ229" i="6" s="1"/>
  <c r="AY231" i="6"/>
  <c r="AZ231" i="6" s="1"/>
  <c r="AY19" i="6"/>
  <c r="AZ19" i="6" s="1"/>
  <c r="AY271" i="6"/>
  <c r="AZ271" i="6" s="1"/>
  <c r="AY34" i="6"/>
  <c r="AZ34" i="6" s="1"/>
  <c r="AY241" i="6"/>
  <c r="AZ241" i="6" s="1"/>
  <c r="AY251" i="6"/>
  <c r="AZ251" i="6" s="1"/>
  <c r="AY281" i="6"/>
  <c r="AZ281" i="6" s="1"/>
  <c r="AZ291" i="6"/>
  <c r="AZ306" i="6"/>
  <c r="AY267" i="6"/>
  <c r="AZ267" i="6" s="1"/>
  <c r="AY278" i="6"/>
  <c r="AZ278" i="6" s="1"/>
  <c r="AY266" i="6"/>
  <c r="AZ266" i="6" s="1"/>
  <c r="AY284" i="6"/>
  <c r="AZ284" i="6" s="1"/>
  <c r="AY287" i="6"/>
  <c r="AZ287" i="6" s="1"/>
  <c r="AY244" i="6"/>
  <c r="AZ244" i="6" s="1"/>
  <c r="AY250" i="6"/>
  <c r="AZ250" i="6" s="1"/>
  <c r="AY222" i="6"/>
  <c r="AZ222" i="6" s="1"/>
  <c r="AY243" i="6"/>
  <c r="AZ243" i="6" s="1"/>
  <c r="AY248" i="6"/>
  <c r="AZ248" i="6" s="1"/>
  <c r="AY270" i="6"/>
  <c r="AZ270" i="6" s="1"/>
  <c r="AY187" i="6"/>
  <c r="AZ187" i="6" s="1"/>
  <c r="AY247" i="6"/>
  <c r="AZ247" i="6" s="1"/>
  <c r="AY255" i="6"/>
  <c r="AZ255" i="6" s="1"/>
  <c r="AY246" i="6"/>
  <c r="AZ246" i="6" s="1"/>
  <c r="AD380" i="6" s="1"/>
  <c r="AD381" i="6" s="1"/>
  <c r="AY286" i="6"/>
  <c r="AZ286" i="6" s="1"/>
  <c r="AY178" i="6"/>
  <c r="AZ178" i="6" s="1"/>
  <c r="AZ132" i="6"/>
  <c r="AY185" i="6"/>
  <c r="AZ185" i="6" s="1"/>
  <c r="AY285" i="6"/>
  <c r="AZ285" i="6" s="1"/>
  <c r="AZ315" i="6"/>
  <c r="AA181" i="1"/>
  <c r="Z181" i="1" s="1"/>
  <c r="Y181" i="1" s="1"/>
  <c r="AZ313" i="6"/>
  <c r="AA36" i="1"/>
  <c r="Z36" i="1" s="1"/>
  <c r="Y36" i="1" s="1"/>
  <c r="AY237" i="6"/>
  <c r="AZ237" i="6" s="1"/>
  <c r="AZ301" i="6"/>
  <c r="AY202" i="6"/>
  <c r="AZ202" i="6" s="1"/>
  <c r="AY207" i="6"/>
  <c r="AZ207" i="6" s="1"/>
  <c r="AY280" i="6"/>
  <c r="AZ280" i="6" s="1"/>
  <c r="AY235" i="6"/>
  <c r="AZ235" i="6" s="1"/>
  <c r="AY236" i="6"/>
  <c r="AZ236" i="6" s="1"/>
  <c r="AY160" i="6"/>
  <c r="AZ160" i="6" s="1"/>
  <c r="AY161" i="6"/>
  <c r="AZ161" i="6" s="1"/>
  <c r="AY165" i="6"/>
  <c r="AZ165" i="6" s="1"/>
  <c r="AY159" i="6"/>
  <c r="AZ159" i="6" s="1"/>
  <c r="AY170" i="6"/>
  <c r="AZ170" i="6" s="1"/>
  <c r="AY154" i="6"/>
  <c r="AZ154" i="6" s="1"/>
  <c r="AY155" i="6"/>
  <c r="AZ155" i="6" s="1"/>
  <c r="AY156" i="6"/>
  <c r="AZ156" i="6" s="1"/>
  <c r="AY150" i="6"/>
  <c r="AZ150" i="6" s="1"/>
  <c r="AY163" i="6"/>
  <c r="AZ163" i="6" s="1"/>
  <c r="AY175" i="6"/>
  <c r="AZ175" i="6" s="1"/>
  <c r="AY158" i="6"/>
  <c r="AZ158" i="6" s="1"/>
  <c r="AY226" i="6"/>
  <c r="AZ226" i="6" s="1"/>
  <c r="AY211" i="6"/>
  <c r="AZ211" i="6" s="1"/>
  <c r="AY167" i="6"/>
  <c r="AZ167" i="6" s="1"/>
  <c r="AY201" i="6"/>
  <c r="AZ201" i="6" s="1"/>
  <c r="AY227" i="6"/>
  <c r="AZ227" i="6" s="1"/>
  <c r="AY192" i="6"/>
  <c r="AZ192" i="6" s="1"/>
  <c r="AZ88" i="6"/>
  <c r="AY177" i="6"/>
  <c r="AZ177" i="6" s="1"/>
  <c r="AY224" i="6"/>
  <c r="AZ224" i="6" s="1"/>
  <c r="AY197" i="6"/>
  <c r="AZ197" i="6" s="1"/>
  <c r="AY203" i="6"/>
  <c r="AZ203" i="6" s="1"/>
  <c r="AY210" i="6"/>
  <c r="AZ210" i="6" s="1"/>
  <c r="AZ80" i="6"/>
  <c r="AZ119" i="6"/>
  <c r="AY172" i="6"/>
  <c r="AZ172" i="6" s="1"/>
  <c r="AY162" i="6"/>
  <c r="AZ162" i="6" s="1"/>
  <c r="X380" i="6" s="1"/>
  <c r="X381" i="6" s="1"/>
  <c r="AZ67" i="6"/>
  <c r="AY151" i="6"/>
  <c r="AZ151" i="6" s="1"/>
  <c r="AY157" i="6"/>
  <c r="AZ157" i="6" s="1"/>
  <c r="AY169" i="6"/>
  <c r="AZ169" i="6" s="1"/>
  <c r="AY166" i="6"/>
  <c r="AZ166" i="6" s="1"/>
  <c r="AY171" i="6"/>
  <c r="AZ171" i="6" s="1"/>
  <c r="AY173" i="6"/>
  <c r="AZ173" i="6" s="1"/>
  <c r="AY174" i="6"/>
  <c r="AZ174" i="6" s="1"/>
  <c r="AY153" i="6"/>
  <c r="AZ153" i="6" s="1"/>
  <c r="AY168" i="6"/>
  <c r="AZ168" i="6" s="1"/>
  <c r="AY164" i="6"/>
  <c r="AZ164" i="6" s="1"/>
  <c r="AY152" i="6"/>
  <c r="AZ152" i="6" s="1"/>
  <c r="AY149" i="6"/>
  <c r="AZ149" i="6" s="1"/>
  <c r="AY32" i="6"/>
  <c r="AZ32" i="6" s="1"/>
  <c r="AY18" i="6"/>
  <c r="AZ18" i="6" s="1"/>
  <c r="F348" i="1"/>
  <c r="AA348" i="1" s="1"/>
  <c r="Z348" i="1" s="1"/>
  <c r="Y348" i="1" s="1"/>
  <c r="AD30" i="1"/>
  <c r="AA30" i="1" s="1"/>
  <c r="Z30" i="1" s="1"/>
  <c r="AZ101" i="6"/>
  <c r="AZ307" i="6"/>
  <c r="AZ70" i="6"/>
  <c r="AZ68" i="6"/>
  <c r="AZ71" i="6"/>
  <c r="AZ106" i="6"/>
  <c r="T380" i="6" s="1"/>
  <c r="T381" i="6" s="1"/>
  <c r="AZ100" i="6"/>
  <c r="AD145" i="1"/>
  <c r="AA145" i="1" s="1"/>
  <c r="Z145" i="1" s="1"/>
  <c r="Y145" i="1" s="1"/>
  <c r="P147" i="1"/>
  <c r="V147" i="1" s="1"/>
  <c r="AA147" i="1" s="1"/>
  <c r="Z147" i="1" s="1"/>
  <c r="Y147" i="1" s="1"/>
  <c r="G169" i="1"/>
  <c r="BW169" i="6" s="1"/>
  <c r="AZ91" i="6"/>
  <c r="AZ102" i="6"/>
  <c r="AZ69" i="6"/>
  <c r="AZ110" i="6"/>
  <c r="AZ128" i="6"/>
  <c r="AZ86" i="6"/>
  <c r="AZ90" i="6"/>
  <c r="I257" i="1"/>
  <c r="AA169" i="1"/>
  <c r="Z169" i="1" s="1"/>
  <c r="Y169" i="1" s="1"/>
  <c r="AZ113" i="6"/>
  <c r="AZ95" i="6"/>
  <c r="AZ93" i="6"/>
  <c r="AD151" i="1"/>
  <c r="AA151" i="1" s="1"/>
  <c r="Z151" i="1" s="1"/>
  <c r="Y151" i="1" s="1"/>
  <c r="P149" i="1"/>
  <c r="D24" i="7" s="1"/>
  <c r="AZ83" i="6"/>
  <c r="AZ129" i="6"/>
  <c r="AZ133" i="6"/>
  <c r="AD26" i="1"/>
  <c r="AA26" i="1" s="1"/>
  <c r="Z26" i="1" s="1"/>
  <c r="Y26" i="1" s="1"/>
  <c r="I371" i="1"/>
  <c r="I266" i="1"/>
  <c r="AZ297" i="6"/>
  <c r="AZ309" i="6"/>
  <c r="AZ116" i="6"/>
  <c r="P25" i="1"/>
  <c r="V25" i="1" s="1"/>
  <c r="AA371" i="1"/>
  <c r="Z371" i="1" s="1"/>
  <c r="Y371" i="1" s="1"/>
  <c r="G295" i="1"/>
  <c r="BW295" i="6" s="1"/>
  <c r="AA266" i="1"/>
  <c r="Z266" i="1" s="1"/>
  <c r="Y266" i="1" s="1"/>
  <c r="AZ75" i="6"/>
  <c r="AZ300" i="6"/>
  <c r="AZ112" i="6"/>
  <c r="AA47" i="1"/>
  <c r="Z47" i="1" s="1"/>
  <c r="Y47" i="1" s="1"/>
  <c r="AA40" i="1"/>
  <c r="Z40" i="1" s="1"/>
  <c r="Y40" i="1" s="1"/>
  <c r="AZ323" i="6"/>
  <c r="AA257" i="1"/>
  <c r="Z257" i="1" s="1"/>
  <c r="Y257" i="1" s="1"/>
  <c r="F345" i="1"/>
  <c r="I345" i="1" s="1"/>
  <c r="G181" i="1"/>
  <c r="BW181" i="6" s="1"/>
  <c r="AZ111" i="6"/>
  <c r="AZ103" i="6"/>
  <c r="AZ105" i="6"/>
  <c r="AZ98" i="6"/>
  <c r="AZ120" i="6"/>
  <c r="U380" i="6" s="1"/>
  <c r="U381" i="6" s="1"/>
  <c r="P154" i="1"/>
  <c r="V154" i="1" s="1"/>
  <c r="P157" i="1"/>
  <c r="V157" i="1" s="1"/>
  <c r="AA157" i="1" s="1"/>
  <c r="Z157" i="1" s="1"/>
  <c r="Y157" i="1" s="1"/>
  <c r="P29" i="1"/>
  <c r="D20" i="7" s="1"/>
  <c r="AZ121" i="6"/>
  <c r="AZ74" i="6"/>
  <c r="AZ66" i="6"/>
  <c r="AA295" i="1"/>
  <c r="Z295" i="1" s="1"/>
  <c r="Y295" i="1" s="1"/>
  <c r="AA269" i="1"/>
  <c r="Z269" i="1" s="1"/>
  <c r="Y269" i="1" s="1"/>
  <c r="G197" i="1"/>
  <c r="BW197" i="6" s="1"/>
  <c r="AZ96" i="6"/>
  <c r="AD154" i="1"/>
  <c r="AA39" i="1"/>
  <c r="Z39" i="1" s="1"/>
  <c r="Y39" i="1" s="1"/>
  <c r="AZ118" i="6"/>
  <c r="AZ115" i="6"/>
  <c r="AZ92" i="6"/>
  <c r="S380" i="6" s="1"/>
  <c r="S381" i="6" s="1"/>
  <c r="AA223" i="1"/>
  <c r="Z223" i="1" s="1"/>
  <c r="Y223" i="1" s="1"/>
  <c r="G223" i="1"/>
  <c r="BW223" i="6" s="1"/>
  <c r="G187" i="1"/>
  <c r="BW187" i="6" s="1"/>
  <c r="I187" i="1"/>
  <c r="AA187" i="1"/>
  <c r="Z187" i="1" s="1"/>
  <c r="Y187" i="1" s="1"/>
  <c r="I170" i="1"/>
  <c r="AZ107" i="6"/>
  <c r="AZ108" i="6"/>
  <c r="AZ127" i="6"/>
  <c r="P136" i="1"/>
  <c r="V136" i="1" s="1"/>
  <c r="AZ130" i="6"/>
  <c r="AZ109" i="6"/>
  <c r="AZ296" i="6"/>
  <c r="AZ294" i="6"/>
  <c r="AZ275" i="6"/>
  <c r="AZ316" i="6"/>
  <c r="AI380" i="6" s="1"/>
  <c r="AI381" i="6" s="1"/>
  <c r="AZ320" i="6"/>
  <c r="AZ76" i="6"/>
  <c r="AZ85" i="6"/>
  <c r="AY269" i="6"/>
  <c r="AZ269" i="6" s="1"/>
  <c r="AY262" i="6"/>
  <c r="AZ262" i="6" s="1"/>
  <c r="AY272" i="6"/>
  <c r="AZ272" i="6" s="1"/>
  <c r="AY264" i="6"/>
  <c r="AZ264" i="6" s="1"/>
  <c r="AY274" i="6"/>
  <c r="AZ274" i="6" s="1"/>
  <c r="AF380" i="6" s="1"/>
  <c r="AF381" i="6" s="1"/>
  <c r="AY230" i="6"/>
  <c r="AZ230" i="6" s="1"/>
  <c r="AY218" i="6"/>
  <c r="AZ218" i="6" s="1"/>
  <c r="AB380" i="6" s="1"/>
  <c r="AB381" i="6" s="1"/>
  <c r="AY258" i="6"/>
  <c r="AZ258" i="6" s="1"/>
  <c r="AY206" i="6"/>
  <c r="AZ206" i="6" s="1"/>
  <c r="AY228" i="6"/>
  <c r="AZ228" i="6" s="1"/>
  <c r="AY215" i="6"/>
  <c r="AZ215" i="6" s="1"/>
  <c r="AY212" i="6"/>
  <c r="AZ212" i="6" s="1"/>
  <c r="AY204" i="6"/>
  <c r="AZ204" i="6" s="1"/>
  <c r="AA380" i="6" s="1"/>
  <c r="AA381" i="6" s="1"/>
  <c r="AY282" i="6"/>
  <c r="AZ282" i="6" s="1"/>
  <c r="AZ123" i="6"/>
  <c r="AZ124" i="6"/>
  <c r="AZ97" i="6"/>
  <c r="AY216" i="6"/>
  <c r="AZ216" i="6" s="1"/>
  <c r="AY223" i="6"/>
  <c r="AZ223" i="6" s="1"/>
  <c r="AY189" i="6"/>
  <c r="AZ189" i="6" s="1"/>
  <c r="AY257" i="6"/>
  <c r="AZ257" i="6" s="1"/>
  <c r="AY205" i="6"/>
  <c r="AZ205" i="6" s="1"/>
  <c r="AY259" i="6"/>
  <c r="AZ259" i="6" s="1"/>
  <c r="AY268" i="6"/>
  <c r="AZ268" i="6" s="1"/>
  <c r="AY242" i="6"/>
  <c r="AZ242" i="6" s="1"/>
  <c r="AY249" i="6"/>
  <c r="AZ249" i="6" s="1"/>
  <c r="AY191" i="6"/>
  <c r="AZ191" i="6" s="1"/>
  <c r="AY217" i="6"/>
  <c r="AZ217" i="6" s="1"/>
  <c r="AY283" i="6"/>
  <c r="AZ283" i="6" s="1"/>
  <c r="AY180" i="6"/>
  <c r="AZ180" i="6" s="1"/>
  <c r="AY240" i="6"/>
  <c r="AZ240" i="6" s="1"/>
  <c r="AZ87" i="6"/>
  <c r="AZ99" i="6"/>
  <c r="AZ79" i="6"/>
  <c r="AZ81" i="6"/>
  <c r="AY220" i="6"/>
  <c r="AZ220" i="6" s="1"/>
  <c r="AY232" i="6"/>
  <c r="AZ232" i="6" s="1"/>
  <c r="AC380" i="6" s="1"/>
  <c r="AC381" i="6" s="1"/>
  <c r="AY193" i="6"/>
  <c r="AZ193" i="6" s="1"/>
  <c r="AY198" i="6"/>
  <c r="AZ198" i="6" s="1"/>
  <c r="AY194" i="6"/>
  <c r="AZ194" i="6" s="1"/>
  <c r="AY176" i="6"/>
  <c r="AZ176" i="6" s="1"/>
  <c r="Y380" i="6" s="1"/>
  <c r="Y381" i="6" s="1"/>
  <c r="AY209" i="6"/>
  <c r="AZ209" i="6" s="1"/>
  <c r="AY225" i="6"/>
  <c r="AZ225" i="6" s="1"/>
  <c r="AY253" i="6"/>
  <c r="AZ253" i="6" s="1"/>
  <c r="AY265" i="6"/>
  <c r="AZ265" i="6" s="1"/>
  <c r="AY260" i="6"/>
  <c r="AZ260" i="6" s="1"/>
  <c r="AE380" i="6" s="1"/>
  <c r="AE381" i="6" s="1"/>
  <c r="AY254" i="6"/>
  <c r="AZ254" i="6" s="1"/>
  <c r="AY234" i="6"/>
  <c r="AZ234" i="6" s="1"/>
  <c r="AY256" i="6"/>
  <c r="AZ256" i="6" s="1"/>
  <c r="AA153" i="1"/>
  <c r="Z153" i="1" s="1"/>
  <c r="Y153" i="1" s="1"/>
  <c r="AD27" i="1"/>
  <c r="AA27" i="1" s="1"/>
  <c r="Z27" i="1" s="1"/>
  <c r="Y27" i="1" s="1"/>
  <c r="AZ65" i="6"/>
  <c r="AD25" i="1"/>
  <c r="AZ329" i="6"/>
  <c r="G170" i="1"/>
  <c r="BW170" i="6" s="1"/>
  <c r="V60" i="1"/>
  <c r="AA60" i="1" s="1"/>
  <c r="Z60" i="1" s="1"/>
  <c r="Y60" i="1" s="1"/>
  <c r="AZ292" i="6"/>
  <c r="AY28" i="6"/>
  <c r="AZ28" i="6" s="1"/>
  <c r="AY24" i="6"/>
  <c r="AZ24" i="6" s="1"/>
  <c r="AZ122" i="6"/>
  <c r="AZ126" i="6"/>
  <c r="AZ213" i="6"/>
  <c r="AD136" i="1"/>
  <c r="AD149" i="1"/>
  <c r="AZ125" i="6"/>
  <c r="AD148" i="1"/>
  <c r="P148" i="1"/>
  <c r="V148" i="1" s="1"/>
  <c r="AD138" i="1"/>
  <c r="P138" i="1"/>
  <c r="V138" i="1" s="1"/>
  <c r="G200" i="1"/>
  <c r="BW200" i="6" s="1"/>
  <c r="I200" i="1"/>
  <c r="AA200" i="1"/>
  <c r="Z200" i="1" s="1"/>
  <c r="Y200" i="1" s="1"/>
  <c r="AA206" i="1"/>
  <c r="Z206" i="1" s="1"/>
  <c r="Y206" i="1" s="1"/>
  <c r="G206" i="1"/>
  <c r="BW206" i="6" s="1"/>
  <c r="I206" i="1"/>
  <c r="AA190" i="1"/>
  <c r="Z190" i="1" s="1"/>
  <c r="Y190" i="1" s="1"/>
  <c r="I190" i="1"/>
  <c r="G190" i="1"/>
  <c r="BW190" i="6" s="1"/>
  <c r="P23" i="1"/>
  <c r="V23" i="1" s="1"/>
  <c r="AD23" i="1"/>
  <c r="P20" i="1"/>
  <c r="V20" i="1" s="1"/>
  <c r="AD20" i="1"/>
  <c r="P24" i="1"/>
  <c r="V24" i="1" s="1"/>
  <c r="AD24" i="1"/>
  <c r="AD28" i="1"/>
  <c r="P28" i="1"/>
  <c r="V28" i="1" s="1"/>
  <c r="P18" i="1"/>
  <c r="V18" i="1" s="1"/>
  <c r="AD18" i="1"/>
  <c r="P33" i="1"/>
  <c r="V33" i="1" s="1"/>
  <c r="AD33" i="1"/>
  <c r="P21" i="1"/>
  <c r="V21" i="1" s="1"/>
  <c r="AD21" i="1"/>
  <c r="AD156" i="1"/>
  <c r="P156" i="1"/>
  <c r="V156" i="1" s="1"/>
  <c r="AD95" i="1"/>
  <c r="P95" i="1"/>
  <c r="V95" i="1" s="1"/>
  <c r="AD152" i="1"/>
  <c r="P152" i="1"/>
  <c r="V152" i="1" s="1"/>
  <c r="P158" i="1"/>
  <c r="V158" i="1" s="1"/>
  <c r="AD158" i="1"/>
  <c r="P150" i="1"/>
  <c r="V150" i="1" s="1"/>
  <c r="AD150" i="1"/>
  <c r="P140" i="1"/>
  <c r="V140" i="1" s="1"/>
  <c r="AD140" i="1"/>
  <c r="AD84" i="1"/>
  <c r="P84" i="1"/>
  <c r="V84" i="1" s="1"/>
  <c r="P91" i="1"/>
  <c r="V91" i="1" s="1"/>
  <c r="AD91" i="1"/>
  <c r="AD144" i="1"/>
  <c r="P144" i="1"/>
  <c r="V144" i="1" s="1"/>
  <c r="AD78" i="1"/>
  <c r="P78" i="1"/>
  <c r="V78" i="1" s="1"/>
  <c r="P82" i="1"/>
  <c r="V82" i="1" s="1"/>
  <c r="AD82" i="1"/>
  <c r="AD98" i="1"/>
  <c r="P98" i="1"/>
  <c r="V98" i="1" s="1"/>
  <c r="AD99" i="1"/>
  <c r="P99" i="1"/>
  <c r="V99" i="1" s="1"/>
  <c r="AD103" i="1"/>
  <c r="P103" i="1"/>
  <c r="V103" i="1" s="1"/>
  <c r="P80" i="1"/>
  <c r="V80" i="1" s="1"/>
  <c r="AD80" i="1"/>
  <c r="AD97" i="1"/>
  <c r="P97" i="1"/>
  <c r="V97" i="1" s="1"/>
  <c r="P141" i="1"/>
  <c r="V141" i="1" s="1"/>
  <c r="AD141" i="1"/>
  <c r="P139" i="1"/>
  <c r="AD139" i="1"/>
  <c r="V139" i="1"/>
  <c r="AD142" i="1"/>
  <c r="P142" i="1"/>
  <c r="V142" i="1" s="1"/>
  <c r="P104" i="1"/>
  <c r="V104" i="1" s="1"/>
  <c r="AD104" i="1"/>
  <c r="AY181" i="6"/>
  <c r="AZ181" i="6" s="1"/>
  <c r="AY199" i="6"/>
  <c r="AZ199" i="6" s="1"/>
  <c r="AY200" i="6"/>
  <c r="AZ200" i="6" s="1"/>
  <c r="AY208" i="6"/>
  <c r="AZ208" i="6" s="1"/>
  <c r="AY219" i="6"/>
  <c r="AZ219" i="6" s="1"/>
  <c r="P93" i="1"/>
  <c r="V93" i="1" s="1"/>
  <c r="AD93" i="1"/>
  <c r="AD101" i="1"/>
  <c r="P101" i="1"/>
  <c r="V101" i="1" s="1"/>
  <c r="AY179" i="6"/>
  <c r="AZ179" i="6" s="1"/>
  <c r="AY261" i="6"/>
  <c r="AZ261" i="6" s="1"/>
  <c r="AY186" i="6"/>
  <c r="AZ186" i="6" s="1"/>
  <c r="AY252" i="6"/>
  <c r="AZ252" i="6" s="1"/>
  <c r="AY238" i="6"/>
  <c r="AZ238" i="6" s="1"/>
  <c r="AY184" i="6"/>
  <c r="AZ184" i="6" s="1"/>
  <c r="AD34" i="1"/>
  <c r="P34" i="1"/>
  <c r="V34" i="1" s="1"/>
  <c r="AD32" i="1"/>
  <c r="P32" i="1"/>
  <c r="V32" i="1" s="1"/>
  <c r="AD31" i="1"/>
  <c r="P31" i="1"/>
  <c r="V31" i="1" s="1"/>
  <c r="P22" i="1"/>
  <c r="V22" i="1" s="1"/>
  <c r="AD22" i="1"/>
  <c r="AD35" i="1"/>
  <c r="P35" i="1"/>
  <c r="V35" i="1" s="1"/>
  <c r="AD19" i="1"/>
  <c r="P19" i="1"/>
  <c r="V19" i="1" s="1"/>
  <c r="AD15" i="1"/>
  <c r="P15" i="1"/>
  <c r="V15" i="1" s="1"/>
  <c r="P17" i="1"/>
  <c r="V17" i="1" s="1"/>
  <c r="AD17" i="1"/>
  <c r="P83" i="1"/>
  <c r="V83" i="1" s="1"/>
  <c r="AD83" i="1"/>
  <c r="AD135" i="1"/>
  <c r="P135" i="1"/>
  <c r="V135" i="1" s="1"/>
  <c r="AD137" i="1"/>
  <c r="P137" i="1"/>
  <c r="V137" i="1" s="1"/>
  <c r="P85" i="1"/>
  <c r="V85" i="1" s="1"/>
  <c r="AD85" i="1"/>
  <c r="P146" i="1"/>
  <c r="V146" i="1" s="1"/>
  <c r="AD146" i="1"/>
  <c r="AD143" i="1"/>
  <c r="P143" i="1"/>
  <c r="V143" i="1" s="1"/>
  <c r="P134" i="1"/>
  <c r="V134" i="1" s="1"/>
  <c r="AD134" i="1"/>
  <c r="AD100" i="1"/>
  <c r="P100" i="1"/>
  <c r="V100" i="1" s="1"/>
  <c r="P161" i="1"/>
  <c r="V161" i="1" s="1"/>
  <c r="AD161" i="1"/>
  <c r="P86" i="1"/>
  <c r="V86" i="1" s="1"/>
  <c r="AD86" i="1"/>
  <c r="AD92" i="1"/>
  <c r="P92" i="1"/>
  <c r="V92" i="1" s="1"/>
  <c r="AD88" i="1"/>
  <c r="P88" i="1"/>
  <c r="D22" i="7" s="1"/>
  <c r="P96" i="1"/>
  <c r="V96" i="1" s="1"/>
  <c r="AD96" i="1"/>
  <c r="AD89" i="1"/>
  <c r="P89" i="1"/>
  <c r="V89" i="1" s="1"/>
  <c r="AD105" i="1"/>
  <c r="P105" i="1"/>
  <c r="V105" i="1" s="1"/>
  <c r="AD81" i="1"/>
  <c r="P81" i="1"/>
  <c r="V81" i="1" s="1"/>
  <c r="P94" i="1"/>
  <c r="V94" i="1" s="1"/>
  <c r="AD94" i="1"/>
  <c r="AD160" i="1"/>
  <c r="P160" i="1"/>
  <c r="V160" i="1" s="1"/>
  <c r="AD159" i="1"/>
  <c r="P159" i="1"/>
  <c r="V159" i="1" s="1"/>
  <c r="AD155" i="1"/>
  <c r="P155" i="1"/>
  <c r="V155" i="1" s="1"/>
  <c r="G207" i="1"/>
  <c r="BW207" i="6" s="1"/>
  <c r="AA207" i="1"/>
  <c r="Z207" i="1" s="1"/>
  <c r="Y207" i="1" s="1"/>
  <c r="I207" i="1"/>
  <c r="I196" i="1"/>
  <c r="G196" i="1"/>
  <c r="BW196" i="6" s="1"/>
  <c r="AA196" i="1"/>
  <c r="Z196" i="1" s="1"/>
  <c r="Y196" i="1" s="1"/>
  <c r="AD79" i="1"/>
  <c r="P79" i="1"/>
  <c r="V79" i="1" s="1"/>
  <c r="AA210" i="1"/>
  <c r="Z210" i="1" s="1"/>
  <c r="Y210" i="1" s="1"/>
  <c r="I210" i="1"/>
  <c r="AD87" i="1"/>
  <c r="P87" i="1"/>
  <c r="V87" i="1" s="1"/>
  <c r="P90" i="1"/>
  <c r="V90" i="1" s="1"/>
  <c r="AD90" i="1"/>
  <c r="AD102" i="1"/>
  <c r="P102" i="1"/>
  <c r="V102" i="1" s="1"/>
  <c r="AY277" i="6"/>
  <c r="AZ277" i="6" s="1"/>
  <c r="AY182" i="6"/>
  <c r="AZ182" i="6" s="1"/>
  <c r="AY245" i="6"/>
  <c r="AZ245" i="6" s="1"/>
  <c r="AY239" i="6"/>
  <c r="AZ239" i="6" s="1"/>
  <c r="AY196" i="6"/>
  <c r="AZ196" i="6" s="1"/>
  <c r="H61" i="19"/>
  <c r="O88" i="18"/>
  <c r="C70" i="7" s="1"/>
  <c r="O195" i="18"/>
  <c r="O315" i="18"/>
  <c r="O23" i="18"/>
  <c r="O138" i="18"/>
  <c r="O64" i="18"/>
  <c r="O122" i="18"/>
  <c r="O203" i="18"/>
  <c r="O238" i="18"/>
  <c r="O48" i="18"/>
  <c r="O120" i="18"/>
  <c r="O186" i="18"/>
  <c r="O287" i="18"/>
  <c r="O256" i="18"/>
  <c r="O368" i="18"/>
  <c r="O367" i="18"/>
  <c r="O74" i="18"/>
  <c r="O112" i="18"/>
  <c r="O165" i="18"/>
  <c r="O321" i="18"/>
  <c r="O332" i="18"/>
  <c r="O19" i="18"/>
  <c r="O99" i="18"/>
  <c r="O294" i="18"/>
  <c r="O337" i="18"/>
  <c r="O141" i="18"/>
  <c r="O172" i="18"/>
  <c r="O313" i="18"/>
  <c r="O117" i="18"/>
  <c r="O225" i="18"/>
  <c r="O242" i="18"/>
  <c r="O351" i="18"/>
  <c r="O355" i="18"/>
  <c r="O71" i="18"/>
  <c r="O114" i="18"/>
  <c r="O209" i="18"/>
  <c r="O265" i="18"/>
  <c r="O273" i="18"/>
  <c r="O360" i="18"/>
  <c r="O84" i="18"/>
  <c r="O277" i="18"/>
  <c r="O349" i="18"/>
  <c r="O131" i="18"/>
  <c r="O220" i="18"/>
  <c r="O343" i="18"/>
  <c r="O22" i="18"/>
  <c r="O105" i="18"/>
  <c r="O136" i="18"/>
  <c r="O191" i="18"/>
  <c r="O263" i="18"/>
  <c r="O65" i="18"/>
  <c r="O16" i="18"/>
  <c r="O92" i="18"/>
  <c r="O163" i="18"/>
  <c r="O228" i="18"/>
  <c r="O246" i="18"/>
  <c r="O45" i="18"/>
  <c r="O115" i="18"/>
  <c r="O174" i="18"/>
  <c r="O307" i="18"/>
  <c r="O293" i="18"/>
  <c r="O377" i="18"/>
  <c r="O374" i="18"/>
  <c r="O73" i="18"/>
  <c r="O127" i="18"/>
  <c r="O173" i="18"/>
  <c r="O288" i="18"/>
  <c r="O306" i="18"/>
  <c r="O366" i="18"/>
  <c r="O119" i="18"/>
  <c r="C71" i="7" s="1"/>
  <c r="O261" i="18"/>
  <c r="O361" i="18"/>
  <c r="O96" i="18"/>
  <c r="O210" i="18"/>
  <c r="C74" i="7" s="1"/>
  <c r="O341" i="18"/>
  <c r="O160" i="18"/>
  <c r="O200" i="18"/>
  <c r="O236" i="18"/>
  <c r="O305" i="18"/>
  <c r="O20" i="18"/>
  <c r="O44" i="18"/>
  <c r="O95" i="18"/>
  <c r="O158" i="18"/>
  <c r="O217" i="18"/>
  <c r="O229" i="18"/>
  <c r="O358" i="18"/>
  <c r="O46" i="18"/>
  <c r="O157" i="18"/>
  <c r="O302" i="18"/>
  <c r="C77" i="7" s="1"/>
  <c r="O365" i="18"/>
  <c r="O78" i="18"/>
  <c r="O250" i="18"/>
  <c r="O376" i="18"/>
  <c r="O107" i="18"/>
  <c r="O243" i="18"/>
  <c r="O109" i="18"/>
  <c r="O148" i="18"/>
  <c r="O259" i="18"/>
  <c r="O102" i="18"/>
  <c r="O216" i="18"/>
  <c r="O364" i="18"/>
  <c r="O89" i="18"/>
  <c r="O212" i="18"/>
  <c r="O371" i="18"/>
  <c r="O146" i="18"/>
  <c r="O350" i="18"/>
  <c r="O208" i="18"/>
  <c r="O144" i="18"/>
  <c r="O262" i="18"/>
  <c r="O30" i="18"/>
  <c r="O98" i="18"/>
  <c r="O258" i="18"/>
  <c r="O93" i="18"/>
  <c r="O335" i="18"/>
  <c r="O162" i="18"/>
  <c r="O82" i="18"/>
  <c r="O207" i="18"/>
  <c r="O56" i="18"/>
  <c r="O77" i="18"/>
  <c r="O179" i="18"/>
  <c r="O25" i="18"/>
  <c r="O194" i="18"/>
  <c r="O264" i="18"/>
  <c r="O346" i="18"/>
  <c r="O153" i="18"/>
  <c r="O266" i="18"/>
  <c r="O149" i="18"/>
  <c r="C72" i="7" s="1"/>
  <c r="O348" i="18"/>
  <c r="O298" i="18"/>
  <c r="O126" i="18"/>
  <c r="O317" i="18"/>
  <c r="O354" i="18"/>
  <c r="O133" i="18"/>
  <c r="O311" i="18"/>
  <c r="O336" i="18"/>
  <c r="O248" i="18"/>
  <c r="O86" i="18"/>
  <c r="O325" i="18"/>
  <c r="O319" i="18"/>
  <c r="O202" i="18"/>
  <c r="O152" i="18"/>
  <c r="O87" i="18"/>
  <c r="O379" i="18"/>
  <c r="C39" i="19" s="1"/>
  <c r="O72" i="18"/>
  <c r="O178" i="18"/>
  <c r="O17" i="18"/>
  <c r="O295" i="18"/>
  <c r="O211" i="18"/>
  <c r="O359" i="18"/>
  <c r="O239" i="18"/>
  <c r="O139" i="18"/>
  <c r="O70" i="18"/>
  <c r="O329" i="18"/>
  <c r="O156" i="18"/>
  <c r="O357" i="18"/>
  <c r="O140" i="18"/>
  <c r="O240" i="18"/>
  <c r="O50" i="18"/>
  <c r="O301" i="18"/>
  <c r="O125" i="18"/>
  <c r="O281" i="18"/>
  <c r="O94" i="18"/>
  <c r="O83" i="18"/>
  <c r="O347" i="18"/>
  <c r="O201" i="18"/>
  <c r="O104" i="18"/>
  <c r="O151" i="18"/>
  <c r="O224" i="18"/>
  <c r="O121" i="18"/>
  <c r="O320" i="18"/>
  <c r="O375" i="18"/>
  <c r="O40" i="18"/>
  <c r="O296" i="18"/>
  <c r="O193" i="18"/>
  <c r="O130" i="18"/>
  <c r="O28" i="18"/>
  <c r="O198" i="18"/>
  <c r="O177" i="18"/>
  <c r="O176" i="18"/>
  <c r="O41" i="18"/>
  <c r="O249" i="18"/>
  <c r="O189" i="18"/>
  <c r="O303" i="18"/>
  <c r="O57" i="18"/>
  <c r="O222" i="18"/>
  <c r="O35" i="18"/>
  <c r="O118" i="18"/>
  <c r="O286" i="18"/>
  <c r="O62" i="18"/>
  <c r="O218" i="18"/>
  <c r="O318" i="18"/>
  <c r="O36" i="18"/>
  <c r="O171" i="18"/>
  <c r="O291" i="18"/>
  <c r="O75" i="18"/>
  <c r="O271" i="18"/>
  <c r="O170" i="18"/>
  <c r="O370" i="18"/>
  <c r="O297" i="18"/>
  <c r="O24" i="18"/>
  <c r="O80" i="18"/>
  <c r="O205" i="18"/>
  <c r="O338" i="18"/>
  <c r="O154" i="18"/>
  <c r="O15" i="18"/>
  <c r="O215" i="18"/>
  <c r="O58" i="18"/>
  <c r="O187" i="18"/>
  <c r="O34" i="18"/>
  <c r="O32" i="18"/>
  <c r="O164" i="18"/>
  <c r="O309" i="18"/>
  <c r="O166" i="18"/>
  <c r="O244" i="18"/>
  <c r="O52" i="18"/>
  <c r="O142" i="18"/>
  <c r="O221" i="18"/>
  <c r="O344" i="18"/>
  <c r="O167" i="18"/>
  <c r="O43" i="18"/>
  <c r="O274" i="18"/>
  <c r="O196" i="18"/>
  <c r="O272" i="18"/>
  <c r="C76" i="7" s="1"/>
  <c r="O59" i="18"/>
  <c r="O108" i="18"/>
  <c r="O279" i="18"/>
  <c r="O373" i="18"/>
  <c r="O184" i="18"/>
  <c r="O55" i="18"/>
  <c r="O260" i="18"/>
  <c r="O175" i="18"/>
  <c r="O81" i="18"/>
  <c r="O18" i="18"/>
  <c r="O280" i="18"/>
  <c r="O145" i="18"/>
  <c r="O61" i="18"/>
  <c r="O113" i="18"/>
  <c r="O270" i="18"/>
  <c r="O37" i="18"/>
  <c r="O378" i="18"/>
  <c r="O66" i="18"/>
  <c r="O116" i="18"/>
  <c r="O90" i="18"/>
  <c r="O230" i="18"/>
  <c r="O278" i="18"/>
  <c r="O100" i="18"/>
  <c r="O339" i="18"/>
  <c r="O91" i="18"/>
  <c r="O161" i="18"/>
  <c r="O76" i="18"/>
  <c r="O330" i="18"/>
  <c r="O316" i="18"/>
  <c r="O159" i="18"/>
  <c r="O327" i="18"/>
  <c r="O276" i="18"/>
  <c r="O234" i="18"/>
  <c r="O147" i="18"/>
  <c r="O101" i="18"/>
  <c r="O69" i="18"/>
  <c r="O183" i="18"/>
  <c r="O299" i="18"/>
  <c r="O267" i="18"/>
  <c r="O192" i="18"/>
  <c r="O68" i="18"/>
  <c r="O322" i="18"/>
  <c r="O53" i="18"/>
  <c r="O328" i="18"/>
  <c r="O372" i="18"/>
  <c r="O128" i="18"/>
  <c r="O169" i="18"/>
  <c r="O269" i="18"/>
  <c r="O103" i="18"/>
  <c r="O369" i="18"/>
  <c r="O137" i="18"/>
  <c r="O324" i="18"/>
  <c r="O124" i="18"/>
  <c r="O282" i="18"/>
  <c r="O33" i="18"/>
  <c r="O181" i="18"/>
  <c r="O289" i="18"/>
  <c r="O123" i="18"/>
  <c r="O241" i="18"/>
  <c r="C75" i="7" s="1"/>
  <c r="O21" i="18"/>
  <c r="O132" i="18"/>
  <c r="O247" i="18"/>
  <c r="O353" i="18"/>
  <c r="O206" i="18"/>
  <c r="O26" i="18"/>
  <c r="O268" i="18"/>
  <c r="O190" i="18"/>
  <c r="O285" i="18"/>
  <c r="O29" i="18"/>
  <c r="C68" i="7" s="1"/>
  <c r="O180" i="18"/>
  <c r="C73" i="7" s="1"/>
  <c r="O214" i="18"/>
  <c r="O39" i="18"/>
  <c r="O292" i="18"/>
  <c r="O150" i="18"/>
  <c r="AA13" i="7"/>
  <c r="AG10" i="7" s="1"/>
  <c r="O79" i="18"/>
  <c r="O290" i="18"/>
  <c r="O106" i="18"/>
  <c r="O111" i="18"/>
  <c r="O300" i="18"/>
  <c r="O97" i="18"/>
  <c r="O235" i="18"/>
  <c r="O356" i="18"/>
  <c r="O60" i="18"/>
  <c r="C69" i="7" s="1"/>
  <c r="O182" i="18"/>
  <c r="O226" i="18"/>
  <c r="O54" i="18"/>
  <c r="O308" i="18"/>
  <c r="O237" i="18"/>
  <c r="O254" i="18"/>
  <c r="O283" i="18"/>
  <c r="O362" i="18"/>
  <c r="O63" i="18"/>
  <c r="O155" i="18"/>
  <c r="O310" i="18"/>
  <c r="O134" i="18"/>
  <c r="O253" i="18"/>
  <c r="O197" i="18"/>
  <c r="O38" i="18"/>
  <c r="O31" i="18"/>
  <c r="O245" i="18"/>
  <c r="O204" i="18"/>
  <c r="O27" i="18"/>
  <c r="O252" i="18"/>
  <c r="O227" i="18"/>
  <c r="O363" i="18"/>
  <c r="C79" i="7" s="1"/>
  <c r="O333" i="18"/>
  <c r="C78" i="7" s="1"/>
  <c r="O232" i="18"/>
  <c r="O213" i="18"/>
  <c r="O304" i="18"/>
  <c r="O219" i="18"/>
  <c r="O129" i="18"/>
  <c r="O143" i="18"/>
  <c r="O334" i="18"/>
  <c r="O255" i="18"/>
  <c r="O199" i="18"/>
  <c r="O331" i="18"/>
  <c r="O352" i="18"/>
  <c r="O185" i="18"/>
  <c r="O110" i="18"/>
  <c r="O188" i="18"/>
  <c r="O51" i="18"/>
  <c r="O47" i="18"/>
  <c r="O223" i="18"/>
  <c r="O323" i="18"/>
  <c r="O340" i="18"/>
  <c r="O135" i="18"/>
  <c r="O275" i="18"/>
  <c r="O42" i="18"/>
  <c r="O312" i="18"/>
  <c r="O345" i="18"/>
  <c r="O67" i="18"/>
  <c r="O85" i="18"/>
  <c r="O257" i="18"/>
  <c r="O314" i="18"/>
  <c r="O233" i="18"/>
  <c r="O168" i="18"/>
  <c r="O284" i="18"/>
  <c r="O49" i="18"/>
  <c r="O231" i="18"/>
  <c r="O326" i="18"/>
  <c r="O251" i="18"/>
  <c r="O342" i="18"/>
  <c r="AZ94" i="6"/>
  <c r="AZ117" i="6"/>
  <c r="AY20" i="6"/>
  <c r="AZ20" i="6" s="1"/>
  <c r="AY22" i="6"/>
  <c r="AZ22" i="6" s="1"/>
  <c r="N380" i="6" s="1"/>
  <c r="N381" i="6" s="1"/>
  <c r="AY16" i="6"/>
  <c r="AZ16" i="6" s="1"/>
  <c r="AZ293" i="6"/>
  <c r="AY25" i="6"/>
  <c r="AZ25" i="6" s="1"/>
  <c r="AY21" i="6"/>
  <c r="AZ21" i="6" s="1"/>
  <c r="AY35" i="6"/>
  <c r="AZ35" i="6" s="1"/>
  <c r="AZ304" i="6"/>
  <c r="AZ308" i="6"/>
  <c r="AZ305" i="6"/>
  <c r="AZ290" i="6"/>
  <c r="AZ288" i="6"/>
  <c r="AG380" i="6" s="1"/>
  <c r="AG381" i="6" s="1"/>
  <c r="AZ104" i="6"/>
  <c r="AY15" i="6"/>
  <c r="AY17" i="6"/>
  <c r="AZ17" i="6" s="1"/>
  <c r="AY30" i="6"/>
  <c r="AZ30" i="6" s="1"/>
  <c r="AY29" i="6"/>
  <c r="AZ29" i="6" s="1"/>
  <c r="J12" i="6"/>
  <c r="AZ23" i="6"/>
  <c r="AY33" i="6"/>
  <c r="AZ33" i="6" s="1"/>
  <c r="AY26" i="6"/>
  <c r="AZ26" i="6" s="1"/>
  <c r="AZ131" i="6"/>
  <c r="AY31" i="6"/>
  <c r="AZ31" i="6" s="1"/>
  <c r="AY27" i="6"/>
  <c r="AZ27" i="6" s="1"/>
  <c r="I203" i="1"/>
  <c r="AA203" i="1"/>
  <c r="Z203" i="1" s="1"/>
  <c r="Y203" i="1" s="1"/>
  <c r="G203" i="1"/>
  <c r="BW203" i="6" s="1"/>
  <c r="I204" i="1"/>
  <c r="G204" i="1"/>
  <c r="BW204" i="6" s="1"/>
  <c r="AA204" i="1"/>
  <c r="Z204" i="1" s="1"/>
  <c r="Y204" i="1" s="1"/>
  <c r="I249" i="1"/>
  <c r="AA249" i="1"/>
  <c r="Z249" i="1" s="1"/>
  <c r="Y249" i="1" s="1"/>
  <c r="G249" i="1"/>
  <c r="BW249" i="6" s="1"/>
  <c r="I246" i="1"/>
  <c r="AA246" i="1"/>
  <c r="Z246" i="1" s="1"/>
  <c r="Y246" i="1" s="1"/>
  <c r="G246" i="1"/>
  <c r="BW246" i="6" s="1"/>
  <c r="I252" i="1"/>
  <c r="AA252" i="1"/>
  <c r="Z252" i="1" s="1"/>
  <c r="Y252" i="1" s="1"/>
  <c r="G252" i="1"/>
  <c r="BW252" i="6" s="1"/>
  <c r="I248" i="1"/>
  <c r="AA248" i="1"/>
  <c r="Z248" i="1" s="1"/>
  <c r="Y248" i="1" s="1"/>
  <c r="G248" i="1"/>
  <c r="BW248" i="6" s="1"/>
  <c r="AA215" i="1"/>
  <c r="Z215" i="1" s="1"/>
  <c r="Y215" i="1" s="1"/>
  <c r="I215" i="1"/>
  <c r="G215" i="1"/>
  <c r="BW215" i="6" s="1"/>
  <c r="G259" i="1"/>
  <c r="BW259" i="6" s="1"/>
  <c r="I259" i="1"/>
  <c r="AA259" i="1"/>
  <c r="Z259" i="1" s="1"/>
  <c r="Y259" i="1" s="1"/>
  <c r="AA205" i="1"/>
  <c r="Z205" i="1" s="1"/>
  <c r="Y205" i="1" s="1"/>
  <c r="I205" i="1"/>
  <c r="G205" i="1"/>
  <c r="BW205" i="6" s="1"/>
  <c r="I270" i="1"/>
  <c r="G270" i="1"/>
  <c r="BW270" i="6" s="1"/>
  <c r="AA270" i="1"/>
  <c r="Z270" i="1" s="1"/>
  <c r="Y270" i="1" s="1"/>
  <c r="AA247" i="1"/>
  <c r="Z247" i="1" s="1"/>
  <c r="Y247" i="1" s="1"/>
  <c r="G247" i="1"/>
  <c r="BW247" i="6" s="1"/>
  <c r="I247" i="1"/>
  <c r="I216" i="1"/>
  <c r="AA216" i="1"/>
  <c r="Z216" i="1" s="1"/>
  <c r="Y216" i="1" s="1"/>
  <c r="G216" i="1"/>
  <c r="BW216" i="6" s="1"/>
  <c r="AA251" i="1"/>
  <c r="Z251" i="1" s="1"/>
  <c r="Y251" i="1" s="1"/>
  <c r="G251" i="1"/>
  <c r="BW251" i="6" s="1"/>
  <c r="I251" i="1"/>
  <c r="I225" i="1"/>
  <c r="AA225" i="1"/>
  <c r="Z225" i="1" s="1"/>
  <c r="Y225" i="1" s="1"/>
  <c r="G225" i="1"/>
  <c r="BW225" i="6" s="1"/>
  <c r="AA271" i="1"/>
  <c r="Z271" i="1" s="1"/>
  <c r="Y271" i="1" s="1"/>
  <c r="G271" i="1"/>
  <c r="BW271" i="6" s="1"/>
  <c r="I271" i="1"/>
  <c r="AA214" i="1"/>
  <c r="Z214" i="1" s="1"/>
  <c r="Y214" i="1" s="1"/>
  <c r="G214" i="1"/>
  <c r="BW214" i="6" s="1"/>
  <c r="I214" i="1"/>
  <c r="AA264" i="1"/>
  <c r="Z264" i="1" s="1"/>
  <c r="Y264" i="1" s="1"/>
  <c r="G264" i="1"/>
  <c r="BW264" i="6" s="1"/>
  <c r="I264" i="1"/>
  <c r="AZ298" i="6"/>
  <c r="AZ303" i="6"/>
  <c r="AZ318" i="6"/>
  <c r="J13" i="6"/>
  <c r="AZ322" i="6"/>
  <c r="AZ325" i="6"/>
  <c r="AA46" i="1"/>
  <c r="Z46" i="1" s="1"/>
  <c r="Y46" i="1" s="1"/>
  <c r="G364" i="1"/>
  <c r="BW364" i="6" s="1"/>
  <c r="I364" i="1"/>
  <c r="AA364" i="1"/>
  <c r="Z364" i="1" s="1"/>
  <c r="Y364" i="1" s="1"/>
  <c r="AA346" i="1"/>
  <c r="Z346" i="1" s="1"/>
  <c r="Y346" i="1" s="1"/>
  <c r="I346" i="1"/>
  <c r="G346" i="1"/>
  <c r="BW346" i="6" s="1"/>
  <c r="I314" i="1"/>
  <c r="G314" i="1"/>
  <c r="BW314" i="6" s="1"/>
  <c r="AA314" i="1"/>
  <c r="Z314" i="1" s="1"/>
  <c r="Y314" i="1" s="1"/>
  <c r="I356" i="1"/>
  <c r="AA356" i="1"/>
  <c r="Z356" i="1" s="1"/>
  <c r="Y356" i="1" s="1"/>
  <c r="G356" i="1"/>
  <c r="BW356" i="6" s="1"/>
  <c r="I311" i="1"/>
  <c r="AA311" i="1"/>
  <c r="Z311" i="1" s="1"/>
  <c r="Y311" i="1" s="1"/>
  <c r="G311" i="1"/>
  <c r="BW311" i="6" s="1"/>
  <c r="AA363" i="1"/>
  <c r="Z363" i="1" s="1"/>
  <c r="Y363" i="1" s="1"/>
  <c r="I363" i="1"/>
  <c r="G363" i="1"/>
  <c r="BW363" i="6" s="1"/>
  <c r="AA305" i="1"/>
  <c r="Z305" i="1" s="1"/>
  <c r="Y305" i="1" s="1"/>
  <c r="I305" i="1"/>
  <c r="G305" i="1"/>
  <c r="BW305" i="6" s="1"/>
  <c r="I298" i="1"/>
  <c r="G298" i="1"/>
  <c r="BW298" i="6" s="1"/>
  <c r="AA298" i="1"/>
  <c r="Z298" i="1" s="1"/>
  <c r="Y298" i="1" s="1"/>
  <c r="V329" i="1"/>
  <c r="F329" i="1" s="1"/>
  <c r="AZ326" i="6"/>
  <c r="I375" i="1"/>
  <c r="AA375" i="1"/>
  <c r="Z375" i="1" s="1"/>
  <c r="Y375" i="1" s="1"/>
  <c r="G375" i="1"/>
  <c r="BW375" i="6" s="1"/>
  <c r="I366" i="1"/>
  <c r="AA366" i="1"/>
  <c r="Z366" i="1" s="1"/>
  <c r="Y366" i="1" s="1"/>
  <c r="G366" i="1"/>
  <c r="BW366" i="6" s="1"/>
  <c r="I293" i="1"/>
  <c r="AA293" i="1"/>
  <c r="Z293" i="1" s="1"/>
  <c r="Y293" i="1" s="1"/>
  <c r="G293" i="1"/>
  <c r="BW293" i="6" s="1"/>
  <c r="V338" i="1"/>
  <c r="F338" i="1" s="1"/>
  <c r="G355" i="1"/>
  <c r="BW355" i="6" s="1"/>
  <c r="AA355" i="1"/>
  <c r="Z355" i="1" s="1"/>
  <c r="Y355" i="1" s="1"/>
  <c r="I355" i="1"/>
  <c r="AA374" i="1"/>
  <c r="Z374" i="1" s="1"/>
  <c r="Y374" i="1" s="1"/>
  <c r="I374" i="1"/>
  <c r="G374" i="1"/>
  <c r="BW374" i="6" s="1"/>
  <c r="AA38" i="1"/>
  <c r="Z38" i="1" s="1"/>
  <c r="Y38" i="1" s="1"/>
  <c r="V341" i="1"/>
  <c r="F341" i="1" s="1"/>
  <c r="F327" i="1"/>
  <c r="AA49" i="1"/>
  <c r="Z49" i="1" s="1"/>
  <c r="Y49" i="1" s="1"/>
  <c r="AA41" i="1"/>
  <c r="Z41" i="1" s="1"/>
  <c r="Y41" i="1" s="1"/>
  <c r="AZ36" i="6"/>
  <c r="O380" i="6" s="1"/>
  <c r="O381" i="6" s="1"/>
  <c r="G353" i="1"/>
  <c r="BW353" i="6" s="1"/>
  <c r="I353" i="1"/>
  <c r="AA353" i="1"/>
  <c r="Z353" i="1" s="1"/>
  <c r="Y353" i="1" s="1"/>
  <c r="G344" i="1"/>
  <c r="BW344" i="6" s="1"/>
  <c r="I344" i="1"/>
  <c r="AA344" i="1"/>
  <c r="Z344" i="1" s="1"/>
  <c r="Y344" i="1" s="1"/>
  <c r="G347" i="1"/>
  <c r="BW347" i="6" s="1"/>
  <c r="AA347" i="1"/>
  <c r="Z347" i="1" s="1"/>
  <c r="Y347" i="1" s="1"/>
  <c r="I347" i="1"/>
  <c r="V335" i="1"/>
  <c r="F335" i="1" s="1"/>
  <c r="AA289" i="1"/>
  <c r="Z289" i="1" s="1"/>
  <c r="Y289" i="1" s="1"/>
  <c r="I289" i="1"/>
  <c r="G289" i="1"/>
  <c r="BW289" i="6" s="1"/>
  <c r="AA360" i="1"/>
  <c r="Z360" i="1" s="1"/>
  <c r="Y360" i="1" s="1"/>
  <c r="G360" i="1"/>
  <c r="BW360" i="6" s="1"/>
  <c r="I360" i="1"/>
  <c r="F349" i="1"/>
  <c r="AA50" i="1"/>
  <c r="Z50" i="1" s="1"/>
  <c r="Y50" i="1" s="1"/>
  <c r="AZ327" i="6"/>
  <c r="F343" i="1"/>
  <c r="AA61" i="1"/>
  <c r="Z61" i="1" s="1"/>
  <c r="Y61" i="1" s="1"/>
  <c r="V316" i="1"/>
  <c r="F316" i="1" s="1"/>
  <c r="G368" i="1"/>
  <c r="BW368" i="6" s="1"/>
  <c r="I368" i="1"/>
  <c r="AA368" i="1"/>
  <c r="Z368" i="1" s="1"/>
  <c r="Y368" i="1" s="1"/>
  <c r="I300" i="1"/>
  <c r="AA300" i="1"/>
  <c r="Z300" i="1" s="1"/>
  <c r="Y300" i="1" s="1"/>
  <c r="G300" i="1"/>
  <c r="BW300" i="6" s="1"/>
  <c r="AA37" i="1"/>
  <c r="Z37" i="1" s="1"/>
  <c r="Y37" i="1" s="1"/>
  <c r="AA55" i="1"/>
  <c r="Z55" i="1" s="1"/>
  <c r="Y55" i="1" s="1"/>
  <c r="V321" i="1"/>
  <c r="F321" i="1" s="1"/>
  <c r="AA367" i="1"/>
  <c r="Z367" i="1" s="1"/>
  <c r="Y367" i="1" s="1"/>
  <c r="G367" i="1"/>
  <c r="BW367" i="6" s="1"/>
  <c r="I367" i="1"/>
  <c r="F337" i="1"/>
  <c r="F352" i="1"/>
  <c r="V44" i="1"/>
  <c r="G296" i="1"/>
  <c r="BW296" i="6" s="1"/>
  <c r="AA296" i="1"/>
  <c r="Z296" i="1" s="1"/>
  <c r="Y296" i="1" s="1"/>
  <c r="F323" i="1"/>
  <c r="I312" i="1"/>
  <c r="G312" i="1"/>
  <c r="BW312" i="6" s="1"/>
  <c r="AA312" i="1"/>
  <c r="Z312" i="1" s="1"/>
  <c r="Y312" i="1" s="1"/>
  <c r="V354" i="1"/>
  <c r="F354" i="1" s="1"/>
  <c r="V334" i="1"/>
  <c r="F334" i="1" s="1"/>
  <c r="F332" i="1"/>
  <c r="I313" i="1"/>
  <c r="G313" i="1"/>
  <c r="BW313" i="6" s="1"/>
  <c r="AA313" i="1"/>
  <c r="Z313" i="1" s="1"/>
  <c r="Y313" i="1" s="1"/>
  <c r="F322" i="1"/>
  <c r="V330" i="1"/>
  <c r="F330" i="1" s="1"/>
  <c r="D30" i="7"/>
  <c r="F333" i="1"/>
  <c r="V324" i="1"/>
  <c r="F324" i="1" s="1"/>
  <c r="AA63" i="1"/>
  <c r="Z63" i="1" s="1"/>
  <c r="Y63" i="1" s="1"/>
  <c r="AA45" i="1"/>
  <c r="Z45" i="1" s="1"/>
  <c r="Y45" i="1" s="1"/>
  <c r="AA56" i="1"/>
  <c r="Z56" i="1" s="1"/>
  <c r="Y56" i="1" s="1"/>
  <c r="V342" i="1"/>
  <c r="F342" i="1" s="1"/>
  <c r="F350" i="1"/>
  <c r="F340" i="1"/>
  <c r="F339" i="1"/>
  <c r="AA291" i="1"/>
  <c r="Z291" i="1" s="1"/>
  <c r="Y291" i="1" s="1"/>
  <c r="I291" i="1"/>
  <c r="G291" i="1"/>
  <c r="BW291" i="6" s="1"/>
  <c r="F319" i="1"/>
  <c r="F351" i="1"/>
  <c r="AA59" i="1"/>
  <c r="Z59" i="1" s="1"/>
  <c r="Y59" i="1" s="1"/>
  <c r="V318" i="1"/>
  <c r="F318" i="1" s="1"/>
  <c r="V320" i="1"/>
  <c r="F325" i="1"/>
  <c r="F336" i="1"/>
  <c r="V357" i="1"/>
  <c r="F357" i="1" s="1"/>
  <c r="AA54" i="1"/>
  <c r="Z54" i="1" s="1"/>
  <c r="Y54" i="1" s="1"/>
  <c r="AA62" i="1"/>
  <c r="Z62" i="1" s="1"/>
  <c r="Y62" i="1" s="1"/>
  <c r="AS12" i="6"/>
  <c r="AS13" i="6"/>
  <c r="AT15" i="6"/>
  <c r="V328" i="1"/>
  <c r="F328" i="1" s="1"/>
  <c r="V326" i="1"/>
  <c r="F326" i="1" s="1"/>
  <c r="AA57" i="1"/>
  <c r="Z57" i="1" s="1"/>
  <c r="Y57" i="1" s="1"/>
  <c r="AA53" i="1"/>
  <c r="Z53" i="1" s="1"/>
  <c r="Y53" i="1" s="1"/>
  <c r="AA42" i="1"/>
  <c r="Z42" i="1" s="1"/>
  <c r="Y42" i="1" s="1"/>
  <c r="V317" i="1"/>
  <c r="F317" i="1" s="1"/>
  <c r="I370" i="1"/>
  <c r="F331" i="1"/>
  <c r="AA58" i="1"/>
  <c r="Z58" i="1" s="1"/>
  <c r="Y58" i="1" s="1"/>
  <c r="AA302" i="1" l="1"/>
  <c r="Z302" i="1" s="1"/>
  <c r="Y302" i="1" s="1"/>
  <c r="AA235" i="1"/>
  <c r="Z235" i="1" s="1"/>
  <c r="Y235" i="1" s="1"/>
  <c r="AA267" i="1"/>
  <c r="Z267" i="1" s="1"/>
  <c r="Y267" i="1" s="1"/>
  <c r="I267" i="1"/>
  <c r="AA370" i="1"/>
  <c r="Z370" i="1" s="1"/>
  <c r="Y370" i="1" s="1"/>
  <c r="I260" i="1"/>
  <c r="G269" i="1"/>
  <c r="BW269" i="6" s="1"/>
  <c r="I285" i="1"/>
  <c r="AA238" i="1"/>
  <c r="Z238" i="1" s="1"/>
  <c r="Y238" i="1" s="1"/>
  <c r="G238" i="1"/>
  <c r="BW238" i="6" s="1"/>
  <c r="AA285" i="1"/>
  <c r="Z285" i="1" s="1"/>
  <c r="Y285" i="1" s="1"/>
  <c r="AA227" i="1"/>
  <c r="Z227" i="1" s="1"/>
  <c r="Y227" i="1" s="1"/>
  <c r="G227" i="1"/>
  <c r="BW227" i="6" s="1"/>
  <c r="AM11" i="7"/>
  <c r="Q11" i="22" s="1"/>
  <c r="I302" i="1"/>
  <c r="AA197" i="1"/>
  <c r="Z197" i="1" s="1"/>
  <c r="Y197" i="1" s="1"/>
  <c r="G275" i="1"/>
  <c r="BW275" i="6" s="1"/>
  <c r="AA275" i="1"/>
  <c r="Z275" i="1" s="1"/>
  <c r="Y275" i="1" s="1"/>
  <c r="G241" i="1"/>
  <c r="BW241" i="6" s="1"/>
  <c r="I279" i="1"/>
  <c r="AA279" i="1"/>
  <c r="Z279" i="1" s="1"/>
  <c r="Y279" i="1" s="1"/>
  <c r="G365" i="1"/>
  <c r="BW365" i="6" s="1"/>
  <c r="AA377" i="1"/>
  <c r="Z377" i="1" s="1"/>
  <c r="Y377" i="1" s="1"/>
  <c r="I377" i="1"/>
  <c r="I365" i="1"/>
  <c r="I373" i="1"/>
  <c r="AA373" i="1"/>
  <c r="Z373" i="1" s="1"/>
  <c r="Y373" i="1" s="1"/>
  <c r="AA288" i="1"/>
  <c r="Z288" i="1" s="1"/>
  <c r="Y288" i="1" s="1"/>
  <c r="G260" i="1"/>
  <c r="BW260" i="6" s="1"/>
  <c r="F36" i="19"/>
  <c r="G361" i="1"/>
  <c r="BW361" i="6" s="1"/>
  <c r="I376" i="1"/>
  <c r="AA361" i="1"/>
  <c r="Z361" i="1" s="1"/>
  <c r="Y361" i="1" s="1"/>
  <c r="AA376" i="1"/>
  <c r="Z376" i="1" s="1"/>
  <c r="Y376" i="1" s="1"/>
  <c r="I288" i="1"/>
  <c r="U115" i="15"/>
  <c r="T115" i="15" s="1"/>
  <c r="S115" i="15" s="1"/>
  <c r="R115" i="15" s="1"/>
  <c r="P115" i="15" s="1"/>
  <c r="V115" i="15" s="1"/>
  <c r="F115" i="15" s="1"/>
  <c r="G115" i="15" s="1"/>
  <c r="BX115" i="6" s="1"/>
  <c r="AU13" i="7"/>
  <c r="E379" i="16"/>
  <c r="C37" i="19"/>
  <c r="AS11" i="7"/>
  <c r="Q11" i="23" s="1"/>
  <c r="P11" i="23"/>
  <c r="AR15" i="7"/>
  <c r="AK20" i="22"/>
  <c r="AK46" i="22"/>
  <c r="AK60" i="22"/>
  <c r="AK61" i="22"/>
  <c r="AK83" i="22"/>
  <c r="AK115" i="22"/>
  <c r="AK146" i="22"/>
  <c r="AK103" i="22"/>
  <c r="AK132" i="22"/>
  <c r="AK170" i="22"/>
  <c r="AK197" i="22"/>
  <c r="AK164" i="22"/>
  <c r="AK204" i="22"/>
  <c r="AK233" i="22"/>
  <c r="AK279" i="22"/>
  <c r="AK312" i="22"/>
  <c r="AK234" i="22"/>
  <c r="AK261" i="22"/>
  <c r="AK284" i="22"/>
  <c r="AK316" i="22"/>
  <c r="AK346" i="22"/>
  <c r="AK375" i="22"/>
  <c r="AK354" i="22"/>
  <c r="AK22" i="22"/>
  <c r="AK40" i="22"/>
  <c r="AK93" i="22"/>
  <c r="AK152" i="22"/>
  <c r="AK138" i="22"/>
  <c r="AK201" i="22"/>
  <c r="AK210" i="22"/>
  <c r="AK288" i="22"/>
  <c r="AK237" i="22"/>
  <c r="AK287" i="22"/>
  <c r="AK350" i="22"/>
  <c r="AK359" i="22"/>
  <c r="AK52" i="22"/>
  <c r="AK85" i="22"/>
  <c r="AK207" i="22"/>
  <c r="AK292" i="22"/>
  <c r="AK290" i="22"/>
  <c r="AK362" i="22"/>
  <c r="AK79" i="22"/>
  <c r="AK119" i="22"/>
  <c r="AK184" i="22"/>
  <c r="AK218" i="22"/>
  <c r="AK330" i="22"/>
  <c r="AK15" i="22"/>
  <c r="AK48" i="22"/>
  <c r="AK75" i="22"/>
  <c r="AK142" i="22"/>
  <c r="AK130" i="22"/>
  <c r="AK194" i="22"/>
  <c r="AK199" i="22"/>
  <c r="AK271" i="22"/>
  <c r="AK229" i="22"/>
  <c r="AK281" i="22"/>
  <c r="AK343" i="22"/>
  <c r="AK349" i="22"/>
  <c r="AK50" i="22"/>
  <c r="AK145" i="22"/>
  <c r="AK195" i="22"/>
  <c r="AK278" i="22"/>
  <c r="AK283" i="22"/>
  <c r="AK352" i="22"/>
  <c r="AK141" i="22"/>
  <c r="AK269" i="22"/>
  <c r="AK344" i="22"/>
  <c r="AK104" i="22"/>
  <c r="AK313" i="22"/>
  <c r="AK21" i="22"/>
  <c r="AK91" i="22"/>
  <c r="AK137" i="22"/>
  <c r="AK206" i="22"/>
  <c r="AK236" i="22"/>
  <c r="AK348" i="22"/>
  <c r="AK57" i="22"/>
  <c r="AK209" i="22"/>
  <c r="AK294" i="22"/>
  <c r="AK99" i="22"/>
  <c r="AK23" i="22"/>
  <c r="AK235" i="22"/>
  <c r="AK64" i="22"/>
  <c r="AK92" i="22"/>
  <c r="AK156" i="22"/>
  <c r="AK300" i="22"/>
  <c r="AK305" i="22"/>
  <c r="AK373" i="22"/>
  <c r="AK113" i="22"/>
  <c r="AK212" i="22"/>
  <c r="AK39" i="22"/>
  <c r="AK251" i="22"/>
  <c r="AK198" i="22"/>
  <c r="AK38" i="22"/>
  <c r="AK53" i="22"/>
  <c r="AK107" i="22"/>
  <c r="AK98" i="22"/>
  <c r="AK161" i="22"/>
  <c r="AK158" i="22"/>
  <c r="AK226" i="22"/>
  <c r="AK302" i="22"/>
  <c r="AK249" i="22"/>
  <c r="AK309" i="22"/>
  <c r="AK366" i="22"/>
  <c r="AK380" i="22"/>
  <c r="AK69" i="22"/>
  <c r="AK121" i="22"/>
  <c r="AK191" i="22"/>
  <c r="AK221" i="22"/>
  <c r="AK337" i="22"/>
  <c r="AK26" i="22"/>
  <c r="AK178" i="22"/>
  <c r="AK266" i="22"/>
  <c r="AK62" i="22"/>
  <c r="AK155" i="22"/>
  <c r="AK304" i="22"/>
  <c r="AK27" i="22"/>
  <c r="AK127" i="22"/>
  <c r="AK181" i="22"/>
  <c r="AK253" i="22"/>
  <c r="AK268" i="22"/>
  <c r="AK333" i="22"/>
  <c r="AK114" i="22"/>
  <c r="AK232" i="22"/>
  <c r="AK374" i="22"/>
  <c r="AK196" i="22"/>
  <c r="AK117" i="22"/>
  <c r="AK377" i="22"/>
  <c r="AK105" i="22"/>
  <c r="AK315" i="22"/>
  <c r="AK29" i="22"/>
  <c r="AK242" i="22"/>
  <c r="AK310" i="22"/>
  <c r="AK37" i="22"/>
  <c r="AK188" i="22"/>
  <c r="AK274" i="22"/>
  <c r="AK128" i="22"/>
  <c r="AK334" i="22"/>
  <c r="AK149" i="22"/>
  <c r="P12" i="22"/>
  <c r="AK47" i="22"/>
  <c r="AK94" i="22"/>
  <c r="AK153" i="22"/>
  <c r="AK140" i="22"/>
  <c r="AK202" i="22"/>
  <c r="AK213" i="22"/>
  <c r="AK291" i="22"/>
  <c r="AK238" i="22"/>
  <c r="AK289" i="22"/>
  <c r="AK351" i="22"/>
  <c r="AK360" i="22"/>
  <c r="AK66" i="22"/>
  <c r="AK95" i="22"/>
  <c r="AK157" i="22"/>
  <c r="AK301" i="22"/>
  <c r="AK307" i="22"/>
  <c r="AK376" i="22"/>
  <c r="AK111" i="22"/>
  <c r="AK320" i="22"/>
  <c r="AK32" i="22"/>
  <c r="AK150" i="22"/>
  <c r="AK246" i="22"/>
  <c r="AK28" i="22"/>
  <c r="AK97" i="22"/>
  <c r="AK144" i="22"/>
  <c r="AK216" i="22"/>
  <c r="AK240" i="22"/>
  <c r="AK355" i="22"/>
  <c r="AK58" i="22"/>
  <c r="AK163" i="22"/>
  <c r="AK314" i="22"/>
  <c r="AK126" i="22"/>
  <c r="AK49" i="22"/>
  <c r="AK262" i="22"/>
  <c r="AK118" i="22"/>
  <c r="AK244" i="22"/>
  <c r="AK378" i="22"/>
  <c r="AK217" i="22"/>
  <c r="AK159" i="22"/>
  <c r="AK347" i="22"/>
  <c r="AK120" i="22"/>
  <c r="AK219" i="22"/>
  <c r="AK30" i="22"/>
  <c r="AK270" i="22"/>
  <c r="AK368" i="22"/>
  <c r="AK31" i="22"/>
  <c r="AK35" i="22"/>
  <c r="AK59" i="22"/>
  <c r="AK77" i="22"/>
  <c r="AK81" i="22"/>
  <c r="AK129" i="22"/>
  <c r="AK88" i="22"/>
  <c r="AK116" i="22"/>
  <c r="AK148" i="22"/>
  <c r="AK185" i="22"/>
  <c r="AK211" i="22"/>
  <c r="AK182" i="22"/>
  <c r="AK220" i="22"/>
  <c r="AK256" i="22"/>
  <c r="AK298" i="22"/>
  <c r="AK214" i="22"/>
  <c r="AK243" i="22"/>
  <c r="AK272" i="22"/>
  <c r="AK295" i="22"/>
  <c r="AK329" i="22"/>
  <c r="AK361" i="22"/>
  <c r="AK335" i="22"/>
  <c r="AK371" i="22"/>
  <c r="AK17" i="22"/>
  <c r="AK67" i="22"/>
  <c r="AK123" i="22"/>
  <c r="AK106" i="22"/>
  <c r="AK173" i="22"/>
  <c r="AK174" i="22"/>
  <c r="AK245" i="22"/>
  <c r="AK317" i="22"/>
  <c r="AK264" i="22"/>
  <c r="AK322" i="22"/>
  <c r="AK379" i="22"/>
  <c r="AK19" i="22"/>
  <c r="AK96" i="22"/>
  <c r="AK143" i="22"/>
  <c r="AK215" i="22"/>
  <c r="AK239" i="22"/>
  <c r="AK353" i="22"/>
  <c r="AK36" i="22"/>
  <c r="AK133" i="22"/>
  <c r="AK186" i="22"/>
  <c r="AK257" i="22"/>
  <c r="AK273" i="22"/>
  <c r="AK336" i="22"/>
  <c r="AK42" i="22"/>
  <c r="AK56" i="22"/>
  <c r="AK110" i="22"/>
  <c r="AK100" i="22"/>
  <c r="AK168" i="22"/>
  <c r="AK162" i="22"/>
  <c r="AK230" i="22"/>
  <c r="AK306" i="22"/>
  <c r="AK254" i="22"/>
  <c r="AK311" i="22"/>
  <c r="AK369" i="22"/>
  <c r="AK18" i="22"/>
  <c r="AK78" i="22"/>
  <c r="AK131" i="22"/>
  <c r="AK203" i="22"/>
  <c r="AK231" i="22"/>
  <c r="AK345" i="22"/>
  <c r="AK44" i="22"/>
  <c r="AK193" i="22"/>
  <c r="AK277" i="22"/>
  <c r="AK63" i="22"/>
  <c r="AK166" i="22"/>
  <c r="AK318" i="22"/>
  <c r="AK24" i="22"/>
  <c r="AK151" i="22"/>
  <c r="AK200" i="22"/>
  <c r="AK282" i="22"/>
  <c r="AK286" i="22"/>
  <c r="AK358" i="22"/>
  <c r="AK87" i="22"/>
  <c r="AK297" i="22"/>
  <c r="AK370" i="22"/>
  <c r="AK303" i="22"/>
  <c r="AK136" i="22"/>
  <c r="AK33" i="22"/>
  <c r="AK84" i="22"/>
  <c r="AK154" i="22"/>
  <c r="AK223" i="22"/>
  <c r="AK247" i="22"/>
  <c r="AK364" i="22"/>
  <c r="AK76" i="22"/>
  <c r="AK180" i="22"/>
  <c r="AK328" i="22"/>
  <c r="AK165" i="22"/>
  <c r="F8" i="22"/>
  <c r="AK285" i="22"/>
  <c r="AK43" i="22"/>
  <c r="AK70" i="22"/>
  <c r="AK139" i="22"/>
  <c r="AK122" i="22"/>
  <c r="AK190" i="22"/>
  <c r="AK192" i="22"/>
  <c r="AK267" i="22"/>
  <c r="AK225" i="22"/>
  <c r="AK276" i="22"/>
  <c r="AK338" i="22"/>
  <c r="AK342" i="22"/>
  <c r="AK41" i="22"/>
  <c r="AK135" i="22"/>
  <c r="AK189" i="22"/>
  <c r="AK260" i="22"/>
  <c r="AK275" i="22"/>
  <c r="AK340" i="22"/>
  <c r="AK125" i="22"/>
  <c r="AK252" i="22"/>
  <c r="AK331" i="22"/>
  <c r="AK90" i="22"/>
  <c r="AK299" i="22"/>
  <c r="AK372" i="22"/>
  <c r="AK74" i="22"/>
  <c r="AK112" i="22"/>
  <c r="AK179" i="22"/>
  <c r="AK323" i="22"/>
  <c r="AK326" i="22"/>
  <c r="AK45" i="22"/>
  <c r="AK169" i="22"/>
  <c r="AK259" i="22"/>
  <c r="AK71" i="22"/>
  <c r="AK341" i="22"/>
  <c r="AK241" i="22"/>
  <c r="AK65" i="22"/>
  <c r="AK167" i="22"/>
  <c r="AK321" i="22"/>
  <c r="AK147" i="22"/>
  <c r="AK55" i="22"/>
  <c r="AK205" i="22"/>
  <c r="AK134" i="22"/>
  <c r="AK258" i="22"/>
  <c r="AK339" i="22"/>
  <c r="AK255" i="22"/>
  <c r="AK228" i="22"/>
  <c r="AK357" i="22"/>
  <c r="AK25" i="22"/>
  <c r="AK72" i="22"/>
  <c r="AK124" i="22"/>
  <c r="AK109" i="22"/>
  <c r="AK175" i="22"/>
  <c r="AK176" i="22"/>
  <c r="AK250" i="22"/>
  <c r="AK319" i="22"/>
  <c r="AK265" i="22"/>
  <c r="AK324" i="22"/>
  <c r="AK327" i="22"/>
  <c r="AK34" i="22"/>
  <c r="AK102" i="22"/>
  <c r="AK160" i="22"/>
  <c r="AK224" i="22"/>
  <c r="AK248" i="22"/>
  <c r="AK365" i="22"/>
  <c r="AK73" i="22"/>
  <c r="AK177" i="22"/>
  <c r="AK325" i="22"/>
  <c r="AK82" i="22"/>
  <c r="AK222" i="22"/>
  <c r="AK363" i="22"/>
  <c r="AK54" i="22"/>
  <c r="AK86" i="22"/>
  <c r="AK208" i="22"/>
  <c r="AK296" i="22"/>
  <c r="AK293" i="22"/>
  <c r="AK367" i="22"/>
  <c r="AK101" i="22"/>
  <c r="AK308" i="22"/>
  <c r="AK16" i="22"/>
  <c r="AK227" i="22"/>
  <c r="AK171" i="22"/>
  <c r="AK51" i="22"/>
  <c r="AK172" i="22"/>
  <c r="AK263" i="22"/>
  <c r="AK80" i="22"/>
  <c r="AK356" i="22"/>
  <c r="AK89" i="22"/>
  <c r="AK68" i="22"/>
  <c r="AK187" i="22"/>
  <c r="AK332" i="22"/>
  <c r="AK183" i="22"/>
  <c r="AK108" i="22"/>
  <c r="AK280" i="22"/>
  <c r="L16" i="19"/>
  <c r="P10" i="20"/>
  <c r="G228" i="1"/>
  <c r="BW228" i="6" s="1"/>
  <c r="G61" i="19"/>
  <c r="AC12" i="24"/>
  <c r="O12" i="24"/>
  <c r="AC9" i="24"/>
  <c r="AJ22" i="25"/>
  <c r="AJ41" i="25"/>
  <c r="AJ33" i="25"/>
  <c r="AJ20" i="25"/>
  <c r="AJ55" i="25"/>
  <c r="AJ50" i="25"/>
  <c r="AJ68" i="25"/>
  <c r="AJ75" i="25"/>
  <c r="AJ91" i="25"/>
  <c r="AJ90" i="25"/>
  <c r="AJ18" i="25"/>
  <c r="AJ28" i="25"/>
  <c r="AJ52" i="25"/>
  <c r="AJ67" i="25"/>
  <c r="AJ89" i="25"/>
  <c r="AJ107" i="25"/>
  <c r="AJ118" i="25"/>
  <c r="AJ130" i="25"/>
  <c r="AJ142" i="25"/>
  <c r="AJ82" i="25"/>
  <c r="AJ102" i="25"/>
  <c r="AJ134" i="25"/>
  <c r="AJ156" i="25"/>
  <c r="AJ171" i="25"/>
  <c r="AJ186" i="25"/>
  <c r="AJ198" i="25"/>
  <c r="AJ153" i="25"/>
  <c r="AJ170" i="25"/>
  <c r="AJ187" i="25"/>
  <c r="AJ208" i="25"/>
  <c r="AJ221" i="25"/>
  <c r="AJ236" i="25"/>
  <c r="AJ253" i="25"/>
  <c r="AJ272" i="25"/>
  <c r="AJ283" i="25"/>
  <c r="AJ295" i="25"/>
  <c r="AJ311" i="25"/>
  <c r="AJ218" i="25"/>
  <c r="AJ240" i="25"/>
  <c r="AJ252" i="25"/>
  <c r="AJ265" i="25"/>
  <c r="AJ289" i="25"/>
  <c r="AJ307" i="25"/>
  <c r="AJ320" i="25"/>
  <c r="AJ336" i="25"/>
  <c r="AJ354" i="25"/>
  <c r="AJ367" i="25"/>
  <c r="F7" i="25"/>
  <c r="AJ42" i="25"/>
  <c r="AJ24" i="25"/>
  <c r="AJ53" i="25"/>
  <c r="AJ76" i="25"/>
  <c r="AJ99" i="25"/>
  <c r="AJ113" i="25"/>
  <c r="AJ125" i="25"/>
  <c r="AJ136" i="25"/>
  <c r="AJ149" i="25"/>
  <c r="AJ98" i="25"/>
  <c r="AJ123" i="25"/>
  <c r="AJ147" i="25"/>
  <c r="AJ164" i="25"/>
  <c r="AJ179" i="25"/>
  <c r="AJ194" i="25"/>
  <c r="AJ207" i="25"/>
  <c r="AJ166" i="25"/>
  <c r="AJ181" i="25"/>
  <c r="AJ200" i="25"/>
  <c r="AJ217" i="25"/>
  <c r="AJ229" i="25"/>
  <c r="AJ243" i="25"/>
  <c r="AJ266" i="25"/>
  <c r="AJ280" i="25"/>
  <c r="AJ291" i="25"/>
  <c r="AJ303" i="25"/>
  <c r="AJ323" i="25"/>
  <c r="AJ231" i="25"/>
  <c r="AJ247" i="25"/>
  <c r="AJ261" i="25"/>
  <c r="AJ275" i="25"/>
  <c r="AJ298" i="25"/>
  <c r="AJ316" i="25"/>
  <c r="AJ330" i="25"/>
  <c r="AJ348" i="25"/>
  <c r="AJ363" i="25"/>
  <c r="AJ376" i="25"/>
  <c r="AJ332" i="25"/>
  <c r="AJ347" i="25"/>
  <c r="AJ37" i="25"/>
  <c r="AJ57" i="25"/>
  <c r="AJ46" i="25"/>
  <c r="AJ71" i="25"/>
  <c r="AJ83" i="25"/>
  <c r="AJ30" i="25"/>
  <c r="AJ65" i="25"/>
  <c r="AJ94" i="25"/>
  <c r="AJ120" i="25"/>
  <c r="AJ145" i="25"/>
  <c r="AJ114" i="25"/>
  <c r="AJ158" i="25"/>
  <c r="AJ189" i="25"/>
  <c r="AJ159" i="25"/>
  <c r="AJ193" i="25"/>
  <c r="AJ223" i="25"/>
  <c r="AJ257" i="25"/>
  <c r="AJ286" i="25"/>
  <c r="AJ315" i="25"/>
  <c r="AJ244" i="25"/>
  <c r="AJ269" i="25"/>
  <c r="AJ310" i="25"/>
  <c r="AJ340" i="25"/>
  <c r="AJ373" i="25"/>
  <c r="AJ15" i="25"/>
  <c r="AJ61" i="25"/>
  <c r="AJ106" i="25"/>
  <c r="AJ128" i="25"/>
  <c r="AJ151" i="25"/>
  <c r="AJ129" i="25"/>
  <c r="AJ167" i="25"/>
  <c r="AJ196" i="25"/>
  <c r="AJ169" i="25"/>
  <c r="AJ205" i="25"/>
  <c r="AJ235" i="25"/>
  <c r="AJ270" i="25"/>
  <c r="AJ293" i="25"/>
  <c r="AJ216" i="25"/>
  <c r="AJ251" i="25"/>
  <c r="AJ285" i="25"/>
  <c r="AJ319" i="25"/>
  <c r="AJ350" i="25"/>
  <c r="AJ378" i="25"/>
  <c r="AJ352" i="25"/>
  <c r="AJ370" i="25"/>
  <c r="AJ328" i="25"/>
  <c r="AJ344" i="25"/>
  <c r="AJ356" i="25"/>
  <c r="AJ29" i="25"/>
  <c r="AJ63" i="25"/>
  <c r="AJ93" i="25"/>
  <c r="AJ39" i="25"/>
  <c r="AJ116" i="25"/>
  <c r="AJ100" i="25"/>
  <c r="AJ182" i="25"/>
  <c r="AJ184" i="25"/>
  <c r="AJ248" i="25"/>
  <c r="AJ304" i="25"/>
  <c r="AJ262" i="25"/>
  <c r="AJ333" i="25"/>
  <c r="AJ32" i="25"/>
  <c r="AJ81" i="25"/>
  <c r="AJ146" i="25"/>
  <c r="AJ161" i="25"/>
  <c r="AJ160" i="25"/>
  <c r="AJ224" i="25"/>
  <c r="AJ287" i="25"/>
  <c r="AJ245" i="25"/>
  <c r="AJ312" i="25"/>
  <c r="AJ374" i="25"/>
  <c r="AJ365" i="25"/>
  <c r="AJ339" i="25"/>
  <c r="AJ371" i="25"/>
  <c r="AJ25" i="25"/>
  <c r="AJ49" i="25"/>
  <c r="AJ150" i="25"/>
  <c r="AJ168" i="25"/>
  <c r="AJ292" i="25"/>
  <c r="AJ318" i="25"/>
  <c r="AJ79" i="25"/>
  <c r="AJ141" i="25"/>
  <c r="AJ213" i="25"/>
  <c r="AJ228" i="25"/>
  <c r="AJ360" i="25"/>
  <c r="AJ331" i="25"/>
  <c r="AJ48" i="25"/>
  <c r="AJ103" i="25"/>
  <c r="AJ126" i="25"/>
  <c r="AJ195" i="25"/>
  <c r="AJ267" i="25"/>
  <c r="AJ276" i="25"/>
  <c r="AJ56" i="25"/>
  <c r="AJ96" i="25"/>
  <c r="AJ178" i="25"/>
  <c r="AJ301" i="25"/>
  <c r="AJ325" i="25"/>
  <c r="AJ372" i="25"/>
  <c r="AJ21" i="25"/>
  <c r="AJ31" i="25"/>
  <c r="AJ51" i="25"/>
  <c r="AJ54" i="25"/>
  <c r="AJ40" i="25"/>
  <c r="AJ66" i="25"/>
  <c r="AJ60" i="25"/>
  <c r="AJ74" i="25"/>
  <c r="AJ80" i="25"/>
  <c r="AJ95" i="25"/>
  <c r="AJ105" i="25"/>
  <c r="AJ38" i="25"/>
  <c r="BD13" i="7"/>
  <c r="AJ47" i="25"/>
  <c r="AJ73" i="25"/>
  <c r="AJ84" i="25"/>
  <c r="AJ112" i="25"/>
  <c r="AJ124" i="25"/>
  <c r="AJ135" i="25"/>
  <c r="AJ148" i="25"/>
  <c r="AJ97" i="25"/>
  <c r="AJ122" i="25"/>
  <c r="AJ144" i="25"/>
  <c r="AJ162" i="25"/>
  <c r="AJ176" i="25"/>
  <c r="AJ191" i="25"/>
  <c r="AJ206" i="25"/>
  <c r="AJ163" i="25"/>
  <c r="AJ180" i="25"/>
  <c r="AJ199" i="25"/>
  <c r="AJ215" i="25"/>
  <c r="AJ227" i="25"/>
  <c r="AJ242" i="25"/>
  <c r="AJ264" i="25"/>
  <c r="AJ279" i="25"/>
  <c r="AJ288" i="25"/>
  <c r="AJ302" i="25"/>
  <c r="AJ322" i="25"/>
  <c r="AJ230" i="25"/>
  <c r="AJ246" i="25"/>
  <c r="AJ260" i="25"/>
  <c r="AJ274" i="25"/>
  <c r="AJ297" i="25"/>
  <c r="AJ313" i="25"/>
  <c r="AJ326" i="25"/>
  <c r="AJ343" i="25"/>
  <c r="AJ361" i="25"/>
  <c r="AJ375" i="25"/>
  <c r="AJ27" i="25"/>
  <c r="AJ34" i="25"/>
  <c r="AJ62" i="25"/>
  <c r="AJ69" i="25"/>
  <c r="AJ92" i="25"/>
  <c r="AJ109" i="25"/>
  <c r="AJ119" i="25"/>
  <c r="AJ131" i="25"/>
  <c r="AJ143" i="25"/>
  <c r="AJ86" i="25"/>
  <c r="AJ108" i="25"/>
  <c r="AJ139" i="25"/>
  <c r="AJ157" i="25"/>
  <c r="AJ173" i="25"/>
  <c r="AJ188" i="25"/>
  <c r="AJ201" i="25"/>
  <c r="AJ155" i="25"/>
  <c r="AJ172" i="25"/>
  <c r="AJ192" i="25"/>
  <c r="AJ210" i="25"/>
  <c r="AJ222" i="25"/>
  <c r="AJ237" i="25"/>
  <c r="AJ254" i="25"/>
  <c r="AJ273" i="25"/>
  <c r="AJ284" i="25"/>
  <c r="AJ299" i="25"/>
  <c r="AJ314" i="25"/>
  <c r="AJ225" i="25"/>
  <c r="AJ241" i="25"/>
  <c r="AJ255" i="25"/>
  <c r="AJ268" i="25"/>
  <c r="AJ290" i="25"/>
  <c r="AJ308" i="25"/>
  <c r="AJ321" i="25"/>
  <c r="AJ337" i="25"/>
  <c r="AJ358" i="25"/>
  <c r="AJ368" i="25"/>
  <c r="AJ327" i="25"/>
  <c r="AJ342" i="25"/>
  <c r="AJ380" i="25"/>
  <c r="AJ26" i="25"/>
  <c r="AJ45" i="25"/>
  <c r="AJ64" i="25"/>
  <c r="AJ88" i="25"/>
  <c r="AJ36" i="25"/>
  <c r="AJ72" i="25"/>
  <c r="AJ110" i="25"/>
  <c r="AJ132" i="25"/>
  <c r="AJ87" i="25"/>
  <c r="AJ140" i="25"/>
  <c r="AJ174" i="25"/>
  <c r="AJ203" i="25"/>
  <c r="AJ177" i="25"/>
  <c r="AJ212" i="25"/>
  <c r="AJ238" i="25"/>
  <c r="AJ277" i="25"/>
  <c r="AJ300" i="25"/>
  <c r="AJ226" i="25"/>
  <c r="AJ256" i="25"/>
  <c r="AJ294" i="25"/>
  <c r="AJ324" i="25"/>
  <c r="AJ359" i="25"/>
  <c r="AJ23" i="25"/>
  <c r="AJ43" i="25"/>
  <c r="AJ85" i="25"/>
  <c r="AJ117" i="25"/>
  <c r="AJ138" i="25"/>
  <c r="AJ101" i="25"/>
  <c r="AJ154" i="25"/>
  <c r="AJ183" i="25"/>
  <c r="AJ211" i="25"/>
  <c r="AJ185" i="25"/>
  <c r="AJ220" i="25"/>
  <c r="AJ250" i="25"/>
  <c r="AJ282" i="25"/>
  <c r="AJ309" i="25"/>
  <c r="AJ234" i="25"/>
  <c r="AJ263" i="25"/>
  <c r="AJ306" i="25"/>
  <c r="AJ334" i="25"/>
  <c r="AJ366" i="25"/>
  <c r="AJ338" i="25"/>
  <c r="AJ357" i="25"/>
  <c r="AJ377" i="25"/>
  <c r="AJ335" i="25"/>
  <c r="AJ351" i="25"/>
  <c r="AJ369" i="25"/>
  <c r="AJ35" i="25"/>
  <c r="AJ70" i="25"/>
  <c r="AJ19" i="25"/>
  <c r="AJ78" i="25"/>
  <c r="AJ137" i="25"/>
  <c r="AJ152" i="25"/>
  <c r="AJ209" i="25"/>
  <c r="AJ219" i="25"/>
  <c r="AJ281" i="25"/>
  <c r="AJ232" i="25"/>
  <c r="AJ305" i="25"/>
  <c r="AJ364" i="25"/>
  <c r="AJ44" i="25"/>
  <c r="AJ121" i="25"/>
  <c r="AJ115" i="25"/>
  <c r="AJ190" i="25"/>
  <c r="AJ197" i="25"/>
  <c r="AJ259" i="25"/>
  <c r="AJ317" i="25"/>
  <c r="AJ271" i="25"/>
  <c r="AJ341" i="25"/>
  <c r="AJ345" i="25"/>
  <c r="AJ379" i="25"/>
  <c r="AJ353" i="25"/>
  <c r="AJ17" i="25"/>
  <c r="AJ77" i="25"/>
  <c r="AJ104" i="25"/>
  <c r="AJ165" i="25"/>
  <c r="AJ233" i="25"/>
  <c r="AJ249" i="25"/>
  <c r="AJ16" i="25"/>
  <c r="AJ133" i="25"/>
  <c r="AJ204" i="25"/>
  <c r="AJ278" i="25"/>
  <c r="AJ296" i="25"/>
  <c r="AJ355" i="25"/>
  <c r="AJ362" i="25"/>
  <c r="AJ58" i="25"/>
  <c r="AJ59" i="25"/>
  <c r="AJ127" i="25"/>
  <c r="AJ202" i="25"/>
  <c r="AJ214" i="25"/>
  <c r="AJ349" i="25"/>
  <c r="AJ111" i="25"/>
  <c r="AJ175" i="25"/>
  <c r="AJ239" i="25"/>
  <c r="AJ258" i="25"/>
  <c r="AJ329" i="25"/>
  <c r="AJ346" i="25"/>
  <c r="AA272" i="1"/>
  <c r="Z272" i="1" s="1"/>
  <c r="Y272" i="1" s="1"/>
  <c r="AA228" i="1"/>
  <c r="Z228" i="1" s="1"/>
  <c r="I272" i="1"/>
  <c r="AA301" i="1"/>
  <c r="Z301" i="1" s="1"/>
  <c r="Y301" i="1" s="1"/>
  <c r="J61" i="19"/>
  <c r="G301" i="1"/>
  <c r="BW301" i="6" s="1"/>
  <c r="AA306" i="1"/>
  <c r="Z306" i="1" s="1"/>
  <c r="Y306" i="1" s="1"/>
  <c r="AA89" i="1"/>
  <c r="Z89" i="1" s="1"/>
  <c r="Y89" i="1" s="1"/>
  <c r="V149" i="1"/>
  <c r="AA149" i="1" s="1"/>
  <c r="Z149" i="1" s="1"/>
  <c r="Y149" i="1" s="1"/>
  <c r="U96" i="15"/>
  <c r="T96" i="15" s="1"/>
  <c r="S96" i="15" s="1"/>
  <c r="R96" i="15" s="1"/>
  <c r="U251" i="15"/>
  <c r="T251" i="15" s="1"/>
  <c r="S251" i="15" s="1"/>
  <c r="R251" i="15" s="1"/>
  <c r="P251" i="15" s="1"/>
  <c r="V251" i="15" s="1"/>
  <c r="F251" i="15" s="1"/>
  <c r="H251" i="15" s="1"/>
  <c r="U90" i="15"/>
  <c r="T90" i="15" s="1"/>
  <c r="U127" i="15"/>
  <c r="T127" i="15" s="1"/>
  <c r="S127" i="15" s="1"/>
  <c r="R127" i="15" s="1"/>
  <c r="P127" i="15" s="1"/>
  <c r="U253" i="15"/>
  <c r="T253" i="15" s="1"/>
  <c r="S253" i="15" s="1"/>
  <c r="R253" i="15" s="1"/>
  <c r="P253" i="15" s="1"/>
  <c r="V253" i="15" s="1"/>
  <c r="F253" i="15" s="1"/>
  <c r="U118" i="15"/>
  <c r="T118" i="15" s="1"/>
  <c r="S118" i="15" s="1"/>
  <c r="R118" i="15" s="1"/>
  <c r="P118" i="15" s="1"/>
  <c r="V118" i="15" s="1"/>
  <c r="F118" i="15" s="1"/>
  <c r="G118" i="15" s="1"/>
  <c r="BX118" i="6" s="1"/>
  <c r="U69" i="15"/>
  <c r="T69" i="15" s="1"/>
  <c r="S69" i="15" s="1"/>
  <c r="R69" i="15" s="1"/>
  <c r="P69" i="15" s="1"/>
  <c r="V69" i="15" s="1"/>
  <c r="F69" i="15" s="1"/>
  <c r="H69" i="15" s="1"/>
  <c r="U145" i="15"/>
  <c r="T145" i="15" s="1"/>
  <c r="U335" i="15"/>
  <c r="T335" i="15" s="1"/>
  <c r="S335" i="15" s="1"/>
  <c r="R335" i="15" s="1"/>
  <c r="U332" i="15"/>
  <c r="T332" i="15" s="1"/>
  <c r="S332" i="15" s="1"/>
  <c r="R332" i="15" s="1"/>
  <c r="P332" i="15" s="1"/>
  <c r="V332" i="15" s="1"/>
  <c r="F332" i="15" s="1"/>
  <c r="G332" i="15" s="1"/>
  <c r="BX332" i="6" s="1"/>
  <c r="U337" i="15"/>
  <c r="T337" i="15" s="1"/>
  <c r="S337" i="15" s="1"/>
  <c r="R337" i="15" s="1"/>
  <c r="P337" i="15" s="1"/>
  <c r="V337" i="15" s="1"/>
  <c r="F337" i="15" s="1"/>
  <c r="G337" i="15" s="1"/>
  <c r="BX337" i="6" s="1"/>
  <c r="U285" i="15"/>
  <c r="T285" i="15" s="1"/>
  <c r="S285" i="15" s="1"/>
  <c r="R285" i="15" s="1"/>
  <c r="P285" i="15" s="1"/>
  <c r="V285" i="15" s="1"/>
  <c r="F285" i="15" s="1"/>
  <c r="G285" i="15" s="1"/>
  <c r="BX285" i="6" s="1"/>
  <c r="U161" i="15"/>
  <c r="T161" i="15" s="1"/>
  <c r="U133" i="15"/>
  <c r="T133" i="15" s="1"/>
  <c r="S133" i="15" s="1"/>
  <c r="R133" i="15" s="1"/>
  <c r="P133" i="15" s="1"/>
  <c r="V133" i="15" s="1"/>
  <c r="F133" i="15" s="1"/>
  <c r="H133" i="15" s="1"/>
  <c r="U322" i="15"/>
  <c r="T322" i="15" s="1"/>
  <c r="S322" i="15" s="1"/>
  <c r="R322" i="15" s="1"/>
  <c r="P322" i="15" s="1"/>
  <c r="U157" i="15"/>
  <c r="T157" i="15" s="1"/>
  <c r="S157" i="15" s="1"/>
  <c r="R157" i="15" s="1"/>
  <c r="U277" i="15"/>
  <c r="T277" i="15" s="1"/>
  <c r="S277" i="15" s="1"/>
  <c r="R277" i="15" s="1"/>
  <c r="P277" i="15" s="1"/>
  <c r="V277" i="15" s="1"/>
  <c r="F277" i="15" s="1"/>
  <c r="H277" i="15" s="1"/>
  <c r="U377" i="15"/>
  <c r="T377" i="15" s="1"/>
  <c r="S377" i="15" s="1"/>
  <c r="R377" i="15" s="1"/>
  <c r="P377" i="15" s="1"/>
  <c r="U152" i="15"/>
  <c r="T152" i="15" s="1"/>
  <c r="S152" i="15" s="1"/>
  <c r="R152" i="15" s="1"/>
  <c r="U356" i="15"/>
  <c r="T356" i="15" s="1"/>
  <c r="S356" i="15" s="1"/>
  <c r="R356" i="15" s="1"/>
  <c r="P356" i="15" s="1"/>
  <c r="V356" i="15" s="1"/>
  <c r="F356" i="15" s="1"/>
  <c r="G356" i="15" s="1"/>
  <c r="BX356" i="6" s="1"/>
  <c r="U179" i="15"/>
  <c r="T179" i="15" s="1"/>
  <c r="S179" i="15" s="1"/>
  <c r="R179" i="15" s="1"/>
  <c r="P179" i="15" s="1"/>
  <c r="V179" i="15" s="1"/>
  <c r="F179" i="15" s="1"/>
  <c r="G179" i="15" s="1"/>
  <c r="BX179" i="6" s="1"/>
  <c r="U40" i="15"/>
  <c r="T40" i="15" s="1"/>
  <c r="S40" i="15" s="1"/>
  <c r="R40" i="15" s="1"/>
  <c r="P40" i="15" s="1"/>
  <c r="V40" i="15" s="1"/>
  <c r="F40" i="15" s="1"/>
  <c r="U44" i="15"/>
  <c r="T44" i="15" s="1"/>
  <c r="S44" i="15" s="1"/>
  <c r="R44" i="15" s="1"/>
  <c r="U35" i="15"/>
  <c r="T35" i="15" s="1"/>
  <c r="U341" i="15"/>
  <c r="T341" i="15" s="1"/>
  <c r="S341" i="15" s="1"/>
  <c r="R341" i="15" s="1"/>
  <c r="U62" i="15"/>
  <c r="T62" i="15" s="1"/>
  <c r="S62" i="15" s="1"/>
  <c r="R62" i="15" s="1"/>
  <c r="P62" i="15" s="1"/>
  <c r="V62" i="15" s="1"/>
  <c r="F62" i="15" s="1"/>
  <c r="G62" i="15" s="1"/>
  <c r="BX62" i="6" s="1"/>
  <c r="U375" i="15"/>
  <c r="T375" i="15" s="1"/>
  <c r="S375" i="15" s="1"/>
  <c r="R375" i="15" s="1"/>
  <c r="U60" i="15"/>
  <c r="T60" i="15" s="1"/>
  <c r="S60" i="15" s="1"/>
  <c r="R60" i="15" s="1"/>
  <c r="P60" i="15" s="1"/>
  <c r="U208" i="15"/>
  <c r="T208" i="15" s="1"/>
  <c r="S208" i="15" s="1"/>
  <c r="R208" i="15" s="1"/>
  <c r="P208" i="15" s="1"/>
  <c r="V208" i="15" s="1"/>
  <c r="F208" i="15" s="1"/>
  <c r="U52" i="15"/>
  <c r="T52" i="15" s="1"/>
  <c r="S52" i="15" s="1"/>
  <c r="R52" i="15" s="1"/>
  <c r="P52" i="15" s="1"/>
  <c r="U92" i="15"/>
  <c r="T92" i="15" s="1"/>
  <c r="S92" i="15" s="1"/>
  <c r="R92" i="15" s="1"/>
  <c r="U180" i="15"/>
  <c r="T180" i="15" s="1"/>
  <c r="S180" i="15" s="1"/>
  <c r="R180" i="15" s="1"/>
  <c r="P180" i="15" s="1"/>
  <c r="U363" i="15"/>
  <c r="T363" i="15" s="1"/>
  <c r="S363" i="15" s="1"/>
  <c r="R363" i="15" s="1"/>
  <c r="U237" i="15"/>
  <c r="T237" i="15" s="1"/>
  <c r="S237" i="15" s="1"/>
  <c r="R237" i="15" s="1"/>
  <c r="P237" i="15" s="1"/>
  <c r="V237" i="15" s="1"/>
  <c r="F237" i="15" s="1"/>
  <c r="G237" i="15" s="1"/>
  <c r="BX237" i="6" s="1"/>
  <c r="U84" i="15"/>
  <c r="T84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111" i="15"/>
  <c r="T111" i="15" s="1"/>
  <c r="S111" i="15" s="1"/>
  <c r="R111" i="15" s="1"/>
  <c r="P111" i="15" s="1"/>
  <c r="V111" i="15" s="1"/>
  <c r="F111" i="15" s="1"/>
  <c r="H111" i="15" s="1"/>
  <c r="U83" i="15"/>
  <c r="T83" i="15" s="1"/>
  <c r="S83" i="15" s="1"/>
  <c r="R83" i="15" s="1"/>
  <c r="U57" i="15"/>
  <c r="T57" i="15" s="1"/>
  <c r="S57" i="15" s="1"/>
  <c r="R57" i="15" s="1"/>
  <c r="P57" i="15" s="1"/>
  <c r="U61" i="15"/>
  <c r="T61" i="15" s="1"/>
  <c r="S61" i="15" s="1"/>
  <c r="R61" i="15" s="1"/>
  <c r="P61" i="15" s="1"/>
  <c r="U231" i="15"/>
  <c r="T231" i="15" s="1"/>
  <c r="S231" i="15" s="1"/>
  <c r="R231" i="15" s="1"/>
  <c r="P231" i="15" s="1"/>
  <c r="V231" i="15" s="1"/>
  <c r="F231" i="15" s="1"/>
  <c r="H231" i="15" s="1"/>
  <c r="I231" i="15" s="1"/>
  <c r="U173" i="15"/>
  <c r="T173" i="15" s="1"/>
  <c r="S173" i="15" s="1"/>
  <c r="R173" i="15" s="1"/>
  <c r="P173" i="15" s="1"/>
  <c r="V173" i="15" s="1"/>
  <c r="F173" i="15" s="1"/>
  <c r="G173" i="15" s="1"/>
  <c r="BX173" i="6" s="1"/>
  <c r="U355" i="15"/>
  <c r="T355" i="15" s="1"/>
  <c r="S355" i="15" s="1"/>
  <c r="R355" i="15" s="1"/>
  <c r="P355" i="15" s="1"/>
  <c r="V355" i="15" s="1"/>
  <c r="F355" i="15" s="1"/>
  <c r="U243" i="15"/>
  <c r="T243" i="15" s="1"/>
  <c r="S243" i="15" s="1"/>
  <c r="R243" i="15" s="1"/>
  <c r="P243" i="15" s="1"/>
  <c r="V243" i="15" s="1"/>
  <c r="F243" i="15" s="1"/>
  <c r="H243" i="15" s="1"/>
  <c r="U301" i="15"/>
  <c r="T301" i="15" s="1"/>
  <c r="S301" i="15" s="1"/>
  <c r="R301" i="15" s="1"/>
  <c r="P301" i="15" s="1"/>
  <c r="V301" i="15" s="1"/>
  <c r="F301" i="15" s="1"/>
  <c r="U275" i="15"/>
  <c r="T275" i="15" s="1"/>
  <c r="S275" i="15" s="1"/>
  <c r="R275" i="15" s="1"/>
  <c r="P275" i="15" s="1"/>
  <c r="V275" i="15" s="1"/>
  <c r="F275" i="15" s="1"/>
  <c r="G275" i="15" s="1"/>
  <c r="BX275" i="6" s="1"/>
  <c r="U160" i="15"/>
  <c r="T160" i="15" s="1"/>
  <c r="U289" i="15"/>
  <c r="T289" i="15" s="1"/>
  <c r="S289" i="15" s="1"/>
  <c r="R289" i="15" s="1"/>
  <c r="P289" i="15" s="1"/>
  <c r="V289" i="15" s="1"/>
  <c r="F289" i="15" s="1"/>
  <c r="U239" i="15"/>
  <c r="T239" i="15" s="1"/>
  <c r="S239" i="15" s="1"/>
  <c r="R239" i="15" s="1"/>
  <c r="P239" i="15" s="1"/>
  <c r="V239" i="15" s="1"/>
  <c r="F239" i="15" s="1"/>
  <c r="G239" i="15" s="1"/>
  <c r="BX239" i="6" s="1"/>
  <c r="U158" i="15"/>
  <c r="T158" i="15" s="1"/>
  <c r="U280" i="15"/>
  <c r="T280" i="15" s="1"/>
  <c r="S280" i="15" s="1"/>
  <c r="R280" i="15" s="1"/>
  <c r="P280" i="15" s="1"/>
  <c r="V280" i="15" s="1"/>
  <c r="F280" i="15" s="1"/>
  <c r="U48" i="15"/>
  <c r="T48" i="15" s="1"/>
  <c r="S48" i="15" s="1"/>
  <c r="R48" i="15" s="1"/>
  <c r="P48" i="15" s="1"/>
  <c r="V48" i="15" s="1"/>
  <c r="F48" i="15" s="1"/>
  <c r="U329" i="15"/>
  <c r="T329" i="15" s="1"/>
  <c r="S329" i="15" s="1"/>
  <c r="R329" i="15" s="1"/>
  <c r="U170" i="15"/>
  <c r="T170" i="15" s="1"/>
  <c r="S170" i="15" s="1"/>
  <c r="R170" i="15" s="1"/>
  <c r="P170" i="15" s="1"/>
  <c r="V170" i="15" s="1"/>
  <c r="F170" i="15" s="1"/>
  <c r="H170" i="15" s="1"/>
  <c r="U142" i="15"/>
  <c r="T142" i="15" s="1"/>
  <c r="S142" i="15" s="1"/>
  <c r="R142" i="15" s="1"/>
  <c r="U323" i="15"/>
  <c r="T323" i="15" s="1"/>
  <c r="S323" i="15" s="1"/>
  <c r="R323" i="15" s="1"/>
  <c r="P323" i="15" s="1"/>
  <c r="V323" i="15" s="1"/>
  <c r="F323" i="15" s="1"/>
  <c r="G323" i="15" s="1"/>
  <c r="BX323" i="6" s="1"/>
  <c r="U93" i="15"/>
  <c r="T93" i="15" s="1"/>
  <c r="U21" i="15"/>
  <c r="T21" i="15" s="1"/>
  <c r="S21" i="15" s="1"/>
  <c r="R21" i="15" s="1"/>
  <c r="U373" i="15"/>
  <c r="T373" i="15" s="1"/>
  <c r="S373" i="15" s="1"/>
  <c r="R373" i="15" s="1"/>
  <c r="P373" i="15" s="1"/>
  <c r="V373" i="15" s="1"/>
  <c r="F373" i="15" s="1"/>
  <c r="G373" i="15" s="1"/>
  <c r="BX373" i="6" s="1"/>
  <c r="U103" i="15"/>
  <c r="T103" i="15" s="1"/>
  <c r="S103" i="15" s="1"/>
  <c r="R103" i="15" s="1"/>
  <c r="U171" i="15"/>
  <c r="T171" i="15" s="1"/>
  <c r="S171" i="15" s="1"/>
  <c r="R171" i="15" s="1"/>
  <c r="P171" i="15" s="1"/>
  <c r="V171" i="15" s="1"/>
  <c r="F171" i="15" s="1"/>
  <c r="H171" i="15" s="1"/>
  <c r="U308" i="15"/>
  <c r="T308" i="15" s="1"/>
  <c r="S308" i="15" s="1"/>
  <c r="R308" i="15" s="1"/>
  <c r="P308" i="15" s="1"/>
  <c r="V308" i="15" s="1"/>
  <c r="F308" i="15" s="1"/>
  <c r="U309" i="15"/>
  <c r="T309" i="15" s="1"/>
  <c r="S309" i="15" s="1"/>
  <c r="R309" i="15" s="1"/>
  <c r="P309" i="15" s="1"/>
  <c r="V309" i="15" s="1"/>
  <c r="F309" i="15" s="1"/>
  <c r="U172" i="15"/>
  <c r="T172" i="15" s="1"/>
  <c r="S172" i="15" s="1"/>
  <c r="R172" i="15" s="1"/>
  <c r="P172" i="15" s="1"/>
  <c r="V172" i="15" s="1"/>
  <c r="F172" i="15" s="1"/>
  <c r="H172" i="15" s="1"/>
  <c r="U79" i="15"/>
  <c r="T79" i="15" s="1"/>
  <c r="U63" i="15"/>
  <c r="T63" i="15" s="1"/>
  <c r="S63" i="15" s="1"/>
  <c r="R63" i="15" s="1"/>
  <c r="P63" i="15" s="1"/>
  <c r="V63" i="15" s="1"/>
  <c r="F63" i="15" s="1"/>
  <c r="U186" i="15"/>
  <c r="T186" i="15" s="1"/>
  <c r="S186" i="15" s="1"/>
  <c r="R186" i="15" s="1"/>
  <c r="P186" i="15" s="1"/>
  <c r="V186" i="15" s="1"/>
  <c r="F186" i="15" s="1"/>
  <c r="H186" i="15" s="1"/>
  <c r="I186" i="15" s="1"/>
  <c r="U296" i="15"/>
  <c r="T296" i="15" s="1"/>
  <c r="S296" i="15" s="1"/>
  <c r="R296" i="15" s="1"/>
  <c r="P296" i="15" s="1"/>
  <c r="V296" i="15" s="1"/>
  <c r="F296" i="15" s="1"/>
  <c r="U131" i="15"/>
  <c r="T131" i="15" s="1"/>
  <c r="S131" i="15" s="1"/>
  <c r="R131" i="15" s="1"/>
  <c r="P131" i="15" s="1"/>
  <c r="V131" i="15" s="1"/>
  <c r="F131" i="15" s="1"/>
  <c r="H131" i="15" s="1"/>
  <c r="U114" i="15"/>
  <c r="T114" i="15" s="1"/>
  <c r="S114" i="15" s="1"/>
  <c r="R114" i="15" s="1"/>
  <c r="P114" i="15" s="1"/>
  <c r="V114" i="15" s="1"/>
  <c r="F114" i="15" s="1"/>
  <c r="H114" i="15" s="1"/>
  <c r="U268" i="15"/>
  <c r="T268" i="15" s="1"/>
  <c r="S268" i="15" s="1"/>
  <c r="R268" i="15" s="1"/>
  <c r="P268" i="15" s="1"/>
  <c r="V268" i="15" s="1"/>
  <c r="F268" i="15" s="1"/>
  <c r="H268" i="15" s="1"/>
  <c r="U101" i="15"/>
  <c r="T101" i="15" s="1"/>
  <c r="U291" i="15"/>
  <c r="T291" i="15" s="1"/>
  <c r="S291" i="15" s="1"/>
  <c r="R291" i="15" s="1"/>
  <c r="P291" i="15" s="1"/>
  <c r="U250" i="15"/>
  <c r="T250" i="15" s="1"/>
  <c r="S250" i="15" s="1"/>
  <c r="R250" i="15" s="1"/>
  <c r="P250" i="15" s="1"/>
  <c r="V250" i="15" s="1"/>
  <c r="F250" i="15" s="1"/>
  <c r="G250" i="15" s="1"/>
  <c r="BX250" i="6" s="1"/>
  <c r="U193" i="15"/>
  <c r="T193" i="15" s="1"/>
  <c r="S193" i="15" s="1"/>
  <c r="R193" i="15" s="1"/>
  <c r="P193" i="15" s="1"/>
  <c r="V193" i="15" s="1"/>
  <c r="F193" i="15" s="1"/>
  <c r="G193" i="15" s="1"/>
  <c r="BX193" i="6" s="1"/>
  <c r="U51" i="15"/>
  <c r="T51" i="15" s="1"/>
  <c r="S51" i="15" s="1"/>
  <c r="R51" i="15" s="1"/>
  <c r="P51" i="15" s="1"/>
  <c r="V51" i="15" s="1"/>
  <c r="F51" i="15" s="1"/>
  <c r="U75" i="15"/>
  <c r="T75" i="15" s="1"/>
  <c r="S75" i="15" s="1"/>
  <c r="R75" i="15" s="1"/>
  <c r="P75" i="15" s="1"/>
  <c r="V75" i="15" s="1"/>
  <c r="F75" i="15" s="1"/>
  <c r="U318" i="15"/>
  <c r="T318" i="15" s="1"/>
  <c r="S318" i="15" s="1"/>
  <c r="R318" i="15" s="1"/>
  <c r="P318" i="15" s="1"/>
  <c r="V318" i="15" s="1"/>
  <c r="F318" i="15" s="1"/>
  <c r="U342" i="15"/>
  <c r="T342" i="15" s="1"/>
  <c r="S342" i="15" s="1"/>
  <c r="R342" i="15" s="1"/>
  <c r="P342" i="15" s="1"/>
  <c r="V342" i="15" s="1"/>
  <c r="F342" i="15" s="1"/>
  <c r="U136" i="15"/>
  <c r="T136" i="15" s="1"/>
  <c r="S136" i="15" s="1"/>
  <c r="R136" i="15" s="1"/>
  <c r="U317" i="15"/>
  <c r="T317" i="15" s="1"/>
  <c r="U358" i="15"/>
  <c r="T358" i="15" s="1"/>
  <c r="S358" i="15" s="1"/>
  <c r="R358" i="15" s="1"/>
  <c r="P358" i="15" s="1"/>
  <c r="V358" i="15" s="1"/>
  <c r="F358" i="15" s="1"/>
  <c r="H358" i="15" s="1"/>
  <c r="U303" i="15"/>
  <c r="T303" i="15" s="1"/>
  <c r="S303" i="15" s="1"/>
  <c r="R303" i="15" s="1"/>
  <c r="P303" i="15" s="1"/>
  <c r="V303" i="15" s="1"/>
  <c r="F303" i="15" s="1"/>
  <c r="G303" i="15" s="1"/>
  <c r="BX303" i="6" s="1"/>
  <c r="U66" i="15"/>
  <c r="T66" i="15" s="1"/>
  <c r="S66" i="15" s="1"/>
  <c r="R66" i="15" s="1"/>
  <c r="P66" i="15" s="1"/>
  <c r="V66" i="15" s="1"/>
  <c r="F66" i="15" s="1"/>
  <c r="U255" i="15"/>
  <c r="T255" i="15" s="1"/>
  <c r="S255" i="15" s="1"/>
  <c r="R255" i="15" s="1"/>
  <c r="P255" i="15" s="1"/>
  <c r="V255" i="15" s="1"/>
  <c r="F255" i="15" s="1"/>
  <c r="G255" i="15" s="1"/>
  <c r="BX255" i="6" s="1"/>
  <c r="U205" i="15"/>
  <c r="T205" i="15" s="1"/>
  <c r="S205" i="15" s="1"/>
  <c r="R205" i="15" s="1"/>
  <c r="P205" i="15" s="1"/>
  <c r="V205" i="15" s="1"/>
  <c r="F205" i="15" s="1"/>
  <c r="G205" i="15" s="1"/>
  <c r="BX205" i="6" s="1"/>
  <c r="U349" i="15"/>
  <c r="T349" i="15" s="1"/>
  <c r="S349" i="15" s="1"/>
  <c r="R349" i="15" s="1"/>
  <c r="P349" i="15" s="1"/>
  <c r="U28" i="15"/>
  <c r="T28" i="15" s="1"/>
  <c r="U305" i="15"/>
  <c r="T305" i="15" s="1"/>
  <c r="U141" i="15"/>
  <c r="T141" i="15" s="1"/>
  <c r="S141" i="15" s="1"/>
  <c r="R141" i="15" s="1"/>
  <c r="U359" i="15"/>
  <c r="T359" i="15" s="1"/>
  <c r="S359" i="15" s="1"/>
  <c r="R359" i="15" s="1"/>
  <c r="P359" i="15" s="1"/>
  <c r="V359" i="15" s="1"/>
  <c r="F359" i="15" s="1"/>
  <c r="G359" i="15" s="1"/>
  <c r="BX359" i="6" s="1"/>
  <c r="U214" i="15"/>
  <c r="T214" i="15" s="1"/>
  <c r="S214" i="15" s="1"/>
  <c r="R214" i="15" s="1"/>
  <c r="P214" i="15" s="1"/>
  <c r="V214" i="15" s="1"/>
  <c r="F214" i="15" s="1"/>
  <c r="G214" i="15" s="1"/>
  <c r="BX214" i="6" s="1"/>
  <c r="U168" i="15"/>
  <c r="T168" i="15" s="1"/>
  <c r="S168" i="15" s="1"/>
  <c r="R168" i="15" s="1"/>
  <c r="P168" i="15" s="1"/>
  <c r="V168" i="15" s="1"/>
  <c r="F168" i="15" s="1"/>
  <c r="U64" i="15"/>
  <c r="T64" i="15" s="1"/>
  <c r="S64" i="15" s="1"/>
  <c r="R64" i="15" s="1"/>
  <c r="P64" i="15" s="1"/>
  <c r="V64" i="15" s="1"/>
  <c r="F64" i="15" s="1"/>
  <c r="H64" i="15" s="1"/>
  <c r="U247" i="15"/>
  <c r="T247" i="15" s="1"/>
  <c r="S247" i="15" s="1"/>
  <c r="R247" i="15" s="1"/>
  <c r="P247" i="15" s="1"/>
  <c r="V247" i="15" s="1"/>
  <c r="F247" i="15" s="1"/>
  <c r="H247" i="15" s="1"/>
  <c r="U42" i="15"/>
  <c r="T42" i="15" s="1"/>
  <c r="S42" i="15" s="1"/>
  <c r="R42" i="15" s="1"/>
  <c r="P42" i="15" s="1"/>
  <c r="V42" i="15" s="1"/>
  <c r="F42" i="15" s="1"/>
  <c r="H42" i="15" s="1"/>
  <c r="U267" i="15"/>
  <c r="T267" i="15" s="1"/>
  <c r="S267" i="15" s="1"/>
  <c r="R267" i="15" s="1"/>
  <c r="P267" i="15" s="1"/>
  <c r="V267" i="15" s="1"/>
  <c r="F267" i="15" s="1"/>
  <c r="U364" i="15"/>
  <c r="T364" i="15" s="1"/>
  <c r="S364" i="15" s="1"/>
  <c r="R364" i="15" s="1"/>
  <c r="P364" i="15" s="1"/>
  <c r="V364" i="15" s="1"/>
  <c r="F364" i="15" s="1"/>
  <c r="H364" i="15" s="1"/>
  <c r="U325" i="15"/>
  <c r="T325" i="15" s="1"/>
  <c r="S325" i="15" s="1"/>
  <c r="R325" i="15" s="1"/>
  <c r="P325" i="15" s="1"/>
  <c r="V325" i="15" s="1"/>
  <c r="F325" i="15" s="1"/>
  <c r="G325" i="15" s="1"/>
  <c r="BX325" i="6" s="1"/>
  <c r="U163" i="15"/>
  <c r="T163" i="15" s="1"/>
  <c r="S163" i="15" s="1"/>
  <c r="R163" i="15" s="1"/>
  <c r="P163" i="15" s="1"/>
  <c r="V163" i="15" s="1"/>
  <c r="F163" i="15" s="1"/>
  <c r="G163" i="15" s="1"/>
  <c r="BX163" i="6" s="1"/>
  <c r="U206" i="15"/>
  <c r="T206" i="15" s="1"/>
  <c r="S206" i="15" s="1"/>
  <c r="R206" i="15" s="1"/>
  <c r="P206" i="15" s="1"/>
  <c r="V206" i="15" s="1"/>
  <c r="F206" i="15" s="1"/>
  <c r="G206" i="15" s="1"/>
  <c r="BX206" i="6" s="1"/>
  <c r="U328" i="15"/>
  <c r="T328" i="15" s="1"/>
  <c r="S328" i="15" s="1"/>
  <c r="R328" i="15" s="1"/>
  <c r="P328" i="15" s="1"/>
  <c r="V328" i="15" s="1"/>
  <c r="F328" i="15" s="1"/>
  <c r="G328" i="15" s="1"/>
  <c r="BX328" i="6" s="1"/>
  <c r="U56" i="15"/>
  <c r="T56" i="15" s="1"/>
  <c r="S56" i="15" s="1"/>
  <c r="R56" i="15" s="1"/>
  <c r="P56" i="15" s="1"/>
  <c r="U212" i="15"/>
  <c r="T212" i="15" s="1"/>
  <c r="S212" i="15" s="1"/>
  <c r="R212" i="15" s="1"/>
  <c r="P212" i="15" s="1"/>
  <c r="V212" i="15" s="1"/>
  <c r="F212" i="15" s="1"/>
  <c r="U98" i="15"/>
  <c r="T98" i="15" s="1"/>
  <c r="S98" i="15" s="1"/>
  <c r="R98" i="15" s="1"/>
  <c r="U68" i="15"/>
  <c r="T68" i="15" s="1"/>
  <c r="S68" i="15" s="1"/>
  <c r="R68" i="15" s="1"/>
  <c r="P68" i="15" s="1"/>
  <c r="V68" i="15" s="1"/>
  <c r="F68" i="15" s="1"/>
  <c r="G68" i="15" s="1"/>
  <c r="BX68" i="6" s="1"/>
  <c r="U128" i="15"/>
  <c r="T128" i="15" s="1"/>
  <c r="S128" i="15" s="1"/>
  <c r="R128" i="15" s="1"/>
  <c r="P128" i="15" s="1"/>
  <c r="V128" i="15" s="1"/>
  <c r="F128" i="15" s="1"/>
  <c r="H128" i="15" s="1"/>
  <c r="U87" i="15"/>
  <c r="T87" i="15" s="1"/>
  <c r="S87" i="15" s="1"/>
  <c r="R87" i="15" s="1"/>
  <c r="U150" i="15"/>
  <c r="T150" i="15" s="1"/>
  <c r="S150" i="15" s="1"/>
  <c r="R150" i="15" s="1"/>
  <c r="U281" i="15"/>
  <c r="T281" i="15" s="1"/>
  <c r="S281" i="15" s="1"/>
  <c r="R281" i="15" s="1"/>
  <c r="P281" i="15" s="1"/>
  <c r="U302" i="15"/>
  <c r="T302" i="15" s="1"/>
  <c r="S302" i="15" s="1"/>
  <c r="R302" i="15" s="1"/>
  <c r="U23" i="15"/>
  <c r="T23" i="15" s="1"/>
  <c r="S23" i="15" s="1"/>
  <c r="R23" i="15" s="1"/>
  <c r="U195" i="15"/>
  <c r="T195" i="15" s="1"/>
  <c r="S195" i="15" s="1"/>
  <c r="R195" i="15" s="1"/>
  <c r="P195" i="15" s="1"/>
  <c r="V195" i="15" s="1"/>
  <c r="F195" i="15" s="1"/>
  <c r="U45" i="15"/>
  <c r="T45" i="15" s="1"/>
  <c r="S45" i="15" s="1"/>
  <c r="R45" i="15" s="1"/>
  <c r="P45" i="15" s="1"/>
  <c r="V45" i="15" s="1"/>
  <c r="F45" i="15" s="1"/>
  <c r="G45" i="15" s="1"/>
  <c r="BX45" i="6" s="1"/>
  <c r="U73" i="15"/>
  <c r="T73" i="15" s="1"/>
  <c r="S73" i="15" s="1"/>
  <c r="R73" i="15" s="1"/>
  <c r="P73" i="15" s="1"/>
  <c r="V73" i="15" s="1"/>
  <c r="F73" i="15" s="1"/>
  <c r="G73" i="15" s="1"/>
  <c r="BX73" i="6" s="1"/>
  <c r="U229" i="15"/>
  <c r="T229" i="15" s="1"/>
  <c r="S229" i="15" s="1"/>
  <c r="R229" i="15" s="1"/>
  <c r="P229" i="15" s="1"/>
  <c r="U29" i="15"/>
  <c r="T29" i="15" s="1"/>
  <c r="S29" i="15" s="1"/>
  <c r="R29" i="15" s="1"/>
  <c r="U134" i="15"/>
  <c r="T134" i="15" s="1"/>
  <c r="U50" i="15"/>
  <c r="T50" i="15" s="1"/>
  <c r="S50" i="15" s="1"/>
  <c r="R50" i="15" s="1"/>
  <c r="U350" i="15"/>
  <c r="T350" i="15" s="1"/>
  <c r="S350" i="15" s="1"/>
  <c r="R350" i="15" s="1"/>
  <c r="P350" i="15" s="1"/>
  <c r="U187" i="15"/>
  <c r="T187" i="15" s="1"/>
  <c r="S187" i="15" s="1"/>
  <c r="R187" i="15" s="1"/>
  <c r="P187" i="15" s="1"/>
  <c r="V187" i="15" s="1"/>
  <c r="F187" i="15" s="1"/>
  <c r="H187" i="15" s="1"/>
  <c r="U379" i="15"/>
  <c r="T379" i="15" s="1"/>
  <c r="S379" i="15" s="1"/>
  <c r="R379" i="15" s="1"/>
  <c r="P379" i="15" s="1"/>
  <c r="U126" i="15"/>
  <c r="T126" i="15" s="1"/>
  <c r="S126" i="15" s="1"/>
  <c r="R126" i="15" s="1"/>
  <c r="P126" i="15" s="1"/>
  <c r="V126" i="15" s="1"/>
  <c r="F126" i="15" s="1"/>
  <c r="H126" i="15" s="1"/>
  <c r="U124" i="15"/>
  <c r="T124" i="15" s="1"/>
  <c r="S124" i="15" s="1"/>
  <c r="R124" i="15" s="1"/>
  <c r="P124" i="15" s="1"/>
  <c r="V124" i="15" s="1"/>
  <c r="F124" i="15" s="1"/>
  <c r="H124" i="15" s="1"/>
  <c r="U117" i="15"/>
  <c r="T117" i="15" s="1"/>
  <c r="S117" i="15" s="1"/>
  <c r="R117" i="15" s="1"/>
  <c r="P117" i="15" s="1"/>
  <c r="V117" i="15" s="1"/>
  <c r="F117" i="15" s="1"/>
  <c r="G117" i="15" s="1"/>
  <c r="BX117" i="6" s="1"/>
  <c r="U55" i="15"/>
  <c r="T55" i="15" s="1"/>
  <c r="S55" i="15" s="1"/>
  <c r="R55" i="15" s="1"/>
  <c r="P55" i="15" s="1"/>
  <c r="V55" i="15" s="1"/>
  <c r="F55" i="15" s="1"/>
  <c r="U326" i="15"/>
  <c r="T326" i="15" s="1"/>
  <c r="S326" i="15" s="1"/>
  <c r="R326" i="15" s="1"/>
  <c r="P326" i="15" s="1"/>
  <c r="V326" i="15" s="1"/>
  <c r="F326" i="15" s="1"/>
  <c r="U245" i="15"/>
  <c r="T245" i="15" s="1"/>
  <c r="S245" i="15" s="1"/>
  <c r="R245" i="15" s="1"/>
  <c r="P245" i="15" s="1"/>
  <c r="V245" i="15" s="1"/>
  <c r="F245" i="15" s="1"/>
  <c r="G245" i="15" s="1"/>
  <c r="BX245" i="6" s="1"/>
  <c r="U132" i="15"/>
  <c r="T132" i="15" s="1"/>
  <c r="S132" i="15" s="1"/>
  <c r="R132" i="15" s="1"/>
  <c r="P132" i="15" s="1"/>
  <c r="V132" i="15" s="1"/>
  <c r="F132" i="15" s="1"/>
  <c r="H132" i="15" s="1"/>
  <c r="U265" i="15"/>
  <c r="T265" i="15" s="1"/>
  <c r="S265" i="15" s="1"/>
  <c r="R265" i="15" s="1"/>
  <c r="P265" i="15" s="1"/>
  <c r="V265" i="15" s="1"/>
  <c r="F265" i="15" s="1"/>
  <c r="H265" i="15" s="1"/>
  <c r="U125" i="15"/>
  <c r="T125" i="15" s="1"/>
  <c r="S125" i="15" s="1"/>
  <c r="R125" i="15" s="1"/>
  <c r="P125" i="15" s="1"/>
  <c r="V125" i="15" s="1"/>
  <c r="F125" i="15" s="1"/>
  <c r="H125" i="15" s="1"/>
  <c r="J125" i="15" s="1"/>
  <c r="U298" i="15"/>
  <c r="T298" i="15" s="1"/>
  <c r="S298" i="15" s="1"/>
  <c r="R298" i="15" s="1"/>
  <c r="P298" i="15" s="1"/>
  <c r="U105" i="15"/>
  <c r="T105" i="15" s="1"/>
  <c r="S105" i="15" s="1"/>
  <c r="R105" i="15" s="1"/>
  <c r="U70" i="15"/>
  <c r="T70" i="15" s="1"/>
  <c r="S70" i="15" s="1"/>
  <c r="R70" i="15" s="1"/>
  <c r="P70" i="15" s="1"/>
  <c r="V70" i="15" s="1"/>
  <c r="F70" i="15" s="1"/>
  <c r="U300" i="15"/>
  <c r="T300" i="15" s="1"/>
  <c r="S300" i="15" s="1"/>
  <c r="R300" i="15" s="1"/>
  <c r="U26" i="15"/>
  <c r="T26" i="15" s="1"/>
  <c r="S26" i="15" s="1"/>
  <c r="R26" i="15" s="1"/>
  <c r="U203" i="15"/>
  <c r="T203" i="15" s="1"/>
  <c r="S203" i="15" s="1"/>
  <c r="R203" i="15" s="1"/>
  <c r="P203" i="15" s="1"/>
  <c r="V203" i="15" s="1"/>
  <c r="F203" i="15" s="1"/>
  <c r="H203" i="15" s="1"/>
  <c r="U119" i="15"/>
  <c r="T119" i="15" s="1"/>
  <c r="S119" i="15" s="1"/>
  <c r="R119" i="15" s="1"/>
  <c r="P119" i="15" s="1"/>
  <c r="D35" i="7" s="1"/>
  <c r="U238" i="15"/>
  <c r="T238" i="15" s="1"/>
  <c r="S238" i="15" s="1"/>
  <c r="R238" i="15" s="1"/>
  <c r="P238" i="15" s="1"/>
  <c r="V238" i="15" s="1"/>
  <c r="F238" i="15" s="1"/>
  <c r="G238" i="15" s="1"/>
  <c r="BX238" i="6" s="1"/>
  <c r="U100" i="15"/>
  <c r="T100" i="15" s="1"/>
  <c r="S100" i="15" s="1"/>
  <c r="R100" i="15" s="1"/>
  <c r="U256" i="15"/>
  <c r="T256" i="15" s="1"/>
  <c r="S256" i="15" s="1"/>
  <c r="R256" i="15" s="1"/>
  <c r="P256" i="15" s="1"/>
  <c r="V256" i="15" s="1"/>
  <c r="F256" i="15" s="1"/>
  <c r="H256" i="15" s="1"/>
  <c r="U294" i="15"/>
  <c r="T294" i="15" s="1"/>
  <c r="S294" i="15" s="1"/>
  <c r="R294" i="15" s="1"/>
  <c r="P294" i="15" s="1"/>
  <c r="V294" i="15" s="1"/>
  <c r="F294" i="15" s="1"/>
  <c r="H294" i="15" s="1"/>
  <c r="U346" i="15"/>
  <c r="T346" i="15" s="1"/>
  <c r="S346" i="15" s="1"/>
  <c r="R346" i="15" s="1"/>
  <c r="P346" i="15" s="1"/>
  <c r="V346" i="15" s="1"/>
  <c r="F346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164" i="15"/>
  <c r="T164" i="15" s="1"/>
  <c r="S164" i="15" s="1"/>
  <c r="R164" i="15" s="1"/>
  <c r="P164" i="15" s="1"/>
  <c r="V164" i="15" s="1"/>
  <c r="F164" i="15" s="1"/>
  <c r="H164" i="15" s="1"/>
  <c r="U213" i="15"/>
  <c r="T213" i="15" s="1"/>
  <c r="S213" i="15" s="1"/>
  <c r="R213" i="15" s="1"/>
  <c r="P213" i="15" s="1"/>
  <c r="V213" i="15" s="1"/>
  <c r="F213" i="15" s="1"/>
  <c r="G213" i="15" s="1"/>
  <c r="BX213" i="6" s="1"/>
  <c r="U272" i="15"/>
  <c r="T272" i="15" s="1"/>
  <c r="S272" i="15" s="1"/>
  <c r="R272" i="15" s="1"/>
  <c r="P272" i="15" s="1"/>
  <c r="V272" i="15" s="1"/>
  <c r="U233" i="15"/>
  <c r="T233" i="15" s="1"/>
  <c r="S233" i="15" s="1"/>
  <c r="R233" i="15" s="1"/>
  <c r="P233" i="15" s="1"/>
  <c r="V233" i="15" s="1"/>
  <c r="F233" i="15" s="1"/>
  <c r="H233" i="15" s="1"/>
  <c r="U112" i="15"/>
  <c r="T112" i="15" s="1"/>
  <c r="S112" i="15" s="1"/>
  <c r="R112" i="15" s="1"/>
  <c r="P112" i="15" s="1"/>
  <c r="V112" i="15" s="1"/>
  <c r="F112" i="15" s="1"/>
  <c r="G112" i="15" s="1"/>
  <c r="BX112" i="6" s="1"/>
  <c r="U32" i="15"/>
  <c r="T32" i="15" s="1"/>
  <c r="U17" i="15"/>
  <c r="T17" i="15" s="1"/>
  <c r="U67" i="15"/>
  <c r="T67" i="15" s="1"/>
  <c r="S67" i="15" s="1"/>
  <c r="R67" i="15" s="1"/>
  <c r="P67" i="15" s="1"/>
  <c r="V67" i="15" s="1"/>
  <c r="F67" i="15" s="1"/>
  <c r="U30" i="15"/>
  <c r="T30" i="15" s="1"/>
  <c r="U352" i="15"/>
  <c r="T352" i="15" s="1"/>
  <c r="U366" i="15"/>
  <c r="T366" i="15" s="1"/>
  <c r="S366" i="15" s="1"/>
  <c r="R366" i="15" s="1"/>
  <c r="P366" i="15" s="1"/>
  <c r="V366" i="15" s="1"/>
  <c r="F366" i="15" s="1"/>
  <c r="U33" i="15"/>
  <c r="T33" i="15" s="1"/>
  <c r="S33" i="15" s="1"/>
  <c r="R33" i="15" s="1"/>
  <c r="U222" i="15"/>
  <c r="T222" i="15" s="1"/>
  <c r="S222" i="15" s="1"/>
  <c r="R222" i="15" s="1"/>
  <c r="P222" i="15" s="1"/>
  <c r="V222" i="15" s="1"/>
  <c r="F222" i="15" s="1"/>
  <c r="G222" i="15" s="1"/>
  <c r="BX222" i="6" s="1"/>
  <c r="U339" i="15"/>
  <c r="T339" i="15" s="1"/>
  <c r="U85" i="15"/>
  <c r="T85" i="15" s="1"/>
  <c r="S85" i="15" s="1"/>
  <c r="R85" i="15" s="1"/>
  <c r="U89" i="15"/>
  <c r="T89" i="15" s="1"/>
  <c r="U80" i="15"/>
  <c r="T80" i="15" s="1"/>
  <c r="U156" i="15"/>
  <c r="T156" i="15" s="1"/>
  <c r="S156" i="15" s="1"/>
  <c r="R156" i="15" s="1"/>
  <c r="P156" i="15" s="1"/>
  <c r="V156" i="15" s="1"/>
  <c r="F156" i="15" s="1"/>
  <c r="U39" i="15"/>
  <c r="T39" i="15" s="1"/>
  <c r="S39" i="15" s="1"/>
  <c r="R39" i="15" s="1"/>
  <c r="P39" i="15" s="1"/>
  <c r="V39" i="15" s="1"/>
  <c r="F39" i="15" s="1"/>
  <c r="U365" i="15"/>
  <c r="T365" i="15" s="1"/>
  <c r="S365" i="15" s="1"/>
  <c r="R365" i="15" s="1"/>
  <c r="P365" i="15" s="1"/>
  <c r="V365" i="15" s="1"/>
  <c r="F365" i="15" s="1"/>
  <c r="G365" i="15" s="1"/>
  <c r="BX365" i="6" s="1"/>
  <c r="U97" i="15"/>
  <c r="T97" i="15" s="1"/>
  <c r="U315" i="15"/>
  <c r="T315" i="15" s="1"/>
  <c r="S315" i="15" s="1"/>
  <c r="R315" i="15" s="1"/>
  <c r="P315" i="15" s="1"/>
  <c r="V315" i="15" s="1"/>
  <c r="F315" i="15" s="1"/>
  <c r="G315" i="15" s="1"/>
  <c r="BX315" i="6" s="1"/>
  <c r="U376" i="15"/>
  <c r="T376" i="15" s="1"/>
  <c r="S376" i="15" s="1"/>
  <c r="R376" i="15" s="1"/>
  <c r="P376" i="15" s="1"/>
  <c r="V376" i="15" s="1"/>
  <c r="F376" i="15" s="1"/>
  <c r="U22" i="15"/>
  <c r="T22" i="15" s="1"/>
  <c r="U273" i="15"/>
  <c r="T273" i="15" s="1"/>
  <c r="S273" i="15" s="1"/>
  <c r="R273" i="15" s="1"/>
  <c r="P273" i="15" s="1"/>
  <c r="V273" i="15" s="1"/>
  <c r="F273" i="15" s="1"/>
  <c r="G273" i="15" s="1"/>
  <c r="BX273" i="6" s="1"/>
  <c r="U374" i="15"/>
  <c r="T374" i="15" s="1"/>
  <c r="U235" i="15"/>
  <c r="T235" i="15" s="1"/>
  <c r="S235" i="15" s="1"/>
  <c r="R235" i="15" s="1"/>
  <c r="P235" i="15" s="1"/>
  <c r="V235" i="15" s="1"/>
  <c r="U271" i="15"/>
  <c r="T271" i="15" s="1"/>
  <c r="S271" i="15" s="1"/>
  <c r="R271" i="15" s="1"/>
  <c r="P271" i="15" s="1"/>
  <c r="V271" i="15" s="1"/>
  <c r="F271" i="15" s="1"/>
  <c r="H271" i="15" s="1"/>
  <c r="U148" i="15"/>
  <c r="T148" i="15" s="1"/>
  <c r="S148" i="15" s="1"/>
  <c r="R148" i="15" s="1"/>
  <c r="P148" i="15" s="1"/>
  <c r="V148" i="15" s="1"/>
  <c r="U269" i="15"/>
  <c r="T269" i="15" s="1"/>
  <c r="S269" i="15" s="1"/>
  <c r="R269" i="15" s="1"/>
  <c r="P269" i="15" s="1"/>
  <c r="V269" i="15" s="1"/>
  <c r="F269" i="15" s="1"/>
  <c r="H269" i="15" s="1"/>
  <c r="U178" i="15"/>
  <c r="T178" i="15" s="1"/>
  <c r="S178" i="15" s="1"/>
  <c r="R178" i="15" s="1"/>
  <c r="P178" i="15" s="1"/>
  <c r="V178" i="15" s="1"/>
  <c r="F178" i="15" s="1"/>
  <c r="H178" i="15" s="1"/>
  <c r="I178" i="15" s="1"/>
  <c r="U200" i="15"/>
  <c r="T200" i="15" s="1"/>
  <c r="S200" i="15" s="1"/>
  <c r="R200" i="15" s="1"/>
  <c r="P200" i="15" s="1"/>
  <c r="V200" i="15" s="1"/>
  <c r="F200" i="15" s="1"/>
  <c r="G200" i="15" s="1"/>
  <c r="BX200" i="6" s="1"/>
  <c r="U74" i="15"/>
  <c r="T74" i="15" s="1"/>
  <c r="S74" i="15" s="1"/>
  <c r="R74" i="15" s="1"/>
  <c r="P74" i="15" s="1"/>
  <c r="V74" i="15" s="1"/>
  <c r="F74" i="15" s="1"/>
  <c r="G74" i="15" s="1"/>
  <c r="BX74" i="6" s="1"/>
  <c r="U292" i="15"/>
  <c r="T292" i="15" s="1"/>
  <c r="S292" i="15" s="1"/>
  <c r="R292" i="15" s="1"/>
  <c r="P292" i="15" s="1"/>
  <c r="V292" i="15" s="1"/>
  <c r="F292" i="15" s="1"/>
  <c r="G292" i="15" s="1"/>
  <c r="BX292" i="6" s="1"/>
  <c r="U106" i="15"/>
  <c r="T106" i="15" s="1"/>
  <c r="S106" i="15" s="1"/>
  <c r="R106" i="15" s="1"/>
  <c r="P106" i="15" s="1"/>
  <c r="V106" i="15" s="1"/>
  <c r="F106" i="15" s="1"/>
  <c r="G106" i="15" s="1"/>
  <c r="BX106" i="6" s="1"/>
  <c r="U107" i="15"/>
  <c r="T107" i="15" s="1"/>
  <c r="S107" i="15" s="1"/>
  <c r="R107" i="15" s="1"/>
  <c r="P107" i="15" s="1"/>
  <c r="V107" i="15" s="1"/>
  <c r="F107" i="15" s="1"/>
  <c r="G107" i="15" s="1"/>
  <c r="BX107" i="6" s="1"/>
  <c r="U81" i="15"/>
  <c r="T81" i="15" s="1"/>
  <c r="S81" i="15" s="1"/>
  <c r="R81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AA262" i="1"/>
  <c r="Z262" i="1" s="1"/>
  <c r="Y262" i="1" s="1"/>
  <c r="I262" i="1"/>
  <c r="G262" i="1"/>
  <c r="BW262" i="6" s="1"/>
  <c r="AG383" i="1"/>
  <c r="AG381" i="1"/>
  <c r="AF16" i="1"/>
  <c r="AG382" i="1"/>
  <c r="V379" i="1"/>
  <c r="F379" i="1" s="1"/>
  <c r="H74" i="15"/>
  <c r="G251" i="15"/>
  <c r="BX251" i="6" s="1"/>
  <c r="H106" i="15"/>
  <c r="V127" i="15"/>
  <c r="S305" i="15"/>
  <c r="R305" i="15" s="1"/>
  <c r="P305" i="15" s="1"/>
  <c r="S374" i="15"/>
  <c r="R374" i="15" s="1"/>
  <c r="P374" i="15" s="1"/>
  <c r="S317" i="15"/>
  <c r="R317" i="15" s="1"/>
  <c r="P317" i="15" s="1"/>
  <c r="S339" i="15"/>
  <c r="R339" i="15" s="1"/>
  <c r="P339" i="15" s="1"/>
  <c r="V339" i="15" s="1"/>
  <c r="F339" i="15" s="1"/>
  <c r="G268" i="15"/>
  <c r="BX268" i="6" s="1"/>
  <c r="S352" i="15"/>
  <c r="R352" i="15" s="1"/>
  <c r="P352" i="15" s="1"/>
  <c r="V352" i="15" s="1"/>
  <c r="F352" i="15" s="1"/>
  <c r="G352" i="15" s="1"/>
  <c r="BX352" i="6" s="1"/>
  <c r="V239" i="1"/>
  <c r="I61" i="19" s="1"/>
  <c r="I189" i="1"/>
  <c r="G189" i="1"/>
  <c r="BW189" i="6" s="1"/>
  <c r="AA189" i="1"/>
  <c r="Z189" i="1" s="1"/>
  <c r="Y189" i="1" s="1"/>
  <c r="AA236" i="1"/>
  <c r="Z236" i="1" s="1"/>
  <c r="Y236" i="1" s="1"/>
  <c r="G236" i="1"/>
  <c r="BW236" i="6" s="1"/>
  <c r="I236" i="1"/>
  <c r="I299" i="1"/>
  <c r="AA299" i="1"/>
  <c r="Z299" i="1" s="1"/>
  <c r="Y299" i="1" s="1"/>
  <c r="G299" i="1"/>
  <c r="BW299" i="6" s="1"/>
  <c r="G345" i="1"/>
  <c r="BW345" i="6" s="1"/>
  <c r="G306" i="1"/>
  <c r="BW306" i="6" s="1"/>
  <c r="AI89" i="15"/>
  <c r="AH89" i="15" s="1"/>
  <c r="K16" i="7"/>
  <c r="AI277" i="15"/>
  <c r="AH277" i="15" s="1"/>
  <c r="AG277" i="15" s="1"/>
  <c r="AF277" i="15" s="1"/>
  <c r="AD277" i="15" s="1"/>
  <c r="AI206" i="15"/>
  <c r="AH206" i="15" s="1"/>
  <c r="AG206" i="15" s="1"/>
  <c r="AF206" i="15" s="1"/>
  <c r="AD206" i="15" s="1"/>
  <c r="AI16" i="15"/>
  <c r="AH16" i="15" s="1"/>
  <c r="AI331" i="15"/>
  <c r="AH331" i="15" s="1"/>
  <c r="AI45" i="15"/>
  <c r="AH45" i="15" s="1"/>
  <c r="AI340" i="15"/>
  <c r="AH340" i="15" s="1"/>
  <c r="AI248" i="15"/>
  <c r="AH248" i="15" s="1"/>
  <c r="AG248" i="15" s="1"/>
  <c r="AF248" i="15" s="1"/>
  <c r="AD248" i="15" s="1"/>
  <c r="AI159" i="15"/>
  <c r="AH159" i="15" s="1"/>
  <c r="AI285" i="15"/>
  <c r="AH285" i="15" s="1"/>
  <c r="AG285" i="15" s="1"/>
  <c r="AF285" i="15" s="1"/>
  <c r="AD285" i="15" s="1"/>
  <c r="AI38" i="15"/>
  <c r="AH38" i="15" s="1"/>
  <c r="AI299" i="15"/>
  <c r="AH299" i="15" s="1"/>
  <c r="AG299" i="15" s="1"/>
  <c r="AF299" i="15" s="1"/>
  <c r="AD299" i="15" s="1"/>
  <c r="AI90" i="15"/>
  <c r="AH90" i="15" s="1"/>
  <c r="AI205" i="15"/>
  <c r="AH205" i="15" s="1"/>
  <c r="AG205" i="15" s="1"/>
  <c r="AF205" i="15" s="1"/>
  <c r="AD205" i="15" s="1"/>
  <c r="AI260" i="15"/>
  <c r="AH260" i="15" s="1"/>
  <c r="AG260" i="15" s="1"/>
  <c r="AF260" i="15" s="1"/>
  <c r="AD260" i="15" s="1"/>
  <c r="AI364" i="15"/>
  <c r="AH364" i="15" s="1"/>
  <c r="AI247" i="15"/>
  <c r="AH247" i="15" s="1"/>
  <c r="AG247" i="15" s="1"/>
  <c r="AF247" i="15" s="1"/>
  <c r="AD247" i="15" s="1"/>
  <c r="AI146" i="15"/>
  <c r="AH146" i="15" s="1"/>
  <c r="AI97" i="15"/>
  <c r="AH97" i="15" s="1"/>
  <c r="AI353" i="15"/>
  <c r="AH353" i="15" s="1"/>
  <c r="AI74" i="15"/>
  <c r="AH74" i="15" s="1"/>
  <c r="AG74" i="15" s="1"/>
  <c r="AF74" i="15" s="1"/>
  <c r="AD74" i="15" s="1"/>
  <c r="AI128" i="15"/>
  <c r="AH128" i="15" s="1"/>
  <c r="AG128" i="15" s="1"/>
  <c r="AF128" i="15" s="1"/>
  <c r="AD128" i="15" s="1"/>
  <c r="AI256" i="15"/>
  <c r="AH256" i="15" s="1"/>
  <c r="AG256" i="15" s="1"/>
  <c r="AF256" i="15" s="1"/>
  <c r="AD256" i="15" s="1"/>
  <c r="AI246" i="15"/>
  <c r="AH246" i="15" s="1"/>
  <c r="AG246" i="15" s="1"/>
  <c r="AF246" i="15" s="1"/>
  <c r="AD246" i="15" s="1"/>
  <c r="AI19" i="15"/>
  <c r="AH19" i="15" s="1"/>
  <c r="AI147" i="15"/>
  <c r="AH147" i="15" s="1"/>
  <c r="AI275" i="15"/>
  <c r="AH275" i="15" s="1"/>
  <c r="AI15" i="15"/>
  <c r="AI73" i="15"/>
  <c r="AH73" i="15" s="1"/>
  <c r="AI329" i="15"/>
  <c r="AH329" i="15" s="1"/>
  <c r="AI333" i="15"/>
  <c r="AH333" i="15" s="1"/>
  <c r="AI254" i="15"/>
  <c r="AH254" i="15" s="1"/>
  <c r="AG254" i="15" s="1"/>
  <c r="AF254" i="15" s="1"/>
  <c r="AD254" i="15" s="1"/>
  <c r="AI82" i="15"/>
  <c r="AH82" i="15" s="1"/>
  <c r="AI189" i="15"/>
  <c r="AH189" i="15" s="1"/>
  <c r="AG189" i="15" s="1"/>
  <c r="AF189" i="15" s="1"/>
  <c r="AD189" i="15" s="1"/>
  <c r="AI208" i="15"/>
  <c r="AH208" i="15" s="1"/>
  <c r="AG208" i="15" s="1"/>
  <c r="AF208" i="15" s="1"/>
  <c r="AD208" i="15" s="1"/>
  <c r="AI312" i="15"/>
  <c r="AH312" i="15" s="1"/>
  <c r="AI195" i="15"/>
  <c r="AH195" i="15" s="1"/>
  <c r="AG195" i="15" s="1"/>
  <c r="AF195" i="15" s="1"/>
  <c r="AD195" i="15" s="1"/>
  <c r="AI350" i="15"/>
  <c r="AH350" i="15" s="1"/>
  <c r="AI378" i="15"/>
  <c r="AH378" i="15" s="1"/>
  <c r="AG378" i="15" s="1"/>
  <c r="AF378" i="15" s="1"/>
  <c r="AD378" i="15" s="1"/>
  <c r="AI228" i="15"/>
  <c r="AH228" i="15" s="1"/>
  <c r="AG228" i="15" s="1"/>
  <c r="AF228" i="15" s="1"/>
  <c r="AD228" i="15" s="1"/>
  <c r="AI151" i="15"/>
  <c r="AH151" i="15" s="1"/>
  <c r="AI65" i="15"/>
  <c r="AH65" i="15" s="1"/>
  <c r="AG65" i="15" s="1"/>
  <c r="AF65" i="15" s="1"/>
  <c r="AD65" i="15" s="1"/>
  <c r="AI261" i="15"/>
  <c r="AH261" i="15" s="1"/>
  <c r="AG261" i="15" s="1"/>
  <c r="AF261" i="15" s="1"/>
  <c r="AD261" i="15" s="1"/>
  <c r="AI300" i="15"/>
  <c r="AH300" i="15" s="1"/>
  <c r="AI18" i="15"/>
  <c r="AH18" i="15" s="1"/>
  <c r="AI289" i="15"/>
  <c r="AH289" i="15" s="1"/>
  <c r="AI96" i="15"/>
  <c r="AH96" i="15" s="1"/>
  <c r="AI182" i="15"/>
  <c r="AH182" i="15" s="1"/>
  <c r="AG182" i="15" s="1"/>
  <c r="AF182" i="15" s="1"/>
  <c r="AD182" i="15" s="1"/>
  <c r="AI115" i="15"/>
  <c r="AH115" i="15" s="1"/>
  <c r="AG115" i="15" s="1"/>
  <c r="AF115" i="15" s="1"/>
  <c r="AD115" i="15" s="1"/>
  <c r="AI371" i="15"/>
  <c r="AH371" i="15" s="1"/>
  <c r="AG371" i="15" s="1"/>
  <c r="AF371" i="15" s="1"/>
  <c r="AD371" i="15" s="1"/>
  <c r="AI265" i="15"/>
  <c r="AH265" i="15" s="1"/>
  <c r="AG265" i="15" s="1"/>
  <c r="AF265" i="15" s="1"/>
  <c r="AD265" i="15" s="1"/>
  <c r="AI164" i="15"/>
  <c r="AH164" i="15" s="1"/>
  <c r="AI257" i="15"/>
  <c r="AH257" i="15" s="1"/>
  <c r="AG257" i="15" s="1"/>
  <c r="AF257" i="15" s="1"/>
  <c r="AD257" i="15" s="1"/>
  <c r="AI214" i="15"/>
  <c r="AH214" i="15" s="1"/>
  <c r="AG214" i="15" s="1"/>
  <c r="AF214" i="15" s="1"/>
  <c r="AD214" i="15" s="1"/>
  <c r="AI162" i="15"/>
  <c r="AH162" i="15" s="1"/>
  <c r="AG162" i="15" s="1"/>
  <c r="AF162" i="15" s="1"/>
  <c r="AD162" i="15" s="1"/>
  <c r="AI100" i="15"/>
  <c r="AH100" i="15" s="1"/>
  <c r="AI374" i="15"/>
  <c r="AH374" i="15" s="1"/>
  <c r="AI61" i="15"/>
  <c r="AH61" i="15" s="1"/>
  <c r="AI176" i="15"/>
  <c r="AH176" i="15" s="1"/>
  <c r="AG176" i="15" s="1"/>
  <c r="AF176" i="15" s="1"/>
  <c r="AD176" i="15" s="1"/>
  <c r="AI278" i="15"/>
  <c r="AH278" i="15" s="1"/>
  <c r="AI163" i="15"/>
  <c r="AH163" i="15" s="1"/>
  <c r="AG163" i="15" s="1"/>
  <c r="AF163" i="15" s="1"/>
  <c r="AD163" i="15" s="1"/>
  <c r="AI34" i="15"/>
  <c r="AH34" i="15" s="1"/>
  <c r="AI361" i="15"/>
  <c r="AH361" i="15" s="1"/>
  <c r="AI199" i="15"/>
  <c r="AH199" i="15" s="1"/>
  <c r="AG199" i="15" s="1"/>
  <c r="AF199" i="15" s="1"/>
  <c r="AD199" i="15" s="1"/>
  <c r="AI222" i="15"/>
  <c r="AH222" i="15" s="1"/>
  <c r="AG222" i="15" s="1"/>
  <c r="AF222" i="15" s="1"/>
  <c r="AD222" i="15" s="1"/>
  <c r="AI84" i="15"/>
  <c r="AH84" i="15" s="1"/>
  <c r="AI154" i="15"/>
  <c r="AH154" i="15" s="1"/>
  <c r="AI362" i="15"/>
  <c r="AH362" i="15" s="1"/>
  <c r="AG362" i="15" s="1"/>
  <c r="AF362" i="15" s="1"/>
  <c r="AD362" i="15" s="1"/>
  <c r="AI181" i="15"/>
  <c r="AH181" i="15" s="1"/>
  <c r="AG181" i="15" s="1"/>
  <c r="AF181" i="15" s="1"/>
  <c r="AD181" i="15" s="1"/>
  <c r="AI365" i="15"/>
  <c r="AH365" i="15" s="1"/>
  <c r="AI290" i="15"/>
  <c r="AH290" i="15" s="1"/>
  <c r="AG290" i="15" s="1"/>
  <c r="AF290" i="15" s="1"/>
  <c r="AD290" i="15" s="1"/>
  <c r="AI124" i="15"/>
  <c r="AH124" i="15" s="1"/>
  <c r="AG124" i="15" s="1"/>
  <c r="AF124" i="15" s="1"/>
  <c r="AD124" i="15" s="1"/>
  <c r="AI252" i="15"/>
  <c r="AH252" i="15" s="1"/>
  <c r="AG252" i="15" s="1"/>
  <c r="AF252" i="15" s="1"/>
  <c r="AD252" i="15" s="1"/>
  <c r="AI238" i="15"/>
  <c r="AH238" i="15" s="1"/>
  <c r="AG238" i="15" s="1"/>
  <c r="AF238" i="15" s="1"/>
  <c r="AD238" i="15" s="1"/>
  <c r="AI79" i="15"/>
  <c r="AH79" i="15" s="1"/>
  <c r="AI207" i="15"/>
  <c r="AH207" i="15" s="1"/>
  <c r="AG207" i="15" s="1"/>
  <c r="AF207" i="15" s="1"/>
  <c r="AD207" i="15" s="1"/>
  <c r="AI335" i="15"/>
  <c r="AH335" i="15" s="1"/>
  <c r="AI294" i="15"/>
  <c r="AH294" i="15" s="1"/>
  <c r="AG294" i="15" s="1"/>
  <c r="AF294" i="15" s="1"/>
  <c r="AD294" i="15" s="1"/>
  <c r="AI241" i="15"/>
  <c r="AH241" i="15" s="1"/>
  <c r="AG241" i="15" s="1"/>
  <c r="AF241" i="15" s="1"/>
  <c r="AD241" i="15" s="1"/>
  <c r="AI349" i="15"/>
  <c r="AH349" i="15" s="1"/>
  <c r="AI266" i="15"/>
  <c r="AH266" i="15" s="1"/>
  <c r="AG266" i="15" s="1"/>
  <c r="AF266" i="15" s="1"/>
  <c r="AD266" i="15" s="1"/>
  <c r="AI136" i="15"/>
  <c r="AH136" i="15" s="1"/>
  <c r="AI264" i="15"/>
  <c r="AH264" i="15" s="1"/>
  <c r="AG264" i="15" s="1"/>
  <c r="AF264" i="15" s="1"/>
  <c r="AD264" i="15" s="1"/>
  <c r="AI262" i="15"/>
  <c r="AH262" i="15" s="1"/>
  <c r="AG262" i="15" s="1"/>
  <c r="AF262" i="15" s="1"/>
  <c r="AD262" i="15" s="1"/>
  <c r="AI27" i="15"/>
  <c r="AH27" i="15" s="1"/>
  <c r="AI155" i="15"/>
  <c r="AH155" i="15" s="1"/>
  <c r="AI283" i="15"/>
  <c r="AH283" i="15" s="1"/>
  <c r="AG283" i="15" s="1"/>
  <c r="AF283" i="15" s="1"/>
  <c r="AD283" i="15" s="1"/>
  <c r="AI66" i="15"/>
  <c r="AH66" i="15" s="1"/>
  <c r="AG66" i="15" s="1"/>
  <c r="AF66" i="15" s="1"/>
  <c r="AD66" i="15" s="1"/>
  <c r="AI121" i="15"/>
  <c r="AH121" i="15" s="1"/>
  <c r="AG121" i="15" s="1"/>
  <c r="AF121" i="15" s="1"/>
  <c r="AD121" i="15" s="1"/>
  <c r="AI377" i="15"/>
  <c r="AH377" i="15" s="1"/>
  <c r="AG377" i="15" s="1"/>
  <c r="AF377" i="15" s="1"/>
  <c r="AD377" i="15" s="1"/>
  <c r="AI231" i="15"/>
  <c r="AH231" i="15" s="1"/>
  <c r="AI284" i="15"/>
  <c r="AH284" i="15" s="1"/>
  <c r="AG284" i="15" s="1"/>
  <c r="AF284" i="15" s="1"/>
  <c r="AD284" i="15" s="1"/>
  <c r="AI244" i="15"/>
  <c r="AH244" i="15" s="1"/>
  <c r="AI106" i="15"/>
  <c r="AH106" i="15" s="1"/>
  <c r="AI357" i="15"/>
  <c r="AH357" i="15" s="1"/>
  <c r="AI26" i="15"/>
  <c r="AH26" i="15" s="1"/>
  <c r="AI62" i="15"/>
  <c r="AH62" i="15" s="1"/>
  <c r="AI161" i="15"/>
  <c r="AH161" i="15" s="1"/>
  <c r="AI54" i="15"/>
  <c r="AH54" i="15" s="1"/>
  <c r="AI307" i="15"/>
  <c r="AH307" i="15" s="1"/>
  <c r="AI234" i="15"/>
  <c r="AH234" i="15" s="1"/>
  <c r="AG234" i="15" s="1"/>
  <c r="AF234" i="15" s="1"/>
  <c r="AD234" i="15" s="1"/>
  <c r="AI272" i="15"/>
  <c r="AH272" i="15" s="1"/>
  <c r="AG272" i="15" s="1"/>
  <c r="AF272" i="15" s="1"/>
  <c r="AD272" i="15" s="1"/>
  <c r="AI197" i="15"/>
  <c r="AH197" i="15" s="1"/>
  <c r="AI317" i="15"/>
  <c r="AH317" i="15" s="1"/>
  <c r="AI150" i="15"/>
  <c r="AH150" i="15" s="1"/>
  <c r="AI355" i="15"/>
  <c r="AH355" i="15" s="1"/>
  <c r="AI135" i="15"/>
  <c r="AH135" i="15" s="1"/>
  <c r="AI276" i="15"/>
  <c r="AH276" i="15" s="1"/>
  <c r="AI322" i="15"/>
  <c r="AH322" i="15" s="1"/>
  <c r="AI346" i="15"/>
  <c r="AH346" i="15" s="1"/>
  <c r="AI117" i="15"/>
  <c r="AH117" i="15" s="1"/>
  <c r="AG117" i="15" s="1"/>
  <c r="AF117" i="15" s="1"/>
  <c r="AD117" i="15" s="1"/>
  <c r="AI42" i="15"/>
  <c r="AH42" i="15" s="1"/>
  <c r="AI156" i="15"/>
  <c r="AH156" i="15" s="1"/>
  <c r="AI356" i="15"/>
  <c r="AH356" i="15" s="1"/>
  <c r="AI239" i="15"/>
  <c r="AH239" i="15" s="1"/>
  <c r="AG239" i="15" s="1"/>
  <c r="AF239" i="15" s="1"/>
  <c r="AD239" i="15" s="1"/>
  <c r="AI358" i="15"/>
  <c r="AH358" i="15" s="1"/>
  <c r="AG358" i="15" s="1"/>
  <c r="AF358" i="15" s="1"/>
  <c r="AD358" i="15" s="1"/>
  <c r="AI104" i="15"/>
  <c r="AH104" i="15" s="1"/>
  <c r="AI70" i="15"/>
  <c r="AH70" i="15" s="1"/>
  <c r="AG70" i="15" s="1"/>
  <c r="AF70" i="15" s="1"/>
  <c r="AD70" i="15" s="1"/>
  <c r="AI123" i="15"/>
  <c r="AH123" i="15" s="1"/>
  <c r="AG123" i="15" s="1"/>
  <c r="AF123" i="15" s="1"/>
  <c r="AD123" i="15" s="1"/>
  <c r="AI366" i="15"/>
  <c r="AH366" i="15" s="1"/>
  <c r="AI167" i="15"/>
  <c r="AH167" i="15" s="1"/>
  <c r="AI180" i="15"/>
  <c r="AH180" i="15" s="1"/>
  <c r="AI68" i="15"/>
  <c r="AH68" i="15" s="1"/>
  <c r="AI274" i="15"/>
  <c r="AH274" i="15" s="1"/>
  <c r="AI160" i="15"/>
  <c r="AH160" i="15" s="1"/>
  <c r="AI179" i="15"/>
  <c r="AH179" i="15" s="1"/>
  <c r="AG179" i="15" s="1"/>
  <c r="AF179" i="15" s="1"/>
  <c r="AD179" i="15" s="1"/>
  <c r="AI218" i="15"/>
  <c r="AH218" i="15" s="1"/>
  <c r="AI370" i="15"/>
  <c r="AH370" i="15" s="1"/>
  <c r="AI41" i="15"/>
  <c r="AH41" i="15" s="1"/>
  <c r="AI193" i="15"/>
  <c r="AH193" i="15" s="1"/>
  <c r="AG193" i="15" s="1"/>
  <c r="AF193" i="15" s="1"/>
  <c r="AD193" i="15" s="1"/>
  <c r="AI240" i="15"/>
  <c r="AH240" i="15" s="1"/>
  <c r="AI227" i="15"/>
  <c r="AH227" i="15" s="1"/>
  <c r="AG227" i="15" s="1"/>
  <c r="AF227" i="15" s="1"/>
  <c r="AD227" i="15" s="1"/>
  <c r="AI263" i="15"/>
  <c r="AH263" i="15" s="1"/>
  <c r="AG263" i="15" s="1"/>
  <c r="AF263" i="15" s="1"/>
  <c r="AD263" i="15" s="1"/>
  <c r="AI148" i="15"/>
  <c r="AH148" i="15" s="1"/>
  <c r="AI293" i="15"/>
  <c r="AH293" i="15" s="1"/>
  <c r="AI245" i="15"/>
  <c r="AH245" i="15" s="1"/>
  <c r="AG245" i="15" s="1"/>
  <c r="AF245" i="15" s="1"/>
  <c r="AD245" i="15" s="1"/>
  <c r="AI92" i="15"/>
  <c r="AH92" i="15" s="1"/>
  <c r="AI46" i="15"/>
  <c r="AH46" i="15" s="1"/>
  <c r="AI47" i="15"/>
  <c r="AH47" i="15" s="1"/>
  <c r="AI303" i="15"/>
  <c r="AH303" i="15" s="1"/>
  <c r="AG303" i="15" s="1"/>
  <c r="AF303" i="15" s="1"/>
  <c r="AD303" i="15" s="1"/>
  <c r="AI49" i="15"/>
  <c r="AH49" i="15" s="1"/>
  <c r="AI221" i="15"/>
  <c r="AH221" i="15" s="1"/>
  <c r="AG221" i="15" s="1"/>
  <c r="AF221" i="15" s="1"/>
  <c r="AD221" i="15" s="1"/>
  <c r="AI40" i="15"/>
  <c r="AH40" i="15" s="1"/>
  <c r="AI198" i="15"/>
  <c r="AH198" i="15" s="1"/>
  <c r="AG198" i="15" s="1"/>
  <c r="AF198" i="15" s="1"/>
  <c r="AD198" i="15" s="1"/>
  <c r="AI59" i="15"/>
  <c r="AH59" i="15" s="1"/>
  <c r="AI315" i="15"/>
  <c r="AH315" i="15" s="1"/>
  <c r="AG315" i="15" s="1"/>
  <c r="AF315" i="15" s="1"/>
  <c r="AD315" i="15" s="1"/>
  <c r="AI57" i="15"/>
  <c r="AH57" i="15" s="1"/>
  <c r="AI295" i="15"/>
  <c r="AH295" i="15" s="1"/>
  <c r="AI348" i="15"/>
  <c r="AH348" i="15" s="1"/>
  <c r="AI282" i="15"/>
  <c r="AH282" i="15" s="1"/>
  <c r="AI122" i="15"/>
  <c r="AH122" i="15" s="1"/>
  <c r="AG122" i="15" s="1"/>
  <c r="AF122" i="15" s="1"/>
  <c r="AD122" i="15" s="1"/>
  <c r="AI172" i="15"/>
  <c r="AH172" i="15" s="1"/>
  <c r="AG172" i="15" s="1"/>
  <c r="AF172" i="15" s="1"/>
  <c r="AD172" i="15" s="1"/>
  <c r="AI242" i="15"/>
  <c r="AH242" i="15" s="1"/>
  <c r="AG242" i="15" s="1"/>
  <c r="AF242" i="15" s="1"/>
  <c r="AD242" i="15" s="1"/>
  <c r="AI320" i="15"/>
  <c r="AH320" i="15" s="1"/>
  <c r="AI213" i="15"/>
  <c r="AH213" i="15" s="1"/>
  <c r="AG213" i="15" s="1"/>
  <c r="AF213" i="15" s="1"/>
  <c r="AD213" i="15" s="1"/>
  <c r="AI268" i="15"/>
  <c r="AH268" i="15" s="1"/>
  <c r="AG268" i="15" s="1"/>
  <c r="AF268" i="15" s="1"/>
  <c r="AD268" i="15" s="1"/>
  <c r="AI209" i="15"/>
  <c r="AH209" i="15" s="1"/>
  <c r="AG209" i="15" s="1"/>
  <c r="AF209" i="15" s="1"/>
  <c r="AD209" i="15" s="1"/>
  <c r="AI153" i="15"/>
  <c r="AH153" i="15" s="1"/>
  <c r="AI326" i="15"/>
  <c r="AH326" i="15" s="1"/>
  <c r="AI152" i="15"/>
  <c r="AH152" i="15" s="1"/>
  <c r="AI107" i="15"/>
  <c r="AH107" i="15" s="1"/>
  <c r="AG107" i="15" s="1"/>
  <c r="AF107" i="15" s="1"/>
  <c r="AD107" i="15" s="1"/>
  <c r="AI217" i="15"/>
  <c r="AH217" i="15" s="1"/>
  <c r="AG217" i="15" s="1"/>
  <c r="AF217" i="15" s="1"/>
  <c r="AD217" i="15" s="1"/>
  <c r="AI173" i="15"/>
  <c r="AH173" i="15" s="1"/>
  <c r="AG173" i="15" s="1"/>
  <c r="AF173" i="15" s="1"/>
  <c r="AD173" i="15" s="1"/>
  <c r="AI308" i="15"/>
  <c r="AH308" i="15" s="1"/>
  <c r="AG308" i="15" s="1"/>
  <c r="AF308" i="15" s="1"/>
  <c r="AD308" i="15" s="1"/>
  <c r="AI338" i="15"/>
  <c r="AH338" i="15" s="1"/>
  <c r="AI25" i="15"/>
  <c r="AH25" i="15" s="1"/>
  <c r="AI170" i="15"/>
  <c r="AH170" i="15" s="1"/>
  <c r="AG170" i="15" s="1"/>
  <c r="AF170" i="15" s="1"/>
  <c r="AD170" i="15" s="1"/>
  <c r="AI379" i="15"/>
  <c r="AI230" i="15"/>
  <c r="AH230" i="15" s="1"/>
  <c r="AG230" i="15" s="1"/>
  <c r="AF230" i="15" s="1"/>
  <c r="AD230" i="15" s="1"/>
  <c r="AI223" i="15"/>
  <c r="AH223" i="15" s="1"/>
  <c r="AG223" i="15" s="1"/>
  <c r="AF223" i="15" s="1"/>
  <c r="AD223" i="15" s="1"/>
  <c r="AI29" i="15"/>
  <c r="AH29" i="15" s="1"/>
  <c r="AI166" i="15"/>
  <c r="AH166" i="15" s="1"/>
  <c r="AG166" i="15" s="1"/>
  <c r="AF166" i="15" s="1"/>
  <c r="AD166" i="15" s="1"/>
  <c r="AI363" i="15"/>
  <c r="AH363" i="15" s="1"/>
  <c r="AI288" i="15"/>
  <c r="AH288" i="15" s="1"/>
  <c r="AI287" i="15"/>
  <c r="AH287" i="15" s="1"/>
  <c r="AI63" i="15"/>
  <c r="AH63" i="15" s="1"/>
  <c r="AI281" i="15"/>
  <c r="AH281" i="15" s="1"/>
  <c r="AI372" i="15"/>
  <c r="AH372" i="15" s="1"/>
  <c r="AI345" i="15"/>
  <c r="AH345" i="15" s="1"/>
  <c r="AI216" i="15"/>
  <c r="AH216" i="15" s="1"/>
  <c r="AI31" i="15"/>
  <c r="AH31" i="15" s="1"/>
  <c r="AI142" i="15"/>
  <c r="AH142" i="15" s="1"/>
  <c r="AI75" i="15"/>
  <c r="AH75" i="15" s="1"/>
  <c r="AI236" i="15"/>
  <c r="AH236" i="15" s="1"/>
  <c r="AI235" i="15"/>
  <c r="AH235" i="15" s="1"/>
  <c r="AG235" i="15" s="1"/>
  <c r="AF235" i="15" s="1"/>
  <c r="AD235" i="15" s="1"/>
  <c r="AI280" i="15"/>
  <c r="AH280" i="15" s="1"/>
  <c r="AG280" i="15" s="1"/>
  <c r="AF280" i="15" s="1"/>
  <c r="AD280" i="15" s="1"/>
  <c r="AI273" i="15"/>
  <c r="AH273" i="15" s="1"/>
  <c r="AG273" i="15" s="1"/>
  <c r="AF273" i="15" s="1"/>
  <c r="AD273" i="15" s="1"/>
  <c r="AI95" i="15"/>
  <c r="AH95" i="15" s="1"/>
  <c r="AI120" i="15"/>
  <c r="AH120" i="15" s="1"/>
  <c r="AG120" i="15" s="1"/>
  <c r="AF120" i="15" s="1"/>
  <c r="AD120" i="15" s="1"/>
  <c r="AI270" i="15"/>
  <c r="AH270" i="15" s="1"/>
  <c r="AG270" i="15" s="1"/>
  <c r="AF270" i="15" s="1"/>
  <c r="AD270" i="15" s="1"/>
  <c r="AI301" i="15"/>
  <c r="AH301" i="15" s="1"/>
  <c r="AG301" i="15" s="1"/>
  <c r="AF301" i="15" s="1"/>
  <c r="AD301" i="15" s="1"/>
  <c r="AI203" i="15"/>
  <c r="AH203" i="15" s="1"/>
  <c r="AG203" i="15" s="1"/>
  <c r="AF203" i="15" s="1"/>
  <c r="AD203" i="15" s="1"/>
  <c r="AI337" i="15"/>
  <c r="AH337" i="15" s="1"/>
  <c r="AI78" i="15"/>
  <c r="AH78" i="15" s="1"/>
  <c r="AI149" i="15"/>
  <c r="AH149" i="15" s="1"/>
  <c r="AI52" i="15"/>
  <c r="AH52" i="15" s="1"/>
  <c r="AI313" i="15"/>
  <c r="AH313" i="15" s="1"/>
  <c r="AG313" i="15" s="1"/>
  <c r="AF313" i="15" s="1"/>
  <c r="AD313" i="15" s="1"/>
  <c r="AI187" i="15"/>
  <c r="AH187" i="15" s="1"/>
  <c r="AG187" i="15" s="1"/>
  <c r="AF187" i="15" s="1"/>
  <c r="AD187" i="15" s="1"/>
  <c r="AI168" i="15"/>
  <c r="AH168" i="15" s="1"/>
  <c r="AG168" i="15" s="1"/>
  <c r="AF168" i="15" s="1"/>
  <c r="AD168" i="15" s="1"/>
  <c r="AI305" i="15"/>
  <c r="AH305" i="15" s="1"/>
  <c r="AG305" i="15" s="1"/>
  <c r="AF305" i="15" s="1"/>
  <c r="AD305" i="15" s="1"/>
  <c r="AI175" i="15"/>
  <c r="AH175" i="15" s="1"/>
  <c r="AG175" i="15" s="1"/>
  <c r="AF175" i="15" s="1"/>
  <c r="AD175" i="15" s="1"/>
  <c r="AI220" i="15"/>
  <c r="AH220" i="15" s="1"/>
  <c r="AG220" i="15" s="1"/>
  <c r="AF220" i="15" s="1"/>
  <c r="AD220" i="15" s="1"/>
  <c r="AI58" i="15"/>
  <c r="AH58" i="15" s="1"/>
  <c r="AI94" i="15"/>
  <c r="AH94" i="15" s="1"/>
  <c r="AI344" i="15"/>
  <c r="AH344" i="15" s="1"/>
  <c r="AI126" i="15"/>
  <c r="AH126" i="15" s="1"/>
  <c r="AG126" i="15" s="1"/>
  <c r="AF126" i="15" s="1"/>
  <c r="AD126" i="15" s="1"/>
  <c r="AI87" i="15"/>
  <c r="AH87" i="15" s="1"/>
  <c r="AI296" i="15"/>
  <c r="AH296" i="15" s="1"/>
  <c r="AI55" i="15"/>
  <c r="AH55" i="15" s="1"/>
  <c r="AI158" i="15"/>
  <c r="AH158" i="15" s="1"/>
  <c r="AI251" i="15"/>
  <c r="AH251" i="15" s="1"/>
  <c r="AG251" i="15" s="1"/>
  <c r="AF251" i="15" s="1"/>
  <c r="AD251" i="15" s="1"/>
  <c r="AI232" i="15"/>
  <c r="AH232" i="15" s="1"/>
  <c r="AG232" i="15" s="1"/>
  <c r="AF232" i="15" s="1"/>
  <c r="AD232" i="15" s="1"/>
  <c r="AI367" i="15"/>
  <c r="AH367" i="15" s="1"/>
  <c r="AI174" i="15"/>
  <c r="AH174" i="15" s="1"/>
  <c r="AG174" i="15" s="1"/>
  <c r="AF174" i="15" s="1"/>
  <c r="AD174" i="15" s="1"/>
  <c r="AI373" i="15"/>
  <c r="AH373" i="15" s="1"/>
  <c r="AG373" i="15" s="1"/>
  <c r="AF373" i="15" s="1"/>
  <c r="AD373" i="15" s="1"/>
  <c r="AI37" i="15"/>
  <c r="AH37" i="15" s="1"/>
  <c r="AI316" i="15"/>
  <c r="AH316" i="15" s="1"/>
  <c r="AI99" i="15"/>
  <c r="AH99" i="15" s="1"/>
  <c r="AI279" i="15"/>
  <c r="AH279" i="15" s="1"/>
  <c r="AG279" i="15" s="1"/>
  <c r="AF279" i="15" s="1"/>
  <c r="AD279" i="15" s="1"/>
  <c r="AI310" i="15"/>
  <c r="AH310" i="15" s="1"/>
  <c r="AG310" i="15" s="1"/>
  <c r="AF310" i="15" s="1"/>
  <c r="AD310" i="15" s="1"/>
  <c r="AI51" i="15"/>
  <c r="AH51" i="15" s="1"/>
  <c r="AI311" i="15"/>
  <c r="AH311" i="15" s="1"/>
  <c r="AI101" i="15"/>
  <c r="AH101" i="15" s="1"/>
  <c r="AI116" i="15"/>
  <c r="AH116" i="15" s="1"/>
  <c r="AG116" i="15" s="1"/>
  <c r="AF116" i="15" s="1"/>
  <c r="AD116" i="15" s="1"/>
  <c r="AI103" i="15"/>
  <c r="AH103" i="15" s="1"/>
  <c r="AI249" i="15"/>
  <c r="AH249" i="15" s="1"/>
  <c r="AG249" i="15" s="1"/>
  <c r="AF249" i="15" s="1"/>
  <c r="AD249" i="15" s="1"/>
  <c r="AI347" i="15"/>
  <c r="AH347" i="15" s="1"/>
  <c r="AI91" i="15"/>
  <c r="AH91" i="15" s="1"/>
  <c r="AI134" i="15"/>
  <c r="AH134" i="15" s="1"/>
  <c r="AI72" i="15"/>
  <c r="AH72" i="15" s="1"/>
  <c r="AG72" i="15" s="1"/>
  <c r="AF72" i="15" s="1"/>
  <c r="AD72" i="15" s="1"/>
  <c r="AI369" i="15"/>
  <c r="AH369" i="15" s="1"/>
  <c r="AG369" i="15" s="1"/>
  <c r="AF369" i="15" s="1"/>
  <c r="AD369" i="15" s="1"/>
  <c r="AI50" i="15"/>
  <c r="AH50" i="15" s="1"/>
  <c r="AI143" i="15"/>
  <c r="AH143" i="15" s="1"/>
  <c r="AI110" i="15"/>
  <c r="AH110" i="15" s="1"/>
  <c r="AG110" i="15" s="1"/>
  <c r="AF110" i="15" s="1"/>
  <c r="AD110" i="15" s="1"/>
  <c r="AI60" i="15"/>
  <c r="AH60" i="15" s="1"/>
  <c r="AI309" i="15"/>
  <c r="AH309" i="15" s="1"/>
  <c r="AG309" i="15" s="1"/>
  <c r="AF309" i="15" s="1"/>
  <c r="AD309" i="15" s="1"/>
  <c r="AI186" i="15"/>
  <c r="AH186" i="15" s="1"/>
  <c r="AG186" i="15" s="1"/>
  <c r="AF186" i="15" s="1"/>
  <c r="AD186" i="15" s="1"/>
  <c r="AI212" i="15"/>
  <c r="AH212" i="15" s="1"/>
  <c r="AG212" i="15" s="1"/>
  <c r="AF212" i="15" s="1"/>
  <c r="AD212" i="15" s="1"/>
  <c r="AI327" i="15"/>
  <c r="AH327" i="15" s="1"/>
  <c r="AI291" i="15"/>
  <c r="AH291" i="15" s="1"/>
  <c r="AI22" i="15"/>
  <c r="AH22" i="15" s="1"/>
  <c r="AI321" i="15"/>
  <c r="AH321" i="15" s="1"/>
  <c r="AI297" i="15"/>
  <c r="AH297" i="15" s="1"/>
  <c r="AI144" i="15"/>
  <c r="AH144" i="15" s="1"/>
  <c r="AI325" i="15"/>
  <c r="AH325" i="15" s="1"/>
  <c r="AI243" i="15"/>
  <c r="AH243" i="15" s="1"/>
  <c r="AG243" i="15" s="1"/>
  <c r="AF243" i="15" s="1"/>
  <c r="AD243" i="15" s="1"/>
  <c r="AI224" i="15"/>
  <c r="AH224" i="15" s="1"/>
  <c r="AG224" i="15" s="1"/>
  <c r="AF224" i="15" s="1"/>
  <c r="AD224" i="15" s="1"/>
  <c r="AI33" i="15"/>
  <c r="AH33" i="15" s="1"/>
  <c r="AI196" i="15"/>
  <c r="AH196" i="15" s="1"/>
  <c r="AG196" i="15" s="1"/>
  <c r="AF196" i="15" s="1"/>
  <c r="AD196" i="15" s="1"/>
  <c r="AI332" i="15"/>
  <c r="AH332" i="15" s="1"/>
  <c r="AI169" i="15"/>
  <c r="AH169" i="15" s="1"/>
  <c r="AG169" i="15" s="1"/>
  <c r="AF169" i="15" s="1"/>
  <c r="AD169" i="15" s="1"/>
  <c r="AI67" i="15"/>
  <c r="AH67" i="15" s="1"/>
  <c r="AG67" i="15" s="1"/>
  <c r="AF67" i="15" s="1"/>
  <c r="AD67" i="15" s="1"/>
  <c r="AI80" i="15"/>
  <c r="AH80" i="15" s="1"/>
  <c r="AI215" i="15"/>
  <c r="AH215" i="15" s="1"/>
  <c r="AG215" i="15" s="1"/>
  <c r="AF215" i="15" s="1"/>
  <c r="AD215" i="15" s="1"/>
  <c r="AI69" i="15"/>
  <c r="AH69" i="15" s="1"/>
  <c r="AI226" i="15"/>
  <c r="AH226" i="15" s="1"/>
  <c r="AG226" i="15" s="1"/>
  <c r="AF226" i="15" s="1"/>
  <c r="AD226" i="15" s="1"/>
  <c r="AI211" i="15"/>
  <c r="AH211" i="15" s="1"/>
  <c r="AG211" i="15" s="1"/>
  <c r="AF211" i="15" s="1"/>
  <c r="AD211" i="15" s="1"/>
  <c r="AI328" i="15"/>
  <c r="AH328" i="15" s="1"/>
  <c r="AI192" i="15"/>
  <c r="AH192" i="15" s="1"/>
  <c r="AG192" i="15" s="1"/>
  <c r="AF192" i="15" s="1"/>
  <c r="AD192" i="15" s="1"/>
  <c r="AI125" i="15"/>
  <c r="AH125" i="15" s="1"/>
  <c r="AG125" i="15" s="1"/>
  <c r="AF125" i="15" s="1"/>
  <c r="AD125" i="15" s="1"/>
  <c r="AI342" i="15"/>
  <c r="AH342" i="15" s="1"/>
  <c r="AI119" i="15"/>
  <c r="AH119" i="15" s="1"/>
  <c r="AG119" i="15" s="1"/>
  <c r="AF119" i="15" s="1"/>
  <c r="AD119" i="15" s="1"/>
  <c r="AI132" i="15"/>
  <c r="AH132" i="15" s="1"/>
  <c r="AG132" i="15" s="1"/>
  <c r="AF132" i="15" s="1"/>
  <c r="AD132" i="15" s="1"/>
  <c r="AI43" i="15"/>
  <c r="AH43" i="15" s="1"/>
  <c r="AI114" i="15"/>
  <c r="AH114" i="15" s="1"/>
  <c r="AI319" i="15"/>
  <c r="AH319" i="15" s="1"/>
  <c r="AI85" i="15"/>
  <c r="AH85" i="15" s="1"/>
  <c r="AI255" i="15"/>
  <c r="AH255" i="15" s="1"/>
  <c r="AI330" i="15"/>
  <c r="AH330" i="15" s="1"/>
  <c r="AI130" i="15"/>
  <c r="AH130" i="15" s="1"/>
  <c r="AI138" i="15"/>
  <c r="AH138" i="15" s="1"/>
  <c r="AI139" i="15"/>
  <c r="AH139" i="15" s="1"/>
  <c r="AI76" i="15"/>
  <c r="AH76" i="15" s="1"/>
  <c r="AI56" i="15"/>
  <c r="AH56" i="15" s="1"/>
  <c r="AI354" i="15"/>
  <c r="AH354" i="15" s="1"/>
  <c r="AI171" i="15"/>
  <c r="AH171" i="15" s="1"/>
  <c r="AI145" i="15"/>
  <c r="AH145" i="15" s="1"/>
  <c r="AI157" i="15"/>
  <c r="AH157" i="15" s="1"/>
  <c r="AI341" i="15"/>
  <c r="AH341" i="15" s="1"/>
  <c r="AI81" i="15"/>
  <c r="AH81" i="15" s="1"/>
  <c r="AI21" i="15"/>
  <c r="AH21" i="15" s="1"/>
  <c r="AI334" i="15"/>
  <c r="AH334" i="15" s="1"/>
  <c r="AI352" i="15"/>
  <c r="AH352" i="15" s="1"/>
  <c r="AI24" i="15"/>
  <c r="AH24" i="15" s="1"/>
  <c r="AI351" i="15"/>
  <c r="AH351" i="15" s="1"/>
  <c r="AI267" i="15"/>
  <c r="AH267" i="15" s="1"/>
  <c r="AG267" i="15" s="1"/>
  <c r="AF267" i="15" s="1"/>
  <c r="AD267" i="15" s="1"/>
  <c r="AI191" i="15"/>
  <c r="AH191" i="15" s="1"/>
  <c r="AG191" i="15" s="1"/>
  <c r="AF191" i="15" s="1"/>
  <c r="AD191" i="15" s="1"/>
  <c r="AI140" i="15"/>
  <c r="AH140" i="15" s="1"/>
  <c r="AI250" i="15"/>
  <c r="AH250" i="15" s="1"/>
  <c r="AG250" i="15" s="1"/>
  <c r="AF250" i="15" s="1"/>
  <c r="AD250" i="15" s="1"/>
  <c r="AI184" i="15"/>
  <c r="AH184" i="15" s="1"/>
  <c r="AG184" i="15" s="1"/>
  <c r="AF184" i="15" s="1"/>
  <c r="AD184" i="15" s="1"/>
  <c r="AI127" i="15"/>
  <c r="AH127" i="15" s="1"/>
  <c r="AG127" i="15" s="1"/>
  <c r="AF127" i="15" s="1"/>
  <c r="AD127" i="15" s="1"/>
  <c r="AI44" i="15"/>
  <c r="AH44" i="15" s="1"/>
  <c r="AI39" i="15"/>
  <c r="AH39" i="15" s="1"/>
  <c r="AI194" i="15"/>
  <c r="AH194" i="15" s="1"/>
  <c r="AG194" i="15" s="1"/>
  <c r="AF194" i="15" s="1"/>
  <c r="AD194" i="15" s="1"/>
  <c r="AI368" i="15"/>
  <c r="AH368" i="15" s="1"/>
  <c r="AI17" i="15"/>
  <c r="AH17" i="15" s="1"/>
  <c r="AI178" i="15"/>
  <c r="AH178" i="15" s="1"/>
  <c r="AG178" i="15" s="1"/>
  <c r="AF178" i="15" s="1"/>
  <c r="AD178" i="15" s="1"/>
  <c r="AI292" i="15"/>
  <c r="AH292" i="15" s="1"/>
  <c r="AG292" i="15" s="1"/>
  <c r="AF292" i="15" s="1"/>
  <c r="AD292" i="15" s="1"/>
  <c r="AI237" i="15"/>
  <c r="AH237" i="15" s="1"/>
  <c r="AG237" i="15" s="1"/>
  <c r="AF237" i="15" s="1"/>
  <c r="AD237" i="15" s="1"/>
  <c r="AI141" i="15"/>
  <c r="AH141" i="15" s="1"/>
  <c r="AI286" i="15"/>
  <c r="AH286" i="15" s="1"/>
  <c r="AG286" i="15" s="1"/>
  <c r="AF286" i="15" s="1"/>
  <c r="AD286" i="15" s="1"/>
  <c r="AI202" i="15"/>
  <c r="AH202" i="15" s="1"/>
  <c r="AG202" i="15" s="1"/>
  <c r="AF202" i="15" s="1"/>
  <c r="AD202" i="15" s="1"/>
  <c r="AI376" i="15"/>
  <c r="AH376" i="15" s="1"/>
  <c r="AI98" i="15"/>
  <c r="AH98" i="15" s="1"/>
  <c r="AI253" i="15"/>
  <c r="AH253" i="15" s="1"/>
  <c r="AG253" i="15" s="1"/>
  <c r="AF253" i="15" s="1"/>
  <c r="AD253" i="15" s="1"/>
  <c r="AI229" i="15"/>
  <c r="AH229" i="15" s="1"/>
  <c r="AG229" i="15" s="1"/>
  <c r="AF229" i="15" s="1"/>
  <c r="AD229" i="15" s="1"/>
  <c r="AI185" i="15"/>
  <c r="AH185" i="15" s="1"/>
  <c r="AG185" i="15" s="1"/>
  <c r="AF185" i="15" s="1"/>
  <c r="AD185" i="15" s="1"/>
  <c r="AI304" i="15"/>
  <c r="AH304" i="15" s="1"/>
  <c r="AG304" i="15" s="1"/>
  <c r="AF304" i="15" s="1"/>
  <c r="AD304" i="15" s="1"/>
  <c r="AI177" i="15"/>
  <c r="AH177" i="15" s="1"/>
  <c r="AG177" i="15" s="1"/>
  <c r="AF177" i="15" s="1"/>
  <c r="AD177" i="15" s="1"/>
  <c r="AI111" i="15"/>
  <c r="AH111" i="15" s="1"/>
  <c r="AG111" i="15" s="1"/>
  <c r="AF111" i="15" s="1"/>
  <c r="AD111" i="15" s="1"/>
  <c r="AI28" i="15"/>
  <c r="AH28" i="15" s="1"/>
  <c r="AI298" i="15"/>
  <c r="AH298" i="15" s="1"/>
  <c r="AI20" i="15"/>
  <c r="AH20" i="15" s="1"/>
  <c r="AI233" i="15"/>
  <c r="AH233" i="15" s="1"/>
  <c r="AG233" i="15" s="1"/>
  <c r="AF233" i="15" s="1"/>
  <c r="AD233" i="15" s="1"/>
  <c r="AI112" i="15"/>
  <c r="AH112" i="15" s="1"/>
  <c r="AG112" i="15" s="1"/>
  <c r="AF112" i="15" s="1"/>
  <c r="AD112" i="15" s="1"/>
  <c r="AI259" i="15"/>
  <c r="AH259" i="15" s="1"/>
  <c r="AG259" i="15" s="1"/>
  <c r="AF259" i="15" s="1"/>
  <c r="AD259" i="15" s="1"/>
  <c r="AI137" i="15"/>
  <c r="AH137" i="15" s="1"/>
  <c r="AI32" i="15"/>
  <c r="AH32" i="15" s="1"/>
  <c r="AI314" i="15"/>
  <c r="AH314" i="15" s="1"/>
  <c r="AI269" i="15"/>
  <c r="AH269" i="15" s="1"/>
  <c r="AG269" i="15" s="1"/>
  <c r="AF269" i="15" s="1"/>
  <c r="AD269" i="15" s="1"/>
  <c r="AI30" i="15"/>
  <c r="AH30" i="15" s="1"/>
  <c r="AI359" i="15"/>
  <c r="AH359" i="15" s="1"/>
  <c r="AG359" i="15" s="1"/>
  <c r="AF359" i="15" s="1"/>
  <c r="AD359" i="15" s="1"/>
  <c r="AI302" i="15"/>
  <c r="AH302" i="15" s="1"/>
  <c r="AG302" i="15" s="1"/>
  <c r="AF302" i="15" s="1"/>
  <c r="AD302" i="15" s="1"/>
  <c r="AI219" i="15"/>
  <c r="AH219" i="15" s="1"/>
  <c r="AG219" i="15" s="1"/>
  <c r="AF219" i="15" s="1"/>
  <c r="AD219" i="15" s="1"/>
  <c r="AI336" i="15"/>
  <c r="AH336" i="15" s="1"/>
  <c r="AI200" i="15"/>
  <c r="AH200" i="15" s="1"/>
  <c r="AG200" i="15" s="1"/>
  <c r="AF200" i="15" s="1"/>
  <c r="AD200" i="15" s="1"/>
  <c r="AI93" i="15"/>
  <c r="AH93" i="15" s="1"/>
  <c r="AI113" i="15"/>
  <c r="AH113" i="15" s="1"/>
  <c r="AG113" i="15" s="1"/>
  <c r="AF113" i="15" s="1"/>
  <c r="AD113" i="15" s="1"/>
  <c r="AI271" i="15"/>
  <c r="AH271" i="15" s="1"/>
  <c r="AG271" i="15" s="1"/>
  <c r="AF271" i="15" s="1"/>
  <c r="AD271" i="15" s="1"/>
  <c r="AI324" i="15"/>
  <c r="AH324" i="15" s="1"/>
  <c r="AI188" i="15"/>
  <c r="AH188" i="15" s="1"/>
  <c r="AG188" i="15" s="1"/>
  <c r="AF188" i="15" s="1"/>
  <c r="AD188" i="15" s="1"/>
  <c r="AI109" i="15"/>
  <c r="AH109" i="15" s="1"/>
  <c r="AG109" i="15" s="1"/>
  <c r="AF109" i="15" s="1"/>
  <c r="AD109" i="15" s="1"/>
  <c r="AI53" i="15"/>
  <c r="AH53" i="15" s="1"/>
  <c r="AI165" i="15"/>
  <c r="AH165" i="15" s="1"/>
  <c r="AG165" i="15" s="1"/>
  <c r="AF165" i="15" s="1"/>
  <c r="AD165" i="15" s="1"/>
  <c r="AI71" i="15"/>
  <c r="AH71" i="15" s="1"/>
  <c r="AG71" i="15" s="1"/>
  <c r="AF71" i="15" s="1"/>
  <c r="AD71" i="15" s="1"/>
  <c r="AI105" i="15"/>
  <c r="AH105" i="15" s="1"/>
  <c r="AI35" i="15"/>
  <c r="AH35" i="15" s="1"/>
  <c r="AI48" i="15"/>
  <c r="AH48" i="15" s="1"/>
  <c r="AI23" i="15"/>
  <c r="AH23" i="15" s="1"/>
  <c r="AI131" i="15"/>
  <c r="AH131" i="15" s="1"/>
  <c r="AG131" i="15" s="1"/>
  <c r="AF131" i="15" s="1"/>
  <c r="AD131" i="15" s="1"/>
  <c r="AI343" i="15"/>
  <c r="AH343" i="15" s="1"/>
  <c r="AI318" i="15"/>
  <c r="AH318" i="15" s="1"/>
  <c r="AI360" i="15"/>
  <c r="AH360" i="15" s="1"/>
  <c r="AI306" i="15"/>
  <c r="AH306" i="15" s="1"/>
  <c r="AI183" i="15"/>
  <c r="AH183" i="15" s="1"/>
  <c r="AG183" i="15" s="1"/>
  <c r="AF183" i="15" s="1"/>
  <c r="AD183" i="15" s="1"/>
  <c r="AI210" i="15"/>
  <c r="AH210" i="15" s="1"/>
  <c r="AG210" i="15" s="1"/>
  <c r="AF210" i="15" s="1"/>
  <c r="AD210" i="15" s="1"/>
  <c r="AI77" i="15"/>
  <c r="AH77" i="15" s="1"/>
  <c r="AI323" i="15"/>
  <c r="AH323" i="15" s="1"/>
  <c r="AI86" i="15"/>
  <c r="AH86" i="15" s="1"/>
  <c r="AI129" i="15"/>
  <c r="AH129" i="15" s="1"/>
  <c r="AG129" i="15" s="1"/>
  <c r="AF129" i="15" s="1"/>
  <c r="AD129" i="15" s="1"/>
  <c r="AI36" i="15"/>
  <c r="AH36" i="15" s="1"/>
  <c r="AI201" i="15"/>
  <c r="AH201" i="15" s="1"/>
  <c r="AG201" i="15" s="1"/>
  <c r="AF201" i="15" s="1"/>
  <c r="AD201" i="15" s="1"/>
  <c r="AI339" i="15"/>
  <c r="AH339" i="15" s="1"/>
  <c r="AI83" i="15"/>
  <c r="AH83" i="15" s="1"/>
  <c r="AI118" i="15"/>
  <c r="AH118" i="15" s="1"/>
  <c r="AG118" i="15" s="1"/>
  <c r="AF118" i="15" s="1"/>
  <c r="AD118" i="15" s="1"/>
  <c r="AI64" i="15"/>
  <c r="AH64" i="15" s="1"/>
  <c r="AG64" i="15" s="1"/>
  <c r="AF64" i="15" s="1"/>
  <c r="AD64" i="15" s="1"/>
  <c r="AI225" i="15"/>
  <c r="AH225" i="15" s="1"/>
  <c r="AG225" i="15" s="1"/>
  <c r="AF225" i="15" s="1"/>
  <c r="AD225" i="15" s="1"/>
  <c r="AI375" i="15"/>
  <c r="AH375" i="15" s="1"/>
  <c r="AI190" i="15"/>
  <c r="AH190" i="15" s="1"/>
  <c r="AG190" i="15" s="1"/>
  <c r="AF190" i="15" s="1"/>
  <c r="AD190" i="15" s="1"/>
  <c r="AI133" i="15"/>
  <c r="AH133" i="15" s="1"/>
  <c r="AG133" i="15" s="1"/>
  <c r="AF133" i="15" s="1"/>
  <c r="AD133" i="15" s="1"/>
  <c r="AI88" i="15"/>
  <c r="AH88" i="15" s="1"/>
  <c r="AI258" i="15"/>
  <c r="AH258" i="15" s="1"/>
  <c r="AG258" i="15" s="1"/>
  <c r="AF258" i="15" s="1"/>
  <c r="AD258" i="15" s="1"/>
  <c r="AI204" i="15"/>
  <c r="AH204" i="15" s="1"/>
  <c r="AG204" i="15" s="1"/>
  <c r="AF204" i="15" s="1"/>
  <c r="AD204" i="15" s="1"/>
  <c r="AI102" i="15"/>
  <c r="AH102" i="15" s="1"/>
  <c r="AI108" i="15"/>
  <c r="AH108" i="15" s="1"/>
  <c r="AG108" i="15" s="1"/>
  <c r="AF108" i="15" s="1"/>
  <c r="AD108" i="15" s="1"/>
  <c r="R16" i="1"/>
  <c r="S383" i="1"/>
  <c r="S382" i="1"/>
  <c r="S381" i="1"/>
  <c r="U16" i="15"/>
  <c r="T16" i="15" s="1"/>
  <c r="U324" i="15"/>
  <c r="T324" i="15" s="1"/>
  <c r="U88" i="15"/>
  <c r="T88" i="15" s="1"/>
  <c r="U336" i="15"/>
  <c r="T336" i="15" s="1"/>
  <c r="U116" i="15"/>
  <c r="T116" i="15" s="1"/>
  <c r="S116" i="15" s="1"/>
  <c r="R116" i="15" s="1"/>
  <c r="P116" i="15" s="1"/>
  <c r="V116" i="15" s="1"/>
  <c r="F116" i="15" s="1"/>
  <c r="U278" i="15"/>
  <c r="T278" i="15" s="1"/>
  <c r="S278" i="15" s="1"/>
  <c r="R278" i="15" s="1"/>
  <c r="P278" i="15" s="1"/>
  <c r="V278" i="15" s="1"/>
  <c r="F278" i="15" s="1"/>
  <c r="U230" i="15"/>
  <c r="T230" i="15" s="1"/>
  <c r="S230" i="15" s="1"/>
  <c r="R230" i="15" s="1"/>
  <c r="P230" i="15" s="1"/>
  <c r="V230" i="15" s="1"/>
  <c r="F230" i="15" s="1"/>
  <c r="U264" i="15"/>
  <c r="T264" i="15" s="1"/>
  <c r="S264" i="15" s="1"/>
  <c r="R264" i="15" s="1"/>
  <c r="P264" i="15" s="1"/>
  <c r="V264" i="15" s="1"/>
  <c r="F264" i="15" s="1"/>
  <c r="U347" i="15"/>
  <c r="T347" i="15" s="1"/>
  <c r="U169" i="15"/>
  <c r="T169" i="15" s="1"/>
  <c r="S169" i="15" s="1"/>
  <c r="R169" i="15" s="1"/>
  <c r="P169" i="15" s="1"/>
  <c r="V169" i="15" s="1"/>
  <c r="F169" i="15" s="1"/>
  <c r="U94" i="15"/>
  <c r="T94" i="15" s="1"/>
  <c r="U236" i="15"/>
  <c r="T236" i="15" s="1"/>
  <c r="S236" i="15" s="1"/>
  <c r="R236" i="15" s="1"/>
  <c r="P236" i="15" s="1"/>
  <c r="V236" i="15" s="1"/>
  <c r="F236" i="15" s="1"/>
  <c r="U165" i="15"/>
  <c r="T165" i="15" s="1"/>
  <c r="S165" i="15" s="1"/>
  <c r="R165" i="15" s="1"/>
  <c r="P165" i="15" s="1"/>
  <c r="V165" i="15" s="1"/>
  <c r="F165" i="15" s="1"/>
  <c r="U217" i="15"/>
  <c r="T217" i="15" s="1"/>
  <c r="S217" i="15" s="1"/>
  <c r="R217" i="15" s="1"/>
  <c r="P217" i="15" s="1"/>
  <c r="V217" i="15" s="1"/>
  <c r="F217" i="15" s="1"/>
  <c r="U146" i="15"/>
  <c r="T146" i="15" s="1"/>
  <c r="U354" i="15"/>
  <c r="T354" i="15" s="1"/>
  <c r="U24" i="15"/>
  <c r="T24" i="15" s="1"/>
  <c r="U95" i="15"/>
  <c r="T95" i="15" s="1"/>
  <c r="U202" i="15"/>
  <c r="T202" i="15" s="1"/>
  <c r="S202" i="15" s="1"/>
  <c r="R202" i="15" s="1"/>
  <c r="P202" i="15" s="1"/>
  <c r="V202" i="15" s="1"/>
  <c r="F202" i="15" s="1"/>
  <c r="U155" i="15"/>
  <c r="T155" i="15" s="1"/>
  <c r="U210" i="15"/>
  <c r="T210" i="15" s="1"/>
  <c r="S210" i="15" s="1"/>
  <c r="R210" i="15" s="1"/>
  <c r="P210" i="15" s="1"/>
  <c r="U129" i="15"/>
  <c r="T129" i="15" s="1"/>
  <c r="S129" i="15" s="1"/>
  <c r="R129" i="15" s="1"/>
  <c r="P129" i="15" s="1"/>
  <c r="V129" i="15" s="1"/>
  <c r="F129" i="15" s="1"/>
  <c r="U166" i="15"/>
  <c r="T166" i="15" s="1"/>
  <c r="S166" i="15" s="1"/>
  <c r="R166" i="15" s="1"/>
  <c r="P166" i="15" s="1"/>
  <c r="V166" i="15" s="1"/>
  <c r="F166" i="15" s="1"/>
  <c r="U331" i="15"/>
  <c r="T331" i="15" s="1"/>
  <c r="U123" i="15"/>
  <c r="T123" i="15" s="1"/>
  <c r="U27" i="15"/>
  <c r="T27" i="15" s="1"/>
  <c r="U223" i="15"/>
  <c r="T223" i="15" s="1"/>
  <c r="S223" i="15" s="1"/>
  <c r="R223" i="15" s="1"/>
  <c r="P223" i="15" s="1"/>
  <c r="V223" i="15" s="1"/>
  <c r="F223" i="15" s="1"/>
  <c r="U43" i="15"/>
  <c r="T43" i="15" s="1"/>
  <c r="U149" i="15"/>
  <c r="T149" i="15" s="1"/>
  <c r="U174" i="15"/>
  <c r="T174" i="15" s="1"/>
  <c r="S174" i="15" s="1"/>
  <c r="R174" i="15" s="1"/>
  <c r="P174" i="15" s="1"/>
  <c r="V174" i="15" s="1"/>
  <c r="F174" i="15" s="1"/>
  <c r="U343" i="15"/>
  <c r="T343" i="15" s="1"/>
  <c r="U287" i="15"/>
  <c r="T287" i="15" s="1"/>
  <c r="S287" i="15" s="1"/>
  <c r="R287" i="15" s="1"/>
  <c r="P287" i="15" s="1"/>
  <c r="V287" i="15" s="1"/>
  <c r="F287" i="15" s="1"/>
  <c r="U290" i="15"/>
  <c r="T290" i="15" s="1"/>
  <c r="S290" i="15" s="1"/>
  <c r="R290" i="15" s="1"/>
  <c r="P290" i="15" s="1"/>
  <c r="V290" i="15" s="1"/>
  <c r="F290" i="15" s="1"/>
  <c r="U162" i="15"/>
  <c r="T162" i="15" s="1"/>
  <c r="S162" i="15" s="1"/>
  <c r="R162" i="15" s="1"/>
  <c r="P162" i="15" s="1"/>
  <c r="V162" i="15" s="1"/>
  <c r="F162" i="15" s="1"/>
  <c r="U216" i="15"/>
  <c r="T216" i="15" s="1"/>
  <c r="S216" i="15" s="1"/>
  <c r="R216" i="15" s="1"/>
  <c r="P216" i="15" s="1"/>
  <c r="V216" i="15" s="1"/>
  <c r="F216" i="15" s="1"/>
  <c r="U266" i="15"/>
  <c r="T266" i="15" s="1"/>
  <c r="S266" i="15" s="1"/>
  <c r="R266" i="15" s="1"/>
  <c r="P266" i="15" s="1"/>
  <c r="V266" i="15" s="1"/>
  <c r="F266" i="15" s="1"/>
  <c r="U313" i="15"/>
  <c r="T313" i="15" s="1"/>
  <c r="S313" i="15" s="1"/>
  <c r="R313" i="15" s="1"/>
  <c r="P313" i="15" s="1"/>
  <c r="V313" i="15" s="1"/>
  <c r="F313" i="15" s="1"/>
  <c r="H313" i="15" s="1"/>
  <c r="U244" i="15"/>
  <c r="T244" i="15" s="1"/>
  <c r="S244" i="15" s="1"/>
  <c r="R244" i="15" s="1"/>
  <c r="P244" i="15" s="1"/>
  <c r="V244" i="15" s="1"/>
  <c r="F244" i="15" s="1"/>
  <c r="U20" i="15"/>
  <c r="T20" i="15" s="1"/>
  <c r="U252" i="15"/>
  <c r="T252" i="15" s="1"/>
  <c r="S252" i="15" s="1"/>
  <c r="R252" i="15" s="1"/>
  <c r="P252" i="15" s="1"/>
  <c r="V252" i="15" s="1"/>
  <c r="F252" i="15" s="1"/>
  <c r="U262" i="15"/>
  <c r="T262" i="15" s="1"/>
  <c r="S262" i="15" s="1"/>
  <c r="R262" i="15" s="1"/>
  <c r="P262" i="15" s="1"/>
  <c r="V262" i="15" s="1"/>
  <c r="F262" i="15" s="1"/>
  <c r="U246" i="15"/>
  <c r="T246" i="15" s="1"/>
  <c r="S246" i="15" s="1"/>
  <c r="R246" i="15" s="1"/>
  <c r="P246" i="15" s="1"/>
  <c r="V246" i="15" s="1"/>
  <c r="F246" i="15" s="1"/>
  <c r="U232" i="15"/>
  <c r="T232" i="15" s="1"/>
  <c r="S232" i="15" s="1"/>
  <c r="R232" i="15" s="1"/>
  <c r="P232" i="15" s="1"/>
  <c r="V232" i="15" s="1"/>
  <c r="F232" i="15" s="1"/>
  <c r="U86" i="15"/>
  <c r="T86" i="15" s="1"/>
  <c r="U110" i="15"/>
  <c r="T110" i="15" s="1"/>
  <c r="S110" i="15" s="1"/>
  <c r="R110" i="15" s="1"/>
  <c r="P110" i="15" s="1"/>
  <c r="V110" i="15" s="1"/>
  <c r="F110" i="15" s="1"/>
  <c r="U344" i="15"/>
  <c r="T344" i="15" s="1"/>
  <c r="U121" i="15"/>
  <c r="T121" i="15" s="1"/>
  <c r="U104" i="15"/>
  <c r="T104" i="15" s="1"/>
  <c r="U234" i="15"/>
  <c r="T234" i="15" s="1"/>
  <c r="S234" i="15" s="1"/>
  <c r="R234" i="15" s="1"/>
  <c r="P234" i="15" s="1"/>
  <c r="V234" i="15" s="1"/>
  <c r="F234" i="15" s="1"/>
  <c r="U102" i="15"/>
  <c r="T102" i="15" s="1"/>
  <c r="U319" i="15"/>
  <c r="T319" i="15" s="1"/>
  <c r="U41" i="15"/>
  <c r="T41" i="15" s="1"/>
  <c r="U293" i="15"/>
  <c r="T293" i="15" s="1"/>
  <c r="U18" i="15"/>
  <c r="T18" i="15" s="1"/>
  <c r="U333" i="15"/>
  <c r="T333" i="15" s="1"/>
  <c r="U316" i="15"/>
  <c r="T316" i="15" s="1"/>
  <c r="U248" i="15"/>
  <c r="T248" i="15" s="1"/>
  <c r="S248" i="15" s="1"/>
  <c r="R248" i="15" s="1"/>
  <c r="P248" i="15" s="1"/>
  <c r="V248" i="15" s="1"/>
  <c r="F248" i="15" s="1"/>
  <c r="U314" i="15"/>
  <c r="T314" i="15" s="1"/>
  <c r="U37" i="15"/>
  <c r="T37" i="15" s="1"/>
  <c r="U321" i="15"/>
  <c r="T321" i="15" s="1"/>
  <c r="U369" i="15"/>
  <c r="T369" i="15" s="1"/>
  <c r="S369" i="15" s="1"/>
  <c r="R369" i="15" s="1"/>
  <c r="P369" i="15" s="1"/>
  <c r="V369" i="15" s="1"/>
  <c r="F369" i="15" s="1"/>
  <c r="U188" i="15"/>
  <c r="T188" i="15" s="1"/>
  <c r="S188" i="15" s="1"/>
  <c r="R188" i="15" s="1"/>
  <c r="P188" i="15" s="1"/>
  <c r="V188" i="15" s="1"/>
  <c r="F188" i="15" s="1"/>
  <c r="U82" i="15"/>
  <c r="T82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19" i="15"/>
  <c r="T219" i="15" s="1"/>
  <c r="S219" i="15" s="1"/>
  <c r="R219" i="15" s="1"/>
  <c r="P219" i="15" s="1"/>
  <c r="V219" i="15" s="1"/>
  <c r="F219" i="15" s="1"/>
  <c r="H219" i="15" s="1"/>
  <c r="U353" i="15"/>
  <c r="T353" i="15" s="1"/>
  <c r="U320" i="15"/>
  <c r="T320" i="15" s="1"/>
  <c r="U143" i="15"/>
  <c r="T143" i="15" s="1"/>
  <c r="U196" i="15"/>
  <c r="T196" i="15" s="1"/>
  <c r="S196" i="15" s="1"/>
  <c r="R196" i="15" s="1"/>
  <c r="P196" i="15" s="1"/>
  <c r="V196" i="15" s="1"/>
  <c r="F196" i="15" s="1"/>
  <c r="H196" i="15" s="1"/>
  <c r="I196" i="15" s="1"/>
  <c r="U25" i="15"/>
  <c r="T25" i="15" s="1"/>
  <c r="U338" i="15"/>
  <c r="T338" i="15" s="1"/>
  <c r="U254" i="15"/>
  <c r="T254" i="15" s="1"/>
  <c r="S254" i="15" s="1"/>
  <c r="R254" i="15" s="1"/>
  <c r="P254" i="15" s="1"/>
  <c r="V254" i="15" s="1"/>
  <c r="F254" i="15" s="1"/>
  <c r="U218" i="15"/>
  <c r="T218" i="15" s="1"/>
  <c r="S218" i="15" s="1"/>
  <c r="R218" i="15" s="1"/>
  <c r="P218" i="15" s="1"/>
  <c r="V218" i="15" s="1"/>
  <c r="F218" i="15" s="1"/>
  <c r="U345" i="15"/>
  <c r="T345" i="15" s="1"/>
  <c r="U54" i="15"/>
  <c r="T54" i="15" s="1"/>
  <c r="U109" i="15"/>
  <c r="T109" i="15" s="1"/>
  <c r="S109" i="15" s="1"/>
  <c r="R109" i="15" s="1"/>
  <c r="P109" i="15" s="1"/>
  <c r="V109" i="15" s="1"/>
  <c r="F109" i="15" s="1"/>
  <c r="U263" i="15"/>
  <c r="T263" i="15" s="1"/>
  <c r="S263" i="15" s="1"/>
  <c r="R263" i="15" s="1"/>
  <c r="P263" i="15" s="1"/>
  <c r="V263" i="15" s="1"/>
  <c r="F263" i="15" s="1"/>
  <c r="U226" i="15"/>
  <c r="T226" i="15" s="1"/>
  <c r="S226" i="15" s="1"/>
  <c r="R226" i="15" s="1"/>
  <c r="P226" i="15" s="1"/>
  <c r="V226" i="15" s="1"/>
  <c r="F226" i="15" s="1"/>
  <c r="U36" i="15"/>
  <c r="T36" i="15" s="1"/>
  <c r="U78" i="15"/>
  <c r="T78" i="15" s="1"/>
  <c r="U228" i="15"/>
  <c r="T228" i="15" s="1"/>
  <c r="S228" i="15" s="1"/>
  <c r="R228" i="15" s="1"/>
  <c r="P228" i="15" s="1"/>
  <c r="V228" i="15" s="1"/>
  <c r="F228" i="15" s="1"/>
  <c r="G228" i="15" s="1"/>
  <c r="BX228" i="6" s="1"/>
  <c r="U204" i="15"/>
  <c r="T204" i="15" s="1"/>
  <c r="S204" i="15" s="1"/>
  <c r="R204" i="15" s="1"/>
  <c r="P204" i="15" s="1"/>
  <c r="V204" i="15" s="1"/>
  <c r="F204" i="15" s="1"/>
  <c r="U154" i="15"/>
  <c r="T154" i="15" s="1"/>
  <c r="U65" i="15"/>
  <c r="T65" i="15" s="1"/>
  <c r="S65" i="15" s="1"/>
  <c r="R65" i="15" s="1"/>
  <c r="P65" i="15" s="1"/>
  <c r="V65" i="15" s="1"/>
  <c r="F65" i="15" s="1"/>
  <c r="U370" i="15"/>
  <c r="T370" i="15" s="1"/>
  <c r="S370" i="15" s="1"/>
  <c r="R370" i="15" s="1"/>
  <c r="P370" i="15" s="1"/>
  <c r="V370" i="15" s="1"/>
  <c r="F370" i="15" s="1"/>
  <c r="H370" i="15" s="1"/>
  <c r="U299" i="15"/>
  <c r="T299" i="15" s="1"/>
  <c r="S299" i="15" s="1"/>
  <c r="R299" i="15" s="1"/>
  <c r="P299" i="15" s="1"/>
  <c r="V299" i="15" s="1"/>
  <c r="F299" i="15" s="1"/>
  <c r="U276" i="15"/>
  <c r="T276" i="15" s="1"/>
  <c r="S276" i="15" s="1"/>
  <c r="R276" i="15" s="1"/>
  <c r="P276" i="15" s="1"/>
  <c r="V276" i="15" s="1"/>
  <c r="F276" i="15" s="1"/>
  <c r="U312" i="15"/>
  <c r="T312" i="15" s="1"/>
  <c r="S312" i="15" s="1"/>
  <c r="R312" i="15" s="1"/>
  <c r="P312" i="15" s="1"/>
  <c r="V312" i="15" s="1"/>
  <c r="F312" i="15" s="1"/>
  <c r="U225" i="15"/>
  <c r="T225" i="15" s="1"/>
  <c r="S225" i="15" s="1"/>
  <c r="R225" i="15" s="1"/>
  <c r="P225" i="15" s="1"/>
  <c r="V225" i="15" s="1"/>
  <c r="F225" i="15" s="1"/>
  <c r="G225" i="15" s="1"/>
  <c r="BX225" i="6" s="1"/>
  <c r="U283" i="15"/>
  <c r="T283" i="15" s="1"/>
  <c r="S283" i="15" s="1"/>
  <c r="R283" i="15" s="1"/>
  <c r="P283" i="15" s="1"/>
  <c r="V283" i="15" s="1"/>
  <c r="F283" i="15" s="1"/>
  <c r="U177" i="15"/>
  <c r="T177" i="15" s="1"/>
  <c r="S177" i="15" s="1"/>
  <c r="R177" i="15" s="1"/>
  <c r="P177" i="15" s="1"/>
  <c r="V177" i="15" s="1"/>
  <c r="F177" i="15" s="1"/>
  <c r="U130" i="15"/>
  <c r="T130" i="15" s="1"/>
  <c r="S130" i="15" s="1"/>
  <c r="R130" i="15" s="1"/>
  <c r="P130" i="15" s="1"/>
  <c r="V130" i="15" s="1"/>
  <c r="F130" i="15" s="1"/>
  <c r="U122" i="15"/>
  <c r="T122" i="15" s="1"/>
  <c r="S122" i="15" s="1"/>
  <c r="R122" i="15" s="1"/>
  <c r="P122" i="15" s="1"/>
  <c r="V122" i="15" s="1"/>
  <c r="F122" i="15" s="1"/>
  <c r="G122" i="15" s="1"/>
  <c r="BX122" i="6" s="1"/>
  <c r="U340" i="15"/>
  <c r="T340" i="15" s="1"/>
  <c r="U77" i="15"/>
  <c r="T77" i="15" s="1"/>
  <c r="U258" i="15"/>
  <c r="T258" i="15" s="1"/>
  <c r="S258" i="15" s="1"/>
  <c r="R258" i="15" s="1"/>
  <c r="P258" i="15" s="1"/>
  <c r="V258" i="15" s="1"/>
  <c r="F258" i="15" s="1"/>
  <c r="U304" i="15"/>
  <c r="T304" i="15" s="1"/>
  <c r="S304" i="15" s="1"/>
  <c r="R304" i="15" s="1"/>
  <c r="P304" i="15" s="1"/>
  <c r="V304" i="15" s="1"/>
  <c r="F304" i="15" s="1"/>
  <c r="H304" i="15" s="1"/>
  <c r="U306" i="15"/>
  <c r="T306" i="15" s="1"/>
  <c r="U295" i="15"/>
  <c r="T295" i="15" s="1"/>
  <c r="S295" i="15" s="1"/>
  <c r="R295" i="15" s="1"/>
  <c r="P295" i="15" s="1"/>
  <c r="V295" i="15" s="1"/>
  <c r="F295" i="15" s="1"/>
  <c r="U221" i="15"/>
  <c r="T221" i="15" s="1"/>
  <c r="S221" i="15" s="1"/>
  <c r="R221" i="15" s="1"/>
  <c r="P221" i="15" s="1"/>
  <c r="V221" i="15" s="1"/>
  <c r="F221" i="15" s="1"/>
  <c r="H221" i="15" s="1"/>
  <c r="J221" i="15" s="1"/>
  <c r="U297" i="15"/>
  <c r="T297" i="15" s="1"/>
  <c r="S297" i="15" s="1"/>
  <c r="R297" i="15" s="1"/>
  <c r="P297" i="15" s="1"/>
  <c r="V297" i="15" s="1"/>
  <c r="F297" i="15" s="1"/>
  <c r="U274" i="15"/>
  <c r="T274" i="15" s="1"/>
  <c r="S274" i="15" s="1"/>
  <c r="R274" i="15" s="1"/>
  <c r="P274" i="15" s="1"/>
  <c r="V274" i="15" s="1"/>
  <c r="F274" i="15" s="1"/>
  <c r="H274" i="15" s="1"/>
  <c r="I274" i="15" s="1"/>
  <c r="U185" i="15"/>
  <c r="T185" i="15" s="1"/>
  <c r="S185" i="15" s="1"/>
  <c r="R185" i="15" s="1"/>
  <c r="P185" i="15" s="1"/>
  <c r="V185" i="15" s="1"/>
  <c r="F185" i="15" s="1"/>
  <c r="U201" i="15"/>
  <c r="T201" i="15" s="1"/>
  <c r="S201" i="15" s="1"/>
  <c r="R201" i="15" s="1"/>
  <c r="P201" i="15" s="1"/>
  <c r="V201" i="15" s="1"/>
  <c r="F201" i="15" s="1"/>
  <c r="U137" i="15"/>
  <c r="T137" i="15" s="1"/>
  <c r="U47" i="15"/>
  <c r="T47" i="15" s="1"/>
  <c r="U159" i="15"/>
  <c r="T159" i="15" s="1"/>
  <c r="U53" i="15"/>
  <c r="T53" i="15" s="1"/>
  <c r="U378" i="15"/>
  <c r="T378" i="15" s="1"/>
  <c r="S378" i="15" s="1"/>
  <c r="R378" i="15" s="1"/>
  <c r="P378" i="15" s="1"/>
  <c r="V378" i="15" s="1"/>
  <c r="F378" i="15" s="1"/>
  <c r="U311" i="15"/>
  <c r="T311" i="15" s="1"/>
  <c r="U257" i="15"/>
  <c r="T257" i="15" s="1"/>
  <c r="S257" i="15" s="1"/>
  <c r="R257" i="15" s="1"/>
  <c r="P257" i="15" s="1"/>
  <c r="V257" i="15" s="1"/>
  <c r="F257" i="15" s="1"/>
  <c r="G257" i="15" s="1"/>
  <c r="BX257" i="6" s="1"/>
  <c r="U144" i="15"/>
  <c r="T144" i="15" s="1"/>
  <c r="U357" i="15"/>
  <c r="T357" i="15" s="1"/>
  <c r="U58" i="15"/>
  <c r="T58" i="15" s="1"/>
  <c r="U153" i="15"/>
  <c r="T153" i="15" s="1"/>
  <c r="S153" i="15" s="1"/>
  <c r="R153" i="15" s="1"/>
  <c r="P153" i="15" s="1"/>
  <c r="V153" i="15" s="1"/>
  <c r="F153" i="15" s="1"/>
  <c r="G153" i="15" s="1"/>
  <c r="BX153" i="6" s="1"/>
  <c r="U288" i="15"/>
  <c r="T288" i="15" s="1"/>
  <c r="S288" i="15" s="1"/>
  <c r="R288" i="15" s="1"/>
  <c r="P288" i="15" s="1"/>
  <c r="V288" i="15" s="1"/>
  <c r="F288" i="15" s="1"/>
  <c r="U261" i="15"/>
  <c r="T261" i="15" s="1"/>
  <c r="S261" i="15" s="1"/>
  <c r="R261" i="15" s="1"/>
  <c r="P261" i="15" s="1"/>
  <c r="V261" i="15" s="1"/>
  <c r="F261" i="15" s="1"/>
  <c r="U167" i="15"/>
  <c r="T167" i="15" s="1"/>
  <c r="S167" i="15" s="1"/>
  <c r="R167" i="15" s="1"/>
  <c r="P167" i="15" s="1"/>
  <c r="V167" i="15" s="1"/>
  <c r="U241" i="15"/>
  <c r="T241" i="15" s="1"/>
  <c r="S241" i="15" s="1"/>
  <c r="R241" i="15" s="1"/>
  <c r="P241" i="15" s="1"/>
  <c r="U108" i="15"/>
  <c r="T108" i="15" s="1"/>
  <c r="S108" i="15" s="1"/>
  <c r="R108" i="15" s="1"/>
  <c r="P108" i="15" s="1"/>
  <c r="V108" i="15" s="1"/>
  <c r="F108" i="15" s="1"/>
  <c r="U286" i="15"/>
  <c r="T286" i="15" s="1"/>
  <c r="S286" i="15" s="1"/>
  <c r="R286" i="15" s="1"/>
  <c r="P286" i="15" s="1"/>
  <c r="V286" i="15" s="1"/>
  <c r="F286" i="15" s="1"/>
  <c r="U368" i="15"/>
  <c r="T368" i="15" s="1"/>
  <c r="S368" i="15" s="1"/>
  <c r="R368" i="15" s="1"/>
  <c r="P368" i="15" s="1"/>
  <c r="V368" i="15" s="1"/>
  <c r="F368" i="15" s="1"/>
  <c r="U307" i="15"/>
  <c r="T307" i="15" s="1"/>
  <c r="S307" i="15" s="1"/>
  <c r="R307" i="15" s="1"/>
  <c r="P307" i="15" s="1"/>
  <c r="V307" i="15" s="1"/>
  <c r="F307" i="15" s="1"/>
  <c r="U120" i="15"/>
  <c r="T120" i="15" s="1"/>
  <c r="S120" i="15" s="1"/>
  <c r="R120" i="15" s="1"/>
  <c r="P120" i="15" s="1"/>
  <c r="V120" i="15" s="1"/>
  <c r="F120" i="15" s="1"/>
  <c r="U181" i="15"/>
  <c r="T181" i="15" s="1"/>
  <c r="S181" i="15" s="1"/>
  <c r="R181" i="15" s="1"/>
  <c r="P181" i="15" s="1"/>
  <c r="V181" i="15" s="1"/>
  <c r="F181" i="15" s="1"/>
  <c r="U189" i="15"/>
  <c r="T189" i="15" s="1"/>
  <c r="U334" i="15"/>
  <c r="T334" i="15" s="1"/>
  <c r="U310" i="15"/>
  <c r="T310" i="15" s="1"/>
  <c r="S310" i="15" s="1"/>
  <c r="R310" i="15" s="1"/>
  <c r="P310" i="15" s="1"/>
  <c r="V310" i="15" s="1"/>
  <c r="F310" i="15" s="1"/>
  <c r="U362" i="15"/>
  <c r="T362" i="15" s="1"/>
  <c r="S362" i="15" s="1"/>
  <c r="R362" i="15" s="1"/>
  <c r="P362" i="15" s="1"/>
  <c r="V362" i="15" s="1"/>
  <c r="F362" i="15" s="1"/>
  <c r="U367" i="15"/>
  <c r="T367" i="15" s="1"/>
  <c r="U194" i="15"/>
  <c r="T194" i="15" s="1"/>
  <c r="S194" i="15" s="1"/>
  <c r="R194" i="15" s="1"/>
  <c r="P194" i="15" s="1"/>
  <c r="V194" i="15" s="1"/>
  <c r="F194" i="15" s="1"/>
  <c r="U198" i="15"/>
  <c r="T198" i="15" s="1"/>
  <c r="S198" i="15" s="1"/>
  <c r="R198" i="15" s="1"/>
  <c r="P198" i="15" s="1"/>
  <c r="U224" i="15"/>
  <c r="T224" i="15" s="1"/>
  <c r="S224" i="15" s="1"/>
  <c r="R224" i="15" s="1"/>
  <c r="P224" i="15" s="1"/>
  <c r="V224" i="15" s="1"/>
  <c r="F224" i="15" s="1"/>
  <c r="U242" i="15"/>
  <c r="T242" i="15" s="1"/>
  <c r="S242" i="15" s="1"/>
  <c r="R242" i="15" s="1"/>
  <c r="P242" i="15" s="1"/>
  <c r="V242" i="15" s="1"/>
  <c r="F242" i="15" s="1"/>
  <c r="U72" i="15"/>
  <c r="T72" i="15" s="1"/>
  <c r="S72" i="15" s="1"/>
  <c r="R72" i="15" s="1"/>
  <c r="P72" i="15" s="1"/>
  <c r="V72" i="15" s="1"/>
  <c r="F72" i="15" s="1"/>
  <c r="U327" i="15"/>
  <c r="T327" i="15" s="1"/>
  <c r="U38" i="15"/>
  <c r="T38" i="15" s="1"/>
  <c r="U360" i="15"/>
  <c r="T360" i="15" s="1"/>
  <c r="U151" i="15"/>
  <c r="T151" i="15" s="1"/>
  <c r="U209" i="15"/>
  <c r="T209" i="15" s="1"/>
  <c r="S209" i="15" s="1"/>
  <c r="R209" i="15" s="1"/>
  <c r="P209" i="15" s="1"/>
  <c r="V209" i="15" s="1"/>
  <c r="F209" i="15" s="1"/>
  <c r="U138" i="15"/>
  <c r="T138" i="15" s="1"/>
  <c r="U371" i="15"/>
  <c r="T371" i="15" s="1"/>
  <c r="U147" i="15"/>
  <c r="T147" i="15" s="1"/>
  <c r="U351" i="15"/>
  <c r="T351" i="15" s="1"/>
  <c r="U175" i="15"/>
  <c r="T175" i="15" s="1"/>
  <c r="S175" i="15" s="1"/>
  <c r="R175" i="15" s="1"/>
  <c r="P175" i="15" s="1"/>
  <c r="V175" i="15" s="1"/>
  <c r="F175" i="15" s="1"/>
  <c r="U49" i="15"/>
  <c r="T49" i="15" s="1"/>
  <c r="U183" i="15"/>
  <c r="T183" i="15" s="1"/>
  <c r="S183" i="15" s="1"/>
  <c r="R183" i="15" s="1"/>
  <c r="P183" i="15" s="1"/>
  <c r="V183" i="15" s="1"/>
  <c r="F183" i="15" s="1"/>
  <c r="U330" i="15"/>
  <c r="T330" i="15" s="1"/>
  <c r="U259" i="15"/>
  <c r="T259" i="15" s="1"/>
  <c r="S259" i="15" s="1"/>
  <c r="R259" i="15" s="1"/>
  <c r="P259" i="15" s="1"/>
  <c r="V259" i="15" s="1"/>
  <c r="F259" i="15" s="1"/>
  <c r="G259" i="15" s="1"/>
  <c r="BX259" i="6" s="1"/>
  <c r="U46" i="15"/>
  <c r="T46" i="15" s="1"/>
  <c r="U348" i="15"/>
  <c r="T348" i="15" s="1"/>
  <c r="U135" i="15"/>
  <c r="T135" i="15" s="1"/>
  <c r="U282" i="15"/>
  <c r="T282" i="15" s="1"/>
  <c r="S282" i="15" s="1"/>
  <c r="R282" i="15" s="1"/>
  <c r="P282" i="15" s="1"/>
  <c r="V282" i="15" s="1"/>
  <c r="F282" i="15" s="1"/>
  <c r="U19" i="15"/>
  <c r="T19" i="15" s="1"/>
  <c r="U139" i="15"/>
  <c r="T139" i="15" s="1"/>
  <c r="U240" i="15"/>
  <c r="T240" i="15" s="1"/>
  <c r="S240" i="15" s="1"/>
  <c r="R240" i="15" s="1"/>
  <c r="P240" i="15" s="1"/>
  <c r="V240" i="15" s="1"/>
  <c r="F240" i="15" s="1"/>
  <c r="U197" i="15"/>
  <c r="T197" i="15" s="1"/>
  <c r="S197" i="15" s="1"/>
  <c r="R197" i="15" s="1"/>
  <c r="P197" i="15" s="1"/>
  <c r="V197" i="15" s="1"/>
  <c r="F197" i="15" s="1"/>
  <c r="U279" i="15"/>
  <c r="T279" i="15" s="1"/>
  <c r="S279" i="15" s="1"/>
  <c r="R279" i="15" s="1"/>
  <c r="P279" i="15" s="1"/>
  <c r="V279" i="15" s="1"/>
  <c r="F279" i="15" s="1"/>
  <c r="U215" i="15"/>
  <c r="T215" i="15" s="1"/>
  <c r="S215" i="15" s="1"/>
  <c r="R215" i="15" s="1"/>
  <c r="P215" i="15" s="1"/>
  <c r="V215" i="15" s="1"/>
  <c r="F215" i="15" s="1"/>
  <c r="H215" i="15" s="1"/>
  <c r="U207" i="15"/>
  <c r="T207" i="15" s="1"/>
  <c r="S207" i="15" s="1"/>
  <c r="R207" i="15" s="1"/>
  <c r="P207" i="15" s="1"/>
  <c r="V207" i="15" s="1"/>
  <c r="F207" i="15" s="1"/>
  <c r="U284" i="15"/>
  <c r="T284" i="15" s="1"/>
  <c r="S284" i="15" s="1"/>
  <c r="R284" i="15" s="1"/>
  <c r="P284" i="15" s="1"/>
  <c r="V284" i="15" s="1"/>
  <c r="F284" i="15" s="1"/>
  <c r="U91" i="15"/>
  <c r="T91" i="15" s="1"/>
  <c r="U76" i="15"/>
  <c r="T76" i="15" s="1"/>
  <c r="S76" i="15" s="1"/>
  <c r="R76" i="15" s="1"/>
  <c r="P76" i="15" s="1"/>
  <c r="V76" i="15" s="1"/>
  <c r="F76" i="15" s="1"/>
  <c r="U71" i="15"/>
  <c r="T71" i="15" s="1"/>
  <c r="S71" i="15" s="1"/>
  <c r="R71" i="15" s="1"/>
  <c r="P71" i="15" s="1"/>
  <c r="V71" i="15" s="1"/>
  <c r="F71" i="15" s="1"/>
  <c r="U260" i="15"/>
  <c r="T260" i="15" s="1"/>
  <c r="S260" i="15" s="1"/>
  <c r="R260" i="15" s="1"/>
  <c r="P260" i="15" s="1"/>
  <c r="V260" i="15" s="1"/>
  <c r="F260" i="15" s="1"/>
  <c r="U184" i="15"/>
  <c r="T184" i="15" s="1"/>
  <c r="S184" i="15" s="1"/>
  <c r="R184" i="15" s="1"/>
  <c r="P184" i="15" s="1"/>
  <c r="V184" i="15" s="1"/>
  <c r="F184" i="15" s="1"/>
  <c r="U34" i="15"/>
  <c r="T34" i="15" s="1"/>
  <c r="U372" i="15"/>
  <c r="T372" i="15" s="1"/>
  <c r="S372" i="15" s="1"/>
  <c r="R372" i="15" s="1"/>
  <c r="P372" i="15" s="1"/>
  <c r="V372" i="15" s="1"/>
  <c r="F372" i="15" s="1"/>
  <c r="U199" i="15"/>
  <c r="T199" i="15" s="1"/>
  <c r="S199" i="15" s="1"/>
  <c r="R199" i="15" s="1"/>
  <c r="P199" i="15" s="1"/>
  <c r="V199" i="15" s="1"/>
  <c r="F199" i="15" s="1"/>
  <c r="U99" i="15"/>
  <c r="T99" i="15" s="1"/>
  <c r="U192" i="15"/>
  <c r="T192" i="15" s="1"/>
  <c r="S192" i="15" s="1"/>
  <c r="R192" i="15" s="1"/>
  <c r="P192" i="15" s="1"/>
  <c r="V192" i="15" s="1"/>
  <c r="F192" i="15" s="1"/>
  <c r="U361" i="15"/>
  <c r="T361" i="15" s="1"/>
  <c r="S361" i="15" s="1"/>
  <c r="R361" i="15" s="1"/>
  <c r="P361" i="15" s="1"/>
  <c r="V361" i="15" s="1"/>
  <c r="F361" i="15" s="1"/>
  <c r="U182" i="15"/>
  <c r="T182" i="15" s="1"/>
  <c r="S182" i="15" s="1"/>
  <c r="R182" i="15" s="1"/>
  <c r="P182" i="15" s="1"/>
  <c r="V182" i="15" s="1"/>
  <c r="F182" i="15" s="1"/>
  <c r="U59" i="15"/>
  <c r="T59" i="15" s="1"/>
  <c r="U227" i="15"/>
  <c r="T227" i="15" s="1"/>
  <c r="S227" i="15" s="1"/>
  <c r="R227" i="15" s="1"/>
  <c r="P227" i="15" s="1"/>
  <c r="U211" i="15"/>
  <c r="T211" i="15" s="1"/>
  <c r="S211" i="15" s="1"/>
  <c r="R211" i="15" s="1"/>
  <c r="P211" i="15" s="1"/>
  <c r="V211" i="15" s="1"/>
  <c r="F211" i="15" s="1"/>
  <c r="U15" i="15"/>
  <c r="U31" i="15"/>
  <c r="T31" i="15" s="1"/>
  <c r="U140" i="15"/>
  <c r="T140" i="15" s="1"/>
  <c r="U113" i="15"/>
  <c r="T113" i="15" s="1"/>
  <c r="S113" i="15" s="1"/>
  <c r="R113" i="15" s="1"/>
  <c r="P113" i="15" s="1"/>
  <c r="V113" i="15" s="1"/>
  <c r="F113" i="15" s="1"/>
  <c r="U270" i="15"/>
  <c r="T270" i="15" s="1"/>
  <c r="S270" i="15" s="1"/>
  <c r="R270" i="15" s="1"/>
  <c r="P270" i="15" s="1"/>
  <c r="V270" i="15" s="1"/>
  <c r="F270" i="15" s="1"/>
  <c r="H270" i="15" s="1"/>
  <c r="J270" i="15" s="1"/>
  <c r="U249" i="15"/>
  <c r="T249" i="15" s="1"/>
  <c r="S249" i="15" s="1"/>
  <c r="R249" i="15" s="1"/>
  <c r="P249" i="15" s="1"/>
  <c r="V249" i="15" s="1"/>
  <c r="F249" i="15" s="1"/>
  <c r="AE381" i="16"/>
  <c r="AE383" i="16"/>
  <c r="AE382" i="16"/>
  <c r="Q383" i="16"/>
  <c r="Q382" i="16"/>
  <c r="Q381" i="16"/>
  <c r="P15" i="7"/>
  <c r="Q12" i="17"/>
  <c r="G348" i="1"/>
  <c r="BW348" i="6" s="1"/>
  <c r="AC382" i="16"/>
  <c r="AC381" i="16"/>
  <c r="AC383" i="16"/>
  <c r="AC378" i="17"/>
  <c r="AC298" i="17"/>
  <c r="AC241" i="17"/>
  <c r="AC161" i="17"/>
  <c r="AC377" i="17"/>
  <c r="AC240" i="17"/>
  <c r="AC175" i="17"/>
  <c r="AC129" i="17"/>
  <c r="AC253" i="17"/>
  <c r="AC152" i="17"/>
  <c r="AC182" i="17"/>
  <c r="AC276" i="17"/>
  <c r="AC291" i="17"/>
  <c r="AC341" i="17"/>
  <c r="AC367" i="17"/>
  <c r="AC230" i="17"/>
  <c r="AC342" i="17"/>
  <c r="AC174" i="17"/>
  <c r="AC176" i="17"/>
  <c r="AC305" i="17"/>
  <c r="AC226" i="17"/>
  <c r="AC368" i="17"/>
  <c r="AC202" i="17"/>
  <c r="AC248" i="17"/>
  <c r="AC243" i="17"/>
  <c r="AC354" i="17"/>
  <c r="AC178" i="17"/>
  <c r="AC162" i="17"/>
  <c r="AC310" i="17"/>
  <c r="AC212" i="17"/>
  <c r="AC254" i="17"/>
  <c r="AC125" i="17"/>
  <c r="AC360" i="17"/>
  <c r="AC326" i="17"/>
  <c r="AC255" i="17"/>
  <c r="AC185" i="17"/>
  <c r="AC335" i="17"/>
  <c r="AC258" i="17"/>
  <c r="AC186" i="17"/>
  <c r="AC131" i="17"/>
  <c r="AC220" i="17"/>
  <c r="AC142" i="17"/>
  <c r="AC169" i="17"/>
  <c r="AC264" i="17"/>
  <c r="AC282" i="17"/>
  <c r="AC333" i="17"/>
  <c r="AC280" i="17"/>
  <c r="AC204" i="17"/>
  <c r="AC315" i="17"/>
  <c r="AC164" i="17"/>
  <c r="AC245" i="17"/>
  <c r="AC270" i="17"/>
  <c r="AC201" i="17"/>
  <c r="AC346" i="17"/>
  <c r="AC181" i="17"/>
  <c r="AC238" i="17"/>
  <c r="AC233" i="17"/>
  <c r="AC343" i="17"/>
  <c r="AC195" i="17"/>
  <c r="AC198" i="17"/>
  <c r="AC242" i="17"/>
  <c r="AC271" i="17"/>
  <c r="AC312" i="17"/>
  <c r="AC183" i="17"/>
  <c r="AC330" i="17"/>
  <c r="AC179" i="17"/>
  <c r="AC288" i="17"/>
  <c r="AC155" i="17"/>
  <c r="AC334" i="17"/>
  <c r="AC228" i="17"/>
  <c r="AC331" i="17"/>
  <c r="AC177" i="17"/>
  <c r="AC297" i="17"/>
  <c r="AC157" i="17"/>
  <c r="AC284" i="17"/>
  <c r="AC197" i="17"/>
  <c r="AC311" i="17"/>
  <c r="AC325" i="17"/>
  <c r="AC320" i="17"/>
  <c r="AC158" i="17"/>
  <c r="AC344" i="17"/>
  <c r="AC199" i="17"/>
  <c r="AC313" i="17"/>
  <c r="AC172" i="17"/>
  <c r="AC353" i="17"/>
  <c r="AC214" i="17"/>
  <c r="AC319" i="17"/>
  <c r="AC144" i="17"/>
  <c r="AC193" i="17"/>
  <c r="AC167" i="17"/>
  <c r="AC265" i="17"/>
  <c r="AC188" i="17"/>
  <c r="AC303" i="17"/>
  <c r="AC337" i="17"/>
  <c r="AC351" i="17"/>
  <c r="AC235" i="17"/>
  <c r="AC272" i="17"/>
  <c r="AC151" i="17"/>
  <c r="AC286" i="17"/>
  <c r="AC166" i="17"/>
  <c r="AC140" i="17"/>
  <c r="AC300" i="17"/>
  <c r="AC133" i="17"/>
  <c r="AC278" i="17"/>
  <c r="AC275" i="17"/>
  <c r="AC318" i="17"/>
  <c r="AC146" i="17"/>
  <c r="AC273" i="17"/>
  <c r="AC339" i="17"/>
  <c r="AC170" i="17"/>
  <c r="AC350" i="17"/>
  <c r="AC191" i="17"/>
  <c r="AC281" i="17"/>
  <c r="AC138" i="17"/>
  <c r="AC221" i="17"/>
  <c r="AC145" i="17"/>
  <c r="AC134" i="17"/>
  <c r="AC293" i="17"/>
  <c r="AC362" i="17"/>
  <c r="AC257" i="17"/>
  <c r="AC227" i="17"/>
  <c r="AC327" i="17"/>
  <c r="AC127" i="17"/>
  <c r="AC262" i="17"/>
  <c r="AC373" i="17"/>
  <c r="AC196" i="17"/>
  <c r="AC139" i="17"/>
  <c r="AC239" i="17"/>
  <c r="AC348" i="17"/>
  <c r="AC194" i="17"/>
  <c r="AC266" i="17"/>
  <c r="AC147" i="17"/>
  <c r="AC379" i="17"/>
  <c r="AC256" i="17"/>
  <c r="AC364" i="17"/>
  <c r="AC184" i="17"/>
  <c r="AC148" i="17"/>
  <c r="AC208" i="17"/>
  <c r="AC376" i="17"/>
  <c r="AC223" i="17"/>
  <c r="AC323" i="17"/>
  <c r="AC143" i="17"/>
  <c r="AC336" i="17"/>
  <c r="AC294" i="17"/>
  <c r="AC374" i="17"/>
  <c r="AC159" i="17"/>
  <c r="AC279" i="17"/>
  <c r="AC128" i="17"/>
  <c r="AC356" i="17"/>
  <c r="AC246" i="17"/>
  <c r="AC349" i="17"/>
  <c r="AC211" i="17"/>
  <c r="AC338" i="17"/>
  <c r="AC263" i="17"/>
  <c r="AC328" i="17"/>
  <c r="AC205" i="17"/>
  <c r="AC316" i="17"/>
  <c r="AC136" i="17"/>
  <c r="AC365" i="17"/>
  <c r="AC371" i="17"/>
  <c r="AC250" i="17"/>
  <c r="AC369" i="17"/>
  <c r="AC234" i="17"/>
  <c r="AC180" i="17"/>
  <c r="AC171" i="17"/>
  <c r="AC216" i="17"/>
  <c r="AC156" i="17"/>
  <c r="AC224" i="17"/>
  <c r="AC290" i="17"/>
  <c r="AC149" i="17"/>
  <c r="AC137" i="17"/>
  <c r="AC296" i="17"/>
  <c r="AC370" i="17"/>
  <c r="AC219" i="17"/>
  <c r="AC207" i="17"/>
  <c r="AC287" i="17"/>
  <c r="AC261" i="17"/>
  <c r="AC141" i="17"/>
  <c r="AC249" i="17"/>
  <c r="AC210" i="17"/>
  <c r="AC160" i="17"/>
  <c r="AC308" i="17"/>
  <c r="AC132" i="17"/>
  <c r="AC301" i="17"/>
  <c r="AC321" i="17"/>
  <c r="AC130" i="17"/>
  <c r="AC124" i="17"/>
  <c r="AC285" i="17"/>
  <c r="AC358" i="17"/>
  <c r="AC247" i="17"/>
  <c r="AC200" i="17"/>
  <c r="AC236" i="17"/>
  <c r="AC355" i="17"/>
  <c r="AC332" i="17"/>
  <c r="AC307" i="17"/>
  <c r="AC314" i="17"/>
  <c r="AC352" i="17"/>
  <c r="AC232" i="17"/>
  <c r="AC289" i="17"/>
  <c r="AC283" i="17"/>
  <c r="AC366" i="17"/>
  <c r="AC363" i="17"/>
  <c r="AC274" i="17"/>
  <c r="AC306" i="17"/>
  <c r="AC372" i="17"/>
  <c r="AC277" i="17"/>
  <c r="AC268" i="17"/>
  <c r="AC309" i="17"/>
  <c r="AC322" i="17"/>
  <c r="AC206" i="17"/>
  <c r="AC209" i="17"/>
  <c r="AC229" i="17"/>
  <c r="AC340" i="17"/>
  <c r="AC163" i="17"/>
  <c r="AC126" i="17"/>
  <c r="AC251" i="17"/>
  <c r="AC231" i="17"/>
  <c r="AC218" i="17"/>
  <c r="AC190" i="17"/>
  <c r="AC222" i="17"/>
  <c r="AC324" i="17"/>
  <c r="AC154" i="17"/>
  <c r="AC150" i="17"/>
  <c r="AC299" i="17"/>
  <c r="AC215" i="17"/>
  <c r="AC189" i="17"/>
  <c r="AC203" i="17"/>
  <c r="AC153" i="17"/>
  <c r="AC329" i="17"/>
  <c r="AC173" i="17"/>
  <c r="AC252" i="17"/>
  <c r="AC359" i="17"/>
  <c r="AC225" i="17"/>
  <c r="AC213" i="17"/>
  <c r="AC192" i="17"/>
  <c r="AC361" i="17"/>
  <c r="AC135" i="17"/>
  <c r="AC165" i="17"/>
  <c r="AC260" i="17"/>
  <c r="AC375" i="17"/>
  <c r="AC347" i="17"/>
  <c r="AC244" i="17"/>
  <c r="AC259" i="17"/>
  <c r="AC292" i="17"/>
  <c r="AC168" i="17"/>
  <c r="AC317" i="17"/>
  <c r="AC269" i="17"/>
  <c r="AC304" i="17"/>
  <c r="AC357" i="17"/>
  <c r="AC217" i="17"/>
  <c r="AC237" i="17"/>
  <c r="AC267" i="17"/>
  <c r="AC187" i="17"/>
  <c r="AC302" i="17"/>
  <c r="AC295" i="17"/>
  <c r="AC345" i="17"/>
  <c r="AC10" i="18"/>
  <c r="AC137" i="18" s="1"/>
  <c r="E333" i="16"/>
  <c r="C54" i="7"/>
  <c r="C48" i="7"/>
  <c r="E149" i="16"/>
  <c r="C57" i="7"/>
  <c r="E60" i="17"/>
  <c r="C51" i="7"/>
  <c r="E241" i="16"/>
  <c r="C49" i="7"/>
  <c r="E180" i="16"/>
  <c r="E119" i="16"/>
  <c r="C47" i="7"/>
  <c r="C58" i="7"/>
  <c r="E88" i="17"/>
  <c r="C53" i="7"/>
  <c r="E302" i="16"/>
  <c r="E272" i="16"/>
  <c r="C52" i="7"/>
  <c r="E15" i="16"/>
  <c r="O383" i="16"/>
  <c r="O381" i="16"/>
  <c r="O382" i="16"/>
  <c r="E29" i="17"/>
  <c r="C56" i="7"/>
  <c r="C46" i="7"/>
  <c r="E88" i="16"/>
  <c r="E29" i="16"/>
  <c r="C44" i="7"/>
  <c r="C55" i="7"/>
  <c r="E363" i="16"/>
  <c r="O383" i="17"/>
  <c r="O382" i="17"/>
  <c r="E15" i="17"/>
  <c r="O381" i="17"/>
  <c r="E119" i="17"/>
  <c r="C59" i="7"/>
  <c r="E210" i="16"/>
  <c r="C50" i="7"/>
  <c r="C45" i="7"/>
  <c r="E60" i="16"/>
  <c r="AT13" i="7"/>
  <c r="O11" i="24"/>
  <c r="I348" i="1"/>
  <c r="AA345" i="1"/>
  <c r="Z345" i="1" s="1"/>
  <c r="Y345" i="1" s="1"/>
  <c r="AA25" i="1"/>
  <c r="Z25" i="1" s="1"/>
  <c r="Y25" i="1" s="1"/>
  <c r="V29" i="1"/>
  <c r="AA29" i="1" s="1"/>
  <c r="Z29" i="1" s="1"/>
  <c r="Y29" i="1" s="1"/>
  <c r="AA102" i="1"/>
  <c r="Z102" i="1" s="1"/>
  <c r="Y102" i="1" s="1"/>
  <c r="AA90" i="1"/>
  <c r="Z90" i="1" s="1"/>
  <c r="Y90" i="1" s="1"/>
  <c r="AA87" i="1"/>
  <c r="Z87" i="1" s="1"/>
  <c r="Y87" i="1" s="1"/>
  <c r="AA79" i="1"/>
  <c r="Z79" i="1" s="1"/>
  <c r="Y79" i="1" s="1"/>
  <c r="AA154" i="1"/>
  <c r="Z154" i="1" s="1"/>
  <c r="Y154" i="1" s="1"/>
  <c r="AA91" i="1"/>
  <c r="Z91" i="1" s="1"/>
  <c r="Y91" i="1" s="1"/>
  <c r="AA136" i="1"/>
  <c r="Z136" i="1" s="1"/>
  <c r="Y136" i="1" s="1"/>
  <c r="AA94" i="1"/>
  <c r="Z94" i="1" s="1"/>
  <c r="Y94" i="1" s="1"/>
  <c r="AA105" i="1"/>
  <c r="Z105" i="1" s="1"/>
  <c r="Y105" i="1" s="1"/>
  <c r="AA96" i="1"/>
  <c r="Z96" i="1" s="1"/>
  <c r="Y96" i="1" s="1"/>
  <c r="V88" i="1"/>
  <c r="AA88" i="1" s="1"/>
  <c r="Z88" i="1" s="1"/>
  <c r="Y88" i="1" s="1"/>
  <c r="AA92" i="1"/>
  <c r="Z92" i="1" s="1"/>
  <c r="Y92" i="1" s="1"/>
  <c r="AA161" i="1"/>
  <c r="Z161" i="1" s="1"/>
  <c r="Y161" i="1" s="1"/>
  <c r="AA93" i="1"/>
  <c r="Z93" i="1" s="1"/>
  <c r="Y93" i="1" s="1"/>
  <c r="AA104" i="1"/>
  <c r="Z104" i="1" s="1"/>
  <c r="Y104" i="1" s="1"/>
  <c r="AA141" i="1"/>
  <c r="Z141" i="1" s="1"/>
  <c r="Y141" i="1" s="1"/>
  <c r="AA97" i="1"/>
  <c r="Z97" i="1" s="1"/>
  <c r="Y97" i="1" s="1"/>
  <c r="AA80" i="1"/>
  <c r="Z80" i="1" s="1"/>
  <c r="Y80" i="1" s="1"/>
  <c r="AA103" i="1"/>
  <c r="Z103" i="1" s="1"/>
  <c r="Y103" i="1" s="1"/>
  <c r="AA138" i="1"/>
  <c r="Z138" i="1" s="1"/>
  <c r="Y138" i="1" s="1"/>
  <c r="AY13" i="6"/>
  <c r="AA137" i="1"/>
  <c r="Z137" i="1" s="1"/>
  <c r="Y137" i="1" s="1"/>
  <c r="AA83" i="1"/>
  <c r="Z83" i="1" s="1"/>
  <c r="Y83" i="1" s="1"/>
  <c r="AA19" i="1"/>
  <c r="Z19" i="1" s="1"/>
  <c r="Y19" i="1" s="1"/>
  <c r="AA35" i="1"/>
  <c r="Z35" i="1" s="1"/>
  <c r="Y35" i="1" s="1"/>
  <c r="AA34" i="1"/>
  <c r="Z34" i="1" s="1"/>
  <c r="Y34" i="1" s="1"/>
  <c r="AA82" i="1"/>
  <c r="Z82" i="1" s="1"/>
  <c r="Y82" i="1" s="1"/>
  <c r="AA78" i="1"/>
  <c r="Z78" i="1" s="1"/>
  <c r="Y78" i="1" s="1"/>
  <c r="AA144" i="1"/>
  <c r="Z144" i="1" s="1"/>
  <c r="Y144" i="1" s="1"/>
  <c r="AA150" i="1"/>
  <c r="Z150" i="1" s="1"/>
  <c r="Y150" i="1" s="1"/>
  <c r="AA158" i="1"/>
  <c r="Z158" i="1" s="1"/>
  <c r="Y158" i="1" s="1"/>
  <c r="AA95" i="1"/>
  <c r="Z95" i="1" s="1"/>
  <c r="Y95" i="1" s="1"/>
  <c r="AA156" i="1"/>
  <c r="Z156" i="1" s="1"/>
  <c r="Y156" i="1" s="1"/>
  <c r="AA21" i="1"/>
  <c r="Z21" i="1" s="1"/>
  <c r="Y21" i="1" s="1"/>
  <c r="AA18" i="1"/>
  <c r="Z18" i="1" s="1"/>
  <c r="Y18" i="1" s="1"/>
  <c r="AA28" i="1"/>
  <c r="Z28" i="1" s="1"/>
  <c r="Y28" i="1" s="1"/>
  <c r="AA148" i="1"/>
  <c r="Z148" i="1" s="1"/>
  <c r="Y148" i="1" s="1"/>
  <c r="AA159" i="1"/>
  <c r="Z159" i="1" s="1"/>
  <c r="Y159" i="1" s="1"/>
  <c r="AA81" i="1"/>
  <c r="Z81" i="1" s="1"/>
  <c r="Y81" i="1" s="1"/>
  <c r="AA100" i="1"/>
  <c r="Z100" i="1" s="1"/>
  <c r="Y100" i="1" s="1"/>
  <c r="AA152" i="1"/>
  <c r="Z152" i="1" s="1"/>
  <c r="Y152" i="1" s="1"/>
  <c r="AA155" i="1"/>
  <c r="Z155" i="1" s="1"/>
  <c r="Y155" i="1" s="1"/>
  <c r="AA160" i="1"/>
  <c r="Z160" i="1" s="1"/>
  <c r="Y160" i="1" s="1"/>
  <c r="AA86" i="1"/>
  <c r="Z86" i="1" s="1"/>
  <c r="Y86" i="1" s="1"/>
  <c r="AA134" i="1"/>
  <c r="Z134" i="1" s="1"/>
  <c r="Y134" i="1" s="1"/>
  <c r="AA143" i="1"/>
  <c r="Z143" i="1" s="1"/>
  <c r="Y143" i="1" s="1"/>
  <c r="AA146" i="1"/>
  <c r="Z146" i="1" s="1"/>
  <c r="Y146" i="1" s="1"/>
  <c r="AA85" i="1"/>
  <c r="Z85" i="1" s="1"/>
  <c r="Y85" i="1" s="1"/>
  <c r="AA135" i="1"/>
  <c r="Z135" i="1" s="1"/>
  <c r="Y135" i="1" s="1"/>
  <c r="AA17" i="1"/>
  <c r="Z17" i="1" s="1"/>
  <c r="Y17" i="1" s="1"/>
  <c r="AA15" i="1"/>
  <c r="Z15" i="1" s="1"/>
  <c r="Y15" i="1" s="1"/>
  <c r="AA22" i="1"/>
  <c r="Z22" i="1" s="1"/>
  <c r="Y22" i="1" s="1"/>
  <c r="AA31" i="1"/>
  <c r="Z31" i="1" s="1"/>
  <c r="Y31" i="1" s="1"/>
  <c r="AA32" i="1"/>
  <c r="Z32" i="1" s="1"/>
  <c r="Y32" i="1" s="1"/>
  <c r="AA101" i="1"/>
  <c r="Z101" i="1" s="1"/>
  <c r="Y101" i="1" s="1"/>
  <c r="AA142" i="1"/>
  <c r="Z142" i="1" s="1"/>
  <c r="Y142" i="1" s="1"/>
  <c r="AA139" i="1"/>
  <c r="Z139" i="1" s="1"/>
  <c r="Y139" i="1" s="1"/>
  <c r="AA99" i="1"/>
  <c r="Z99" i="1" s="1"/>
  <c r="Y99" i="1" s="1"/>
  <c r="AA98" i="1"/>
  <c r="Z98" i="1" s="1"/>
  <c r="Y98" i="1" s="1"/>
  <c r="AA84" i="1"/>
  <c r="Z84" i="1" s="1"/>
  <c r="Y84" i="1" s="1"/>
  <c r="AA140" i="1"/>
  <c r="Z140" i="1" s="1"/>
  <c r="Y140" i="1" s="1"/>
  <c r="AA33" i="1"/>
  <c r="Z33" i="1" s="1"/>
  <c r="Y33" i="1" s="1"/>
  <c r="AA24" i="1"/>
  <c r="Z24" i="1" s="1"/>
  <c r="Y24" i="1" s="1"/>
  <c r="AA20" i="1"/>
  <c r="Z20" i="1" s="1"/>
  <c r="Y20" i="1" s="1"/>
  <c r="AA23" i="1"/>
  <c r="Z23" i="1" s="1"/>
  <c r="Y23" i="1" s="1"/>
  <c r="O382" i="18"/>
  <c r="O383" i="18"/>
  <c r="O381" i="18"/>
  <c r="E8" i="20"/>
  <c r="K16" i="19" s="1"/>
  <c r="E7" i="20"/>
  <c r="AY12" i="6"/>
  <c r="L61" i="19"/>
  <c r="I317" i="1"/>
  <c r="AA317" i="1"/>
  <c r="Z317" i="1" s="1"/>
  <c r="Y317" i="1" s="1"/>
  <c r="G317" i="1"/>
  <c r="BW317" i="6" s="1"/>
  <c r="G326" i="1"/>
  <c r="BW326" i="6" s="1"/>
  <c r="I326" i="1"/>
  <c r="AA326" i="1"/>
  <c r="Z326" i="1" s="1"/>
  <c r="Y326" i="1" s="1"/>
  <c r="G357" i="1"/>
  <c r="BW357" i="6" s="1"/>
  <c r="I357" i="1"/>
  <c r="AA357" i="1"/>
  <c r="Z357" i="1" s="1"/>
  <c r="Y357" i="1" s="1"/>
  <c r="G318" i="1"/>
  <c r="BW318" i="6" s="1"/>
  <c r="I318" i="1"/>
  <c r="AA318" i="1"/>
  <c r="Z318" i="1" s="1"/>
  <c r="Y318" i="1" s="1"/>
  <c r="I354" i="1"/>
  <c r="G354" i="1"/>
  <c r="BW354" i="6" s="1"/>
  <c r="AA354" i="1"/>
  <c r="Z354" i="1" s="1"/>
  <c r="Y354" i="1" s="1"/>
  <c r="I338" i="1"/>
  <c r="AA338" i="1"/>
  <c r="Z338" i="1" s="1"/>
  <c r="Y338" i="1" s="1"/>
  <c r="G338" i="1"/>
  <c r="BW338" i="6" s="1"/>
  <c r="AA342" i="1"/>
  <c r="Z342" i="1" s="1"/>
  <c r="Y342" i="1" s="1"/>
  <c r="G342" i="1"/>
  <c r="BW342" i="6" s="1"/>
  <c r="I342" i="1"/>
  <c r="G324" i="1"/>
  <c r="BW324" i="6" s="1"/>
  <c r="AA324" i="1"/>
  <c r="Z324" i="1" s="1"/>
  <c r="Y324" i="1" s="1"/>
  <c r="I324" i="1"/>
  <c r="I334" i="1"/>
  <c r="G334" i="1"/>
  <c r="BW334" i="6" s="1"/>
  <c r="AA334" i="1"/>
  <c r="Z334" i="1" s="1"/>
  <c r="Y334" i="1" s="1"/>
  <c r="I321" i="1"/>
  <c r="G321" i="1"/>
  <c r="BW321" i="6" s="1"/>
  <c r="AA321" i="1"/>
  <c r="Z321" i="1" s="1"/>
  <c r="Y321" i="1" s="1"/>
  <c r="I335" i="1"/>
  <c r="AA335" i="1"/>
  <c r="Z335" i="1" s="1"/>
  <c r="Y335" i="1" s="1"/>
  <c r="G335" i="1"/>
  <c r="BW335" i="6" s="1"/>
  <c r="I328" i="1"/>
  <c r="G328" i="1"/>
  <c r="BW328" i="6" s="1"/>
  <c r="AA328" i="1"/>
  <c r="Z328" i="1" s="1"/>
  <c r="Y328" i="1" s="1"/>
  <c r="AT13" i="6"/>
  <c r="AT12" i="6"/>
  <c r="AZ15" i="6"/>
  <c r="I325" i="1"/>
  <c r="AA325" i="1"/>
  <c r="Z325" i="1" s="1"/>
  <c r="Y325" i="1" s="1"/>
  <c r="G325" i="1"/>
  <c r="BW325" i="6" s="1"/>
  <c r="AA339" i="1"/>
  <c r="Z339" i="1" s="1"/>
  <c r="Y339" i="1" s="1"/>
  <c r="I339" i="1"/>
  <c r="G339" i="1"/>
  <c r="BW339" i="6" s="1"/>
  <c r="I340" i="1"/>
  <c r="G340" i="1"/>
  <c r="BW340" i="6" s="1"/>
  <c r="AA340" i="1"/>
  <c r="Z340" i="1" s="1"/>
  <c r="Y340" i="1" s="1"/>
  <c r="AA330" i="1"/>
  <c r="Z330" i="1" s="1"/>
  <c r="Y330" i="1" s="1"/>
  <c r="I330" i="1"/>
  <c r="G330" i="1"/>
  <c r="BW330" i="6" s="1"/>
  <c r="I323" i="1"/>
  <c r="G323" i="1"/>
  <c r="BW323" i="6" s="1"/>
  <c r="AA323" i="1"/>
  <c r="Z323" i="1" s="1"/>
  <c r="Y323" i="1" s="1"/>
  <c r="I337" i="1"/>
  <c r="AA337" i="1"/>
  <c r="Z337" i="1" s="1"/>
  <c r="Y337" i="1" s="1"/>
  <c r="G337" i="1"/>
  <c r="BW337" i="6" s="1"/>
  <c r="AA316" i="1"/>
  <c r="Z316" i="1" s="1"/>
  <c r="Y316" i="1" s="1"/>
  <c r="G316" i="1"/>
  <c r="BW316" i="6" s="1"/>
  <c r="I316" i="1"/>
  <c r="G343" i="1"/>
  <c r="BW343" i="6" s="1"/>
  <c r="AA343" i="1"/>
  <c r="Z343" i="1" s="1"/>
  <c r="Y343" i="1" s="1"/>
  <c r="I343" i="1"/>
  <c r="AA341" i="1"/>
  <c r="Z341" i="1" s="1"/>
  <c r="Y341" i="1" s="1"/>
  <c r="G341" i="1"/>
  <c r="BW341" i="6" s="1"/>
  <c r="I341" i="1"/>
  <c r="G329" i="1"/>
  <c r="BW329" i="6" s="1"/>
  <c r="AA329" i="1"/>
  <c r="Z329" i="1" s="1"/>
  <c r="Y329" i="1" s="1"/>
  <c r="I329" i="1"/>
  <c r="I331" i="1"/>
  <c r="AA331" i="1"/>
  <c r="Z331" i="1" s="1"/>
  <c r="Y331" i="1" s="1"/>
  <c r="G331" i="1"/>
  <c r="BW331" i="6" s="1"/>
  <c r="G336" i="1"/>
  <c r="BW336" i="6" s="1"/>
  <c r="AA336" i="1"/>
  <c r="Z336" i="1" s="1"/>
  <c r="Y336" i="1" s="1"/>
  <c r="I336" i="1"/>
  <c r="K61" i="19"/>
  <c r="F320" i="1"/>
  <c r="AA351" i="1"/>
  <c r="Z351" i="1" s="1"/>
  <c r="Y351" i="1" s="1"/>
  <c r="G351" i="1"/>
  <c r="BW351" i="6" s="1"/>
  <c r="I351" i="1"/>
  <c r="I319" i="1"/>
  <c r="G319" i="1"/>
  <c r="BW319" i="6" s="1"/>
  <c r="AA319" i="1"/>
  <c r="Z319" i="1" s="1"/>
  <c r="Y319" i="1" s="1"/>
  <c r="I350" i="1"/>
  <c r="G350" i="1"/>
  <c r="BW350" i="6" s="1"/>
  <c r="AA350" i="1"/>
  <c r="Z350" i="1" s="1"/>
  <c r="Y350" i="1" s="1"/>
  <c r="AA333" i="1"/>
  <c r="Z333" i="1" s="1"/>
  <c r="Y333" i="1" s="1"/>
  <c r="I333" i="1"/>
  <c r="G333" i="1"/>
  <c r="BW333" i="6" s="1"/>
  <c r="AA44" i="1"/>
  <c r="Z44" i="1" s="1"/>
  <c r="Y44" i="1" s="1"/>
  <c r="AA322" i="1"/>
  <c r="Z322" i="1" s="1"/>
  <c r="Y322" i="1" s="1"/>
  <c r="I322" i="1"/>
  <c r="G322" i="1"/>
  <c r="BW322" i="6" s="1"/>
  <c r="AA332" i="1"/>
  <c r="Z332" i="1" s="1"/>
  <c r="Y332" i="1" s="1"/>
  <c r="G332" i="1"/>
  <c r="BW332" i="6" s="1"/>
  <c r="I332" i="1"/>
  <c r="G352" i="1"/>
  <c r="BW352" i="6" s="1"/>
  <c r="AA352" i="1"/>
  <c r="Z352" i="1" s="1"/>
  <c r="Y352" i="1" s="1"/>
  <c r="I352" i="1"/>
  <c r="I349" i="1"/>
  <c r="G349" i="1"/>
  <c r="BW349" i="6" s="1"/>
  <c r="AA349" i="1"/>
  <c r="Z349" i="1" s="1"/>
  <c r="Y349" i="1" s="1"/>
  <c r="Y30" i="1"/>
  <c r="G327" i="1"/>
  <c r="BW327" i="6" s="1"/>
  <c r="I327" i="1"/>
  <c r="AA327" i="1"/>
  <c r="Z327" i="1" s="1"/>
  <c r="Y327" i="1" s="1"/>
  <c r="H260" i="15" l="1"/>
  <c r="I260" i="15" s="1"/>
  <c r="H267" i="15"/>
  <c r="I267" i="15" s="1"/>
  <c r="P157" i="15"/>
  <c r="V157" i="15" s="1"/>
  <c r="F157" i="15" s="1"/>
  <c r="G157" i="15" s="1"/>
  <c r="BX157" i="6" s="1"/>
  <c r="K40" i="19"/>
  <c r="P81" i="15"/>
  <c r="V81" i="15" s="1"/>
  <c r="F81" i="15" s="1"/>
  <c r="G81" i="15" s="1"/>
  <c r="BX81" i="6" s="1"/>
  <c r="AC36" i="18"/>
  <c r="AC29" i="18"/>
  <c r="AC42" i="18"/>
  <c r="AC30" i="18"/>
  <c r="AC37" i="18"/>
  <c r="AC40" i="18"/>
  <c r="AC15" i="18"/>
  <c r="AC41" i="18"/>
  <c r="AC43" i="18"/>
  <c r="AC35" i="18"/>
  <c r="AC24" i="18"/>
  <c r="AC21" i="18"/>
  <c r="AC32" i="18"/>
  <c r="AC19" i="18"/>
  <c r="AC23" i="18"/>
  <c r="AC39" i="18"/>
  <c r="AC20" i="18"/>
  <c r="AC45" i="18"/>
  <c r="AC26" i="18"/>
  <c r="AC28" i="18"/>
  <c r="AC31" i="18"/>
  <c r="AC16" i="18"/>
  <c r="AC33" i="18"/>
  <c r="AC38" i="18"/>
  <c r="AC25" i="18"/>
  <c r="AC22" i="18"/>
  <c r="AC18" i="18"/>
  <c r="AC34" i="18"/>
  <c r="AC17" i="18"/>
  <c r="AC27" i="18"/>
  <c r="AC44" i="18"/>
  <c r="P103" i="15"/>
  <c r="V103" i="15" s="1"/>
  <c r="F103" i="15" s="1"/>
  <c r="G103" i="15" s="1"/>
  <c r="BX103" i="6" s="1"/>
  <c r="P21" i="15"/>
  <c r="V21" i="15" s="1"/>
  <c r="F21" i="15" s="1"/>
  <c r="G21" i="15" s="1"/>
  <c r="BX21" i="6" s="1"/>
  <c r="P136" i="15"/>
  <c r="V136" i="15" s="1"/>
  <c r="F136" i="15" s="1"/>
  <c r="H136" i="15" s="1"/>
  <c r="H288" i="15"/>
  <c r="I288" i="15" s="1"/>
  <c r="H115" i="15"/>
  <c r="I115" i="15" s="1"/>
  <c r="P83" i="15"/>
  <c r="V83" i="15" s="1"/>
  <c r="F83" i="15" s="1"/>
  <c r="G83" i="15" s="1"/>
  <c r="BX83" i="6" s="1"/>
  <c r="P87" i="15"/>
  <c r="V87" i="15" s="1"/>
  <c r="F87" i="15" s="1"/>
  <c r="H87" i="15" s="1"/>
  <c r="I87" i="15" s="1"/>
  <c r="P33" i="15"/>
  <c r="V33" i="15" s="1"/>
  <c r="F33" i="15" s="1"/>
  <c r="G33" i="15" s="1"/>
  <c r="BX33" i="6" s="1"/>
  <c r="P100" i="15"/>
  <c r="V100" i="15" s="1"/>
  <c r="F100" i="15" s="1"/>
  <c r="G100" i="15" s="1"/>
  <c r="BX100" i="6" s="1"/>
  <c r="P141" i="15"/>
  <c r="V141" i="15" s="1"/>
  <c r="F141" i="15" s="1"/>
  <c r="G141" i="15" s="1"/>
  <c r="BX141" i="6" s="1"/>
  <c r="U12" i="16"/>
  <c r="O16" i="7" s="1"/>
  <c r="P152" i="15"/>
  <c r="V152" i="15" s="1"/>
  <c r="F152" i="15" s="1"/>
  <c r="H152" i="15" s="1"/>
  <c r="I152" i="15" s="1"/>
  <c r="AA115" i="15"/>
  <c r="Z115" i="15" s="1"/>
  <c r="Y115" i="15" s="1"/>
  <c r="L39" i="19"/>
  <c r="L37" i="19"/>
  <c r="V379" i="15"/>
  <c r="F379" i="15" s="1"/>
  <c r="G379" i="15" s="1"/>
  <c r="BX379" i="6" s="1"/>
  <c r="D36" i="19"/>
  <c r="BA13" i="7"/>
  <c r="L38" i="19"/>
  <c r="AC72" i="18"/>
  <c r="AC78" i="18"/>
  <c r="AC91" i="18"/>
  <c r="AC60" i="18"/>
  <c r="AC46" i="18"/>
  <c r="AC58" i="18"/>
  <c r="AC64" i="18"/>
  <c r="AC56" i="18"/>
  <c r="AC59" i="18"/>
  <c r="AC84" i="18"/>
  <c r="AC71" i="18"/>
  <c r="AC47" i="18"/>
  <c r="AC50" i="18"/>
  <c r="AC93" i="18"/>
  <c r="AC69" i="18"/>
  <c r="AC104" i="18"/>
  <c r="AC51" i="18"/>
  <c r="AC88" i="18"/>
  <c r="AC86" i="18"/>
  <c r="AC68" i="18"/>
  <c r="AC55" i="18"/>
  <c r="AC79" i="18"/>
  <c r="AC82" i="18"/>
  <c r="AC57" i="18"/>
  <c r="AC73" i="18"/>
  <c r="AC90" i="18"/>
  <c r="AC89" i="18"/>
  <c r="AC53" i="18"/>
  <c r="AC85" i="18"/>
  <c r="AC87" i="18"/>
  <c r="AC54" i="18"/>
  <c r="AC63" i="18"/>
  <c r="AC99" i="18"/>
  <c r="AC65" i="18"/>
  <c r="AC62" i="18"/>
  <c r="AC52" i="18"/>
  <c r="AC80" i="18"/>
  <c r="AC48" i="18"/>
  <c r="AC75" i="18"/>
  <c r="AC67" i="18"/>
  <c r="AC66" i="18"/>
  <c r="AC70" i="18"/>
  <c r="AC61" i="18"/>
  <c r="AC49" i="18"/>
  <c r="AC96" i="18"/>
  <c r="AC74" i="18"/>
  <c r="AC95" i="18"/>
  <c r="AC98" i="18"/>
  <c r="AC97" i="18"/>
  <c r="AC83" i="18"/>
  <c r="AC102" i="18"/>
  <c r="AC76" i="18"/>
  <c r="AC77" i="18"/>
  <c r="AC103" i="18"/>
  <c r="AC101" i="18"/>
  <c r="AC81" i="18"/>
  <c r="AC100" i="18"/>
  <c r="AC94" i="18"/>
  <c r="AC92" i="18"/>
  <c r="P150" i="15"/>
  <c r="V150" i="15" s="1"/>
  <c r="F150" i="15" s="1"/>
  <c r="G150" i="15" s="1"/>
  <c r="BX150" i="6" s="1"/>
  <c r="P98" i="15"/>
  <c r="V98" i="15" s="1"/>
  <c r="F98" i="15" s="1"/>
  <c r="G98" i="15" s="1"/>
  <c r="BX98" i="6" s="1"/>
  <c r="AC133" i="18"/>
  <c r="AC248" i="18"/>
  <c r="AC116" i="18"/>
  <c r="AC289" i="18"/>
  <c r="AC110" i="18"/>
  <c r="AC132" i="18"/>
  <c r="AC120" i="18"/>
  <c r="AC122" i="18"/>
  <c r="AC130" i="18"/>
  <c r="AC123" i="18"/>
  <c r="AC117" i="18"/>
  <c r="AC126" i="18"/>
  <c r="AC125" i="18"/>
  <c r="AC127" i="18"/>
  <c r="AC131" i="18"/>
  <c r="AC112" i="18"/>
  <c r="AC109" i="18"/>
  <c r="AC128" i="18"/>
  <c r="AC311" i="18"/>
  <c r="AC236" i="18"/>
  <c r="AC124" i="18"/>
  <c r="AC232" i="18"/>
  <c r="AC129" i="18"/>
  <c r="AC111" i="18"/>
  <c r="AC119" i="18"/>
  <c r="AC106" i="18"/>
  <c r="AC113" i="18"/>
  <c r="AC115" i="18"/>
  <c r="AC118" i="18"/>
  <c r="AC121" i="18"/>
  <c r="AC114" i="18"/>
  <c r="AC108" i="18"/>
  <c r="AC105" i="18"/>
  <c r="AC107" i="18"/>
  <c r="AY11" i="7"/>
  <c r="Q11" i="24" s="1"/>
  <c r="P11" i="24"/>
  <c r="AX15" i="7"/>
  <c r="AK24" i="23"/>
  <c r="AK41" i="23"/>
  <c r="AK60" i="23"/>
  <c r="AK62" i="23"/>
  <c r="AK81" i="23"/>
  <c r="AK105" i="23"/>
  <c r="AK136" i="23"/>
  <c r="AK101" i="23"/>
  <c r="AK135" i="23"/>
  <c r="AK166" i="23"/>
  <c r="AK205" i="23"/>
  <c r="AK181" i="23"/>
  <c r="AK207" i="23"/>
  <c r="AK234" i="23"/>
  <c r="AK266" i="23"/>
  <c r="AK293" i="23"/>
  <c r="AK211" i="23"/>
  <c r="AK245" i="23"/>
  <c r="AK279" i="23"/>
  <c r="AK316" i="23"/>
  <c r="AK361" i="23"/>
  <c r="AK333" i="23"/>
  <c r="AK360" i="23"/>
  <c r="AK18" i="23"/>
  <c r="AK52" i="23"/>
  <c r="AK86" i="23"/>
  <c r="AK144" i="23"/>
  <c r="AK148" i="23"/>
  <c r="AK156" i="23"/>
  <c r="AK215" i="23"/>
  <c r="AK275" i="23"/>
  <c r="AK223" i="23"/>
  <c r="AK297" i="23"/>
  <c r="AK373" i="23"/>
  <c r="AK368" i="23"/>
  <c r="AK37" i="23"/>
  <c r="AK75" i="23"/>
  <c r="AK31" i="23"/>
  <c r="AK64" i="23"/>
  <c r="AK87" i="23"/>
  <c r="AK88" i="23"/>
  <c r="AK157" i="23"/>
  <c r="AK168" i="23"/>
  <c r="AK224" i="23"/>
  <c r="AK285" i="23"/>
  <c r="AK235" i="23"/>
  <c r="AK305" i="23"/>
  <c r="AK325" i="23"/>
  <c r="AK378" i="23"/>
  <c r="AK77" i="23"/>
  <c r="AK118" i="23"/>
  <c r="AK195" i="23"/>
  <c r="AK311" i="23"/>
  <c r="AK343" i="23"/>
  <c r="AK32" i="23"/>
  <c r="AK92" i="23"/>
  <c r="AK90" i="23"/>
  <c r="AK158" i="23"/>
  <c r="AK169" i="23"/>
  <c r="AK225" i="23"/>
  <c r="AK287" i="23"/>
  <c r="AK236" i="23"/>
  <c r="AK306" i="23"/>
  <c r="AK327" i="23"/>
  <c r="AK379" i="23"/>
  <c r="AK74" i="23"/>
  <c r="AK113" i="23"/>
  <c r="AK190" i="23"/>
  <c r="AK303" i="23"/>
  <c r="AK335" i="23"/>
  <c r="AK42" i="23"/>
  <c r="AK170" i="23"/>
  <c r="AK246" i="23"/>
  <c r="AK35" i="23"/>
  <c r="AK116" i="23"/>
  <c r="AK192" i="23"/>
  <c r="AK308" i="23"/>
  <c r="AK341" i="23"/>
  <c r="AK17" i="23"/>
  <c r="AK71" i="23"/>
  <c r="AK133" i="23"/>
  <c r="AK203" i="23"/>
  <c r="AK320" i="23"/>
  <c r="AK356" i="23"/>
  <c r="AK16" i="23"/>
  <c r="AK206" i="23"/>
  <c r="AK281" i="23"/>
  <c r="AK70" i="23"/>
  <c r="AK134" i="23"/>
  <c r="AK204" i="23"/>
  <c r="AK321" i="23"/>
  <c r="AK357" i="23"/>
  <c r="AK380" i="23"/>
  <c r="AK33" i="23"/>
  <c r="AK49" i="23"/>
  <c r="AK50" i="23"/>
  <c r="AK67" i="23"/>
  <c r="AK98" i="23"/>
  <c r="AK128" i="23"/>
  <c r="AK93" i="23"/>
  <c r="AK160" i="23"/>
  <c r="AK171" i="23"/>
  <c r="AK227" i="23"/>
  <c r="AK289" i="23"/>
  <c r="AK237" i="23"/>
  <c r="AK307" i="23"/>
  <c r="AK328" i="23"/>
  <c r="F8" i="23"/>
  <c r="AK69" i="23"/>
  <c r="AK130" i="23"/>
  <c r="AK202" i="23"/>
  <c r="AK318" i="23"/>
  <c r="AK352" i="23"/>
  <c r="AK38" i="23"/>
  <c r="AK21" i="23"/>
  <c r="AK83" i="23"/>
  <c r="AK140" i="23"/>
  <c r="AK210" i="23"/>
  <c r="AK216" i="23"/>
  <c r="AK367" i="23"/>
  <c r="AK63" i="23"/>
  <c r="AK167" i="23"/>
  <c r="AK304" i="23"/>
  <c r="AK66" i="23"/>
  <c r="AK142" i="23"/>
  <c r="AK212" i="23"/>
  <c r="AK217" i="23"/>
  <c r="AK370" i="23"/>
  <c r="AK56" i="23"/>
  <c r="AK159" i="23"/>
  <c r="AK298" i="23"/>
  <c r="AK104" i="23"/>
  <c r="AK22" i="23"/>
  <c r="AK162" i="23"/>
  <c r="AK300" i="23"/>
  <c r="AK53" i="23"/>
  <c r="AK177" i="23"/>
  <c r="AK314" i="23"/>
  <c r="AK138" i="23"/>
  <c r="AK46" i="23"/>
  <c r="AK180" i="23"/>
  <c r="AK315" i="23"/>
  <c r="AK145" i="23"/>
  <c r="AK154" i="23"/>
  <c r="AK213" i="23"/>
  <c r="AK274" i="23"/>
  <c r="AK218" i="23"/>
  <c r="AK288" i="23"/>
  <c r="AK372" i="23"/>
  <c r="AK365" i="23"/>
  <c r="AK51" i="23"/>
  <c r="AK94" i="23"/>
  <c r="AK173" i="23"/>
  <c r="AK290" i="23"/>
  <c r="AK309" i="23"/>
  <c r="AK19" i="23"/>
  <c r="AK80" i="23"/>
  <c r="AK68" i="23"/>
  <c r="AK106" i="23"/>
  <c r="AK186" i="23"/>
  <c r="AK295" i="23"/>
  <c r="AK322" i="23"/>
  <c r="AK29" i="23"/>
  <c r="AK155" i="23"/>
  <c r="AK231" i="23"/>
  <c r="AK48" i="23"/>
  <c r="AK107" i="23"/>
  <c r="AK187" i="23"/>
  <c r="AK296" i="23"/>
  <c r="AK326" i="23"/>
  <c r="AK26" i="23"/>
  <c r="AK150" i="23"/>
  <c r="AK226" i="23"/>
  <c r="AK65" i="23"/>
  <c r="AK319" i="23"/>
  <c r="AK151" i="23"/>
  <c r="AK229" i="23"/>
  <c r="AK36" i="23"/>
  <c r="AK163" i="23"/>
  <c r="AK240" i="23"/>
  <c r="AK82" i="23"/>
  <c r="AK366" i="23"/>
  <c r="AK165" i="23"/>
  <c r="AK244" i="23"/>
  <c r="AK28" i="23"/>
  <c r="AK39" i="23"/>
  <c r="AK61" i="23"/>
  <c r="AK76" i="23"/>
  <c r="AK95" i="23"/>
  <c r="AK121" i="23"/>
  <c r="AK149" i="23"/>
  <c r="AK117" i="23"/>
  <c r="AK152" i="23"/>
  <c r="AK183" i="23"/>
  <c r="AK164" i="23"/>
  <c r="AK194" i="23"/>
  <c r="AK221" i="23"/>
  <c r="AK253" i="23"/>
  <c r="AK282" i="23"/>
  <c r="AK310" i="23"/>
  <c r="AK230" i="23"/>
  <c r="AK263" i="23"/>
  <c r="AK301" i="23"/>
  <c r="AK342" i="23"/>
  <c r="AK323" i="23"/>
  <c r="AK349" i="23"/>
  <c r="AK374" i="23"/>
  <c r="AK20" i="23"/>
  <c r="AK73" i="23"/>
  <c r="AK115" i="23"/>
  <c r="AK111" i="23"/>
  <c r="AK176" i="23"/>
  <c r="AK189" i="23"/>
  <c r="AK247" i="23"/>
  <c r="AK302" i="23"/>
  <c r="AK254" i="23"/>
  <c r="AK334" i="23"/>
  <c r="AK340" i="23"/>
  <c r="AK27" i="23"/>
  <c r="AK57" i="23"/>
  <c r="AK91" i="23"/>
  <c r="AK47" i="23"/>
  <c r="AK78" i="23"/>
  <c r="AK125" i="23"/>
  <c r="AK123" i="23"/>
  <c r="AK185" i="23"/>
  <c r="AK196" i="23"/>
  <c r="AK256" i="23"/>
  <c r="AK312" i="23"/>
  <c r="AK268" i="23"/>
  <c r="AK345" i="23"/>
  <c r="AK351" i="23"/>
  <c r="AK40" i="23"/>
  <c r="AK122" i="23"/>
  <c r="AK184" i="23"/>
  <c r="AK255" i="23"/>
  <c r="AK264" i="23"/>
  <c r="AK350" i="23"/>
  <c r="AK43" i="23"/>
  <c r="AK127" i="23"/>
  <c r="AK124" i="23"/>
  <c r="AK191" i="23"/>
  <c r="AK198" i="23"/>
  <c r="AK258" i="23"/>
  <c r="AK313" i="23"/>
  <c r="AK270" i="23"/>
  <c r="AK347" i="23"/>
  <c r="AK353" i="23"/>
  <c r="AK23" i="23"/>
  <c r="AK119" i="23"/>
  <c r="AK178" i="23"/>
  <c r="AK249" i="23"/>
  <c r="AK257" i="23"/>
  <c r="AK344" i="23"/>
  <c r="AK109" i="23"/>
  <c r="AK238" i="23"/>
  <c r="AK336" i="23"/>
  <c r="AK120" i="23"/>
  <c r="AK179" i="23"/>
  <c r="AK251" i="23"/>
  <c r="AK261" i="23"/>
  <c r="AK346" i="23"/>
  <c r="AK58" i="23"/>
  <c r="AK131" i="23"/>
  <c r="AK199" i="23"/>
  <c r="AK262" i="23"/>
  <c r="AK277" i="23"/>
  <c r="AK358" i="23"/>
  <c r="AK137" i="23"/>
  <c r="AK267" i="23"/>
  <c r="AK362" i="23"/>
  <c r="AK132" i="23"/>
  <c r="AK200" i="23"/>
  <c r="AK265" i="23"/>
  <c r="AK278" i="23"/>
  <c r="AK359" i="23"/>
  <c r="AK15" i="23"/>
  <c r="P12" i="23"/>
  <c r="AK44" i="23"/>
  <c r="AK72" i="23"/>
  <c r="AK85" i="23"/>
  <c r="AK114" i="23"/>
  <c r="AK143" i="23"/>
  <c r="AK126" i="23"/>
  <c r="AK193" i="23"/>
  <c r="AK201" i="23"/>
  <c r="AK259" i="23"/>
  <c r="AK317" i="23"/>
  <c r="AK271" i="23"/>
  <c r="AK348" i="23"/>
  <c r="AK354" i="23"/>
  <c r="AK55" i="23"/>
  <c r="AK129" i="23"/>
  <c r="AK197" i="23"/>
  <c r="AK260" i="23"/>
  <c r="AK273" i="23"/>
  <c r="AK355" i="23"/>
  <c r="AK54" i="23"/>
  <c r="AK30" i="23"/>
  <c r="AK139" i="23"/>
  <c r="AK208" i="23"/>
  <c r="AK269" i="23"/>
  <c r="AK284" i="23"/>
  <c r="AK363" i="23"/>
  <c r="AK79" i="23"/>
  <c r="AK283" i="23"/>
  <c r="AK375" i="23"/>
  <c r="AK141" i="23"/>
  <c r="AK153" i="23"/>
  <c r="AK272" i="23"/>
  <c r="AK286" i="23"/>
  <c r="AK364" i="23"/>
  <c r="AK146" i="23"/>
  <c r="AK276" i="23"/>
  <c r="AK369" i="23"/>
  <c r="AK294" i="23"/>
  <c r="AK147" i="23"/>
  <c r="AK280" i="23"/>
  <c r="AK371" i="23"/>
  <c r="AK97" i="23"/>
  <c r="AK291" i="23"/>
  <c r="AK25" i="23"/>
  <c r="AK214" i="23"/>
  <c r="AK100" i="23"/>
  <c r="AK292" i="23"/>
  <c r="AK108" i="23"/>
  <c r="AK175" i="23"/>
  <c r="AK188" i="23"/>
  <c r="AK243" i="23"/>
  <c r="AK299" i="23"/>
  <c r="AK252" i="23"/>
  <c r="AK332" i="23"/>
  <c r="AK339" i="23"/>
  <c r="AK34" i="23"/>
  <c r="AK99" i="23"/>
  <c r="AK161" i="23"/>
  <c r="AK228" i="23"/>
  <c r="AK239" i="23"/>
  <c r="AK329" i="23"/>
  <c r="AK59" i="23"/>
  <c r="AK45" i="23"/>
  <c r="AK110" i="23"/>
  <c r="AK172" i="23"/>
  <c r="AK241" i="23"/>
  <c r="AK248" i="23"/>
  <c r="AK337" i="23"/>
  <c r="AK96" i="23"/>
  <c r="AK222" i="23"/>
  <c r="AK324" i="23"/>
  <c r="AK112" i="23"/>
  <c r="AK174" i="23"/>
  <c r="AK242" i="23"/>
  <c r="AK250" i="23"/>
  <c r="AK338" i="23"/>
  <c r="AK89" i="23"/>
  <c r="AK219" i="23"/>
  <c r="AK376" i="23"/>
  <c r="AK182" i="23"/>
  <c r="AK84" i="23"/>
  <c r="AK220" i="23"/>
  <c r="AK377" i="23"/>
  <c r="AK102" i="23"/>
  <c r="AK232" i="23"/>
  <c r="AK330" i="23"/>
  <c r="AK209" i="23"/>
  <c r="AK103" i="23"/>
  <c r="AK233" i="23"/>
  <c r="AK331" i="23"/>
  <c r="P10" i="22"/>
  <c r="L17" i="19"/>
  <c r="AA122" i="15"/>
  <c r="Z122" i="15" s="1"/>
  <c r="Y122" i="15" s="1"/>
  <c r="H179" i="15"/>
  <c r="J179" i="15" s="1"/>
  <c r="G221" i="15"/>
  <c r="BX221" i="6" s="1"/>
  <c r="G186" i="15"/>
  <c r="BX186" i="6" s="1"/>
  <c r="P26" i="15"/>
  <c r="V26" i="15" s="1"/>
  <c r="F26" i="15" s="1"/>
  <c r="H26" i="15" s="1"/>
  <c r="I26" i="15" s="1"/>
  <c r="P23" i="15"/>
  <c r="V23" i="15" s="1"/>
  <c r="F23" i="15" s="1"/>
  <c r="H23" i="15" s="1"/>
  <c r="J23" i="15" s="1"/>
  <c r="J16" i="7"/>
  <c r="P11" i="7" s="1"/>
  <c r="U11" i="16" s="1"/>
  <c r="P300" i="15"/>
  <c r="V300" i="15" s="1"/>
  <c r="F300" i="15" s="1"/>
  <c r="G300" i="15" s="1"/>
  <c r="BX300" i="6" s="1"/>
  <c r="P50" i="15"/>
  <c r="V50" i="15" s="1"/>
  <c r="F50" i="15" s="1"/>
  <c r="G50" i="15" s="1"/>
  <c r="BX50" i="6" s="1"/>
  <c r="P302" i="15"/>
  <c r="V302" i="15" s="1"/>
  <c r="F302" i="15" s="1"/>
  <c r="P329" i="15"/>
  <c r="V329" i="15" s="1"/>
  <c r="F329" i="15" s="1"/>
  <c r="H329" i="15" s="1"/>
  <c r="I329" i="15" s="1"/>
  <c r="P363" i="15"/>
  <c r="V363" i="15" s="1"/>
  <c r="P375" i="15"/>
  <c r="V375" i="15" s="1"/>
  <c r="F375" i="15" s="1"/>
  <c r="P341" i="15"/>
  <c r="V341" i="15" s="1"/>
  <c r="F341" i="15" s="1"/>
  <c r="G341" i="15" s="1"/>
  <c r="BX341" i="6" s="1"/>
  <c r="P44" i="15"/>
  <c r="V44" i="15" s="1"/>
  <c r="F44" i="15" s="1"/>
  <c r="G44" i="15" s="1"/>
  <c r="BX44" i="6" s="1"/>
  <c r="P335" i="15"/>
  <c r="V335" i="15" s="1"/>
  <c r="F335" i="15" s="1"/>
  <c r="G335" i="15" s="1"/>
  <c r="BX335" i="6" s="1"/>
  <c r="O12" i="25"/>
  <c r="AC12" i="25"/>
  <c r="AC9" i="25"/>
  <c r="J115" i="15"/>
  <c r="G124" i="15"/>
  <c r="BX124" i="6" s="1"/>
  <c r="G304" i="15"/>
  <c r="BX304" i="6" s="1"/>
  <c r="G219" i="15"/>
  <c r="BX219" i="6" s="1"/>
  <c r="H153" i="15"/>
  <c r="I153" i="15" s="1"/>
  <c r="H176" i="15"/>
  <c r="I176" i="15" s="1"/>
  <c r="AA133" i="15"/>
  <c r="Z133" i="15" s="1"/>
  <c r="Y133" i="15" s="1"/>
  <c r="AA64" i="15"/>
  <c r="Z64" i="15" s="1"/>
  <c r="Y64" i="15" s="1"/>
  <c r="AA269" i="15"/>
  <c r="Z269" i="15" s="1"/>
  <c r="Y269" i="15" s="1"/>
  <c r="AA233" i="15"/>
  <c r="Z233" i="15" s="1"/>
  <c r="Y233" i="15" s="1"/>
  <c r="AA243" i="15"/>
  <c r="Z243" i="15" s="1"/>
  <c r="Y243" i="15" s="1"/>
  <c r="AA212" i="15"/>
  <c r="Z212" i="15" s="1"/>
  <c r="Y212" i="15" s="1"/>
  <c r="AA220" i="15"/>
  <c r="Z220" i="15" s="1"/>
  <c r="Y220" i="15" s="1"/>
  <c r="AA308" i="15"/>
  <c r="Z308" i="15" s="1"/>
  <c r="Y308" i="15" s="1"/>
  <c r="AA172" i="15"/>
  <c r="Z172" i="15" s="1"/>
  <c r="Y172" i="15" s="1"/>
  <c r="AA315" i="15"/>
  <c r="Z315" i="15" s="1"/>
  <c r="Y315" i="15" s="1"/>
  <c r="AA245" i="15"/>
  <c r="Z245" i="15" s="1"/>
  <c r="Y245" i="15" s="1"/>
  <c r="AA70" i="15"/>
  <c r="Z70" i="15" s="1"/>
  <c r="Y70" i="15" s="1"/>
  <c r="AA358" i="15"/>
  <c r="Z358" i="15" s="1"/>
  <c r="Y358" i="15" s="1"/>
  <c r="AA66" i="15"/>
  <c r="Z66" i="15" s="1"/>
  <c r="Y66" i="15" s="1"/>
  <c r="AA294" i="15"/>
  <c r="Z294" i="15" s="1"/>
  <c r="Y294" i="15" s="1"/>
  <c r="AA124" i="15"/>
  <c r="Z124" i="15" s="1"/>
  <c r="Y124" i="15" s="1"/>
  <c r="AA214" i="15"/>
  <c r="Z214" i="15" s="1"/>
  <c r="Y214" i="15" s="1"/>
  <c r="AA205" i="15"/>
  <c r="Z205" i="15" s="1"/>
  <c r="Y205" i="15" s="1"/>
  <c r="AA285" i="15"/>
  <c r="Z285" i="15" s="1"/>
  <c r="Y285" i="15" s="1"/>
  <c r="G64" i="15"/>
  <c r="BX64" i="6" s="1"/>
  <c r="G364" i="15"/>
  <c r="BX364" i="6" s="1"/>
  <c r="AC211" i="18"/>
  <c r="AC351" i="18"/>
  <c r="AC165" i="18"/>
  <c r="AC154" i="18"/>
  <c r="AC233" i="18"/>
  <c r="AC366" i="18"/>
  <c r="AC242" i="18"/>
  <c r="AC334" i="18"/>
  <c r="G133" i="15"/>
  <c r="BX133" i="6" s="1"/>
  <c r="G294" i="15"/>
  <c r="BX294" i="6" s="1"/>
  <c r="H213" i="15"/>
  <c r="J213" i="15" s="1"/>
  <c r="H73" i="15"/>
  <c r="I73" i="15" s="1"/>
  <c r="P29" i="15"/>
  <c r="V29" i="15" s="1"/>
  <c r="F29" i="15" s="1"/>
  <c r="P92" i="15"/>
  <c r="V92" i="15" s="1"/>
  <c r="P142" i="15"/>
  <c r="V142" i="15" s="1"/>
  <c r="F142" i="15" s="1"/>
  <c r="P85" i="15"/>
  <c r="V85" i="15" s="1"/>
  <c r="F85" i="15" s="1"/>
  <c r="H85" i="15" s="1"/>
  <c r="J85" i="15" s="1"/>
  <c r="P105" i="15"/>
  <c r="V105" i="15" s="1"/>
  <c r="F105" i="15" s="1"/>
  <c r="P96" i="15"/>
  <c r="V96" i="15" s="1"/>
  <c r="F96" i="15" s="1"/>
  <c r="G96" i="15" s="1"/>
  <c r="BX96" i="6" s="1"/>
  <c r="H373" i="15"/>
  <c r="I373" i="15" s="1"/>
  <c r="G247" i="15"/>
  <c r="BX247" i="6" s="1"/>
  <c r="G187" i="15"/>
  <c r="BX187" i="6" s="1"/>
  <c r="G132" i="15"/>
  <c r="BX132" i="6" s="1"/>
  <c r="H45" i="15"/>
  <c r="J45" i="15" s="1"/>
  <c r="G203" i="15"/>
  <c r="BX203" i="6" s="1"/>
  <c r="AA117" i="15"/>
  <c r="Z117" i="15" s="1"/>
  <c r="Y117" i="15" s="1"/>
  <c r="J231" i="15"/>
  <c r="I125" i="15"/>
  <c r="J178" i="15"/>
  <c r="H273" i="15"/>
  <c r="I273" i="15" s="1"/>
  <c r="H193" i="15"/>
  <c r="J193" i="15" s="1"/>
  <c r="AA112" i="15"/>
  <c r="Z112" i="15" s="1"/>
  <c r="Y112" i="15" s="1"/>
  <c r="AA253" i="15"/>
  <c r="Z253" i="15" s="1"/>
  <c r="Y253" i="15" s="1"/>
  <c r="AA178" i="15"/>
  <c r="Z178" i="15" s="1"/>
  <c r="Y178" i="15" s="1"/>
  <c r="AA132" i="15"/>
  <c r="Z132" i="15" s="1"/>
  <c r="Y132" i="15" s="1"/>
  <c r="AA186" i="15"/>
  <c r="Z186" i="15" s="1"/>
  <c r="Y186" i="15" s="1"/>
  <c r="AA373" i="15"/>
  <c r="Z373" i="15" s="1"/>
  <c r="Y373" i="15" s="1"/>
  <c r="AA273" i="15"/>
  <c r="Z273" i="15" s="1"/>
  <c r="Y273" i="15" s="1"/>
  <c r="AA239" i="15"/>
  <c r="Z239" i="15" s="1"/>
  <c r="Y239" i="15" s="1"/>
  <c r="AA222" i="15"/>
  <c r="Z222" i="15" s="1"/>
  <c r="Y222" i="15" s="1"/>
  <c r="AA195" i="15"/>
  <c r="Z195" i="15" s="1"/>
  <c r="Y195" i="15" s="1"/>
  <c r="AA208" i="15"/>
  <c r="Z208" i="15" s="1"/>
  <c r="Y208" i="15" s="1"/>
  <c r="AA256" i="15"/>
  <c r="Z256" i="15" s="1"/>
  <c r="Y256" i="15" s="1"/>
  <c r="AA247" i="15"/>
  <c r="Z247" i="15" s="1"/>
  <c r="Y247" i="15" s="1"/>
  <c r="AA206" i="15"/>
  <c r="Z206" i="15" s="1"/>
  <c r="Y206" i="15" s="1"/>
  <c r="H222" i="15"/>
  <c r="I222" i="15" s="1"/>
  <c r="G125" i="15"/>
  <c r="BX125" i="6" s="1"/>
  <c r="G231" i="15"/>
  <c r="BX231" i="6" s="1"/>
  <c r="H255" i="15"/>
  <c r="J255" i="15" s="1"/>
  <c r="G69" i="15"/>
  <c r="BX69" i="6" s="1"/>
  <c r="G277" i="15"/>
  <c r="BX277" i="6" s="1"/>
  <c r="G128" i="15"/>
  <c r="BX128" i="6" s="1"/>
  <c r="G111" i="15"/>
  <c r="BX111" i="6" s="1"/>
  <c r="G126" i="15"/>
  <c r="BX126" i="6" s="1"/>
  <c r="G256" i="15"/>
  <c r="BX256" i="6" s="1"/>
  <c r="G164" i="15"/>
  <c r="BX164" i="6" s="1"/>
  <c r="D40" i="7"/>
  <c r="H112" i="15"/>
  <c r="I112" i="15" s="1"/>
  <c r="G131" i="15"/>
  <c r="BX131" i="6" s="1"/>
  <c r="H328" i="15"/>
  <c r="J328" i="15" s="1"/>
  <c r="H122" i="15"/>
  <c r="I122" i="15" s="1"/>
  <c r="AA129" i="15"/>
  <c r="Z129" i="15" s="1"/>
  <c r="Y129" i="15" s="1"/>
  <c r="H245" i="15"/>
  <c r="J245" i="15" s="1"/>
  <c r="H275" i="15"/>
  <c r="J275" i="15" s="1"/>
  <c r="G265" i="15"/>
  <c r="BX265" i="6" s="1"/>
  <c r="G114" i="15"/>
  <c r="BX114" i="6" s="1"/>
  <c r="G271" i="15"/>
  <c r="BX271" i="6" s="1"/>
  <c r="G269" i="15"/>
  <c r="BX269" i="6" s="1"/>
  <c r="M61" i="19"/>
  <c r="N61" i="19" s="1"/>
  <c r="H214" i="15"/>
  <c r="J214" i="15" s="1"/>
  <c r="I221" i="15"/>
  <c r="G288" i="15"/>
  <c r="BX288" i="6" s="1"/>
  <c r="H315" i="15"/>
  <c r="J315" i="15" s="1"/>
  <c r="H292" i="15"/>
  <c r="J292" i="15" s="1"/>
  <c r="H250" i="15"/>
  <c r="J250" i="15" s="1"/>
  <c r="H191" i="15"/>
  <c r="J191" i="15" s="1"/>
  <c r="AA191" i="15"/>
  <c r="Z191" i="15" s="1"/>
  <c r="Y191" i="15" s="1"/>
  <c r="AA107" i="15"/>
  <c r="Z107" i="15" s="1"/>
  <c r="Y107" i="15" s="1"/>
  <c r="H200" i="15"/>
  <c r="H173" i="15"/>
  <c r="I173" i="15" s="1"/>
  <c r="H285" i="15"/>
  <c r="J285" i="15" s="1"/>
  <c r="H118" i="15"/>
  <c r="I118" i="15" s="1"/>
  <c r="H163" i="15"/>
  <c r="I163" i="15" s="1"/>
  <c r="H68" i="15"/>
  <c r="J68" i="15" s="1"/>
  <c r="G243" i="15"/>
  <c r="BX243" i="6" s="1"/>
  <c r="V119" i="15"/>
  <c r="F119" i="15" s="1"/>
  <c r="G119" i="15" s="1"/>
  <c r="BX119" i="6" s="1"/>
  <c r="G233" i="15"/>
  <c r="BX233" i="6" s="1"/>
  <c r="H107" i="15"/>
  <c r="J107" i="15" s="1"/>
  <c r="F148" i="15"/>
  <c r="H148" i="15" s="1"/>
  <c r="H117" i="15"/>
  <c r="I117" i="15" s="1"/>
  <c r="F235" i="15"/>
  <c r="AA235" i="15" s="1"/>
  <c r="Z235" i="15" s="1"/>
  <c r="Y235" i="15" s="1"/>
  <c r="H238" i="15"/>
  <c r="I238" i="15" s="1"/>
  <c r="H303" i="15"/>
  <c r="J303" i="15" s="1"/>
  <c r="H359" i="15"/>
  <c r="I359" i="15" s="1"/>
  <c r="AA131" i="15"/>
  <c r="Z131" i="15" s="1"/>
  <c r="Y131" i="15" s="1"/>
  <c r="AA200" i="15"/>
  <c r="Z200" i="15" s="1"/>
  <c r="Y200" i="15" s="1"/>
  <c r="AA359" i="15"/>
  <c r="Z359" i="15" s="1"/>
  <c r="Y359" i="15" s="1"/>
  <c r="AA111" i="15"/>
  <c r="Z111" i="15" s="1"/>
  <c r="Y111" i="15" s="1"/>
  <c r="AA292" i="15"/>
  <c r="Z292" i="15" s="1"/>
  <c r="Y292" i="15" s="1"/>
  <c r="AA267" i="15"/>
  <c r="Z267" i="15" s="1"/>
  <c r="Y267" i="15" s="1"/>
  <c r="AA125" i="15"/>
  <c r="Z125" i="15" s="1"/>
  <c r="Y125" i="15" s="1"/>
  <c r="AA126" i="15"/>
  <c r="Z126" i="15" s="1"/>
  <c r="Y126" i="15" s="1"/>
  <c r="AA187" i="15"/>
  <c r="Z187" i="15" s="1"/>
  <c r="Y187" i="15" s="1"/>
  <c r="AA203" i="15"/>
  <c r="Z203" i="15" s="1"/>
  <c r="Y203" i="15" s="1"/>
  <c r="AA280" i="15"/>
  <c r="Z280" i="15" s="1"/>
  <c r="Y280" i="15" s="1"/>
  <c r="AA268" i="15"/>
  <c r="Z268" i="15" s="1"/>
  <c r="Y268" i="15" s="1"/>
  <c r="AA303" i="15"/>
  <c r="Z303" i="15" s="1"/>
  <c r="Y303" i="15" s="1"/>
  <c r="AA193" i="15"/>
  <c r="Z193" i="15" s="1"/>
  <c r="Y193" i="15" s="1"/>
  <c r="AA179" i="15"/>
  <c r="Z179" i="15" s="1"/>
  <c r="Y179" i="15" s="1"/>
  <c r="AA238" i="15"/>
  <c r="Z238" i="15" s="1"/>
  <c r="Y238" i="15" s="1"/>
  <c r="AA128" i="15"/>
  <c r="Z128" i="15" s="1"/>
  <c r="Y128" i="15" s="1"/>
  <c r="AA277" i="15"/>
  <c r="Z277" i="15" s="1"/>
  <c r="Y277" i="15" s="1"/>
  <c r="H206" i="15"/>
  <c r="J206" i="15" s="1"/>
  <c r="G178" i="15"/>
  <c r="BX178" i="6" s="1"/>
  <c r="G267" i="15"/>
  <c r="BX267" i="6" s="1"/>
  <c r="G171" i="15"/>
  <c r="BX171" i="6" s="1"/>
  <c r="F272" i="15"/>
  <c r="AA272" i="15" s="1"/>
  <c r="Z272" i="15" s="1"/>
  <c r="Y272" i="15" s="1"/>
  <c r="F127" i="15"/>
  <c r="G127" i="15" s="1"/>
  <c r="BX127" i="6" s="1"/>
  <c r="I364" i="15"/>
  <c r="J364" i="15"/>
  <c r="H332" i="15"/>
  <c r="J332" i="15" s="1"/>
  <c r="G42" i="15"/>
  <c r="BX42" i="6" s="1"/>
  <c r="G129" i="15"/>
  <c r="BX129" i="6" s="1"/>
  <c r="J186" i="15"/>
  <c r="G274" i="15"/>
  <c r="BX274" i="6" s="1"/>
  <c r="AA118" i="15"/>
  <c r="Z118" i="15" s="1"/>
  <c r="Y118" i="15" s="1"/>
  <c r="AA271" i="15"/>
  <c r="Z271" i="15" s="1"/>
  <c r="Y271" i="15" s="1"/>
  <c r="AA237" i="15"/>
  <c r="Z237" i="15" s="1"/>
  <c r="Y237" i="15" s="1"/>
  <c r="AA250" i="15"/>
  <c r="Z250" i="15" s="1"/>
  <c r="Y250" i="15" s="1"/>
  <c r="AA251" i="15"/>
  <c r="Z251" i="15" s="1"/>
  <c r="Y251" i="15" s="1"/>
  <c r="AA170" i="15"/>
  <c r="Z170" i="15" s="1"/>
  <c r="Y170" i="15" s="1"/>
  <c r="AA173" i="15"/>
  <c r="Z173" i="15" s="1"/>
  <c r="Y173" i="15" s="1"/>
  <c r="AA213" i="15"/>
  <c r="Z213" i="15" s="1"/>
  <c r="Y213" i="15" s="1"/>
  <c r="AA163" i="15"/>
  <c r="Z163" i="15" s="1"/>
  <c r="Y163" i="15" s="1"/>
  <c r="AA176" i="15"/>
  <c r="Z176" i="15" s="1"/>
  <c r="Y176" i="15" s="1"/>
  <c r="AA265" i="15"/>
  <c r="Z265" i="15" s="1"/>
  <c r="Y265" i="15" s="1"/>
  <c r="AA74" i="15"/>
  <c r="Z74" i="15" s="1"/>
  <c r="Y74" i="15" s="1"/>
  <c r="H237" i="15"/>
  <c r="J237" i="15" s="1"/>
  <c r="H205" i="15"/>
  <c r="H365" i="15"/>
  <c r="H220" i="15"/>
  <c r="I220" i="15" s="1"/>
  <c r="G170" i="15"/>
  <c r="BX170" i="6" s="1"/>
  <c r="G172" i="15"/>
  <c r="BX172" i="6" s="1"/>
  <c r="G358" i="15"/>
  <c r="BX358" i="6" s="1"/>
  <c r="J271" i="15"/>
  <c r="I271" i="15"/>
  <c r="J170" i="15"/>
  <c r="I170" i="15"/>
  <c r="I251" i="15"/>
  <c r="J251" i="15"/>
  <c r="I187" i="15"/>
  <c r="J187" i="15"/>
  <c r="I247" i="15"/>
  <c r="J247" i="15"/>
  <c r="H323" i="15"/>
  <c r="I323" i="15" s="1"/>
  <c r="S97" i="15"/>
  <c r="R97" i="15" s="1"/>
  <c r="P97" i="15" s="1"/>
  <c r="V97" i="15" s="1"/>
  <c r="F97" i="15" s="1"/>
  <c r="S80" i="15"/>
  <c r="R80" i="15" s="1"/>
  <c r="P80" i="15" s="1"/>
  <c r="V80" i="15" s="1"/>
  <c r="F80" i="15" s="1"/>
  <c r="S30" i="15"/>
  <c r="R30" i="15" s="1"/>
  <c r="P30" i="15" s="1"/>
  <c r="V30" i="15" s="1"/>
  <c r="F30" i="15" s="1"/>
  <c r="S17" i="15"/>
  <c r="R17" i="15" s="1"/>
  <c r="P17" i="15" s="1"/>
  <c r="V17" i="15" s="1"/>
  <c r="F17" i="15" s="1"/>
  <c r="G195" i="15"/>
  <c r="BX195" i="6" s="1"/>
  <c r="H195" i="15"/>
  <c r="J267" i="15"/>
  <c r="S79" i="15"/>
  <c r="R79" i="15" s="1"/>
  <c r="P79" i="15" s="1"/>
  <c r="V79" i="15" s="1"/>
  <c r="F79" i="15" s="1"/>
  <c r="J171" i="15"/>
  <c r="I171" i="15"/>
  <c r="S93" i="15"/>
  <c r="R93" i="15" s="1"/>
  <c r="P93" i="15" s="1"/>
  <c r="V93" i="15" s="1"/>
  <c r="F93" i="15" s="1"/>
  <c r="G280" i="15"/>
  <c r="BX280" i="6" s="1"/>
  <c r="H280" i="15"/>
  <c r="S160" i="15"/>
  <c r="R160" i="15" s="1"/>
  <c r="P160" i="15" s="1"/>
  <c r="V160" i="15" s="1"/>
  <c r="F160" i="15" s="1"/>
  <c r="S84" i="15"/>
  <c r="R84" i="15" s="1"/>
  <c r="P84" i="15" s="1"/>
  <c r="V84" i="15" s="1"/>
  <c r="F84" i="15" s="1"/>
  <c r="H208" i="15"/>
  <c r="G208" i="15"/>
  <c r="BX208" i="6" s="1"/>
  <c r="S161" i="15"/>
  <c r="R161" i="15" s="1"/>
  <c r="P161" i="15" s="1"/>
  <c r="V161" i="15" s="1"/>
  <c r="F161" i="15" s="1"/>
  <c r="G253" i="15"/>
  <c r="BX253" i="6" s="1"/>
  <c r="H253" i="15"/>
  <c r="S90" i="15"/>
  <c r="R90" i="15" s="1"/>
  <c r="P90" i="15" s="1"/>
  <c r="V90" i="15" s="1"/>
  <c r="F90" i="15" s="1"/>
  <c r="J268" i="15"/>
  <c r="I268" i="15"/>
  <c r="S22" i="15"/>
  <c r="R22" i="15" s="1"/>
  <c r="P22" i="15" s="1"/>
  <c r="V22" i="15" s="1"/>
  <c r="F22" i="15" s="1"/>
  <c r="G156" i="15"/>
  <c r="BX156" i="6" s="1"/>
  <c r="H156" i="15"/>
  <c r="S89" i="15"/>
  <c r="R89" i="15" s="1"/>
  <c r="P89" i="15" s="1"/>
  <c r="V89" i="15" s="1"/>
  <c r="F89" i="15" s="1"/>
  <c r="S32" i="15"/>
  <c r="R32" i="15" s="1"/>
  <c r="P32" i="15" s="1"/>
  <c r="I233" i="15"/>
  <c r="J233" i="15"/>
  <c r="G70" i="15"/>
  <c r="BX70" i="6" s="1"/>
  <c r="H70" i="15"/>
  <c r="S134" i="15"/>
  <c r="R134" i="15" s="1"/>
  <c r="P134" i="15" s="1"/>
  <c r="V134" i="15" s="1"/>
  <c r="F134" i="15" s="1"/>
  <c r="V229" i="15"/>
  <c r="F229" i="15" s="1"/>
  <c r="V281" i="15"/>
  <c r="F281" i="15" s="1"/>
  <c r="G212" i="15"/>
  <c r="BX212" i="6" s="1"/>
  <c r="H212" i="15"/>
  <c r="S28" i="15"/>
  <c r="R28" i="15" s="1"/>
  <c r="P28" i="15" s="1"/>
  <c r="V28" i="15" s="1"/>
  <c r="F28" i="15" s="1"/>
  <c r="H66" i="15"/>
  <c r="G66" i="15"/>
  <c r="BX66" i="6" s="1"/>
  <c r="I358" i="15"/>
  <c r="J358" i="15"/>
  <c r="S101" i="15"/>
  <c r="R101" i="15" s="1"/>
  <c r="P101" i="15" s="1"/>
  <c r="V101" i="15" s="1"/>
  <c r="F101" i="15" s="1"/>
  <c r="I172" i="15"/>
  <c r="J172" i="15"/>
  <c r="H308" i="15"/>
  <c r="G308" i="15"/>
  <c r="BX308" i="6" s="1"/>
  <c r="S158" i="15"/>
  <c r="R158" i="15" s="1"/>
  <c r="P158" i="15" s="1"/>
  <c r="V158" i="15" s="1"/>
  <c r="F158" i="15" s="1"/>
  <c r="D37" i="7"/>
  <c r="V180" i="15"/>
  <c r="F180" i="15" s="1"/>
  <c r="S35" i="15"/>
  <c r="R35" i="15" s="1"/>
  <c r="P35" i="15" s="1"/>
  <c r="V35" i="15" s="1"/>
  <c r="F35" i="15" s="1"/>
  <c r="S145" i="15"/>
  <c r="R145" i="15" s="1"/>
  <c r="P145" i="15" s="1"/>
  <c r="V145" i="15" s="1"/>
  <c r="F145" i="15" s="1"/>
  <c r="I215" i="15"/>
  <c r="J215" i="15"/>
  <c r="I370" i="15"/>
  <c r="J370" i="15"/>
  <c r="J313" i="15"/>
  <c r="I313" i="15"/>
  <c r="AA219" i="15"/>
  <c r="Z219" i="15" s="1"/>
  <c r="Y219" i="15" s="1"/>
  <c r="AA259" i="15"/>
  <c r="Z259" i="15" s="1"/>
  <c r="Y259" i="15" s="1"/>
  <c r="AA304" i="15"/>
  <c r="Z304" i="15" s="1"/>
  <c r="Y304" i="15" s="1"/>
  <c r="AA202" i="15"/>
  <c r="Z202" i="15" s="1"/>
  <c r="Y202" i="15" s="1"/>
  <c r="AA199" i="15"/>
  <c r="Z199" i="15" s="1"/>
  <c r="Y199" i="15" s="1"/>
  <c r="AA228" i="15"/>
  <c r="Z228" i="15" s="1"/>
  <c r="Y228" i="15" s="1"/>
  <c r="H225" i="15"/>
  <c r="I225" i="15" s="1"/>
  <c r="H259" i="15"/>
  <c r="J259" i="15" s="1"/>
  <c r="H228" i="15"/>
  <c r="G55" i="15"/>
  <c r="BX55" i="6" s="1"/>
  <c r="H55" i="15"/>
  <c r="J55" i="15" s="1"/>
  <c r="G355" i="15"/>
  <c r="BX355" i="6" s="1"/>
  <c r="H355" i="15"/>
  <c r="G63" i="15"/>
  <c r="BX63" i="6" s="1"/>
  <c r="H63" i="15"/>
  <c r="I63" i="15" s="1"/>
  <c r="G339" i="15"/>
  <c r="BX339" i="6" s="1"/>
  <c r="G75" i="15"/>
  <c r="BX75" i="6" s="1"/>
  <c r="H75" i="15"/>
  <c r="G39" i="15"/>
  <c r="BX39" i="6" s="1"/>
  <c r="H39" i="15"/>
  <c r="V317" i="15"/>
  <c r="F317" i="15" s="1"/>
  <c r="V374" i="15"/>
  <c r="F374" i="15" s="1"/>
  <c r="V61" i="15"/>
  <c r="F61" i="15" s="1"/>
  <c r="G326" i="15"/>
  <c r="BX326" i="6" s="1"/>
  <c r="AA301" i="15"/>
  <c r="Z301" i="15" s="1"/>
  <c r="Y301" i="15" s="1"/>
  <c r="G301" i="15"/>
  <c r="BX301" i="6" s="1"/>
  <c r="H301" i="15"/>
  <c r="G346" i="15"/>
  <c r="BX346" i="6" s="1"/>
  <c r="H346" i="15"/>
  <c r="G309" i="15"/>
  <c r="BX309" i="6" s="1"/>
  <c r="AA309" i="15"/>
  <c r="Z309" i="15" s="1"/>
  <c r="Y309" i="15" s="1"/>
  <c r="H309" i="15"/>
  <c r="G366" i="15"/>
  <c r="BX366" i="6" s="1"/>
  <c r="H366" i="15"/>
  <c r="V291" i="15"/>
  <c r="F291" i="15" s="1"/>
  <c r="H51" i="15"/>
  <c r="G51" i="15"/>
  <c r="BX51" i="6" s="1"/>
  <c r="G318" i="15"/>
  <c r="BX318" i="6" s="1"/>
  <c r="H318" i="15"/>
  <c r="J318" i="15" s="1"/>
  <c r="G342" i="15"/>
  <c r="BX342" i="6" s="1"/>
  <c r="G376" i="15"/>
  <c r="BX376" i="6" s="1"/>
  <c r="H376" i="15"/>
  <c r="V349" i="15"/>
  <c r="F349" i="15" s="1"/>
  <c r="V305" i="15"/>
  <c r="F305" i="15" s="1"/>
  <c r="I379" i="1"/>
  <c r="AA379" i="1"/>
  <c r="Z379" i="1" s="1"/>
  <c r="Y379" i="1" s="1"/>
  <c r="G379" i="1"/>
  <c r="BW379" i="6" s="1"/>
  <c r="H339" i="15"/>
  <c r="J339" i="15" s="1"/>
  <c r="G249" i="15"/>
  <c r="BX249" i="6" s="1"/>
  <c r="AA249" i="15"/>
  <c r="Z249" i="15" s="1"/>
  <c r="Y249" i="15" s="1"/>
  <c r="AA113" i="15"/>
  <c r="Z113" i="15" s="1"/>
  <c r="Y113" i="15" s="1"/>
  <c r="G113" i="15"/>
  <c r="BX113" i="6" s="1"/>
  <c r="H113" i="15"/>
  <c r="S31" i="15"/>
  <c r="R31" i="15" s="1"/>
  <c r="P31" i="15" s="1"/>
  <c r="V31" i="15" s="1"/>
  <c r="F31" i="15" s="1"/>
  <c r="H211" i="15"/>
  <c r="G211" i="15"/>
  <c r="BX211" i="6" s="1"/>
  <c r="AA211" i="15"/>
  <c r="Z211" i="15" s="1"/>
  <c r="Y211" i="15" s="1"/>
  <c r="S59" i="15"/>
  <c r="R59" i="15" s="1"/>
  <c r="P59" i="15" s="1"/>
  <c r="V59" i="15" s="1"/>
  <c r="F59" i="15" s="1"/>
  <c r="G361" i="15"/>
  <c r="BX361" i="6" s="1"/>
  <c r="S99" i="15"/>
  <c r="R99" i="15" s="1"/>
  <c r="P99" i="15" s="1"/>
  <c r="V99" i="15" s="1"/>
  <c r="F99" i="15" s="1"/>
  <c r="G372" i="15"/>
  <c r="BX372" i="6" s="1"/>
  <c r="H372" i="15"/>
  <c r="AA184" i="15"/>
  <c r="Z184" i="15" s="1"/>
  <c r="Y184" i="15" s="1"/>
  <c r="G184" i="15"/>
  <c r="BX184" i="6" s="1"/>
  <c r="H184" i="15"/>
  <c r="H71" i="15"/>
  <c r="G71" i="15"/>
  <c r="BX71" i="6" s="1"/>
  <c r="S91" i="15"/>
  <c r="R91" i="15" s="1"/>
  <c r="P91" i="15" s="1"/>
  <c r="V91" i="15" s="1"/>
  <c r="F91" i="15" s="1"/>
  <c r="AA207" i="15"/>
  <c r="Z207" i="15" s="1"/>
  <c r="Y207" i="15" s="1"/>
  <c r="G207" i="15"/>
  <c r="BX207" i="6" s="1"/>
  <c r="G279" i="15"/>
  <c r="BX279" i="6" s="1"/>
  <c r="AA279" i="15"/>
  <c r="Z279" i="15" s="1"/>
  <c r="Y279" i="15" s="1"/>
  <c r="H279" i="15"/>
  <c r="G240" i="15"/>
  <c r="BX240" i="6" s="1"/>
  <c r="H240" i="15"/>
  <c r="S19" i="15"/>
  <c r="R19" i="15" s="1"/>
  <c r="P19" i="15" s="1"/>
  <c r="V19" i="15" s="1"/>
  <c r="F19" i="15" s="1"/>
  <c r="S135" i="15"/>
  <c r="R135" i="15" s="1"/>
  <c r="P135" i="15" s="1"/>
  <c r="V135" i="15" s="1"/>
  <c r="S46" i="15"/>
  <c r="R46" i="15" s="1"/>
  <c r="P46" i="15" s="1"/>
  <c r="V46" i="15" s="1"/>
  <c r="S330" i="15"/>
  <c r="R330" i="15" s="1"/>
  <c r="P330" i="15" s="1"/>
  <c r="S49" i="15"/>
  <c r="R49" i="15" s="1"/>
  <c r="P49" i="15" s="1"/>
  <c r="V49" i="15" s="1"/>
  <c r="F49" i="15" s="1"/>
  <c r="S351" i="15"/>
  <c r="R351" i="15" s="1"/>
  <c r="P351" i="15" s="1"/>
  <c r="V351" i="15" s="1"/>
  <c r="F351" i="15" s="1"/>
  <c r="S371" i="15"/>
  <c r="R371" i="15" s="1"/>
  <c r="P371" i="15" s="1"/>
  <c r="V371" i="15" s="1"/>
  <c r="F371" i="15" s="1"/>
  <c r="G209" i="15"/>
  <c r="BX209" i="6" s="1"/>
  <c r="H209" i="15"/>
  <c r="AA209" i="15"/>
  <c r="Z209" i="15" s="1"/>
  <c r="Y209" i="15" s="1"/>
  <c r="S360" i="15"/>
  <c r="R360" i="15" s="1"/>
  <c r="P360" i="15" s="1"/>
  <c r="V360" i="15" s="1"/>
  <c r="F360" i="15" s="1"/>
  <c r="S327" i="15"/>
  <c r="R327" i="15" s="1"/>
  <c r="P327" i="15" s="1"/>
  <c r="V327" i="15" s="1"/>
  <c r="F327" i="15" s="1"/>
  <c r="G242" i="15"/>
  <c r="BX242" i="6" s="1"/>
  <c r="H242" i="15"/>
  <c r="AA242" i="15"/>
  <c r="Z242" i="15" s="1"/>
  <c r="Y242" i="15" s="1"/>
  <c r="V198" i="15"/>
  <c r="F198" i="15" s="1"/>
  <c r="S367" i="15"/>
  <c r="R367" i="15" s="1"/>
  <c r="P367" i="15" s="1"/>
  <c r="V367" i="15" s="1"/>
  <c r="F367" i="15" s="1"/>
  <c r="H310" i="15"/>
  <c r="G310" i="15"/>
  <c r="BX310" i="6" s="1"/>
  <c r="AA310" i="15"/>
  <c r="Z310" i="15" s="1"/>
  <c r="Y310" i="15" s="1"/>
  <c r="S189" i="15"/>
  <c r="R189" i="15" s="1"/>
  <c r="P189" i="15" s="1"/>
  <c r="V189" i="15" s="1"/>
  <c r="AA120" i="15"/>
  <c r="Z120" i="15" s="1"/>
  <c r="Y120" i="15" s="1"/>
  <c r="G120" i="15"/>
  <c r="BX120" i="6" s="1"/>
  <c r="H120" i="15"/>
  <c r="G368" i="15"/>
  <c r="BX368" i="6" s="1"/>
  <c r="AA108" i="15"/>
  <c r="Z108" i="15" s="1"/>
  <c r="Y108" i="15" s="1"/>
  <c r="G108" i="15"/>
  <c r="BX108" i="6" s="1"/>
  <c r="H108" i="15"/>
  <c r="S58" i="15"/>
  <c r="R58" i="15" s="1"/>
  <c r="P58" i="15" s="1"/>
  <c r="S144" i="15"/>
  <c r="R144" i="15" s="1"/>
  <c r="P144" i="15" s="1"/>
  <c r="V144" i="15" s="1"/>
  <c r="F144" i="15" s="1"/>
  <c r="S311" i="15"/>
  <c r="R311" i="15" s="1"/>
  <c r="P311" i="15" s="1"/>
  <c r="V311" i="15" s="1"/>
  <c r="F311" i="15" s="1"/>
  <c r="S53" i="15"/>
  <c r="R53" i="15" s="1"/>
  <c r="P53" i="15" s="1"/>
  <c r="V53" i="15" s="1"/>
  <c r="F53" i="15" s="1"/>
  <c r="S47" i="15"/>
  <c r="R47" i="15" s="1"/>
  <c r="P47" i="15" s="1"/>
  <c r="V47" i="15" s="1"/>
  <c r="F47" i="15" s="1"/>
  <c r="AA201" i="15"/>
  <c r="Z201" i="15" s="1"/>
  <c r="Y201" i="15" s="1"/>
  <c r="G201" i="15"/>
  <c r="BX201" i="6" s="1"/>
  <c r="H201" i="15"/>
  <c r="S306" i="15"/>
  <c r="R306" i="15" s="1"/>
  <c r="P306" i="15" s="1"/>
  <c r="V306" i="15" s="1"/>
  <c r="F306" i="15" s="1"/>
  <c r="AA258" i="15"/>
  <c r="Z258" i="15" s="1"/>
  <c r="Y258" i="15" s="1"/>
  <c r="G258" i="15"/>
  <c r="BX258" i="6" s="1"/>
  <c r="H258" i="15"/>
  <c r="S340" i="15"/>
  <c r="R340" i="15" s="1"/>
  <c r="P340" i="15" s="1"/>
  <c r="V340" i="15" s="1"/>
  <c r="F340" i="15" s="1"/>
  <c r="G130" i="15"/>
  <c r="BX130" i="6" s="1"/>
  <c r="H130" i="15"/>
  <c r="AA283" i="15"/>
  <c r="Z283" i="15" s="1"/>
  <c r="Y283" i="15" s="1"/>
  <c r="G283" i="15"/>
  <c r="BX283" i="6" s="1"/>
  <c r="H283" i="15"/>
  <c r="G312" i="15"/>
  <c r="BX312" i="6" s="1"/>
  <c r="AA299" i="15"/>
  <c r="Z299" i="15" s="1"/>
  <c r="Y299" i="15" s="1"/>
  <c r="G299" i="15"/>
  <c r="BX299" i="6" s="1"/>
  <c r="G65" i="15"/>
  <c r="BX65" i="6" s="1"/>
  <c r="H65" i="15"/>
  <c r="AA204" i="15"/>
  <c r="Z204" i="15" s="1"/>
  <c r="Y204" i="15" s="1"/>
  <c r="G204" i="15"/>
  <c r="BX204" i="6" s="1"/>
  <c r="S78" i="15"/>
  <c r="R78" i="15" s="1"/>
  <c r="P78" i="15" s="1"/>
  <c r="V78" i="15" s="1"/>
  <c r="F78" i="15" s="1"/>
  <c r="G226" i="15"/>
  <c r="BX226" i="6" s="1"/>
  <c r="AA226" i="15"/>
  <c r="Z226" i="15" s="1"/>
  <c r="Y226" i="15" s="1"/>
  <c r="H226" i="15"/>
  <c r="AA109" i="15"/>
  <c r="Z109" i="15" s="1"/>
  <c r="Y109" i="15" s="1"/>
  <c r="G109" i="15"/>
  <c r="BX109" i="6" s="1"/>
  <c r="H109" i="15"/>
  <c r="S345" i="15"/>
  <c r="R345" i="15" s="1"/>
  <c r="P345" i="15" s="1"/>
  <c r="V345" i="15" s="1"/>
  <c r="F345" i="15" s="1"/>
  <c r="G254" i="15"/>
  <c r="BX254" i="6" s="1"/>
  <c r="H254" i="15"/>
  <c r="S25" i="15"/>
  <c r="R25" i="15" s="1"/>
  <c r="P25" i="15" s="1"/>
  <c r="V25" i="15" s="1"/>
  <c r="F25" i="15" s="1"/>
  <c r="S143" i="15"/>
  <c r="R143" i="15" s="1"/>
  <c r="P143" i="15" s="1"/>
  <c r="V143" i="15" s="1"/>
  <c r="F143" i="15" s="1"/>
  <c r="S353" i="15"/>
  <c r="R353" i="15" s="1"/>
  <c r="P353" i="15" s="1"/>
  <c r="V353" i="15" s="1"/>
  <c r="F353" i="15" s="1"/>
  <c r="H188" i="15"/>
  <c r="G188" i="15"/>
  <c r="BX188" i="6" s="1"/>
  <c r="AA188" i="15"/>
  <c r="Z188" i="15" s="1"/>
  <c r="Y188" i="15" s="1"/>
  <c r="S321" i="15"/>
  <c r="R321" i="15" s="1"/>
  <c r="P321" i="15" s="1"/>
  <c r="V321" i="15" s="1"/>
  <c r="F321" i="15" s="1"/>
  <c r="S314" i="15"/>
  <c r="R314" i="15" s="1"/>
  <c r="P314" i="15" s="1"/>
  <c r="V314" i="15" s="1"/>
  <c r="F314" i="15" s="1"/>
  <c r="S316" i="15"/>
  <c r="R316" i="15" s="1"/>
  <c r="P316" i="15" s="1"/>
  <c r="V316" i="15" s="1"/>
  <c r="F316" i="15" s="1"/>
  <c r="S18" i="15"/>
  <c r="R18" i="15" s="1"/>
  <c r="P18" i="15" s="1"/>
  <c r="V18" i="15" s="1"/>
  <c r="F18" i="15" s="1"/>
  <c r="S41" i="15"/>
  <c r="R41" i="15" s="1"/>
  <c r="P41" i="15" s="1"/>
  <c r="V41" i="15" s="1"/>
  <c r="F41" i="15" s="1"/>
  <c r="S102" i="15"/>
  <c r="R102" i="15" s="1"/>
  <c r="P102" i="15" s="1"/>
  <c r="V102" i="15" s="1"/>
  <c r="F102" i="15" s="1"/>
  <c r="S104" i="15"/>
  <c r="R104" i="15" s="1"/>
  <c r="P104" i="15" s="1"/>
  <c r="V104" i="15" s="1"/>
  <c r="F104" i="15" s="1"/>
  <c r="S344" i="15"/>
  <c r="R344" i="15" s="1"/>
  <c r="P344" i="15" s="1"/>
  <c r="V344" i="15" s="1"/>
  <c r="F344" i="15" s="1"/>
  <c r="S86" i="15"/>
  <c r="R86" i="15" s="1"/>
  <c r="P86" i="15" s="1"/>
  <c r="V86" i="15" s="1"/>
  <c r="F86" i="15" s="1"/>
  <c r="G246" i="15"/>
  <c r="BX246" i="6" s="1"/>
  <c r="AA246" i="15"/>
  <c r="Z246" i="15" s="1"/>
  <c r="Y246" i="15" s="1"/>
  <c r="G252" i="15"/>
  <c r="BX252" i="6" s="1"/>
  <c r="AA252" i="15"/>
  <c r="Z252" i="15" s="1"/>
  <c r="Y252" i="15" s="1"/>
  <c r="G244" i="15"/>
  <c r="BX244" i="6" s="1"/>
  <c r="H244" i="15"/>
  <c r="AA266" i="15"/>
  <c r="Z266" i="15" s="1"/>
  <c r="Y266" i="15" s="1"/>
  <c r="G266" i="15"/>
  <c r="BX266" i="6" s="1"/>
  <c r="G162" i="15"/>
  <c r="BX162" i="6" s="1"/>
  <c r="H162" i="15"/>
  <c r="G287" i="15"/>
  <c r="BX287" i="6" s="1"/>
  <c r="H287" i="15"/>
  <c r="G174" i="15"/>
  <c r="BX174" i="6" s="1"/>
  <c r="AA174" i="15"/>
  <c r="Z174" i="15" s="1"/>
  <c r="Y174" i="15" s="1"/>
  <c r="H174" i="15"/>
  <c r="S43" i="15"/>
  <c r="R43" i="15" s="1"/>
  <c r="P43" i="15" s="1"/>
  <c r="V43" i="15" s="1"/>
  <c r="F43" i="15" s="1"/>
  <c r="S27" i="15"/>
  <c r="R27" i="15" s="1"/>
  <c r="P27" i="15" s="1"/>
  <c r="V27" i="15" s="1"/>
  <c r="F27" i="15" s="1"/>
  <c r="S331" i="15"/>
  <c r="R331" i="15" s="1"/>
  <c r="P331" i="15" s="1"/>
  <c r="S155" i="15"/>
  <c r="R155" i="15" s="1"/>
  <c r="P155" i="15" s="1"/>
  <c r="V155" i="15" s="1"/>
  <c r="F155" i="15" s="1"/>
  <c r="S95" i="15"/>
  <c r="R95" i="15" s="1"/>
  <c r="P95" i="15" s="1"/>
  <c r="V95" i="15" s="1"/>
  <c r="F95" i="15" s="1"/>
  <c r="S354" i="15"/>
  <c r="R354" i="15" s="1"/>
  <c r="P354" i="15" s="1"/>
  <c r="G217" i="15"/>
  <c r="BX217" i="6" s="1"/>
  <c r="AA217" i="15"/>
  <c r="Z217" i="15" s="1"/>
  <c r="Y217" i="15" s="1"/>
  <c r="H217" i="15"/>
  <c r="H236" i="15"/>
  <c r="G236" i="15"/>
  <c r="BX236" i="6" s="1"/>
  <c r="AA169" i="15"/>
  <c r="Z169" i="15" s="1"/>
  <c r="Y169" i="15" s="1"/>
  <c r="G169" i="15"/>
  <c r="BX169" i="6" s="1"/>
  <c r="H169" i="15"/>
  <c r="G264" i="15"/>
  <c r="BX264" i="6" s="1"/>
  <c r="AA264" i="15"/>
  <c r="Z264" i="15" s="1"/>
  <c r="Y264" i="15" s="1"/>
  <c r="G278" i="15"/>
  <c r="BX278" i="6" s="1"/>
  <c r="H278" i="15"/>
  <c r="S336" i="15"/>
  <c r="R336" i="15" s="1"/>
  <c r="P336" i="15" s="1"/>
  <c r="S324" i="15"/>
  <c r="R324" i="15" s="1"/>
  <c r="P324" i="15" s="1"/>
  <c r="V324" i="15" s="1"/>
  <c r="F324" i="15" s="1"/>
  <c r="R383" i="1"/>
  <c r="R381" i="1"/>
  <c r="R382" i="1"/>
  <c r="P16" i="1"/>
  <c r="AG102" i="15"/>
  <c r="AF102" i="15" s="1"/>
  <c r="AD102" i="15" s="1"/>
  <c r="AG375" i="15"/>
  <c r="AF375" i="15" s="1"/>
  <c r="AD375" i="15" s="1"/>
  <c r="AG83" i="15"/>
  <c r="AF83" i="15" s="1"/>
  <c r="AD83" i="15" s="1"/>
  <c r="AG323" i="15"/>
  <c r="AF323" i="15" s="1"/>
  <c r="AD323" i="15" s="1"/>
  <c r="AA323" i="15" s="1"/>
  <c r="Z323" i="15" s="1"/>
  <c r="Y323" i="15" s="1"/>
  <c r="AG306" i="15"/>
  <c r="AF306" i="15" s="1"/>
  <c r="AD306" i="15" s="1"/>
  <c r="AG318" i="15"/>
  <c r="AF318" i="15" s="1"/>
  <c r="AD318" i="15" s="1"/>
  <c r="AA318" i="15" s="1"/>
  <c r="Z318" i="15" s="1"/>
  <c r="Y318" i="15" s="1"/>
  <c r="AG48" i="15"/>
  <c r="AF48" i="15" s="1"/>
  <c r="AD48" i="15" s="1"/>
  <c r="AA48" i="15" s="1"/>
  <c r="Z48" i="15" s="1"/>
  <c r="Y48" i="15" s="1"/>
  <c r="AG105" i="15"/>
  <c r="AF105" i="15" s="1"/>
  <c r="AD105" i="15" s="1"/>
  <c r="AG324" i="15"/>
  <c r="AF324" i="15" s="1"/>
  <c r="AD324" i="15" s="1"/>
  <c r="AG32" i="15"/>
  <c r="AF32" i="15" s="1"/>
  <c r="AD32" i="15" s="1"/>
  <c r="AG298" i="15"/>
  <c r="AF298" i="15" s="1"/>
  <c r="AD298" i="15" s="1"/>
  <c r="AG98" i="15"/>
  <c r="AF98" i="15" s="1"/>
  <c r="AD98" i="15" s="1"/>
  <c r="AG141" i="15"/>
  <c r="AF141" i="15" s="1"/>
  <c r="AD141" i="15" s="1"/>
  <c r="AG17" i="15"/>
  <c r="AF17" i="15" s="1"/>
  <c r="AD17" i="15" s="1"/>
  <c r="AG44" i="15"/>
  <c r="AF44" i="15" s="1"/>
  <c r="AD44" i="15" s="1"/>
  <c r="AG140" i="15"/>
  <c r="AF140" i="15" s="1"/>
  <c r="AD140" i="15" s="1"/>
  <c r="AG24" i="15"/>
  <c r="AF24" i="15" s="1"/>
  <c r="AD24" i="15" s="1"/>
  <c r="AG334" i="15"/>
  <c r="AF334" i="15" s="1"/>
  <c r="AD334" i="15" s="1"/>
  <c r="AG81" i="15"/>
  <c r="AF81" i="15" s="1"/>
  <c r="AD81" i="15" s="1"/>
  <c r="AG157" i="15"/>
  <c r="AF157" i="15" s="1"/>
  <c r="AD157" i="15" s="1"/>
  <c r="AG171" i="15"/>
  <c r="AF171" i="15" s="1"/>
  <c r="AD171" i="15" s="1"/>
  <c r="AA171" i="15" s="1"/>
  <c r="Z171" i="15" s="1"/>
  <c r="Y171" i="15" s="1"/>
  <c r="AG56" i="15"/>
  <c r="AF56" i="15" s="1"/>
  <c r="AD56" i="15" s="1"/>
  <c r="AG139" i="15"/>
  <c r="AF139" i="15" s="1"/>
  <c r="AD139" i="15" s="1"/>
  <c r="AG130" i="15"/>
  <c r="AF130" i="15" s="1"/>
  <c r="AD130" i="15" s="1"/>
  <c r="AA130" i="15" s="1"/>
  <c r="Z130" i="15" s="1"/>
  <c r="Y130" i="15" s="1"/>
  <c r="AG255" i="15"/>
  <c r="AF255" i="15" s="1"/>
  <c r="AD255" i="15" s="1"/>
  <c r="AA255" i="15" s="1"/>
  <c r="Z255" i="15" s="1"/>
  <c r="Y255" i="15" s="1"/>
  <c r="AG319" i="15"/>
  <c r="AF319" i="15" s="1"/>
  <c r="AD319" i="15" s="1"/>
  <c r="AG43" i="15"/>
  <c r="AF43" i="15" s="1"/>
  <c r="AD43" i="15" s="1"/>
  <c r="AG328" i="15"/>
  <c r="AF328" i="15" s="1"/>
  <c r="AD328" i="15" s="1"/>
  <c r="AA328" i="15" s="1"/>
  <c r="Z328" i="15" s="1"/>
  <c r="Y328" i="15" s="1"/>
  <c r="AG332" i="15"/>
  <c r="AF332" i="15" s="1"/>
  <c r="AD332" i="15" s="1"/>
  <c r="AA332" i="15" s="1"/>
  <c r="Z332" i="15" s="1"/>
  <c r="Y332" i="15" s="1"/>
  <c r="AG33" i="15"/>
  <c r="AF33" i="15" s="1"/>
  <c r="AD33" i="15" s="1"/>
  <c r="AG144" i="15"/>
  <c r="AF144" i="15" s="1"/>
  <c r="AD144" i="15" s="1"/>
  <c r="AG321" i="15"/>
  <c r="AF321" i="15" s="1"/>
  <c r="AD321" i="15" s="1"/>
  <c r="AG291" i="15"/>
  <c r="AF291" i="15" s="1"/>
  <c r="AD291" i="15" s="1"/>
  <c r="AG50" i="15"/>
  <c r="AF50" i="15" s="1"/>
  <c r="AD50" i="15" s="1"/>
  <c r="AG91" i="15"/>
  <c r="AF91" i="15" s="1"/>
  <c r="AD91" i="15" s="1"/>
  <c r="AG311" i="15"/>
  <c r="AF311" i="15" s="1"/>
  <c r="AD311" i="15" s="1"/>
  <c r="AG99" i="15"/>
  <c r="AF99" i="15" s="1"/>
  <c r="AD99" i="15" s="1"/>
  <c r="AG37" i="15"/>
  <c r="AF37" i="15" s="1"/>
  <c r="AD37" i="15" s="1"/>
  <c r="AG158" i="15"/>
  <c r="AF158" i="15" s="1"/>
  <c r="AD158" i="15" s="1"/>
  <c r="AG296" i="15"/>
  <c r="AF296" i="15" s="1"/>
  <c r="AD296" i="15" s="1"/>
  <c r="AA296" i="15" s="1"/>
  <c r="Z296" i="15" s="1"/>
  <c r="Y296" i="15" s="1"/>
  <c r="AG94" i="15"/>
  <c r="AF94" i="15" s="1"/>
  <c r="AD94" i="15" s="1"/>
  <c r="AG52" i="15"/>
  <c r="AF52" i="15" s="1"/>
  <c r="AD52" i="15" s="1"/>
  <c r="AG78" i="15"/>
  <c r="AF78" i="15" s="1"/>
  <c r="AD78" i="15" s="1"/>
  <c r="AG95" i="15"/>
  <c r="AF95" i="15" s="1"/>
  <c r="AD95" i="15" s="1"/>
  <c r="AG236" i="15"/>
  <c r="AF236" i="15" s="1"/>
  <c r="AD236" i="15" s="1"/>
  <c r="AA236" i="15" s="1"/>
  <c r="Z236" i="15" s="1"/>
  <c r="Y236" i="15" s="1"/>
  <c r="AG142" i="15"/>
  <c r="AF142" i="15" s="1"/>
  <c r="AD142" i="15" s="1"/>
  <c r="AG216" i="15"/>
  <c r="AF216" i="15" s="1"/>
  <c r="AD216" i="15" s="1"/>
  <c r="AA216" i="15" s="1"/>
  <c r="Z216" i="15" s="1"/>
  <c r="Y216" i="15" s="1"/>
  <c r="AG372" i="15"/>
  <c r="AF372" i="15" s="1"/>
  <c r="AD372" i="15" s="1"/>
  <c r="AA372" i="15" s="1"/>
  <c r="Z372" i="15" s="1"/>
  <c r="Y372" i="15" s="1"/>
  <c r="AG63" i="15"/>
  <c r="AF63" i="15" s="1"/>
  <c r="AD63" i="15" s="1"/>
  <c r="AA63" i="15" s="1"/>
  <c r="Z63" i="15" s="1"/>
  <c r="Y63" i="15" s="1"/>
  <c r="AG288" i="15"/>
  <c r="AF288" i="15" s="1"/>
  <c r="AD288" i="15" s="1"/>
  <c r="AA288" i="15" s="1"/>
  <c r="Z288" i="15" s="1"/>
  <c r="Y288" i="15" s="1"/>
  <c r="AH379" i="15"/>
  <c r="AG379" i="15" s="1"/>
  <c r="AF379" i="15" s="1"/>
  <c r="AD379" i="15" s="1"/>
  <c r="AI12" i="16"/>
  <c r="AG25" i="15"/>
  <c r="AF25" i="15" s="1"/>
  <c r="AD25" i="15" s="1"/>
  <c r="AG152" i="15"/>
  <c r="AF152" i="15" s="1"/>
  <c r="AD152" i="15" s="1"/>
  <c r="AG153" i="15"/>
  <c r="AF153" i="15" s="1"/>
  <c r="AD153" i="15" s="1"/>
  <c r="AA153" i="15" s="1"/>
  <c r="Z153" i="15" s="1"/>
  <c r="Y153" i="15" s="1"/>
  <c r="AG320" i="15"/>
  <c r="AF320" i="15" s="1"/>
  <c r="AD320" i="15" s="1"/>
  <c r="AG282" i="15"/>
  <c r="AF282" i="15" s="1"/>
  <c r="AD282" i="15" s="1"/>
  <c r="AA282" i="15" s="1"/>
  <c r="Z282" i="15" s="1"/>
  <c r="Y282" i="15" s="1"/>
  <c r="AG295" i="15"/>
  <c r="AF295" i="15" s="1"/>
  <c r="AD295" i="15" s="1"/>
  <c r="AA295" i="15" s="1"/>
  <c r="Z295" i="15" s="1"/>
  <c r="Y295" i="15" s="1"/>
  <c r="AG46" i="15"/>
  <c r="AF46" i="15" s="1"/>
  <c r="AD46" i="15" s="1"/>
  <c r="AG148" i="15"/>
  <c r="AF148" i="15" s="1"/>
  <c r="AD148" i="15" s="1"/>
  <c r="AG370" i="15"/>
  <c r="AF370" i="15" s="1"/>
  <c r="AD370" i="15" s="1"/>
  <c r="AA370" i="15" s="1"/>
  <c r="Z370" i="15" s="1"/>
  <c r="Y370" i="15" s="1"/>
  <c r="AG274" i="15"/>
  <c r="AF274" i="15" s="1"/>
  <c r="AD274" i="15" s="1"/>
  <c r="AA274" i="15" s="1"/>
  <c r="Z274" i="15" s="1"/>
  <c r="Y274" i="15" s="1"/>
  <c r="AG180" i="15"/>
  <c r="AF180" i="15" s="1"/>
  <c r="AD180" i="15" s="1"/>
  <c r="AG366" i="15"/>
  <c r="AF366" i="15" s="1"/>
  <c r="AD366" i="15" s="1"/>
  <c r="AA366" i="15" s="1"/>
  <c r="Z366" i="15" s="1"/>
  <c r="Y366" i="15" s="1"/>
  <c r="AG356" i="15"/>
  <c r="AF356" i="15" s="1"/>
  <c r="AD356" i="15" s="1"/>
  <c r="AA356" i="15" s="1"/>
  <c r="Z356" i="15" s="1"/>
  <c r="Y356" i="15" s="1"/>
  <c r="AG42" i="15"/>
  <c r="AF42" i="15" s="1"/>
  <c r="AD42" i="15" s="1"/>
  <c r="AA42" i="15" s="1"/>
  <c r="Z42" i="15" s="1"/>
  <c r="Y42" i="15" s="1"/>
  <c r="AG346" i="15"/>
  <c r="AF346" i="15" s="1"/>
  <c r="AD346" i="15" s="1"/>
  <c r="AA346" i="15" s="1"/>
  <c r="Z346" i="15" s="1"/>
  <c r="Y346" i="15" s="1"/>
  <c r="AG276" i="15"/>
  <c r="AF276" i="15" s="1"/>
  <c r="AD276" i="15" s="1"/>
  <c r="AA276" i="15" s="1"/>
  <c r="Z276" i="15" s="1"/>
  <c r="Y276" i="15" s="1"/>
  <c r="AG355" i="15"/>
  <c r="AF355" i="15" s="1"/>
  <c r="AD355" i="15" s="1"/>
  <c r="AA355" i="15" s="1"/>
  <c r="Z355" i="15" s="1"/>
  <c r="Y355" i="15" s="1"/>
  <c r="AG317" i="15"/>
  <c r="AF317" i="15" s="1"/>
  <c r="AD317" i="15" s="1"/>
  <c r="AG307" i="15"/>
  <c r="AF307" i="15" s="1"/>
  <c r="AD307" i="15" s="1"/>
  <c r="AA307" i="15" s="1"/>
  <c r="Z307" i="15" s="1"/>
  <c r="Y307" i="15" s="1"/>
  <c r="AG161" i="15"/>
  <c r="AF161" i="15" s="1"/>
  <c r="AD161" i="15" s="1"/>
  <c r="AG26" i="15"/>
  <c r="AF26" i="15" s="1"/>
  <c r="AD26" i="15" s="1"/>
  <c r="AG106" i="15"/>
  <c r="AF106" i="15" s="1"/>
  <c r="AD106" i="15" s="1"/>
  <c r="AA106" i="15" s="1"/>
  <c r="Z106" i="15" s="1"/>
  <c r="Y106" i="15" s="1"/>
  <c r="AG155" i="15"/>
  <c r="AF155" i="15" s="1"/>
  <c r="AD155" i="15" s="1"/>
  <c r="AG136" i="15"/>
  <c r="AF136" i="15" s="1"/>
  <c r="AD136" i="15" s="1"/>
  <c r="AG349" i="15"/>
  <c r="AF349" i="15" s="1"/>
  <c r="AD349" i="15" s="1"/>
  <c r="AG365" i="15"/>
  <c r="AF365" i="15" s="1"/>
  <c r="AD365" i="15" s="1"/>
  <c r="AA365" i="15" s="1"/>
  <c r="Z365" i="15" s="1"/>
  <c r="Y365" i="15" s="1"/>
  <c r="AG84" i="15"/>
  <c r="AF84" i="15" s="1"/>
  <c r="AD84" i="15" s="1"/>
  <c r="AG34" i="15"/>
  <c r="AF34" i="15" s="1"/>
  <c r="AD34" i="15" s="1"/>
  <c r="AG278" i="15"/>
  <c r="AF278" i="15" s="1"/>
  <c r="AD278" i="15" s="1"/>
  <c r="AA278" i="15" s="1"/>
  <c r="Z278" i="15" s="1"/>
  <c r="Y278" i="15" s="1"/>
  <c r="AG61" i="15"/>
  <c r="AF61" i="15" s="1"/>
  <c r="AD61" i="15" s="1"/>
  <c r="AG100" i="15"/>
  <c r="AF100" i="15" s="1"/>
  <c r="AD100" i="15" s="1"/>
  <c r="AG164" i="15"/>
  <c r="AF164" i="15" s="1"/>
  <c r="AD164" i="15" s="1"/>
  <c r="AA164" i="15" s="1"/>
  <c r="Z164" i="15" s="1"/>
  <c r="Y164" i="15" s="1"/>
  <c r="AG289" i="15"/>
  <c r="AF289" i="15" s="1"/>
  <c r="AD289" i="15" s="1"/>
  <c r="AA289" i="15" s="1"/>
  <c r="Z289" i="15" s="1"/>
  <c r="Y289" i="15" s="1"/>
  <c r="AG300" i="15"/>
  <c r="AF300" i="15" s="1"/>
  <c r="AD300" i="15" s="1"/>
  <c r="AA65" i="15"/>
  <c r="Z65" i="15" s="1"/>
  <c r="Y65" i="15" s="1"/>
  <c r="AG350" i="15"/>
  <c r="AF350" i="15" s="1"/>
  <c r="AD350" i="15" s="1"/>
  <c r="AG312" i="15"/>
  <c r="AF312" i="15" s="1"/>
  <c r="AD312" i="15" s="1"/>
  <c r="AA312" i="15" s="1"/>
  <c r="Z312" i="15" s="1"/>
  <c r="Y312" i="15" s="1"/>
  <c r="AA254" i="15"/>
  <c r="Z254" i="15" s="1"/>
  <c r="Y254" i="15" s="1"/>
  <c r="AG329" i="15"/>
  <c r="AF329" i="15" s="1"/>
  <c r="AD329" i="15" s="1"/>
  <c r="AI382" i="15"/>
  <c r="AI383" i="15"/>
  <c r="AH15" i="15"/>
  <c r="AI381" i="15"/>
  <c r="AG147" i="15"/>
  <c r="AF147" i="15" s="1"/>
  <c r="AD147" i="15" s="1"/>
  <c r="AG353" i="15"/>
  <c r="AF353" i="15" s="1"/>
  <c r="AD353" i="15" s="1"/>
  <c r="AG146" i="15"/>
  <c r="AF146" i="15" s="1"/>
  <c r="AD146" i="15" s="1"/>
  <c r="AG364" i="15"/>
  <c r="AF364" i="15" s="1"/>
  <c r="AD364" i="15" s="1"/>
  <c r="AA364" i="15" s="1"/>
  <c r="Z364" i="15" s="1"/>
  <c r="Y364" i="15" s="1"/>
  <c r="AG45" i="15"/>
  <c r="AF45" i="15" s="1"/>
  <c r="AD45" i="15" s="1"/>
  <c r="AA45" i="15" s="1"/>
  <c r="Z45" i="15" s="1"/>
  <c r="Y45" i="15" s="1"/>
  <c r="AG16" i="15"/>
  <c r="AF16" i="15" s="1"/>
  <c r="AD16" i="15" s="1"/>
  <c r="AG89" i="15"/>
  <c r="AF89" i="15" s="1"/>
  <c r="AD89" i="15" s="1"/>
  <c r="H204" i="15"/>
  <c r="H361" i="15"/>
  <c r="H299" i="15"/>
  <c r="H168" i="15"/>
  <c r="AA168" i="15"/>
  <c r="Z168" i="15" s="1"/>
  <c r="Y168" i="15" s="1"/>
  <c r="G168" i="15"/>
  <c r="BX168" i="6" s="1"/>
  <c r="I64" i="15"/>
  <c r="J64" i="15"/>
  <c r="V322" i="15"/>
  <c r="F322" i="15" s="1"/>
  <c r="V56" i="15"/>
  <c r="F56" i="15" s="1"/>
  <c r="V377" i="15"/>
  <c r="F377" i="15" s="1"/>
  <c r="G40" i="15"/>
  <c r="BX40" i="6" s="1"/>
  <c r="H40" i="15"/>
  <c r="V60" i="15"/>
  <c r="F60" i="15" s="1"/>
  <c r="D33" i="7"/>
  <c r="V52" i="15"/>
  <c r="F52" i="15" s="1"/>
  <c r="V350" i="15"/>
  <c r="F350" i="15" s="1"/>
  <c r="V57" i="15"/>
  <c r="F57" i="15" s="1"/>
  <c r="I124" i="15"/>
  <c r="J124" i="15"/>
  <c r="J132" i="15"/>
  <c r="I132" i="15"/>
  <c r="V298" i="15"/>
  <c r="F298" i="15" s="1"/>
  <c r="G289" i="15"/>
  <c r="BX289" i="6" s="1"/>
  <c r="G48" i="15"/>
  <c r="BX48" i="6" s="1"/>
  <c r="H48" i="15"/>
  <c r="J256" i="15"/>
  <c r="I256" i="15"/>
  <c r="AA67" i="15"/>
  <c r="Z67" i="15" s="1"/>
  <c r="Y67" i="15" s="1"/>
  <c r="G67" i="15"/>
  <c r="BX67" i="6" s="1"/>
  <c r="H67" i="15"/>
  <c r="G296" i="15"/>
  <c r="BX296" i="6" s="1"/>
  <c r="J131" i="15"/>
  <c r="I131" i="15"/>
  <c r="AD16" i="1"/>
  <c r="AF383" i="1"/>
  <c r="AF381" i="1"/>
  <c r="AF382" i="1"/>
  <c r="H249" i="15"/>
  <c r="H289" i="15"/>
  <c r="H368" i="15"/>
  <c r="H352" i="15"/>
  <c r="I352" i="15" s="1"/>
  <c r="H337" i="15"/>
  <c r="I337" i="15" s="1"/>
  <c r="H325" i="15"/>
  <c r="J325" i="15" s="1"/>
  <c r="H342" i="15"/>
  <c r="J342" i="15" s="1"/>
  <c r="H62" i="15"/>
  <c r="J62" i="15" s="1"/>
  <c r="H326" i="15"/>
  <c r="I326" i="15" s="1"/>
  <c r="F167" i="15"/>
  <c r="H167" i="15" s="1"/>
  <c r="AA221" i="15"/>
  <c r="Z221" i="15" s="1"/>
  <c r="Y221" i="15" s="1"/>
  <c r="H129" i="15"/>
  <c r="J129" i="15" s="1"/>
  <c r="I270" i="15"/>
  <c r="J196" i="15"/>
  <c r="J260" i="15"/>
  <c r="I277" i="15"/>
  <c r="J277" i="15"/>
  <c r="AA270" i="15"/>
  <c r="Z270" i="15" s="1"/>
  <c r="Y270" i="15" s="1"/>
  <c r="G270" i="15"/>
  <c r="BX270" i="6" s="1"/>
  <c r="S140" i="15"/>
  <c r="R140" i="15" s="1"/>
  <c r="P140" i="15" s="1"/>
  <c r="V140" i="15" s="1"/>
  <c r="F140" i="15" s="1"/>
  <c r="U381" i="15"/>
  <c r="U382" i="15"/>
  <c r="T15" i="15"/>
  <c r="U383" i="15"/>
  <c r="V227" i="15"/>
  <c r="AA182" i="15"/>
  <c r="Z182" i="15" s="1"/>
  <c r="Y182" i="15" s="1"/>
  <c r="G182" i="15"/>
  <c r="BX182" i="6" s="1"/>
  <c r="H182" i="15"/>
  <c r="G192" i="15"/>
  <c r="BX192" i="6" s="1"/>
  <c r="H192" i="15"/>
  <c r="G199" i="15"/>
  <c r="BX199" i="6" s="1"/>
  <c r="H199" i="15"/>
  <c r="S34" i="15"/>
  <c r="R34" i="15" s="1"/>
  <c r="P34" i="15" s="1"/>
  <c r="V34" i="15" s="1"/>
  <c r="F34" i="15" s="1"/>
  <c r="AA260" i="15"/>
  <c r="Z260" i="15" s="1"/>
  <c r="Y260" i="15" s="1"/>
  <c r="G260" i="15"/>
  <c r="BX260" i="6" s="1"/>
  <c r="G76" i="15"/>
  <c r="BX76" i="6" s="1"/>
  <c r="H76" i="15"/>
  <c r="AA284" i="15"/>
  <c r="Z284" i="15" s="1"/>
  <c r="Y284" i="15" s="1"/>
  <c r="G284" i="15"/>
  <c r="BX284" i="6" s="1"/>
  <c r="H284" i="15"/>
  <c r="G215" i="15"/>
  <c r="BX215" i="6" s="1"/>
  <c r="AA215" i="15"/>
  <c r="Z215" i="15" s="1"/>
  <c r="Y215" i="15" s="1"/>
  <c r="H197" i="15"/>
  <c r="G197" i="15"/>
  <c r="BX197" i="6" s="1"/>
  <c r="S139" i="15"/>
  <c r="R139" i="15" s="1"/>
  <c r="P139" i="15" s="1"/>
  <c r="V139" i="15" s="1"/>
  <c r="F139" i="15" s="1"/>
  <c r="H282" i="15"/>
  <c r="G282" i="15"/>
  <c r="BX282" i="6" s="1"/>
  <c r="S348" i="15"/>
  <c r="R348" i="15" s="1"/>
  <c r="P348" i="15" s="1"/>
  <c r="V348" i="15" s="1"/>
  <c r="F348" i="15" s="1"/>
  <c r="G183" i="15"/>
  <c r="BX183" i="6" s="1"/>
  <c r="H183" i="15"/>
  <c r="G175" i="15"/>
  <c r="BX175" i="6" s="1"/>
  <c r="AA175" i="15"/>
  <c r="Z175" i="15" s="1"/>
  <c r="Y175" i="15" s="1"/>
  <c r="H175" i="15"/>
  <c r="S147" i="15"/>
  <c r="R147" i="15" s="1"/>
  <c r="P147" i="15" s="1"/>
  <c r="V147" i="15" s="1"/>
  <c r="F147" i="15" s="1"/>
  <c r="S138" i="15"/>
  <c r="R138" i="15" s="1"/>
  <c r="P138" i="15" s="1"/>
  <c r="V138" i="15" s="1"/>
  <c r="F138" i="15" s="1"/>
  <c r="S151" i="15"/>
  <c r="R151" i="15" s="1"/>
  <c r="P151" i="15" s="1"/>
  <c r="V151" i="15" s="1"/>
  <c r="F151" i="15" s="1"/>
  <c r="S38" i="15"/>
  <c r="R38" i="15" s="1"/>
  <c r="P38" i="15" s="1"/>
  <c r="V38" i="15" s="1"/>
  <c r="F38" i="15" s="1"/>
  <c r="AA72" i="15"/>
  <c r="Z72" i="15" s="1"/>
  <c r="Y72" i="15" s="1"/>
  <c r="H72" i="15"/>
  <c r="G72" i="15"/>
  <c r="BX72" i="6" s="1"/>
  <c r="G224" i="15"/>
  <c r="BX224" i="6" s="1"/>
  <c r="H224" i="15"/>
  <c r="G194" i="15"/>
  <c r="BX194" i="6" s="1"/>
  <c r="AA194" i="15"/>
  <c r="Z194" i="15" s="1"/>
  <c r="Y194" i="15" s="1"/>
  <c r="H194" i="15"/>
  <c r="G362" i="15"/>
  <c r="BX362" i="6" s="1"/>
  <c r="AA362" i="15"/>
  <c r="Z362" i="15" s="1"/>
  <c r="Y362" i="15" s="1"/>
  <c r="H362" i="15"/>
  <c r="S334" i="15"/>
  <c r="R334" i="15" s="1"/>
  <c r="P334" i="15" s="1"/>
  <c r="G181" i="15"/>
  <c r="BX181" i="6" s="1"/>
  <c r="AA181" i="15"/>
  <c r="Z181" i="15" s="1"/>
  <c r="Y181" i="15" s="1"/>
  <c r="H181" i="15"/>
  <c r="G307" i="15"/>
  <c r="BX307" i="6" s="1"/>
  <c r="H307" i="15"/>
  <c r="G286" i="15"/>
  <c r="BX286" i="6" s="1"/>
  <c r="H286" i="15"/>
  <c r="V241" i="15"/>
  <c r="D39" i="7"/>
  <c r="F241" i="15"/>
  <c r="G261" i="15"/>
  <c r="BX261" i="6" s="1"/>
  <c r="H261" i="15"/>
  <c r="S357" i="15"/>
  <c r="R357" i="15" s="1"/>
  <c r="P357" i="15" s="1"/>
  <c r="V357" i="15" s="1"/>
  <c r="F357" i="15" s="1"/>
  <c r="AA378" i="15"/>
  <c r="Z378" i="15" s="1"/>
  <c r="Y378" i="15" s="1"/>
  <c r="G378" i="15"/>
  <c r="BX378" i="6" s="1"/>
  <c r="H378" i="15"/>
  <c r="S159" i="15"/>
  <c r="R159" i="15" s="1"/>
  <c r="P159" i="15" s="1"/>
  <c r="V159" i="15" s="1"/>
  <c r="F159" i="15" s="1"/>
  <c r="S137" i="15"/>
  <c r="R137" i="15" s="1"/>
  <c r="P137" i="15" s="1"/>
  <c r="V137" i="15" s="1"/>
  <c r="F137" i="15" s="1"/>
  <c r="AA185" i="15"/>
  <c r="Z185" i="15" s="1"/>
  <c r="Y185" i="15" s="1"/>
  <c r="G185" i="15"/>
  <c r="BX185" i="6" s="1"/>
  <c r="H185" i="15"/>
  <c r="G297" i="15"/>
  <c r="BX297" i="6" s="1"/>
  <c r="H297" i="15"/>
  <c r="G295" i="15"/>
  <c r="BX295" i="6" s="1"/>
  <c r="H295" i="15"/>
  <c r="S77" i="15"/>
  <c r="R77" i="15" s="1"/>
  <c r="P77" i="15" s="1"/>
  <c r="G177" i="15"/>
  <c r="BX177" i="6" s="1"/>
  <c r="AA177" i="15"/>
  <c r="Z177" i="15" s="1"/>
  <c r="Y177" i="15" s="1"/>
  <c r="H177" i="15"/>
  <c r="G276" i="15"/>
  <c r="BX276" i="6" s="1"/>
  <c r="H276" i="15"/>
  <c r="G370" i="15"/>
  <c r="BX370" i="6" s="1"/>
  <c r="S154" i="15"/>
  <c r="R154" i="15" s="1"/>
  <c r="P154" i="15" s="1"/>
  <c r="V154" i="15" s="1"/>
  <c r="F154" i="15" s="1"/>
  <c r="S36" i="15"/>
  <c r="R36" i="15" s="1"/>
  <c r="P36" i="15" s="1"/>
  <c r="V36" i="15" s="1"/>
  <c r="F36" i="15" s="1"/>
  <c r="G263" i="15"/>
  <c r="BX263" i="6" s="1"/>
  <c r="H263" i="15"/>
  <c r="S54" i="15"/>
  <c r="R54" i="15" s="1"/>
  <c r="P54" i="15" s="1"/>
  <c r="V54" i="15" s="1"/>
  <c r="F54" i="15" s="1"/>
  <c r="G218" i="15"/>
  <c r="BX218" i="6" s="1"/>
  <c r="H218" i="15"/>
  <c r="S338" i="15"/>
  <c r="R338" i="15" s="1"/>
  <c r="P338" i="15" s="1"/>
  <c r="V338" i="15" s="1"/>
  <c r="F338" i="15" s="1"/>
  <c r="G196" i="15"/>
  <c r="BX196" i="6" s="1"/>
  <c r="AA196" i="15"/>
  <c r="Z196" i="15" s="1"/>
  <c r="Y196" i="15" s="1"/>
  <c r="S320" i="15"/>
  <c r="R320" i="15" s="1"/>
  <c r="P320" i="15" s="1"/>
  <c r="S82" i="15"/>
  <c r="R82" i="15" s="1"/>
  <c r="P82" i="15" s="1"/>
  <c r="V82" i="15" s="1"/>
  <c r="F82" i="15" s="1"/>
  <c r="AA369" i="15"/>
  <c r="Z369" i="15" s="1"/>
  <c r="Y369" i="15" s="1"/>
  <c r="G369" i="15"/>
  <c r="BX369" i="6" s="1"/>
  <c r="H369" i="15"/>
  <c r="S37" i="15"/>
  <c r="R37" i="15" s="1"/>
  <c r="P37" i="15" s="1"/>
  <c r="V37" i="15" s="1"/>
  <c r="F37" i="15" s="1"/>
  <c r="AA248" i="15"/>
  <c r="Z248" i="15" s="1"/>
  <c r="Y248" i="15" s="1"/>
  <c r="G248" i="15"/>
  <c r="BX248" i="6" s="1"/>
  <c r="S333" i="15"/>
  <c r="R333" i="15" s="1"/>
  <c r="P333" i="15" s="1"/>
  <c r="S293" i="15"/>
  <c r="R293" i="15" s="1"/>
  <c r="P293" i="15" s="1"/>
  <c r="V293" i="15" s="1"/>
  <c r="S319" i="15"/>
  <c r="R319" i="15" s="1"/>
  <c r="P319" i="15" s="1"/>
  <c r="AA234" i="15"/>
  <c r="Z234" i="15" s="1"/>
  <c r="Y234" i="15" s="1"/>
  <c r="G234" i="15"/>
  <c r="BX234" i="6" s="1"/>
  <c r="H234" i="15"/>
  <c r="S121" i="15"/>
  <c r="R121" i="15" s="1"/>
  <c r="P121" i="15" s="1"/>
  <c r="V121" i="15" s="1"/>
  <c r="F121" i="15" s="1"/>
  <c r="AA110" i="15"/>
  <c r="Z110" i="15" s="1"/>
  <c r="Y110" i="15" s="1"/>
  <c r="G110" i="15"/>
  <c r="BX110" i="6" s="1"/>
  <c r="H110" i="15"/>
  <c r="AA232" i="15"/>
  <c r="Z232" i="15" s="1"/>
  <c r="Y232" i="15" s="1"/>
  <c r="G232" i="15"/>
  <c r="BX232" i="6" s="1"/>
  <c r="H232" i="15"/>
  <c r="H262" i="15"/>
  <c r="G262" i="15"/>
  <c r="BX262" i="6" s="1"/>
  <c r="AA262" i="15"/>
  <c r="Z262" i="15" s="1"/>
  <c r="Y262" i="15" s="1"/>
  <c r="S20" i="15"/>
  <c r="R20" i="15" s="1"/>
  <c r="P20" i="15" s="1"/>
  <c r="V20" i="15" s="1"/>
  <c r="F20" i="15" s="1"/>
  <c r="G313" i="15"/>
  <c r="BX313" i="6" s="1"/>
  <c r="AA313" i="15"/>
  <c r="Z313" i="15" s="1"/>
  <c r="Y313" i="15" s="1"/>
  <c r="G216" i="15"/>
  <c r="BX216" i="6" s="1"/>
  <c r="G290" i="15"/>
  <c r="BX290" i="6" s="1"/>
  <c r="H290" i="15"/>
  <c r="AA290" i="15"/>
  <c r="Z290" i="15" s="1"/>
  <c r="Y290" i="15" s="1"/>
  <c r="S343" i="15"/>
  <c r="R343" i="15" s="1"/>
  <c r="P343" i="15" s="1"/>
  <c r="V343" i="15" s="1"/>
  <c r="F343" i="15" s="1"/>
  <c r="S149" i="15"/>
  <c r="R149" i="15" s="1"/>
  <c r="P149" i="15" s="1"/>
  <c r="AA223" i="15"/>
  <c r="Z223" i="15" s="1"/>
  <c r="Y223" i="15" s="1"/>
  <c r="G223" i="15"/>
  <c r="BX223" i="6" s="1"/>
  <c r="S123" i="15"/>
  <c r="R123" i="15" s="1"/>
  <c r="P123" i="15" s="1"/>
  <c r="V123" i="15" s="1"/>
  <c r="F123" i="15" s="1"/>
  <c r="G166" i="15"/>
  <c r="BX166" i="6" s="1"/>
  <c r="H166" i="15"/>
  <c r="AA166" i="15"/>
  <c r="Z166" i="15" s="1"/>
  <c r="Y166" i="15" s="1"/>
  <c r="V210" i="15"/>
  <c r="F210" i="15" s="1"/>
  <c r="D38" i="7"/>
  <c r="G202" i="15"/>
  <c r="BX202" i="6" s="1"/>
  <c r="H202" i="15"/>
  <c r="S24" i="15"/>
  <c r="R24" i="15" s="1"/>
  <c r="P24" i="15" s="1"/>
  <c r="V24" i="15" s="1"/>
  <c r="F24" i="15" s="1"/>
  <c r="S146" i="15"/>
  <c r="R146" i="15" s="1"/>
  <c r="P146" i="15" s="1"/>
  <c r="V146" i="15" s="1"/>
  <c r="F146" i="15" s="1"/>
  <c r="H165" i="15"/>
  <c r="G165" i="15"/>
  <c r="BX165" i="6" s="1"/>
  <c r="AA165" i="15"/>
  <c r="Z165" i="15" s="1"/>
  <c r="Y165" i="15" s="1"/>
  <c r="S94" i="15"/>
  <c r="R94" i="15" s="1"/>
  <c r="P94" i="15" s="1"/>
  <c r="S347" i="15"/>
  <c r="R347" i="15" s="1"/>
  <c r="P347" i="15" s="1"/>
  <c r="V347" i="15" s="1"/>
  <c r="F347" i="15" s="1"/>
  <c r="G230" i="15"/>
  <c r="BX230" i="6" s="1"/>
  <c r="AA230" i="15"/>
  <c r="Z230" i="15" s="1"/>
  <c r="Y230" i="15" s="1"/>
  <c r="H230" i="15"/>
  <c r="S88" i="15"/>
  <c r="R88" i="15" s="1"/>
  <c r="P88" i="15" s="1"/>
  <c r="S16" i="15"/>
  <c r="R16" i="15" s="1"/>
  <c r="P16" i="15" s="1"/>
  <c r="V16" i="15" s="1"/>
  <c r="F16" i="15" s="1"/>
  <c r="J269" i="15"/>
  <c r="I269" i="15"/>
  <c r="AG88" i="15"/>
  <c r="AF88" i="15" s="1"/>
  <c r="AD88" i="15" s="1"/>
  <c r="AA190" i="15"/>
  <c r="Z190" i="15" s="1"/>
  <c r="Y190" i="15" s="1"/>
  <c r="AA225" i="15"/>
  <c r="Z225" i="15" s="1"/>
  <c r="Y225" i="15" s="1"/>
  <c r="AG339" i="15"/>
  <c r="AF339" i="15" s="1"/>
  <c r="AD339" i="15" s="1"/>
  <c r="AA339" i="15" s="1"/>
  <c r="Z339" i="15" s="1"/>
  <c r="Y339" i="15" s="1"/>
  <c r="AG36" i="15"/>
  <c r="AF36" i="15" s="1"/>
  <c r="AD36" i="15" s="1"/>
  <c r="AG86" i="15"/>
  <c r="AF86" i="15" s="1"/>
  <c r="AD86" i="15" s="1"/>
  <c r="AG77" i="15"/>
  <c r="AF77" i="15" s="1"/>
  <c r="AD77" i="15" s="1"/>
  <c r="AA183" i="15"/>
  <c r="Z183" i="15" s="1"/>
  <c r="Y183" i="15" s="1"/>
  <c r="AG360" i="15"/>
  <c r="AF360" i="15" s="1"/>
  <c r="AD360" i="15" s="1"/>
  <c r="AG343" i="15"/>
  <c r="AF343" i="15" s="1"/>
  <c r="AD343" i="15" s="1"/>
  <c r="AG23" i="15"/>
  <c r="AF23" i="15" s="1"/>
  <c r="AD23" i="15" s="1"/>
  <c r="AG35" i="15"/>
  <c r="AF35" i="15" s="1"/>
  <c r="AD35" i="15" s="1"/>
  <c r="AA71" i="15"/>
  <c r="Z71" i="15" s="1"/>
  <c r="Y71" i="15" s="1"/>
  <c r="AG53" i="15"/>
  <c r="AF53" i="15" s="1"/>
  <c r="AD53" i="15" s="1"/>
  <c r="AG93" i="15"/>
  <c r="AF93" i="15" s="1"/>
  <c r="AD93" i="15" s="1"/>
  <c r="AG336" i="15"/>
  <c r="AF336" i="15" s="1"/>
  <c r="AD336" i="15" s="1"/>
  <c r="AG30" i="15"/>
  <c r="AF30" i="15" s="1"/>
  <c r="AD30" i="15" s="1"/>
  <c r="AG314" i="15"/>
  <c r="AF314" i="15" s="1"/>
  <c r="AD314" i="15" s="1"/>
  <c r="AG137" i="15"/>
  <c r="AF137" i="15" s="1"/>
  <c r="AD137" i="15" s="1"/>
  <c r="AG20" i="15"/>
  <c r="AF20" i="15" s="1"/>
  <c r="AD20" i="15" s="1"/>
  <c r="AG28" i="15"/>
  <c r="AF28" i="15" s="1"/>
  <c r="AD28" i="15" s="1"/>
  <c r="AG376" i="15"/>
  <c r="AF376" i="15" s="1"/>
  <c r="AD376" i="15" s="1"/>
  <c r="AA376" i="15" s="1"/>
  <c r="Z376" i="15" s="1"/>
  <c r="Y376" i="15" s="1"/>
  <c r="AA286" i="15"/>
  <c r="Z286" i="15" s="1"/>
  <c r="Y286" i="15" s="1"/>
  <c r="AG368" i="15"/>
  <c r="AF368" i="15" s="1"/>
  <c r="AD368" i="15" s="1"/>
  <c r="AA368" i="15" s="1"/>
  <c r="Z368" i="15" s="1"/>
  <c r="Y368" i="15" s="1"/>
  <c r="AG39" i="15"/>
  <c r="AF39" i="15" s="1"/>
  <c r="AD39" i="15" s="1"/>
  <c r="AA39" i="15" s="1"/>
  <c r="Z39" i="15" s="1"/>
  <c r="Y39" i="15" s="1"/>
  <c r="AG351" i="15"/>
  <c r="AF351" i="15" s="1"/>
  <c r="AD351" i="15" s="1"/>
  <c r="AG352" i="15"/>
  <c r="AF352" i="15" s="1"/>
  <c r="AD352" i="15" s="1"/>
  <c r="AA352" i="15" s="1"/>
  <c r="Z352" i="15" s="1"/>
  <c r="Y352" i="15" s="1"/>
  <c r="AG21" i="15"/>
  <c r="AF21" i="15" s="1"/>
  <c r="AD21" i="15" s="1"/>
  <c r="AG341" i="15"/>
  <c r="AF341" i="15" s="1"/>
  <c r="AD341" i="15" s="1"/>
  <c r="AG145" i="15"/>
  <c r="AF145" i="15" s="1"/>
  <c r="AD145" i="15" s="1"/>
  <c r="AG354" i="15"/>
  <c r="AF354" i="15" s="1"/>
  <c r="AD354" i="15" s="1"/>
  <c r="AG76" i="15"/>
  <c r="AF76" i="15" s="1"/>
  <c r="AD76" i="15" s="1"/>
  <c r="AA76" i="15" s="1"/>
  <c r="Z76" i="15" s="1"/>
  <c r="Y76" i="15" s="1"/>
  <c r="AG138" i="15"/>
  <c r="AF138" i="15" s="1"/>
  <c r="AD138" i="15" s="1"/>
  <c r="AG330" i="15"/>
  <c r="AF330" i="15" s="1"/>
  <c r="AD330" i="15" s="1"/>
  <c r="AG85" i="15"/>
  <c r="AF85" i="15" s="1"/>
  <c r="AD85" i="15" s="1"/>
  <c r="AG114" i="15"/>
  <c r="AF114" i="15" s="1"/>
  <c r="AD114" i="15" s="1"/>
  <c r="AA114" i="15" s="1"/>
  <c r="Z114" i="15" s="1"/>
  <c r="Y114" i="15" s="1"/>
  <c r="AG342" i="15"/>
  <c r="AF342" i="15" s="1"/>
  <c r="AD342" i="15" s="1"/>
  <c r="AA342" i="15" s="1"/>
  <c r="Z342" i="15" s="1"/>
  <c r="Y342" i="15" s="1"/>
  <c r="AA192" i="15"/>
  <c r="Z192" i="15" s="1"/>
  <c r="Y192" i="15" s="1"/>
  <c r="AG69" i="15"/>
  <c r="AF69" i="15" s="1"/>
  <c r="AD69" i="15" s="1"/>
  <c r="AA69" i="15" s="1"/>
  <c r="Z69" i="15" s="1"/>
  <c r="Y69" i="15" s="1"/>
  <c r="AG80" i="15"/>
  <c r="AF80" i="15" s="1"/>
  <c r="AD80" i="15" s="1"/>
  <c r="AA224" i="15"/>
  <c r="Z224" i="15" s="1"/>
  <c r="Y224" i="15" s="1"/>
  <c r="AG325" i="15"/>
  <c r="AF325" i="15" s="1"/>
  <c r="AD325" i="15" s="1"/>
  <c r="AA325" i="15" s="1"/>
  <c r="Z325" i="15" s="1"/>
  <c r="Y325" i="15" s="1"/>
  <c r="AG297" i="15"/>
  <c r="AF297" i="15" s="1"/>
  <c r="AD297" i="15" s="1"/>
  <c r="AA297" i="15" s="1"/>
  <c r="Z297" i="15" s="1"/>
  <c r="Y297" i="15" s="1"/>
  <c r="AG22" i="15"/>
  <c r="AF22" i="15" s="1"/>
  <c r="AD22" i="15" s="1"/>
  <c r="AG327" i="15"/>
  <c r="AF327" i="15" s="1"/>
  <c r="AD327" i="15" s="1"/>
  <c r="AG60" i="15"/>
  <c r="AF60" i="15" s="1"/>
  <c r="AD60" i="15" s="1"/>
  <c r="AG143" i="15"/>
  <c r="AF143" i="15" s="1"/>
  <c r="AD143" i="15" s="1"/>
  <c r="AG134" i="15"/>
  <c r="AF134" i="15" s="1"/>
  <c r="AD134" i="15" s="1"/>
  <c r="AG347" i="15"/>
  <c r="AF347" i="15" s="1"/>
  <c r="AD347" i="15" s="1"/>
  <c r="AG103" i="15"/>
  <c r="AF103" i="15" s="1"/>
  <c r="AD103" i="15" s="1"/>
  <c r="AG101" i="15"/>
  <c r="AF101" i="15" s="1"/>
  <c r="AD101" i="15" s="1"/>
  <c r="AG51" i="15"/>
  <c r="AF51" i="15" s="1"/>
  <c r="AD51" i="15" s="1"/>
  <c r="AA51" i="15" s="1"/>
  <c r="Z51" i="15" s="1"/>
  <c r="Y51" i="15" s="1"/>
  <c r="AG316" i="15"/>
  <c r="AF316" i="15" s="1"/>
  <c r="AD316" i="15" s="1"/>
  <c r="AG367" i="15"/>
  <c r="AF367" i="15" s="1"/>
  <c r="AD367" i="15" s="1"/>
  <c r="AG55" i="15"/>
  <c r="AF55" i="15" s="1"/>
  <c r="AD55" i="15" s="1"/>
  <c r="AA55" i="15" s="1"/>
  <c r="Z55" i="15" s="1"/>
  <c r="Y55" i="15" s="1"/>
  <c r="AG87" i="15"/>
  <c r="AF87" i="15" s="1"/>
  <c r="AD87" i="15" s="1"/>
  <c r="AG344" i="15"/>
  <c r="AF344" i="15" s="1"/>
  <c r="AD344" i="15" s="1"/>
  <c r="AG58" i="15"/>
  <c r="AF58" i="15" s="1"/>
  <c r="AD58" i="15" s="1"/>
  <c r="AG149" i="15"/>
  <c r="AF149" i="15" s="1"/>
  <c r="AD149" i="15" s="1"/>
  <c r="AG337" i="15"/>
  <c r="AF337" i="15" s="1"/>
  <c r="AD337" i="15" s="1"/>
  <c r="AA337" i="15" s="1"/>
  <c r="Z337" i="15" s="1"/>
  <c r="Y337" i="15" s="1"/>
  <c r="AG75" i="15"/>
  <c r="AF75" i="15" s="1"/>
  <c r="AD75" i="15" s="1"/>
  <c r="AA75" i="15" s="1"/>
  <c r="Z75" i="15" s="1"/>
  <c r="Y75" i="15" s="1"/>
  <c r="AG31" i="15"/>
  <c r="AF31" i="15" s="1"/>
  <c r="AD31" i="15" s="1"/>
  <c r="AG345" i="15"/>
  <c r="AF345" i="15" s="1"/>
  <c r="AD345" i="15" s="1"/>
  <c r="AG281" i="15"/>
  <c r="AF281" i="15" s="1"/>
  <c r="AD281" i="15" s="1"/>
  <c r="AG287" i="15"/>
  <c r="AF287" i="15" s="1"/>
  <c r="AD287" i="15" s="1"/>
  <c r="AA287" i="15" s="1"/>
  <c r="Z287" i="15" s="1"/>
  <c r="Y287" i="15" s="1"/>
  <c r="AG363" i="15"/>
  <c r="AF363" i="15" s="1"/>
  <c r="AD363" i="15" s="1"/>
  <c r="AG29" i="15"/>
  <c r="AF29" i="15" s="1"/>
  <c r="AD29" i="15" s="1"/>
  <c r="AG338" i="15"/>
  <c r="AF338" i="15" s="1"/>
  <c r="AD338" i="15" s="1"/>
  <c r="AG326" i="15"/>
  <c r="AF326" i="15" s="1"/>
  <c r="AD326" i="15" s="1"/>
  <c r="AA326" i="15" s="1"/>
  <c r="Z326" i="15" s="1"/>
  <c r="Y326" i="15" s="1"/>
  <c r="AG348" i="15"/>
  <c r="AF348" i="15" s="1"/>
  <c r="AD348" i="15" s="1"/>
  <c r="AG57" i="15"/>
  <c r="AF57" i="15" s="1"/>
  <c r="AD57" i="15" s="1"/>
  <c r="AG59" i="15"/>
  <c r="AF59" i="15" s="1"/>
  <c r="AD59" i="15" s="1"/>
  <c r="AG40" i="15"/>
  <c r="AF40" i="15" s="1"/>
  <c r="AD40" i="15" s="1"/>
  <c r="AA40" i="15" s="1"/>
  <c r="Z40" i="15" s="1"/>
  <c r="Y40" i="15" s="1"/>
  <c r="AG49" i="15"/>
  <c r="AF49" i="15" s="1"/>
  <c r="AD49" i="15" s="1"/>
  <c r="AG47" i="15"/>
  <c r="AF47" i="15" s="1"/>
  <c r="AD47" i="15" s="1"/>
  <c r="AG92" i="15"/>
  <c r="AF92" i="15" s="1"/>
  <c r="AD92" i="15" s="1"/>
  <c r="AG293" i="15"/>
  <c r="AF293" i="15" s="1"/>
  <c r="AD293" i="15" s="1"/>
  <c r="AA263" i="15"/>
  <c r="Z263" i="15" s="1"/>
  <c r="Y263" i="15" s="1"/>
  <c r="AG240" i="15"/>
  <c r="AF240" i="15" s="1"/>
  <c r="AD240" i="15" s="1"/>
  <c r="AA240" i="15" s="1"/>
  <c r="Z240" i="15" s="1"/>
  <c r="Y240" i="15" s="1"/>
  <c r="AG41" i="15"/>
  <c r="AF41" i="15" s="1"/>
  <c r="AD41" i="15" s="1"/>
  <c r="AG218" i="15"/>
  <c r="AF218" i="15" s="1"/>
  <c r="AD218" i="15" s="1"/>
  <c r="AA218" i="15" s="1"/>
  <c r="Z218" i="15" s="1"/>
  <c r="Y218" i="15" s="1"/>
  <c r="AG160" i="15"/>
  <c r="AF160" i="15" s="1"/>
  <c r="AD160" i="15" s="1"/>
  <c r="AG68" i="15"/>
  <c r="AF68" i="15" s="1"/>
  <c r="AD68" i="15" s="1"/>
  <c r="AA68" i="15" s="1"/>
  <c r="Z68" i="15" s="1"/>
  <c r="Y68" i="15" s="1"/>
  <c r="AG167" i="15"/>
  <c r="AF167" i="15" s="1"/>
  <c r="AD167" i="15" s="1"/>
  <c r="AG104" i="15"/>
  <c r="AF104" i="15" s="1"/>
  <c r="AD104" i="15" s="1"/>
  <c r="AG156" i="15"/>
  <c r="AF156" i="15" s="1"/>
  <c r="AD156" i="15" s="1"/>
  <c r="AA156" i="15" s="1"/>
  <c r="Z156" i="15" s="1"/>
  <c r="Y156" i="15" s="1"/>
  <c r="AG322" i="15"/>
  <c r="AF322" i="15" s="1"/>
  <c r="AD322" i="15" s="1"/>
  <c r="AG135" i="15"/>
  <c r="AF135" i="15" s="1"/>
  <c r="AD135" i="15" s="1"/>
  <c r="AG150" i="15"/>
  <c r="AF150" i="15" s="1"/>
  <c r="AD150" i="15" s="1"/>
  <c r="AG197" i="15"/>
  <c r="AF197" i="15" s="1"/>
  <c r="AD197" i="15" s="1"/>
  <c r="AA197" i="15" s="1"/>
  <c r="Z197" i="15" s="1"/>
  <c r="Y197" i="15" s="1"/>
  <c r="AG54" i="15"/>
  <c r="AF54" i="15" s="1"/>
  <c r="AD54" i="15" s="1"/>
  <c r="AG62" i="15"/>
  <c r="AF62" i="15" s="1"/>
  <c r="AD62" i="15" s="1"/>
  <c r="AA62" i="15" s="1"/>
  <c r="Z62" i="15" s="1"/>
  <c r="Y62" i="15" s="1"/>
  <c r="AG357" i="15"/>
  <c r="AF357" i="15" s="1"/>
  <c r="AD357" i="15" s="1"/>
  <c r="AG244" i="15"/>
  <c r="AF244" i="15" s="1"/>
  <c r="AD244" i="15" s="1"/>
  <c r="AA244" i="15" s="1"/>
  <c r="Z244" i="15" s="1"/>
  <c r="Y244" i="15" s="1"/>
  <c r="AG231" i="15"/>
  <c r="AF231" i="15" s="1"/>
  <c r="AD231" i="15" s="1"/>
  <c r="AA231" i="15" s="1"/>
  <c r="Z231" i="15" s="1"/>
  <c r="Y231" i="15" s="1"/>
  <c r="AG27" i="15"/>
  <c r="AF27" i="15" s="1"/>
  <c r="AD27" i="15" s="1"/>
  <c r="AG335" i="15"/>
  <c r="AF335" i="15" s="1"/>
  <c r="AD335" i="15" s="1"/>
  <c r="AG79" i="15"/>
  <c r="AF79" i="15" s="1"/>
  <c r="AD79" i="15" s="1"/>
  <c r="AG154" i="15"/>
  <c r="AF154" i="15" s="1"/>
  <c r="AD154" i="15" s="1"/>
  <c r="AG361" i="15"/>
  <c r="AF361" i="15" s="1"/>
  <c r="AD361" i="15" s="1"/>
  <c r="AA361" i="15" s="1"/>
  <c r="Z361" i="15" s="1"/>
  <c r="Y361" i="15" s="1"/>
  <c r="AG374" i="15"/>
  <c r="AF374" i="15" s="1"/>
  <c r="AD374" i="15" s="1"/>
  <c r="AA162" i="15"/>
  <c r="Z162" i="15" s="1"/>
  <c r="Y162" i="15" s="1"/>
  <c r="AA257" i="15"/>
  <c r="Z257" i="15" s="1"/>
  <c r="Y257" i="15" s="1"/>
  <c r="AG96" i="15"/>
  <c r="AF96" i="15" s="1"/>
  <c r="AD96" i="15" s="1"/>
  <c r="AG18" i="15"/>
  <c r="AF18" i="15" s="1"/>
  <c r="AD18" i="15" s="1"/>
  <c r="AA261" i="15"/>
  <c r="Z261" i="15" s="1"/>
  <c r="Y261" i="15" s="1"/>
  <c r="AG151" i="15"/>
  <c r="AF151" i="15" s="1"/>
  <c r="AD151" i="15" s="1"/>
  <c r="AG82" i="15"/>
  <c r="AF82" i="15" s="1"/>
  <c r="AD82" i="15" s="1"/>
  <c r="AG333" i="15"/>
  <c r="AF333" i="15" s="1"/>
  <c r="AD333" i="15" s="1"/>
  <c r="AG73" i="15"/>
  <c r="AF73" i="15" s="1"/>
  <c r="AD73" i="15" s="1"/>
  <c r="AA73" i="15" s="1"/>
  <c r="Z73" i="15" s="1"/>
  <c r="Y73" i="15" s="1"/>
  <c r="AG275" i="15"/>
  <c r="AF275" i="15" s="1"/>
  <c r="AD275" i="15" s="1"/>
  <c r="AA275" i="15" s="1"/>
  <c r="Z275" i="15" s="1"/>
  <c r="Y275" i="15" s="1"/>
  <c r="AG19" i="15"/>
  <c r="AF19" i="15" s="1"/>
  <c r="AD19" i="15" s="1"/>
  <c r="AG97" i="15"/>
  <c r="AF97" i="15" s="1"/>
  <c r="AD97" i="15" s="1"/>
  <c r="AG90" i="15"/>
  <c r="AF90" i="15" s="1"/>
  <c r="AD90" i="15" s="1"/>
  <c r="AG38" i="15"/>
  <c r="AF38" i="15" s="1"/>
  <c r="AD38" i="15" s="1"/>
  <c r="AG159" i="15"/>
  <c r="AF159" i="15" s="1"/>
  <c r="AD159" i="15" s="1"/>
  <c r="AG340" i="15"/>
  <c r="AF340" i="15" s="1"/>
  <c r="AD340" i="15" s="1"/>
  <c r="AG331" i="15"/>
  <c r="AF331" i="15" s="1"/>
  <c r="AD331" i="15" s="1"/>
  <c r="H257" i="15"/>
  <c r="H223" i="15"/>
  <c r="H190" i="15"/>
  <c r="H246" i="15"/>
  <c r="H252" i="15"/>
  <c r="H216" i="15"/>
  <c r="H356" i="15"/>
  <c r="H312" i="15"/>
  <c r="F239" i="1"/>
  <c r="F383" i="1" s="1"/>
  <c r="I69" i="15"/>
  <c r="J69" i="15"/>
  <c r="I133" i="15"/>
  <c r="J133" i="15"/>
  <c r="J128" i="15"/>
  <c r="I128" i="15"/>
  <c r="I111" i="15"/>
  <c r="J111" i="15"/>
  <c r="I126" i="15"/>
  <c r="J126" i="15"/>
  <c r="I243" i="15"/>
  <c r="J243" i="15"/>
  <c r="J265" i="15"/>
  <c r="I265" i="15"/>
  <c r="I294" i="15"/>
  <c r="J294" i="15"/>
  <c r="I164" i="15"/>
  <c r="J164" i="15"/>
  <c r="I114" i="15"/>
  <c r="J114" i="15"/>
  <c r="J106" i="15"/>
  <c r="I106" i="15"/>
  <c r="J74" i="15"/>
  <c r="I74" i="15"/>
  <c r="H266" i="15"/>
  <c r="H207" i="15"/>
  <c r="H248" i="15"/>
  <c r="H264" i="15"/>
  <c r="H296" i="15"/>
  <c r="Q10" i="17"/>
  <c r="Q144" i="17" s="1"/>
  <c r="U15" i="7"/>
  <c r="AC218" i="18"/>
  <c r="AC339" i="18"/>
  <c r="AC160" i="18"/>
  <c r="AC352" i="18"/>
  <c r="AC238" i="18"/>
  <c r="AC241" i="18"/>
  <c r="AC299" i="18"/>
  <c r="AC179" i="18"/>
  <c r="AC279" i="18"/>
  <c r="AC297" i="18"/>
  <c r="AC254" i="18"/>
  <c r="AC197" i="18"/>
  <c r="AC264" i="18"/>
  <c r="AC162" i="18"/>
  <c r="AC371" i="18"/>
  <c r="AC209" i="18"/>
  <c r="AC335" i="18"/>
  <c r="AC266" i="18"/>
  <c r="AC262" i="18"/>
  <c r="AC166" i="18"/>
  <c r="AC300" i="18"/>
  <c r="AC214" i="18"/>
  <c r="AC207" i="18"/>
  <c r="AC276" i="18"/>
  <c r="AC376" i="18"/>
  <c r="AC328" i="18"/>
  <c r="AC143" i="18"/>
  <c r="AC164" i="18"/>
  <c r="AC215" i="18"/>
  <c r="AC157" i="18"/>
  <c r="AC282" i="18"/>
  <c r="AC347" i="18"/>
  <c r="AC271" i="18"/>
  <c r="AC249" i="18"/>
  <c r="AC305" i="18"/>
  <c r="AC343" i="18"/>
  <c r="AC360" i="18"/>
  <c r="AC146" i="18"/>
  <c r="AC267" i="18"/>
  <c r="AC134" i="18"/>
  <c r="AC222" i="18"/>
  <c r="AC320" i="18"/>
  <c r="AC270" i="18"/>
  <c r="AC174" i="18"/>
  <c r="AC168" i="18"/>
  <c r="AC228" i="18"/>
  <c r="AC253" i="18"/>
  <c r="AC293" i="18"/>
  <c r="AC235" i="18"/>
  <c r="AC190" i="18"/>
  <c r="AC199" i="18"/>
  <c r="AC324" i="18"/>
  <c r="AC313" i="18"/>
  <c r="AC180" i="18"/>
  <c r="AC159" i="18"/>
  <c r="AC173" i="18"/>
  <c r="AC272" i="18"/>
  <c r="AC225" i="18"/>
  <c r="AC375" i="18"/>
  <c r="AC330" i="18"/>
  <c r="AC332" i="18"/>
  <c r="AC186" i="18"/>
  <c r="AC286" i="18"/>
  <c r="AC338" i="18"/>
  <c r="AC336" i="18"/>
  <c r="AC226" i="18"/>
  <c r="AC201" i="18"/>
  <c r="AC240" i="18"/>
  <c r="AC139" i="18"/>
  <c r="AC256" i="18"/>
  <c r="AC368" i="18"/>
  <c r="AC258" i="18"/>
  <c r="AC319" i="18"/>
  <c r="AC306" i="18"/>
  <c r="AC354" i="18"/>
  <c r="AC237" i="18"/>
  <c r="AC350" i="18"/>
  <c r="AC285" i="18"/>
  <c r="AC361" i="18"/>
  <c r="AC188" i="18"/>
  <c r="AC255" i="18"/>
  <c r="AC307" i="18"/>
  <c r="AC284" i="18"/>
  <c r="AC265" i="18"/>
  <c r="AC329" i="18"/>
  <c r="AC187" i="18"/>
  <c r="AC138" i="18"/>
  <c r="AC357" i="18"/>
  <c r="AC304" i="18"/>
  <c r="AC147" i="18"/>
  <c r="AC365" i="18"/>
  <c r="AC252" i="18"/>
  <c r="AC260" i="18"/>
  <c r="AC331" i="18"/>
  <c r="AC172" i="18"/>
  <c r="AC314" i="18"/>
  <c r="AC181" i="18"/>
  <c r="AC200" i="18"/>
  <c r="AC269" i="18"/>
  <c r="AC208" i="18"/>
  <c r="AC294" i="18"/>
  <c r="AC316" i="18"/>
  <c r="AC323" i="18"/>
  <c r="AC301" i="18"/>
  <c r="AC309" i="18"/>
  <c r="AC161" i="18"/>
  <c r="AC292" i="18"/>
  <c r="AC178" i="18"/>
  <c r="AC340" i="18"/>
  <c r="AC221" i="18"/>
  <c r="AC355" i="18"/>
  <c r="AC247" i="18"/>
  <c r="AC185" i="18"/>
  <c r="AC175" i="18"/>
  <c r="AC362" i="18"/>
  <c r="AC318" i="18"/>
  <c r="AC295" i="18"/>
  <c r="AC317" i="18"/>
  <c r="AC263" i="18"/>
  <c r="AC370" i="18"/>
  <c r="AC210" i="18"/>
  <c r="AC283" i="18"/>
  <c r="AC333" i="18"/>
  <c r="AC163" i="18"/>
  <c r="AC310" i="18"/>
  <c r="AC358" i="18"/>
  <c r="AC184" i="18"/>
  <c r="AC278" i="18"/>
  <c r="AC359" i="18"/>
  <c r="AC177" i="18"/>
  <c r="AC244" i="18"/>
  <c r="AC195" i="18"/>
  <c r="AC373" i="18"/>
  <c r="AC261" i="18"/>
  <c r="AC203" i="18"/>
  <c r="AC239" i="18"/>
  <c r="AC379" i="18"/>
  <c r="AC216" i="18"/>
  <c r="AC342" i="18"/>
  <c r="AC326" i="18"/>
  <c r="AC348" i="18"/>
  <c r="AC231" i="18"/>
  <c r="AC205" i="18"/>
  <c r="AC212" i="18"/>
  <c r="AC183" i="18"/>
  <c r="AC268" i="18"/>
  <c r="AC259" i="18"/>
  <c r="AC346" i="18"/>
  <c r="AC192" i="18"/>
  <c r="AC213" i="18"/>
  <c r="AC176" i="18"/>
  <c r="AC171" i="18"/>
  <c r="AC275" i="18"/>
  <c r="AC245" i="18"/>
  <c r="AC356" i="18"/>
  <c r="AC287" i="18"/>
  <c r="AC198" i="18"/>
  <c r="AC246" i="18"/>
  <c r="AC374" i="18"/>
  <c r="AC156" i="18"/>
  <c r="AC345" i="18"/>
  <c r="AC251" i="18"/>
  <c r="AC158" i="18"/>
  <c r="AC152" i="18"/>
  <c r="AC227" i="18"/>
  <c r="AC250" i="18"/>
  <c r="AC363" i="18"/>
  <c r="AC344" i="18"/>
  <c r="AC136" i="18"/>
  <c r="AC296" i="18"/>
  <c r="AC144" i="18"/>
  <c r="AC145" i="18"/>
  <c r="AC303" i="18"/>
  <c r="AC196" i="18"/>
  <c r="AC150" i="18"/>
  <c r="AC230" i="18"/>
  <c r="AC322" i="18"/>
  <c r="AC277" i="18"/>
  <c r="AC315" i="18"/>
  <c r="AC229" i="18"/>
  <c r="AC280" i="18"/>
  <c r="AC155" i="18"/>
  <c r="AC377" i="18"/>
  <c r="AC281" i="18"/>
  <c r="AC189" i="18"/>
  <c r="AC204" i="18"/>
  <c r="AC290" i="18"/>
  <c r="AC369" i="18"/>
  <c r="AC298" i="18"/>
  <c r="AC153" i="18"/>
  <c r="AC151" i="18"/>
  <c r="AC217" i="18"/>
  <c r="AC148" i="18"/>
  <c r="AC337" i="18"/>
  <c r="AC170" i="18"/>
  <c r="AC202" i="18"/>
  <c r="AC223" i="18"/>
  <c r="AC308" i="18"/>
  <c r="AC364" i="18"/>
  <c r="AC220" i="18"/>
  <c r="AC182" i="18"/>
  <c r="AC169" i="18"/>
  <c r="AC149" i="18"/>
  <c r="AC142" i="18"/>
  <c r="AC288" i="18"/>
  <c r="AC243" i="18"/>
  <c r="AC341" i="18"/>
  <c r="AC378" i="18"/>
  <c r="AC206" i="18"/>
  <c r="AC135" i="18"/>
  <c r="AC141" i="18"/>
  <c r="AC353" i="18"/>
  <c r="AC140" i="18"/>
  <c r="AC349" i="18"/>
  <c r="AC234" i="18"/>
  <c r="AC257" i="18"/>
  <c r="AC327" i="18"/>
  <c r="AC167" i="18"/>
  <c r="AC312" i="18"/>
  <c r="AC224" i="18"/>
  <c r="AC372" i="18"/>
  <c r="AC321" i="18"/>
  <c r="AC367" i="18"/>
  <c r="AC273" i="18"/>
  <c r="AC325" i="18"/>
  <c r="AC193" i="18"/>
  <c r="AC219" i="18"/>
  <c r="AC274" i="18"/>
  <c r="AC191" i="18"/>
  <c r="AC291" i="18"/>
  <c r="AC194" i="18"/>
  <c r="AC302" i="18"/>
  <c r="AJ9" i="16"/>
  <c r="AJ11" i="16" s="1"/>
  <c r="AC383" i="17"/>
  <c r="E9" i="17"/>
  <c r="E11" i="17" s="1"/>
  <c r="E383" i="17"/>
  <c r="E381" i="17"/>
  <c r="AJ9" i="17"/>
  <c r="AJ11" i="17" s="1"/>
  <c r="AJ13" i="17" s="1"/>
  <c r="AK8" i="17"/>
  <c r="E382" i="17"/>
  <c r="AJ10" i="16"/>
  <c r="AJ12" i="16" s="1"/>
  <c r="AK8" i="16"/>
  <c r="E383" i="16"/>
  <c r="E382" i="16"/>
  <c r="E9" i="16"/>
  <c r="E11" i="16" s="1"/>
  <c r="E381" i="16"/>
  <c r="AC382" i="17"/>
  <c r="AC381" i="17"/>
  <c r="AZ13" i="7"/>
  <c r="O11" i="25"/>
  <c r="J274" i="15"/>
  <c r="AC10" i="20"/>
  <c r="AC277" i="20" s="1"/>
  <c r="O10" i="20"/>
  <c r="G116" i="15"/>
  <c r="BX116" i="6" s="1"/>
  <c r="AA116" i="15"/>
  <c r="Z116" i="15" s="1"/>
  <c r="Y116" i="15" s="1"/>
  <c r="H116" i="15"/>
  <c r="J304" i="15"/>
  <c r="I304" i="15"/>
  <c r="I219" i="15"/>
  <c r="J219" i="15"/>
  <c r="J203" i="15"/>
  <c r="I203" i="15"/>
  <c r="I320" i="1"/>
  <c r="G320" i="1"/>
  <c r="BW320" i="6" s="1"/>
  <c r="AA320" i="1"/>
  <c r="AZ12" i="6"/>
  <c r="AZ13" i="6"/>
  <c r="Y228" i="1"/>
  <c r="I42" i="15"/>
  <c r="J42" i="15"/>
  <c r="H21" i="15" l="1"/>
  <c r="J21" i="15" s="1"/>
  <c r="H81" i="15"/>
  <c r="J81" i="15" s="1"/>
  <c r="AA157" i="15"/>
  <c r="Z157" i="15" s="1"/>
  <c r="Y157" i="15" s="1"/>
  <c r="H157" i="15"/>
  <c r="I157" i="15" s="1"/>
  <c r="AA21" i="15"/>
  <c r="Z21" i="15" s="1"/>
  <c r="Y21" i="15" s="1"/>
  <c r="H379" i="15"/>
  <c r="I379" i="15" s="1"/>
  <c r="H141" i="15"/>
  <c r="J141" i="15" s="1"/>
  <c r="H98" i="15"/>
  <c r="J98" i="15" s="1"/>
  <c r="J152" i="15"/>
  <c r="AA81" i="15"/>
  <c r="Z81" i="15" s="1"/>
  <c r="Y81" i="15" s="1"/>
  <c r="G136" i="15"/>
  <c r="BX136" i="6" s="1"/>
  <c r="AC28" i="20"/>
  <c r="AC19" i="20"/>
  <c r="AC124" i="20"/>
  <c r="AC15" i="20"/>
  <c r="AC102" i="20"/>
  <c r="AC130" i="20"/>
  <c r="AC104" i="20"/>
  <c r="AC33" i="20"/>
  <c r="AC128" i="20"/>
  <c r="AC23" i="20"/>
  <c r="AC110" i="20"/>
  <c r="AC39" i="20"/>
  <c r="AC18" i="20"/>
  <c r="AC129" i="20"/>
  <c r="AC83" i="20"/>
  <c r="AC98" i="20"/>
  <c r="AC126" i="20"/>
  <c r="AC42" i="20"/>
  <c r="AC100" i="20"/>
  <c r="AC95" i="20"/>
  <c r="AC17" i="20"/>
  <c r="AC49" i="20"/>
  <c r="AC125" i="20"/>
  <c r="AC67" i="20"/>
  <c r="AC105" i="20"/>
  <c r="AC82" i="20"/>
  <c r="AC122" i="20"/>
  <c r="AC97" i="20"/>
  <c r="AC80" i="20"/>
  <c r="AC56" i="20"/>
  <c r="AC38" i="20"/>
  <c r="AC40" i="20"/>
  <c r="AC53" i="20"/>
  <c r="AC26" i="20"/>
  <c r="AC73" i="20"/>
  <c r="AC106" i="20"/>
  <c r="AC62" i="20"/>
  <c r="AC35" i="20"/>
  <c r="AC89" i="20"/>
  <c r="AC36" i="20"/>
  <c r="AC41" i="20"/>
  <c r="AC21" i="20"/>
  <c r="AC47" i="20"/>
  <c r="AC112" i="20"/>
  <c r="AC24" i="20"/>
  <c r="AC103" i="20"/>
  <c r="AC29" i="20"/>
  <c r="AC127" i="20"/>
  <c r="AC101" i="20"/>
  <c r="AC32" i="20"/>
  <c r="AC94" i="20"/>
  <c r="AC123" i="20"/>
  <c r="AC111" i="20"/>
  <c r="AC133" i="20"/>
  <c r="AC118" i="20"/>
  <c r="AC115" i="20"/>
  <c r="AC85" i="20"/>
  <c r="AC68" i="20"/>
  <c r="AC119" i="20"/>
  <c r="AC99" i="20"/>
  <c r="AC92" i="20"/>
  <c r="AC74" i="20"/>
  <c r="AC59" i="20"/>
  <c r="AC61" i="20"/>
  <c r="AC90" i="20"/>
  <c r="AC48" i="20"/>
  <c r="AC116" i="20"/>
  <c r="AC37" i="20"/>
  <c r="AC60" i="20"/>
  <c r="AC16" i="20"/>
  <c r="AC132" i="20"/>
  <c r="AC70" i="20"/>
  <c r="AC113" i="20"/>
  <c r="AC43" i="20"/>
  <c r="AC46" i="20"/>
  <c r="AC45" i="20"/>
  <c r="AC120" i="20"/>
  <c r="AC25" i="20"/>
  <c r="AC30" i="20"/>
  <c r="AC86" i="20"/>
  <c r="AC93" i="20"/>
  <c r="AC55" i="20"/>
  <c r="AC76" i="20"/>
  <c r="AC66" i="20"/>
  <c r="AC65" i="20"/>
  <c r="AC69" i="20"/>
  <c r="AC51" i="20"/>
  <c r="AC72" i="20"/>
  <c r="AC54" i="20"/>
  <c r="AC131" i="20"/>
  <c r="AC108" i="20"/>
  <c r="AC88" i="20"/>
  <c r="AC71" i="20"/>
  <c r="AC107" i="20"/>
  <c r="AC96" i="20"/>
  <c r="AC34" i="20"/>
  <c r="AC63" i="20"/>
  <c r="AC84" i="20"/>
  <c r="AC20" i="20"/>
  <c r="AC50" i="20"/>
  <c r="AC117" i="20"/>
  <c r="AC57" i="20"/>
  <c r="AC27" i="20"/>
  <c r="AC91" i="20"/>
  <c r="AC77" i="20"/>
  <c r="AC109" i="20"/>
  <c r="AC81" i="20"/>
  <c r="AC75" i="20"/>
  <c r="AC78" i="20"/>
  <c r="AC87" i="20"/>
  <c r="AC79" i="20"/>
  <c r="AC64" i="20"/>
  <c r="AC52" i="20"/>
  <c r="AC44" i="20"/>
  <c r="AC121" i="20"/>
  <c r="AC22" i="20"/>
  <c r="AC114" i="20"/>
  <c r="AC58" i="20"/>
  <c r="AC31" i="20"/>
  <c r="U10" i="16"/>
  <c r="U298" i="16" s="1"/>
  <c r="T298" i="16" s="1"/>
  <c r="S298" i="16" s="1"/>
  <c r="R298" i="16" s="1"/>
  <c r="P298" i="16" s="1"/>
  <c r="V298" i="16" s="1"/>
  <c r="F298" i="16" s="1"/>
  <c r="AA103" i="15"/>
  <c r="Z103" i="15" s="1"/>
  <c r="Y103" i="15" s="1"/>
  <c r="H103" i="15"/>
  <c r="W2" i="7"/>
  <c r="AA136" i="15"/>
  <c r="Z136" i="15" s="1"/>
  <c r="Y136" i="15" s="1"/>
  <c r="J288" i="15"/>
  <c r="H83" i="15"/>
  <c r="J83" i="15" s="1"/>
  <c r="AA379" i="15"/>
  <c r="Z379" i="15" s="1"/>
  <c r="Y379" i="15" s="1"/>
  <c r="AA141" i="15"/>
  <c r="Z141" i="15" s="1"/>
  <c r="Y141" i="15" s="1"/>
  <c r="AA83" i="15"/>
  <c r="Z83" i="15" s="1"/>
  <c r="Y83" i="15" s="1"/>
  <c r="J87" i="15"/>
  <c r="H100" i="15"/>
  <c r="J100" i="15" s="1"/>
  <c r="H33" i="15"/>
  <c r="I33" i="15" s="1"/>
  <c r="J26" i="15"/>
  <c r="I292" i="15"/>
  <c r="AA87" i="15"/>
  <c r="Z87" i="15" s="1"/>
  <c r="Y87" i="15" s="1"/>
  <c r="H150" i="15"/>
  <c r="J150" i="15" s="1"/>
  <c r="AA152" i="15"/>
  <c r="Z152" i="15" s="1"/>
  <c r="Y152" i="15" s="1"/>
  <c r="AA33" i="15"/>
  <c r="Z33" i="15" s="1"/>
  <c r="Y33" i="15" s="1"/>
  <c r="G152" i="15"/>
  <c r="BX152" i="6" s="1"/>
  <c r="Q357" i="17"/>
  <c r="Q328" i="17"/>
  <c r="Q327" i="17"/>
  <c r="Q97" i="17"/>
  <c r="AA100" i="15"/>
  <c r="Z100" i="15" s="1"/>
  <c r="Y100" i="15" s="1"/>
  <c r="G87" i="15"/>
  <c r="BX87" i="6" s="1"/>
  <c r="Q369" i="17"/>
  <c r="Q133" i="17"/>
  <c r="Q265" i="17"/>
  <c r="Q128" i="17"/>
  <c r="AA150" i="15"/>
  <c r="Z150" i="15" s="1"/>
  <c r="Y150" i="15" s="1"/>
  <c r="Q248" i="17"/>
  <c r="Q319" i="17"/>
  <c r="Q24" i="17"/>
  <c r="Q251" i="17"/>
  <c r="Q370" i="17"/>
  <c r="Q356" i="17"/>
  <c r="Q242" i="17"/>
  <c r="Q304" i="17"/>
  <c r="BF13" i="7"/>
  <c r="BG13" i="7"/>
  <c r="C13" i="19"/>
  <c r="F37" i="19"/>
  <c r="C14" i="19"/>
  <c r="F38" i="19"/>
  <c r="Q238" i="17"/>
  <c r="Q303" i="17"/>
  <c r="Q185" i="17"/>
  <c r="Q292" i="17"/>
  <c r="Q232" i="17"/>
  <c r="Q100" i="17"/>
  <c r="Q17" i="17"/>
  <c r="Q53" i="17"/>
  <c r="Q153" i="17"/>
  <c r="Q310" i="17"/>
  <c r="Q317" i="17"/>
  <c r="Q29" i="17"/>
  <c r="Q324" i="17"/>
  <c r="Q347" i="17"/>
  <c r="Q222" i="17"/>
  <c r="Q93" i="17"/>
  <c r="Q287" i="17"/>
  <c r="Q66" i="17"/>
  <c r="AA98" i="15"/>
  <c r="Z98" i="15" s="1"/>
  <c r="Y98" i="15" s="1"/>
  <c r="Q275" i="17"/>
  <c r="Q61" i="17"/>
  <c r="Q116" i="17"/>
  <c r="Q40" i="17"/>
  <c r="Q231" i="17"/>
  <c r="Q247" i="17"/>
  <c r="Q322" i="17"/>
  <c r="Q311" i="17"/>
  <c r="Q281" i="17"/>
  <c r="Q79" i="17"/>
  <c r="Q151" i="17"/>
  <c r="Q73" i="17"/>
  <c r="Q39" i="17"/>
  <c r="Q245" i="17"/>
  <c r="Q241" i="17"/>
  <c r="Q283" i="17"/>
  <c r="Q296" i="17"/>
  <c r="Q96" i="17"/>
  <c r="Q266" i="17"/>
  <c r="Q277" i="17"/>
  <c r="Q346" i="17"/>
  <c r="Q32" i="17"/>
  <c r="Q23" i="17"/>
  <c r="Q371" i="17"/>
  <c r="Q236" i="17"/>
  <c r="Q230" i="17"/>
  <c r="Q195" i="17"/>
  <c r="Q129" i="17"/>
  <c r="Q288" i="17"/>
  <c r="Q108" i="17"/>
  <c r="Q286" i="17"/>
  <c r="Q201" i="17"/>
  <c r="Q62" i="17"/>
  <c r="Q239" i="17"/>
  <c r="Q132" i="17"/>
  <c r="Q332" i="17"/>
  <c r="L18" i="19"/>
  <c r="P10" i="23"/>
  <c r="P11" i="25"/>
  <c r="BE11" i="7"/>
  <c r="Q11" i="25" s="1"/>
  <c r="BD15" i="7"/>
  <c r="F8" i="24"/>
  <c r="AK49" i="24"/>
  <c r="AK34" i="24"/>
  <c r="AK71" i="24"/>
  <c r="AK88" i="24"/>
  <c r="AK113" i="24"/>
  <c r="AK85" i="24"/>
  <c r="AK123" i="24"/>
  <c r="AK146" i="24"/>
  <c r="AK168" i="24"/>
  <c r="AK198" i="24"/>
  <c r="AK184" i="24"/>
  <c r="AK211" i="24"/>
  <c r="AK239" i="24"/>
  <c r="AK276" i="24"/>
  <c r="AK300" i="24"/>
  <c r="AK227" i="24"/>
  <c r="AK261" i="24"/>
  <c r="AK290" i="24"/>
  <c r="AK324" i="24"/>
  <c r="AK354" i="24"/>
  <c r="AK329" i="24"/>
  <c r="AK368" i="24"/>
  <c r="AK40" i="24"/>
  <c r="AK53" i="24"/>
  <c r="AK98" i="24"/>
  <c r="AK110" i="24"/>
  <c r="AK161" i="24"/>
  <c r="AK157" i="24"/>
  <c r="AK228" i="24"/>
  <c r="AK292" i="24"/>
  <c r="AK246" i="24"/>
  <c r="AK313" i="24"/>
  <c r="AK371" i="24"/>
  <c r="AK18" i="24"/>
  <c r="AK17" i="24"/>
  <c r="AK77" i="24"/>
  <c r="AK142" i="24"/>
  <c r="AK136" i="24"/>
  <c r="AK186" i="24"/>
  <c r="AK205" i="24"/>
  <c r="AK262" i="24"/>
  <c r="AK217" i="24"/>
  <c r="AK280" i="24"/>
  <c r="AK343" i="24"/>
  <c r="AK357" i="24"/>
  <c r="AK42" i="24"/>
  <c r="AK56" i="24"/>
  <c r="AK101" i="24"/>
  <c r="AK111" i="24"/>
  <c r="AK162" i="24"/>
  <c r="AK160" i="24"/>
  <c r="AK229" i="24"/>
  <c r="AK293" i="24"/>
  <c r="AK247" i="24"/>
  <c r="AK316" i="24"/>
  <c r="AK372" i="24"/>
  <c r="AK22" i="24"/>
  <c r="AK81" i="24"/>
  <c r="AK140" i="24"/>
  <c r="AK207" i="24"/>
  <c r="AK220" i="24"/>
  <c r="AK350" i="24"/>
  <c r="AK48" i="24"/>
  <c r="AK109" i="24"/>
  <c r="AK167" i="24"/>
  <c r="AK238" i="24"/>
  <c r="AK260" i="24"/>
  <c r="AK328" i="24"/>
  <c r="AK47" i="24"/>
  <c r="AK66" i="24"/>
  <c r="AK105" i="24"/>
  <c r="AK119" i="24"/>
  <c r="AK166" i="24"/>
  <c r="AK182" i="24"/>
  <c r="AK236" i="24"/>
  <c r="AK297" i="24"/>
  <c r="AK258" i="24"/>
  <c r="AK321" i="24"/>
  <c r="AK327" i="24"/>
  <c r="AK27" i="24"/>
  <c r="AK97" i="24"/>
  <c r="AK153" i="24"/>
  <c r="AK221" i="24"/>
  <c r="AK240" i="24"/>
  <c r="AK363" i="24"/>
  <c r="AK54" i="24"/>
  <c r="AK132" i="24"/>
  <c r="AK176" i="24"/>
  <c r="AK255" i="24"/>
  <c r="AK271" i="24"/>
  <c r="AK347" i="24"/>
  <c r="AK26" i="24"/>
  <c r="AK41" i="24"/>
  <c r="AK60" i="24"/>
  <c r="AK76" i="24"/>
  <c r="AK96" i="24"/>
  <c r="AK120" i="24"/>
  <c r="AK99" i="24"/>
  <c r="AK128" i="24"/>
  <c r="AK152" i="24"/>
  <c r="AK173" i="24"/>
  <c r="AK204" i="24"/>
  <c r="AK190" i="24"/>
  <c r="AK219" i="24"/>
  <c r="AK250" i="24"/>
  <c r="AK283" i="24"/>
  <c r="AK308" i="24"/>
  <c r="AK237" i="24"/>
  <c r="AK268" i="24"/>
  <c r="AK306" i="24"/>
  <c r="AK335" i="24"/>
  <c r="AK362" i="24"/>
  <c r="AK340" i="24"/>
  <c r="AK375" i="24"/>
  <c r="AK19" i="24"/>
  <c r="AK73" i="24"/>
  <c r="AK114" i="24"/>
  <c r="AK124" i="24"/>
  <c r="AK170" i="24"/>
  <c r="AK185" i="24"/>
  <c r="AK243" i="24"/>
  <c r="AK302" i="24"/>
  <c r="AK264" i="24"/>
  <c r="AK325" i="24"/>
  <c r="AK331" i="24"/>
  <c r="AK24" i="24"/>
  <c r="AK59" i="24"/>
  <c r="AK95" i="24"/>
  <c r="AK91" i="24"/>
  <c r="AK149" i="24"/>
  <c r="AK202" i="24"/>
  <c r="AK216" i="24"/>
  <c r="AK282" i="24"/>
  <c r="AK233" i="24"/>
  <c r="AK304" i="24"/>
  <c r="AK360" i="24"/>
  <c r="AK373" i="24"/>
  <c r="AK37" i="24"/>
  <c r="AK74" i="24"/>
  <c r="AK117" i="24"/>
  <c r="AK126" i="24"/>
  <c r="AK171" i="24"/>
  <c r="AK187" i="24"/>
  <c r="AK245" i="24"/>
  <c r="AK303" i="24"/>
  <c r="AK265" i="24"/>
  <c r="AK330" i="24"/>
  <c r="AK332" i="24"/>
  <c r="AK46" i="24"/>
  <c r="AK104" i="24"/>
  <c r="AK165" i="24"/>
  <c r="AK235" i="24"/>
  <c r="AK254" i="24"/>
  <c r="AK326" i="24"/>
  <c r="AK33" i="24"/>
  <c r="AK82" i="24"/>
  <c r="AK196" i="24"/>
  <c r="AK274" i="24"/>
  <c r="AK289" i="24"/>
  <c r="AK366" i="24"/>
  <c r="AK52" i="24"/>
  <c r="AK79" i="24"/>
  <c r="AK125" i="24"/>
  <c r="AK130" i="24"/>
  <c r="AK175" i="24"/>
  <c r="AK192" i="24"/>
  <c r="AK253" i="24"/>
  <c r="AK314" i="24"/>
  <c r="AK270" i="24"/>
  <c r="AK337" i="24"/>
  <c r="AK346" i="24"/>
  <c r="AK50" i="24"/>
  <c r="AK122" i="24"/>
  <c r="AK174" i="24"/>
  <c r="AK252" i="24"/>
  <c r="AK269" i="24"/>
  <c r="AK344" i="24"/>
  <c r="AK39" i="24"/>
  <c r="AK107" i="24"/>
  <c r="AK155" i="24"/>
  <c r="AK288" i="24"/>
  <c r="AK311" i="24"/>
  <c r="AK379" i="24"/>
  <c r="P12" i="24"/>
  <c r="AK35" i="24"/>
  <c r="AK57" i="24"/>
  <c r="AK51" i="24"/>
  <c r="AK69" i="24"/>
  <c r="AK94" i="24"/>
  <c r="AK137" i="24"/>
  <c r="AK108" i="24"/>
  <c r="AK133" i="24"/>
  <c r="AK159" i="24"/>
  <c r="AK178" i="24"/>
  <c r="AK156" i="24"/>
  <c r="AK197" i="24"/>
  <c r="AK224" i="24"/>
  <c r="AK256" i="24"/>
  <c r="AK291" i="24"/>
  <c r="AK319" i="24"/>
  <c r="AK244" i="24"/>
  <c r="AK273" i="24"/>
  <c r="AK312" i="24"/>
  <c r="AK339" i="24"/>
  <c r="AK367" i="24"/>
  <c r="AK348" i="24"/>
  <c r="AK380" i="24"/>
  <c r="AK58" i="24"/>
  <c r="AK70" i="24"/>
  <c r="AK139" i="24"/>
  <c r="AK134" i="24"/>
  <c r="AK179" i="24"/>
  <c r="AK199" i="24"/>
  <c r="AK257" i="24"/>
  <c r="AK322" i="24"/>
  <c r="AK275" i="24"/>
  <c r="AK341" i="24"/>
  <c r="AK349" i="24"/>
  <c r="AK43" i="24"/>
  <c r="AK63" i="24"/>
  <c r="AK102" i="24"/>
  <c r="AK112" i="24"/>
  <c r="AK163" i="24"/>
  <c r="AK169" i="24"/>
  <c r="AK230" i="24"/>
  <c r="AK294" i="24"/>
  <c r="AK249" i="24"/>
  <c r="AK317" i="24"/>
  <c r="AK374" i="24"/>
  <c r="AK16" i="24"/>
  <c r="AK61" i="24"/>
  <c r="AK72" i="24"/>
  <c r="AK141" i="24"/>
  <c r="AK135" i="24"/>
  <c r="AK181" i="24"/>
  <c r="AK203" i="24"/>
  <c r="AK259" i="24"/>
  <c r="AK215" i="24"/>
  <c r="AK277" i="24"/>
  <c r="AK342" i="24"/>
  <c r="AK353" i="24"/>
  <c r="AK30" i="24"/>
  <c r="AK150" i="24"/>
  <c r="AK193" i="24"/>
  <c r="AK267" i="24"/>
  <c r="AK284" i="24"/>
  <c r="AK359" i="24"/>
  <c r="AK67" i="24"/>
  <c r="AK121" i="24"/>
  <c r="AK183" i="24"/>
  <c r="AK298" i="24"/>
  <c r="AK323" i="24"/>
  <c r="AK28" i="24"/>
  <c r="AK31" i="24"/>
  <c r="AK84" i="24"/>
  <c r="AK151" i="24"/>
  <c r="AK144" i="24"/>
  <c r="AK194" i="24"/>
  <c r="AK209" i="24"/>
  <c r="AK272" i="24"/>
  <c r="AK225" i="24"/>
  <c r="AK287" i="24"/>
  <c r="AK351" i="24"/>
  <c r="AK361" i="24"/>
  <c r="AK62" i="24"/>
  <c r="AK100" i="24"/>
  <c r="AK208" i="24"/>
  <c r="AK285" i="24"/>
  <c r="AK307" i="24"/>
  <c r="AK376" i="24"/>
  <c r="AK68" i="24"/>
  <c r="AK131" i="24"/>
  <c r="AK195" i="24"/>
  <c r="AK315" i="24"/>
  <c r="AK338" i="24"/>
  <c r="AK20" i="24"/>
  <c r="AK45" i="24"/>
  <c r="AK23" i="24"/>
  <c r="AK64" i="24"/>
  <c r="AK80" i="24"/>
  <c r="AK103" i="24"/>
  <c r="AK143" i="24"/>
  <c r="AK115" i="24"/>
  <c r="AK138" i="24"/>
  <c r="AK164" i="24"/>
  <c r="AK188" i="24"/>
  <c r="AK177" i="24"/>
  <c r="AK206" i="24"/>
  <c r="AK234" i="24"/>
  <c r="AK263" i="24"/>
  <c r="AK295" i="24"/>
  <c r="AK218" i="24"/>
  <c r="AK251" i="24"/>
  <c r="AK281" i="24"/>
  <c r="AK318" i="24"/>
  <c r="AK345" i="24"/>
  <c r="AK378" i="24"/>
  <c r="AK358" i="24"/>
  <c r="AK21" i="24"/>
  <c r="AK44" i="24"/>
  <c r="AK89" i="24"/>
  <c r="AK87" i="24"/>
  <c r="AK147" i="24"/>
  <c r="AK200" i="24"/>
  <c r="AK213" i="24"/>
  <c r="AK278" i="24"/>
  <c r="AK231" i="24"/>
  <c r="AK299" i="24"/>
  <c r="AK355" i="24"/>
  <c r="AK369" i="24"/>
  <c r="AK38" i="24"/>
  <c r="AK75" i="24"/>
  <c r="AK118" i="24"/>
  <c r="AK127" i="24"/>
  <c r="AK172" i="24"/>
  <c r="AK189" i="24"/>
  <c r="AK248" i="24"/>
  <c r="AK305" i="24"/>
  <c r="AK266" i="24"/>
  <c r="AK333" i="24"/>
  <c r="AK334" i="24"/>
  <c r="AK25" i="24"/>
  <c r="AK55" i="24"/>
  <c r="AK92" i="24"/>
  <c r="AK90" i="24"/>
  <c r="AK148" i="24"/>
  <c r="AK201" i="24"/>
  <c r="AK214" i="24"/>
  <c r="AK279" i="24"/>
  <c r="AK232" i="24"/>
  <c r="AK301" i="24"/>
  <c r="AK356" i="24"/>
  <c r="AK370" i="24"/>
  <c r="AK65" i="24"/>
  <c r="AK116" i="24"/>
  <c r="AK180" i="24"/>
  <c r="AK296" i="24"/>
  <c r="AK320" i="24"/>
  <c r="AK15" i="24"/>
  <c r="AK86" i="24"/>
  <c r="AK145" i="24"/>
  <c r="AK210" i="24"/>
  <c r="AK226" i="24"/>
  <c r="AK352" i="24"/>
  <c r="AK29" i="24"/>
  <c r="AK36" i="24"/>
  <c r="AK83" i="24"/>
  <c r="AK106" i="24"/>
  <c r="AK154" i="24"/>
  <c r="AK212" i="24"/>
  <c r="AK222" i="24"/>
  <c r="AK286" i="24"/>
  <c r="AK241" i="24"/>
  <c r="AK309" i="24"/>
  <c r="AK364" i="24"/>
  <c r="AK377" i="24"/>
  <c r="AK78" i="24"/>
  <c r="AK129" i="24"/>
  <c r="AK191" i="24"/>
  <c r="AK310" i="24"/>
  <c r="AK336" i="24"/>
  <c r="AK32" i="24"/>
  <c r="AK93" i="24"/>
  <c r="AK158" i="24"/>
  <c r="AK223" i="24"/>
  <c r="AK242" i="24"/>
  <c r="AK365" i="24"/>
  <c r="F382" i="1"/>
  <c r="I45" i="15"/>
  <c r="J157" i="15"/>
  <c r="H44" i="15"/>
  <c r="J44" i="15" s="1"/>
  <c r="AA119" i="15"/>
  <c r="Z119" i="15" s="1"/>
  <c r="Y119" i="15" s="1"/>
  <c r="J118" i="15"/>
  <c r="I275" i="15"/>
  <c r="I213" i="15"/>
  <c r="I68" i="15"/>
  <c r="AA50" i="15"/>
  <c r="Z50" i="15" s="1"/>
  <c r="Y50" i="15" s="1"/>
  <c r="J176" i="15"/>
  <c r="H96" i="15"/>
  <c r="I96" i="15" s="1"/>
  <c r="J222" i="15"/>
  <c r="H50" i="15"/>
  <c r="I50" i="15" s="1"/>
  <c r="J73" i="15"/>
  <c r="I85" i="15"/>
  <c r="J359" i="15"/>
  <c r="J238" i="15"/>
  <c r="F92" i="15"/>
  <c r="H92" i="15" s="1"/>
  <c r="J92" i="15" s="1"/>
  <c r="D41" i="7"/>
  <c r="I193" i="15"/>
  <c r="I23" i="15"/>
  <c r="I214" i="15"/>
  <c r="I107" i="15"/>
  <c r="AA85" i="15"/>
  <c r="Z85" i="15" s="1"/>
  <c r="Y85" i="15" s="1"/>
  <c r="G26" i="15"/>
  <c r="BX26" i="6" s="1"/>
  <c r="H127" i="15"/>
  <c r="J127" i="15" s="1"/>
  <c r="G329" i="15"/>
  <c r="BX329" i="6" s="1"/>
  <c r="AA329" i="15"/>
  <c r="Z329" i="15" s="1"/>
  <c r="Y329" i="15" s="1"/>
  <c r="AA26" i="15"/>
  <c r="Z26" i="15" s="1"/>
  <c r="Y26" i="15" s="1"/>
  <c r="AA44" i="15"/>
  <c r="Z44" i="15" s="1"/>
  <c r="Y44" i="15" s="1"/>
  <c r="I191" i="15"/>
  <c r="I62" i="15"/>
  <c r="D43" i="7"/>
  <c r="J220" i="15"/>
  <c r="J273" i="15"/>
  <c r="I245" i="15"/>
  <c r="I179" i="15"/>
  <c r="AK10" i="1"/>
  <c r="AK12" i="1" s="1"/>
  <c r="AK13" i="1" s="1"/>
  <c r="J337" i="15"/>
  <c r="J153" i="15"/>
  <c r="AA90" i="15"/>
  <c r="Z90" i="15" s="1"/>
  <c r="Y90" i="15" s="1"/>
  <c r="AA35" i="15"/>
  <c r="Z35" i="15" s="1"/>
  <c r="Y35" i="15" s="1"/>
  <c r="D32" i="7"/>
  <c r="F363" i="15"/>
  <c r="G363" i="15" s="1"/>
  <c r="BX363" i="6" s="1"/>
  <c r="I318" i="15"/>
  <c r="J329" i="15"/>
  <c r="I328" i="15"/>
  <c r="J117" i="15"/>
  <c r="H300" i="15"/>
  <c r="I300" i="15" s="1"/>
  <c r="J112" i="15"/>
  <c r="AA335" i="15"/>
  <c r="Z335" i="15" s="1"/>
  <c r="Y335" i="15" s="1"/>
  <c r="AA341" i="15"/>
  <c r="Z341" i="15" s="1"/>
  <c r="Y341" i="15" s="1"/>
  <c r="AA23" i="15"/>
  <c r="Z23" i="15" s="1"/>
  <c r="Y23" i="15" s="1"/>
  <c r="J225" i="15"/>
  <c r="H341" i="15"/>
  <c r="I341" i="15" s="1"/>
  <c r="AA300" i="15"/>
  <c r="Z300" i="15" s="1"/>
  <c r="Y300" i="15" s="1"/>
  <c r="AA142" i="15"/>
  <c r="Z142" i="15" s="1"/>
  <c r="Y142" i="15" s="1"/>
  <c r="AA105" i="15"/>
  <c r="Z105" i="15" s="1"/>
  <c r="Y105" i="15" s="1"/>
  <c r="I250" i="15"/>
  <c r="I315" i="15"/>
  <c r="G23" i="15"/>
  <c r="BX23" i="6" s="1"/>
  <c r="H335" i="15"/>
  <c r="I285" i="15"/>
  <c r="AA97" i="15"/>
  <c r="Z97" i="15" s="1"/>
  <c r="Y97" i="15" s="1"/>
  <c r="AA29" i="15"/>
  <c r="Z29" i="15" s="1"/>
  <c r="Y29" i="15" s="1"/>
  <c r="G272" i="15"/>
  <c r="BX272" i="6" s="1"/>
  <c r="J373" i="15"/>
  <c r="AC383" i="18"/>
  <c r="J326" i="15"/>
  <c r="J122" i="15"/>
  <c r="I255" i="15"/>
  <c r="AA96" i="15"/>
  <c r="Z96" i="15" s="1"/>
  <c r="Y96" i="15" s="1"/>
  <c r="G85" i="15"/>
  <c r="BX85" i="6" s="1"/>
  <c r="AA154" i="15"/>
  <c r="Z154" i="15" s="1"/>
  <c r="Y154" i="15" s="1"/>
  <c r="H105" i="15"/>
  <c r="G105" i="15"/>
  <c r="BX105" i="6" s="1"/>
  <c r="H142" i="15"/>
  <c r="G142" i="15"/>
  <c r="BX142" i="6" s="1"/>
  <c r="G29" i="15"/>
  <c r="BX29" i="6" s="1"/>
  <c r="H29" i="15"/>
  <c r="I339" i="15"/>
  <c r="H235" i="15"/>
  <c r="I235" i="15" s="1"/>
  <c r="H272" i="15"/>
  <c r="J272" i="15" s="1"/>
  <c r="J163" i="15"/>
  <c r="I342" i="15"/>
  <c r="I332" i="15"/>
  <c r="G148" i="15"/>
  <c r="BX148" i="6" s="1"/>
  <c r="I303" i="15"/>
  <c r="I206" i="15"/>
  <c r="AA180" i="15"/>
  <c r="Z180" i="15" s="1"/>
  <c r="Y180" i="15" s="1"/>
  <c r="J63" i="15"/>
  <c r="J323" i="15"/>
  <c r="I325" i="15"/>
  <c r="I21" i="15"/>
  <c r="H119" i="15"/>
  <c r="I119" i="15" s="1"/>
  <c r="J173" i="15"/>
  <c r="AA127" i="15"/>
  <c r="Z127" i="15" s="1"/>
  <c r="Y127" i="15" s="1"/>
  <c r="AA89" i="15"/>
  <c r="Z89" i="15" s="1"/>
  <c r="Y89" i="15" s="1"/>
  <c r="J200" i="15"/>
  <c r="I200" i="15"/>
  <c r="F381" i="1"/>
  <c r="F9" i="1"/>
  <c r="F11" i="1" s="1"/>
  <c r="AM10" i="1"/>
  <c r="I129" i="15"/>
  <c r="G167" i="15"/>
  <c r="BX167" i="6" s="1"/>
  <c r="G235" i="15"/>
  <c r="BX235" i="6" s="1"/>
  <c r="I259" i="15"/>
  <c r="I237" i="15"/>
  <c r="AA148" i="15"/>
  <c r="Z148" i="15" s="1"/>
  <c r="Y148" i="15" s="1"/>
  <c r="I205" i="15"/>
  <c r="J205" i="15"/>
  <c r="I55" i="15"/>
  <c r="J352" i="15"/>
  <c r="AA167" i="15"/>
  <c r="Z167" i="15" s="1"/>
  <c r="Y167" i="15" s="1"/>
  <c r="J62" i="19"/>
  <c r="AA84" i="15"/>
  <c r="Z84" i="15" s="1"/>
  <c r="Y84" i="15" s="1"/>
  <c r="J365" i="15"/>
  <c r="I365" i="15"/>
  <c r="H145" i="15"/>
  <c r="G145" i="15"/>
  <c r="BX145" i="6" s="1"/>
  <c r="H158" i="15"/>
  <c r="G158" i="15"/>
  <c r="BX158" i="6" s="1"/>
  <c r="G28" i="15"/>
  <c r="BX28" i="6" s="1"/>
  <c r="H28" i="15"/>
  <c r="G229" i="15"/>
  <c r="BX229" i="6" s="1"/>
  <c r="AA229" i="15"/>
  <c r="Z229" i="15" s="1"/>
  <c r="Y229" i="15" s="1"/>
  <c r="H229" i="15"/>
  <c r="V32" i="15"/>
  <c r="F32" i="15" s="1"/>
  <c r="H22" i="15"/>
  <c r="G22" i="15"/>
  <c r="BX22" i="6" s="1"/>
  <c r="H161" i="15"/>
  <c r="G161" i="15"/>
  <c r="BX161" i="6" s="1"/>
  <c r="G160" i="15"/>
  <c r="BX160" i="6" s="1"/>
  <c r="H160" i="15"/>
  <c r="G79" i="15"/>
  <c r="BX79" i="6" s="1"/>
  <c r="H79" i="15"/>
  <c r="G30" i="15"/>
  <c r="BX30" i="6" s="1"/>
  <c r="H30" i="15"/>
  <c r="H97" i="15"/>
  <c r="G97" i="15"/>
  <c r="BX97" i="6" s="1"/>
  <c r="H35" i="15"/>
  <c r="G35" i="15"/>
  <c r="BX35" i="6" s="1"/>
  <c r="H101" i="15"/>
  <c r="G101" i="15"/>
  <c r="BX101" i="6" s="1"/>
  <c r="G281" i="15"/>
  <c r="BX281" i="6" s="1"/>
  <c r="H281" i="15"/>
  <c r="G134" i="15"/>
  <c r="BX134" i="6" s="1"/>
  <c r="H134" i="15"/>
  <c r="G89" i="15"/>
  <c r="BX89" i="6" s="1"/>
  <c r="H89" i="15"/>
  <c r="G90" i="15"/>
  <c r="BX90" i="6" s="1"/>
  <c r="H90" i="15"/>
  <c r="G84" i="15"/>
  <c r="BX84" i="6" s="1"/>
  <c r="H84" i="15"/>
  <c r="H93" i="15"/>
  <c r="G93" i="15"/>
  <c r="BX93" i="6" s="1"/>
  <c r="H17" i="15"/>
  <c r="G17" i="15"/>
  <c r="BX17" i="6" s="1"/>
  <c r="G80" i="15"/>
  <c r="BX80" i="6" s="1"/>
  <c r="H80" i="15"/>
  <c r="AC382" i="18"/>
  <c r="AA104" i="15"/>
  <c r="Z104" i="15" s="1"/>
  <c r="Y104" i="15" s="1"/>
  <c r="AA281" i="15"/>
  <c r="Z281" i="15" s="1"/>
  <c r="Y281" i="15" s="1"/>
  <c r="AA101" i="15"/>
  <c r="Z101" i="15" s="1"/>
  <c r="Y101" i="15" s="1"/>
  <c r="AA134" i="15"/>
  <c r="Z134" i="15" s="1"/>
  <c r="Y134" i="15" s="1"/>
  <c r="AA22" i="15"/>
  <c r="Z22" i="15" s="1"/>
  <c r="Y22" i="15" s="1"/>
  <c r="AA145" i="15"/>
  <c r="Z145" i="15" s="1"/>
  <c r="Y145" i="15" s="1"/>
  <c r="AA28" i="15"/>
  <c r="Z28" i="15" s="1"/>
  <c r="Y28" i="15" s="1"/>
  <c r="AA30" i="15"/>
  <c r="Z30" i="15" s="1"/>
  <c r="Y30" i="15" s="1"/>
  <c r="AA93" i="15"/>
  <c r="Z93" i="15" s="1"/>
  <c r="Y93" i="15" s="1"/>
  <c r="AA161" i="15"/>
  <c r="Z161" i="15" s="1"/>
  <c r="Y161" i="15" s="1"/>
  <c r="AA158" i="15"/>
  <c r="Z158" i="15" s="1"/>
  <c r="Y158" i="15" s="1"/>
  <c r="AA17" i="15"/>
  <c r="Z17" i="15" s="1"/>
  <c r="Y17" i="15" s="1"/>
  <c r="J308" i="15"/>
  <c r="I308" i="15"/>
  <c r="I66" i="15"/>
  <c r="J66" i="15"/>
  <c r="I208" i="15"/>
  <c r="J208" i="15"/>
  <c r="Q78" i="17"/>
  <c r="Q216" i="17"/>
  <c r="Q74" i="17"/>
  <c r="Q139" i="17"/>
  <c r="Q31" i="17"/>
  <c r="Q69" i="17"/>
  <c r="Q174" i="17"/>
  <c r="Q19" i="17"/>
  <c r="Q361" i="17"/>
  <c r="Q228" i="17"/>
  <c r="Q353" i="17"/>
  <c r="Q173" i="17"/>
  <c r="Q160" i="17"/>
  <c r="Q224" i="17"/>
  <c r="Q342" i="17"/>
  <c r="Q71" i="17"/>
  <c r="Q193" i="17"/>
  <c r="Q197" i="17"/>
  <c r="Q30" i="17"/>
  <c r="Q43" i="17"/>
  <c r="Q161" i="17"/>
  <c r="Q121" i="17"/>
  <c r="Q146" i="17"/>
  <c r="Q191" i="17"/>
  <c r="Q65" i="17"/>
  <c r="Q334" i="17"/>
  <c r="Q141" i="17"/>
  <c r="Q68" i="17"/>
  <c r="Q165" i="17"/>
  <c r="Q99" i="17"/>
  <c r="Q172" i="17"/>
  <c r="Q262" i="17"/>
  <c r="Q325" i="17"/>
  <c r="Q72" i="17"/>
  <c r="Q272" i="17"/>
  <c r="Q77" i="17"/>
  <c r="Q203" i="17"/>
  <c r="Q75" i="17"/>
  <c r="Q80" i="17"/>
  <c r="Q205" i="17"/>
  <c r="Q358" i="17"/>
  <c r="Q345" i="17"/>
  <c r="Q290" i="17"/>
  <c r="Q267" i="17"/>
  <c r="Q207" i="17"/>
  <c r="Q257" i="17"/>
  <c r="Q15" i="17"/>
  <c r="Q94" i="17"/>
  <c r="Q103" i="17"/>
  <c r="Q177" i="17"/>
  <c r="Q120" i="17"/>
  <c r="Q299" i="17"/>
  <c r="Q83" i="17"/>
  <c r="Q305" i="17"/>
  <c r="Q20" i="17"/>
  <c r="Q326" i="17"/>
  <c r="Q37" i="17"/>
  <c r="Q84" i="17"/>
  <c r="Q64" i="17"/>
  <c r="Q59" i="17"/>
  <c r="Q110" i="17"/>
  <c r="Q126" i="17"/>
  <c r="Q169" i="17"/>
  <c r="Q189" i="17"/>
  <c r="Q113" i="17"/>
  <c r="Q81" i="17"/>
  <c r="Q21" i="17"/>
  <c r="Q250" i="17"/>
  <c r="Q124" i="17"/>
  <c r="AA79" i="15"/>
  <c r="Z79" i="15" s="1"/>
  <c r="Y79" i="15" s="1"/>
  <c r="AA160" i="15"/>
  <c r="Z160" i="15" s="1"/>
  <c r="Y160" i="15" s="1"/>
  <c r="AA80" i="15"/>
  <c r="Z80" i="15" s="1"/>
  <c r="Y80" i="15" s="1"/>
  <c r="H180" i="15"/>
  <c r="G180" i="15"/>
  <c r="BX180" i="6" s="1"/>
  <c r="J212" i="15"/>
  <c r="I212" i="15"/>
  <c r="I70" i="15"/>
  <c r="J70" i="15"/>
  <c r="I156" i="15"/>
  <c r="J156" i="15"/>
  <c r="I253" i="15"/>
  <c r="J253" i="15"/>
  <c r="J280" i="15"/>
  <c r="I280" i="15"/>
  <c r="I195" i="15"/>
  <c r="J195" i="15"/>
  <c r="H349" i="15"/>
  <c r="J349" i="15" s="1"/>
  <c r="G349" i="15"/>
  <c r="BX349" i="6" s="1"/>
  <c r="I62" i="19"/>
  <c r="I228" i="15"/>
  <c r="J228" i="15"/>
  <c r="AC381" i="18"/>
  <c r="AA16" i="15"/>
  <c r="Z16" i="15" s="1"/>
  <c r="Y16" i="15" s="1"/>
  <c r="H16" i="15"/>
  <c r="G16" i="15"/>
  <c r="BX16" i="6" s="1"/>
  <c r="G146" i="15"/>
  <c r="BX146" i="6" s="1"/>
  <c r="H146" i="15"/>
  <c r="AA146" i="15"/>
  <c r="Z146" i="15" s="1"/>
  <c r="Y146" i="15" s="1"/>
  <c r="V319" i="15"/>
  <c r="F319" i="15" s="1"/>
  <c r="V333" i="15"/>
  <c r="D42" i="7"/>
  <c r="F333" i="15"/>
  <c r="V77" i="15"/>
  <c r="V334" i="15"/>
  <c r="F334" i="15" s="1"/>
  <c r="AA139" i="15"/>
  <c r="Z139" i="15" s="1"/>
  <c r="Y139" i="15" s="1"/>
  <c r="H139" i="15"/>
  <c r="G139" i="15"/>
  <c r="BX139" i="6" s="1"/>
  <c r="H140" i="15"/>
  <c r="AA140" i="15"/>
  <c r="Z140" i="15" s="1"/>
  <c r="Y140" i="15" s="1"/>
  <c r="G140" i="15"/>
  <c r="BX140" i="6" s="1"/>
  <c r="AA60" i="15"/>
  <c r="Z60" i="15" s="1"/>
  <c r="Y60" i="15" s="1"/>
  <c r="H60" i="15"/>
  <c r="G60" i="15"/>
  <c r="BX60" i="6" s="1"/>
  <c r="G56" i="15"/>
  <c r="BX56" i="6" s="1"/>
  <c r="H56" i="15"/>
  <c r="AA56" i="15"/>
  <c r="Z56" i="15" s="1"/>
  <c r="Y56" i="15" s="1"/>
  <c r="H143" i="15"/>
  <c r="G143" i="15"/>
  <c r="BX143" i="6" s="1"/>
  <c r="AA143" i="15"/>
  <c r="Z143" i="15" s="1"/>
  <c r="Y143" i="15" s="1"/>
  <c r="AA345" i="15"/>
  <c r="Z345" i="15" s="1"/>
  <c r="Y345" i="15" s="1"/>
  <c r="G345" i="15"/>
  <c r="BX345" i="6" s="1"/>
  <c r="H345" i="15"/>
  <c r="AA340" i="15"/>
  <c r="Z340" i="15" s="1"/>
  <c r="Y340" i="15" s="1"/>
  <c r="G340" i="15"/>
  <c r="BX340" i="6" s="1"/>
  <c r="H340" i="15"/>
  <c r="H53" i="15"/>
  <c r="G53" i="15"/>
  <c r="BX53" i="6" s="1"/>
  <c r="AA53" i="15"/>
  <c r="Z53" i="15" s="1"/>
  <c r="Y53" i="15" s="1"/>
  <c r="G144" i="15"/>
  <c r="BX144" i="6" s="1"/>
  <c r="H144" i="15"/>
  <c r="AA144" i="15"/>
  <c r="Z144" i="15" s="1"/>
  <c r="Y144" i="15" s="1"/>
  <c r="AA327" i="15"/>
  <c r="Z327" i="15" s="1"/>
  <c r="Y327" i="15" s="1"/>
  <c r="G327" i="15"/>
  <c r="BX327" i="6" s="1"/>
  <c r="H327" i="15"/>
  <c r="AA317" i="15"/>
  <c r="Z317" i="15" s="1"/>
  <c r="Y317" i="15" s="1"/>
  <c r="G317" i="15"/>
  <c r="BX317" i="6" s="1"/>
  <c r="H317" i="15"/>
  <c r="V88" i="15"/>
  <c r="F88" i="15" s="1"/>
  <c r="D34" i="7"/>
  <c r="AA24" i="15"/>
  <c r="Z24" i="15" s="1"/>
  <c r="Y24" i="15" s="1"/>
  <c r="G24" i="15"/>
  <c r="BX24" i="6" s="1"/>
  <c r="H24" i="15"/>
  <c r="J24" i="15" s="1"/>
  <c r="AA20" i="15"/>
  <c r="Z20" i="15" s="1"/>
  <c r="Y20" i="15" s="1"/>
  <c r="H20" i="15"/>
  <c r="I20" i="15" s="1"/>
  <c r="G20" i="15"/>
  <c r="BX20" i="6" s="1"/>
  <c r="F293" i="15"/>
  <c r="K62" i="19"/>
  <c r="H37" i="15"/>
  <c r="G37" i="15"/>
  <c r="BX37" i="6" s="1"/>
  <c r="AA37" i="15"/>
  <c r="Z37" i="15" s="1"/>
  <c r="Y37" i="15" s="1"/>
  <c r="G357" i="15"/>
  <c r="BX357" i="6" s="1"/>
  <c r="AA357" i="15"/>
  <c r="Z357" i="15" s="1"/>
  <c r="Y357" i="15" s="1"/>
  <c r="H357" i="15"/>
  <c r="G348" i="15"/>
  <c r="BX348" i="6" s="1"/>
  <c r="AA348" i="15"/>
  <c r="Z348" i="15" s="1"/>
  <c r="Y348" i="15" s="1"/>
  <c r="H348" i="15"/>
  <c r="AA350" i="15"/>
  <c r="Z350" i="15" s="1"/>
  <c r="Y350" i="15" s="1"/>
  <c r="G350" i="15"/>
  <c r="BX350" i="6" s="1"/>
  <c r="H350" i="15"/>
  <c r="G375" i="15"/>
  <c r="BX375" i="6" s="1"/>
  <c r="AA375" i="15"/>
  <c r="Z375" i="15" s="1"/>
  <c r="Y375" i="15" s="1"/>
  <c r="H375" i="15"/>
  <c r="G377" i="15"/>
  <c r="BX377" i="6" s="1"/>
  <c r="AA377" i="15"/>
  <c r="Z377" i="15" s="1"/>
  <c r="Y377" i="15" s="1"/>
  <c r="H377" i="15"/>
  <c r="G322" i="15"/>
  <c r="BX322" i="6" s="1"/>
  <c r="AA322" i="15"/>
  <c r="Z322" i="15" s="1"/>
  <c r="Y322" i="15" s="1"/>
  <c r="H322" i="15"/>
  <c r="AA353" i="15"/>
  <c r="Z353" i="15" s="1"/>
  <c r="Y353" i="15" s="1"/>
  <c r="G353" i="15"/>
  <c r="BX353" i="6" s="1"/>
  <c r="H353" i="15"/>
  <c r="H25" i="15"/>
  <c r="AA25" i="15"/>
  <c r="Z25" i="15" s="1"/>
  <c r="Y25" i="15" s="1"/>
  <c r="G25" i="15"/>
  <c r="BX25" i="6" s="1"/>
  <c r="G78" i="15"/>
  <c r="BX78" i="6" s="1"/>
  <c r="H78" i="15"/>
  <c r="AA78" i="15"/>
  <c r="Z78" i="15" s="1"/>
  <c r="Y78" i="15" s="1"/>
  <c r="H47" i="15"/>
  <c r="G47" i="15"/>
  <c r="BX47" i="6" s="1"/>
  <c r="AA47" i="15"/>
  <c r="Z47" i="15" s="1"/>
  <c r="Y47" i="15" s="1"/>
  <c r="AA311" i="15"/>
  <c r="Z311" i="15" s="1"/>
  <c r="Y311" i="15" s="1"/>
  <c r="G311" i="15"/>
  <c r="BX311" i="6" s="1"/>
  <c r="H311" i="15"/>
  <c r="V58" i="15"/>
  <c r="F58" i="15" s="1"/>
  <c r="F189" i="15"/>
  <c r="G62" i="19"/>
  <c r="G360" i="15"/>
  <c r="BX360" i="6" s="1"/>
  <c r="AA360" i="15"/>
  <c r="Z360" i="15" s="1"/>
  <c r="Y360" i="15" s="1"/>
  <c r="H360" i="15"/>
  <c r="G31" i="15"/>
  <c r="BX31" i="6" s="1"/>
  <c r="H31" i="15"/>
  <c r="AA31" i="15"/>
  <c r="Z31" i="15" s="1"/>
  <c r="Y31" i="15" s="1"/>
  <c r="AA291" i="15"/>
  <c r="Z291" i="15" s="1"/>
  <c r="Y291" i="15" s="1"/>
  <c r="G291" i="15"/>
  <c r="BX291" i="6" s="1"/>
  <c r="H291" i="15"/>
  <c r="G374" i="15"/>
  <c r="BX374" i="6" s="1"/>
  <c r="AA374" i="15"/>
  <c r="Z374" i="15" s="1"/>
  <c r="Y374" i="15" s="1"/>
  <c r="H374" i="15"/>
  <c r="J296" i="15"/>
  <c r="I296" i="15"/>
  <c r="I264" i="15"/>
  <c r="J264" i="15"/>
  <c r="J248" i="15"/>
  <c r="I248" i="15"/>
  <c r="I266" i="15"/>
  <c r="J266" i="15"/>
  <c r="I312" i="15"/>
  <c r="J312" i="15"/>
  <c r="I216" i="15"/>
  <c r="J216" i="15"/>
  <c r="I246" i="15"/>
  <c r="J246" i="15"/>
  <c r="J223" i="15"/>
  <c r="I223" i="15"/>
  <c r="I81" i="15"/>
  <c r="AA347" i="15"/>
  <c r="Z347" i="15" s="1"/>
  <c r="Y347" i="15" s="1"/>
  <c r="G347" i="15"/>
  <c r="BX347" i="6" s="1"/>
  <c r="H347" i="15"/>
  <c r="V94" i="15"/>
  <c r="F94" i="15" s="1"/>
  <c r="I165" i="15"/>
  <c r="J165" i="15"/>
  <c r="G210" i="15"/>
  <c r="BX210" i="6" s="1"/>
  <c r="AA210" i="15"/>
  <c r="Z210" i="15" s="1"/>
  <c r="Y210" i="15" s="1"/>
  <c r="H210" i="15"/>
  <c r="I166" i="15"/>
  <c r="J166" i="15"/>
  <c r="H123" i="15"/>
  <c r="AA123" i="15"/>
  <c r="Z123" i="15" s="1"/>
  <c r="Y123" i="15" s="1"/>
  <c r="G123" i="15"/>
  <c r="BX123" i="6" s="1"/>
  <c r="D36" i="7"/>
  <c r="V149" i="15"/>
  <c r="F149" i="15" s="1"/>
  <c r="AA343" i="15"/>
  <c r="Z343" i="15" s="1"/>
  <c r="Y343" i="15" s="1"/>
  <c r="G343" i="15"/>
  <c r="BX343" i="6" s="1"/>
  <c r="J232" i="15"/>
  <c r="I232" i="15"/>
  <c r="H121" i="15"/>
  <c r="AA121" i="15"/>
  <c r="Z121" i="15" s="1"/>
  <c r="Y121" i="15" s="1"/>
  <c r="G121" i="15"/>
  <c r="BX121" i="6" s="1"/>
  <c r="I234" i="15"/>
  <c r="J234" i="15"/>
  <c r="H82" i="15"/>
  <c r="G82" i="15"/>
  <c r="BX82" i="6" s="1"/>
  <c r="AA82" i="15"/>
  <c r="Z82" i="15" s="1"/>
  <c r="Y82" i="15" s="1"/>
  <c r="V320" i="15"/>
  <c r="F320" i="15" s="1"/>
  <c r="AA338" i="15"/>
  <c r="Z338" i="15" s="1"/>
  <c r="Y338" i="15" s="1"/>
  <c r="G338" i="15"/>
  <c r="BX338" i="6" s="1"/>
  <c r="J218" i="15"/>
  <c r="I218" i="15"/>
  <c r="AA54" i="15"/>
  <c r="Z54" i="15" s="1"/>
  <c r="Y54" i="15" s="1"/>
  <c r="H54" i="15"/>
  <c r="G54" i="15"/>
  <c r="BX54" i="6" s="1"/>
  <c r="I263" i="15"/>
  <c r="J263" i="15"/>
  <c r="H36" i="15"/>
  <c r="G36" i="15"/>
  <c r="BX36" i="6" s="1"/>
  <c r="AA36" i="15"/>
  <c r="Z36" i="15" s="1"/>
  <c r="Y36" i="15" s="1"/>
  <c r="G154" i="15"/>
  <c r="BX154" i="6" s="1"/>
  <c r="H154" i="15"/>
  <c r="J276" i="15"/>
  <c r="I276" i="15"/>
  <c r="I177" i="15"/>
  <c r="J177" i="15"/>
  <c r="AA137" i="15"/>
  <c r="Z137" i="15" s="1"/>
  <c r="Y137" i="15" s="1"/>
  <c r="G137" i="15"/>
  <c r="BX137" i="6" s="1"/>
  <c r="H137" i="15"/>
  <c r="H159" i="15"/>
  <c r="AA159" i="15"/>
  <c r="Z159" i="15" s="1"/>
  <c r="Y159" i="15" s="1"/>
  <c r="G159" i="15"/>
  <c r="BX159" i="6" s="1"/>
  <c r="J378" i="15"/>
  <c r="I378" i="15"/>
  <c r="I286" i="15"/>
  <c r="J286" i="15"/>
  <c r="I307" i="15"/>
  <c r="J307" i="15"/>
  <c r="J181" i="15"/>
  <c r="I181" i="15"/>
  <c r="J194" i="15"/>
  <c r="I194" i="15"/>
  <c r="I72" i="15"/>
  <c r="J72" i="15"/>
  <c r="G38" i="15"/>
  <c r="BX38" i="6" s="1"/>
  <c r="AA38" i="15"/>
  <c r="Z38" i="15" s="1"/>
  <c r="Y38" i="15" s="1"/>
  <c r="H38" i="15"/>
  <c r="H151" i="15"/>
  <c r="G151" i="15"/>
  <c r="BX151" i="6" s="1"/>
  <c r="AA151" i="15"/>
  <c r="Z151" i="15" s="1"/>
  <c r="Y151" i="15" s="1"/>
  <c r="G138" i="15"/>
  <c r="BX138" i="6" s="1"/>
  <c r="H138" i="15"/>
  <c r="AA138" i="15"/>
  <c r="Z138" i="15" s="1"/>
  <c r="Y138" i="15" s="1"/>
  <c r="G147" i="15"/>
  <c r="BX147" i="6" s="1"/>
  <c r="H147" i="15"/>
  <c r="AA147" i="15"/>
  <c r="Z147" i="15" s="1"/>
  <c r="Y147" i="15" s="1"/>
  <c r="I175" i="15"/>
  <c r="J175" i="15"/>
  <c r="J282" i="15"/>
  <c r="I282" i="15"/>
  <c r="J197" i="15"/>
  <c r="I197" i="15"/>
  <c r="I284" i="15"/>
  <c r="J284" i="15"/>
  <c r="H34" i="15"/>
  <c r="G34" i="15"/>
  <c r="BX34" i="6" s="1"/>
  <c r="AA34" i="15"/>
  <c r="Z34" i="15" s="1"/>
  <c r="Y34" i="15" s="1"/>
  <c r="J199" i="15"/>
  <c r="I199" i="15"/>
  <c r="J192" i="15"/>
  <c r="I192" i="15"/>
  <c r="J182" i="15"/>
  <c r="I182" i="15"/>
  <c r="T382" i="15"/>
  <c r="T381" i="15"/>
  <c r="S15" i="15"/>
  <c r="T383" i="15"/>
  <c r="H338" i="15"/>
  <c r="H343" i="15"/>
  <c r="J368" i="15"/>
  <c r="I368" i="15"/>
  <c r="J249" i="15"/>
  <c r="I249" i="15"/>
  <c r="AD383" i="1"/>
  <c r="AD381" i="1"/>
  <c r="AD382" i="1"/>
  <c r="I67" i="15"/>
  <c r="J67" i="15"/>
  <c r="J48" i="15"/>
  <c r="I48" i="15"/>
  <c r="G298" i="15"/>
  <c r="BX298" i="6" s="1"/>
  <c r="AA298" i="15"/>
  <c r="Z298" i="15" s="1"/>
  <c r="Y298" i="15" s="1"/>
  <c r="H298" i="15"/>
  <c r="G57" i="15"/>
  <c r="BX57" i="6" s="1"/>
  <c r="AA57" i="15"/>
  <c r="Z57" i="15" s="1"/>
  <c r="Y57" i="15" s="1"/>
  <c r="H57" i="15"/>
  <c r="U251" i="16"/>
  <c r="T251" i="16" s="1"/>
  <c r="S251" i="16" s="1"/>
  <c r="R251" i="16" s="1"/>
  <c r="P251" i="16" s="1"/>
  <c r="V251" i="16" s="1"/>
  <c r="F251" i="16" s="1"/>
  <c r="U46" i="16"/>
  <c r="T46" i="16" s="1"/>
  <c r="S46" i="16" s="1"/>
  <c r="R46" i="16" s="1"/>
  <c r="P46" i="16" s="1"/>
  <c r="V46" i="16" s="1"/>
  <c r="U144" i="16"/>
  <c r="T144" i="16" s="1"/>
  <c r="S144" i="16" s="1"/>
  <c r="R144" i="16" s="1"/>
  <c r="P144" i="16" s="1"/>
  <c r="V144" i="16" s="1"/>
  <c r="F144" i="16" s="1"/>
  <c r="U220" i="16"/>
  <c r="T220" i="16" s="1"/>
  <c r="S220" i="16" s="1"/>
  <c r="R220" i="16" s="1"/>
  <c r="P220" i="16" s="1"/>
  <c r="V220" i="16" s="1"/>
  <c r="F220" i="16" s="1"/>
  <c r="U92" i="16"/>
  <c r="T92" i="16" s="1"/>
  <c r="S92" i="16" s="1"/>
  <c r="R92" i="16" s="1"/>
  <c r="P92" i="16" s="1"/>
  <c r="V92" i="16" s="1"/>
  <c r="F92" i="16" s="1"/>
  <c r="U338" i="16"/>
  <c r="T338" i="16" s="1"/>
  <c r="S338" i="16" s="1"/>
  <c r="R338" i="16" s="1"/>
  <c r="P338" i="16" s="1"/>
  <c r="V338" i="16" s="1"/>
  <c r="F338" i="16" s="1"/>
  <c r="U239" i="16"/>
  <c r="T239" i="16" s="1"/>
  <c r="S239" i="16" s="1"/>
  <c r="R239" i="16" s="1"/>
  <c r="P239" i="16" s="1"/>
  <c r="V239" i="16" s="1"/>
  <c r="F239" i="16" s="1"/>
  <c r="H52" i="15"/>
  <c r="AA52" i="15"/>
  <c r="Z52" i="15" s="1"/>
  <c r="Y52" i="15" s="1"/>
  <c r="G52" i="15"/>
  <c r="BX52" i="6" s="1"/>
  <c r="AA302" i="15"/>
  <c r="Z302" i="15" s="1"/>
  <c r="Y302" i="15" s="1"/>
  <c r="G302" i="15"/>
  <c r="BX302" i="6" s="1"/>
  <c r="H302" i="15"/>
  <c r="J40" i="15"/>
  <c r="I40" i="15"/>
  <c r="J136" i="15"/>
  <c r="I136" i="15"/>
  <c r="I361" i="15"/>
  <c r="J361" i="15"/>
  <c r="AI309" i="16"/>
  <c r="AH309" i="16" s="1"/>
  <c r="AG309" i="16" s="1"/>
  <c r="AF309" i="16" s="1"/>
  <c r="AD309" i="16" s="1"/>
  <c r="AI279" i="16"/>
  <c r="AH279" i="16" s="1"/>
  <c r="AG279" i="16" s="1"/>
  <c r="AF279" i="16" s="1"/>
  <c r="AD279" i="16" s="1"/>
  <c r="AI373" i="16"/>
  <c r="AH373" i="16" s="1"/>
  <c r="AG373" i="16" s="1"/>
  <c r="AF373" i="16" s="1"/>
  <c r="AD373" i="16" s="1"/>
  <c r="AI171" i="16"/>
  <c r="AH171" i="16" s="1"/>
  <c r="AG171" i="16" s="1"/>
  <c r="AF171" i="16" s="1"/>
  <c r="AD171" i="16" s="1"/>
  <c r="AI330" i="16"/>
  <c r="AH330" i="16" s="1"/>
  <c r="AG330" i="16" s="1"/>
  <c r="AF330" i="16" s="1"/>
  <c r="AD330" i="16" s="1"/>
  <c r="AI54" i="16"/>
  <c r="AH54" i="16" s="1"/>
  <c r="AG54" i="16" s="1"/>
  <c r="AF54" i="16" s="1"/>
  <c r="AD54" i="16" s="1"/>
  <c r="AI106" i="16"/>
  <c r="AH106" i="16" s="1"/>
  <c r="AG106" i="16" s="1"/>
  <c r="AF106" i="16" s="1"/>
  <c r="AD106" i="16" s="1"/>
  <c r="AI273" i="16"/>
  <c r="AH273" i="16" s="1"/>
  <c r="AG273" i="16" s="1"/>
  <c r="AF273" i="16" s="1"/>
  <c r="AD273" i="16" s="1"/>
  <c r="AI345" i="16"/>
  <c r="AH345" i="16" s="1"/>
  <c r="AG345" i="16" s="1"/>
  <c r="AF345" i="16" s="1"/>
  <c r="AD345" i="16" s="1"/>
  <c r="AI151" i="16"/>
  <c r="AH151" i="16" s="1"/>
  <c r="AG151" i="16" s="1"/>
  <c r="AF151" i="16" s="1"/>
  <c r="AD151" i="16" s="1"/>
  <c r="AI53" i="16"/>
  <c r="AH53" i="16" s="1"/>
  <c r="AG53" i="16" s="1"/>
  <c r="AF53" i="16" s="1"/>
  <c r="AD53" i="16" s="1"/>
  <c r="AI173" i="16"/>
  <c r="AH173" i="16" s="1"/>
  <c r="AG173" i="16" s="1"/>
  <c r="AF173" i="16" s="1"/>
  <c r="AD173" i="16" s="1"/>
  <c r="AI128" i="16"/>
  <c r="AH128" i="16" s="1"/>
  <c r="AG128" i="16" s="1"/>
  <c r="AF128" i="16" s="1"/>
  <c r="AD128" i="16" s="1"/>
  <c r="AI149" i="16"/>
  <c r="AH149" i="16" s="1"/>
  <c r="AG149" i="16" s="1"/>
  <c r="AF149" i="16" s="1"/>
  <c r="AD149" i="16" s="1"/>
  <c r="AI63" i="16"/>
  <c r="AH63" i="16" s="1"/>
  <c r="AG63" i="16" s="1"/>
  <c r="AF63" i="16" s="1"/>
  <c r="AD63" i="16" s="1"/>
  <c r="AI266" i="16"/>
  <c r="AH266" i="16" s="1"/>
  <c r="AG266" i="16" s="1"/>
  <c r="AF266" i="16" s="1"/>
  <c r="AD266" i="16" s="1"/>
  <c r="AI314" i="16"/>
  <c r="AH314" i="16" s="1"/>
  <c r="AG314" i="16" s="1"/>
  <c r="AF314" i="16" s="1"/>
  <c r="AD314" i="16" s="1"/>
  <c r="AI353" i="16"/>
  <c r="AH353" i="16" s="1"/>
  <c r="AG353" i="16" s="1"/>
  <c r="AF353" i="16" s="1"/>
  <c r="AD353" i="16" s="1"/>
  <c r="AI359" i="16"/>
  <c r="AH359" i="16" s="1"/>
  <c r="AG359" i="16" s="1"/>
  <c r="AF359" i="16" s="1"/>
  <c r="AD359" i="16" s="1"/>
  <c r="AI253" i="16"/>
  <c r="AH253" i="16" s="1"/>
  <c r="AG253" i="16" s="1"/>
  <c r="AF253" i="16" s="1"/>
  <c r="AD253" i="16" s="1"/>
  <c r="AI79" i="16"/>
  <c r="AH79" i="16" s="1"/>
  <c r="AG79" i="16" s="1"/>
  <c r="AF79" i="16" s="1"/>
  <c r="AD79" i="16" s="1"/>
  <c r="AI22" i="16"/>
  <c r="AH22" i="16" s="1"/>
  <c r="AG22" i="16" s="1"/>
  <c r="AF22" i="16" s="1"/>
  <c r="AD22" i="16" s="1"/>
  <c r="AI290" i="16"/>
  <c r="AH290" i="16" s="1"/>
  <c r="AG290" i="16" s="1"/>
  <c r="AF290" i="16" s="1"/>
  <c r="AD290" i="16" s="1"/>
  <c r="AI20" i="16"/>
  <c r="AH20" i="16" s="1"/>
  <c r="AG20" i="16" s="1"/>
  <c r="AF20" i="16" s="1"/>
  <c r="AD20" i="16" s="1"/>
  <c r="AI131" i="16"/>
  <c r="AH131" i="16" s="1"/>
  <c r="AG131" i="16" s="1"/>
  <c r="AF131" i="16" s="1"/>
  <c r="AD131" i="16" s="1"/>
  <c r="AI17" i="16"/>
  <c r="AH17" i="16" s="1"/>
  <c r="AG17" i="16" s="1"/>
  <c r="AF17" i="16" s="1"/>
  <c r="AD17" i="16" s="1"/>
  <c r="AI170" i="16"/>
  <c r="AH170" i="16" s="1"/>
  <c r="AG170" i="16" s="1"/>
  <c r="AF170" i="16" s="1"/>
  <c r="AD170" i="16" s="1"/>
  <c r="AI142" i="16"/>
  <c r="AH142" i="16" s="1"/>
  <c r="AG142" i="16" s="1"/>
  <c r="AF142" i="16" s="1"/>
  <c r="AD142" i="16" s="1"/>
  <c r="AI249" i="16"/>
  <c r="AH249" i="16" s="1"/>
  <c r="AG249" i="16" s="1"/>
  <c r="AF249" i="16" s="1"/>
  <c r="AD249" i="16" s="1"/>
  <c r="AI88" i="16"/>
  <c r="AH88" i="16" s="1"/>
  <c r="AG88" i="16" s="1"/>
  <c r="AF88" i="16" s="1"/>
  <c r="AD88" i="16" s="1"/>
  <c r="AI61" i="16"/>
  <c r="AH61" i="16" s="1"/>
  <c r="AG61" i="16" s="1"/>
  <c r="AF61" i="16" s="1"/>
  <c r="AD61" i="16" s="1"/>
  <c r="V16" i="1"/>
  <c r="P382" i="1"/>
  <c r="P381" i="1"/>
  <c r="P383" i="1"/>
  <c r="G324" i="15"/>
  <c r="BX324" i="6" s="1"/>
  <c r="AA324" i="15"/>
  <c r="Z324" i="15" s="1"/>
  <c r="Y324" i="15" s="1"/>
  <c r="V336" i="15"/>
  <c r="F336" i="15" s="1"/>
  <c r="J278" i="15"/>
  <c r="I278" i="15"/>
  <c r="V354" i="15"/>
  <c r="F354" i="15" s="1"/>
  <c r="G95" i="15"/>
  <c r="BX95" i="6" s="1"/>
  <c r="H95" i="15"/>
  <c r="AA95" i="15"/>
  <c r="Z95" i="15" s="1"/>
  <c r="Y95" i="15" s="1"/>
  <c r="H155" i="15"/>
  <c r="G155" i="15"/>
  <c r="BX155" i="6" s="1"/>
  <c r="AA155" i="15"/>
  <c r="Z155" i="15" s="1"/>
  <c r="Y155" i="15" s="1"/>
  <c r="V331" i="15"/>
  <c r="F331" i="15" s="1"/>
  <c r="H27" i="15"/>
  <c r="G27" i="15"/>
  <c r="BX27" i="6" s="1"/>
  <c r="AA27" i="15"/>
  <c r="Z27" i="15" s="1"/>
  <c r="Y27" i="15" s="1"/>
  <c r="G43" i="15"/>
  <c r="BX43" i="6" s="1"/>
  <c r="H43" i="15"/>
  <c r="AA43" i="15"/>
  <c r="Z43" i="15" s="1"/>
  <c r="Y43" i="15" s="1"/>
  <c r="J174" i="15"/>
  <c r="I174" i="15"/>
  <c r="J162" i="15"/>
  <c r="I162" i="15"/>
  <c r="J244" i="15"/>
  <c r="I244" i="15"/>
  <c r="G86" i="15"/>
  <c r="BX86" i="6" s="1"/>
  <c r="AA86" i="15"/>
  <c r="Z86" i="15" s="1"/>
  <c r="Y86" i="15" s="1"/>
  <c r="H86" i="15"/>
  <c r="AA344" i="15"/>
  <c r="Z344" i="15" s="1"/>
  <c r="Y344" i="15" s="1"/>
  <c r="G344" i="15"/>
  <c r="BX344" i="6" s="1"/>
  <c r="H344" i="15"/>
  <c r="G104" i="15"/>
  <c r="BX104" i="6" s="1"/>
  <c r="H104" i="15"/>
  <c r="G102" i="15"/>
  <c r="BX102" i="6" s="1"/>
  <c r="AA102" i="15"/>
  <c r="Z102" i="15" s="1"/>
  <c r="Y102" i="15" s="1"/>
  <c r="H102" i="15"/>
  <c r="AA41" i="15"/>
  <c r="Z41" i="15" s="1"/>
  <c r="Y41" i="15" s="1"/>
  <c r="H41" i="15"/>
  <c r="G41" i="15"/>
  <c r="BX41" i="6" s="1"/>
  <c r="H18" i="15"/>
  <c r="G18" i="15"/>
  <c r="BX18" i="6" s="1"/>
  <c r="AA18" i="15"/>
  <c r="Z18" i="15" s="1"/>
  <c r="Y18" i="15" s="1"/>
  <c r="G316" i="15"/>
  <c r="BX316" i="6" s="1"/>
  <c r="AA316" i="15"/>
  <c r="Z316" i="15" s="1"/>
  <c r="Y316" i="15" s="1"/>
  <c r="G314" i="15"/>
  <c r="BX314" i="6" s="1"/>
  <c r="AA314" i="15"/>
  <c r="Z314" i="15" s="1"/>
  <c r="Y314" i="15" s="1"/>
  <c r="H314" i="15"/>
  <c r="AA321" i="15"/>
  <c r="Z321" i="15" s="1"/>
  <c r="Y321" i="15" s="1"/>
  <c r="G321" i="15"/>
  <c r="BX321" i="6" s="1"/>
  <c r="I188" i="15"/>
  <c r="J188" i="15"/>
  <c r="J226" i="15"/>
  <c r="I226" i="15"/>
  <c r="G306" i="15"/>
  <c r="BX306" i="6" s="1"/>
  <c r="AA306" i="15"/>
  <c r="Z306" i="15" s="1"/>
  <c r="Y306" i="15" s="1"/>
  <c r="H306" i="15"/>
  <c r="J201" i="15"/>
  <c r="I201" i="15"/>
  <c r="I120" i="15"/>
  <c r="J120" i="15"/>
  <c r="G367" i="15"/>
  <c r="BX367" i="6" s="1"/>
  <c r="AA367" i="15"/>
  <c r="Z367" i="15" s="1"/>
  <c r="Y367" i="15" s="1"/>
  <c r="H367" i="15"/>
  <c r="AA198" i="15"/>
  <c r="Z198" i="15" s="1"/>
  <c r="Y198" i="15" s="1"/>
  <c r="G198" i="15"/>
  <c r="BX198" i="6" s="1"/>
  <c r="H198" i="15"/>
  <c r="I209" i="15"/>
  <c r="J209" i="15"/>
  <c r="G371" i="15"/>
  <c r="BX371" i="6" s="1"/>
  <c r="AA371" i="15"/>
  <c r="Z371" i="15" s="1"/>
  <c r="Y371" i="15" s="1"/>
  <c r="H371" i="15"/>
  <c r="G351" i="15"/>
  <c r="BX351" i="6" s="1"/>
  <c r="AA351" i="15"/>
  <c r="Z351" i="15" s="1"/>
  <c r="Y351" i="15" s="1"/>
  <c r="AA49" i="15"/>
  <c r="Z49" i="15" s="1"/>
  <c r="Y49" i="15" s="1"/>
  <c r="H49" i="15"/>
  <c r="G49" i="15"/>
  <c r="BX49" i="6" s="1"/>
  <c r="V330" i="15"/>
  <c r="F330" i="15" s="1"/>
  <c r="F46" i="15"/>
  <c r="F135" i="15"/>
  <c r="AA19" i="15"/>
  <c r="Z19" i="15" s="1"/>
  <c r="Y19" i="15" s="1"/>
  <c r="G19" i="15"/>
  <c r="BX19" i="6" s="1"/>
  <c r="H19" i="15"/>
  <c r="I240" i="15"/>
  <c r="J240" i="15"/>
  <c r="G91" i="15"/>
  <c r="BX91" i="6" s="1"/>
  <c r="H91" i="15"/>
  <c r="AA91" i="15"/>
  <c r="Z91" i="15" s="1"/>
  <c r="Y91" i="15" s="1"/>
  <c r="I184" i="15"/>
  <c r="J184" i="15"/>
  <c r="H99" i="15"/>
  <c r="AA99" i="15"/>
  <c r="Z99" i="15" s="1"/>
  <c r="Y99" i="15" s="1"/>
  <c r="G99" i="15"/>
  <c r="BX99" i="6" s="1"/>
  <c r="AA59" i="15"/>
  <c r="Z59" i="15" s="1"/>
  <c r="Y59" i="15" s="1"/>
  <c r="H59" i="15"/>
  <c r="G59" i="15"/>
  <c r="BX59" i="6" s="1"/>
  <c r="I211" i="15"/>
  <c r="J211" i="15"/>
  <c r="H316" i="15"/>
  <c r="G305" i="15"/>
  <c r="BX305" i="6" s="1"/>
  <c r="AA305" i="15"/>
  <c r="Z305" i="15" s="1"/>
  <c r="Y305" i="15" s="1"/>
  <c r="H305" i="15"/>
  <c r="I376" i="15"/>
  <c r="J376" i="15"/>
  <c r="J51" i="15"/>
  <c r="I51" i="15"/>
  <c r="I346" i="15"/>
  <c r="J346" i="15"/>
  <c r="G61" i="15"/>
  <c r="BX61" i="6" s="1"/>
  <c r="AA61" i="15"/>
  <c r="Z61" i="15" s="1"/>
  <c r="Y61" i="15" s="1"/>
  <c r="H61" i="15"/>
  <c r="J75" i="15"/>
  <c r="I75" i="15"/>
  <c r="AA349" i="15"/>
  <c r="Z349" i="15" s="1"/>
  <c r="Y349" i="15" s="1"/>
  <c r="J207" i="15"/>
  <c r="I207" i="15"/>
  <c r="AA239" i="1"/>
  <c r="Z239" i="1" s="1"/>
  <c r="Y239" i="1" s="1"/>
  <c r="G239" i="1"/>
  <c r="I239" i="1"/>
  <c r="H239" i="15" s="1"/>
  <c r="J356" i="15"/>
  <c r="I356" i="15"/>
  <c r="J252" i="15"/>
  <c r="I252" i="15"/>
  <c r="J190" i="15"/>
  <c r="I190" i="15"/>
  <c r="J257" i="15"/>
  <c r="I257" i="15"/>
  <c r="I230" i="15"/>
  <c r="J230" i="15"/>
  <c r="J202" i="15"/>
  <c r="I202" i="15"/>
  <c r="I290" i="15"/>
  <c r="J290" i="15"/>
  <c r="I262" i="15"/>
  <c r="J262" i="15"/>
  <c r="J110" i="15"/>
  <c r="I110" i="15"/>
  <c r="I369" i="15"/>
  <c r="J369" i="15"/>
  <c r="I295" i="15"/>
  <c r="J295" i="15"/>
  <c r="I297" i="15"/>
  <c r="J297" i="15"/>
  <c r="J185" i="15"/>
  <c r="I185" i="15"/>
  <c r="J261" i="15"/>
  <c r="I261" i="15"/>
  <c r="AA241" i="15"/>
  <c r="Z241" i="15" s="1"/>
  <c r="Y241" i="15" s="1"/>
  <c r="G241" i="15"/>
  <c r="BX241" i="6" s="1"/>
  <c r="H241" i="15"/>
  <c r="J362" i="15"/>
  <c r="I362" i="15"/>
  <c r="J224" i="15"/>
  <c r="I224" i="15"/>
  <c r="I183" i="15"/>
  <c r="J183" i="15"/>
  <c r="I76" i="15"/>
  <c r="J76" i="15"/>
  <c r="F227" i="15"/>
  <c r="E62" i="19"/>
  <c r="H321" i="15"/>
  <c r="H351" i="15"/>
  <c r="I289" i="15"/>
  <c r="J289" i="15"/>
  <c r="U107" i="16"/>
  <c r="T107" i="16" s="1"/>
  <c r="S107" i="16" s="1"/>
  <c r="R107" i="16" s="1"/>
  <c r="P107" i="16" s="1"/>
  <c r="V107" i="16" s="1"/>
  <c r="F107" i="16" s="1"/>
  <c r="U99" i="16"/>
  <c r="T99" i="16" s="1"/>
  <c r="S99" i="16" s="1"/>
  <c r="R99" i="16" s="1"/>
  <c r="P99" i="16" s="1"/>
  <c r="V99" i="16" s="1"/>
  <c r="F99" i="16" s="1"/>
  <c r="U182" i="16"/>
  <c r="T182" i="16" s="1"/>
  <c r="S182" i="16" s="1"/>
  <c r="R182" i="16" s="1"/>
  <c r="P182" i="16" s="1"/>
  <c r="V182" i="16" s="1"/>
  <c r="F182" i="16" s="1"/>
  <c r="U193" i="16"/>
  <c r="T193" i="16" s="1"/>
  <c r="S193" i="16" s="1"/>
  <c r="R193" i="16" s="1"/>
  <c r="P193" i="16" s="1"/>
  <c r="V193" i="16" s="1"/>
  <c r="F193" i="16" s="1"/>
  <c r="U285" i="16"/>
  <c r="T285" i="16" s="1"/>
  <c r="S285" i="16" s="1"/>
  <c r="R285" i="16" s="1"/>
  <c r="P285" i="16" s="1"/>
  <c r="V285" i="16" s="1"/>
  <c r="F285" i="16" s="1"/>
  <c r="U379" i="16"/>
  <c r="U308" i="16"/>
  <c r="T308" i="16" s="1"/>
  <c r="S308" i="16" s="1"/>
  <c r="R308" i="16" s="1"/>
  <c r="P308" i="16" s="1"/>
  <c r="V308" i="16" s="1"/>
  <c r="F308" i="16" s="1"/>
  <c r="U278" i="16"/>
  <c r="T278" i="16" s="1"/>
  <c r="S278" i="16" s="1"/>
  <c r="R278" i="16" s="1"/>
  <c r="P278" i="16" s="1"/>
  <c r="V278" i="16" s="1"/>
  <c r="F278" i="16" s="1"/>
  <c r="U310" i="16"/>
  <c r="T310" i="16" s="1"/>
  <c r="S310" i="16" s="1"/>
  <c r="R310" i="16" s="1"/>
  <c r="P310" i="16" s="1"/>
  <c r="V310" i="16" s="1"/>
  <c r="F310" i="16" s="1"/>
  <c r="U128" i="16"/>
  <c r="T128" i="16" s="1"/>
  <c r="S128" i="16" s="1"/>
  <c r="R128" i="16" s="1"/>
  <c r="P128" i="16" s="1"/>
  <c r="V128" i="16" s="1"/>
  <c r="F128" i="16" s="1"/>
  <c r="U315" i="16"/>
  <c r="T315" i="16" s="1"/>
  <c r="S315" i="16" s="1"/>
  <c r="R315" i="16" s="1"/>
  <c r="P315" i="16" s="1"/>
  <c r="V315" i="16" s="1"/>
  <c r="F315" i="16" s="1"/>
  <c r="U344" i="16"/>
  <c r="T344" i="16" s="1"/>
  <c r="S344" i="16" s="1"/>
  <c r="R344" i="16" s="1"/>
  <c r="P344" i="16" s="1"/>
  <c r="V344" i="16" s="1"/>
  <c r="F344" i="16" s="1"/>
  <c r="U321" i="16"/>
  <c r="T321" i="16" s="1"/>
  <c r="S321" i="16" s="1"/>
  <c r="R321" i="16" s="1"/>
  <c r="P321" i="16" s="1"/>
  <c r="V321" i="16" s="1"/>
  <c r="F321" i="16" s="1"/>
  <c r="U77" i="16"/>
  <c r="T77" i="16" s="1"/>
  <c r="S77" i="16" s="1"/>
  <c r="R77" i="16" s="1"/>
  <c r="P77" i="16" s="1"/>
  <c r="V77" i="16" s="1"/>
  <c r="F77" i="16" s="1"/>
  <c r="U169" i="16"/>
  <c r="T169" i="16" s="1"/>
  <c r="S169" i="16" s="1"/>
  <c r="R169" i="16" s="1"/>
  <c r="P169" i="16" s="1"/>
  <c r="V169" i="16" s="1"/>
  <c r="F169" i="16" s="1"/>
  <c r="U217" i="16"/>
  <c r="T217" i="16" s="1"/>
  <c r="S217" i="16" s="1"/>
  <c r="R217" i="16" s="1"/>
  <c r="P217" i="16" s="1"/>
  <c r="V217" i="16" s="1"/>
  <c r="F217" i="16" s="1"/>
  <c r="U22" i="16"/>
  <c r="T22" i="16" s="1"/>
  <c r="S22" i="16" s="1"/>
  <c r="R22" i="16" s="1"/>
  <c r="P22" i="16" s="1"/>
  <c r="V22" i="16" s="1"/>
  <c r="F22" i="16" s="1"/>
  <c r="U263" i="16"/>
  <c r="T263" i="16" s="1"/>
  <c r="S263" i="16" s="1"/>
  <c r="R263" i="16" s="1"/>
  <c r="P263" i="16" s="1"/>
  <c r="V263" i="16" s="1"/>
  <c r="F263" i="16" s="1"/>
  <c r="U176" i="16"/>
  <c r="T176" i="16" s="1"/>
  <c r="S176" i="16" s="1"/>
  <c r="R176" i="16" s="1"/>
  <c r="P176" i="16" s="1"/>
  <c r="V176" i="16" s="1"/>
  <c r="F176" i="16" s="1"/>
  <c r="U101" i="16"/>
  <c r="T101" i="16" s="1"/>
  <c r="S101" i="16" s="1"/>
  <c r="R101" i="16" s="1"/>
  <c r="P101" i="16" s="1"/>
  <c r="V101" i="16" s="1"/>
  <c r="F101" i="16" s="1"/>
  <c r="U351" i="16"/>
  <c r="T351" i="16" s="1"/>
  <c r="S351" i="16" s="1"/>
  <c r="R351" i="16" s="1"/>
  <c r="P351" i="16" s="1"/>
  <c r="V351" i="16" s="1"/>
  <c r="F351" i="16" s="1"/>
  <c r="U102" i="16"/>
  <c r="T102" i="16" s="1"/>
  <c r="S102" i="16" s="1"/>
  <c r="R102" i="16" s="1"/>
  <c r="P102" i="16" s="1"/>
  <c r="V102" i="16" s="1"/>
  <c r="F102" i="16" s="1"/>
  <c r="U52" i="16"/>
  <c r="T52" i="16" s="1"/>
  <c r="S52" i="16" s="1"/>
  <c r="R52" i="16" s="1"/>
  <c r="P52" i="16" s="1"/>
  <c r="V52" i="16" s="1"/>
  <c r="F52" i="16" s="1"/>
  <c r="J168" i="15"/>
  <c r="I168" i="15"/>
  <c r="I299" i="15"/>
  <c r="J299" i="15"/>
  <c r="J204" i="15"/>
  <c r="I204" i="15"/>
  <c r="AH381" i="15"/>
  <c r="AH383" i="15"/>
  <c r="AG15" i="15"/>
  <c r="AH382" i="15"/>
  <c r="I169" i="15"/>
  <c r="J169" i="15"/>
  <c r="I236" i="15"/>
  <c r="J236" i="15"/>
  <c r="J217" i="15"/>
  <c r="I217" i="15"/>
  <c r="J287" i="15"/>
  <c r="I287" i="15"/>
  <c r="J254" i="15"/>
  <c r="I254" i="15"/>
  <c r="I109" i="15"/>
  <c r="J109" i="15"/>
  <c r="I65" i="15"/>
  <c r="J65" i="15"/>
  <c r="I283" i="15"/>
  <c r="J283" i="15"/>
  <c r="J130" i="15"/>
  <c r="I130" i="15"/>
  <c r="J258" i="15"/>
  <c r="I258" i="15"/>
  <c r="J108" i="15"/>
  <c r="I108" i="15"/>
  <c r="J310" i="15"/>
  <c r="I310" i="15"/>
  <c r="H62" i="19"/>
  <c r="I242" i="15"/>
  <c r="J242" i="15"/>
  <c r="I279" i="15"/>
  <c r="J279" i="15"/>
  <c r="J71" i="15"/>
  <c r="I71" i="15"/>
  <c r="J372" i="15"/>
  <c r="I372" i="15"/>
  <c r="I113" i="15"/>
  <c r="J113" i="15"/>
  <c r="H324" i="15"/>
  <c r="I366" i="15"/>
  <c r="J366" i="15"/>
  <c r="J309" i="15"/>
  <c r="I309" i="15"/>
  <c r="I301" i="15"/>
  <c r="J301" i="15"/>
  <c r="J39" i="15"/>
  <c r="I39" i="15"/>
  <c r="J355" i="15"/>
  <c r="I355" i="15"/>
  <c r="Q200" i="17"/>
  <c r="Q350" i="17"/>
  <c r="Q366" i="17"/>
  <c r="Q318" i="17"/>
  <c r="Q182" i="17"/>
  <c r="Q190" i="17"/>
  <c r="Q46" i="17"/>
  <c r="Q378" i="17"/>
  <c r="Q348" i="17"/>
  <c r="Q48" i="17"/>
  <c r="Q41" i="17"/>
  <c r="Q376" i="17"/>
  <c r="Q148" i="17"/>
  <c r="Q194" i="17"/>
  <c r="Q372" i="17"/>
  <c r="Q27" i="17"/>
  <c r="Q28" i="17"/>
  <c r="Q162" i="17"/>
  <c r="Q349" i="17"/>
  <c r="Q339" i="17"/>
  <c r="Q187" i="17"/>
  <c r="Q227" i="17"/>
  <c r="Q229" i="17"/>
  <c r="Q368" i="17"/>
  <c r="Q244" i="17"/>
  <c r="Q90" i="17"/>
  <c r="Q105" i="17"/>
  <c r="Q176" i="17"/>
  <c r="Q134" i="17"/>
  <c r="Q360" i="17"/>
  <c r="Q354" i="17"/>
  <c r="Q329" i="17"/>
  <c r="Q170" i="17"/>
  <c r="Q54" i="17"/>
  <c r="Q25" i="17"/>
  <c r="Q85" i="17"/>
  <c r="Q111" i="17"/>
  <c r="Q365" i="17"/>
  <c r="Q294" i="17"/>
  <c r="Q351" i="17"/>
  <c r="Q293" i="17"/>
  <c r="Q344" i="17"/>
  <c r="Q130" i="17"/>
  <c r="Q140" i="17"/>
  <c r="Q335" i="17"/>
  <c r="Q355" i="17"/>
  <c r="Q186" i="17"/>
  <c r="Q274" i="17"/>
  <c r="Q312" i="17"/>
  <c r="Q196" i="17"/>
  <c r="Q91" i="17"/>
  <c r="Q106" i="17"/>
  <c r="Q60" i="17"/>
  <c r="Q180" i="17"/>
  <c r="Q127" i="17"/>
  <c r="Q45" i="17"/>
  <c r="Q118" i="17"/>
  <c r="Q268" i="17"/>
  <c r="Q221" i="17"/>
  <c r="Q363" i="17"/>
  <c r="Q333" i="17"/>
  <c r="Q362" i="17"/>
  <c r="Q150" i="17"/>
  <c r="Q38" i="17"/>
  <c r="Q138" i="17"/>
  <c r="Q198" i="17"/>
  <c r="Q102" i="17"/>
  <c r="Q89" i="17"/>
  <c r="Q114" i="17"/>
  <c r="Q280" i="17"/>
  <c r="Q246" i="17"/>
  <c r="Q301" i="17"/>
  <c r="Q171" i="17"/>
  <c r="Q249" i="17"/>
  <c r="Q352" i="17"/>
  <c r="Q183" i="17"/>
  <c r="Q237" i="17"/>
  <c r="Q252" i="17"/>
  <c r="Q285" i="17"/>
  <c r="Q331" i="17"/>
  <c r="Q18" i="17"/>
  <c r="Q178" i="17"/>
  <c r="Q291" i="17"/>
  <c r="Q225" i="17"/>
  <c r="Q364" i="17"/>
  <c r="Q264" i="17"/>
  <c r="Q57" i="17"/>
  <c r="Q164" i="17"/>
  <c r="Q297" i="17"/>
  <c r="Q209" i="17"/>
  <c r="Q343" i="17"/>
  <c r="Q226" i="17"/>
  <c r="Q253" i="17"/>
  <c r="Q167" i="17"/>
  <c r="Q259" i="17"/>
  <c r="Q271" i="17"/>
  <c r="Q306" i="17"/>
  <c r="Q302" i="17"/>
  <c r="Q330" i="17"/>
  <c r="Q233" i="17"/>
  <c r="Q320" i="17"/>
  <c r="Q313" i="17"/>
  <c r="Q147" i="17"/>
  <c r="Q145" i="17"/>
  <c r="Q289" i="17"/>
  <c r="Q374" i="17"/>
  <c r="Q26" i="17"/>
  <c r="Q152" i="17"/>
  <c r="Q309" i="17"/>
  <c r="Q192" i="17"/>
  <c r="Q340" i="17"/>
  <c r="Q240" i="17"/>
  <c r="Q284" i="17"/>
  <c r="AE141" i="17"/>
  <c r="AE349" i="17"/>
  <c r="AE358" i="17"/>
  <c r="AE185" i="17"/>
  <c r="AE125" i="17"/>
  <c r="AE276" i="17"/>
  <c r="AE77" i="17"/>
  <c r="AE331" i="17"/>
  <c r="AE162" i="17"/>
  <c r="AE45" i="17"/>
  <c r="AE196" i="17"/>
  <c r="AE329" i="17"/>
  <c r="AE158" i="17"/>
  <c r="AE55" i="17"/>
  <c r="AE308" i="17"/>
  <c r="AE339" i="17"/>
  <c r="AE170" i="17"/>
  <c r="AE251" i="17"/>
  <c r="AE318" i="17"/>
  <c r="AE258" i="17"/>
  <c r="AE46" i="17"/>
  <c r="AE275" i="17"/>
  <c r="AE137" i="17"/>
  <c r="AE135" i="17"/>
  <c r="AE281" i="17"/>
  <c r="AE29" i="17"/>
  <c r="AE136" i="17"/>
  <c r="AE140" i="17"/>
  <c r="AE18" i="17"/>
  <c r="AE32" i="17"/>
  <c r="AE100" i="17"/>
  <c r="AE282" i="17"/>
  <c r="AE114" i="17"/>
  <c r="AE47" i="17"/>
  <c r="AE278" i="17"/>
  <c r="AE165" i="17"/>
  <c r="AE335" i="17"/>
  <c r="AE214" i="17"/>
  <c r="AE126" i="17"/>
  <c r="AE213" i="17"/>
  <c r="AE30" i="17"/>
  <c r="AE139" i="17"/>
  <c r="AE72" i="17"/>
  <c r="AE313" i="17"/>
  <c r="AE374" i="17"/>
  <c r="AE168" i="17"/>
  <c r="AE172" i="17"/>
  <c r="AE60" i="17"/>
  <c r="AE132" i="17"/>
  <c r="AE325" i="17"/>
  <c r="AE227" i="17"/>
  <c r="AE33" i="17"/>
  <c r="AE190" i="17"/>
  <c r="AE48" i="17"/>
  <c r="AE321" i="17"/>
  <c r="AE83" i="17"/>
  <c r="AE74" i="17"/>
  <c r="AE340" i="17"/>
  <c r="AE333" i="17"/>
  <c r="AE221" i="17"/>
  <c r="AE346" i="17"/>
  <c r="AE50" i="17"/>
  <c r="AE355" i="17"/>
  <c r="AE106" i="17"/>
  <c r="AE56" i="17"/>
  <c r="AE296" i="17"/>
  <c r="AE122" i="17"/>
  <c r="AE351" i="17"/>
  <c r="AE239" i="17"/>
  <c r="AE240" i="17"/>
  <c r="AE357" i="17"/>
  <c r="AE360" i="17"/>
  <c r="AE65" i="17"/>
  <c r="AE43" i="17"/>
  <c r="AE353" i="17"/>
  <c r="AE70" i="17"/>
  <c r="AE86" i="17"/>
  <c r="AE39" i="17"/>
  <c r="AE299" i="17"/>
  <c r="AE378" i="17"/>
  <c r="AE89" i="17"/>
  <c r="AE272" i="17"/>
  <c r="AE257" i="17"/>
  <c r="AE15" i="17"/>
  <c r="AE252" i="17"/>
  <c r="AE78" i="17"/>
  <c r="AE269" i="17"/>
  <c r="AE285" i="17"/>
  <c r="AE167" i="17"/>
  <c r="AE69" i="17"/>
  <c r="AE354" i="17"/>
  <c r="AE17" i="17"/>
  <c r="AE330" i="17"/>
  <c r="AE19" i="17"/>
  <c r="AE147" i="17"/>
  <c r="AE164" i="17"/>
  <c r="AE238" i="17"/>
  <c r="AE68" i="17"/>
  <c r="AE293" i="17"/>
  <c r="AE233" i="17"/>
  <c r="AE369" i="17"/>
  <c r="AE376" i="17"/>
  <c r="AE182" i="17"/>
  <c r="AE224" i="17"/>
  <c r="AE229" i="17"/>
  <c r="AE297" i="17"/>
  <c r="AE236" i="17"/>
  <c r="AE171" i="17"/>
  <c r="AE66" i="17"/>
  <c r="AE345" i="17"/>
  <c r="AE183" i="17"/>
  <c r="AE372" i="17"/>
  <c r="AE173" i="17"/>
  <c r="AE61" i="17"/>
  <c r="AE352" i="17"/>
  <c r="AE134" i="17"/>
  <c r="AE337" i="17"/>
  <c r="AE181" i="17"/>
  <c r="AE102" i="17"/>
  <c r="AE200" i="17"/>
  <c r="AE113" i="17"/>
  <c r="AE184" i="17"/>
  <c r="AE244" i="17"/>
  <c r="AE76" i="17"/>
  <c r="AE253" i="17"/>
  <c r="AE327" i="17"/>
  <c r="AE191" i="17"/>
  <c r="AE150" i="17"/>
  <c r="AE94" i="17"/>
  <c r="AE350" i="17"/>
  <c r="AE328" i="17"/>
  <c r="AE198" i="17"/>
  <c r="AE280" i="17"/>
  <c r="AE34" i="17"/>
  <c r="AE128" i="17"/>
  <c r="AE81" i="17"/>
  <c r="AE130" i="17"/>
  <c r="AE96" i="17"/>
  <c r="AE67" i="17"/>
  <c r="AE58" i="17"/>
  <c r="AE178" i="17"/>
  <c r="AE189" i="17"/>
  <c r="AE314" i="17"/>
  <c r="AE217" i="17"/>
  <c r="AE93" i="17"/>
  <c r="AE309" i="17"/>
  <c r="AE300" i="17"/>
  <c r="AE261" i="17"/>
  <c r="AE302" i="17"/>
  <c r="AE186" i="17"/>
  <c r="AE375" i="17"/>
  <c r="AE373" i="17"/>
  <c r="AE312" i="17"/>
  <c r="AE35" i="17"/>
  <c r="AE161" i="17"/>
  <c r="AE20" i="17"/>
  <c r="AE323" i="17"/>
  <c r="AE129" i="17"/>
  <c r="AE166" i="17"/>
  <c r="AE92" i="17"/>
  <c r="AE199" i="17"/>
  <c r="AE319" i="17"/>
  <c r="AE23" i="17"/>
  <c r="AE218" i="17"/>
  <c r="AE222" i="17"/>
  <c r="AE341" i="17"/>
  <c r="AE115" i="17"/>
  <c r="AE247" i="17"/>
  <c r="AE174" i="17"/>
  <c r="AE152" i="17"/>
  <c r="AE367" i="17"/>
  <c r="AE306" i="17"/>
  <c r="AE120" i="17"/>
  <c r="AE53" i="17"/>
  <c r="AE154" i="17"/>
  <c r="AE273" i="17"/>
  <c r="AE104" i="17"/>
  <c r="AE368" i="17"/>
  <c r="AE203" i="17"/>
  <c r="AE155" i="17"/>
  <c r="AE31" i="17"/>
  <c r="AE316" i="17"/>
  <c r="AE250" i="17"/>
  <c r="Q367" i="17"/>
  <c r="Q47" i="17"/>
  <c r="Q117" i="17"/>
  <c r="Q314" i="17"/>
  <c r="Q323" i="17"/>
  <c r="Q135" i="17"/>
  <c r="Q115" i="17"/>
  <c r="Q234" i="17"/>
  <c r="Q82" i="17"/>
  <c r="Q76" i="17"/>
  <c r="Q67" i="17"/>
  <c r="Q278" i="17"/>
  <c r="Q58" i="17"/>
  <c r="Q55" i="17"/>
  <c r="Q204" i="17"/>
  <c r="Q243" i="17"/>
  <c r="Q33" i="17"/>
  <c r="Q101" i="17"/>
  <c r="Q95" i="17"/>
  <c r="Q220" i="17"/>
  <c r="Q49" i="17"/>
  <c r="Q379" i="17"/>
  <c r="Q261" i="17"/>
  <c r="Q86" i="17"/>
  <c r="Q35" i="17"/>
  <c r="Q16" i="17"/>
  <c r="Q168" i="17"/>
  <c r="Q98" i="17"/>
  <c r="Q208" i="17"/>
  <c r="Q179" i="17"/>
  <c r="Q22" i="17"/>
  <c r="Q166" i="17"/>
  <c r="Q341" i="17"/>
  <c r="Q36" i="17"/>
  <c r="Q215" i="17"/>
  <c r="Q300" i="17"/>
  <c r="Q44" i="17"/>
  <c r="Q157" i="17"/>
  <c r="Q298" i="17"/>
  <c r="Q295" i="17"/>
  <c r="Q163" i="17"/>
  <c r="Q263" i="17"/>
  <c r="Q218" i="17"/>
  <c r="Q156" i="17"/>
  <c r="Q223" i="17"/>
  <c r="Q112" i="17"/>
  <c r="Q279" i="17"/>
  <c r="Q131" i="17"/>
  <c r="Q337" i="17"/>
  <c r="Q158" i="17"/>
  <c r="Q104" i="17"/>
  <c r="Q137" i="17"/>
  <c r="Q316" i="17"/>
  <c r="Q122" i="17"/>
  <c r="Q92" i="17"/>
  <c r="Q256" i="17"/>
  <c r="Q315" i="17"/>
  <c r="Q70" i="17"/>
  <c r="Q199" i="17"/>
  <c r="Q142" i="17"/>
  <c r="Q359" i="17"/>
  <c r="Q321" i="17"/>
  <c r="Q175" i="17"/>
  <c r="Q52" i="17"/>
  <c r="Q125" i="17"/>
  <c r="Q149" i="17"/>
  <c r="Q88" i="17"/>
  <c r="Q34" i="17"/>
  <c r="Q235" i="17"/>
  <c r="Q107" i="17"/>
  <c r="Q373" i="17"/>
  <c r="Q269" i="17"/>
  <c r="Q282" i="17"/>
  <c r="Q56" i="17"/>
  <c r="Q270" i="17"/>
  <c r="Q212" i="17"/>
  <c r="Q375" i="17"/>
  <c r="Q181" i="17"/>
  <c r="Q213" i="17"/>
  <c r="Q276" i="17"/>
  <c r="Q51" i="17"/>
  <c r="Q42" i="17"/>
  <c r="Q50" i="17"/>
  <c r="Q63" i="17"/>
  <c r="Q154" i="17"/>
  <c r="Q307" i="17"/>
  <c r="Q260" i="17"/>
  <c r="Q188" i="17"/>
  <c r="Q211" i="17"/>
  <c r="Q123" i="17"/>
  <c r="Q202" i="17"/>
  <c r="Q254" i="17"/>
  <c r="Q258" i="17"/>
  <c r="Q119" i="17"/>
  <c r="Q308" i="17"/>
  <c r="Q377" i="17"/>
  <c r="Q155" i="17"/>
  <c r="Q217" i="17"/>
  <c r="Q159" i="17"/>
  <c r="Q184" i="17"/>
  <c r="Q338" i="17"/>
  <c r="Q210" i="17"/>
  <c r="Q255" i="17"/>
  <c r="Q219" i="17"/>
  <c r="Q273" i="17"/>
  <c r="Q214" i="17"/>
  <c r="Q136" i="17"/>
  <c r="Q109" i="17"/>
  <c r="Q87" i="17"/>
  <c r="Q336" i="17"/>
  <c r="Q143" i="17"/>
  <c r="Q206" i="17"/>
  <c r="W15" i="7"/>
  <c r="AE254" i="17"/>
  <c r="AE98" i="17"/>
  <c r="AE279" i="17"/>
  <c r="AE298" i="17"/>
  <c r="AE118" i="17"/>
  <c r="AE288" i="17"/>
  <c r="AE255" i="17"/>
  <c r="AE195" i="17"/>
  <c r="AE294" i="17"/>
  <c r="AE338" i="17"/>
  <c r="AE144" i="17"/>
  <c r="AE40" i="17"/>
  <c r="AE51" i="17"/>
  <c r="AE194" i="17"/>
  <c r="AE192" i="17"/>
  <c r="AE133" i="17"/>
  <c r="AE27" i="17"/>
  <c r="AE160" i="17"/>
  <c r="AE62" i="17"/>
  <c r="AE79" i="17"/>
  <c r="AE304" i="17"/>
  <c r="AE324" i="17"/>
  <c r="AE277" i="17"/>
  <c r="AE205" i="17"/>
  <c r="AE75" i="17"/>
  <c r="AE143" i="17"/>
  <c r="AE364" i="17"/>
  <c r="AE208" i="17"/>
  <c r="AE71" i="17"/>
  <c r="AE153" i="17"/>
  <c r="AE124" i="17"/>
  <c r="AE49" i="17"/>
  <c r="AE119" i="17"/>
  <c r="AE180" i="17"/>
  <c r="AE344" i="17"/>
  <c r="AE112" i="17"/>
  <c r="AE148" i="17"/>
  <c r="AE57" i="17"/>
  <c r="AE317" i="17"/>
  <c r="AE225" i="17"/>
  <c r="AE307" i="17"/>
  <c r="AE176" i="17"/>
  <c r="AE231" i="17"/>
  <c r="AE28" i="17"/>
  <c r="AE54" i="17"/>
  <c r="AE343" i="17"/>
  <c r="AE284" i="17"/>
  <c r="AE103" i="17"/>
  <c r="AE211" i="17"/>
  <c r="AE311" i="17"/>
  <c r="AE303" i="17"/>
  <c r="AE215" i="17"/>
  <c r="AE266" i="17"/>
  <c r="AE271" i="17"/>
  <c r="AE342" i="17"/>
  <c r="AE159" i="17"/>
  <c r="AE264" i="17"/>
  <c r="AE289" i="17"/>
  <c r="AE202" i="17"/>
  <c r="AE270" i="17"/>
  <c r="AE274" i="17"/>
  <c r="AE235" i="17"/>
  <c r="AE149" i="17"/>
  <c r="AE63" i="17"/>
  <c r="AE220" i="17"/>
  <c r="AE219" i="17"/>
  <c r="AE237" i="17"/>
  <c r="AE21" i="17"/>
  <c r="AE52" i="17"/>
  <c r="AE216" i="17"/>
  <c r="AE310" i="17"/>
  <c r="AE245" i="17"/>
  <c r="AE249" i="17"/>
  <c r="AE156" i="17"/>
  <c r="AE332" i="17"/>
  <c r="AE145" i="17"/>
  <c r="AE26" i="17"/>
  <c r="AE223" i="17"/>
  <c r="AE226" i="17"/>
  <c r="AE305" i="17"/>
  <c r="AE82" i="17"/>
  <c r="AE16" i="17"/>
  <c r="AE241" i="17"/>
  <c r="AE88" i="17"/>
  <c r="AE366" i="17"/>
  <c r="AE263" i="17"/>
  <c r="AE101" i="17"/>
  <c r="AE117" i="17"/>
  <c r="AE210" i="17"/>
  <c r="AE36" i="17"/>
  <c r="AE212" i="17"/>
  <c r="AE243" i="17"/>
  <c r="AE322" i="17"/>
  <c r="AE177" i="17"/>
  <c r="AE260" i="17"/>
  <c r="AE80" i="17"/>
  <c r="AE379" i="17"/>
  <c r="AE12" i="18" s="1"/>
  <c r="AE108" i="17"/>
  <c r="AE348" i="17"/>
  <c r="AE347" i="17"/>
  <c r="AE365" i="17"/>
  <c r="AE336" i="17"/>
  <c r="AE85" i="17"/>
  <c r="AE268" i="17"/>
  <c r="AE157" i="17"/>
  <c r="AE91" i="17"/>
  <c r="AE95" i="17"/>
  <c r="AE290" i="17"/>
  <c r="AE151" i="17"/>
  <c r="AE356" i="17"/>
  <c r="AE41" i="17"/>
  <c r="AE84" i="17"/>
  <c r="AE248" i="17"/>
  <c r="AE175" i="17"/>
  <c r="AE90" i="17"/>
  <c r="AE37" i="17"/>
  <c r="AE105" i="17"/>
  <c r="AE283" i="17"/>
  <c r="AE287" i="17"/>
  <c r="AE59" i="17"/>
  <c r="AE370" i="17"/>
  <c r="AE131" i="17"/>
  <c r="AE256" i="17"/>
  <c r="AE234" i="17"/>
  <c r="AE123" i="17"/>
  <c r="AE371" i="17"/>
  <c r="AE267" i="17"/>
  <c r="AE110" i="17"/>
  <c r="AE301" i="17"/>
  <c r="AE246" i="17"/>
  <c r="AE187" i="17"/>
  <c r="AE204" i="17"/>
  <c r="AE138" i="17"/>
  <c r="AE193" i="17"/>
  <c r="AE286" i="17"/>
  <c r="AE99" i="17"/>
  <c r="AE97" i="17"/>
  <c r="AE292" i="17"/>
  <c r="AE320" i="17"/>
  <c r="AE109" i="17"/>
  <c r="AE363" i="17"/>
  <c r="AE265" i="17"/>
  <c r="AE24" i="17"/>
  <c r="AE228" i="17"/>
  <c r="AE169" i="17"/>
  <c r="AE359" i="17"/>
  <c r="AE121" i="17"/>
  <c r="AE291" i="17"/>
  <c r="AE142" i="17"/>
  <c r="AE127" i="17"/>
  <c r="AE232" i="17"/>
  <c r="AE230" i="17"/>
  <c r="AE197" i="17"/>
  <c r="AE111" i="17"/>
  <c r="AE242" i="17"/>
  <c r="AE209" i="17"/>
  <c r="AE334" i="17"/>
  <c r="AE42" i="17"/>
  <c r="AE362" i="17"/>
  <c r="AE315" i="17"/>
  <c r="AE179" i="17"/>
  <c r="AE22" i="17"/>
  <c r="AE207" i="17"/>
  <c r="AE64" i="17"/>
  <c r="AE163" i="17"/>
  <c r="AE326" i="17"/>
  <c r="AE146" i="17"/>
  <c r="AE206" i="17"/>
  <c r="AE38" i="17"/>
  <c r="AE188" i="17"/>
  <c r="AE262" i="17"/>
  <c r="AE44" i="17"/>
  <c r="AE259" i="17"/>
  <c r="AE295" i="17"/>
  <c r="AE377" i="17"/>
  <c r="AE73" i="17"/>
  <c r="AE116" i="17"/>
  <c r="AE25" i="17"/>
  <c r="AE361" i="17"/>
  <c r="AE87" i="17"/>
  <c r="AE107" i="17"/>
  <c r="AE201" i="17"/>
  <c r="AC306" i="20"/>
  <c r="AC189" i="20"/>
  <c r="AC178" i="20"/>
  <c r="AC252" i="20"/>
  <c r="AC330" i="20"/>
  <c r="AC154" i="20"/>
  <c r="AC173" i="20"/>
  <c r="AC200" i="20"/>
  <c r="AC233" i="20"/>
  <c r="AC294" i="20"/>
  <c r="AC363" i="20"/>
  <c r="AC198" i="20"/>
  <c r="AC235" i="20"/>
  <c r="AC309" i="20"/>
  <c r="AC194" i="20"/>
  <c r="AC234" i="20"/>
  <c r="AC324" i="20"/>
  <c r="AC212" i="20"/>
  <c r="AC373" i="20"/>
  <c r="AC273" i="20"/>
  <c r="AC165" i="20"/>
  <c r="AC350" i="20"/>
  <c r="AC270" i="20"/>
  <c r="AC272" i="20"/>
  <c r="AC290" i="20"/>
  <c r="AC155" i="20"/>
  <c r="AC261" i="20"/>
  <c r="AC340" i="20"/>
  <c r="AC298" i="20"/>
  <c r="AC302" i="20"/>
  <c r="AC334" i="20"/>
  <c r="AC346" i="20"/>
  <c r="AC289" i="20"/>
  <c r="AC357" i="20"/>
  <c r="AC328" i="20"/>
  <c r="AC307" i="20"/>
  <c r="AC355" i="20"/>
  <c r="AC266" i="20"/>
  <c r="AC301" i="20"/>
  <c r="AC300" i="20"/>
  <c r="AC249" i="20"/>
  <c r="AC336" i="20"/>
  <c r="AC319" i="20"/>
  <c r="AC343" i="20"/>
  <c r="AC164" i="20"/>
  <c r="AC207" i="20"/>
  <c r="AC218" i="20"/>
  <c r="AC375" i="20"/>
  <c r="AC275" i="20"/>
  <c r="AC295" i="20"/>
  <c r="AC370" i="20"/>
  <c r="AC148" i="20"/>
  <c r="AC172" i="20"/>
  <c r="AC257" i="20"/>
  <c r="AC230" i="20"/>
  <c r="AC366" i="20"/>
  <c r="AC243" i="20"/>
  <c r="AC237" i="20"/>
  <c r="AC263" i="20"/>
  <c r="AC354" i="20"/>
  <c r="AC228" i="20"/>
  <c r="AC186" i="20"/>
  <c r="AC353" i="20"/>
  <c r="AC214" i="20"/>
  <c r="AC166" i="20"/>
  <c r="AC296" i="20"/>
  <c r="AC138" i="20"/>
  <c r="AC337" i="20"/>
  <c r="AC359" i="20"/>
  <c r="AC246" i="20"/>
  <c r="AC310" i="20"/>
  <c r="AC379" i="20"/>
  <c r="AC283" i="20"/>
  <c r="AC176" i="20"/>
  <c r="AC179" i="20"/>
  <c r="AC262" i="20"/>
  <c r="AC315" i="20"/>
  <c r="AC331" i="20"/>
  <c r="AC316" i="20"/>
  <c r="AC287" i="20"/>
  <c r="AC190" i="20"/>
  <c r="AC199" i="20"/>
  <c r="AC279" i="20"/>
  <c r="AC322" i="20"/>
  <c r="AC323" i="20"/>
  <c r="AC274" i="20"/>
  <c r="AC150" i="20"/>
  <c r="AC308" i="20"/>
  <c r="AC149" i="20"/>
  <c r="AC213" i="20"/>
  <c r="AC136" i="20"/>
  <c r="AC312" i="20"/>
  <c r="AC152" i="20"/>
  <c r="AC180" i="20"/>
  <c r="AC362" i="20"/>
  <c r="AC329" i="20"/>
  <c r="AC170" i="20"/>
  <c r="AC374" i="20"/>
  <c r="AC140" i="20"/>
  <c r="AC254" i="20"/>
  <c r="AC242" i="20"/>
  <c r="AC197" i="20"/>
  <c r="AC267" i="20"/>
  <c r="AC220" i="20"/>
  <c r="AC341" i="20"/>
  <c r="AC291" i="20"/>
  <c r="AC193" i="20"/>
  <c r="AC332" i="20"/>
  <c r="AC145" i="20"/>
  <c r="AC251" i="20"/>
  <c r="AC349" i="20"/>
  <c r="AC141" i="20"/>
  <c r="AC338" i="20"/>
  <c r="AC209" i="20"/>
  <c r="AC202" i="20"/>
  <c r="AC327" i="20"/>
  <c r="AC161" i="20"/>
  <c r="AC244" i="20"/>
  <c r="AC347" i="20"/>
  <c r="AC225" i="20"/>
  <c r="AC217" i="20"/>
  <c r="AC333" i="20"/>
  <c r="AC215" i="20"/>
  <c r="AC171" i="20"/>
  <c r="AC285" i="20"/>
  <c r="AC158" i="20"/>
  <c r="AC151" i="20"/>
  <c r="AC201" i="20"/>
  <c r="AC320" i="20"/>
  <c r="AC253" i="20"/>
  <c r="AC223" i="20"/>
  <c r="AC264" i="20"/>
  <c r="AC369" i="20"/>
  <c r="AC255" i="20"/>
  <c r="AC360" i="20"/>
  <c r="AC134" i="20"/>
  <c r="AC372" i="20"/>
  <c r="AC204" i="20"/>
  <c r="AC196" i="20"/>
  <c r="AC284" i="20"/>
  <c r="AC222" i="20"/>
  <c r="AC195" i="20"/>
  <c r="AC281" i="20"/>
  <c r="AC192" i="20"/>
  <c r="AC174" i="20"/>
  <c r="AC259" i="20"/>
  <c r="AC364" i="20"/>
  <c r="AC236" i="20"/>
  <c r="AC303" i="20"/>
  <c r="AC224" i="20"/>
  <c r="AC183" i="20"/>
  <c r="AC216" i="20"/>
  <c r="AC292" i="20"/>
  <c r="AC185" i="20"/>
  <c r="AC293" i="20"/>
  <c r="AC156" i="20"/>
  <c r="AC245" i="20"/>
  <c r="AC187" i="20"/>
  <c r="AC191" i="20"/>
  <c r="AC304" i="20"/>
  <c r="AC241" i="20"/>
  <c r="AC146" i="20"/>
  <c r="AC367" i="20"/>
  <c r="AC153" i="20"/>
  <c r="AC352" i="20"/>
  <c r="AC325" i="20"/>
  <c r="AC208" i="20"/>
  <c r="AC268" i="20"/>
  <c r="AC378" i="20"/>
  <c r="AC169" i="20"/>
  <c r="AC276" i="20"/>
  <c r="AC377" i="20"/>
  <c r="AC271" i="20"/>
  <c r="AC227" i="20"/>
  <c r="AC205" i="20"/>
  <c r="AC371" i="20"/>
  <c r="AC313" i="20"/>
  <c r="AC238" i="20"/>
  <c r="AC335" i="20"/>
  <c r="AC142" i="20"/>
  <c r="AC365" i="20"/>
  <c r="AC135" i="20"/>
  <c r="AC147" i="20"/>
  <c r="AC219" i="20"/>
  <c r="AC344" i="20"/>
  <c r="AC280" i="20"/>
  <c r="AC231" i="20"/>
  <c r="AC376" i="20"/>
  <c r="AC317" i="20"/>
  <c r="AC182" i="20"/>
  <c r="AC206" i="20"/>
  <c r="AC137" i="20"/>
  <c r="AC203" i="20"/>
  <c r="AC368" i="20"/>
  <c r="AC239" i="20"/>
  <c r="AC305" i="20"/>
  <c r="AC265" i="20"/>
  <c r="AC256" i="20"/>
  <c r="AC159" i="20"/>
  <c r="AC160" i="20"/>
  <c r="AC163" i="20"/>
  <c r="AC139" i="20"/>
  <c r="AC226" i="20"/>
  <c r="AC177" i="20"/>
  <c r="AC351" i="20"/>
  <c r="AC260" i="20"/>
  <c r="AC288" i="20"/>
  <c r="AC345" i="20"/>
  <c r="AC211" i="20"/>
  <c r="AC232" i="20"/>
  <c r="AC278" i="20"/>
  <c r="AC311" i="20"/>
  <c r="AC286" i="20"/>
  <c r="AC175" i="20"/>
  <c r="AC299" i="20"/>
  <c r="AC248" i="20"/>
  <c r="AC250" i="20"/>
  <c r="AC181" i="20"/>
  <c r="AC258" i="20"/>
  <c r="AC229" i="20"/>
  <c r="AC221" i="20"/>
  <c r="AC358" i="20"/>
  <c r="AC240" i="20"/>
  <c r="AC361" i="20"/>
  <c r="AC143" i="20"/>
  <c r="AC184" i="20"/>
  <c r="AC210" i="20"/>
  <c r="AC321" i="20"/>
  <c r="AC282" i="20"/>
  <c r="AC269" i="20"/>
  <c r="AC144" i="20"/>
  <c r="AC342" i="20"/>
  <c r="AC326" i="20"/>
  <c r="AC356" i="20"/>
  <c r="AC168" i="20"/>
  <c r="AC339" i="20"/>
  <c r="AC188" i="20"/>
  <c r="AC157" i="20"/>
  <c r="AC318" i="20"/>
  <c r="AC314" i="20"/>
  <c r="AC167" i="20"/>
  <c r="AC162" i="20"/>
  <c r="AC348" i="20"/>
  <c r="AC297" i="20"/>
  <c r="AC247" i="20"/>
  <c r="AJ13" i="16"/>
  <c r="AC72" i="22"/>
  <c r="AC53" i="22"/>
  <c r="AC102" i="22"/>
  <c r="AC41" i="22"/>
  <c r="AC75" i="22"/>
  <c r="AC131" i="22"/>
  <c r="AC27" i="22"/>
  <c r="AC133" i="22"/>
  <c r="AC23" i="22"/>
  <c r="AC38" i="22"/>
  <c r="AC24" i="22"/>
  <c r="AC61" i="22"/>
  <c r="AC99" i="22"/>
  <c r="AC105" i="22"/>
  <c r="AC60" i="22"/>
  <c r="AC47" i="22"/>
  <c r="AC67" i="22"/>
  <c r="AC107" i="22"/>
  <c r="AC66" i="22"/>
  <c r="AC82" i="22"/>
  <c r="AC56" i="22"/>
  <c r="AC49" i="22"/>
  <c r="AC52" i="22"/>
  <c r="AC51" i="22"/>
  <c r="AC101" i="22"/>
  <c r="AC32" i="22"/>
  <c r="AC123" i="22"/>
  <c r="AC39" i="22"/>
  <c r="AC44" i="22"/>
  <c r="AC92" i="22"/>
  <c r="AC18" i="22"/>
  <c r="AC17" i="22"/>
  <c r="AC109" i="22"/>
  <c r="AC50" i="22"/>
  <c r="AC118" i="22"/>
  <c r="AC83" i="22"/>
  <c r="AC58" i="22"/>
  <c r="AC79" i="22"/>
  <c r="AC128" i="22"/>
  <c r="AC95" i="22"/>
  <c r="AC74" i="22"/>
  <c r="AC98" i="22"/>
  <c r="AC91" i="22"/>
  <c r="AC64" i="22"/>
  <c r="AC96" i="22"/>
  <c r="AC124" i="22"/>
  <c r="AC69" i="22"/>
  <c r="AC31" i="22"/>
  <c r="AC34" i="22"/>
  <c r="AC57" i="22"/>
  <c r="AC33" i="22"/>
  <c r="AC89" i="22"/>
  <c r="AC106" i="22"/>
  <c r="AC100" i="22"/>
  <c r="AC117" i="22"/>
  <c r="AC28" i="22"/>
  <c r="AC121" i="22"/>
  <c r="AC16" i="22"/>
  <c r="AC87" i="22"/>
  <c r="AC111" i="22"/>
  <c r="AC94" i="22"/>
  <c r="AC78" i="22"/>
  <c r="AC116" i="22"/>
  <c r="AC55" i="22"/>
  <c r="AC126" i="22"/>
  <c r="AC114" i="22"/>
  <c r="AC29" i="22"/>
  <c r="AC86" i="22"/>
  <c r="AC40" i="22"/>
  <c r="AC25" i="22"/>
  <c r="AC63" i="22"/>
  <c r="AC97" i="22"/>
  <c r="AC36" i="22"/>
  <c r="AC42" i="22"/>
  <c r="AC22" i="22"/>
  <c r="AC48" i="22"/>
  <c r="AC26" i="22"/>
  <c r="AC80" i="22"/>
  <c r="AC88" i="22"/>
  <c r="AC35" i="22"/>
  <c r="AC37" i="22"/>
  <c r="AC120" i="22"/>
  <c r="AC113" i="22"/>
  <c r="AC20" i="22"/>
  <c r="AC73" i="22"/>
  <c r="AC129" i="22"/>
  <c r="AC77" i="22"/>
  <c r="AC84" i="22"/>
  <c r="AC59" i="22"/>
  <c r="AC119" i="22"/>
  <c r="AC132" i="22"/>
  <c r="AC104" i="22"/>
  <c r="AC68" i="22"/>
  <c r="AC122" i="22"/>
  <c r="AC85" i="22"/>
  <c r="AC43" i="22"/>
  <c r="AC130" i="22"/>
  <c r="AC125" i="22"/>
  <c r="AC62" i="22"/>
  <c r="AC81" i="22"/>
  <c r="AC19" i="22"/>
  <c r="AC30" i="22"/>
  <c r="AC112" i="22"/>
  <c r="AC90" i="22"/>
  <c r="AC21" i="22"/>
  <c r="AC71" i="22"/>
  <c r="AC127" i="22"/>
  <c r="AC45" i="22"/>
  <c r="AC54" i="22"/>
  <c r="AC115" i="22"/>
  <c r="AC46" i="22"/>
  <c r="AC93" i="22"/>
  <c r="AC134" i="22"/>
  <c r="AC15" i="22"/>
  <c r="AC76" i="22"/>
  <c r="AC103" i="22"/>
  <c r="AC70" i="22"/>
  <c r="AC108" i="22"/>
  <c r="AC65" i="22"/>
  <c r="AC110" i="22"/>
  <c r="O31" i="20"/>
  <c r="O89" i="20"/>
  <c r="O174" i="20"/>
  <c r="O293" i="20"/>
  <c r="O275" i="20"/>
  <c r="O339" i="20"/>
  <c r="O40" i="20"/>
  <c r="O20" i="20"/>
  <c r="O154" i="20"/>
  <c r="O218" i="20"/>
  <c r="O370" i="20"/>
  <c r="O143" i="20"/>
  <c r="O163" i="20"/>
  <c r="O288" i="20"/>
  <c r="O331" i="20"/>
  <c r="O64" i="20"/>
  <c r="O171" i="20"/>
  <c r="O249" i="20"/>
  <c r="O367" i="20"/>
  <c r="O141" i="20"/>
  <c r="O192" i="20"/>
  <c r="O276" i="20"/>
  <c r="O330" i="20"/>
  <c r="O23" i="20"/>
  <c r="O123" i="20"/>
  <c r="O205" i="20"/>
  <c r="O256" i="20"/>
  <c r="O242" i="20"/>
  <c r="O352" i="20"/>
  <c r="O32" i="20"/>
  <c r="O26" i="20"/>
  <c r="O137" i="20"/>
  <c r="O317" i="20"/>
  <c r="O364" i="20"/>
  <c r="O140" i="20"/>
  <c r="O209" i="20"/>
  <c r="O306" i="20"/>
  <c r="O357" i="20"/>
  <c r="O92" i="20"/>
  <c r="O215" i="20"/>
  <c r="O289" i="20"/>
  <c r="O51" i="20"/>
  <c r="O98" i="20"/>
  <c r="O180" i="20"/>
  <c r="AG25" i="7" s="1"/>
  <c r="O221" i="20"/>
  <c r="O355" i="20"/>
  <c r="O63" i="20"/>
  <c r="O144" i="20"/>
  <c r="O164" i="20"/>
  <c r="O271" i="20"/>
  <c r="O259" i="20"/>
  <c r="O375" i="20"/>
  <c r="O49" i="20"/>
  <c r="O102" i="20"/>
  <c r="O117" i="20"/>
  <c r="O311" i="20"/>
  <c r="O348" i="20"/>
  <c r="O151" i="20"/>
  <c r="O177" i="20"/>
  <c r="O237" i="20"/>
  <c r="O337" i="20"/>
  <c r="O131" i="20"/>
  <c r="O261" i="20"/>
  <c r="O344" i="20"/>
  <c r="O122" i="20"/>
  <c r="O148" i="20"/>
  <c r="O244" i="20"/>
  <c r="O303" i="20"/>
  <c r="O28" i="20"/>
  <c r="O113" i="20"/>
  <c r="O182" i="20"/>
  <c r="O243" i="20"/>
  <c r="O232" i="20"/>
  <c r="O325" i="20"/>
  <c r="O15" i="20"/>
  <c r="O74" i="20"/>
  <c r="O41" i="20"/>
  <c r="O178" i="20"/>
  <c r="O291" i="20"/>
  <c r="O24" i="20"/>
  <c r="O109" i="20"/>
  <c r="O196" i="20"/>
  <c r="O222" i="20"/>
  <c r="O328" i="20"/>
  <c r="O118" i="20"/>
  <c r="O245" i="20"/>
  <c r="O363" i="20"/>
  <c r="AG31" i="7" s="1"/>
  <c r="O83" i="20"/>
  <c r="O119" i="20"/>
  <c r="AG23" i="7" s="1"/>
  <c r="O189" i="20"/>
  <c r="O240" i="20"/>
  <c r="O327" i="20"/>
  <c r="O120" i="20"/>
  <c r="O315" i="20"/>
  <c r="O359" i="20"/>
  <c r="O55" i="20"/>
  <c r="O283" i="20"/>
  <c r="O103" i="20"/>
  <c r="O220" i="20"/>
  <c r="O110" i="20"/>
  <c r="O297" i="20"/>
  <c r="O90" i="20"/>
  <c r="O321" i="20"/>
  <c r="O53" i="20"/>
  <c r="O167" i="20"/>
  <c r="O268" i="20"/>
  <c r="O58" i="20"/>
  <c r="O208" i="20"/>
  <c r="O33" i="20"/>
  <c r="O188" i="20"/>
  <c r="O347" i="20"/>
  <c r="O270" i="20"/>
  <c r="O72" i="20"/>
  <c r="O198" i="20"/>
  <c r="O341" i="20"/>
  <c r="O107" i="20"/>
  <c r="O308" i="20"/>
  <c r="O345" i="20"/>
  <c r="O44" i="20"/>
  <c r="O253" i="20"/>
  <c r="O129" i="20"/>
  <c r="O277" i="20"/>
  <c r="O77" i="20"/>
  <c r="O318" i="20"/>
  <c r="O135" i="20"/>
  <c r="O266" i="20"/>
  <c r="O94" i="20"/>
  <c r="O213" i="20"/>
  <c r="O304" i="20"/>
  <c r="O56" i="20"/>
  <c r="O173" i="20"/>
  <c r="O22" i="20"/>
  <c r="O175" i="20"/>
  <c r="O336" i="20"/>
  <c r="O184" i="20"/>
  <c r="O45" i="20"/>
  <c r="O294" i="20"/>
  <c r="O43" i="20"/>
  <c r="O207" i="20"/>
  <c r="O251" i="20"/>
  <c r="O37" i="20"/>
  <c r="O155" i="20"/>
  <c r="O377" i="20"/>
  <c r="O172" i="20"/>
  <c r="O280" i="20"/>
  <c r="O168" i="20"/>
  <c r="O374" i="20"/>
  <c r="O166" i="20"/>
  <c r="O295" i="20"/>
  <c r="O97" i="20"/>
  <c r="O228" i="20"/>
  <c r="O313" i="20"/>
  <c r="O85" i="20"/>
  <c r="O264" i="20"/>
  <c r="O91" i="20"/>
  <c r="O267" i="20"/>
  <c r="O42" i="20"/>
  <c r="O258" i="20"/>
  <c r="O145" i="20"/>
  <c r="O279" i="20"/>
  <c r="O115" i="20"/>
  <c r="O246" i="20"/>
  <c r="O346" i="20"/>
  <c r="O80" i="20"/>
  <c r="O247" i="20"/>
  <c r="O59" i="20"/>
  <c r="O202" i="20"/>
  <c r="O314" i="20"/>
  <c r="O150" i="20"/>
  <c r="O286" i="20"/>
  <c r="O50" i="20"/>
  <c r="O156" i="20"/>
  <c r="O255" i="20"/>
  <c r="O46" i="20"/>
  <c r="O114" i="20"/>
  <c r="O335" i="20"/>
  <c r="O146" i="20"/>
  <c r="O265" i="20"/>
  <c r="O112" i="20"/>
  <c r="O354" i="20"/>
  <c r="O142" i="20"/>
  <c r="O278" i="20"/>
  <c r="AG13" i="7"/>
  <c r="AM10" i="7" s="1"/>
  <c r="O87" i="20"/>
  <c r="O170" i="20"/>
  <c r="O236" i="20"/>
  <c r="O229" i="20"/>
  <c r="O320" i="20"/>
  <c r="O379" i="20"/>
  <c r="C40" i="19" s="1"/>
  <c r="O79" i="20"/>
  <c r="O99" i="20"/>
  <c r="O226" i="20"/>
  <c r="O324" i="20"/>
  <c r="O67" i="20"/>
  <c r="O136" i="20"/>
  <c r="O211" i="20"/>
  <c r="O257" i="20"/>
  <c r="O356" i="20"/>
  <c r="O96" i="20"/>
  <c r="O287" i="20"/>
  <c r="O349" i="20"/>
  <c r="O61" i="20"/>
  <c r="O124" i="20"/>
  <c r="O195" i="20"/>
  <c r="O252" i="20"/>
  <c r="O351" i="20"/>
  <c r="O75" i="20"/>
  <c r="O116" i="20"/>
  <c r="O194" i="20"/>
  <c r="O312" i="20"/>
  <c r="O292" i="20"/>
  <c r="O353" i="20"/>
  <c r="O66" i="20"/>
  <c r="O84" i="20"/>
  <c r="O212" i="20"/>
  <c r="O310" i="20"/>
  <c r="O68" i="20"/>
  <c r="O133" i="20"/>
  <c r="O216" i="20"/>
  <c r="O274" i="20"/>
  <c r="O19" i="20"/>
  <c r="O149" i="20"/>
  <c r="AG24" i="7" s="1"/>
  <c r="O326" i="20"/>
  <c r="O338" i="20"/>
  <c r="O108" i="20"/>
  <c r="O159" i="20"/>
  <c r="O231" i="20"/>
  <c r="O302" i="20"/>
  <c r="AG29" i="7" s="1"/>
  <c r="O25" i="20"/>
  <c r="O105" i="20"/>
  <c r="O138" i="20"/>
  <c r="O224" i="20"/>
  <c r="O217" i="20"/>
  <c r="O309" i="20"/>
  <c r="O368" i="20"/>
  <c r="O70" i="20"/>
  <c r="O76" i="20"/>
  <c r="O193" i="20"/>
  <c r="O300" i="20"/>
  <c r="O73" i="20"/>
  <c r="O157" i="20"/>
  <c r="O225" i="20"/>
  <c r="O316" i="20"/>
  <c r="O60" i="20"/>
  <c r="AG21" i="7" s="1"/>
  <c r="O206" i="20"/>
  <c r="O273" i="20"/>
  <c r="O57" i="20"/>
  <c r="O104" i="20"/>
  <c r="O185" i="20"/>
  <c r="O234" i="20"/>
  <c r="O329" i="20"/>
  <c r="O36" i="20"/>
  <c r="O100" i="20"/>
  <c r="O179" i="20"/>
  <c r="O301" i="20"/>
  <c r="O285" i="20"/>
  <c r="O343" i="20"/>
  <c r="O52" i="20"/>
  <c r="O93" i="20"/>
  <c r="O106" i="20"/>
  <c r="O296" i="20"/>
  <c r="O340" i="20"/>
  <c r="O111" i="20"/>
  <c r="O190" i="20"/>
  <c r="O235" i="20"/>
  <c r="O299" i="20"/>
  <c r="O35" i="20"/>
  <c r="O183" i="20"/>
  <c r="O239" i="20"/>
  <c r="O16" i="20"/>
  <c r="O88" i="20"/>
  <c r="AG22" i="7" s="1"/>
  <c r="O181" i="20"/>
  <c r="O254" i="20"/>
  <c r="O319" i="20"/>
  <c r="O62" i="20"/>
  <c r="O203" i="20"/>
  <c r="O298" i="20"/>
  <c r="O54" i="20"/>
  <c r="O165" i="20"/>
  <c r="O47" i="20"/>
  <c r="O191" i="20"/>
  <c r="O376" i="20"/>
  <c r="O233" i="20"/>
  <c r="O38" i="20"/>
  <c r="O176" i="20"/>
  <c r="O358" i="20"/>
  <c r="O153" i="20"/>
  <c r="O284" i="20"/>
  <c r="O332" i="20"/>
  <c r="O17" i="20"/>
  <c r="O262" i="20"/>
  <c r="O95" i="20"/>
  <c r="O248" i="20"/>
  <c r="O152" i="20"/>
  <c r="O333" i="20"/>
  <c r="AG30" i="7" s="1"/>
  <c r="O126" i="20"/>
  <c r="O260" i="20"/>
  <c r="O69" i="20"/>
  <c r="O187" i="20"/>
  <c r="O290" i="20"/>
  <c r="O30" i="20"/>
  <c r="O197" i="20"/>
  <c r="O29" i="20"/>
  <c r="AG20" i="7" s="1"/>
  <c r="O200" i="20"/>
  <c r="O350" i="20"/>
  <c r="O199" i="20"/>
  <c r="O81" i="20"/>
  <c r="O204" i="20"/>
  <c r="O371" i="20"/>
  <c r="O132" i="20"/>
  <c r="O322" i="20"/>
  <c r="O365" i="20"/>
  <c r="O48" i="20"/>
  <c r="O230" i="20"/>
  <c r="O147" i="20"/>
  <c r="O282" i="20"/>
  <c r="O65" i="20"/>
  <c r="O305" i="20"/>
  <c r="O169" i="20"/>
  <c r="O334" i="20"/>
  <c r="O128" i="20"/>
  <c r="O263" i="20"/>
  <c r="O362" i="20"/>
  <c r="O82" i="20"/>
  <c r="O281" i="20"/>
  <c r="O101" i="20"/>
  <c r="O250" i="20"/>
  <c r="O34" i="20"/>
  <c r="O227" i="20"/>
  <c r="O86" i="20"/>
  <c r="O223" i="20"/>
  <c r="O18" i="20"/>
  <c r="O160" i="20"/>
  <c r="O219" i="20"/>
  <c r="O373" i="20"/>
  <c r="O139" i="20"/>
  <c r="O366" i="20"/>
  <c r="O162" i="20"/>
  <c r="O323" i="20"/>
  <c r="O158" i="20"/>
  <c r="O378" i="20"/>
  <c r="O201" i="20"/>
  <c r="O39" i="20"/>
  <c r="O186" i="20"/>
  <c r="O241" i="20"/>
  <c r="AG27" i="7" s="1"/>
  <c r="O27" i="20"/>
  <c r="O127" i="20"/>
  <c r="O361" i="20"/>
  <c r="O125" i="20"/>
  <c r="O272" i="20"/>
  <c r="AG28" i="7" s="1"/>
  <c r="O121" i="20"/>
  <c r="O21" i="20"/>
  <c r="O161" i="20"/>
  <c r="O342" i="20"/>
  <c r="O134" i="20"/>
  <c r="O269" i="20"/>
  <c r="O372" i="20"/>
  <c r="O71" i="20"/>
  <c r="O238" i="20"/>
  <c r="O78" i="20"/>
  <c r="O210" i="20"/>
  <c r="AG26" i="7" s="1"/>
  <c r="O369" i="20"/>
  <c r="O307" i="20"/>
  <c r="O130" i="20"/>
  <c r="O214" i="20"/>
  <c r="O360" i="20"/>
  <c r="J148" i="15"/>
  <c r="I148" i="15"/>
  <c r="I116" i="15"/>
  <c r="J116" i="15"/>
  <c r="I167" i="15"/>
  <c r="J167" i="15"/>
  <c r="Z320" i="1"/>
  <c r="U56" i="16" l="1"/>
  <c r="T56" i="16" s="1"/>
  <c r="S56" i="16" s="1"/>
  <c r="R56" i="16" s="1"/>
  <c r="P56" i="16" s="1"/>
  <c r="V56" i="16" s="1"/>
  <c r="F56" i="16" s="1"/>
  <c r="U28" i="16"/>
  <c r="T28" i="16" s="1"/>
  <c r="S28" i="16" s="1"/>
  <c r="R28" i="16" s="1"/>
  <c r="P28" i="16" s="1"/>
  <c r="V28" i="16" s="1"/>
  <c r="F28" i="16" s="1"/>
  <c r="G28" i="16" s="1"/>
  <c r="BY28" i="6" s="1"/>
  <c r="U262" i="16"/>
  <c r="T262" i="16" s="1"/>
  <c r="S262" i="16" s="1"/>
  <c r="R262" i="16" s="1"/>
  <c r="P262" i="16" s="1"/>
  <c r="V262" i="16" s="1"/>
  <c r="F262" i="16" s="1"/>
  <c r="U100" i="16"/>
  <c r="T100" i="16" s="1"/>
  <c r="S100" i="16" s="1"/>
  <c r="R100" i="16" s="1"/>
  <c r="P100" i="16" s="1"/>
  <c r="V100" i="16" s="1"/>
  <c r="F100" i="16" s="1"/>
  <c r="G100" i="16" s="1"/>
  <c r="BY100" i="6" s="1"/>
  <c r="U302" i="16"/>
  <c r="T302" i="16" s="1"/>
  <c r="S302" i="16" s="1"/>
  <c r="R302" i="16" s="1"/>
  <c r="P302" i="16" s="1"/>
  <c r="U74" i="16"/>
  <c r="T74" i="16" s="1"/>
  <c r="S74" i="16" s="1"/>
  <c r="R74" i="16" s="1"/>
  <c r="P74" i="16" s="1"/>
  <c r="V74" i="16" s="1"/>
  <c r="F74" i="16" s="1"/>
  <c r="G74" i="16" s="1"/>
  <c r="BY74" i="6" s="1"/>
  <c r="U209" i="16"/>
  <c r="T209" i="16" s="1"/>
  <c r="S209" i="16" s="1"/>
  <c r="R209" i="16" s="1"/>
  <c r="P209" i="16" s="1"/>
  <c r="V209" i="16" s="1"/>
  <c r="F209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41" i="16"/>
  <c r="T41" i="16" s="1"/>
  <c r="S41" i="16" s="1"/>
  <c r="R41" i="16" s="1"/>
  <c r="P41" i="16" s="1"/>
  <c r="V41" i="16" s="1"/>
  <c r="F41" i="16" s="1"/>
  <c r="U55" i="16"/>
  <c r="T55" i="16" s="1"/>
  <c r="S55" i="16" s="1"/>
  <c r="R55" i="16" s="1"/>
  <c r="P55" i="16" s="1"/>
  <c r="V55" i="16" s="1"/>
  <c r="F55" i="16" s="1"/>
  <c r="U341" i="16"/>
  <c r="T341" i="16" s="1"/>
  <c r="S341" i="16" s="1"/>
  <c r="R341" i="16" s="1"/>
  <c r="P341" i="16" s="1"/>
  <c r="V341" i="16" s="1"/>
  <c r="F341" i="16" s="1"/>
  <c r="U201" i="16"/>
  <c r="T201" i="16" s="1"/>
  <c r="S201" i="16" s="1"/>
  <c r="R201" i="16" s="1"/>
  <c r="P201" i="16" s="1"/>
  <c r="V201" i="16" s="1"/>
  <c r="F201" i="16" s="1"/>
  <c r="G201" i="16" s="1"/>
  <c r="BY201" i="6" s="1"/>
  <c r="U242" i="16"/>
  <c r="T242" i="16" s="1"/>
  <c r="S242" i="16" s="1"/>
  <c r="R242" i="16" s="1"/>
  <c r="P242" i="16" s="1"/>
  <c r="V242" i="16" s="1"/>
  <c r="F242" i="16" s="1"/>
  <c r="U75" i="16"/>
  <c r="T75" i="16" s="1"/>
  <c r="S75" i="16" s="1"/>
  <c r="R75" i="16" s="1"/>
  <c r="P75" i="16" s="1"/>
  <c r="V75" i="16" s="1"/>
  <c r="U131" i="16"/>
  <c r="T131" i="16" s="1"/>
  <c r="S131" i="16" s="1"/>
  <c r="R131" i="16" s="1"/>
  <c r="P131" i="16" s="1"/>
  <c r="V131" i="16" s="1"/>
  <c r="F131" i="16" s="1"/>
  <c r="U20" i="16"/>
  <c r="T20" i="16" s="1"/>
  <c r="S20" i="16" s="1"/>
  <c r="R20" i="16" s="1"/>
  <c r="P20" i="16" s="1"/>
  <c r="V20" i="16" s="1"/>
  <c r="F20" i="16" s="1"/>
  <c r="AA20" i="16" s="1"/>
  <c r="Z20" i="16" s="1"/>
  <c r="Y20" i="16" s="1"/>
  <c r="U291" i="16"/>
  <c r="T291" i="16" s="1"/>
  <c r="S291" i="16" s="1"/>
  <c r="R291" i="16" s="1"/>
  <c r="P291" i="16" s="1"/>
  <c r="V291" i="16" s="1"/>
  <c r="F291" i="16" s="1"/>
  <c r="U147" i="16"/>
  <c r="T147" i="16" s="1"/>
  <c r="S147" i="16" s="1"/>
  <c r="R147" i="16" s="1"/>
  <c r="P147" i="16" s="1"/>
  <c r="V147" i="16" s="1"/>
  <c r="F147" i="16" s="1"/>
  <c r="G147" i="16" s="1"/>
  <c r="BY147" i="6" s="1"/>
  <c r="U32" i="16"/>
  <c r="T32" i="16" s="1"/>
  <c r="S32" i="16" s="1"/>
  <c r="R32" i="16" s="1"/>
  <c r="P32" i="16" s="1"/>
  <c r="V32" i="16" s="1"/>
  <c r="F32" i="16" s="1"/>
  <c r="U283" i="16"/>
  <c r="T283" i="16" s="1"/>
  <c r="S283" i="16" s="1"/>
  <c r="R283" i="16" s="1"/>
  <c r="P283" i="16" s="1"/>
  <c r="V283" i="16" s="1"/>
  <c r="F283" i="16" s="1"/>
  <c r="H283" i="16" s="1"/>
  <c r="U349" i="16"/>
  <c r="T349" i="16" s="1"/>
  <c r="S349" i="16" s="1"/>
  <c r="R349" i="16" s="1"/>
  <c r="P349" i="16" s="1"/>
  <c r="V349" i="16" s="1"/>
  <c r="F349" i="16" s="1"/>
  <c r="U361" i="16"/>
  <c r="T361" i="16" s="1"/>
  <c r="S361" i="16" s="1"/>
  <c r="R361" i="16" s="1"/>
  <c r="P361" i="16" s="1"/>
  <c r="V361" i="16" s="1"/>
  <c r="F361" i="16" s="1"/>
  <c r="G361" i="16" s="1"/>
  <c r="BY361" i="6" s="1"/>
  <c r="U91" i="16"/>
  <c r="T91" i="16" s="1"/>
  <c r="S91" i="16" s="1"/>
  <c r="R91" i="16" s="1"/>
  <c r="P91" i="16" s="1"/>
  <c r="V91" i="16" s="1"/>
  <c r="F91" i="16" s="1"/>
  <c r="AI99" i="16"/>
  <c r="AH99" i="16" s="1"/>
  <c r="AG99" i="16" s="1"/>
  <c r="AF99" i="16" s="1"/>
  <c r="AD99" i="16" s="1"/>
  <c r="AA99" i="16" s="1"/>
  <c r="Z99" i="16" s="1"/>
  <c r="Y99" i="16" s="1"/>
  <c r="AI238" i="16"/>
  <c r="AH238" i="16" s="1"/>
  <c r="AG238" i="16" s="1"/>
  <c r="AF238" i="16" s="1"/>
  <c r="AD238" i="16" s="1"/>
  <c r="AI219" i="16"/>
  <c r="AH219" i="16" s="1"/>
  <c r="AG219" i="16" s="1"/>
  <c r="AF219" i="16" s="1"/>
  <c r="AD219" i="16" s="1"/>
  <c r="AI42" i="16"/>
  <c r="AH42" i="16" s="1"/>
  <c r="AG42" i="16" s="1"/>
  <c r="AF42" i="16" s="1"/>
  <c r="AD42" i="16" s="1"/>
  <c r="AI94" i="16"/>
  <c r="AH94" i="16" s="1"/>
  <c r="AG94" i="16" s="1"/>
  <c r="AF94" i="16" s="1"/>
  <c r="AD94" i="16" s="1"/>
  <c r="AI193" i="16"/>
  <c r="AH193" i="16" s="1"/>
  <c r="AG193" i="16" s="1"/>
  <c r="AF193" i="16" s="1"/>
  <c r="AD193" i="16" s="1"/>
  <c r="AI252" i="16"/>
  <c r="AH252" i="16" s="1"/>
  <c r="AG252" i="16" s="1"/>
  <c r="AF252" i="16" s="1"/>
  <c r="AD252" i="16" s="1"/>
  <c r="AI185" i="16"/>
  <c r="AH185" i="16" s="1"/>
  <c r="AG185" i="16" s="1"/>
  <c r="AF185" i="16" s="1"/>
  <c r="AD185" i="16" s="1"/>
  <c r="AI78" i="16"/>
  <c r="AH78" i="16" s="1"/>
  <c r="AG78" i="16" s="1"/>
  <c r="AF78" i="16" s="1"/>
  <c r="AD78" i="16" s="1"/>
  <c r="AI145" i="16"/>
  <c r="AH145" i="16" s="1"/>
  <c r="AG145" i="16" s="1"/>
  <c r="AF145" i="16" s="1"/>
  <c r="AD145" i="16" s="1"/>
  <c r="AI371" i="16"/>
  <c r="AH371" i="16" s="1"/>
  <c r="AG371" i="16" s="1"/>
  <c r="AF371" i="16" s="1"/>
  <c r="AD371" i="16" s="1"/>
  <c r="AI282" i="16"/>
  <c r="AH282" i="16" s="1"/>
  <c r="AG282" i="16" s="1"/>
  <c r="AF282" i="16" s="1"/>
  <c r="AD282" i="16" s="1"/>
  <c r="AI102" i="16"/>
  <c r="AH102" i="16" s="1"/>
  <c r="AG102" i="16" s="1"/>
  <c r="AF102" i="16" s="1"/>
  <c r="AD102" i="16" s="1"/>
  <c r="AA102" i="16" s="1"/>
  <c r="Z102" i="16" s="1"/>
  <c r="Y102" i="16" s="1"/>
  <c r="AI123" i="16"/>
  <c r="AH123" i="16" s="1"/>
  <c r="AG123" i="16" s="1"/>
  <c r="AF123" i="16" s="1"/>
  <c r="AD123" i="16" s="1"/>
  <c r="AI328" i="16"/>
  <c r="AH328" i="16" s="1"/>
  <c r="AG328" i="16" s="1"/>
  <c r="AF328" i="16" s="1"/>
  <c r="AD328" i="16" s="1"/>
  <c r="AI122" i="16"/>
  <c r="AH122" i="16" s="1"/>
  <c r="AG122" i="16" s="1"/>
  <c r="AF122" i="16" s="1"/>
  <c r="AD122" i="16" s="1"/>
  <c r="AI209" i="16"/>
  <c r="AH209" i="16" s="1"/>
  <c r="AG209" i="16" s="1"/>
  <c r="AF209" i="16" s="1"/>
  <c r="AD209" i="16" s="1"/>
  <c r="AA209" i="16" s="1"/>
  <c r="Z209" i="16" s="1"/>
  <c r="Y209" i="16" s="1"/>
  <c r="AI198" i="16"/>
  <c r="AH198" i="16" s="1"/>
  <c r="AG198" i="16" s="1"/>
  <c r="AF198" i="16" s="1"/>
  <c r="AD198" i="16" s="1"/>
  <c r="AI246" i="16"/>
  <c r="AH246" i="16" s="1"/>
  <c r="AG246" i="16" s="1"/>
  <c r="AF246" i="16" s="1"/>
  <c r="AD246" i="16" s="1"/>
  <c r="AI153" i="16"/>
  <c r="AH153" i="16" s="1"/>
  <c r="AG153" i="16" s="1"/>
  <c r="AF153" i="16" s="1"/>
  <c r="AD153" i="16" s="1"/>
  <c r="AI204" i="16"/>
  <c r="AH204" i="16" s="1"/>
  <c r="AG204" i="16" s="1"/>
  <c r="AF204" i="16" s="1"/>
  <c r="AD204" i="16" s="1"/>
  <c r="AI69" i="16"/>
  <c r="AH69" i="16" s="1"/>
  <c r="AG69" i="16" s="1"/>
  <c r="AF69" i="16" s="1"/>
  <c r="AD69" i="16" s="1"/>
  <c r="AI55" i="16"/>
  <c r="AH55" i="16" s="1"/>
  <c r="AG55" i="16" s="1"/>
  <c r="AF55" i="16" s="1"/>
  <c r="AD55" i="16" s="1"/>
  <c r="AI100" i="16"/>
  <c r="AH100" i="16" s="1"/>
  <c r="AG100" i="16" s="1"/>
  <c r="AF100" i="16" s="1"/>
  <c r="AD100" i="16" s="1"/>
  <c r="AI308" i="16"/>
  <c r="AH308" i="16" s="1"/>
  <c r="AG308" i="16" s="1"/>
  <c r="AF308" i="16" s="1"/>
  <c r="AD308" i="16" s="1"/>
  <c r="AA308" i="16" s="1"/>
  <c r="Z308" i="16" s="1"/>
  <c r="Y308" i="16" s="1"/>
  <c r="AI46" i="16"/>
  <c r="AH46" i="16" s="1"/>
  <c r="AG46" i="16" s="1"/>
  <c r="AF46" i="16" s="1"/>
  <c r="AD46" i="16" s="1"/>
  <c r="AI255" i="16"/>
  <c r="AH255" i="16" s="1"/>
  <c r="AG255" i="16" s="1"/>
  <c r="AF255" i="16" s="1"/>
  <c r="AD255" i="16" s="1"/>
  <c r="AI48" i="16"/>
  <c r="AH48" i="16" s="1"/>
  <c r="AG48" i="16" s="1"/>
  <c r="AF48" i="16" s="1"/>
  <c r="AD48" i="16" s="1"/>
  <c r="AI139" i="16"/>
  <c r="AH139" i="16" s="1"/>
  <c r="AG139" i="16" s="1"/>
  <c r="AF139" i="16" s="1"/>
  <c r="AD139" i="16" s="1"/>
  <c r="AI159" i="16"/>
  <c r="AH159" i="16" s="1"/>
  <c r="AG159" i="16" s="1"/>
  <c r="AF159" i="16" s="1"/>
  <c r="AD159" i="16" s="1"/>
  <c r="AI217" i="16"/>
  <c r="AH217" i="16" s="1"/>
  <c r="AG217" i="16" s="1"/>
  <c r="AF217" i="16" s="1"/>
  <c r="AD217" i="16" s="1"/>
  <c r="AA217" i="16" s="1"/>
  <c r="Z217" i="16" s="1"/>
  <c r="Y217" i="16" s="1"/>
  <c r="U303" i="16"/>
  <c r="T303" i="16" s="1"/>
  <c r="S303" i="16" s="1"/>
  <c r="R303" i="16" s="1"/>
  <c r="P303" i="16" s="1"/>
  <c r="V303" i="16" s="1"/>
  <c r="F303" i="16" s="1"/>
  <c r="U305" i="16"/>
  <c r="T305" i="16" s="1"/>
  <c r="S305" i="16" s="1"/>
  <c r="R305" i="16" s="1"/>
  <c r="P305" i="16" s="1"/>
  <c r="V305" i="16" s="1"/>
  <c r="F305" i="16" s="1"/>
  <c r="G305" i="16" s="1"/>
  <c r="BY305" i="6" s="1"/>
  <c r="U243" i="16"/>
  <c r="T243" i="16" s="1"/>
  <c r="S243" i="16" s="1"/>
  <c r="R243" i="16" s="1"/>
  <c r="P243" i="16" s="1"/>
  <c r="V243" i="16" s="1"/>
  <c r="F243" i="16" s="1"/>
  <c r="U21" i="16"/>
  <c r="T21" i="16" s="1"/>
  <c r="S21" i="16" s="1"/>
  <c r="R21" i="16" s="1"/>
  <c r="P21" i="16" s="1"/>
  <c r="V21" i="16" s="1"/>
  <c r="F21" i="16" s="1"/>
  <c r="G21" i="16" s="1"/>
  <c r="BY21" i="6" s="1"/>
  <c r="U233" i="16"/>
  <c r="T233" i="16" s="1"/>
  <c r="S233" i="16" s="1"/>
  <c r="R233" i="16" s="1"/>
  <c r="P233" i="16" s="1"/>
  <c r="V233" i="16" s="1"/>
  <c r="F233" i="16" s="1"/>
  <c r="U319" i="16"/>
  <c r="T319" i="16" s="1"/>
  <c r="S319" i="16" s="1"/>
  <c r="R319" i="16" s="1"/>
  <c r="P319" i="16" s="1"/>
  <c r="V319" i="16" s="1"/>
  <c r="F319" i="16" s="1"/>
  <c r="G319" i="16" s="1"/>
  <c r="BY319" i="6" s="1"/>
  <c r="U113" i="16"/>
  <c r="T113" i="16" s="1"/>
  <c r="S113" i="16" s="1"/>
  <c r="R113" i="16" s="1"/>
  <c r="P113" i="16" s="1"/>
  <c r="V113" i="16" s="1"/>
  <c r="F113" i="16" s="1"/>
  <c r="H113" i="16" s="1"/>
  <c r="U367" i="16"/>
  <c r="T367" i="16" s="1"/>
  <c r="S367" i="16" s="1"/>
  <c r="R367" i="16" s="1"/>
  <c r="P367" i="16" s="1"/>
  <c r="V367" i="16" s="1"/>
  <c r="F367" i="16" s="1"/>
  <c r="G367" i="16" s="1"/>
  <c r="BY367" i="6" s="1"/>
  <c r="U191" i="16"/>
  <c r="T191" i="16" s="1"/>
  <c r="S191" i="16" s="1"/>
  <c r="R191" i="16" s="1"/>
  <c r="P191" i="16" s="1"/>
  <c r="V191" i="16" s="1"/>
  <c r="F191" i="16" s="1"/>
  <c r="G191" i="16" s="1"/>
  <c r="BY191" i="6" s="1"/>
  <c r="U237" i="16"/>
  <c r="T237" i="16" s="1"/>
  <c r="S237" i="16" s="1"/>
  <c r="R237" i="16" s="1"/>
  <c r="P237" i="16" s="1"/>
  <c r="V237" i="16" s="1"/>
  <c r="F237" i="16" s="1"/>
  <c r="H237" i="16" s="1"/>
  <c r="U347" i="16"/>
  <c r="T347" i="16" s="1"/>
  <c r="S347" i="16" s="1"/>
  <c r="R347" i="16" s="1"/>
  <c r="P347" i="16" s="1"/>
  <c r="V347" i="16" s="1"/>
  <c r="F347" i="16" s="1"/>
  <c r="U270" i="16"/>
  <c r="T270" i="16" s="1"/>
  <c r="S270" i="16" s="1"/>
  <c r="R270" i="16" s="1"/>
  <c r="P270" i="16" s="1"/>
  <c r="V270" i="16" s="1"/>
  <c r="F270" i="16" s="1"/>
  <c r="H270" i="16" s="1"/>
  <c r="U140" i="16"/>
  <c r="T140" i="16" s="1"/>
  <c r="S140" i="16" s="1"/>
  <c r="R140" i="16" s="1"/>
  <c r="P140" i="16" s="1"/>
  <c r="V140" i="16" s="1"/>
  <c r="F140" i="16" s="1"/>
  <c r="G140" i="16" s="1"/>
  <c r="BY140" i="6" s="1"/>
  <c r="U258" i="16"/>
  <c r="T258" i="16" s="1"/>
  <c r="S258" i="16" s="1"/>
  <c r="R258" i="16" s="1"/>
  <c r="P258" i="16" s="1"/>
  <c r="V258" i="16" s="1"/>
  <c r="F258" i="16" s="1"/>
  <c r="G258" i="16" s="1"/>
  <c r="BY258" i="6" s="1"/>
  <c r="U69" i="16"/>
  <c r="T69" i="16" s="1"/>
  <c r="S69" i="16" s="1"/>
  <c r="R69" i="16" s="1"/>
  <c r="P69" i="16" s="1"/>
  <c r="V69" i="16" s="1"/>
  <c r="F69" i="16" s="1"/>
  <c r="H69" i="16" s="1"/>
  <c r="U211" i="16"/>
  <c r="T211" i="16" s="1"/>
  <c r="S211" i="16" s="1"/>
  <c r="R211" i="16" s="1"/>
  <c r="P211" i="16" s="1"/>
  <c r="V211" i="16" s="1"/>
  <c r="F211" i="16" s="1"/>
  <c r="H211" i="16" s="1"/>
  <c r="U374" i="16"/>
  <c r="T374" i="16" s="1"/>
  <c r="S374" i="16" s="1"/>
  <c r="R374" i="16" s="1"/>
  <c r="P374" i="16" s="1"/>
  <c r="V374" i="16" s="1"/>
  <c r="F374" i="16" s="1"/>
  <c r="U246" i="16"/>
  <c r="T246" i="16" s="1"/>
  <c r="S246" i="16" s="1"/>
  <c r="R246" i="16" s="1"/>
  <c r="P246" i="16" s="1"/>
  <c r="V246" i="16" s="1"/>
  <c r="F246" i="16" s="1"/>
  <c r="G246" i="16" s="1"/>
  <c r="BY246" i="6" s="1"/>
  <c r="U362" i="16"/>
  <c r="T362" i="16" s="1"/>
  <c r="S362" i="16" s="1"/>
  <c r="R362" i="16" s="1"/>
  <c r="P362" i="16" s="1"/>
  <c r="V362" i="16" s="1"/>
  <c r="F362" i="16" s="1"/>
  <c r="G362" i="16" s="1"/>
  <c r="BY362" i="6" s="1"/>
  <c r="U292" i="16"/>
  <c r="T292" i="16" s="1"/>
  <c r="S292" i="16" s="1"/>
  <c r="R292" i="16" s="1"/>
  <c r="P292" i="16" s="1"/>
  <c r="V292" i="16" s="1"/>
  <c r="F292" i="16" s="1"/>
  <c r="H292" i="16" s="1"/>
  <c r="U57" i="16"/>
  <c r="T57" i="16" s="1"/>
  <c r="S57" i="16" s="1"/>
  <c r="R57" i="16" s="1"/>
  <c r="P57" i="16" s="1"/>
  <c r="V57" i="16" s="1"/>
  <c r="F57" i="16" s="1"/>
  <c r="G57" i="16" s="1"/>
  <c r="BY57" i="6" s="1"/>
  <c r="U168" i="16"/>
  <c r="T168" i="16" s="1"/>
  <c r="S168" i="16" s="1"/>
  <c r="R168" i="16" s="1"/>
  <c r="P168" i="16" s="1"/>
  <c r="V168" i="16" s="1"/>
  <c r="F168" i="16" s="1"/>
  <c r="H168" i="16" s="1"/>
  <c r="U155" i="16"/>
  <c r="T155" i="16" s="1"/>
  <c r="S155" i="16" s="1"/>
  <c r="R155" i="16" s="1"/>
  <c r="P155" i="16" s="1"/>
  <c r="V155" i="16" s="1"/>
  <c r="F155" i="16" s="1"/>
  <c r="G155" i="16" s="1"/>
  <c r="BY155" i="6" s="1"/>
  <c r="U73" i="16"/>
  <c r="T73" i="16" s="1"/>
  <c r="S73" i="16" s="1"/>
  <c r="R73" i="16" s="1"/>
  <c r="P73" i="16" s="1"/>
  <c r="V73" i="16" s="1"/>
  <c r="F73" i="16" s="1"/>
  <c r="G73" i="16" s="1"/>
  <c r="BY73" i="6" s="1"/>
  <c r="U42" i="16"/>
  <c r="T42" i="16" s="1"/>
  <c r="S42" i="16" s="1"/>
  <c r="R42" i="16" s="1"/>
  <c r="P42" i="16" s="1"/>
  <c r="V42" i="16" s="1"/>
  <c r="F42" i="16" s="1"/>
  <c r="AA42" i="16" s="1"/>
  <c r="Z42" i="16" s="1"/>
  <c r="Y42" i="16" s="1"/>
  <c r="U30" i="16"/>
  <c r="T30" i="16" s="1"/>
  <c r="S30" i="16" s="1"/>
  <c r="R30" i="16" s="1"/>
  <c r="P30" i="16" s="1"/>
  <c r="V30" i="16" s="1"/>
  <c r="F30" i="16" s="1"/>
  <c r="G30" i="16" s="1"/>
  <c r="BY30" i="6" s="1"/>
  <c r="U195" i="16"/>
  <c r="T195" i="16" s="1"/>
  <c r="S195" i="16" s="1"/>
  <c r="R195" i="16" s="1"/>
  <c r="P195" i="16" s="1"/>
  <c r="V195" i="16" s="1"/>
  <c r="F195" i="16" s="1"/>
  <c r="H195" i="16" s="1"/>
  <c r="U87" i="16"/>
  <c r="T87" i="16" s="1"/>
  <c r="S87" i="16" s="1"/>
  <c r="R87" i="16" s="1"/>
  <c r="P87" i="16" s="1"/>
  <c r="V87" i="16" s="1"/>
  <c r="F87" i="16" s="1"/>
  <c r="G87" i="16" s="1"/>
  <c r="BY87" i="6" s="1"/>
  <c r="U47" i="16"/>
  <c r="T47" i="16" s="1"/>
  <c r="S47" i="16" s="1"/>
  <c r="R47" i="16" s="1"/>
  <c r="P47" i="16" s="1"/>
  <c r="U314" i="16"/>
  <c r="T314" i="16" s="1"/>
  <c r="S314" i="16" s="1"/>
  <c r="R314" i="16" s="1"/>
  <c r="P314" i="16" s="1"/>
  <c r="V314" i="16" s="1"/>
  <c r="F314" i="16" s="1"/>
  <c r="AA314" i="16" s="1"/>
  <c r="Z314" i="16" s="1"/>
  <c r="Y314" i="16" s="1"/>
  <c r="U299" i="16"/>
  <c r="T299" i="16" s="1"/>
  <c r="S299" i="16" s="1"/>
  <c r="R299" i="16" s="1"/>
  <c r="P299" i="16" s="1"/>
  <c r="V299" i="16" s="1"/>
  <c r="F299" i="16" s="1"/>
  <c r="G299" i="16" s="1"/>
  <c r="BY299" i="6" s="1"/>
  <c r="U268" i="16"/>
  <c r="T268" i="16" s="1"/>
  <c r="S268" i="16" s="1"/>
  <c r="R268" i="16" s="1"/>
  <c r="P268" i="16" s="1"/>
  <c r="V268" i="16" s="1"/>
  <c r="F268" i="16" s="1"/>
  <c r="G268" i="16" s="1"/>
  <c r="BY268" i="6" s="1"/>
  <c r="U31" i="16"/>
  <c r="T31" i="16" s="1"/>
  <c r="S31" i="16" s="1"/>
  <c r="R31" i="16" s="1"/>
  <c r="P31" i="16" s="1"/>
  <c r="V31" i="16" s="1"/>
  <c r="F31" i="16" s="1"/>
  <c r="U146" i="16"/>
  <c r="T146" i="16" s="1"/>
  <c r="S146" i="16" s="1"/>
  <c r="R146" i="16" s="1"/>
  <c r="P146" i="16" s="1"/>
  <c r="V146" i="16" s="1"/>
  <c r="F146" i="16" s="1"/>
  <c r="G146" i="16" s="1"/>
  <c r="BY146" i="6" s="1"/>
  <c r="U172" i="16"/>
  <c r="T172" i="16" s="1"/>
  <c r="S172" i="16" s="1"/>
  <c r="R172" i="16" s="1"/>
  <c r="P172" i="16" s="1"/>
  <c r="V172" i="16" s="1"/>
  <c r="F172" i="16" s="1"/>
  <c r="H172" i="16" s="1"/>
  <c r="U44" i="16"/>
  <c r="T44" i="16" s="1"/>
  <c r="S44" i="16" s="1"/>
  <c r="R44" i="16" s="1"/>
  <c r="P44" i="16" s="1"/>
  <c r="V44" i="16" s="1"/>
  <c r="F44" i="16" s="1"/>
  <c r="G44" i="16" s="1"/>
  <c r="BY44" i="6" s="1"/>
  <c r="U294" i="16"/>
  <c r="T294" i="16" s="1"/>
  <c r="S294" i="16" s="1"/>
  <c r="R294" i="16" s="1"/>
  <c r="P294" i="16" s="1"/>
  <c r="V294" i="16" s="1"/>
  <c r="F294" i="16" s="1"/>
  <c r="H294" i="16" s="1"/>
  <c r="U230" i="16"/>
  <c r="T230" i="16" s="1"/>
  <c r="S230" i="16" s="1"/>
  <c r="R230" i="16" s="1"/>
  <c r="P230" i="16" s="1"/>
  <c r="V230" i="16" s="1"/>
  <c r="F230" i="16" s="1"/>
  <c r="H230" i="16" s="1"/>
  <c r="U104" i="16"/>
  <c r="T104" i="16" s="1"/>
  <c r="S104" i="16" s="1"/>
  <c r="R104" i="16" s="1"/>
  <c r="P104" i="16" s="1"/>
  <c r="V104" i="16" s="1"/>
  <c r="F104" i="16" s="1"/>
  <c r="U345" i="16"/>
  <c r="T345" i="16" s="1"/>
  <c r="S345" i="16" s="1"/>
  <c r="R345" i="16" s="1"/>
  <c r="P345" i="16" s="1"/>
  <c r="V345" i="16" s="1"/>
  <c r="F345" i="16" s="1"/>
  <c r="AA345" i="16" s="1"/>
  <c r="Z345" i="16" s="1"/>
  <c r="Y345" i="16" s="1"/>
  <c r="U26" i="16"/>
  <c r="T26" i="16" s="1"/>
  <c r="S26" i="16" s="1"/>
  <c r="R26" i="16" s="1"/>
  <c r="P26" i="16" s="1"/>
  <c r="V26" i="16" s="1"/>
  <c r="F26" i="16" s="1"/>
  <c r="G26" i="16" s="1"/>
  <c r="BY26" i="6" s="1"/>
  <c r="U17" i="16"/>
  <c r="T17" i="16" s="1"/>
  <c r="S17" i="16" s="1"/>
  <c r="R17" i="16" s="1"/>
  <c r="P17" i="16" s="1"/>
  <c r="V17" i="16" s="1"/>
  <c r="F17" i="16" s="1"/>
  <c r="G17" i="16" s="1"/>
  <c r="BY17" i="6" s="1"/>
  <c r="U170" i="16"/>
  <c r="T170" i="16" s="1"/>
  <c r="S170" i="16" s="1"/>
  <c r="R170" i="16" s="1"/>
  <c r="P170" i="16" s="1"/>
  <c r="V170" i="16" s="1"/>
  <c r="F170" i="16" s="1"/>
  <c r="G170" i="16" s="1"/>
  <c r="BY170" i="6" s="1"/>
  <c r="U372" i="16"/>
  <c r="T372" i="16" s="1"/>
  <c r="S372" i="16" s="1"/>
  <c r="R372" i="16" s="1"/>
  <c r="P372" i="16" s="1"/>
  <c r="V372" i="16" s="1"/>
  <c r="F372" i="16" s="1"/>
  <c r="G372" i="16" s="1"/>
  <c r="BY372" i="6" s="1"/>
  <c r="U370" i="16"/>
  <c r="T370" i="16" s="1"/>
  <c r="S370" i="16" s="1"/>
  <c r="R370" i="16" s="1"/>
  <c r="P370" i="16" s="1"/>
  <c r="V370" i="16" s="1"/>
  <c r="F370" i="16" s="1"/>
  <c r="G370" i="16" s="1"/>
  <c r="BY370" i="6" s="1"/>
  <c r="U266" i="16"/>
  <c r="T266" i="16" s="1"/>
  <c r="S266" i="16" s="1"/>
  <c r="R266" i="16" s="1"/>
  <c r="P266" i="16" s="1"/>
  <c r="V266" i="16" s="1"/>
  <c r="F266" i="16" s="1"/>
  <c r="G266" i="16" s="1"/>
  <c r="BY266" i="6" s="1"/>
  <c r="U364" i="16"/>
  <c r="T364" i="16" s="1"/>
  <c r="S364" i="16" s="1"/>
  <c r="R364" i="16" s="1"/>
  <c r="P364" i="16" s="1"/>
  <c r="V364" i="16" s="1"/>
  <c r="F364" i="16" s="1"/>
  <c r="H364" i="16" s="1"/>
  <c r="U43" i="16"/>
  <c r="T43" i="16" s="1"/>
  <c r="S43" i="16" s="1"/>
  <c r="R43" i="16" s="1"/>
  <c r="P43" i="16" s="1"/>
  <c r="V43" i="16" s="1"/>
  <c r="F43" i="16" s="1"/>
  <c r="U200" i="16"/>
  <c r="T200" i="16" s="1"/>
  <c r="S200" i="16" s="1"/>
  <c r="R200" i="16" s="1"/>
  <c r="P200" i="16" s="1"/>
  <c r="V200" i="16" s="1"/>
  <c r="F200" i="16" s="1"/>
  <c r="G200" i="16" s="1"/>
  <c r="BY200" i="6" s="1"/>
  <c r="U25" i="16"/>
  <c r="T25" i="16" s="1"/>
  <c r="S25" i="16" s="1"/>
  <c r="R25" i="16" s="1"/>
  <c r="P25" i="16" s="1"/>
  <c r="V25" i="16" s="1"/>
  <c r="F25" i="16" s="1"/>
  <c r="G25" i="16" s="1"/>
  <c r="BY25" i="6" s="1"/>
  <c r="U80" i="16"/>
  <c r="T80" i="16" s="1"/>
  <c r="S80" i="16" s="1"/>
  <c r="R80" i="16" s="1"/>
  <c r="P80" i="16" s="1"/>
  <c r="V80" i="16" s="1"/>
  <c r="F80" i="16" s="1"/>
  <c r="G80" i="16" s="1"/>
  <c r="BY80" i="6" s="1"/>
  <c r="AI286" i="16"/>
  <c r="AH286" i="16" s="1"/>
  <c r="AG286" i="16" s="1"/>
  <c r="AF286" i="16" s="1"/>
  <c r="AD286" i="16" s="1"/>
  <c r="AI212" i="16"/>
  <c r="AH212" i="16" s="1"/>
  <c r="AG212" i="16" s="1"/>
  <c r="AF212" i="16" s="1"/>
  <c r="AD212" i="16" s="1"/>
  <c r="AI52" i="16"/>
  <c r="AH52" i="16" s="1"/>
  <c r="AG52" i="16" s="1"/>
  <c r="AF52" i="16" s="1"/>
  <c r="AD52" i="16" s="1"/>
  <c r="AA52" i="16" s="1"/>
  <c r="Z52" i="16" s="1"/>
  <c r="Y52" i="16" s="1"/>
  <c r="AI179" i="16"/>
  <c r="AH179" i="16" s="1"/>
  <c r="AG179" i="16" s="1"/>
  <c r="AF179" i="16" s="1"/>
  <c r="AD179" i="16" s="1"/>
  <c r="AI351" i="16"/>
  <c r="AH351" i="16" s="1"/>
  <c r="AG351" i="16" s="1"/>
  <c r="AF351" i="16" s="1"/>
  <c r="AD351" i="16" s="1"/>
  <c r="AA351" i="16" s="1"/>
  <c r="Z351" i="16" s="1"/>
  <c r="Y351" i="16" s="1"/>
  <c r="AI165" i="16"/>
  <c r="AH165" i="16" s="1"/>
  <c r="AG165" i="16" s="1"/>
  <c r="AF165" i="16" s="1"/>
  <c r="AD165" i="16" s="1"/>
  <c r="AI93" i="16"/>
  <c r="AH93" i="16" s="1"/>
  <c r="AG93" i="16" s="1"/>
  <c r="AF93" i="16" s="1"/>
  <c r="AD93" i="16" s="1"/>
  <c r="AI137" i="16"/>
  <c r="AH137" i="16" s="1"/>
  <c r="AG137" i="16" s="1"/>
  <c r="AF137" i="16" s="1"/>
  <c r="AD137" i="16" s="1"/>
  <c r="AI57" i="16"/>
  <c r="AH57" i="16" s="1"/>
  <c r="AG57" i="16" s="1"/>
  <c r="AF57" i="16" s="1"/>
  <c r="AD57" i="16" s="1"/>
  <c r="AI380" i="16"/>
  <c r="AH380" i="16" s="1"/>
  <c r="AG380" i="16" s="1"/>
  <c r="AF380" i="16" s="1"/>
  <c r="AD380" i="16" s="1"/>
  <c r="AI35" i="16"/>
  <c r="AH35" i="16" s="1"/>
  <c r="AG35" i="16" s="1"/>
  <c r="AF35" i="16" s="1"/>
  <c r="AD35" i="16" s="1"/>
  <c r="AI161" i="16"/>
  <c r="AH161" i="16" s="1"/>
  <c r="AG161" i="16" s="1"/>
  <c r="AF161" i="16" s="1"/>
  <c r="AD161" i="16" s="1"/>
  <c r="AI312" i="16"/>
  <c r="AH312" i="16" s="1"/>
  <c r="AG312" i="16" s="1"/>
  <c r="AF312" i="16" s="1"/>
  <c r="AD312" i="16" s="1"/>
  <c r="AI318" i="16"/>
  <c r="AH318" i="16" s="1"/>
  <c r="AG318" i="16" s="1"/>
  <c r="AF318" i="16" s="1"/>
  <c r="AD318" i="16" s="1"/>
  <c r="AI19" i="16"/>
  <c r="AH19" i="16" s="1"/>
  <c r="AG19" i="16" s="1"/>
  <c r="AF19" i="16" s="1"/>
  <c r="AD19" i="16" s="1"/>
  <c r="AI154" i="16"/>
  <c r="AH154" i="16" s="1"/>
  <c r="AG154" i="16" s="1"/>
  <c r="AF154" i="16" s="1"/>
  <c r="AD154" i="16" s="1"/>
  <c r="AI115" i="16"/>
  <c r="AH115" i="16" s="1"/>
  <c r="AG115" i="16" s="1"/>
  <c r="AF115" i="16" s="1"/>
  <c r="AD115" i="16" s="1"/>
  <c r="AI236" i="16"/>
  <c r="AH236" i="16" s="1"/>
  <c r="AG236" i="16" s="1"/>
  <c r="AF236" i="16" s="1"/>
  <c r="AD236" i="16" s="1"/>
  <c r="AI28" i="16"/>
  <c r="AH28" i="16" s="1"/>
  <c r="AG28" i="16" s="1"/>
  <c r="AF28" i="16" s="1"/>
  <c r="AD28" i="16" s="1"/>
  <c r="AA28" i="16" s="1"/>
  <c r="Z28" i="16" s="1"/>
  <c r="Y28" i="16" s="1"/>
  <c r="AI160" i="16"/>
  <c r="AH160" i="16" s="1"/>
  <c r="AG160" i="16" s="1"/>
  <c r="AF160" i="16" s="1"/>
  <c r="AD160" i="16" s="1"/>
  <c r="AI369" i="16"/>
  <c r="AH369" i="16" s="1"/>
  <c r="AG369" i="16" s="1"/>
  <c r="AF369" i="16" s="1"/>
  <c r="AD369" i="16" s="1"/>
  <c r="AI164" i="16"/>
  <c r="AH164" i="16" s="1"/>
  <c r="AG164" i="16" s="1"/>
  <c r="AF164" i="16" s="1"/>
  <c r="AD164" i="16" s="1"/>
  <c r="AI306" i="16"/>
  <c r="AH306" i="16" s="1"/>
  <c r="AG306" i="16" s="1"/>
  <c r="AF306" i="16" s="1"/>
  <c r="AD306" i="16" s="1"/>
  <c r="AI127" i="16"/>
  <c r="AH127" i="16" s="1"/>
  <c r="AG127" i="16" s="1"/>
  <c r="AF127" i="16" s="1"/>
  <c r="AD127" i="16" s="1"/>
  <c r="AI215" i="16"/>
  <c r="AH215" i="16" s="1"/>
  <c r="AG215" i="16" s="1"/>
  <c r="AF215" i="16" s="1"/>
  <c r="AD215" i="16" s="1"/>
  <c r="AI201" i="16"/>
  <c r="AH201" i="16" s="1"/>
  <c r="AG201" i="16" s="1"/>
  <c r="AF201" i="16" s="1"/>
  <c r="AD201" i="16" s="1"/>
  <c r="AI195" i="16"/>
  <c r="AH195" i="16" s="1"/>
  <c r="AG195" i="16" s="1"/>
  <c r="AF195" i="16" s="1"/>
  <c r="AD195" i="16" s="1"/>
  <c r="AI270" i="16"/>
  <c r="AH270" i="16" s="1"/>
  <c r="AG270" i="16" s="1"/>
  <c r="AF270" i="16" s="1"/>
  <c r="AD270" i="16" s="1"/>
  <c r="AI121" i="16"/>
  <c r="AH121" i="16" s="1"/>
  <c r="AG121" i="16" s="1"/>
  <c r="AF121" i="16" s="1"/>
  <c r="AD121" i="16" s="1"/>
  <c r="AI18" i="16"/>
  <c r="AH18" i="16" s="1"/>
  <c r="AG18" i="16" s="1"/>
  <c r="AF18" i="16" s="1"/>
  <c r="AD18" i="16" s="1"/>
  <c r="AI322" i="16"/>
  <c r="AH322" i="16" s="1"/>
  <c r="AG322" i="16" s="1"/>
  <c r="AF322" i="16" s="1"/>
  <c r="AD322" i="16" s="1"/>
  <c r="AI47" i="16"/>
  <c r="AH47" i="16" s="1"/>
  <c r="AG47" i="16" s="1"/>
  <c r="AF47" i="16" s="1"/>
  <c r="AD47" i="16" s="1"/>
  <c r="AI339" i="16"/>
  <c r="AH339" i="16" s="1"/>
  <c r="AG339" i="16" s="1"/>
  <c r="AF339" i="16" s="1"/>
  <c r="AD339" i="16" s="1"/>
  <c r="AI101" i="16"/>
  <c r="AH101" i="16" s="1"/>
  <c r="AG101" i="16" s="1"/>
  <c r="AF101" i="16" s="1"/>
  <c r="AD101" i="16" s="1"/>
  <c r="AI329" i="16"/>
  <c r="AH329" i="16" s="1"/>
  <c r="AG329" i="16" s="1"/>
  <c r="AF329" i="16" s="1"/>
  <c r="AD329" i="16" s="1"/>
  <c r="AI269" i="16"/>
  <c r="AH269" i="16" s="1"/>
  <c r="AG269" i="16" s="1"/>
  <c r="AF269" i="16" s="1"/>
  <c r="AD269" i="16" s="1"/>
  <c r="AI119" i="16"/>
  <c r="AH119" i="16" s="1"/>
  <c r="AG119" i="16" s="1"/>
  <c r="AF119" i="16" s="1"/>
  <c r="AD119" i="16" s="1"/>
  <c r="AI244" i="16"/>
  <c r="AH244" i="16" s="1"/>
  <c r="AG244" i="16" s="1"/>
  <c r="AF244" i="16" s="1"/>
  <c r="AD244" i="16" s="1"/>
  <c r="AI156" i="16"/>
  <c r="AH156" i="16" s="1"/>
  <c r="AG156" i="16" s="1"/>
  <c r="AF156" i="16" s="1"/>
  <c r="AD156" i="16" s="1"/>
  <c r="AI162" i="16"/>
  <c r="AH162" i="16" s="1"/>
  <c r="AG162" i="16" s="1"/>
  <c r="AF162" i="16" s="1"/>
  <c r="AD162" i="16" s="1"/>
  <c r="AI27" i="16"/>
  <c r="AH27" i="16" s="1"/>
  <c r="AG27" i="16" s="1"/>
  <c r="AF27" i="16" s="1"/>
  <c r="AD27" i="16" s="1"/>
  <c r="AI114" i="16"/>
  <c r="AH114" i="16" s="1"/>
  <c r="AG114" i="16" s="1"/>
  <c r="AF114" i="16" s="1"/>
  <c r="AD114" i="16" s="1"/>
  <c r="AI352" i="16"/>
  <c r="AH352" i="16" s="1"/>
  <c r="AG352" i="16" s="1"/>
  <c r="AF352" i="16" s="1"/>
  <c r="AD352" i="16" s="1"/>
  <c r="AI346" i="16"/>
  <c r="AH346" i="16" s="1"/>
  <c r="AG346" i="16" s="1"/>
  <c r="AF346" i="16" s="1"/>
  <c r="AD346" i="16" s="1"/>
  <c r="AI287" i="16"/>
  <c r="AH287" i="16" s="1"/>
  <c r="AG287" i="16" s="1"/>
  <c r="AF287" i="16" s="1"/>
  <c r="AD287" i="16" s="1"/>
  <c r="AI326" i="16"/>
  <c r="AH326" i="16" s="1"/>
  <c r="AG326" i="16" s="1"/>
  <c r="AF326" i="16" s="1"/>
  <c r="AD326" i="16" s="1"/>
  <c r="AI254" i="16"/>
  <c r="AH254" i="16" s="1"/>
  <c r="AG254" i="16" s="1"/>
  <c r="AF254" i="16" s="1"/>
  <c r="AD254" i="16" s="1"/>
  <c r="AI230" i="16"/>
  <c r="AH230" i="16" s="1"/>
  <c r="AG230" i="16" s="1"/>
  <c r="AF230" i="16" s="1"/>
  <c r="AD230" i="16" s="1"/>
  <c r="AI344" i="16"/>
  <c r="AH344" i="16" s="1"/>
  <c r="AG344" i="16" s="1"/>
  <c r="AF344" i="16" s="1"/>
  <c r="AD344" i="16" s="1"/>
  <c r="AA344" i="16" s="1"/>
  <c r="Z344" i="16" s="1"/>
  <c r="Y344" i="16" s="1"/>
  <c r="AI361" i="16"/>
  <c r="AH361" i="16" s="1"/>
  <c r="AG361" i="16" s="1"/>
  <c r="AF361" i="16" s="1"/>
  <c r="AD361" i="16" s="1"/>
  <c r="AI203" i="16"/>
  <c r="AH203" i="16" s="1"/>
  <c r="AG203" i="16" s="1"/>
  <c r="AF203" i="16" s="1"/>
  <c r="AD203" i="16" s="1"/>
  <c r="AI32" i="16"/>
  <c r="AH32" i="16" s="1"/>
  <c r="AG32" i="16" s="1"/>
  <c r="AF32" i="16" s="1"/>
  <c r="AD32" i="16" s="1"/>
  <c r="AI367" i="16"/>
  <c r="AH367" i="16" s="1"/>
  <c r="AG367" i="16" s="1"/>
  <c r="AF367" i="16" s="1"/>
  <c r="AD367" i="16" s="1"/>
  <c r="AI167" i="16"/>
  <c r="AH167" i="16" s="1"/>
  <c r="AG167" i="16" s="1"/>
  <c r="AF167" i="16" s="1"/>
  <c r="AD167" i="16" s="1"/>
  <c r="AI163" i="16"/>
  <c r="AH163" i="16" s="1"/>
  <c r="AG163" i="16" s="1"/>
  <c r="AF163" i="16" s="1"/>
  <c r="AD163" i="16" s="1"/>
  <c r="AI143" i="16"/>
  <c r="AH143" i="16" s="1"/>
  <c r="AG143" i="16" s="1"/>
  <c r="AF143" i="16" s="1"/>
  <c r="AD143" i="16" s="1"/>
  <c r="AI315" i="16"/>
  <c r="AH315" i="16" s="1"/>
  <c r="AG315" i="16" s="1"/>
  <c r="AF315" i="16" s="1"/>
  <c r="AD315" i="16" s="1"/>
  <c r="AA315" i="16" s="1"/>
  <c r="Z315" i="16" s="1"/>
  <c r="Y315" i="16" s="1"/>
  <c r="AI169" i="16"/>
  <c r="AH169" i="16" s="1"/>
  <c r="AG169" i="16" s="1"/>
  <c r="AF169" i="16" s="1"/>
  <c r="AD169" i="16" s="1"/>
  <c r="AA169" i="16" s="1"/>
  <c r="Z169" i="16" s="1"/>
  <c r="Y169" i="16" s="1"/>
  <c r="AI89" i="16"/>
  <c r="AH89" i="16" s="1"/>
  <c r="AG89" i="16" s="1"/>
  <c r="AF89" i="16" s="1"/>
  <c r="AD89" i="16" s="1"/>
  <c r="AI158" i="16"/>
  <c r="AH158" i="16" s="1"/>
  <c r="AG158" i="16" s="1"/>
  <c r="AF158" i="16" s="1"/>
  <c r="AD158" i="16" s="1"/>
  <c r="AI256" i="16"/>
  <c r="AH256" i="16" s="1"/>
  <c r="AG256" i="16" s="1"/>
  <c r="AF256" i="16" s="1"/>
  <c r="AD256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229" i="16"/>
  <c r="T229" i="16" s="1"/>
  <c r="S229" i="16" s="1"/>
  <c r="R229" i="16" s="1"/>
  <c r="P229" i="16" s="1"/>
  <c r="V229" i="16" s="1"/>
  <c r="F229" i="16" s="1"/>
  <c r="G229" i="16" s="1"/>
  <c r="BY229" i="6" s="1"/>
  <c r="U267" i="16"/>
  <c r="T267" i="16" s="1"/>
  <c r="S267" i="16" s="1"/>
  <c r="R267" i="16" s="1"/>
  <c r="P267" i="16" s="1"/>
  <c r="V267" i="16" s="1"/>
  <c r="F267" i="16" s="1"/>
  <c r="H267" i="16" s="1"/>
  <c r="U139" i="16"/>
  <c r="T139" i="16" s="1"/>
  <c r="S139" i="16" s="1"/>
  <c r="R139" i="16" s="1"/>
  <c r="P139" i="16" s="1"/>
  <c r="V139" i="16" s="1"/>
  <c r="F139" i="16" s="1"/>
  <c r="G139" i="16" s="1"/>
  <c r="BY139" i="6" s="1"/>
  <c r="U137" i="16"/>
  <c r="T137" i="16" s="1"/>
  <c r="S137" i="16" s="1"/>
  <c r="R137" i="16" s="1"/>
  <c r="P137" i="16" s="1"/>
  <c r="V137" i="16" s="1"/>
  <c r="F137" i="16" s="1"/>
  <c r="AA137" i="16" s="1"/>
  <c r="Z137" i="16" s="1"/>
  <c r="Y137" i="16" s="1"/>
  <c r="U161" i="16"/>
  <c r="T161" i="16" s="1"/>
  <c r="S161" i="16" s="1"/>
  <c r="R161" i="16" s="1"/>
  <c r="P161" i="16" s="1"/>
  <c r="V161" i="16" s="1"/>
  <c r="F161" i="16" s="1"/>
  <c r="G161" i="16" s="1"/>
  <c r="BY161" i="6" s="1"/>
  <c r="U226" i="16"/>
  <c r="T226" i="16" s="1"/>
  <c r="S226" i="16" s="1"/>
  <c r="R226" i="16" s="1"/>
  <c r="P226" i="16" s="1"/>
  <c r="V226" i="16" s="1"/>
  <c r="F226" i="16" s="1"/>
  <c r="H226" i="16" s="1"/>
  <c r="U280" i="16"/>
  <c r="T280" i="16" s="1"/>
  <c r="S280" i="16" s="1"/>
  <c r="R280" i="16" s="1"/>
  <c r="P280" i="16" s="1"/>
  <c r="V280" i="16" s="1"/>
  <c r="F280" i="16" s="1"/>
  <c r="H280" i="16" s="1"/>
  <c r="U353" i="16"/>
  <c r="T353" i="16" s="1"/>
  <c r="S353" i="16" s="1"/>
  <c r="R353" i="16" s="1"/>
  <c r="P353" i="16" s="1"/>
  <c r="V353" i="16" s="1"/>
  <c r="F353" i="16" s="1"/>
  <c r="AA353" i="16" s="1"/>
  <c r="Z353" i="16" s="1"/>
  <c r="Y353" i="16" s="1"/>
  <c r="U194" i="16"/>
  <c r="T194" i="16" s="1"/>
  <c r="S194" i="16" s="1"/>
  <c r="R194" i="16" s="1"/>
  <c r="P194" i="16" s="1"/>
  <c r="V194" i="16" s="1"/>
  <c r="F194" i="16" s="1"/>
  <c r="G194" i="16" s="1"/>
  <c r="BY194" i="6" s="1"/>
  <c r="U241" i="16"/>
  <c r="T241" i="16" s="1"/>
  <c r="S241" i="16" s="1"/>
  <c r="R241" i="16" s="1"/>
  <c r="P241" i="16" s="1"/>
  <c r="V241" i="16" s="1"/>
  <c r="F241" i="16" s="1"/>
  <c r="U141" i="16"/>
  <c r="T141" i="16" s="1"/>
  <c r="S141" i="16" s="1"/>
  <c r="R141" i="16" s="1"/>
  <c r="P141" i="16" s="1"/>
  <c r="V141" i="16" s="1"/>
  <c r="F141" i="16" s="1"/>
  <c r="I141" i="15"/>
  <c r="I98" i="15"/>
  <c r="I83" i="15"/>
  <c r="J379" i="15"/>
  <c r="J103" i="15"/>
  <c r="I103" i="15"/>
  <c r="Q16" i="7"/>
  <c r="U257" i="16"/>
  <c r="T257" i="16" s="1"/>
  <c r="S257" i="16" s="1"/>
  <c r="R257" i="16" s="1"/>
  <c r="P257" i="16" s="1"/>
  <c r="V257" i="16" s="1"/>
  <c r="F257" i="16" s="1"/>
  <c r="G257" i="16" s="1"/>
  <c r="BY257" i="6" s="1"/>
  <c r="U93" i="16"/>
  <c r="T93" i="16" s="1"/>
  <c r="S93" i="16" s="1"/>
  <c r="R93" i="16" s="1"/>
  <c r="P93" i="16" s="1"/>
  <c r="V93" i="16" s="1"/>
  <c r="F93" i="16" s="1"/>
  <c r="U79" i="16"/>
  <c r="T79" i="16" s="1"/>
  <c r="S79" i="16" s="1"/>
  <c r="R79" i="16" s="1"/>
  <c r="P79" i="16" s="1"/>
  <c r="V79" i="16" s="1"/>
  <c r="F79" i="16" s="1"/>
  <c r="G79" i="16" s="1"/>
  <c r="BY79" i="6" s="1"/>
  <c r="U354" i="16"/>
  <c r="T354" i="16" s="1"/>
  <c r="S354" i="16" s="1"/>
  <c r="R354" i="16" s="1"/>
  <c r="P354" i="16" s="1"/>
  <c r="V354" i="16" s="1"/>
  <c r="F354" i="16" s="1"/>
  <c r="G354" i="16" s="1"/>
  <c r="BY354" i="6" s="1"/>
  <c r="U300" i="16"/>
  <c r="T300" i="16" s="1"/>
  <c r="S300" i="16" s="1"/>
  <c r="R300" i="16" s="1"/>
  <c r="P300" i="16" s="1"/>
  <c r="V300" i="16" s="1"/>
  <c r="F300" i="16" s="1"/>
  <c r="H300" i="16" s="1"/>
  <c r="U320" i="16"/>
  <c r="T320" i="16" s="1"/>
  <c r="S320" i="16" s="1"/>
  <c r="R320" i="16" s="1"/>
  <c r="P320" i="16" s="1"/>
  <c r="V320" i="16" s="1"/>
  <c r="U255" i="16"/>
  <c r="T255" i="16" s="1"/>
  <c r="S255" i="16" s="1"/>
  <c r="R255" i="16" s="1"/>
  <c r="P255" i="16" s="1"/>
  <c r="V255" i="16" s="1"/>
  <c r="F255" i="16" s="1"/>
  <c r="G255" i="16" s="1"/>
  <c r="BY255" i="6" s="1"/>
  <c r="U358" i="16"/>
  <c r="T358" i="16" s="1"/>
  <c r="S358" i="16" s="1"/>
  <c r="R358" i="16" s="1"/>
  <c r="P358" i="16" s="1"/>
  <c r="V358" i="16" s="1"/>
  <c r="F358" i="16" s="1"/>
  <c r="H358" i="16" s="1"/>
  <c r="U105" i="16"/>
  <c r="T105" i="16" s="1"/>
  <c r="S105" i="16" s="1"/>
  <c r="R105" i="16" s="1"/>
  <c r="P105" i="16" s="1"/>
  <c r="V105" i="16" s="1"/>
  <c r="F105" i="16" s="1"/>
  <c r="G105" i="16" s="1"/>
  <c r="BY105" i="6" s="1"/>
  <c r="U151" i="16"/>
  <c r="T151" i="16" s="1"/>
  <c r="S151" i="16" s="1"/>
  <c r="R151" i="16" s="1"/>
  <c r="P151" i="16" s="1"/>
  <c r="V151" i="16" s="1"/>
  <c r="F151" i="16" s="1"/>
  <c r="G151" i="16" s="1"/>
  <c r="BY151" i="6" s="1"/>
  <c r="U261" i="16"/>
  <c r="T261" i="16" s="1"/>
  <c r="S261" i="16" s="1"/>
  <c r="R261" i="16" s="1"/>
  <c r="P261" i="16" s="1"/>
  <c r="V261" i="16" s="1"/>
  <c r="F261" i="16" s="1"/>
  <c r="H261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152" i="16"/>
  <c r="T152" i="16" s="1"/>
  <c r="S152" i="16" s="1"/>
  <c r="R152" i="16" s="1"/>
  <c r="P152" i="16" s="1"/>
  <c r="V152" i="16" s="1"/>
  <c r="F152" i="16" s="1"/>
  <c r="G152" i="16" s="1"/>
  <c r="BY152" i="6" s="1"/>
  <c r="U158" i="16"/>
  <c r="T158" i="16" s="1"/>
  <c r="S158" i="16" s="1"/>
  <c r="R158" i="16" s="1"/>
  <c r="P158" i="16" s="1"/>
  <c r="V158" i="16" s="1"/>
  <c r="F158" i="16" s="1"/>
  <c r="AA158" i="16" s="1"/>
  <c r="Z158" i="16" s="1"/>
  <c r="Y158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360" i="16"/>
  <c r="T360" i="16" s="1"/>
  <c r="S360" i="16" s="1"/>
  <c r="R360" i="16" s="1"/>
  <c r="P360" i="16" s="1"/>
  <c r="V360" i="16" s="1"/>
  <c r="F360" i="16" s="1"/>
  <c r="G360" i="16" s="1"/>
  <c r="BY360" i="6" s="1"/>
  <c r="U350" i="16"/>
  <c r="T350" i="16" s="1"/>
  <c r="S350" i="16" s="1"/>
  <c r="R350" i="16" s="1"/>
  <c r="P350" i="16" s="1"/>
  <c r="V350" i="16" s="1"/>
  <c r="U331" i="16"/>
  <c r="T331" i="16" s="1"/>
  <c r="S331" i="16" s="1"/>
  <c r="R331" i="16" s="1"/>
  <c r="P331" i="16" s="1"/>
  <c r="V331" i="16" s="1"/>
  <c r="F331" i="16" s="1"/>
  <c r="G331" i="16" s="1"/>
  <c r="BY331" i="6" s="1"/>
  <c r="U59" i="16"/>
  <c r="T59" i="16" s="1"/>
  <c r="S59" i="16" s="1"/>
  <c r="R59" i="16" s="1"/>
  <c r="P59" i="16" s="1"/>
  <c r="V59" i="16" s="1"/>
  <c r="F59" i="16" s="1"/>
  <c r="G59" i="16" s="1"/>
  <c r="BY59" i="6" s="1"/>
  <c r="U159" i="16"/>
  <c r="T159" i="16" s="1"/>
  <c r="S159" i="16" s="1"/>
  <c r="R159" i="16" s="1"/>
  <c r="P159" i="16" s="1"/>
  <c r="V159" i="16" s="1"/>
  <c r="F159" i="16" s="1"/>
  <c r="AA159" i="16" s="1"/>
  <c r="Z159" i="16" s="1"/>
  <c r="Y159" i="16" s="1"/>
  <c r="U164" i="16"/>
  <c r="T164" i="16" s="1"/>
  <c r="S164" i="16" s="1"/>
  <c r="R164" i="16" s="1"/>
  <c r="P164" i="16" s="1"/>
  <c r="V164" i="16" s="1"/>
  <c r="F164" i="16" s="1"/>
  <c r="G164" i="16" s="1"/>
  <c r="BY164" i="6" s="1"/>
  <c r="U89" i="16"/>
  <c r="T89" i="16" s="1"/>
  <c r="S89" i="16" s="1"/>
  <c r="R89" i="16" s="1"/>
  <c r="P89" i="16" s="1"/>
  <c r="V89" i="16" s="1"/>
  <c r="F89" i="16" s="1"/>
  <c r="G89" i="16" s="1"/>
  <c r="BY89" i="6" s="1"/>
  <c r="U18" i="16"/>
  <c r="T18" i="16" s="1"/>
  <c r="S18" i="16" s="1"/>
  <c r="R18" i="16" s="1"/>
  <c r="P18" i="16" s="1"/>
  <c r="V18" i="16" s="1"/>
  <c r="F18" i="16" s="1"/>
  <c r="U339" i="16"/>
  <c r="T339" i="16" s="1"/>
  <c r="S339" i="16" s="1"/>
  <c r="R339" i="16" s="1"/>
  <c r="P339" i="16" s="1"/>
  <c r="V339" i="16" s="1"/>
  <c r="F339" i="16" s="1"/>
  <c r="G339" i="16" s="1"/>
  <c r="BY339" i="6" s="1"/>
  <c r="U166" i="16"/>
  <c r="T166" i="16" s="1"/>
  <c r="S166" i="16" s="1"/>
  <c r="R166" i="16" s="1"/>
  <c r="P166" i="16" s="1"/>
  <c r="V166" i="16" s="1"/>
  <c r="F166" i="16" s="1"/>
  <c r="G166" i="16" s="1"/>
  <c r="BY166" i="6" s="1"/>
  <c r="U66" i="16"/>
  <c r="T66" i="16" s="1"/>
  <c r="S66" i="16" s="1"/>
  <c r="R66" i="16" s="1"/>
  <c r="P66" i="16" s="1"/>
  <c r="V66" i="16" s="1"/>
  <c r="F66" i="16" s="1"/>
  <c r="G66" i="16" s="1"/>
  <c r="BY66" i="6" s="1"/>
  <c r="U23" i="16"/>
  <c r="T23" i="16" s="1"/>
  <c r="S23" i="16" s="1"/>
  <c r="R23" i="16" s="1"/>
  <c r="P23" i="16" s="1"/>
  <c r="V23" i="16" s="1"/>
  <c r="F23" i="16" s="1"/>
  <c r="G23" i="16" s="1"/>
  <c r="BY23" i="6" s="1"/>
  <c r="U24" i="16"/>
  <c r="T24" i="16" s="1"/>
  <c r="S24" i="16" s="1"/>
  <c r="R24" i="16" s="1"/>
  <c r="P24" i="16" s="1"/>
  <c r="V24" i="16" s="1"/>
  <c r="F24" i="16" s="1"/>
  <c r="G24" i="16" s="1"/>
  <c r="BY24" i="6" s="1"/>
  <c r="U180" i="16"/>
  <c r="T180" i="16" s="1"/>
  <c r="S180" i="16" s="1"/>
  <c r="R180" i="16" s="1"/>
  <c r="P180" i="16" s="1"/>
  <c r="V180" i="16" s="1"/>
  <c r="U34" i="16"/>
  <c r="T34" i="16" s="1"/>
  <c r="S34" i="16" s="1"/>
  <c r="R34" i="16" s="1"/>
  <c r="P34" i="16" s="1"/>
  <c r="V34" i="16" s="1"/>
  <c r="F34" i="16" s="1"/>
  <c r="G34" i="16" s="1"/>
  <c r="BY34" i="6" s="1"/>
  <c r="U108" i="16"/>
  <c r="T108" i="16" s="1"/>
  <c r="S108" i="16" s="1"/>
  <c r="R108" i="16" s="1"/>
  <c r="P108" i="16" s="1"/>
  <c r="V108" i="16" s="1"/>
  <c r="F108" i="16" s="1"/>
  <c r="H108" i="16" s="1"/>
  <c r="U171" i="16"/>
  <c r="T171" i="16" s="1"/>
  <c r="S171" i="16" s="1"/>
  <c r="R171" i="16" s="1"/>
  <c r="P171" i="16" s="1"/>
  <c r="V171" i="16" s="1"/>
  <c r="F171" i="16" s="1"/>
  <c r="H171" i="16" s="1"/>
  <c r="U184" i="16"/>
  <c r="T184" i="16" s="1"/>
  <c r="S184" i="16" s="1"/>
  <c r="R184" i="16" s="1"/>
  <c r="P184" i="16" s="1"/>
  <c r="V184" i="16" s="1"/>
  <c r="F184" i="16" s="1"/>
  <c r="G184" i="16" s="1"/>
  <c r="BY184" i="6" s="1"/>
  <c r="U371" i="16"/>
  <c r="T371" i="16" s="1"/>
  <c r="S371" i="16" s="1"/>
  <c r="R371" i="16" s="1"/>
  <c r="P371" i="16" s="1"/>
  <c r="V371" i="16" s="1"/>
  <c r="F371" i="16" s="1"/>
  <c r="G371" i="16" s="1"/>
  <c r="BY371" i="6" s="1"/>
  <c r="U126" i="16"/>
  <c r="T126" i="16" s="1"/>
  <c r="S126" i="16" s="1"/>
  <c r="R126" i="16" s="1"/>
  <c r="P126" i="16" s="1"/>
  <c r="V126" i="16" s="1"/>
  <c r="F126" i="16" s="1"/>
  <c r="H126" i="16" s="1"/>
  <c r="U135" i="16"/>
  <c r="T135" i="16" s="1"/>
  <c r="S135" i="16" s="1"/>
  <c r="R135" i="16" s="1"/>
  <c r="P135" i="16" s="1"/>
  <c r="V135" i="16" s="1"/>
  <c r="F135" i="16" s="1"/>
  <c r="G135" i="16" s="1"/>
  <c r="BY135" i="6" s="1"/>
  <c r="U123" i="16"/>
  <c r="T123" i="16" s="1"/>
  <c r="S123" i="16" s="1"/>
  <c r="R123" i="16" s="1"/>
  <c r="P123" i="16" s="1"/>
  <c r="V123" i="16" s="1"/>
  <c r="F123" i="16" s="1"/>
  <c r="G123" i="16" s="1"/>
  <c r="BY123" i="6" s="1"/>
  <c r="U88" i="16"/>
  <c r="T88" i="16" s="1"/>
  <c r="S88" i="16" s="1"/>
  <c r="R88" i="16" s="1"/>
  <c r="P88" i="16" s="1"/>
  <c r="V88" i="16" s="1"/>
  <c r="U214" i="16"/>
  <c r="T214" i="16" s="1"/>
  <c r="S214" i="16" s="1"/>
  <c r="R214" i="16" s="1"/>
  <c r="P214" i="16" s="1"/>
  <c r="V214" i="16" s="1"/>
  <c r="F214" i="16" s="1"/>
  <c r="H214" i="16" s="1"/>
  <c r="I214" i="16" s="1"/>
  <c r="U156" i="16"/>
  <c r="T156" i="16" s="1"/>
  <c r="S156" i="16" s="1"/>
  <c r="R156" i="16" s="1"/>
  <c r="P156" i="16" s="1"/>
  <c r="V156" i="16" s="1"/>
  <c r="F156" i="16" s="1"/>
  <c r="U204" i="16"/>
  <c r="T204" i="16" s="1"/>
  <c r="S204" i="16" s="1"/>
  <c r="R204" i="16" s="1"/>
  <c r="P204" i="16" s="1"/>
  <c r="V204" i="16" s="1"/>
  <c r="F204" i="16" s="1"/>
  <c r="H204" i="16" s="1"/>
  <c r="I204" i="16" s="1"/>
  <c r="U327" i="16"/>
  <c r="T327" i="16" s="1"/>
  <c r="S327" i="16" s="1"/>
  <c r="R327" i="16" s="1"/>
  <c r="P327" i="16" s="1"/>
  <c r="V327" i="16" s="1"/>
  <c r="F327" i="16" s="1"/>
  <c r="G327" i="16" s="1"/>
  <c r="BY327" i="6" s="1"/>
  <c r="U115" i="16"/>
  <c r="T115" i="16" s="1"/>
  <c r="S115" i="16" s="1"/>
  <c r="R115" i="16" s="1"/>
  <c r="P115" i="16" s="1"/>
  <c r="V115" i="16" s="1"/>
  <c r="F115" i="16" s="1"/>
  <c r="G115" i="16" s="1"/>
  <c r="BY115" i="6" s="1"/>
  <c r="U297" i="16"/>
  <c r="T297" i="16" s="1"/>
  <c r="S297" i="16" s="1"/>
  <c r="R297" i="16" s="1"/>
  <c r="P297" i="16" s="1"/>
  <c r="V297" i="16" s="1"/>
  <c r="F297" i="16" s="1"/>
  <c r="G297" i="16" s="1"/>
  <c r="BY297" i="6" s="1"/>
  <c r="U333" i="16"/>
  <c r="T333" i="16" s="1"/>
  <c r="S333" i="16" s="1"/>
  <c r="R333" i="16" s="1"/>
  <c r="P333" i="16" s="1"/>
  <c r="D54" i="7" s="1"/>
  <c r="U284" i="16"/>
  <c r="T284" i="16" s="1"/>
  <c r="S284" i="16" s="1"/>
  <c r="R284" i="16" s="1"/>
  <c r="P284" i="16" s="1"/>
  <c r="V284" i="16" s="1"/>
  <c r="F284" i="16" s="1"/>
  <c r="G284" i="16" s="1"/>
  <c r="BY284" i="6" s="1"/>
  <c r="U256" i="16"/>
  <c r="T256" i="16" s="1"/>
  <c r="S256" i="16" s="1"/>
  <c r="R256" i="16" s="1"/>
  <c r="P256" i="16" s="1"/>
  <c r="V256" i="16" s="1"/>
  <c r="F256" i="16" s="1"/>
  <c r="G256" i="16" s="1"/>
  <c r="BY256" i="6" s="1"/>
  <c r="U98" i="16"/>
  <c r="T98" i="16" s="1"/>
  <c r="S98" i="16" s="1"/>
  <c r="R98" i="16" s="1"/>
  <c r="P98" i="16" s="1"/>
  <c r="V98" i="16" s="1"/>
  <c r="F98" i="16" s="1"/>
  <c r="G98" i="16" s="1"/>
  <c r="BY98" i="6" s="1"/>
  <c r="U323" i="16"/>
  <c r="T323" i="16" s="1"/>
  <c r="S323" i="16" s="1"/>
  <c r="R323" i="16" s="1"/>
  <c r="P323" i="16" s="1"/>
  <c r="V323" i="16" s="1"/>
  <c r="F323" i="16" s="1"/>
  <c r="H323" i="16" s="1"/>
  <c r="I323" i="16" s="1"/>
  <c r="U282" i="16"/>
  <c r="T282" i="16" s="1"/>
  <c r="S282" i="16" s="1"/>
  <c r="R282" i="16" s="1"/>
  <c r="P282" i="16" s="1"/>
  <c r="V282" i="16" s="1"/>
  <c r="F282" i="16" s="1"/>
  <c r="G282" i="16" s="1"/>
  <c r="BY282" i="6" s="1"/>
  <c r="U202" i="16"/>
  <c r="T202" i="16" s="1"/>
  <c r="S202" i="16" s="1"/>
  <c r="R202" i="16" s="1"/>
  <c r="P202" i="16" s="1"/>
  <c r="V202" i="16" s="1"/>
  <c r="F202" i="16" s="1"/>
  <c r="G202" i="16" s="1"/>
  <c r="BY202" i="6" s="1"/>
  <c r="U72" i="16"/>
  <c r="T72" i="16" s="1"/>
  <c r="S72" i="16" s="1"/>
  <c r="R72" i="16" s="1"/>
  <c r="P72" i="16" s="1"/>
  <c r="V72" i="16" s="1"/>
  <c r="F72" i="16" s="1"/>
  <c r="H72" i="16" s="1"/>
  <c r="U309" i="16"/>
  <c r="T309" i="16" s="1"/>
  <c r="S309" i="16" s="1"/>
  <c r="R309" i="16" s="1"/>
  <c r="P309" i="16" s="1"/>
  <c r="V309" i="16" s="1"/>
  <c r="F309" i="16" s="1"/>
  <c r="G309" i="16" s="1"/>
  <c r="BY309" i="6" s="1"/>
  <c r="U149" i="16"/>
  <c r="T149" i="16" s="1"/>
  <c r="S149" i="16" s="1"/>
  <c r="R149" i="16" s="1"/>
  <c r="P149" i="16" s="1"/>
  <c r="V149" i="16" s="1"/>
  <c r="F149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60" i="16"/>
  <c r="T60" i="16" s="1"/>
  <c r="S60" i="16" s="1"/>
  <c r="R60" i="16" s="1"/>
  <c r="P60" i="16" s="1"/>
  <c r="V60" i="16" s="1"/>
  <c r="U335" i="16"/>
  <c r="T335" i="16" s="1"/>
  <c r="S335" i="16" s="1"/>
  <c r="R335" i="16" s="1"/>
  <c r="P335" i="16" s="1"/>
  <c r="V335" i="16" s="1"/>
  <c r="F335" i="16" s="1"/>
  <c r="G335" i="16" s="1"/>
  <c r="BY335" i="6" s="1"/>
  <c r="U183" i="16"/>
  <c r="T183" i="16" s="1"/>
  <c r="S183" i="16" s="1"/>
  <c r="R183" i="16" s="1"/>
  <c r="P183" i="16" s="1"/>
  <c r="V183" i="16" s="1"/>
  <c r="F183" i="16" s="1"/>
  <c r="G183" i="16" s="1"/>
  <c r="BY183" i="6" s="1"/>
  <c r="U307" i="16"/>
  <c r="T307" i="16" s="1"/>
  <c r="S307" i="16" s="1"/>
  <c r="R307" i="16" s="1"/>
  <c r="P307" i="16" s="1"/>
  <c r="V307" i="16" s="1"/>
  <c r="F307" i="16" s="1"/>
  <c r="G307" i="16" s="1"/>
  <c r="BY307" i="6" s="1"/>
  <c r="U376" i="16"/>
  <c r="T376" i="16" s="1"/>
  <c r="S376" i="16" s="1"/>
  <c r="R376" i="16" s="1"/>
  <c r="P376" i="16" s="1"/>
  <c r="V376" i="16" s="1"/>
  <c r="F376" i="16" s="1"/>
  <c r="H376" i="16" s="1"/>
  <c r="J376" i="16" s="1"/>
  <c r="U49" i="16"/>
  <c r="T49" i="16" s="1"/>
  <c r="S49" i="16" s="1"/>
  <c r="R49" i="16" s="1"/>
  <c r="P49" i="16" s="1"/>
  <c r="V49" i="16" s="1"/>
  <c r="F49" i="16" s="1"/>
  <c r="G49" i="16" s="1"/>
  <c r="BY49" i="6" s="1"/>
  <c r="U129" i="16"/>
  <c r="T129" i="16" s="1"/>
  <c r="S129" i="16" s="1"/>
  <c r="R129" i="16" s="1"/>
  <c r="P129" i="16" s="1"/>
  <c r="V129" i="16" s="1"/>
  <c r="F129" i="16" s="1"/>
  <c r="H129" i="16" s="1"/>
  <c r="U37" i="16"/>
  <c r="T37" i="16" s="1"/>
  <c r="S37" i="16" s="1"/>
  <c r="R37" i="16" s="1"/>
  <c r="P37" i="16" s="1"/>
  <c r="V37" i="16" s="1"/>
  <c r="F37" i="16" s="1"/>
  <c r="G37" i="16" s="1"/>
  <c r="BY37" i="6" s="1"/>
  <c r="U81" i="16"/>
  <c r="T81" i="16" s="1"/>
  <c r="S81" i="16" s="1"/>
  <c r="R81" i="16" s="1"/>
  <c r="P81" i="16" s="1"/>
  <c r="V81" i="16" s="1"/>
  <c r="F81" i="16" s="1"/>
  <c r="G81" i="16" s="1"/>
  <c r="BY81" i="6" s="1"/>
  <c r="U240" i="16"/>
  <c r="T240" i="16" s="1"/>
  <c r="S240" i="16" s="1"/>
  <c r="R240" i="16" s="1"/>
  <c r="P240" i="16" s="1"/>
  <c r="V240" i="16" s="1"/>
  <c r="F240" i="16" s="1"/>
  <c r="H240" i="16" s="1"/>
  <c r="U306" i="16"/>
  <c r="T306" i="16" s="1"/>
  <c r="S306" i="16" s="1"/>
  <c r="R306" i="16" s="1"/>
  <c r="P306" i="16" s="1"/>
  <c r="V306" i="16" s="1"/>
  <c r="F306" i="16" s="1"/>
  <c r="G306" i="16" s="1"/>
  <c r="BY306" i="6" s="1"/>
  <c r="U189" i="16"/>
  <c r="T189" i="16" s="1"/>
  <c r="S189" i="16" s="1"/>
  <c r="R189" i="16" s="1"/>
  <c r="P189" i="16" s="1"/>
  <c r="V189" i="16" s="1"/>
  <c r="F189" i="16" s="1"/>
  <c r="G189" i="16" s="1"/>
  <c r="BY189" i="6" s="1"/>
  <c r="U50" i="16"/>
  <c r="T50" i="16" s="1"/>
  <c r="S50" i="16" s="1"/>
  <c r="R50" i="16" s="1"/>
  <c r="P50" i="16" s="1"/>
  <c r="V50" i="16" s="1"/>
  <c r="F50" i="16" s="1"/>
  <c r="H50" i="16" s="1"/>
  <c r="J50" i="16" s="1"/>
  <c r="U272" i="16"/>
  <c r="T272" i="16" s="1"/>
  <c r="S272" i="16" s="1"/>
  <c r="R272" i="16" s="1"/>
  <c r="P272" i="16" s="1"/>
  <c r="D52" i="7" s="1"/>
  <c r="U110" i="16"/>
  <c r="T110" i="16" s="1"/>
  <c r="S110" i="16" s="1"/>
  <c r="R110" i="16" s="1"/>
  <c r="P110" i="16" s="1"/>
  <c r="V110" i="16" s="1"/>
  <c r="F110" i="16" s="1"/>
  <c r="H110" i="16" s="1"/>
  <c r="U35" i="16"/>
  <c r="T35" i="16" s="1"/>
  <c r="S35" i="16" s="1"/>
  <c r="R35" i="16" s="1"/>
  <c r="P35" i="16" s="1"/>
  <c r="V35" i="16" s="1"/>
  <c r="F35" i="16" s="1"/>
  <c r="G35" i="16" s="1"/>
  <c r="BY35" i="6" s="1"/>
  <c r="U51" i="16"/>
  <c r="T51" i="16" s="1"/>
  <c r="S51" i="16" s="1"/>
  <c r="R51" i="16" s="1"/>
  <c r="P51" i="16" s="1"/>
  <c r="V51" i="16" s="1"/>
  <c r="F51" i="16" s="1"/>
  <c r="H51" i="16" s="1"/>
  <c r="J51" i="16" s="1"/>
  <c r="U82" i="16"/>
  <c r="T82" i="16" s="1"/>
  <c r="S82" i="16" s="1"/>
  <c r="R82" i="16" s="1"/>
  <c r="P82" i="16" s="1"/>
  <c r="V82" i="16" s="1"/>
  <c r="F82" i="16" s="1"/>
  <c r="G82" i="16" s="1"/>
  <c r="BY82" i="6" s="1"/>
  <c r="U85" i="16"/>
  <c r="T85" i="16" s="1"/>
  <c r="S85" i="16" s="1"/>
  <c r="R85" i="16" s="1"/>
  <c r="P85" i="16" s="1"/>
  <c r="V85" i="16" s="1"/>
  <c r="F85" i="16" s="1"/>
  <c r="H85" i="16" s="1"/>
  <c r="I85" i="16" s="1"/>
  <c r="U27" i="16"/>
  <c r="T27" i="16" s="1"/>
  <c r="S27" i="16" s="1"/>
  <c r="R27" i="16" s="1"/>
  <c r="P27" i="16" s="1"/>
  <c r="V27" i="16" s="1"/>
  <c r="F27" i="16" s="1"/>
  <c r="G27" i="16" s="1"/>
  <c r="BY27" i="6" s="1"/>
  <c r="U167" i="16"/>
  <c r="T167" i="16" s="1"/>
  <c r="S167" i="16" s="1"/>
  <c r="R167" i="16" s="1"/>
  <c r="P167" i="16" s="1"/>
  <c r="V167" i="16" s="1"/>
  <c r="U153" i="16"/>
  <c r="T153" i="16" s="1"/>
  <c r="S153" i="16" s="1"/>
  <c r="R153" i="16" s="1"/>
  <c r="P153" i="16" s="1"/>
  <c r="V153" i="16" s="1"/>
  <c r="F153" i="16" s="1"/>
  <c r="H153" i="16" s="1"/>
  <c r="I153" i="16" s="1"/>
  <c r="U304" i="16"/>
  <c r="T304" i="16" s="1"/>
  <c r="S304" i="16" s="1"/>
  <c r="R304" i="16" s="1"/>
  <c r="P304" i="16" s="1"/>
  <c r="V304" i="16" s="1"/>
  <c r="F304" i="16" s="1"/>
  <c r="H304" i="16" s="1"/>
  <c r="I304" i="16" s="1"/>
  <c r="U33" i="16"/>
  <c r="T33" i="16" s="1"/>
  <c r="S33" i="16" s="1"/>
  <c r="R33" i="16" s="1"/>
  <c r="P33" i="16" s="1"/>
  <c r="V33" i="16" s="1"/>
  <c r="F33" i="16" s="1"/>
  <c r="H33" i="16" s="1"/>
  <c r="J33" i="16" s="1"/>
  <c r="U173" i="16"/>
  <c r="T173" i="16" s="1"/>
  <c r="S173" i="16" s="1"/>
  <c r="R173" i="16" s="1"/>
  <c r="P173" i="16" s="1"/>
  <c r="V173" i="16" s="1"/>
  <c r="F173" i="16" s="1"/>
  <c r="AA173" i="16" s="1"/>
  <c r="Z173" i="16" s="1"/>
  <c r="Y173" i="16" s="1"/>
  <c r="U65" i="16"/>
  <c r="T65" i="16" s="1"/>
  <c r="S65" i="16" s="1"/>
  <c r="R65" i="16" s="1"/>
  <c r="P65" i="16" s="1"/>
  <c r="V65" i="16" s="1"/>
  <c r="F65" i="16" s="1"/>
  <c r="H65" i="16" s="1"/>
  <c r="U53" i="16"/>
  <c r="T53" i="16" s="1"/>
  <c r="S53" i="16" s="1"/>
  <c r="R53" i="16" s="1"/>
  <c r="P53" i="16" s="1"/>
  <c r="V53" i="16" s="1"/>
  <c r="F53" i="16" s="1"/>
  <c r="G53" i="16" s="1"/>
  <c r="BY53" i="6" s="1"/>
  <c r="U61" i="16"/>
  <c r="T61" i="16" s="1"/>
  <c r="S61" i="16" s="1"/>
  <c r="R61" i="16" s="1"/>
  <c r="P61" i="16" s="1"/>
  <c r="V61" i="16" s="1"/>
  <c r="F61" i="16" s="1"/>
  <c r="AA61" i="16" s="1"/>
  <c r="Z61" i="16" s="1"/>
  <c r="Y61" i="16" s="1"/>
  <c r="U215" i="16"/>
  <c r="T215" i="16" s="1"/>
  <c r="S215" i="16" s="1"/>
  <c r="R215" i="16" s="1"/>
  <c r="P215" i="16" s="1"/>
  <c r="V215" i="16" s="1"/>
  <c r="F215" i="16" s="1"/>
  <c r="U136" i="16"/>
  <c r="T136" i="16" s="1"/>
  <c r="S136" i="16" s="1"/>
  <c r="R136" i="16" s="1"/>
  <c r="P136" i="16" s="1"/>
  <c r="V136" i="16" s="1"/>
  <c r="U277" i="16"/>
  <c r="T277" i="16" s="1"/>
  <c r="S277" i="16" s="1"/>
  <c r="R277" i="16" s="1"/>
  <c r="P277" i="16" s="1"/>
  <c r="V277" i="16" s="1"/>
  <c r="F277" i="16" s="1"/>
  <c r="U318" i="16"/>
  <c r="T318" i="16" s="1"/>
  <c r="S318" i="16" s="1"/>
  <c r="R318" i="16" s="1"/>
  <c r="P318" i="16" s="1"/>
  <c r="V318" i="16" s="1"/>
  <c r="F318" i="16" s="1"/>
  <c r="U117" i="16"/>
  <c r="T117" i="16" s="1"/>
  <c r="S117" i="16" s="1"/>
  <c r="R117" i="16" s="1"/>
  <c r="P117" i="16" s="1"/>
  <c r="V117" i="16" s="1"/>
  <c r="F117" i="16" s="1"/>
  <c r="G117" i="16" s="1"/>
  <c r="BY117" i="6" s="1"/>
  <c r="U312" i="16"/>
  <c r="T312" i="16" s="1"/>
  <c r="S312" i="16" s="1"/>
  <c r="R312" i="16" s="1"/>
  <c r="P312" i="16" s="1"/>
  <c r="V312" i="16" s="1"/>
  <c r="F312" i="16" s="1"/>
  <c r="AA312" i="16" s="1"/>
  <c r="Z312" i="16" s="1"/>
  <c r="Y312" i="16" s="1"/>
  <c r="U138" i="16"/>
  <c r="T138" i="16" s="1"/>
  <c r="S138" i="16" s="1"/>
  <c r="R138" i="16" s="1"/>
  <c r="P138" i="16" s="1"/>
  <c r="V138" i="16" s="1"/>
  <c r="F138" i="16" s="1"/>
  <c r="G138" i="16" s="1"/>
  <c r="BY138" i="6" s="1"/>
  <c r="U330" i="16"/>
  <c r="T330" i="16" s="1"/>
  <c r="S330" i="16" s="1"/>
  <c r="R330" i="16" s="1"/>
  <c r="P330" i="16" s="1"/>
  <c r="V330" i="16" s="1"/>
  <c r="F330" i="16" s="1"/>
  <c r="U190" i="16"/>
  <c r="T190" i="16" s="1"/>
  <c r="S190" i="16" s="1"/>
  <c r="R190" i="16" s="1"/>
  <c r="P190" i="16" s="1"/>
  <c r="V190" i="16" s="1"/>
  <c r="F190" i="16" s="1"/>
  <c r="G190" i="16" s="1"/>
  <c r="BY190" i="6" s="1"/>
  <c r="U218" i="16"/>
  <c r="T218" i="16" s="1"/>
  <c r="S218" i="16" s="1"/>
  <c r="R218" i="16" s="1"/>
  <c r="P218" i="16" s="1"/>
  <c r="V218" i="16" s="1"/>
  <c r="F218" i="16" s="1"/>
  <c r="G218" i="16" s="1"/>
  <c r="BY218" i="6" s="1"/>
  <c r="U95" i="16"/>
  <c r="T95" i="16" s="1"/>
  <c r="S95" i="16" s="1"/>
  <c r="R95" i="16" s="1"/>
  <c r="P95" i="16" s="1"/>
  <c r="V95" i="16" s="1"/>
  <c r="F95" i="16" s="1"/>
  <c r="G95" i="16" s="1"/>
  <c r="BY95" i="6" s="1"/>
  <c r="U357" i="16"/>
  <c r="T357" i="16" s="1"/>
  <c r="S357" i="16" s="1"/>
  <c r="R357" i="16" s="1"/>
  <c r="P357" i="16" s="1"/>
  <c r="V357" i="16" s="1"/>
  <c r="F357" i="16" s="1"/>
  <c r="G357" i="16" s="1"/>
  <c r="BY357" i="6" s="1"/>
  <c r="U64" i="16"/>
  <c r="T64" i="16" s="1"/>
  <c r="S64" i="16" s="1"/>
  <c r="R64" i="16" s="1"/>
  <c r="P64" i="16" s="1"/>
  <c r="V64" i="16" s="1"/>
  <c r="F64" i="16" s="1"/>
  <c r="G64" i="16" s="1"/>
  <c r="BY64" i="6" s="1"/>
  <c r="U254" i="16"/>
  <c r="T254" i="16" s="1"/>
  <c r="S254" i="16" s="1"/>
  <c r="R254" i="16" s="1"/>
  <c r="P254" i="16" s="1"/>
  <c r="V254" i="16" s="1"/>
  <c r="F254" i="16" s="1"/>
  <c r="G254" i="16" s="1"/>
  <c r="BY254" i="6" s="1"/>
  <c r="U76" i="16"/>
  <c r="T76" i="16" s="1"/>
  <c r="S76" i="16" s="1"/>
  <c r="R76" i="16" s="1"/>
  <c r="P76" i="16" s="1"/>
  <c r="V76" i="16" s="1"/>
  <c r="F76" i="16" s="1"/>
  <c r="G76" i="16" s="1"/>
  <c r="BY76" i="6" s="1"/>
  <c r="U199" i="16"/>
  <c r="T199" i="16" s="1"/>
  <c r="S199" i="16" s="1"/>
  <c r="R199" i="16" s="1"/>
  <c r="P199" i="16" s="1"/>
  <c r="V199" i="16" s="1"/>
  <c r="F199" i="16" s="1"/>
  <c r="H199" i="16" s="1"/>
  <c r="U203" i="16"/>
  <c r="T203" i="16" s="1"/>
  <c r="S203" i="16" s="1"/>
  <c r="R203" i="16" s="1"/>
  <c r="P203" i="16" s="1"/>
  <c r="V203" i="16" s="1"/>
  <c r="F203" i="16" s="1"/>
  <c r="G203" i="16" s="1"/>
  <c r="BY203" i="6" s="1"/>
  <c r="U148" i="16"/>
  <c r="T148" i="16" s="1"/>
  <c r="S148" i="16" s="1"/>
  <c r="R148" i="16" s="1"/>
  <c r="P148" i="16" s="1"/>
  <c r="V148" i="16" s="1"/>
  <c r="F148" i="16" s="1"/>
  <c r="G148" i="16" s="1"/>
  <c r="BY148" i="6" s="1"/>
  <c r="U63" i="16"/>
  <c r="T63" i="16" s="1"/>
  <c r="S63" i="16" s="1"/>
  <c r="R63" i="16" s="1"/>
  <c r="P63" i="16" s="1"/>
  <c r="V63" i="16" s="1"/>
  <c r="F63" i="16" s="1"/>
  <c r="G63" i="16" s="1"/>
  <c r="BY63" i="6" s="1"/>
  <c r="U365" i="16"/>
  <c r="T365" i="16" s="1"/>
  <c r="S365" i="16" s="1"/>
  <c r="R365" i="16" s="1"/>
  <c r="P365" i="16" s="1"/>
  <c r="V365" i="16" s="1"/>
  <c r="F365" i="16" s="1"/>
  <c r="G365" i="16" s="1"/>
  <c r="BY365" i="6" s="1"/>
  <c r="U132" i="16"/>
  <c r="T132" i="16" s="1"/>
  <c r="S132" i="16" s="1"/>
  <c r="R132" i="16" s="1"/>
  <c r="P132" i="16" s="1"/>
  <c r="V132" i="16" s="1"/>
  <c r="F132" i="16" s="1"/>
  <c r="G132" i="16" s="1"/>
  <c r="BY132" i="6" s="1"/>
  <c r="U122" i="16"/>
  <c r="T122" i="16" s="1"/>
  <c r="S122" i="16" s="1"/>
  <c r="R122" i="16" s="1"/>
  <c r="P122" i="16" s="1"/>
  <c r="V122" i="16" s="1"/>
  <c r="F122" i="16" s="1"/>
  <c r="AA122" i="16" s="1"/>
  <c r="Z122" i="16" s="1"/>
  <c r="Y122" i="16" s="1"/>
  <c r="U134" i="16"/>
  <c r="T134" i="16" s="1"/>
  <c r="S134" i="16" s="1"/>
  <c r="R134" i="16" s="1"/>
  <c r="P134" i="16" s="1"/>
  <c r="V134" i="16" s="1"/>
  <c r="F134" i="16" s="1"/>
  <c r="G134" i="16" s="1"/>
  <c r="BY134" i="6" s="1"/>
  <c r="U290" i="16"/>
  <c r="T290" i="16" s="1"/>
  <c r="S290" i="16" s="1"/>
  <c r="R290" i="16" s="1"/>
  <c r="P290" i="16" s="1"/>
  <c r="V290" i="16" s="1"/>
  <c r="F290" i="16" s="1"/>
  <c r="AA290" i="16" s="1"/>
  <c r="Z290" i="16" s="1"/>
  <c r="Y290" i="16" s="1"/>
  <c r="U114" i="16"/>
  <c r="T114" i="16" s="1"/>
  <c r="S114" i="16" s="1"/>
  <c r="R114" i="16" s="1"/>
  <c r="P114" i="16" s="1"/>
  <c r="V114" i="16" s="1"/>
  <c r="F114" i="16" s="1"/>
  <c r="H114" i="16" s="1"/>
  <c r="U223" i="16"/>
  <c r="T223" i="16" s="1"/>
  <c r="S223" i="16" s="1"/>
  <c r="R223" i="16" s="1"/>
  <c r="P223" i="16" s="1"/>
  <c r="V223" i="16" s="1"/>
  <c r="F223" i="16" s="1"/>
  <c r="G223" i="16" s="1"/>
  <c r="BY223" i="6" s="1"/>
  <c r="U295" i="16"/>
  <c r="T295" i="16" s="1"/>
  <c r="S295" i="16" s="1"/>
  <c r="R295" i="16" s="1"/>
  <c r="P295" i="16" s="1"/>
  <c r="V295" i="16" s="1"/>
  <c r="F295" i="16" s="1"/>
  <c r="H295" i="16" s="1"/>
  <c r="U121" i="16"/>
  <c r="T121" i="16" s="1"/>
  <c r="S121" i="16" s="1"/>
  <c r="R121" i="16" s="1"/>
  <c r="P121" i="16" s="1"/>
  <c r="V121" i="16" s="1"/>
  <c r="F121" i="16" s="1"/>
  <c r="AA121" i="16" s="1"/>
  <c r="Z121" i="16" s="1"/>
  <c r="Y121" i="16" s="1"/>
  <c r="U86" i="16"/>
  <c r="T86" i="16" s="1"/>
  <c r="S86" i="16" s="1"/>
  <c r="R86" i="16" s="1"/>
  <c r="P86" i="16" s="1"/>
  <c r="V86" i="16" s="1"/>
  <c r="F86" i="16" s="1"/>
  <c r="G86" i="16" s="1"/>
  <c r="BY86" i="6" s="1"/>
  <c r="U192" i="16"/>
  <c r="T192" i="16" s="1"/>
  <c r="S192" i="16" s="1"/>
  <c r="R192" i="16" s="1"/>
  <c r="P192" i="16" s="1"/>
  <c r="V192" i="16" s="1"/>
  <c r="F192" i="16" s="1"/>
  <c r="G192" i="16" s="1"/>
  <c r="BY192" i="6" s="1"/>
  <c r="U162" i="16"/>
  <c r="T162" i="16" s="1"/>
  <c r="S162" i="16" s="1"/>
  <c r="R162" i="16" s="1"/>
  <c r="P162" i="16" s="1"/>
  <c r="V162" i="16" s="1"/>
  <c r="F162" i="16" s="1"/>
  <c r="H162" i="16" s="1"/>
  <c r="U205" i="16"/>
  <c r="T205" i="16" s="1"/>
  <c r="S205" i="16" s="1"/>
  <c r="R205" i="16" s="1"/>
  <c r="P205" i="16" s="1"/>
  <c r="V205" i="16" s="1"/>
  <c r="F205" i="16" s="1"/>
  <c r="G205" i="16" s="1"/>
  <c r="BY205" i="6" s="1"/>
  <c r="U247" i="16"/>
  <c r="T247" i="16" s="1"/>
  <c r="S247" i="16" s="1"/>
  <c r="R247" i="16" s="1"/>
  <c r="P247" i="16" s="1"/>
  <c r="V247" i="16" s="1"/>
  <c r="F247" i="16" s="1"/>
  <c r="U234" i="16"/>
  <c r="T234" i="16" s="1"/>
  <c r="S234" i="16" s="1"/>
  <c r="R234" i="16" s="1"/>
  <c r="P234" i="16" s="1"/>
  <c r="V234" i="16" s="1"/>
  <c r="F234" i="16" s="1"/>
  <c r="G234" i="16" s="1"/>
  <c r="BY234" i="6" s="1"/>
  <c r="U301" i="16"/>
  <c r="T301" i="16" s="1"/>
  <c r="S301" i="16" s="1"/>
  <c r="R301" i="16" s="1"/>
  <c r="P301" i="16" s="1"/>
  <c r="V301" i="16" s="1"/>
  <c r="F301" i="16" s="1"/>
  <c r="G301" i="16" s="1"/>
  <c r="BY301" i="6" s="1"/>
  <c r="U142" i="16"/>
  <c r="T142" i="16" s="1"/>
  <c r="S142" i="16" s="1"/>
  <c r="R142" i="16" s="1"/>
  <c r="P142" i="16" s="1"/>
  <c r="V142" i="16" s="1"/>
  <c r="F142" i="16" s="1"/>
  <c r="G142" i="16" s="1"/>
  <c r="BY142" i="6" s="1"/>
  <c r="U83" i="16"/>
  <c r="T83" i="16" s="1"/>
  <c r="S83" i="16" s="1"/>
  <c r="R83" i="16" s="1"/>
  <c r="P83" i="16" s="1"/>
  <c r="V83" i="16" s="1"/>
  <c r="F83" i="16" s="1"/>
  <c r="G83" i="16" s="1"/>
  <c r="BY83" i="6" s="1"/>
  <c r="U355" i="16"/>
  <c r="T355" i="16" s="1"/>
  <c r="S355" i="16" s="1"/>
  <c r="R355" i="16" s="1"/>
  <c r="P355" i="16" s="1"/>
  <c r="V355" i="16" s="1"/>
  <c r="F355" i="16" s="1"/>
  <c r="G355" i="16" s="1"/>
  <c r="BY355" i="6" s="1"/>
  <c r="U322" i="16"/>
  <c r="T322" i="16" s="1"/>
  <c r="S322" i="16" s="1"/>
  <c r="R322" i="16" s="1"/>
  <c r="P322" i="16" s="1"/>
  <c r="V322" i="16" s="1"/>
  <c r="F322" i="16" s="1"/>
  <c r="U206" i="16"/>
  <c r="T206" i="16" s="1"/>
  <c r="S206" i="16" s="1"/>
  <c r="R206" i="16" s="1"/>
  <c r="P206" i="16" s="1"/>
  <c r="V206" i="16" s="1"/>
  <c r="F206" i="16" s="1"/>
  <c r="G206" i="16" s="1"/>
  <c r="BY206" i="6" s="1"/>
  <c r="U133" i="16"/>
  <c r="T133" i="16" s="1"/>
  <c r="S133" i="16" s="1"/>
  <c r="R133" i="16" s="1"/>
  <c r="P133" i="16" s="1"/>
  <c r="V133" i="16" s="1"/>
  <c r="F133" i="16" s="1"/>
  <c r="G133" i="16" s="1"/>
  <c r="BY133" i="6" s="1"/>
  <c r="U363" i="16"/>
  <c r="T363" i="16" s="1"/>
  <c r="S363" i="16" s="1"/>
  <c r="R363" i="16" s="1"/>
  <c r="P363" i="16" s="1"/>
  <c r="V363" i="16" s="1"/>
  <c r="F363" i="16" s="1"/>
  <c r="U130" i="16"/>
  <c r="T130" i="16" s="1"/>
  <c r="S130" i="16" s="1"/>
  <c r="R130" i="16" s="1"/>
  <c r="P130" i="16" s="1"/>
  <c r="V130" i="16" s="1"/>
  <c r="F130" i="16" s="1"/>
  <c r="G130" i="16" s="1"/>
  <c r="BY130" i="6" s="1"/>
  <c r="U62" i="16"/>
  <c r="T62" i="16" s="1"/>
  <c r="S62" i="16" s="1"/>
  <c r="R62" i="16" s="1"/>
  <c r="P62" i="16" s="1"/>
  <c r="V62" i="16" s="1"/>
  <c r="F62" i="16" s="1"/>
  <c r="H62" i="16" s="1"/>
  <c r="U45" i="16"/>
  <c r="T45" i="16" s="1"/>
  <c r="S45" i="16" s="1"/>
  <c r="R45" i="16" s="1"/>
  <c r="P45" i="16" s="1"/>
  <c r="V45" i="16" s="1"/>
  <c r="F45" i="16" s="1"/>
  <c r="G45" i="16" s="1"/>
  <c r="BY45" i="6" s="1"/>
  <c r="U185" i="16"/>
  <c r="T185" i="16" s="1"/>
  <c r="S185" i="16" s="1"/>
  <c r="R185" i="16" s="1"/>
  <c r="P185" i="16" s="1"/>
  <c r="V185" i="16" s="1"/>
  <c r="F185" i="16" s="1"/>
  <c r="H185" i="16" s="1"/>
  <c r="U187" i="16"/>
  <c r="T187" i="16" s="1"/>
  <c r="S187" i="16" s="1"/>
  <c r="R187" i="16" s="1"/>
  <c r="P187" i="16" s="1"/>
  <c r="V187" i="16" s="1"/>
  <c r="F187" i="16" s="1"/>
  <c r="G187" i="16" s="1"/>
  <c r="BY187" i="6" s="1"/>
  <c r="U177" i="16"/>
  <c r="T177" i="16" s="1"/>
  <c r="S177" i="16" s="1"/>
  <c r="R177" i="16" s="1"/>
  <c r="P177" i="16" s="1"/>
  <c r="V177" i="16" s="1"/>
  <c r="F177" i="16" s="1"/>
  <c r="H177" i="16" s="1"/>
  <c r="U329" i="16"/>
  <c r="T329" i="16" s="1"/>
  <c r="S329" i="16" s="1"/>
  <c r="R329" i="16" s="1"/>
  <c r="P329" i="16" s="1"/>
  <c r="V329" i="16" s="1"/>
  <c r="F329" i="16" s="1"/>
  <c r="U213" i="16"/>
  <c r="T213" i="16" s="1"/>
  <c r="S213" i="16" s="1"/>
  <c r="R213" i="16" s="1"/>
  <c r="P213" i="16" s="1"/>
  <c r="V213" i="16" s="1"/>
  <c r="F213" i="16" s="1"/>
  <c r="G213" i="16" s="1"/>
  <c r="BY213" i="6" s="1"/>
  <c r="AI302" i="16"/>
  <c r="AH302" i="16" s="1"/>
  <c r="AG302" i="16" s="1"/>
  <c r="AF302" i="16" s="1"/>
  <c r="AD302" i="16" s="1"/>
  <c r="AI295" i="16"/>
  <c r="AH295" i="16" s="1"/>
  <c r="AG295" i="16" s="1"/>
  <c r="AF295" i="16" s="1"/>
  <c r="AD295" i="16" s="1"/>
  <c r="AI130" i="16"/>
  <c r="AH130" i="16" s="1"/>
  <c r="AG130" i="16" s="1"/>
  <c r="AF130" i="16" s="1"/>
  <c r="AD130" i="16" s="1"/>
  <c r="AI333" i="16"/>
  <c r="AH333" i="16" s="1"/>
  <c r="AG333" i="16" s="1"/>
  <c r="AF333" i="16" s="1"/>
  <c r="AD333" i="16" s="1"/>
  <c r="AI37" i="16"/>
  <c r="AH37" i="16" s="1"/>
  <c r="AG37" i="16" s="1"/>
  <c r="AF37" i="16" s="1"/>
  <c r="AD37" i="16" s="1"/>
  <c r="AI288" i="16"/>
  <c r="AH288" i="16" s="1"/>
  <c r="AG288" i="16" s="1"/>
  <c r="AF288" i="16" s="1"/>
  <c r="AD288" i="16" s="1"/>
  <c r="AI265" i="16"/>
  <c r="AH265" i="16" s="1"/>
  <c r="AG265" i="16" s="1"/>
  <c r="AF265" i="16" s="1"/>
  <c r="AD265" i="16" s="1"/>
  <c r="AI334" i="16"/>
  <c r="AH334" i="16" s="1"/>
  <c r="AG334" i="16" s="1"/>
  <c r="AF334" i="16" s="1"/>
  <c r="AD334" i="16" s="1"/>
  <c r="AI85" i="16"/>
  <c r="AH85" i="16" s="1"/>
  <c r="AG85" i="16" s="1"/>
  <c r="AF85" i="16" s="1"/>
  <c r="AD85" i="16" s="1"/>
  <c r="AI313" i="16"/>
  <c r="AH313" i="16" s="1"/>
  <c r="AG313" i="16" s="1"/>
  <c r="AF313" i="16" s="1"/>
  <c r="AD313" i="16" s="1"/>
  <c r="AI49" i="16"/>
  <c r="AH49" i="16" s="1"/>
  <c r="AG49" i="16" s="1"/>
  <c r="AF49" i="16" s="1"/>
  <c r="AD49" i="16" s="1"/>
  <c r="AI379" i="16"/>
  <c r="AH379" i="16" s="1"/>
  <c r="AG379" i="16" s="1"/>
  <c r="AF379" i="16" s="1"/>
  <c r="AD379" i="16" s="1"/>
  <c r="AI45" i="16"/>
  <c r="AH45" i="16" s="1"/>
  <c r="AG45" i="16" s="1"/>
  <c r="AF45" i="16" s="1"/>
  <c r="AD45" i="16" s="1"/>
  <c r="AI65" i="16"/>
  <c r="AH65" i="16" s="1"/>
  <c r="AG65" i="16" s="1"/>
  <c r="AF65" i="16" s="1"/>
  <c r="AD65" i="16" s="1"/>
  <c r="AI248" i="16"/>
  <c r="AH248" i="16" s="1"/>
  <c r="AG248" i="16" s="1"/>
  <c r="AF248" i="16" s="1"/>
  <c r="AD248" i="16" s="1"/>
  <c r="AI84" i="16"/>
  <c r="AH84" i="16" s="1"/>
  <c r="AG84" i="16" s="1"/>
  <c r="AF84" i="16" s="1"/>
  <c r="AD84" i="16" s="1"/>
  <c r="AI86" i="16"/>
  <c r="AH86" i="16" s="1"/>
  <c r="AG86" i="16" s="1"/>
  <c r="AF86" i="16" s="1"/>
  <c r="AD86" i="16" s="1"/>
  <c r="AI319" i="16"/>
  <c r="AH319" i="16" s="1"/>
  <c r="AG319" i="16" s="1"/>
  <c r="AF319" i="16" s="1"/>
  <c r="AD319" i="16" s="1"/>
  <c r="AA319" i="16" s="1"/>
  <c r="Z319" i="16" s="1"/>
  <c r="Y319" i="16" s="1"/>
  <c r="AI178" i="16"/>
  <c r="AH178" i="16" s="1"/>
  <c r="AG178" i="16" s="1"/>
  <c r="AF178" i="16" s="1"/>
  <c r="AD178" i="16" s="1"/>
  <c r="AI336" i="16"/>
  <c r="AH336" i="16" s="1"/>
  <c r="AG336" i="16" s="1"/>
  <c r="AF336" i="16" s="1"/>
  <c r="AD336" i="16" s="1"/>
  <c r="AI232" i="16"/>
  <c r="AH232" i="16" s="1"/>
  <c r="AG232" i="16" s="1"/>
  <c r="AF232" i="16" s="1"/>
  <c r="AD232" i="16" s="1"/>
  <c r="AI347" i="16"/>
  <c r="AH347" i="16" s="1"/>
  <c r="AG347" i="16" s="1"/>
  <c r="AF347" i="16" s="1"/>
  <c r="AD347" i="16" s="1"/>
  <c r="AI98" i="16"/>
  <c r="AH98" i="16" s="1"/>
  <c r="AG98" i="16" s="1"/>
  <c r="AF98" i="16" s="1"/>
  <c r="AD98" i="16" s="1"/>
  <c r="AI155" i="16"/>
  <c r="AH155" i="16" s="1"/>
  <c r="AG155" i="16" s="1"/>
  <c r="AF155" i="16" s="1"/>
  <c r="AD155" i="16" s="1"/>
  <c r="AI168" i="16"/>
  <c r="AH168" i="16" s="1"/>
  <c r="AG168" i="16" s="1"/>
  <c r="AF168" i="16" s="1"/>
  <c r="AD168" i="16" s="1"/>
  <c r="AI81" i="16"/>
  <c r="AH81" i="16" s="1"/>
  <c r="AG81" i="16" s="1"/>
  <c r="AF81" i="16" s="1"/>
  <c r="AD81" i="16" s="1"/>
  <c r="AI341" i="16"/>
  <c r="AH341" i="16" s="1"/>
  <c r="AG341" i="16" s="1"/>
  <c r="AF341" i="16" s="1"/>
  <c r="AD341" i="16" s="1"/>
  <c r="AA341" i="16" s="1"/>
  <c r="Z341" i="16" s="1"/>
  <c r="Y341" i="16" s="1"/>
  <c r="AI305" i="16"/>
  <c r="AH305" i="16" s="1"/>
  <c r="AG305" i="16" s="1"/>
  <c r="AF305" i="16" s="1"/>
  <c r="AD305" i="16" s="1"/>
  <c r="AA305" i="16" s="1"/>
  <c r="Z305" i="16" s="1"/>
  <c r="Y305" i="16" s="1"/>
  <c r="AI107" i="16"/>
  <c r="AH107" i="16" s="1"/>
  <c r="AG107" i="16" s="1"/>
  <c r="AF107" i="16" s="1"/>
  <c r="AD107" i="16" s="1"/>
  <c r="AA107" i="16" s="1"/>
  <c r="Z107" i="16" s="1"/>
  <c r="Y107" i="16" s="1"/>
  <c r="AI51" i="16"/>
  <c r="AH51" i="16" s="1"/>
  <c r="AG51" i="16" s="1"/>
  <c r="AF51" i="16" s="1"/>
  <c r="AD51" i="16" s="1"/>
  <c r="AI317" i="16"/>
  <c r="AH317" i="16" s="1"/>
  <c r="AG317" i="16" s="1"/>
  <c r="AF317" i="16" s="1"/>
  <c r="AD317" i="16" s="1"/>
  <c r="AI226" i="16"/>
  <c r="AH226" i="16" s="1"/>
  <c r="AG226" i="16" s="1"/>
  <c r="AF226" i="16" s="1"/>
  <c r="AD226" i="16" s="1"/>
  <c r="AI264" i="16"/>
  <c r="AH264" i="16" s="1"/>
  <c r="AG264" i="16" s="1"/>
  <c r="AF264" i="16" s="1"/>
  <c r="AD264" i="16" s="1"/>
  <c r="AI210" i="16"/>
  <c r="AH210" i="16" s="1"/>
  <c r="AG210" i="16" s="1"/>
  <c r="AF210" i="16" s="1"/>
  <c r="AD210" i="16" s="1"/>
  <c r="AI97" i="16"/>
  <c r="AH97" i="16" s="1"/>
  <c r="AG97" i="16" s="1"/>
  <c r="AF97" i="16" s="1"/>
  <c r="AD97" i="16" s="1"/>
  <c r="AI152" i="16"/>
  <c r="AH152" i="16" s="1"/>
  <c r="AG152" i="16" s="1"/>
  <c r="AF152" i="16" s="1"/>
  <c r="AD152" i="16" s="1"/>
  <c r="AI368" i="16"/>
  <c r="AH368" i="16" s="1"/>
  <c r="AG368" i="16" s="1"/>
  <c r="AF368" i="16" s="1"/>
  <c r="AD368" i="16" s="1"/>
  <c r="AI116" i="16"/>
  <c r="AH116" i="16" s="1"/>
  <c r="AG116" i="16" s="1"/>
  <c r="AF116" i="16" s="1"/>
  <c r="AD116" i="16" s="1"/>
  <c r="AI227" i="16"/>
  <c r="AH227" i="16" s="1"/>
  <c r="AG227" i="16" s="1"/>
  <c r="AF227" i="16" s="1"/>
  <c r="AD227" i="16" s="1"/>
  <c r="AI363" i="16"/>
  <c r="AH363" i="16" s="1"/>
  <c r="AG363" i="16" s="1"/>
  <c r="AF363" i="16" s="1"/>
  <c r="AD363" i="16" s="1"/>
  <c r="AI260" i="16"/>
  <c r="AH260" i="16" s="1"/>
  <c r="AG260" i="16" s="1"/>
  <c r="AF260" i="16" s="1"/>
  <c r="AD260" i="16" s="1"/>
  <c r="AI118" i="16"/>
  <c r="AH118" i="16" s="1"/>
  <c r="AG118" i="16" s="1"/>
  <c r="AF118" i="16" s="1"/>
  <c r="AD118" i="16" s="1"/>
  <c r="AI103" i="16"/>
  <c r="AH103" i="16" s="1"/>
  <c r="AG103" i="16" s="1"/>
  <c r="AF103" i="16" s="1"/>
  <c r="AD103" i="16" s="1"/>
  <c r="AI284" i="16"/>
  <c r="AH284" i="16" s="1"/>
  <c r="AG284" i="16" s="1"/>
  <c r="AF284" i="16" s="1"/>
  <c r="AD284" i="16" s="1"/>
  <c r="AI297" i="16"/>
  <c r="AH297" i="16" s="1"/>
  <c r="AG297" i="16" s="1"/>
  <c r="AF297" i="16" s="1"/>
  <c r="AD297" i="16" s="1"/>
  <c r="AI292" i="16"/>
  <c r="AH292" i="16" s="1"/>
  <c r="AG292" i="16" s="1"/>
  <c r="AF292" i="16" s="1"/>
  <c r="AD292" i="16" s="1"/>
  <c r="AI245" i="16"/>
  <c r="AH245" i="16" s="1"/>
  <c r="AG245" i="16" s="1"/>
  <c r="AF245" i="16" s="1"/>
  <c r="AD245" i="16" s="1"/>
  <c r="AI91" i="16"/>
  <c r="AH91" i="16" s="1"/>
  <c r="AG91" i="16" s="1"/>
  <c r="AF91" i="16" s="1"/>
  <c r="AD91" i="16" s="1"/>
  <c r="AA91" i="16" s="1"/>
  <c r="Z91" i="16" s="1"/>
  <c r="Y91" i="16" s="1"/>
  <c r="AI331" i="16"/>
  <c r="AH331" i="16" s="1"/>
  <c r="AG331" i="16" s="1"/>
  <c r="AF331" i="16" s="1"/>
  <c r="AD331" i="16" s="1"/>
  <c r="AI104" i="16"/>
  <c r="AH104" i="16" s="1"/>
  <c r="AG104" i="16" s="1"/>
  <c r="AF104" i="16" s="1"/>
  <c r="AD104" i="16" s="1"/>
  <c r="AI59" i="16"/>
  <c r="AH59" i="16" s="1"/>
  <c r="AG59" i="16" s="1"/>
  <c r="AF59" i="16" s="1"/>
  <c r="AD59" i="16" s="1"/>
  <c r="AI77" i="16"/>
  <c r="AH77" i="16" s="1"/>
  <c r="AG77" i="16" s="1"/>
  <c r="AF77" i="16" s="1"/>
  <c r="AD77" i="16" s="1"/>
  <c r="AA77" i="16" s="1"/>
  <c r="Z77" i="16" s="1"/>
  <c r="Y77" i="16" s="1"/>
  <c r="AI375" i="16"/>
  <c r="AH375" i="16" s="1"/>
  <c r="AG375" i="16" s="1"/>
  <c r="AF375" i="16" s="1"/>
  <c r="AD375" i="16" s="1"/>
  <c r="AI92" i="16"/>
  <c r="AH92" i="16" s="1"/>
  <c r="AG92" i="16" s="1"/>
  <c r="AF92" i="16" s="1"/>
  <c r="AD92" i="16" s="1"/>
  <c r="AA92" i="16" s="1"/>
  <c r="Z92" i="16" s="1"/>
  <c r="Y92" i="16" s="1"/>
  <c r="AI242" i="16"/>
  <c r="AH242" i="16" s="1"/>
  <c r="AG242" i="16" s="1"/>
  <c r="AF242" i="16" s="1"/>
  <c r="AD242" i="16" s="1"/>
  <c r="AA242" i="16" s="1"/>
  <c r="Z242" i="16" s="1"/>
  <c r="Y242" i="16" s="1"/>
  <c r="AI364" i="16"/>
  <c r="AH364" i="16" s="1"/>
  <c r="AG364" i="16" s="1"/>
  <c r="AF364" i="16" s="1"/>
  <c r="AD364" i="16" s="1"/>
  <c r="AI71" i="16"/>
  <c r="AH71" i="16" s="1"/>
  <c r="AG71" i="16" s="1"/>
  <c r="AF71" i="16" s="1"/>
  <c r="AD71" i="16" s="1"/>
  <c r="AI211" i="16"/>
  <c r="AH211" i="16" s="1"/>
  <c r="AG211" i="16" s="1"/>
  <c r="AF211" i="16" s="1"/>
  <c r="AD211" i="16" s="1"/>
  <c r="AA211" i="16" s="1"/>
  <c r="Z211" i="16" s="1"/>
  <c r="Y211" i="16" s="1"/>
  <c r="AI235" i="16"/>
  <c r="AH235" i="16" s="1"/>
  <c r="AG235" i="16" s="1"/>
  <c r="AF235" i="16" s="1"/>
  <c r="AD235" i="16" s="1"/>
  <c r="AI251" i="16"/>
  <c r="AH251" i="16" s="1"/>
  <c r="AG251" i="16" s="1"/>
  <c r="AF251" i="16" s="1"/>
  <c r="AD251" i="16" s="1"/>
  <c r="AA251" i="16" s="1"/>
  <c r="Z251" i="16" s="1"/>
  <c r="Y251" i="16" s="1"/>
  <c r="AI205" i="16"/>
  <c r="AH205" i="16" s="1"/>
  <c r="AG205" i="16" s="1"/>
  <c r="AF205" i="16" s="1"/>
  <c r="AD205" i="16" s="1"/>
  <c r="AI354" i="16"/>
  <c r="AH354" i="16" s="1"/>
  <c r="AG354" i="16" s="1"/>
  <c r="AF354" i="16" s="1"/>
  <c r="AD354" i="16" s="1"/>
  <c r="AI140" i="16"/>
  <c r="AH140" i="16" s="1"/>
  <c r="AG140" i="16" s="1"/>
  <c r="AF140" i="16" s="1"/>
  <c r="AD140" i="16" s="1"/>
  <c r="AA140" i="16" s="1"/>
  <c r="Z140" i="16" s="1"/>
  <c r="Y140" i="16" s="1"/>
  <c r="AI261" i="16"/>
  <c r="AH261" i="16" s="1"/>
  <c r="AG261" i="16" s="1"/>
  <c r="AF261" i="16" s="1"/>
  <c r="AD261" i="16" s="1"/>
  <c r="AI124" i="16"/>
  <c r="AH124" i="16" s="1"/>
  <c r="AG124" i="16" s="1"/>
  <c r="AF124" i="16" s="1"/>
  <c r="AD124" i="16" s="1"/>
  <c r="AI30" i="16"/>
  <c r="AH30" i="16" s="1"/>
  <c r="AG30" i="16" s="1"/>
  <c r="AF30" i="16" s="1"/>
  <c r="AD30" i="16" s="1"/>
  <c r="AA30" i="16" s="1"/>
  <c r="Z30" i="16" s="1"/>
  <c r="Y30" i="16" s="1"/>
  <c r="AI277" i="16"/>
  <c r="AH277" i="16" s="1"/>
  <c r="AG277" i="16" s="1"/>
  <c r="AF277" i="16" s="1"/>
  <c r="AD277" i="16" s="1"/>
  <c r="AI274" i="16"/>
  <c r="AH274" i="16" s="1"/>
  <c r="AG274" i="16" s="1"/>
  <c r="AF274" i="16" s="1"/>
  <c r="AD274" i="16" s="1"/>
  <c r="AI241" i="16"/>
  <c r="AH241" i="16" s="1"/>
  <c r="AG241" i="16" s="1"/>
  <c r="AF241" i="16" s="1"/>
  <c r="AD241" i="16" s="1"/>
  <c r="AI296" i="16"/>
  <c r="AH296" i="16" s="1"/>
  <c r="AG296" i="16" s="1"/>
  <c r="AF296" i="16" s="1"/>
  <c r="AD296" i="16" s="1"/>
  <c r="AI338" i="16"/>
  <c r="AH338" i="16" s="1"/>
  <c r="AG338" i="16" s="1"/>
  <c r="AF338" i="16" s="1"/>
  <c r="AD338" i="16" s="1"/>
  <c r="AA338" i="16" s="1"/>
  <c r="Z338" i="16" s="1"/>
  <c r="Y338" i="16" s="1"/>
  <c r="AI257" i="16"/>
  <c r="AH257" i="16" s="1"/>
  <c r="AG257" i="16" s="1"/>
  <c r="AF257" i="16" s="1"/>
  <c r="AD257" i="16" s="1"/>
  <c r="AI243" i="16"/>
  <c r="AH243" i="16" s="1"/>
  <c r="AG243" i="16" s="1"/>
  <c r="AF243" i="16" s="1"/>
  <c r="AD243" i="16" s="1"/>
  <c r="AA243" i="16" s="1"/>
  <c r="Z243" i="16" s="1"/>
  <c r="Y243" i="16" s="1"/>
  <c r="AI337" i="16"/>
  <c r="AH337" i="16" s="1"/>
  <c r="AG337" i="16" s="1"/>
  <c r="AF337" i="16" s="1"/>
  <c r="AD337" i="16" s="1"/>
  <c r="AI134" i="16"/>
  <c r="AH134" i="16" s="1"/>
  <c r="AG134" i="16" s="1"/>
  <c r="AF134" i="16" s="1"/>
  <c r="AD134" i="16" s="1"/>
  <c r="AI110" i="16"/>
  <c r="AH110" i="16" s="1"/>
  <c r="AG110" i="16" s="1"/>
  <c r="AF110" i="16" s="1"/>
  <c r="AD110" i="16" s="1"/>
  <c r="AI36" i="16"/>
  <c r="AH36" i="16" s="1"/>
  <c r="AG36" i="16" s="1"/>
  <c r="AF36" i="16" s="1"/>
  <c r="AD36" i="16" s="1"/>
  <c r="AI120" i="16"/>
  <c r="AH120" i="16" s="1"/>
  <c r="AG120" i="16" s="1"/>
  <c r="AF120" i="16" s="1"/>
  <c r="AD120" i="16" s="1"/>
  <c r="AI222" i="16"/>
  <c r="AH222" i="16" s="1"/>
  <c r="AG222" i="16" s="1"/>
  <c r="AF222" i="16" s="1"/>
  <c r="AD222" i="16" s="1"/>
  <c r="AI82" i="16"/>
  <c r="AH82" i="16" s="1"/>
  <c r="AG82" i="16" s="1"/>
  <c r="AF82" i="16" s="1"/>
  <c r="AD82" i="16" s="1"/>
  <c r="AI360" i="16"/>
  <c r="AH360" i="16" s="1"/>
  <c r="AG360" i="16" s="1"/>
  <c r="AF360" i="16" s="1"/>
  <c r="AD360" i="16" s="1"/>
  <c r="AI190" i="16"/>
  <c r="AH190" i="16" s="1"/>
  <c r="AG190" i="16" s="1"/>
  <c r="AF190" i="16" s="1"/>
  <c r="AD190" i="16" s="1"/>
  <c r="AI267" i="16"/>
  <c r="AH267" i="16" s="1"/>
  <c r="AG267" i="16" s="1"/>
  <c r="AF267" i="16" s="1"/>
  <c r="AD267" i="16" s="1"/>
  <c r="AA267" i="16" s="1"/>
  <c r="Z267" i="16" s="1"/>
  <c r="Y267" i="16" s="1"/>
  <c r="AI378" i="16"/>
  <c r="AH378" i="16" s="1"/>
  <c r="AG378" i="16" s="1"/>
  <c r="AF378" i="16" s="1"/>
  <c r="AD378" i="16" s="1"/>
  <c r="AI272" i="16"/>
  <c r="AH272" i="16" s="1"/>
  <c r="AG272" i="16" s="1"/>
  <c r="AF272" i="16" s="1"/>
  <c r="AD272" i="16" s="1"/>
  <c r="AI271" i="16"/>
  <c r="AH271" i="16" s="1"/>
  <c r="AG271" i="16" s="1"/>
  <c r="AF271" i="16" s="1"/>
  <c r="AD271" i="16" s="1"/>
  <c r="AI157" i="16"/>
  <c r="AH157" i="16" s="1"/>
  <c r="AG157" i="16" s="1"/>
  <c r="AF157" i="16" s="1"/>
  <c r="AD157" i="16" s="1"/>
  <c r="AI202" i="16"/>
  <c r="AH202" i="16" s="1"/>
  <c r="AG202" i="16" s="1"/>
  <c r="AF202" i="16" s="1"/>
  <c r="AD202" i="16" s="1"/>
  <c r="AI342" i="16"/>
  <c r="AH342" i="16" s="1"/>
  <c r="AG342" i="16" s="1"/>
  <c r="AF342" i="16" s="1"/>
  <c r="AD342" i="16" s="1"/>
  <c r="AI300" i="16"/>
  <c r="AH300" i="16" s="1"/>
  <c r="AG300" i="16" s="1"/>
  <c r="AF300" i="16" s="1"/>
  <c r="AD300" i="16" s="1"/>
  <c r="AI39" i="16"/>
  <c r="AH39" i="16" s="1"/>
  <c r="AG39" i="16" s="1"/>
  <c r="AF39" i="16" s="1"/>
  <c r="AD39" i="16" s="1"/>
  <c r="AI240" i="16"/>
  <c r="AH240" i="16" s="1"/>
  <c r="AG240" i="16" s="1"/>
  <c r="AF240" i="16" s="1"/>
  <c r="AD240" i="16" s="1"/>
  <c r="AI192" i="16"/>
  <c r="AH192" i="16" s="1"/>
  <c r="AG192" i="16" s="1"/>
  <c r="AF192" i="16" s="1"/>
  <c r="AD192" i="16" s="1"/>
  <c r="AI67" i="16"/>
  <c r="AH67" i="16" s="1"/>
  <c r="AG67" i="16" s="1"/>
  <c r="AF67" i="16" s="1"/>
  <c r="AD67" i="16" s="1"/>
  <c r="AI225" i="16"/>
  <c r="AH225" i="16" s="1"/>
  <c r="AG225" i="16" s="1"/>
  <c r="AF225" i="16" s="1"/>
  <c r="AD225" i="16" s="1"/>
  <c r="AI299" i="16"/>
  <c r="AH299" i="16" s="1"/>
  <c r="AG299" i="16" s="1"/>
  <c r="AF299" i="16" s="1"/>
  <c r="AD299" i="16" s="1"/>
  <c r="AI355" i="16"/>
  <c r="AH355" i="16" s="1"/>
  <c r="AG355" i="16" s="1"/>
  <c r="AF355" i="16" s="1"/>
  <c r="AD355" i="16" s="1"/>
  <c r="AI87" i="16"/>
  <c r="AH87" i="16" s="1"/>
  <c r="AG87" i="16" s="1"/>
  <c r="AF87" i="16" s="1"/>
  <c r="AD87" i="16" s="1"/>
  <c r="AA87" i="16" s="1"/>
  <c r="Z87" i="16" s="1"/>
  <c r="Y87" i="16" s="1"/>
  <c r="AI231" i="16"/>
  <c r="AH231" i="16" s="1"/>
  <c r="AG231" i="16" s="1"/>
  <c r="AF231" i="16" s="1"/>
  <c r="AD231" i="16" s="1"/>
  <c r="AI172" i="16"/>
  <c r="AH172" i="16" s="1"/>
  <c r="AG172" i="16" s="1"/>
  <c r="AF172" i="16" s="1"/>
  <c r="AD172" i="16" s="1"/>
  <c r="AI216" i="16"/>
  <c r="AH216" i="16" s="1"/>
  <c r="AG216" i="16" s="1"/>
  <c r="AF216" i="16" s="1"/>
  <c r="AD216" i="16" s="1"/>
  <c r="AI174" i="16"/>
  <c r="AH174" i="16" s="1"/>
  <c r="AG174" i="16" s="1"/>
  <c r="AF174" i="16" s="1"/>
  <c r="AD174" i="16" s="1"/>
  <c r="AI180" i="16"/>
  <c r="AH180" i="16" s="1"/>
  <c r="AG180" i="16" s="1"/>
  <c r="AF180" i="16" s="1"/>
  <c r="AD180" i="16" s="1"/>
  <c r="AI38" i="16"/>
  <c r="AH38" i="16" s="1"/>
  <c r="AG38" i="16" s="1"/>
  <c r="AF38" i="16" s="1"/>
  <c r="AD38" i="16" s="1"/>
  <c r="AI105" i="16"/>
  <c r="AH105" i="16" s="1"/>
  <c r="AG105" i="16" s="1"/>
  <c r="AF105" i="16" s="1"/>
  <c r="AD105" i="16" s="1"/>
  <c r="AI307" i="16"/>
  <c r="AH307" i="16" s="1"/>
  <c r="AG307" i="16" s="1"/>
  <c r="AF307" i="16" s="1"/>
  <c r="AD307" i="16" s="1"/>
  <c r="AI31" i="16"/>
  <c r="AH31" i="16" s="1"/>
  <c r="AG31" i="16" s="1"/>
  <c r="AF31" i="16" s="1"/>
  <c r="AD31" i="16" s="1"/>
  <c r="AA31" i="16" s="1"/>
  <c r="Z31" i="16" s="1"/>
  <c r="Y31" i="16" s="1"/>
  <c r="AI96" i="16"/>
  <c r="AH96" i="16" s="1"/>
  <c r="AG96" i="16" s="1"/>
  <c r="AF96" i="16" s="1"/>
  <c r="AD96" i="16" s="1"/>
  <c r="AI294" i="16"/>
  <c r="AH294" i="16" s="1"/>
  <c r="AG294" i="16" s="1"/>
  <c r="AF294" i="16" s="1"/>
  <c r="AD294" i="16" s="1"/>
  <c r="AA294" i="16" s="1"/>
  <c r="Z294" i="16" s="1"/>
  <c r="Y294" i="16" s="1"/>
  <c r="AI365" i="16"/>
  <c r="AH365" i="16" s="1"/>
  <c r="AG365" i="16" s="1"/>
  <c r="AF365" i="16" s="1"/>
  <c r="AD365" i="16" s="1"/>
  <c r="AI207" i="16"/>
  <c r="AH207" i="16" s="1"/>
  <c r="AG207" i="16" s="1"/>
  <c r="AF207" i="16" s="1"/>
  <c r="AD207" i="16" s="1"/>
  <c r="AI150" i="16"/>
  <c r="AH150" i="16" s="1"/>
  <c r="AG150" i="16" s="1"/>
  <c r="AF150" i="16" s="1"/>
  <c r="AD150" i="16" s="1"/>
  <c r="AI29" i="16"/>
  <c r="AH29" i="16" s="1"/>
  <c r="AG29" i="16" s="1"/>
  <c r="AF29" i="16" s="1"/>
  <c r="AD29" i="16" s="1"/>
  <c r="AI15" i="16"/>
  <c r="AI70" i="16"/>
  <c r="AH70" i="16" s="1"/>
  <c r="AG70" i="16" s="1"/>
  <c r="AF70" i="16" s="1"/>
  <c r="AD70" i="16" s="1"/>
  <c r="AI228" i="16"/>
  <c r="AH228" i="16" s="1"/>
  <c r="AG228" i="16" s="1"/>
  <c r="AF228" i="16" s="1"/>
  <c r="AD228" i="16" s="1"/>
  <c r="AI332" i="16"/>
  <c r="AH332" i="16" s="1"/>
  <c r="AG332" i="16" s="1"/>
  <c r="AF332" i="16" s="1"/>
  <c r="AD332" i="16" s="1"/>
  <c r="AI358" i="16"/>
  <c r="AH358" i="16" s="1"/>
  <c r="AG358" i="16" s="1"/>
  <c r="AF358" i="16" s="1"/>
  <c r="AD358" i="16" s="1"/>
  <c r="AI90" i="16"/>
  <c r="AH90" i="16" s="1"/>
  <c r="AG90" i="16" s="1"/>
  <c r="AF90" i="16" s="1"/>
  <c r="AD90" i="16" s="1"/>
  <c r="AI234" i="16"/>
  <c r="AH234" i="16" s="1"/>
  <c r="AG234" i="16" s="1"/>
  <c r="AF234" i="16" s="1"/>
  <c r="AD234" i="16" s="1"/>
  <c r="U337" i="16"/>
  <c r="T337" i="16" s="1"/>
  <c r="S337" i="16" s="1"/>
  <c r="R337" i="16" s="1"/>
  <c r="P337" i="16" s="1"/>
  <c r="V337" i="16" s="1"/>
  <c r="F337" i="16" s="1"/>
  <c r="G337" i="16" s="1"/>
  <c r="BY337" i="6" s="1"/>
  <c r="U19" i="16"/>
  <c r="T19" i="16" s="1"/>
  <c r="S19" i="16" s="1"/>
  <c r="R19" i="16" s="1"/>
  <c r="P19" i="16" s="1"/>
  <c r="V19" i="16" s="1"/>
  <c r="F19" i="16" s="1"/>
  <c r="G19" i="16" s="1"/>
  <c r="BY19" i="6" s="1"/>
  <c r="U175" i="16"/>
  <c r="T175" i="16" s="1"/>
  <c r="S175" i="16" s="1"/>
  <c r="R175" i="16" s="1"/>
  <c r="P175" i="16" s="1"/>
  <c r="V175" i="16" s="1"/>
  <c r="F175" i="16" s="1"/>
  <c r="H175" i="16" s="1"/>
  <c r="U165" i="16"/>
  <c r="T165" i="16" s="1"/>
  <c r="S165" i="16" s="1"/>
  <c r="R165" i="16" s="1"/>
  <c r="P165" i="16" s="1"/>
  <c r="V165" i="16" s="1"/>
  <c r="F165" i="16" s="1"/>
  <c r="U221" i="16"/>
  <c r="T221" i="16" s="1"/>
  <c r="S221" i="16" s="1"/>
  <c r="R221" i="16" s="1"/>
  <c r="P221" i="16" s="1"/>
  <c r="V221" i="16" s="1"/>
  <c r="F221" i="16" s="1"/>
  <c r="G221" i="16" s="1"/>
  <c r="BY221" i="6" s="1"/>
  <c r="U127" i="16"/>
  <c r="T127" i="16" s="1"/>
  <c r="S127" i="16" s="1"/>
  <c r="R127" i="16" s="1"/>
  <c r="P127" i="16" s="1"/>
  <c r="V127" i="16" s="1"/>
  <c r="F127" i="16" s="1"/>
  <c r="G127" i="16" s="1"/>
  <c r="BY127" i="6" s="1"/>
  <c r="U40" i="16"/>
  <c r="T40" i="16" s="1"/>
  <c r="S40" i="16" s="1"/>
  <c r="R40" i="16" s="1"/>
  <c r="P40" i="16" s="1"/>
  <c r="V40" i="16" s="1"/>
  <c r="F40" i="16" s="1"/>
  <c r="H40" i="16" s="1"/>
  <c r="U313" i="16"/>
  <c r="T313" i="16" s="1"/>
  <c r="S313" i="16" s="1"/>
  <c r="R313" i="16" s="1"/>
  <c r="P313" i="16" s="1"/>
  <c r="V313" i="16" s="1"/>
  <c r="F313" i="16" s="1"/>
  <c r="G313" i="16" s="1"/>
  <c r="BY313" i="6" s="1"/>
  <c r="U293" i="16"/>
  <c r="T293" i="16" s="1"/>
  <c r="S293" i="16" s="1"/>
  <c r="R293" i="16" s="1"/>
  <c r="P293" i="16" s="1"/>
  <c r="V293" i="16" s="1"/>
  <c r="F293" i="16" s="1"/>
  <c r="G293" i="16" s="1"/>
  <c r="BY293" i="6" s="1"/>
  <c r="U326" i="16"/>
  <c r="T326" i="16" s="1"/>
  <c r="S326" i="16" s="1"/>
  <c r="R326" i="16" s="1"/>
  <c r="P326" i="16" s="1"/>
  <c r="V326" i="16" s="1"/>
  <c r="F326" i="16" s="1"/>
  <c r="U109" i="16"/>
  <c r="T109" i="16" s="1"/>
  <c r="S109" i="16" s="1"/>
  <c r="R109" i="16" s="1"/>
  <c r="P109" i="16" s="1"/>
  <c r="V109" i="16" s="1"/>
  <c r="F109" i="16" s="1"/>
  <c r="H109" i="16" s="1"/>
  <c r="U227" i="16"/>
  <c r="T227" i="16" s="1"/>
  <c r="S227" i="16" s="1"/>
  <c r="R227" i="16" s="1"/>
  <c r="P227" i="16" s="1"/>
  <c r="V227" i="16" s="1"/>
  <c r="F227" i="16" s="1"/>
  <c r="G227" i="16" s="1"/>
  <c r="BY227" i="6" s="1"/>
  <c r="U224" i="16"/>
  <c r="T224" i="16" s="1"/>
  <c r="S224" i="16" s="1"/>
  <c r="R224" i="16" s="1"/>
  <c r="P224" i="16" s="1"/>
  <c r="V224" i="16" s="1"/>
  <c r="F224" i="16" s="1"/>
  <c r="H224" i="16" s="1"/>
  <c r="U84" i="16"/>
  <c r="T84" i="16" s="1"/>
  <c r="S84" i="16" s="1"/>
  <c r="R84" i="16" s="1"/>
  <c r="P84" i="16" s="1"/>
  <c r="V84" i="16" s="1"/>
  <c r="F84" i="16" s="1"/>
  <c r="AA84" i="16" s="1"/>
  <c r="Z84" i="16" s="1"/>
  <c r="Y84" i="16" s="1"/>
  <c r="U15" i="16"/>
  <c r="T15" i="16" s="1"/>
  <c r="U248" i="16"/>
  <c r="T248" i="16" s="1"/>
  <c r="S248" i="16" s="1"/>
  <c r="R248" i="16" s="1"/>
  <c r="P248" i="16" s="1"/>
  <c r="V248" i="16" s="1"/>
  <c r="F248" i="16" s="1"/>
  <c r="H248" i="16" s="1"/>
  <c r="I248" i="16" s="1"/>
  <c r="U366" i="16"/>
  <c r="T366" i="16" s="1"/>
  <c r="S366" i="16" s="1"/>
  <c r="R366" i="16" s="1"/>
  <c r="P366" i="16" s="1"/>
  <c r="V366" i="16" s="1"/>
  <c r="F366" i="16" s="1"/>
  <c r="H366" i="16" s="1"/>
  <c r="I366" i="16" s="1"/>
  <c r="U198" i="16"/>
  <c r="T198" i="16" s="1"/>
  <c r="S198" i="16" s="1"/>
  <c r="R198" i="16" s="1"/>
  <c r="P198" i="16" s="1"/>
  <c r="V198" i="16" s="1"/>
  <c r="F198" i="16" s="1"/>
  <c r="AA198" i="16" s="1"/>
  <c r="Z198" i="16" s="1"/>
  <c r="Y198" i="16" s="1"/>
  <c r="U352" i="16"/>
  <c r="T352" i="16" s="1"/>
  <c r="S352" i="16" s="1"/>
  <c r="R352" i="16" s="1"/>
  <c r="P352" i="16" s="1"/>
  <c r="V352" i="16" s="1"/>
  <c r="F352" i="16" s="1"/>
  <c r="H352" i="16" s="1"/>
  <c r="J352" i="16" s="1"/>
  <c r="U163" i="16"/>
  <c r="T163" i="16" s="1"/>
  <c r="S163" i="16" s="1"/>
  <c r="R163" i="16" s="1"/>
  <c r="P163" i="16" s="1"/>
  <c r="V163" i="16" s="1"/>
  <c r="F163" i="16" s="1"/>
  <c r="H163" i="16" s="1"/>
  <c r="U216" i="16"/>
  <c r="T216" i="16" s="1"/>
  <c r="S216" i="16" s="1"/>
  <c r="R216" i="16" s="1"/>
  <c r="P216" i="16" s="1"/>
  <c r="V216" i="16" s="1"/>
  <c r="F216" i="16" s="1"/>
  <c r="G216" i="16" s="1"/>
  <c r="BY216" i="6" s="1"/>
  <c r="U235" i="16"/>
  <c r="T235" i="16" s="1"/>
  <c r="S235" i="16" s="1"/>
  <c r="R235" i="16" s="1"/>
  <c r="P235" i="16" s="1"/>
  <c r="V235" i="16" s="1"/>
  <c r="F235" i="16" s="1"/>
  <c r="G235" i="16" s="1"/>
  <c r="BY235" i="6" s="1"/>
  <c r="U71" i="16"/>
  <c r="T71" i="16" s="1"/>
  <c r="S71" i="16" s="1"/>
  <c r="R71" i="16" s="1"/>
  <c r="P71" i="16" s="1"/>
  <c r="V71" i="16" s="1"/>
  <c r="F71" i="16" s="1"/>
  <c r="AA71" i="16" s="1"/>
  <c r="Z71" i="16" s="1"/>
  <c r="Y71" i="16" s="1"/>
  <c r="U260" i="16"/>
  <c r="T260" i="16" s="1"/>
  <c r="S260" i="16" s="1"/>
  <c r="R260" i="16" s="1"/>
  <c r="P260" i="16" s="1"/>
  <c r="V260" i="16" s="1"/>
  <c r="F260" i="16" s="1"/>
  <c r="G260" i="16" s="1"/>
  <c r="BY260" i="6" s="1"/>
  <c r="U259" i="16"/>
  <c r="T259" i="16" s="1"/>
  <c r="S259" i="16" s="1"/>
  <c r="R259" i="16" s="1"/>
  <c r="P259" i="16" s="1"/>
  <c r="U125" i="16"/>
  <c r="T125" i="16" s="1"/>
  <c r="S125" i="16" s="1"/>
  <c r="R125" i="16" s="1"/>
  <c r="P125" i="16" s="1"/>
  <c r="V125" i="16" s="1"/>
  <c r="F125" i="16" s="1"/>
  <c r="G125" i="16" s="1"/>
  <c r="BY125" i="6" s="1"/>
  <c r="U253" i="16"/>
  <c r="T253" i="16" s="1"/>
  <c r="S253" i="16" s="1"/>
  <c r="R253" i="16" s="1"/>
  <c r="P253" i="16" s="1"/>
  <c r="V253" i="16" s="1"/>
  <c r="F253" i="16" s="1"/>
  <c r="AA253" i="16" s="1"/>
  <c r="Z253" i="16" s="1"/>
  <c r="Y253" i="16" s="1"/>
  <c r="U78" i="16"/>
  <c r="T78" i="16" s="1"/>
  <c r="S78" i="16" s="1"/>
  <c r="R78" i="16" s="1"/>
  <c r="P78" i="16" s="1"/>
  <c r="V78" i="16" s="1"/>
  <c r="F78" i="16" s="1"/>
  <c r="AA78" i="16" s="1"/>
  <c r="Z78" i="16" s="1"/>
  <c r="Y78" i="16" s="1"/>
  <c r="U378" i="16"/>
  <c r="T378" i="16" s="1"/>
  <c r="S378" i="16" s="1"/>
  <c r="R378" i="16" s="1"/>
  <c r="P378" i="16" s="1"/>
  <c r="V378" i="16" s="1"/>
  <c r="F378" i="16" s="1"/>
  <c r="H378" i="16" s="1"/>
  <c r="U373" i="16"/>
  <c r="T373" i="16" s="1"/>
  <c r="S373" i="16" s="1"/>
  <c r="R373" i="16" s="1"/>
  <c r="P373" i="16" s="1"/>
  <c r="V373" i="16" s="1"/>
  <c r="F373" i="16" s="1"/>
  <c r="G373" i="16" s="1"/>
  <c r="BY373" i="6" s="1"/>
  <c r="U154" i="16"/>
  <c r="T154" i="16" s="1"/>
  <c r="S154" i="16" s="1"/>
  <c r="R154" i="16" s="1"/>
  <c r="P154" i="16" s="1"/>
  <c r="V154" i="16" s="1"/>
  <c r="F154" i="16" s="1"/>
  <c r="AA154" i="16" s="1"/>
  <c r="Z154" i="16" s="1"/>
  <c r="Y154" i="16" s="1"/>
  <c r="U219" i="16"/>
  <c r="T219" i="16" s="1"/>
  <c r="S219" i="16" s="1"/>
  <c r="R219" i="16" s="1"/>
  <c r="P219" i="16" s="1"/>
  <c r="V219" i="16" s="1"/>
  <c r="F219" i="16" s="1"/>
  <c r="H219" i="16" s="1"/>
  <c r="J219" i="16" s="1"/>
  <c r="U346" i="16"/>
  <c r="T346" i="16" s="1"/>
  <c r="S346" i="16" s="1"/>
  <c r="R346" i="16" s="1"/>
  <c r="P346" i="16" s="1"/>
  <c r="V346" i="16" s="1"/>
  <c r="F346" i="16" s="1"/>
  <c r="AA346" i="16" s="1"/>
  <c r="Z346" i="16" s="1"/>
  <c r="Y346" i="16" s="1"/>
  <c r="U369" i="16"/>
  <c r="T369" i="16" s="1"/>
  <c r="S369" i="16" s="1"/>
  <c r="R369" i="16" s="1"/>
  <c r="P369" i="16" s="1"/>
  <c r="V369" i="16" s="1"/>
  <c r="F369" i="16" s="1"/>
  <c r="AA369" i="16" s="1"/>
  <c r="Z369" i="16" s="1"/>
  <c r="Y369" i="16" s="1"/>
  <c r="U273" i="16"/>
  <c r="T273" i="16" s="1"/>
  <c r="S273" i="16" s="1"/>
  <c r="R273" i="16" s="1"/>
  <c r="P273" i="16" s="1"/>
  <c r="V273" i="16" s="1"/>
  <c r="F273" i="16" s="1"/>
  <c r="G273" i="16" s="1"/>
  <c r="BY273" i="6" s="1"/>
  <c r="U316" i="16"/>
  <c r="T316" i="16" s="1"/>
  <c r="S316" i="16" s="1"/>
  <c r="R316" i="16" s="1"/>
  <c r="P316" i="16" s="1"/>
  <c r="V316" i="16" s="1"/>
  <c r="F316" i="16" s="1"/>
  <c r="G316" i="16" s="1"/>
  <c r="BY316" i="6" s="1"/>
  <c r="U112" i="16"/>
  <c r="T112" i="16" s="1"/>
  <c r="S112" i="16" s="1"/>
  <c r="R112" i="16" s="1"/>
  <c r="P112" i="16" s="1"/>
  <c r="V112" i="16" s="1"/>
  <c r="F112" i="16" s="1"/>
  <c r="G112" i="16" s="1"/>
  <c r="BY112" i="6" s="1"/>
  <c r="U375" i="16"/>
  <c r="T375" i="16" s="1"/>
  <c r="S375" i="16" s="1"/>
  <c r="R375" i="16" s="1"/>
  <c r="P375" i="16" s="1"/>
  <c r="V375" i="16" s="1"/>
  <c r="F375" i="16" s="1"/>
  <c r="G375" i="16" s="1"/>
  <c r="BY375" i="6" s="1"/>
  <c r="U281" i="16"/>
  <c r="T281" i="16" s="1"/>
  <c r="S281" i="16" s="1"/>
  <c r="R281" i="16" s="1"/>
  <c r="P281" i="16" s="1"/>
  <c r="V281" i="16" s="1"/>
  <c r="F281" i="16" s="1"/>
  <c r="G281" i="16" s="1"/>
  <c r="BY281" i="6" s="1"/>
  <c r="U58" i="16"/>
  <c r="T58" i="16" s="1"/>
  <c r="S58" i="16" s="1"/>
  <c r="R58" i="16" s="1"/>
  <c r="P58" i="16" s="1"/>
  <c r="V58" i="16" s="1"/>
  <c r="F58" i="16" s="1"/>
  <c r="G58" i="16" s="1"/>
  <c r="BY58" i="6" s="1"/>
  <c r="U328" i="16"/>
  <c r="T328" i="16" s="1"/>
  <c r="S328" i="16" s="1"/>
  <c r="R328" i="16" s="1"/>
  <c r="P328" i="16" s="1"/>
  <c r="V328" i="16" s="1"/>
  <c r="F328" i="16" s="1"/>
  <c r="H328" i="16" s="1"/>
  <c r="J328" i="16" s="1"/>
  <c r="U39" i="16"/>
  <c r="T39" i="16" s="1"/>
  <c r="S39" i="16" s="1"/>
  <c r="R39" i="16" s="1"/>
  <c r="P39" i="16" s="1"/>
  <c r="V39" i="16" s="1"/>
  <c r="F39" i="16" s="1"/>
  <c r="H39" i="16" s="1"/>
  <c r="U287" i="16"/>
  <c r="T287" i="16" s="1"/>
  <c r="S287" i="16" s="1"/>
  <c r="R287" i="16" s="1"/>
  <c r="P287" i="16" s="1"/>
  <c r="V287" i="16" s="1"/>
  <c r="F287" i="16" s="1"/>
  <c r="H287" i="16" s="1"/>
  <c r="U212" i="16"/>
  <c r="T212" i="16" s="1"/>
  <c r="S212" i="16" s="1"/>
  <c r="R212" i="16" s="1"/>
  <c r="P212" i="16" s="1"/>
  <c r="V212" i="16" s="1"/>
  <c r="F212" i="16" s="1"/>
  <c r="H212" i="16" s="1"/>
  <c r="U289" i="16"/>
  <c r="T289" i="16" s="1"/>
  <c r="S289" i="16" s="1"/>
  <c r="R289" i="16" s="1"/>
  <c r="P289" i="16" s="1"/>
  <c r="V289" i="16" s="1"/>
  <c r="F289" i="16" s="1"/>
  <c r="H289" i="16" s="1"/>
  <c r="U288" i="16"/>
  <c r="T288" i="16" s="1"/>
  <c r="S288" i="16" s="1"/>
  <c r="R288" i="16" s="1"/>
  <c r="P288" i="16" s="1"/>
  <c r="V288" i="16" s="1"/>
  <c r="F288" i="16" s="1"/>
  <c r="AA288" i="16" s="1"/>
  <c r="Z288" i="16" s="1"/>
  <c r="Y288" i="16" s="1"/>
  <c r="U118" i="16"/>
  <c r="T118" i="16" s="1"/>
  <c r="S118" i="16" s="1"/>
  <c r="R118" i="16" s="1"/>
  <c r="P118" i="16" s="1"/>
  <c r="V118" i="16" s="1"/>
  <c r="F118" i="16" s="1"/>
  <c r="G118" i="16" s="1"/>
  <c r="BY118" i="6" s="1"/>
  <c r="U94" i="16"/>
  <c r="T94" i="16" s="1"/>
  <c r="S94" i="16" s="1"/>
  <c r="R94" i="16" s="1"/>
  <c r="P94" i="16" s="1"/>
  <c r="V94" i="16" s="1"/>
  <c r="F94" i="16" s="1"/>
  <c r="AA94" i="16" s="1"/>
  <c r="Z94" i="16" s="1"/>
  <c r="Y94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64" i="16"/>
  <c r="T264" i="16" s="1"/>
  <c r="S264" i="16" s="1"/>
  <c r="R264" i="16" s="1"/>
  <c r="P264" i="16" s="1"/>
  <c r="V264" i="16" s="1"/>
  <c r="F264" i="16" s="1"/>
  <c r="U334" i="16"/>
  <c r="T334" i="16" s="1"/>
  <c r="S334" i="16" s="1"/>
  <c r="R334" i="16" s="1"/>
  <c r="P334" i="16" s="1"/>
  <c r="V334" i="16" s="1"/>
  <c r="F334" i="16" s="1"/>
  <c r="G334" i="16" s="1"/>
  <c r="BY334" i="6" s="1"/>
  <c r="U271" i="16"/>
  <c r="T271" i="16" s="1"/>
  <c r="S271" i="16" s="1"/>
  <c r="R271" i="16" s="1"/>
  <c r="P271" i="16" s="1"/>
  <c r="V271" i="16" s="1"/>
  <c r="F271" i="16" s="1"/>
  <c r="G271" i="16" s="1"/>
  <c r="BY271" i="6" s="1"/>
  <c r="U70" i="16"/>
  <c r="T70" i="16" s="1"/>
  <c r="S70" i="16" s="1"/>
  <c r="R70" i="16" s="1"/>
  <c r="P70" i="16" s="1"/>
  <c r="V70" i="16" s="1"/>
  <c r="F70" i="16" s="1"/>
  <c r="G70" i="16" s="1"/>
  <c r="BY70" i="6" s="1"/>
  <c r="U181" i="16"/>
  <c r="T181" i="16" s="1"/>
  <c r="S181" i="16" s="1"/>
  <c r="R181" i="16" s="1"/>
  <c r="P181" i="16" s="1"/>
  <c r="V181" i="16" s="1"/>
  <c r="F181" i="16" s="1"/>
  <c r="G181" i="16" s="1"/>
  <c r="BY181" i="6" s="1"/>
  <c r="U265" i="16"/>
  <c r="T265" i="16" s="1"/>
  <c r="S265" i="16" s="1"/>
  <c r="R265" i="16" s="1"/>
  <c r="P265" i="16" s="1"/>
  <c r="V265" i="16" s="1"/>
  <c r="F265" i="16" s="1"/>
  <c r="G265" i="16" s="1"/>
  <c r="BY265" i="6" s="1"/>
  <c r="U29" i="16"/>
  <c r="T29" i="16" s="1"/>
  <c r="S29" i="16" s="1"/>
  <c r="R29" i="16" s="1"/>
  <c r="P29" i="16" s="1"/>
  <c r="V29" i="16" s="1"/>
  <c r="U150" i="16"/>
  <c r="T150" i="16" s="1"/>
  <c r="S150" i="16" s="1"/>
  <c r="R150" i="16" s="1"/>
  <c r="P150" i="16" s="1"/>
  <c r="V150" i="16" s="1"/>
  <c r="F150" i="16" s="1"/>
  <c r="G150" i="16" s="1"/>
  <c r="BY150" i="6" s="1"/>
  <c r="U279" i="16"/>
  <c r="T279" i="16" s="1"/>
  <c r="S279" i="16" s="1"/>
  <c r="R279" i="16" s="1"/>
  <c r="P279" i="16" s="1"/>
  <c r="V279" i="16" s="1"/>
  <c r="F279" i="16" s="1"/>
  <c r="H279" i="16" s="1"/>
  <c r="U145" i="16"/>
  <c r="T145" i="16" s="1"/>
  <c r="S145" i="16" s="1"/>
  <c r="R145" i="16" s="1"/>
  <c r="P145" i="16" s="1"/>
  <c r="V145" i="16" s="1"/>
  <c r="F145" i="16" s="1"/>
  <c r="AA145" i="16" s="1"/>
  <c r="Z145" i="16" s="1"/>
  <c r="Y145" i="16" s="1"/>
  <c r="U274" i="16"/>
  <c r="T274" i="16" s="1"/>
  <c r="S274" i="16" s="1"/>
  <c r="R274" i="16" s="1"/>
  <c r="P274" i="16" s="1"/>
  <c r="V274" i="16" s="1"/>
  <c r="F274" i="16" s="1"/>
  <c r="G274" i="16" s="1"/>
  <c r="BY274" i="6" s="1"/>
  <c r="U232" i="16"/>
  <c r="T232" i="16" s="1"/>
  <c r="S232" i="16" s="1"/>
  <c r="R232" i="16" s="1"/>
  <c r="P232" i="16" s="1"/>
  <c r="V232" i="16" s="1"/>
  <c r="F232" i="16" s="1"/>
  <c r="G232" i="16" s="1"/>
  <c r="BY232" i="6" s="1"/>
  <c r="U188" i="16"/>
  <c r="T188" i="16" s="1"/>
  <c r="S188" i="16" s="1"/>
  <c r="R188" i="16" s="1"/>
  <c r="P188" i="16" s="1"/>
  <c r="V188" i="16" s="1"/>
  <c r="F188" i="16" s="1"/>
  <c r="H188" i="16" s="1"/>
  <c r="U157" i="16"/>
  <c r="T157" i="16" s="1"/>
  <c r="S157" i="16" s="1"/>
  <c r="R157" i="16" s="1"/>
  <c r="P157" i="16" s="1"/>
  <c r="V157" i="16" s="1"/>
  <c r="F157" i="16" s="1"/>
  <c r="G157" i="16" s="1"/>
  <c r="BY157" i="6" s="1"/>
  <c r="U222" i="16"/>
  <c r="T222" i="16" s="1"/>
  <c r="S222" i="16" s="1"/>
  <c r="R222" i="16" s="1"/>
  <c r="P222" i="16" s="1"/>
  <c r="V222" i="16" s="1"/>
  <c r="F222" i="16" s="1"/>
  <c r="G222" i="16" s="1"/>
  <c r="BY222" i="6" s="1"/>
  <c r="U90" i="16"/>
  <c r="T90" i="16" s="1"/>
  <c r="S90" i="16" s="1"/>
  <c r="R90" i="16" s="1"/>
  <c r="P90" i="16" s="1"/>
  <c r="V90" i="16" s="1"/>
  <c r="F90" i="16" s="1"/>
  <c r="G90" i="16" s="1"/>
  <c r="BY90" i="6" s="1"/>
  <c r="U197" i="16"/>
  <c r="T197" i="16" s="1"/>
  <c r="S197" i="16" s="1"/>
  <c r="R197" i="16" s="1"/>
  <c r="P197" i="16" s="1"/>
  <c r="V197" i="16" s="1"/>
  <c r="U296" i="16"/>
  <c r="T296" i="16" s="1"/>
  <c r="S296" i="16" s="1"/>
  <c r="R296" i="16" s="1"/>
  <c r="P296" i="16" s="1"/>
  <c r="V296" i="16" s="1"/>
  <c r="F296" i="16" s="1"/>
  <c r="H296" i="16" s="1"/>
  <c r="I296" i="16" s="1"/>
  <c r="U116" i="16"/>
  <c r="T116" i="16" s="1"/>
  <c r="S116" i="16" s="1"/>
  <c r="R116" i="16" s="1"/>
  <c r="P116" i="16" s="1"/>
  <c r="V116" i="16" s="1"/>
  <c r="F116" i="16" s="1"/>
  <c r="G116" i="16" s="1"/>
  <c r="BY116" i="6" s="1"/>
  <c r="U48" i="16"/>
  <c r="T48" i="16" s="1"/>
  <c r="S48" i="16" s="1"/>
  <c r="R48" i="16" s="1"/>
  <c r="P48" i="16" s="1"/>
  <c r="V48" i="16" s="1"/>
  <c r="F48" i="16" s="1"/>
  <c r="AA48" i="16" s="1"/>
  <c r="Z48" i="16" s="1"/>
  <c r="Y48" i="16" s="1"/>
  <c r="U143" i="16"/>
  <c r="T143" i="16" s="1"/>
  <c r="S143" i="16" s="1"/>
  <c r="R143" i="16" s="1"/>
  <c r="P143" i="16" s="1"/>
  <c r="V143" i="16" s="1"/>
  <c r="F143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196" i="16"/>
  <c r="T196" i="16" s="1"/>
  <c r="S196" i="16" s="1"/>
  <c r="R196" i="16" s="1"/>
  <c r="P196" i="16" s="1"/>
  <c r="V196" i="16" s="1"/>
  <c r="F196" i="16" s="1"/>
  <c r="G196" i="16" s="1"/>
  <c r="BY196" i="6" s="1"/>
  <c r="U250" i="16"/>
  <c r="T250" i="16" s="1"/>
  <c r="S250" i="16" s="1"/>
  <c r="R250" i="16" s="1"/>
  <c r="P250" i="16" s="1"/>
  <c r="V250" i="16" s="1"/>
  <c r="F250" i="16" s="1"/>
  <c r="H250" i="16" s="1"/>
  <c r="U208" i="16"/>
  <c r="T208" i="16" s="1"/>
  <c r="S208" i="16" s="1"/>
  <c r="R208" i="16" s="1"/>
  <c r="P208" i="16" s="1"/>
  <c r="V208" i="16" s="1"/>
  <c r="F208" i="16" s="1"/>
  <c r="G208" i="16" s="1"/>
  <c r="BY208" i="6" s="1"/>
  <c r="U106" i="16"/>
  <c r="T106" i="16" s="1"/>
  <c r="S106" i="16" s="1"/>
  <c r="R106" i="16" s="1"/>
  <c r="P106" i="16" s="1"/>
  <c r="V106" i="16" s="1"/>
  <c r="F106" i="16" s="1"/>
  <c r="U231" i="16"/>
  <c r="T231" i="16" s="1"/>
  <c r="S231" i="16" s="1"/>
  <c r="R231" i="16" s="1"/>
  <c r="P231" i="16" s="1"/>
  <c r="V231" i="16" s="1"/>
  <c r="F231" i="16" s="1"/>
  <c r="G231" i="16" s="1"/>
  <c r="BY231" i="6" s="1"/>
  <c r="U348" i="16"/>
  <c r="T348" i="16" s="1"/>
  <c r="S348" i="16" s="1"/>
  <c r="R348" i="16" s="1"/>
  <c r="P348" i="16" s="1"/>
  <c r="V348" i="16" s="1"/>
  <c r="F348" i="16" s="1"/>
  <c r="G348" i="16" s="1"/>
  <c r="BY348" i="6" s="1"/>
  <c r="U317" i="16"/>
  <c r="T317" i="16" s="1"/>
  <c r="S317" i="16" s="1"/>
  <c r="R317" i="16" s="1"/>
  <c r="P317" i="16" s="1"/>
  <c r="V317" i="16" s="1"/>
  <c r="F317" i="16" s="1"/>
  <c r="G317" i="16" s="1"/>
  <c r="BY317" i="6" s="1"/>
  <c r="U325" i="16"/>
  <c r="T325" i="16" s="1"/>
  <c r="S325" i="16" s="1"/>
  <c r="R325" i="16" s="1"/>
  <c r="P325" i="16" s="1"/>
  <c r="V325" i="16" s="1"/>
  <c r="F325" i="16" s="1"/>
  <c r="G325" i="16" s="1"/>
  <c r="BY325" i="6" s="1"/>
  <c r="U207" i="16"/>
  <c r="T207" i="16" s="1"/>
  <c r="S207" i="16" s="1"/>
  <c r="R207" i="16" s="1"/>
  <c r="P207" i="16" s="1"/>
  <c r="V207" i="16" s="1"/>
  <c r="F207" i="16" s="1"/>
  <c r="G207" i="16" s="1"/>
  <c r="BY207" i="6" s="1"/>
  <c r="U343" i="16"/>
  <c r="T343" i="16" s="1"/>
  <c r="S343" i="16" s="1"/>
  <c r="R343" i="16" s="1"/>
  <c r="P343" i="16" s="1"/>
  <c r="V343" i="16" s="1"/>
  <c r="F343" i="16" s="1"/>
  <c r="G343" i="16" s="1"/>
  <c r="BY343" i="6" s="1"/>
  <c r="U174" i="16"/>
  <c r="T174" i="16" s="1"/>
  <c r="S174" i="16" s="1"/>
  <c r="R174" i="16" s="1"/>
  <c r="P174" i="16" s="1"/>
  <c r="V174" i="16" s="1"/>
  <c r="F174" i="16" s="1"/>
  <c r="AA174" i="16" s="1"/>
  <c r="Z174" i="16" s="1"/>
  <c r="Y174" i="16" s="1"/>
  <c r="U342" i="16"/>
  <c r="T342" i="16" s="1"/>
  <c r="S342" i="16" s="1"/>
  <c r="R342" i="16" s="1"/>
  <c r="P342" i="16" s="1"/>
  <c r="V342" i="16" s="1"/>
  <c r="F342" i="16" s="1"/>
  <c r="H342" i="16" s="1"/>
  <c r="I342" i="16" s="1"/>
  <c r="U179" i="16"/>
  <c r="T179" i="16" s="1"/>
  <c r="S179" i="16" s="1"/>
  <c r="R179" i="16" s="1"/>
  <c r="P179" i="16" s="1"/>
  <c r="V179" i="16" s="1"/>
  <c r="F179" i="16" s="1"/>
  <c r="U186" i="16"/>
  <c r="T186" i="16" s="1"/>
  <c r="S186" i="16" s="1"/>
  <c r="R186" i="16" s="1"/>
  <c r="P186" i="16" s="1"/>
  <c r="V186" i="16" s="1"/>
  <c r="F186" i="16" s="1"/>
  <c r="H186" i="16" s="1"/>
  <c r="U228" i="16"/>
  <c r="T228" i="16" s="1"/>
  <c r="S228" i="16" s="1"/>
  <c r="R228" i="16" s="1"/>
  <c r="P228" i="16" s="1"/>
  <c r="V2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6" i="16"/>
  <c r="T36" i="16" s="1"/>
  <c r="S36" i="16" s="1"/>
  <c r="R36" i="16" s="1"/>
  <c r="P36" i="16" s="1"/>
  <c r="V36" i="16" s="1"/>
  <c r="F36" i="16" s="1"/>
  <c r="U67" i="16"/>
  <c r="T67" i="16" s="1"/>
  <c r="S67" i="16" s="1"/>
  <c r="R67" i="16" s="1"/>
  <c r="P67" i="16" s="1"/>
  <c r="V67" i="16" s="1"/>
  <c r="F67" i="16" s="1"/>
  <c r="H67" i="16" s="1"/>
  <c r="J67" i="16" s="1"/>
  <c r="U311" i="16"/>
  <c r="T311" i="16" s="1"/>
  <c r="S311" i="16" s="1"/>
  <c r="R311" i="16" s="1"/>
  <c r="P311" i="16" s="1"/>
  <c r="V311" i="16" s="1"/>
  <c r="F311" i="16" s="1"/>
  <c r="G311" i="16" s="1"/>
  <c r="BY311" i="6" s="1"/>
  <c r="U16" i="16"/>
  <c r="T16" i="16" s="1"/>
  <c r="S16" i="16" s="1"/>
  <c r="R16" i="16" s="1"/>
  <c r="P16" i="16" s="1"/>
  <c r="V16" i="16" s="1"/>
  <c r="F16" i="16" s="1"/>
  <c r="G16" i="16" s="1"/>
  <c r="BY16" i="6" s="1"/>
  <c r="AI136" i="16"/>
  <c r="AH136" i="16" s="1"/>
  <c r="AG136" i="16" s="1"/>
  <c r="AF136" i="16" s="1"/>
  <c r="AD136" i="16" s="1"/>
  <c r="AI237" i="16"/>
  <c r="AH237" i="16" s="1"/>
  <c r="AG237" i="16" s="1"/>
  <c r="AF237" i="16" s="1"/>
  <c r="AD237" i="16" s="1"/>
  <c r="AI132" i="16"/>
  <c r="AH132" i="16" s="1"/>
  <c r="AG132" i="16" s="1"/>
  <c r="AF132" i="16" s="1"/>
  <c r="AD132" i="16" s="1"/>
  <c r="AI41" i="16"/>
  <c r="AH41" i="16" s="1"/>
  <c r="AG41" i="16" s="1"/>
  <c r="AF41" i="16" s="1"/>
  <c r="AD41" i="16" s="1"/>
  <c r="AA41" i="16" s="1"/>
  <c r="Z41" i="16" s="1"/>
  <c r="Y41" i="16" s="1"/>
  <c r="AI43" i="16"/>
  <c r="AH43" i="16" s="1"/>
  <c r="AG43" i="16" s="1"/>
  <c r="AF43" i="16" s="1"/>
  <c r="AD43" i="16" s="1"/>
  <c r="AA43" i="16" s="1"/>
  <c r="Z43" i="16" s="1"/>
  <c r="Y43" i="16" s="1"/>
  <c r="AI291" i="16"/>
  <c r="AH291" i="16" s="1"/>
  <c r="AG291" i="16" s="1"/>
  <c r="AF291" i="16" s="1"/>
  <c r="AD291" i="16" s="1"/>
  <c r="AA291" i="16" s="1"/>
  <c r="Z291" i="16" s="1"/>
  <c r="Y291" i="16" s="1"/>
  <c r="AI68" i="16"/>
  <c r="AH68" i="16" s="1"/>
  <c r="AG68" i="16" s="1"/>
  <c r="AF68" i="16" s="1"/>
  <c r="AD68" i="16" s="1"/>
  <c r="AI21" i="16"/>
  <c r="AH21" i="16" s="1"/>
  <c r="AG21" i="16" s="1"/>
  <c r="AF21" i="16" s="1"/>
  <c r="AD21" i="16" s="1"/>
  <c r="AI200" i="16"/>
  <c r="AH200" i="16" s="1"/>
  <c r="AG200" i="16" s="1"/>
  <c r="AF200" i="16" s="1"/>
  <c r="AD200" i="16" s="1"/>
  <c r="AI56" i="16"/>
  <c r="AH56" i="16" s="1"/>
  <c r="AG56" i="16" s="1"/>
  <c r="AF56" i="16" s="1"/>
  <c r="AD56" i="16" s="1"/>
  <c r="AA56" i="16" s="1"/>
  <c r="Z56" i="16" s="1"/>
  <c r="Y56" i="16" s="1"/>
  <c r="AI206" i="16"/>
  <c r="AH206" i="16" s="1"/>
  <c r="AG206" i="16" s="1"/>
  <c r="AF206" i="16" s="1"/>
  <c r="AD206" i="16" s="1"/>
  <c r="AI187" i="16"/>
  <c r="AH187" i="16" s="1"/>
  <c r="AG187" i="16" s="1"/>
  <c r="AF187" i="16" s="1"/>
  <c r="AD187" i="16" s="1"/>
  <c r="AA187" i="16" s="1"/>
  <c r="Z187" i="16" s="1"/>
  <c r="Y187" i="16" s="1"/>
  <c r="AI186" i="16"/>
  <c r="AH186" i="16" s="1"/>
  <c r="AG186" i="16" s="1"/>
  <c r="AF186" i="16" s="1"/>
  <c r="AD186" i="16" s="1"/>
  <c r="AI348" i="16"/>
  <c r="AH348" i="16" s="1"/>
  <c r="AG348" i="16" s="1"/>
  <c r="AF348" i="16" s="1"/>
  <c r="AD348" i="16" s="1"/>
  <c r="AI374" i="16"/>
  <c r="AH374" i="16" s="1"/>
  <c r="AG374" i="16" s="1"/>
  <c r="AF374" i="16" s="1"/>
  <c r="AD374" i="16" s="1"/>
  <c r="AI268" i="16"/>
  <c r="AH268" i="16" s="1"/>
  <c r="AG268" i="16" s="1"/>
  <c r="AF268" i="16" s="1"/>
  <c r="AD268" i="16" s="1"/>
  <c r="AI349" i="16"/>
  <c r="AH349" i="16" s="1"/>
  <c r="AG349" i="16" s="1"/>
  <c r="AF349" i="16" s="1"/>
  <c r="AD349" i="16" s="1"/>
  <c r="AA349" i="16" s="1"/>
  <c r="Z349" i="16" s="1"/>
  <c r="Y349" i="16" s="1"/>
  <c r="AI293" i="16"/>
  <c r="AH293" i="16" s="1"/>
  <c r="AG293" i="16" s="1"/>
  <c r="AF293" i="16" s="1"/>
  <c r="AD293" i="16" s="1"/>
  <c r="AI64" i="16"/>
  <c r="AH64" i="16" s="1"/>
  <c r="AG64" i="16" s="1"/>
  <c r="AF64" i="16" s="1"/>
  <c r="AD64" i="16" s="1"/>
  <c r="AI213" i="16"/>
  <c r="AH213" i="16" s="1"/>
  <c r="AG213" i="16" s="1"/>
  <c r="AF213" i="16" s="1"/>
  <c r="AD213" i="16" s="1"/>
  <c r="AI177" i="16"/>
  <c r="AH177" i="16" s="1"/>
  <c r="AG177" i="16" s="1"/>
  <c r="AF177" i="16" s="1"/>
  <c r="AD177" i="16" s="1"/>
  <c r="AI176" i="16"/>
  <c r="AH176" i="16" s="1"/>
  <c r="AG176" i="16" s="1"/>
  <c r="AF176" i="16" s="1"/>
  <c r="AD176" i="16" s="1"/>
  <c r="AA176" i="16" s="1"/>
  <c r="Z176" i="16" s="1"/>
  <c r="Y176" i="16" s="1"/>
  <c r="AI376" i="16"/>
  <c r="AH376" i="16" s="1"/>
  <c r="AG376" i="16" s="1"/>
  <c r="AF376" i="16" s="1"/>
  <c r="AD376" i="16" s="1"/>
  <c r="AI335" i="16"/>
  <c r="AH335" i="16" s="1"/>
  <c r="AG335" i="16" s="1"/>
  <c r="AF335" i="16" s="1"/>
  <c r="AD335" i="16" s="1"/>
  <c r="AI126" i="16"/>
  <c r="AH126" i="16" s="1"/>
  <c r="AG126" i="16" s="1"/>
  <c r="AF126" i="16" s="1"/>
  <c r="AD126" i="16" s="1"/>
  <c r="AI350" i="16"/>
  <c r="AH350" i="16" s="1"/>
  <c r="AG350" i="16" s="1"/>
  <c r="AF350" i="16" s="1"/>
  <c r="AD350" i="16" s="1"/>
  <c r="AI40" i="16"/>
  <c r="AH40" i="16" s="1"/>
  <c r="AG40" i="16" s="1"/>
  <c r="AF40" i="16" s="1"/>
  <c r="AD40" i="16" s="1"/>
  <c r="AI188" i="16"/>
  <c r="AH188" i="16" s="1"/>
  <c r="AG188" i="16" s="1"/>
  <c r="AF188" i="16" s="1"/>
  <c r="AD188" i="16" s="1"/>
  <c r="AI224" i="16"/>
  <c r="AH224" i="16" s="1"/>
  <c r="AG224" i="16" s="1"/>
  <c r="AF224" i="16" s="1"/>
  <c r="AD224" i="16" s="1"/>
  <c r="AI298" i="16"/>
  <c r="AH298" i="16" s="1"/>
  <c r="AG298" i="16" s="1"/>
  <c r="AF298" i="16" s="1"/>
  <c r="AD298" i="16" s="1"/>
  <c r="AA298" i="16" s="1"/>
  <c r="Z298" i="16" s="1"/>
  <c r="Y298" i="16" s="1"/>
  <c r="AI223" i="16"/>
  <c r="AH223" i="16" s="1"/>
  <c r="AG223" i="16" s="1"/>
  <c r="AF223" i="16" s="1"/>
  <c r="AD223" i="16" s="1"/>
  <c r="AI175" i="16"/>
  <c r="AH175" i="16" s="1"/>
  <c r="AG175" i="16" s="1"/>
  <c r="AF175" i="16" s="1"/>
  <c r="AD175" i="16" s="1"/>
  <c r="AI289" i="16"/>
  <c r="AH289" i="16" s="1"/>
  <c r="AG289" i="16" s="1"/>
  <c r="AF289" i="16" s="1"/>
  <c r="AD289" i="16" s="1"/>
  <c r="AI113" i="16"/>
  <c r="AH113" i="16" s="1"/>
  <c r="AG113" i="16" s="1"/>
  <c r="AF113" i="16" s="1"/>
  <c r="AD113" i="16" s="1"/>
  <c r="AA113" i="16" s="1"/>
  <c r="Z113" i="16" s="1"/>
  <c r="Y113" i="16" s="1"/>
  <c r="AI182" i="16"/>
  <c r="AH182" i="16" s="1"/>
  <c r="AG182" i="16" s="1"/>
  <c r="AF182" i="16" s="1"/>
  <c r="AD182" i="16" s="1"/>
  <c r="AA182" i="16" s="1"/>
  <c r="Z182" i="16" s="1"/>
  <c r="Y182" i="16" s="1"/>
  <c r="AI135" i="16"/>
  <c r="AH135" i="16" s="1"/>
  <c r="AG135" i="16" s="1"/>
  <c r="AF135" i="16" s="1"/>
  <c r="AD135" i="16" s="1"/>
  <c r="AI362" i="16"/>
  <c r="AH362" i="16" s="1"/>
  <c r="AG362" i="16" s="1"/>
  <c r="AF362" i="16" s="1"/>
  <c r="AD362" i="16" s="1"/>
  <c r="AI356" i="16"/>
  <c r="AH356" i="16" s="1"/>
  <c r="AG356" i="16" s="1"/>
  <c r="AF356" i="16" s="1"/>
  <c r="AD356" i="16" s="1"/>
  <c r="AI117" i="16"/>
  <c r="AH117" i="16" s="1"/>
  <c r="AG117" i="16" s="1"/>
  <c r="AF117" i="16" s="1"/>
  <c r="AD117" i="16" s="1"/>
  <c r="AI95" i="16"/>
  <c r="AH95" i="16" s="1"/>
  <c r="AG95" i="16" s="1"/>
  <c r="AF95" i="16" s="1"/>
  <c r="AD95" i="16" s="1"/>
  <c r="AI24" i="16"/>
  <c r="AH24" i="16" s="1"/>
  <c r="AG24" i="16" s="1"/>
  <c r="AF24" i="16" s="1"/>
  <c r="AD24" i="16" s="1"/>
  <c r="AI301" i="16"/>
  <c r="AH301" i="16" s="1"/>
  <c r="AG301" i="16" s="1"/>
  <c r="AF301" i="16" s="1"/>
  <c r="AD301" i="16" s="1"/>
  <c r="AI262" i="16"/>
  <c r="AH262" i="16" s="1"/>
  <c r="AG262" i="16" s="1"/>
  <c r="AF262" i="16" s="1"/>
  <c r="AD262" i="16" s="1"/>
  <c r="AA262" i="16" s="1"/>
  <c r="Z262" i="16" s="1"/>
  <c r="Y262" i="16" s="1"/>
  <c r="AI278" i="16"/>
  <c r="AH278" i="16" s="1"/>
  <c r="AG278" i="16" s="1"/>
  <c r="AF278" i="16" s="1"/>
  <c r="AD278" i="16" s="1"/>
  <c r="AA278" i="16" s="1"/>
  <c r="Z278" i="16" s="1"/>
  <c r="Y278" i="16" s="1"/>
  <c r="AI229" i="16"/>
  <c r="AH229" i="16" s="1"/>
  <c r="AG229" i="16" s="1"/>
  <c r="AF229" i="16" s="1"/>
  <c r="AD229" i="16" s="1"/>
  <c r="AA229" i="16" s="1"/>
  <c r="Z229" i="16" s="1"/>
  <c r="Y229" i="16" s="1"/>
  <c r="AI285" i="16"/>
  <c r="AH285" i="16" s="1"/>
  <c r="AG285" i="16" s="1"/>
  <c r="AF285" i="16" s="1"/>
  <c r="AD285" i="16" s="1"/>
  <c r="AA285" i="16" s="1"/>
  <c r="Z285" i="16" s="1"/>
  <c r="Y285" i="16" s="1"/>
  <c r="AI247" i="16"/>
  <c r="AH247" i="16" s="1"/>
  <c r="AG247" i="16" s="1"/>
  <c r="AF247" i="16" s="1"/>
  <c r="AD247" i="16" s="1"/>
  <c r="AI208" i="16"/>
  <c r="AH208" i="16" s="1"/>
  <c r="AG208" i="16" s="1"/>
  <c r="AF208" i="16" s="1"/>
  <c r="AD208" i="16" s="1"/>
  <c r="AI25" i="16"/>
  <c r="AH25" i="16" s="1"/>
  <c r="AG25" i="16" s="1"/>
  <c r="AF25" i="16" s="1"/>
  <c r="AD25" i="16" s="1"/>
  <c r="AA25" i="16" s="1"/>
  <c r="Z25" i="16" s="1"/>
  <c r="Y25" i="16" s="1"/>
  <c r="AI108" i="16"/>
  <c r="AH108" i="16" s="1"/>
  <c r="AG108" i="16" s="1"/>
  <c r="AF108" i="16" s="1"/>
  <c r="AD108" i="16" s="1"/>
  <c r="AI372" i="16"/>
  <c r="AH372" i="16" s="1"/>
  <c r="AG372" i="16" s="1"/>
  <c r="AF372" i="16" s="1"/>
  <c r="AD372" i="16" s="1"/>
  <c r="AA372" i="16" s="1"/>
  <c r="Z372" i="16" s="1"/>
  <c r="Y372" i="16" s="1"/>
  <c r="AI83" i="16"/>
  <c r="AH83" i="16" s="1"/>
  <c r="AG83" i="16" s="1"/>
  <c r="AF83" i="16" s="1"/>
  <c r="AD83" i="16" s="1"/>
  <c r="AI304" i="16"/>
  <c r="AH304" i="16" s="1"/>
  <c r="AG304" i="16" s="1"/>
  <c r="AF304" i="16" s="1"/>
  <c r="AD304" i="16" s="1"/>
  <c r="AI320" i="16"/>
  <c r="AH320" i="16" s="1"/>
  <c r="AG320" i="16" s="1"/>
  <c r="AF320" i="16" s="1"/>
  <c r="AD320" i="16" s="1"/>
  <c r="AI111" i="16"/>
  <c r="AH111" i="16" s="1"/>
  <c r="AG111" i="16" s="1"/>
  <c r="AF111" i="16" s="1"/>
  <c r="AD111" i="16" s="1"/>
  <c r="AI303" i="16"/>
  <c r="AH303" i="16" s="1"/>
  <c r="AG303" i="16" s="1"/>
  <c r="AF303" i="16" s="1"/>
  <c r="AD303" i="16" s="1"/>
  <c r="AA303" i="16" s="1"/>
  <c r="Z303" i="16" s="1"/>
  <c r="Y303" i="16" s="1"/>
  <c r="AI62" i="16"/>
  <c r="AH62" i="16" s="1"/>
  <c r="AG62" i="16" s="1"/>
  <c r="AF62" i="16" s="1"/>
  <c r="AD62" i="16" s="1"/>
  <c r="AI184" i="16"/>
  <c r="AH184" i="16" s="1"/>
  <c r="AG184" i="16" s="1"/>
  <c r="AF184" i="16" s="1"/>
  <c r="AD184" i="16" s="1"/>
  <c r="AI33" i="16"/>
  <c r="AH33" i="16" s="1"/>
  <c r="AG33" i="16" s="1"/>
  <c r="AF33" i="16" s="1"/>
  <c r="AD33" i="16" s="1"/>
  <c r="AI34" i="16"/>
  <c r="AH34" i="16" s="1"/>
  <c r="AG34" i="16" s="1"/>
  <c r="AF34" i="16" s="1"/>
  <c r="AD34" i="16" s="1"/>
  <c r="AI220" i="16"/>
  <c r="AH220" i="16" s="1"/>
  <c r="AG220" i="16" s="1"/>
  <c r="AF220" i="16" s="1"/>
  <c r="AD220" i="16" s="1"/>
  <c r="AA220" i="16" s="1"/>
  <c r="Z220" i="16" s="1"/>
  <c r="Y220" i="16" s="1"/>
  <c r="AI26" i="16"/>
  <c r="AH26" i="16" s="1"/>
  <c r="AG26" i="16" s="1"/>
  <c r="AF26" i="16" s="1"/>
  <c r="AD26" i="16" s="1"/>
  <c r="AA26" i="16" s="1"/>
  <c r="Z26" i="16" s="1"/>
  <c r="Y26" i="16" s="1"/>
  <c r="AI221" i="16"/>
  <c r="AH221" i="16" s="1"/>
  <c r="AG221" i="16" s="1"/>
  <c r="AF221" i="16" s="1"/>
  <c r="AD221" i="16" s="1"/>
  <c r="AI80" i="16"/>
  <c r="AH80" i="16" s="1"/>
  <c r="AG80" i="16" s="1"/>
  <c r="AF80" i="16" s="1"/>
  <c r="AD80" i="16" s="1"/>
  <c r="AA80" i="16" s="1"/>
  <c r="Z80" i="16" s="1"/>
  <c r="Y80" i="16" s="1"/>
  <c r="AI199" i="16"/>
  <c r="AH199" i="16" s="1"/>
  <c r="AG199" i="16" s="1"/>
  <c r="AF199" i="16" s="1"/>
  <c r="AD199" i="16" s="1"/>
  <c r="AA199" i="16" s="1"/>
  <c r="Z199" i="16" s="1"/>
  <c r="Y199" i="16" s="1"/>
  <c r="AI366" i="16"/>
  <c r="AH366" i="16" s="1"/>
  <c r="AG366" i="16" s="1"/>
  <c r="AF366" i="16" s="1"/>
  <c r="AD366" i="16" s="1"/>
  <c r="AI60" i="16"/>
  <c r="AH60" i="16" s="1"/>
  <c r="AG60" i="16" s="1"/>
  <c r="AF60" i="16" s="1"/>
  <c r="AD60" i="16" s="1"/>
  <c r="AI259" i="16"/>
  <c r="AH259" i="16" s="1"/>
  <c r="AG259" i="16" s="1"/>
  <c r="AF259" i="16" s="1"/>
  <c r="AD259" i="16" s="1"/>
  <c r="AI23" i="16"/>
  <c r="AH23" i="16" s="1"/>
  <c r="AG23" i="16" s="1"/>
  <c r="AF23" i="16" s="1"/>
  <c r="AD23" i="16" s="1"/>
  <c r="AA23" i="16" s="1"/>
  <c r="Z23" i="16" s="1"/>
  <c r="Y23" i="16" s="1"/>
  <c r="AI218" i="16"/>
  <c r="AH218" i="16" s="1"/>
  <c r="AG218" i="16" s="1"/>
  <c r="AF218" i="16" s="1"/>
  <c r="AD218" i="16" s="1"/>
  <c r="AI196" i="16"/>
  <c r="AH196" i="16" s="1"/>
  <c r="AG196" i="16" s="1"/>
  <c r="AF196" i="16" s="1"/>
  <c r="AD196" i="16" s="1"/>
  <c r="AI357" i="16"/>
  <c r="AH357" i="16" s="1"/>
  <c r="AG357" i="16" s="1"/>
  <c r="AF357" i="16" s="1"/>
  <c r="AD357" i="16" s="1"/>
  <c r="AI281" i="16"/>
  <c r="AH281" i="16" s="1"/>
  <c r="AG281" i="16" s="1"/>
  <c r="AF281" i="16" s="1"/>
  <c r="AD281" i="16" s="1"/>
  <c r="AI239" i="16"/>
  <c r="AH239" i="16" s="1"/>
  <c r="AG239" i="16" s="1"/>
  <c r="AF239" i="16" s="1"/>
  <c r="AD239" i="16" s="1"/>
  <c r="AA239" i="16" s="1"/>
  <c r="Z239" i="16" s="1"/>
  <c r="Y239" i="16" s="1"/>
  <c r="AI233" i="16"/>
  <c r="AH233" i="16" s="1"/>
  <c r="AG233" i="16" s="1"/>
  <c r="AF233" i="16" s="1"/>
  <c r="AD233" i="16" s="1"/>
  <c r="AA233" i="16" s="1"/>
  <c r="Z233" i="16" s="1"/>
  <c r="Y233" i="16" s="1"/>
  <c r="AI280" i="16"/>
  <c r="AH280" i="16" s="1"/>
  <c r="AG280" i="16" s="1"/>
  <c r="AF280" i="16" s="1"/>
  <c r="AD280" i="16" s="1"/>
  <c r="AI189" i="16"/>
  <c r="AH189" i="16" s="1"/>
  <c r="AG189" i="16" s="1"/>
  <c r="AF189" i="16" s="1"/>
  <c r="AD189" i="16" s="1"/>
  <c r="AI16" i="16"/>
  <c r="AH16" i="16" s="1"/>
  <c r="AG16" i="16" s="1"/>
  <c r="AF16" i="16" s="1"/>
  <c r="AD16" i="16" s="1"/>
  <c r="AI183" i="16"/>
  <c r="AH183" i="16" s="1"/>
  <c r="AG183" i="16" s="1"/>
  <c r="AF183" i="16" s="1"/>
  <c r="AD183" i="16" s="1"/>
  <c r="AI50" i="16"/>
  <c r="AH50" i="16" s="1"/>
  <c r="AG50" i="16" s="1"/>
  <c r="AF50" i="16" s="1"/>
  <c r="AD50" i="16" s="1"/>
  <c r="AI197" i="16"/>
  <c r="AH197" i="16" s="1"/>
  <c r="AG197" i="16" s="1"/>
  <c r="AF197" i="16" s="1"/>
  <c r="AD197" i="16" s="1"/>
  <c r="AI147" i="16"/>
  <c r="AH147" i="16" s="1"/>
  <c r="AG147" i="16" s="1"/>
  <c r="AF147" i="16" s="1"/>
  <c r="AD147" i="16" s="1"/>
  <c r="AI263" i="16"/>
  <c r="AH263" i="16" s="1"/>
  <c r="AG263" i="16" s="1"/>
  <c r="AF263" i="16" s="1"/>
  <c r="AD263" i="16" s="1"/>
  <c r="AA263" i="16" s="1"/>
  <c r="Z263" i="16" s="1"/>
  <c r="Y263" i="16" s="1"/>
  <c r="AI191" i="16"/>
  <c r="AH191" i="16" s="1"/>
  <c r="AG191" i="16" s="1"/>
  <c r="AF191" i="16" s="1"/>
  <c r="AD191" i="16" s="1"/>
  <c r="AA191" i="16" s="1"/>
  <c r="Z191" i="16" s="1"/>
  <c r="Y191" i="16" s="1"/>
  <c r="AI310" i="16"/>
  <c r="AH310" i="16" s="1"/>
  <c r="AG310" i="16" s="1"/>
  <c r="AF310" i="16" s="1"/>
  <c r="AD310" i="16" s="1"/>
  <c r="AA310" i="16" s="1"/>
  <c r="Z310" i="16" s="1"/>
  <c r="Y310" i="16" s="1"/>
  <c r="AI141" i="16"/>
  <c r="AH141" i="16" s="1"/>
  <c r="AG141" i="16" s="1"/>
  <c r="AF141" i="16" s="1"/>
  <c r="AD141" i="16" s="1"/>
  <c r="AI316" i="16"/>
  <c r="AH316" i="16" s="1"/>
  <c r="AG316" i="16" s="1"/>
  <c r="AF316" i="16" s="1"/>
  <c r="AD316" i="16" s="1"/>
  <c r="AI194" i="16"/>
  <c r="AH194" i="16" s="1"/>
  <c r="AG194" i="16" s="1"/>
  <c r="AF194" i="16" s="1"/>
  <c r="AD194" i="16" s="1"/>
  <c r="AI74" i="16"/>
  <c r="AH74" i="16" s="1"/>
  <c r="AG74" i="16" s="1"/>
  <c r="AF74" i="16" s="1"/>
  <c r="AD74" i="16" s="1"/>
  <c r="AA74" i="16" s="1"/>
  <c r="Z74" i="16" s="1"/>
  <c r="Y74" i="16" s="1"/>
  <c r="AI214" i="16"/>
  <c r="AH214" i="16" s="1"/>
  <c r="AG214" i="16" s="1"/>
  <c r="AF214" i="16" s="1"/>
  <c r="AD214" i="16" s="1"/>
  <c r="AI44" i="16"/>
  <c r="AH44" i="16" s="1"/>
  <c r="AG44" i="16" s="1"/>
  <c r="AF44" i="16" s="1"/>
  <c r="AD44" i="16" s="1"/>
  <c r="AA44" i="16" s="1"/>
  <c r="Z44" i="16" s="1"/>
  <c r="Y44" i="16" s="1"/>
  <c r="AI340" i="16"/>
  <c r="AH340" i="16" s="1"/>
  <c r="AG340" i="16" s="1"/>
  <c r="AF340" i="16" s="1"/>
  <c r="AD340" i="16" s="1"/>
  <c r="AI109" i="16"/>
  <c r="AH109" i="16" s="1"/>
  <c r="AG109" i="16" s="1"/>
  <c r="AF109" i="16" s="1"/>
  <c r="AD109" i="16" s="1"/>
  <c r="AI323" i="16"/>
  <c r="AH323" i="16" s="1"/>
  <c r="AG323" i="16" s="1"/>
  <c r="AF323" i="16" s="1"/>
  <c r="AD323" i="16" s="1"/>
  <c r="AI76" i="16"/>
  <c r="AH76" i="16" s="1"/>
  <c r="AG76" i="16" s="1"/>
  <c r="AF76" i="16" s="1"/>
  <c r="AD76" i="16" s="1"/>
  <c r="AI343" i="16"/>
  <c r="AH343" i="16" s="1"/>
  <c r="AG343" i="16" s="1"/>
  <c r="AF343" i="16" s="1"/>
  <c r="AD343" i="16" s="1"/>
  <c r="AI258" i="16"/>
  <c r="AH258" i="16" s="1"/>
  <c r="AG258" i="16" s="1"/>
  <c r="AF258" i="16" s="1"/>
  <c r="AD258" i="16" s="1"/>
  <c r="AA258" i="16" s="1"/>
  <c r="Z258" i="16" s="1"/>
  <c r="Y258" i="16" s="1"/>
  <c r="AI73" i="16"/>
  <c r="AH73" i="16" s="1"/>
  <c r="AG73" i="16" s="1"/>
  <c r="AF73" i="16" s="1"/>
  <c r="AD73" i="16" s="1"/>
  <c r="AI166" i="16"/>
  <c r="AH166" i="16" s="1"/>
  <c r="AG166" i="16" s="1"/>
  <c r="AF166" i="16" s="1"/>
  <c r="AD166" i="16" s="1"/>
  <c r="AI324" i="16"/>
  <c r="AH324" i="16" s="1"/>
  <c r="AG324" i="16" s="1"/>
  <c r="AF324" i="16" s="1"/>
  <c r="AD324" i="16" s="1"/>
  <c r="AA324" i="16" s="1"/>
  <c r="Z324" i="16" s="1"/>
  <c r="Y324" i="16" s="1"/>
  <c r="AI283" i="16"/>
  <c r="AH283" i="16" s="1"/>
  <c r="AG283" i="16" s="1"/>
  <c r="AF283" i="16" s="1"/>
  <c r="AD283" i="16" s="1"/>
  <c r="AA283" i="16" s="1"/>
  <c r="Z283" i="16" s="1"/>
  <c r="Y283" i="16" s="1"/>
  <c r="AI325" i="16"/>
  <c r="AH325" i="16" s="1"/>
  <c r="AG325" i="16" s="1"/>
  <c r="AF325" i="16" s="1"/>
  <c r="AD325" i="16" s="1"/>
  <c r="AI181" i="16"/>
  <c r="AH181" i="16" s="1"/>
  <c r="AG181" i="16" s="1"/>
  <c r="AF181" i="16" s="1"/>
  <c r="AD181" i="16" s="1"/>
  <c r="AI144" i="16"/>
  <c r="AH144" i="16" s="1"/>
  <c r="AG144" i="16" s="1"/>
  <c r="AF144" i="16" s="1"/>
  <c r="AD144" i="16" s="1"/>
  <c r="AA144" i="16" s="1"/>
  <c r="Z144" i="16" s="1"/>
  <c r="Y144" i="16" s="1"/>
  <c r="AI125" i="16"/>
  <c r="AH125" i="16" s="1"/>
  <c r="AG125" i="16" s="1"/>
  <c r="AF125" i="16" s="1"/>
  <c r="AD125" i="16" s="1"/>
  <c r="AI311" i="16"/>
  <c r="AH311" i="16" s="1"/>
  <c r="AG311" i="16" s="1"/>
  <c r="AF311" i="16" s="1"/>
  <c r="AD311" i="16" s="1"/>
  <c r="AI370" i="16"/>
  <c r="AH370" i="16" s="1"/>
  <c r="AG370" i="16" s="1"/>
  <c r="AF370" i="16" s="1"/>
  <c r="AD370" i="16" s="1"/>
  <c r="AI148" i="16"/>
  <c r="AH148" i="16" s="1"/>
  <c r="AG148" i="16" s="1"/>
  <c r="AF148" i="16" s="1"/>
  <c r="AD148" i="16" s="1"/>
  <c r="AI321" i="16"/>
  <c r="AH321" i="16" s="1"/>
  <c r="AG321" i="16" s="1"/>
  <c r="AF321" i="16" s="1"/>
  <c r="AD321" i="16" s="1"/>
  <c r="AA321" i="16" s="1"/>
  <c r="Z321" i="16" s="1"/>
  <c r="Y321" i="16" s="1"/>
  <c r="AI112" i="16"/>
  <c r="AH112" i="16" s="1"/>
  <c r="AG112" i="16" s="1"/>
  <c r="AF112" i="16" s="1"/>
  <c r="AD112" i="16" s="1"/>
  <c r="AI129" i="16"/>
  <c r="AH129" i="16" s="1"/>
  <c r="AG129" i="16" s="1"/>
  <c r="AF129" i="16" s="1"/>
  <c r="AD129" i="16" s="1"/>
  <c r="AI133" i="16"/>
  <c r="AH133" i="16" s="1"/>
  <c r="AG133" i="16" s="1"/>
  <c r="AF133" i="16" s="1"/>
  <c r="AD133" i="16" s="1"/>
  <c r="AI377" i="16"/>
  <c r="AH377" i="16" s="1"/>
  <c r="AG377" i="16" s="1"/>
  <c r="AF377" i="16" s="1"/>
  <c r="AD377" i="16" s="1"/>
  <c r="AI250" i="16"/>
  <c r="AH250" i="16" s="1"/>
  <c r="AG250" i="16" s="1"/>
  <c r="AF250" i="16" s="1"/>
  <c r="AD250" i="16" s="1"/>
  <c r="AA250" i="16" s="1"/>
  <c r="Z250" i="16" s="1"/>
  <c r="Y250" i="16" s="1"/>
  <c r="AI327" i="16"/>
  <c r="AH327" i="16" s="1"/>
  <c r="AG327" i="16" s="1"/>
  <c r="AF327" i="16" s="1"/>
  <c r="AD327" i="16" s="1"/>
  <c r="AI146" i="16"/>
  <c r="AH146" i="16" s="1"/>
  <c r="AG146" i="16" s="1"/>
  <c r="AF146" i="16" s="1"/>
  <c r="AD146" i="16" s="1"/>
  <c r="AI66" i="16"/>
  <c r="AH66" i="16" s="1"/>
  <c r="AG66" i="16" s="1"/>
  <c r="AF66" i="16" s="1"/>
  <c r="AD66" i="16" s="1"/>
  <c r="AI138" i="16"/>
  <c r="AH138" i="16" s="1"/>
  <c r="AG138" i="16" s="1"/>
  <c r="AF138" i="16" s="1"/>
  <c r="AD138" i="16" s="1"/>
  <c r="AI275" i="16"/>
  <c r="AH275" i="16" s="1"/>
  <c r="AG275" i="16" s="1"/>
  <c r="AF275" i="16" s="1"/>
  <c r="AD275" i="16" s="1"/>
  <c r="AI72" i="16"/>
  <c r="AH72" i="16" s="1"/>
  <c r="AG72" i="16" s="1"/>
  <c r="AF72" i="16" s="1"/>
  <c r="AD72" i="16" s="1"/>
  <c r="AI75" i="16"/>
  <c r="AH75" i="16" s="1"/>
  <c r="AG75" i="16" s="1"/>
  <c r="AF75" i="16" s="1"/>
  <c r="AD75" i="16" s="1"/>
  <c r="AI58" i="16"/>
  <c r="AH58" i="16" s="1"/>
  <c r="AG58" i="16" s="1"/>
  <c r="AF58" i="16" s="1"/>
  <c r="AD58" i="16" s="1"/>
  <c r="AI276" i="16"/>
  <c r="AH276" i="16" s="1"/>
  <c r="AG276" i="16" s="1"/>
  <c r="AF276" i="16" s="1"/>
  <c r="AD276" i="16" s="1"/>
  <c r="U210" i="16"/>
  <c r="T210" i="16" s="1"/>
  <c r="S210" i="16" s="1"/>
  <c r="R210" i="16" s="1"/>
  <c r="P210" i="16" s="1"/>
  <c r="D50" i="7" s="1"/>
  <c r="U38" i="16"/>
  <c r="T38" i="16" s="1"/>
  <c r="S38" i="16" s="1"/>
  <c r="R38" i="16" s="1"/>
  <c r="P38" i="16" s="1"/>
  <c r="V38" i="16" s="1"/>
  <c r="F38" i="16" s="1"/>
  <c r="G38" i="16" s="1"/>
  <c r="BY38" i="6" s="1"/>
  <c r="U380" i="16"/>
  <c r="T380" i="16" s="1"/>
  <c r="S380" i="16" s="1"/>
  <c r="R380" i="16" s="1"/>
  <c r="P380" i="16" s="1"/>
  <c r="V380" i="16" s="1"/>
  <c r="F380" i="16" s="1"/>
  <c r="H380" i="16" s="1"/>
  <c r="U160" i="16"/>
  <c r="T160" i="16" s="1"/>
  <c r="S160" i="16" s="1"/>
  <c r="R160" i="16" s="1"/>
  <c r="P160" i="16" s="1"/>
  <c r="V160" i="16" s="1"/>
  <c r="F160" i="16" s="1"/>
  <c r="G160" i="16" s="1"/>
  <c r="BY160" i="6" s="1"/>
  <c r="U178" i="16"/>
  <c r="T178" i="16" s="1"/>
  <c r="S178" i="16" s="1"/>
  <c r="R178" i="16" s="1"/>
  <c r="P178" i="16" s="1"/>
  <c r="V178" i="16" s="1"/>
  <c r="F178" i="16" s="1"/>
  <c r="G178" i="16" s="1"/>
  <c r="BY178" i="6" s="1"/>
  <c r="U119" i="16"/>
  <c r="T119" i="16" s="1"/>
  <c r="S119" i="16" s="1"/>
  <c r="R119" i="16" s="1"/>
  <c r="P119" i="16" s="1"/>
  <c r="D47" i="7" s="1"/>
  <c r="U111" i="16"/>
  <c r="T111" i="16" s="1"/>
  <c r="S111" i="16" s="1"/>
  <c r="R111" i="16" s="1"/>
  <c r="P111" i="16" s="1"/>
  <c r="V111" i="16" s="1"/>
  <c r="F111" i="16" s="1"/>
  <c r="G111" i="16" s="1"/>
  <c r="BY111" i="6" s="1"/>
  <c r="U236" i="16"/>
  <c r="T236" i="16" s="1"/>
  <c r="S236" i="16" s="1"/>
  <c r="R236" i="16" s="1"/>
  <c r="P236" i="16" s="1"/>
  <c r="V236" i="16" s="1"/>
  <c r="F236" i="16" s="1"/>
  <c r="U275" i="16"/>
  <c r="T275" i="16" s="1"/>
  <c r="S275" i="16" s="1"/>
  <c r="R275" i="16" s="1"/>
  <c r="P275" i="16" s="1"/>
  <c r="V275" i="16" s="1"/>
  <c r="F275" i="16" s="1"/>
  <c r="G275" i="16" s="1"/>
  <c r="BY275" i="6" s="1"/>
  <c r="U124" i="16"/>
  <c r="T124" i="16" s="1"/>
  <c r="S124" i="16" s="1"/>
  <c r="R124" i="16" s="1"/>
  <c r="P124" i="16" s="1"/>
  <c r="V124" i="16" s="1"/>
  <c r="F124" i="16" s="1"/>
  <c r="G124" i="16" s="1"/>
  <c r="BY124" i="6" s="1"/>
  <c r="U249" i="16"/>
  <c r="T249" i="16" s="1"/>
  <c r="S249" i="16" s="1"/>
  <c r="R249" i="16" s="1"/>
  <c r="P249" i="16" s="1"/>
  <c r="V249" i="16" s="1"/>
  <c r="F249" i="16" s="1"/>
  <c r="AA249" i="16" s="1"/>
  <c r="Z249" i="16" s="1"/>
  <c r="Y249" i="16" s="1"/>
  <c r="U245" i="16"/>
  <c r="T245" i="16" s="1"/>
  <c r="S245" i="16" s="1"/>
  <c r="R245" i="16" s="1"/>
  <c r="P245" i="16" s="1"/>
  <c r="V245" i="16" s="1"/>
  <c r="F245" i="16" s="1"/>
  <c r="G245" i="16" s="1"/>
  <c r="BY245" i="6" s="1"/>
  <c r="U54" i="16"/>
  <c r="T54" i="16" s="1"/>
  <c r="S54" i="16" s="1"/>
  <c r="R54" i="16" s="1"/>
  <c r="P54" i="16" s="1"/>
  <c r="V54" i="16" s="1"/>
  <c r="F54" i="16" s="1"/>
  <c r="AA54" i="16" s="1"/>
  <c r="Z54" i="16" s="1"/>
  <c r="Y54" i="16" s="1"/>
  <c r="U377" i="16"/>
  <c r="T377" i="16" s="1"/>
  <c r="S377" i="16" s="1"/>
  <c r="R377" i="16" s="1"/>
  <c r="P377" i="16" s="1"/>
  <c r="V377" i="16" s="1"/>
  <c r="F377" i="16" s="1"/>
  <c r="G377" i="16" s="1"/>
  <c r="BY377" i="6" s="1"/>
  <c r="U286" i="16"/>
  <c r="T286" i="16" s="1"/>
  <c r="S286" i="16" s="1"/>
  <c r="R286" i="16" s="1"/>
  <c r="P286" i="16" s="1"/>
  <c r="V286" i="16" s="1"/>
  <c r="F286" i="16" s="1"/>
  <c r="U96" i="16"/>
  <c r="T96" i="16" s="1"/>
  <c r="S96" i="16" s="1"/>
  <c r="R96" i="16" s="1"/>
  <c r="P96" i="16" s="1"/>
  <c r="V96" i="16" s="1"/>
  <c r="F96" i="16" s="1"/>
  <c r="H96" i="16" s="1"/>
  <c r="I96" i="16" s="1"/>
  <c r="U238" i="16"/>
  <c r="T238" i="16" s="1"/>
  <c r="S238" i="16" s="1"/>
  <c r="R238" i="16" s="1"/>
  <c r="P238" i="16" s="1"/>
  <c r="V238" i="16" s="1"/>
  <c r="F238" i="16" s="1"/>
  <c r="H238" i="16" s="1"/>
  <c r="U68" i="16"/>
  <c r="T68" i="16" s="1"/>
  <c r="S68" i="16" s="1"/>
  <c r="R68" i="16" s="1"/>
  <c r="P68" i="16" s="1"/>
  <c r="V68" i="16" s="1"/>
  <c r="F68" i="16" s="1"/>
  <c r="H68" i="16" s="1"/>
  <c r="U359" i="16"/>
  <c r="T359" i="16" s="1"/>
  <c r="S359" i="16" s="1"/>
  <c r="R359" i="16" s="1"/>
  <c r="P359" i="16" s="1"/>
  <c r="V359" i="16" s="1"/>
  <c r="F359" i="16" s="1"/>
  <c r="H359" i="16" s="1"/>
  <c r="U269" i="16"/>
  <c r="T269" i="16" s="1"/>
  <c r="S269" i="16" s="1"/>
  <c r="R269" i="16" s="1"/>
  <c r="P269" i="16" s="1"/>
  <c r="V269" i="16" s="1"/>
  <c r="F269" i="16" s="1"/>
  <c r="U225" i="16"/>
  <c r="T225" i="16" s="1"/>
  <c r="S225" i="16" s="1"/>
  <c r="R225" i="16" s="1"/>
  <c r="P225" i="16" s="1"/>
  <c r="V225" i="16" s="1"/>
  <c r="F225" i="16" s="1"/>
  <c r="G225" i="16" s="1"/>
  <c r="BY225" i="6" s="1"/>
  <c r="U336" i="16"/>
  <c r="T336" i="16" s="1"/>
  <c r="S336" i="16" s="1"/>
  <c r="R336" i="16" s="1"/>
  <c r="P336" i="16" s="1"/>
  <c r="V336" i="16" s="1"/>
  <c r="F336" i="16" s="1"/>
  <c r="G336" i="16" s="1"/>
  <c r="BY336" i="6" s="1"/>
  <c r="U120" i="16"/>
  <c r="T120" i="16" s="1"/>
  <c r="S120" i="16" s="1"/>
  <c r="R120" i="16" s="1"/>
  <c r="P120" i="16" s="1"/>
  <c r="V120" i="16" s="1"/>
  <c r="F120" i="16" s="1"/>
  <c r="H120" i="16" s="1"/>
  <c r="U97" i="16"/>
  <c r="T97" i="16" s="1"/>
  <c r="S97" i="16" s="1"/>
  <c r="R97" i="16" s="1"/>
  <c r="P97" i="16" s="1"/>
  <c r="V97" i="16" s="1"/>
  <c r="F97" i="16" s="1"/>
  <c r="G97" i="16" s="1"/>
  <c r="BY97" i="6" s="1"/>
  <c r="U103" i="16"/>
  <c r="T103" i="16" s="1"/>
  <c r="S103" i="16" s="1"/>
  <c r="R103" i="16" s="1"/>
  <c r="P103" i="16" s="1"/>
  <c r="V103" i="16" s="1"/>
  <c r="F103" i="16" s="1"/>
  <c r="G103" i="16" s="1"/>
  <c r="BY103" i="6" s="1"/>
  <c r="E8" i="22"/>
  <c r="K17" i="19" s="1"/>
  <c r="K41" i="19" s="1"/>
  <c r="E7" i="22"/>
  <c r="G382" i="1"/>
  <c r="BW239" i="6"/>
  <c r="J33" i="15"/>
  <c r="AA92" i="15"/>
  <c r="Z92" i="15" s="1"/>
  <c r="Y92" i="15" s="1"/>
  <c r="I150" i="15"/>
  <c r="I44" i="15"/>
  <c r="I100" i="15"/>
  <c r="H100" i="16" s="1"/>
  <c r="D11" i="19"/>
  <c r="G35" i="19"/>
  <c r="H363" i="15"/>
  <c r="J363" i="15" s="1"/>
  <c r="BJ15" i="7"/>
  <c r="BL11" i="7"/>
  <c r="BK11" i="7"/>
  <c r="P10" i="24"/>
  <c r="L19" i="19"/>
  <c r="AK47" i="25"/>
  <c r="AK81" i="25"/>
  <c r="AK151" i="25"/>
  <c r="AK143" i="25"/>
  <c r="AK200" i="25"/>
  <c r="AK206" i="25"/>
  <c r="AK263" i="25"/>
  <c r="AK219" i="25"/>
  <c r="AK282" i="25"/>
  <c r="AK353" i="25"/>
  <c r="AK361" i="25"/>
  <c r="AK44" i="25"/>
  <c r="AK54" i="25"/>
  <c r="AK113" i="25"/>
  <c r="AK110" i="25"/>
  <c r="AK140" i="25"/>
  <c r="AK199" i="25"/>
  <c r="AK236" i="25"/>
  <c r="AK298" i="25"/>
  <c r="AK250" i="25"/>
  <c r="AK317" i="25"/>
  <c r="AK324" i="25"/>
  <c r="AK66" i="25"/>
  <c r="AK157" i="25"/>
  <c r="AK228" i="25"/>
  <c r="AK290" i="25"/>
  <c r="AK303" i="25"/>
  <c r="AK46" i="25"/>
  <c r="AK135" i="25"/>
  <c r="AK186" i="25"/>
  <c r="AK254" i="25"/>
  <c r="AK272" i="25"/>
  <c r="AK341" i="25"/>
  <c r="AK32" i="25"/>
  <c r="AK99" i="25"/>
  <c r="AK210" i="25"/>
  <c r="AK285" i="25"/>
  <c r="AK295" i="25"/>
  <c r="AK30" i="25"/>
  <c r="AK77" i="25"/>
  <c r="AK118" i="25"/>
  <c r="AK182" i="25"/>
  <c r="AK267" i="25"/>
  <c r="AK334" i="25"/>
  <c r="AK16" i="25"/>
  <c r="AK52" i="25"/>
  <c r="AK73" i="25"/>
  <c r="AK139" i="25"/>
  <c r="AK131" i="25"/>
  <c r="AK193" i="25"/>
  <c r="AK195" i="25"/>
  <c r="AK231" i="25"/>
  <c r="AK294" i="25"/>
  <c r="AK243" i="25"/>
  <c r="AK345" i="25"/>
  <c r="AK349" i="25"/>
  <c r="AK37" i="25"/>
  <c r="AK35" i="25"/>
  <c r="AK92" i="25"/>
  <c r="AK106" i="25"/>
  <c r="AK158" i="25"/>
  <c r="AK164" i="25"/>
  <c r="AK194" i="25"/>
  <c r="AK256" i="25"/>
  <c r="AK321" i="25"/>
  <c r="AK275" i="25"/>
  <c r="AK370" i="25"/>
  <c r="AK348" i="25"/>
  <c r="AK60" i="25"/>
  <c r="AK145" i="25"/>
  <c r="AK202" i="25"/>
  <c r="AK222" i="25"/>
  <c r="AK355" i="25"/>
  <c r="AK48" i="25"/>
  <c r="AK121" i="25"/>
  <c r="AK170" i="25"/>
  <c r="AK240" i="25"/>
  <c r="AK305" i="25"/>
  <c r="AK320" i="25"/>
  <c r="AK15" i="25"/>
  <c r="AK142" i="25"/>
  <c r="AK198" i="25"/>
  <c r="AK261" i="25"/>
  <c r="AK280" i="25"/>
  <c r="AK351" i="25"/>
  <c r="AK41" i="25"/>
  <c r="AK101" i="25"/>
  <c r="AK166" i="25"/>
  <c r="AK296" i="25"/>
  <c r="AK311" i="25"/>
  <c r="AK33" i="25"/>
  <c r="AK45" i="25"/>
  <c r="AK64" i="25"/>
  <c r="AK68" i="25"/>
  <c r="AK97" i="25"/>
  <c r="AK134" i="25"/>
  <c r="AK103" i="25"/>
  <c r="AK122" i="25"/>
  <c r="AK154" i="25"/>
  <c r="AK185" i="25"/>
  <c r="AK156" i="25"/>
  <c r="AK189" i="25"/>
  <c r="AK226" i="25"/>
  <c r="AK252" i="25"/>
  <c r="AK288" i="25"/>
  <c r="AK315" i="25"/>
  <c r="AK234" i="25"/>
  <c r="AK271" i="25"/>
  <c r="AK300" i="25"/>
  <c r="AK338" i="25"/>
  <c r="AK364" i="25"/>
  <c r="AK340" i="25"/>
  <c r="AK376" i="25"/>
  <c r="AK28" i="25"/>
  <c r="AK42" i="25"/>
  <c r="AK62" i="25"/>
  <c r="AK67" i="25"/>
  <c r="AK96" i="25"/>
  <c r="AK133" i="25"/>
  <c r="AK100" i="25"/>
  <c r="AK120" i="25"/>
  <c r="AK152" i="25"/>
  <c r="AK184" i="25"/>
  <c r="AK153" i="25"/>
  <c r="AK187" i="25"/>
  <c r="AK220" i="25"/>
  <c r="AK251" i="25"/>
  <c r="AK286" i="25"/>
  <c r="AK314" i="25"/>
  <c r="AK233" i="25"/>
  <c r="AK270" i="25"/>
  <c r="AK299" i="25"/>
  <c r="AK335" i="25"/>
  <c r="AK362" i="25"/>
  <c r="AK337" i="25"/>
  <c r="AK374" i="25"/>
  <c r="AK50" i="25"/>
  <c r="AK70" i="25"/>
  <c r="AK137" i="25"/>
  <c r="AK125" i="25"/>
  <c r="AK188" i="25"/>
  <c r="AK191" i="25"/>
  <c r="AK255" i="25"/>
  <c r="AK318" i="25"/>
  <c r="AK273" i="25"/>
  <c r="AK342" i="25"/>
  <c r="AK343" i="25"/>
  <c r="AK34" i="25"/>
  <c r="AK65" i="25"/>
  <c r="AK88" i="25"/>
  <c r="AK104" i="25"/>
  <c r="AK155" i="25"/>
  <c r="AK160" i="25"/>
  <c r="AK227" i="25"/>
  <c r="AK289" i="25"/>
  <c r="AK237" i="25"/>
  <c r="AK301" i="25"/>
  <c r="AK367" i="25"/>
  <c r="AK378" i="25"/>
  <c r="AK31" i="25"/>
  <c r="AK80" i="25"/>
  <c r="AK129" i="25"/>
  <c r="AK119" i="25"/>
  <c r="AK181" i="25"/>
  <c r="AK183" i="25"/>
  <c r="AK249" i="25"/>
  <c r="AK312" i="25"/>
  <c r="AK269" i="25"/>
  <c r="AK332" i="25"/>
  <c r="AK336" i="25"/>
  <c r="AK17" i="25"/>
  <c r="AK29" i="25"/>
  <c r="AK89" i="25"/>
  <c r="AK95" i="25"/>
  <c r="AK149" i="25"/>
  <c r="AK209" i="25"/>
  <c r="AK216" i="25"/>
  <c r="AK277" i="25"/>
  <c r="AK225" i="25"/>
  <c r="AK293" i="25"/>
  <c r="AK359" i="25"/>
  <c r="AK371" i="25"/>
  <c r="AK380" i="25"/>
  <c r="AK27" i="25"/>
  <c r="AK19" i="25"/>
  <c r="AK76" i="25"/>
  <c r="AK87" i="25"/>
  <c r="AK127" i="25"/>
  <c r="AK94" i="25"/>
  <c r="AK117" i="25"/>
  <c r="AK148" i="25"/>
  <c r="AK174" i="25"/>
  <c r="AK208" i="25"/>
  <c r="AK180" i="25"/>
  <c r="AK214" i="25"/>
  <c r="AK245" i="25"/>
  <c r="AK276" i="25"/>
  <c r="AK308" i="25"/>
  <c r="AK224" i="25"/>
  <c r="AK266" i="25"/>
  <c r="AK291" i="25"/>
  <c r="AK329" i="25"/>
  <c r="AK357" i="25"/>
  <c r="AK333" i="25"/>
  <c r="AK368" i="25"/>
  <c r="AK26" i="25"/>
  <c r="AK23" i="25"/>
  <c r="AK61" i="25"/>
  <c r="AK75" i="25"/>
  <c r="AK86" i="25"/>
  <c r="AK126" i="25"/>
  <c r="AK93" i="25"/>
  <c r="AK116" i="25"/>
  <c r="AK146" i="25"/>
  <c r="AK173" i="25"/>
  <c r="AK205" i="25"/>
  <c r="AK179" i="25"/>
  <c r="AK212" i="25"/>
  <c r="AK244" i="25"/>
  <c r="AK274" i="25"/>
  <c r="AK307" i="25"/>
  <c r="AK223" i="25"/>
  <c r="AK264" i="25"/>
  <c r="AK287" i="25"/>
  <c r="AK327" i="25"/>
  <c r="AK356" i="25"/>
  <c r="AK330" i="25"/>
  <c r="AK366" i="25"/>
  <c r="P12" i="25"/>
  <c r="AK72" i="25"/>
  <c r="AK123" i="25"/>
  <c r="AK114" i="25"/>
  <c r="AK172" i="25"/>
  <c r="AK178" i="25"/>
  <c r="AK241" i="25"/>
  <c r="AK306" i="25"/>
  <c r="AK259" i="25"/>
  <c r="AK322" i="25"/>
  <c r="AK328" i="25"/>
  <c r="AK22" i="25"/>
  <c r="AK59" i="25"/>
  <c r="AK82" i="25"/>
  <c r="AK84" i="25"/>
  <c r="AK144" i="25"/>
  <c r="AK201" i="25"/>
  <c r="AK207" i="25"/>
  <c r="AK265" i="25"/>
  <c r="AK221" i="25"/>
  <c r="AK283" i="25"/>
  <c r="AK354" i="25"/>
  <c r="AK363" i="25"/>
  <c r="AK43" i="25"/>
  <c r="AK49" i="25"/>
  <c r="AK102" i="25"/>
  <c r="AK109" i="25"/>
  <c r="AK163" i="25"/>
  <c r="AK169" i="25"/>
  <c r="AK235" i="25"/>
  <c r="AK297" i="25"/>
  <c r="AK248" i="25"/>
  <c r="AK313" i="25"/>
  <c r="AK377" i="25"/>
  <c r="F8" i="25"/>
  <c r="AK53" i="25"/>
  <c r="AK74" i="25"/>
  <c r="AK141" i="25"/>
  <c r="AK132" i="25"/>
  <c r="AK197" i="25"/>
  <c r="AK196" i="25"/>
  <c r="AK260" i="25"/>
  <c r="AK213" i="25"/>
  <c r="AK279" i="25"/>
  <c r="AK346" i="25"/>
  <c r="AK350" i="25"/>
  <c r="AK20" i="25"/>
  <c r="AK58" i="25"/>
  <c r="AK56" i="25"/>
  <c r="AK115" i="25"/>
  <c r="AK111" i="25"/>
  <c r="AK168" i="25"/>
  <c r="AK175" i="25"/>
  <c r="AK239" i="25"/>
  <c r="AK302" i="25"/>
  <c r="AK253" i="25"/>
  <c r="AK319" i="25"/>
  <c r="AK325" i="25"/>
  <c r="AK18" i="25"/>
  <c r="AK57" i="25"/>
  <c r="AK79" i="25"/>
  <c r="AK147" i="25"/>
  <c r="AK167" i="25"/>
  <c r="AK171" i="25"/>
  <c r="AK204" i="25"/>
  <c r="AK262" i="25"/>
  <c r="AK217" i="25"/>
  <c r="AK281" i="25"/>
  <c r="AK352" i="25"/>
  <c r="AK358" i="25"/>
  <c r="AK36" i="25"/>
  <c r="AK91" i="25"/>
  <c r="AK105" i="25"/>
  <c r="AK162" i="25"/>
  <c r="AK238" i="25"/>
  <c r="AK369" i="25"/>
  <c r="AK379" i="25"/>
  <c r="AK69" i="25"/>
  <c r="AK124" i="25"/>
  <c r="AK190" i="25"/>
  <c r="AK316" i="25"/>
  <c r="AK339" i="25"/>
  <c r="AK21" i="25"/>
  <c r="AK90" i="25"/>
  <c r="AK150" i="25"/>
  <c r="AK218" i="25"/>
  <c r="AK229" i="25"/>
  <c r="AK360" i="25"/>
  <c r="AK373" i="25"/>
  <c r="AK128" i="25"/>
  <c r="AK177" i="25"/>
  <c r="AK247" i="25"/>
  <c r="AK309" i="25"/>
  <c r="AK331" i="25"/>
  <c r="AK39" i="25"/>
  <c r="AK38" i="25"/>
  <c r="AK98" i="25"/>
  <c r="AK107" i="25"/>
  <c r="AK159" i="25"/>
  <c r="AK165" i="25"/>
  <c r="AK258" i="25"/>
  <c r="AK323" i="25"/>
  <c r="AK278" i="25"/>
  <c r="AK310" i="25"/>
  <c r="AK372" i="25"/>
  <c r="AK25" i="25"/>
  <c r="AK51" i="25"/>
  <c r="AK71" i="25"/>
  <c r="AK138" i="25"/>
  <c r="AK130" i="25"/>
  <c r="AK192" i="25"/>
  <c r="AK230" i="25"/>
  <c r="AK292" i="25"/>
  <c r="AK242" i="25"/>
  <c r="AK304" i="25"/>
  <c r="AK344" i="25"/>
  <c r="AK24" i="25"/>
  <c r="AK83" i="25"/>
  <c r="AK85" i="25"/>
  <c r="AK211" i="25"/>
  <c r="AK268" i="25"/>
  <c r="AK284" i="25"/>
  <c r="AK365" i="25"/>
  <c r="AK63" i="25"/>
  <c r="AK112" i="25"/>
  <c r="AK176" i="25"/>
  <c r="AK257" i="25"/>
  <c r="AK326" i="25"/>
  <c r="AK55" i="25"/>
  <c r="AK78" i="25"/>
  <c r="AK136" i="25"/>
  <c r="AK203" i="25"/>
  <c r="AK215" i="25"/>
  <c r="AK347" i="25"/>
  <c r="AK40" i="25"/>
  <c r="AK108" i="25"/>
  <c r="AK161" i="25"/>
  <c r="AK232" i="25"/>
  <c r="AK246" i="25"/>
  <c r="AK375" i="25"/>
  <c r="J300" i="15"/>
  <c r="I349" i="15"/>
  <c r="H349" i="16" s="1"/>
  <c r="I349" i="16" s="1"/>
  <c r="J96" i="15"/>
  <c r="I127" i="15"/>
  <c r="AA363" i="15"/>
  <c r="Z363" i="15" s="1"/>
  <c r="Y363" i="15" s="1"/>
  <c r="G92" i="15"/>
  <c r="BX92" i="6" s="1"/>
  <c r="I92" i="15"/>
  <c r="H92" i="16" s="1"/>
  <c r="J341" i="15"/>
  <c r="J50" i="15"/>
  <c r="F62" i="19"/>
  <c r="C62" i="19"/>
  <c r="H169" i="16"/>
  <c r="I169" i="16" s="1"/>
  <c r="J119" i="15"/>
  <c r="G381" i="1"/>
  <c r="I335" i="15"/>
  <c r="J335" i="15"/>
  <c r="G11" i="19"/>
  <c r="I272" i="15"/>
  <c r="J142" i="15"/>
  <c r="I142" i="15"/>
  <c r="I105" i="15"/>
  <c r="J105" i="15"/>
  <c r="I29" i="15"/>
  <c r="J29" i="15"/>
  <c r="G383" i="1"/>
  <c r="G12" i="1" s="1"/>
  <c r="E7" i="7" s="1"/>
  <c r="J235" i="15"/>
  <c r="J20" i="15"/>
  <c r="H332" i="16"/>
  <c r="I332" i="16" s="1"/>
  <c r="AB9" i="1"/>
  <c r="I24" i="15"/>
  <c r="I381" i="1"/>
  <c r="M62" i="19"/>
  <c r="H32" i="15"/>
  <c r="G32" i="15"/>
  <c r="BX32" i="6" s="1"/>
  <c r="AA32" i="15"/>
  <c r="Z32" i="15" s="1"/>
  <c r="Y32" i="15" s="1"/>
  <c r="I180" i="15"/>
  <c r="J180" i="15"/>
  <c r="I17" i="15"/>
  <c r="J17" i="15"/>
  <c r="I93" i="15"/>
  <c r="J93" i="15"/>
  <c r="J101" i="15"/>
  <c r="I101" i="15"/>
  <c r="H101" i="16" s="1"/>
  <c r="J35" i="15"/>
  <c r="I35" i="15"/>
  <c r="I97" i="15"/>
  <c r="J97" i="15"/>
  <c r="J161" i="15"/>
  <c r="I161" i="15"/>
  <c r="I22" i="15"/>
  <c r="H22" i="16" s="1"/>
  <c r="J22" i="15"/>
  <c r="J28" i="15"/>
  <c r="I28" i="15"/>
  <c r="J80" i="15"/>
  <c r="I80" i="15"/>
  <c r="I84" i="15"/>
  <c r="J84" i="15"/>
  <c r="J90" i="15"/>
  <c r="I90" i="15"/>
  <c r="J89" i="15"/>
  <c r="I89" i="15"/>
  <c r="I134" i="15"/>
  <c r="J134" i="15"/>
  <c r="I281" i="15"/>
  <c r="J281" i="15"/>
  <c r="I30" i="15"/>
  <c r="J30" i="15"/>
  <c r="J79" i="15"/>
  <c r="I79" i="15"/>
  <c r="J160" i="15"/>
  <c r="I160" i="15"/>
  <c r="I229" i="15"/>
  <c r="J229" i="15"/>
  <c r="I158" i="15"/>
  <c r="J158" i="15"/>
  <c r="J145" i="15"/>
  <c r="I145" i="15"/>
  <c r="H20" i="16"/>
  <c r="I20" i="16" s="1"/>
  <c r="AC383" i="20"/>
  <c r="AA354" i="15"/>
  <c r="Z354" i="15" s="1"/>
  <c r="Y354" i="15" s="1"/>
  <c r="G354" i="15"/>
  <c r="BX354" i="6" s="1"/>
  <c r="H354" i="15"/>
  <c r="AA320" i="15"/>
  <c r="Z320" i="15" s="1"/>
  <c r="Y320" i="15" s="1"/>
  <c r="G320" i="15"/>
  <c r="BX320" i="6" s="1"/>
  <c r="H320" i="15"/>
  <c r="AA331" i="15"/>
  <c r="Z331" i="15" s="1"/>
  <c r="Y331" i="15" s="1"/>
  <c r="G331" i="15"/>
  <c r="BX331" i="6" s="1"/>
  <c r="H331" i="15"/>
  <c r="AA336" i="15"/>
  <c r="Z336" i="15" s="1"/>
  <c r="Y336" i="15" s="1"/>
  <c r="G336" i="15"/>
  <c r="BX336" i="6" s="1"/>
  <c r="H336" i="15"/>
  <c r="H94" i="15"/>
  <c r="AA94" i="15"/>
  <c r="Z94" i="15" s="1"/>
  <c r="Y94" i="15" s="1"/>
  <c r="G94" i="15"/>
  <c r="BX94" i="6" s="1"/>
  <c r="AA58" i="15"/>
  <c r="Z58" i="15" s="1"/>
  <c r="Y58" i="15" s="1"/>
  <c r="G58" i="15"/>
  <c r="BX58" i="6" s="1"/>
  <c r="H58" i="15"/>
  <c r="AA334" i="15"/>
  <c r="Z334" i="15" s="1"/>
  <c r="Y334" i="15" s="1"/>
  <c r="G334" i="15"/>
  <c r="BX334" i="6" s="1"/>
  <c r="H334" i="15"/>
  <c r="G113" i="16"/>
  <c r="BY113" i="6" s="1"/>
  <c r="AA367" i="16"/>
  <c r="Z367" i="16" s="1"/>
  <c r="Y367" i="16" s="1"/>
  <c r="H191" i="16"/>
  <c r="G237" i="16"/>
  <c r="BY237" i="6" s="1"/>
  <c r="G347" i="16"/>
  <c r="BY347" i="6" s="1"/>
  <c r="G270" i="16"/>
  <c r="BY270" i="6" s="1"/>
  <c r="G69" i="16"/>
  <c r="BY69" i="6" s="1"/>
  <c r="G211" i="16"/>
  <c r="BY211" i="6" s="1"/>
  <c r="G374" i="16"/>
  <c r="BY374" i="6" s="1"/>
  <c r="AA246" i="16"/>
  <c r="Z246" i="16" s="1"/>
  <c r="Y246" i="16" s="1"/>
  <c r="G195" i="16"/>
  <c r="BY195" i="6" s="1"/>
  <c r="V47" i="16"/>
  <c r="F47" i="16" s="1"/>
  <c r="H128" i="16"/>
  <c r="G128" i="16"/>
  <c r="BY128" i="6" s="1"/>
  <c r="AA128" i="16"/>
  <c r="Z128" i="16" s="1"/>
  <c r="Y128" i="16" s="1"/>
  <c r="G131" i="16"/>
  <c r="BY131" i="6" s="1"/>
  <c r="H131" i="16"/>
  <c r="AA131" i="16"/>
  <c r="Z131" i="16" s="1"/>
  <c r="Y131" i="16" s="1"/>
  <c r="G310" i="16"/>
  <c r="BY310" i="6" s="1"/>
  <c r="G278" i="16"/>
  <c r="BY278" i="6" s="1"/>
  <c r="H278" i="16"/>
  <c r="G291" i="16"/>
  <c r="BY291" i="6" s="1"/>
  <c r="G308" i="16"/>
  <c r="BY308" i="6" s="1"/>
  <c r="H308" i="16"/>
  <c r="P16" i="7"/>
  <c r="U12" i="17"/>
  <c r="T379" i="16"/>
  <c r="S379" i="16" s="1"/>
  <c r="R379" i="16" s="1"/>
  <c r="P379" i="16" s="1"/>
  <c r="AA32" i="16"/>
  <c r="Z32" i="16" s="1"/>
  <c r="Y32" i="16" s="1"/>
  <c r="G32" i="16"/>
  <c r="BY32" i="6" s="1"/>
  <c r="H170" i="16"/>
  <c r="G285" i="16"/>
  <c r="BY285" i="6" s="1"/>
  <c r="H285" i="16"/>
  <c r="G283" i="16"/>
  <c r="BY283" i="6" s="1"/>
  <c r="H370" i="16"/>
  <c r="AA193" i="16"/>
  <c r="Z193" i="16" s="1"/>
  <c r="Y193" i="16" s="1"/>
  <c r="H193" i="16"/>
  <c r="G193" i="16"/>
  <c r="BY193" i="6" s="1"/>
  <c r="G349" i="16"/>
  <c r="BY349" i="6" s="1"/>
  <c r="H182" i="16"/>
  <c r="G182" i="16"/>
  <c r="BY182" i="6" s="1"/>
  <c r="G43" i="16"/>
  <c r="BY43" i="6" s="1"/>
  <c r="H200" i="16"/>
  <c r="G99" i="16"/>
  <c r="BY99" i="6" s="1"/>
  <c r="G91" i="16"/>
  <c r="BY91" i="6" s="1"/>
  <c r="G107" i="16"/>
  <c r="BY107" i="6" s="1"/>
  <c r="H107" i="16"/>
  <c r="I351" i="15"/>
  <c r="H351" i="16" s="1"/>
  <c r="J351" i="15"/>
  <c r="G227" i="15"/>
  <c r="BX227" i="6" s="1"/>
  <c r="H227" i="15"/>
  <c r="AA227" i="15"/>
  <c r="Z227" i="15" s="1"/>
  <c r="Y227" i="15" s="1"/>
  <c r="J239" i="15"/>
  <c r="I239" i="15"/>
  <c r="H239" i="16" s="1"/>
  <c r="J305" i="15"/>
  <c r="I305" i="15"/>
  <c r="H305" i="16" s="1"/>
  <c r="AA330" i="15"/>
  <c r="Z330" i="15" s="1"/>
  <c r="Y330" i="15" s="1"/>
  <c r="G330" i="15"/>
  <c r="BX330" i="6" s="1"/>
  <c r="H330" i="15"/>
  <c r="J198" i="15"/>
  <c r="I198" i="15"/>
  <c r="I306" i="15"/>
  <c r="J306" i="15"/>
  <c r="J18" i="15"/>
  <c r="I18" i="15"/>
  <c r="I41" i="15"/>
  <c r="H41" i="16" s="1"/>
  <c r="J41" i="15"/>
  <c r="J102" i="15"/>
  <c r="I102" i="15"/>
  <c r="H102" i="16" s="1"/>
  <c r="J86" i="15"/>
  <c r="I86" i="15"/>
  <c r="J43" i="15"/>
  <c r="I43" i="15"/>
  <c r="I27" i="15"/>
  <c r="J27" i="15"/>
  <c r="AC381" i="20"/>
  <c r="AG382" i="15"/>
  <c r="AG383" i="15"/>
  <c r="AG381" i="15"/>
  <c r="AF15" i="15"/>
  <c r="G56" i="16"/>
  <c r="BY56" i="6" s="1"/>
  <c r="G52" i="16"/>
  <c r="BY52" i="6" s="1"/>
  <c r="G102" i="16"/>
  <c r="BY102" i="6" s="1"/>
  <c r="G262" i="16"/>
  <c r="BY262" i="6" s="1"/>
  <c r="H262" i="16"/>
  <c r="G351" i="16"/>
  <c r="BY351" i="6" s="1"/>
  <c r="AA100" i="16"/>
  <c r="Z100" i="16" s="1"/>
  <c r="Y100" i="16" s="1"/>
  <c r="AA101" i="16"/>
  <c r="Z101" i="16" s="1"/>
  <c r="Y101" i="16" s="1"/>
  <c r="G101" i="16"/>
  <c r="BY101" i="6" s="1"/>
  <c r="V302" i="16"/>
  <c r="F302" i="16" s="1"/>
  <c r="D53" i="7"/>
  <c r="G176" i="16"/>
  <c r="BY176" i="6" s="1"/>
  <c r="H176" i="16"/>
  <c r="G263" i="16"/>
  <c r="BY263" i="6" s="1"/>
  <c r="H263" i="16"/>
  <c r="G209" i="16"/>
  <c r="BY209" i="6" s="1"/>
  <c r="AA22" i="16"/>
  <c r="Z22" i="16" s="1"/>
  <c r="Y22" i="16" s="1"/>
  <c r="G22" i="16"/>
  <c r="BY22" i="6" s="1"/>
  <c r="G217" i="16"/>
  <c r="BY217" i="6" s="1"/>
  <c r="H217" i="16"/>
  <c r="G41" i="16"/>
  <c r="BY41" i="6" s="1"/>
  <c r="G169" i="16"/>
  <c r="BY169" i="6" s="1"/>
  <c r="G55" i="16"/>
  <c r="BY55" i="6" s="1"/>
  <c r="G77" i="16"/>
  <c r="BY77" i="6" s="1"/>
  <c r="G341" i="16"/>
  <c r="BY341" i="6" s="1"/>
  <c r="G321" i="16"/>
  <c r="BY321" i="6" s="1"/>
  <c r="H201" i="16"/>
  <c r="G344" i="16"/>
  <c r="BY344" i="6" s="1"/>
  <c r="G242" i="16"/>
  <c r="BY242" i="6" s="1"/>
  <c r="H242" i="16"/>
  <c r="H315" i="16"/>
  <c r="G315" i="16"/>
  <c r="BY315" i="6" s="1"/>
  <c r="G31" i="16"/>
  <c r="BY31" i="6" s="1"/>
  <c r="G294" i="16"/>
  <c r="BY294" i="6" s="1"/>
  <c r="G104" i="16"/>
  <c r="BY104" i="6" s="1"/>
  <c r="AA16" i="1"/>
  <c r="V383" i="1"/>
  <c r="V381" i="1"/>
  <c r="V382" i="1"/>
  <c r="I52" i="15"/>
  <c r="H52" i="16" s="1"/>
  <c r="J52" i="15"/>
  <c r="G338" i="16"/>
  <c r="BY338" i="6" s="1"/>
  <c r="G92" i="16"/>
  <c r="BY92" i="6" s="1"/>
  <c r="H243" i="16"/>
  <c r="G243" i="16"/>
  <c r="BY243" i="6" s="1"/>
  <c r="H220" i="16"/>
  <c r="G220" i="16"/>
  <c r="BY220" i="6" s="1"/>
  <c r="G144" i="16"/>
  <c r="BY144" i="6" s="1"/>
  <c r="G233" i="16"/>
  <c r="BY233" i="6" s="1"/>
  <c r="H233" i="16"/>
  <c r="D51" i="7"/>
  <c r="F46" i="16"/>
  <c r="G298" i="16"/>
  <c r="BY298" i="6" s="1"/>
  <c r="G251" i="16"/>
  <c r="BY251" i="6" s="1"/>
  <c r="H251" i="16"/>
  <c r="I298" i="15"/>
  <c r="H298" i="16" s="1"/>
  <c r="J298" i="15"/>
  <c r="J343" i="15"/>
  <c r="I343" i="15"/>
  <c r="I34" i="15"/>
  <c r="J34" i="15"/>
  <c r="J147" i="15"/>
  <c r="I147" i="15"/>
  <c r="J38" i="15"/>
  <c r="I38" i="15"/>
  <c r="I137" i="15"/>
  <c r="J137" i="15"/>
  <c r="I121" i="15"/>
  <c r="J121" i="15"/>
  <c r="I210" i="15"/>
  <c r="J210" i="15"/>
  <c r="H341" i="16"/>
  <c r="I291" i="15"/>
  <c r="H291" i="16" s="1"/>
  <c r="J291" i="15"/>
  <c r="I31" i="15"/>
  <c r="J31" i="15"/>
  <c r="J360" i="15"/>
  <c r="I360" i="15"/>
  <c r="G189" i="15"/>
  <c r="BX189" i="6" s="1"/>
  <c r="AA189" i="15"/>
  <c r="Z189" i="15" s="1"/>
  <c r="Y189" i="15" s="1"/>
  <c r="H189" i="15"/>
  <c r="J47" i="15"/>
  <c r="I47" i="15"/>
  <c r="I78" i="15"/>
  <c r="J78" i="15"/>
  <c r="I25" i="15"/>
  <c r="J25" i="15"/>
  <c r="J322" i="15"/>
  <c r="I322" i="15"/>
  <c r="J375" i="15"/>
  <c r="I375" i="15"/>
  <c r="I348" i="15"/>
  <c r="J348" i="15"/>
  <c r="I37" i="15"/>
  <c r="J37" i="15"/>
  <c r="G293" i="15"/>
  <c r="BX293" i="6" s="1"/>
  <c r="AA293" i="15"/>
  <c r="Z293" i="15" s="1"/>
  <c r="Y293" i="15" s="1"/>
  <c r="H293" i="15"/>
  <c r="AA88" i="15"/>
  <c r="Z88" i="15" s="1"/>
  <c r="Y88" i="15" s="1"/>
  <c r="H88" i="15"/>
  <c r="G88" i="15"/>
  <c r="BX88" i="6" s="1"/>
  <c r="J327" i="15"/>
  <c r="I327" i="15"/>
  <c r="I144" i="15"/>
  <c r="H144" i="16" s="1"/>
  <c r="J144" i="15"/>
  <c r="J53" i="15"/>
  <c r="I53" i="15"/>
  <c r="J345" i="15"/>
  <c r="I345" i="15"/>
  <c r="I60" i="15"/>
  <c r="J60" i="15"/>
  <c r="D62" i="19"/>
  <c r="G319" i="15"/>
  <c r="BX319" i="6" s="1"/>
  <c r="H319" i="15"/>
  <c r="AA319" i="15"/>
  <c r="Z319" i="15" s="1"/>
  <c r="Y319" i="15" s="1"/>
  <c r="J16" i="15"/>
  <c r="I16" i="15"/>
  <c r="I383" i="1"/>
  <c r="AL10" i="1"/>
  <c r="I382" i="1"/>
  <c r="J324" i="15"/>
  <c r="I324" i="15"/>
  <c r="H310" i="16"/>
  <c r="V259" i="16"/>
  <c r="I321" i="15"/>
  <c r="H321" i="16" s="1"/>
  <c r="J321" i="15"/>
  <c r="J241" i="15"/>
  <c r="I241" i="15"/>
  <c r="I61" i="15"/>
  <c r="J61" i="15"/>
  <c r="J316" i="15"/>
  <c r="I316" i="15"/>
  <c r="I59" i="15"/>
  <c r="J59" i="15"/>
  <c r="J99" i="15"/>
  <c r="I99" i="15"/>
  <c r="H99" i="16" s="1"/>
  <c r="I91" i="15"/>
  <c r="H91" i="16" s="1"/>
  <c r="J91" i="15"/>
  <c r="J19" i="15"/>
  <c r="I19" i="15"/>
  <c r="G135" i="15"/>
  <c r="BX135" i="6" s="1"/>
  <c r="AA135" i="15"/>
  <c r="Z135" i="15" s="1"/>
  <c r="Y135" i="15" s="1"/>
  <c r="H135" i="15"/>
  <c r="H46" i="15"/>
  <c r="G46" i="15"/>
  <c r="BX46" i="6" s="1"/>
  <c r="AA46" i="15"/>
  <c r="Z46" i="15" s="1"/>
  <c r="Y46" i="15" s="1"/>
  <c r="I49" i="15"/>
  <c r="J49" i="15"/>
  <c r="J371" i="15"/>
  <c r="I371" i="15"/>
  <c r="H209" i="16"/>
  <c r="I367" i="15"/>
  <c r="J367" i="15"/>
  <c r="I314" i="15"/>
  <c r="J314" i="15"/>
  <c r="J104" i="15"/>
  <c r="I104" i="15"/>
  <c r="I344" i="15"/>
  <c r="H344" i="16" s="1"/>
  <c r="J344" i="15"/>
  <c r="I155" i="15"/>
  <c r="J155" i="15"/>
  <c r="I95" i="15"/>
  <c r="J95" i="15"/>
  <c r="I302" i="15"/>
  <c r="J302" i="15"/>
  <c r="V210" i="16"/>
  <c r="G239" i="16"/>
  <c r="BY239" i="6" s="1"/>
  <c r="G303" i="16"/>
  <c r="BY303" i="6" s="1"/>
  <c r="H303" i="16"/>
  <c r="G267" i="16"/>
  <c r="BY267" i="6" s="1"/>
  <c r="I57" i="15"/>
  <c r="J57" i="15"/>
  <c r="J338" i="15"/>
  <c r="I338" i="15"/>
  <c r="H338" i="16" s="1"/>
  <c r="R15" i="15"/>
  <c r="S383" i="15"/>
  <c r="S382" i="15"/>
  <c r="S381" i="15"/>
  <c r="I138" i="15"/>
  <c r="J138" i="15"/>
  <c r="I151" i="15"/>
  <c r="J151" i="15"/>
  <c r="J159" i="15"/>
  <c r="I159" i="15"/>
  <c r="I154" i="15"/>
  <c r="J154" i="15"/>
  <c r="I36" i="15"/>
  <c r="J36" i="15"/>
  <c r="J54" i="15"/>
  <c r="I54" i="15"/>
  <c r="I82" i="15"/>
  <c r="J82" i="15"/>
  <c r="AA149" i="15"/>
  <c r="Z149" i="15" s="1"/>
  <c r="Y149" i="15" s="1"/>
  <c r="H149" i="15"/>
  <c r="G149" i="15"/>
  <c r="BX149" i="6" s="1"/>
  <c r="I123" i="15"/>
  <c r="J123" i="15"/>
  <c r="J347" i="15"/>
  <c r="I347" i="15"/>
  <c r="H347" i="16" s="1"/>
  <c r="H73" i="16"/>
  <c r="J374" i="15"/>
  <c r="I374" i="15"/>
  <c r="H374" i="16" s="1"/>
  <c r="I311" i="15"/>
  <c r="J311" i="15"/>
  <c r="I353" i="15"/>
  <c r="J353" i="15"/>
  <c r="J377" i="15"/>
  <c r="I377" i="15"/>
  <c r="J350" i="15"/>
  <c r="I350" i="15"/>
  <c r="J357" i="15"/>
  <c r="I357" i="15"/>
  <c r="I317" i="15"/>
  <c r="J317" i="15"/>
  <c r="I340" i="15"/>
  <c r="J340" i="15"/>
  <c r="I143" i="15"/>
  <c r="J143" i="15"/>
  <c r="I56" i="15"/>
  <c r="H56" i="16" s="1"/>
  <c r="J56" i="15"/>
  <c r="I140" i="15"/>
  <c r="J140" i="15"/>
  <c r="J139" i="15"/>
  <c r="I139" i="15"/>
  <c r="F77" i="15"/>
  <c r="G333" i="15"/>
  <c r="BX333" i="6" s="1"/>
  <c r="AA333" i="15"/>
  <c r="Z333" i="15" s="1"/>
  <c r="Y333" i="15" s="1"/>
  <c r="H333" i="15"/>
  <c r="L62" i="19"/>
  <c r="I146" i="15"/>
  <c r="J146" i="15"/>
  <c r="Q381" i="17"/>
  <c r="Q382" i="17"/>
  <c r="Q383" i="17"/>
  <c r="V15" i="7"/>
  <c r="Q12" i="18"/>
  <c r="AC382" i="20"/>
  <c r="AE383" i="17"/>
  <c r="AE381" i="17"/>
  <c r="AE382" i="17"/>
  <c r="O383" i="20"/>
  <c r="O382" i="20"/>
  <c r="O381" i="20"/>
  <c r="Y320" i="1"/>
  <c r="AL8" i="1"/>
  <c r="H246" i="16" l="1"/>
  <c r="H194" i="16"/>
  <c r="J194" i="16" s="1"/>
  <c r="H147" i="16"/>
  <c r="G345" i="16"/>
  <c r="BY345" i="6" s="1"/>
  <c r="AA230" i="16"/>
  <c r="Z230" i="16" s="1"/>
  <c r="Y230" i="16" s="1"/>
  <c r="H74" i="16"/>
  <c r="I74" i="16" s="1"/>
  <c r="H372" i="16"/>
  <c r="G20" i="16"/>
  <c r="BY20" i="6" s="1"/>
  <c r="G168" i="16"/>
  <c r="BY168" i="6" s="1"/>
  <c r="AA201" i="16"/>
  <c r="Z201" i="16" s="1"/>
  <c r="Y201" i="16" s="1"/>
  <c r="AA55" i="16"/>
  <c r="Z55" i="16" s="1"/>
  <c r="Y55" i="16" s="1"/>
  <c r="H55" i="16"/>
  <c r="J55" i="16" s="1"/>
  <c r="H21" i="16"/>
  <c r="J21" i="16" s="1"/>
  <c r="H361" i="16"/>
  <c r="J361" i="16" s="1"/>
  <c r="G292" i="16"/>
  <c r="BY292" i="6" s="1"/>
  <c r="H28" i="16"/>
  <c r="J28" i="16" s="1"/>
  <c r="AA147" i="16"/>
  <c r="Z147" i="16" s="1"/>
  <c r="Y147" i="16" s="1"/>
  <c r="AA21" i="16"/>
  <c r="Z21" i="16" s="1"/>
  <c r="Y21" i="16" s="1"/>
  <c r="AA332" i="16"/>
  <c r="Z332" i="16" s="1"/>
  <c r="Y332" i="16" s="1"/>
  <c r="AA361" i="16"/>
  <c r="Z361" i="16" s="1"/>
  <c r="Y361" i="16" s="1"/>
  <c r="AA340" i="16"/>
  <c r="Z340" i="16" s="1"/>
  <c r="Y340" i="16" s="1"/>
  <c r="H155" i="16"/>
  <c r="J155" i="16" s="1"/>
  <c r="H362" i="16"/>
  <c r="I362" i="16" s="1"/>
  <c r="H31" i="16"/>
  <c r="I31" i="16" s="1"/>
  <c r="H26" i="16"/>
  <c r="I26" i="16" s="1"/>
  <c r="H137" i="16"/>
  <c r="I137" i="16" s="1"/>
  <c r="G353" i="16"/>
  <c r="BY353" i="6" s="1"/>
  <c r="G226" i="16"/>
  <c r="BY226" i="6" s="1"/>
  <c r="G137" i="16"/>
  <c r="BY137" i="6" s="1"/>
  <c r="G172" i="16"/>
  <c r="BY172" i="6" s="1"/>
  <c r="G364" i="16"/>
  <c r="BY364" i="6" s="1"/>
  <c r="AA170" i="16"/>
  <c r="Z170" i="16" s="1"/>
  <c r="Y170" i="16" s="1"/>
  <c r="H299" i="16"/>
  <c r="J299" i="16" s="1"/>
  <c r="G42" i="16"/>
  <c r="BY42" i="6" s="1"/>
  <c r="H141" i="16"/>
  <c r="J141" i="16" s="1"/>
  <c r="H314" i="16"/>
  <c r="J314" i="16" s="1"/>
  <c r="H367" i="16"/>
  <c r="J367" i="16" s="1"/>
  <c r="H345" i="16"/>
  <c r="J345" i="16" s="1"/>
  <c r="H87" i="16"/>
  <c r="J87" i="16" s="1"/>
  <c r="G141" i="16"/>
  <c r="BY141" i="6" s="1"/>
  <c r="G280" i="16"/>
  <c r="BY280" i="6" s="1"/>
  <c r="AA139" i="16"/>
  <c r="Z139" i="16" s="1"/>
  <c r="Y139" i="16" s="1"/>
  <c r="H43" i="16"/>
  <c r="J43" i="16" s="1"/>
  <c r="AA266" i="16"/>
  <c r="Z266" i="16" s="1"/>
  <c r="Y266" i="16" s="1"/>
  <c r="AA17" i="16"/>
  <c r="Z17" i="16" s="1"/>
  <c r="Y17" i="16" s="1"/>
  <c r="H268" i="16"/>
  <c r="J268" i="16" s="1"/>
  <c r="G314" i="16"/>
  <c r="BY314" i="6" s="1"/>
  <c r="AA292" i="16"/>
  <c r="Z292" i="16" s="1"/>
  <c r="Y292" i="16" s="1"/>
  <c r="H161" i="16"/>
  <c r="I161" i="16" s="1"/>
  <c r="H146" i="16"/>
  <c r="I146" i="16" s="1"/>
  <c r="H139" i="16"/>
  <c r="I139" i="16" s="1"/>
  <c r="V333" i="16"/>
  <c r="F333" i="16" s="1"/>
  <c r="G333" i="16" s="1"/>
  <c r="BY333" i="6" s="1"/>
  <c r="H258" i="16"/>
  <c r="J258" i="16" s="1"/>
  <c r="H25" i="16"/>
  <c r="I25" i="16" s="1"/>
  <c r="G230" i="16"/>
  <c r="BY230" i="6" s="1"/>
  <c r="H266" i="16"/>
  <c r="I266" i="16" s="1"/>
  <c r="H229" i="16"/>
  <c r="I229" i="16" s="1"/>
  <c r="H30" i="16"/>
  <c r="I30" i="16" s="1"/>
  <c r="H17" i="16"/>
  <c r="I17" i="16" s="1"/>
  <c r="H44" i="16"/>
  <c r="I44" i="16" s="1"/>
  <c r="AA286" i="16"/>
  <c r="Z286" i="16" s="1"/>
  <c r="Y286" i="16" s="1"/>
  <c r="AA146" i="16"/>
  <c r="Z146" i="16" s="1"/>
  <c r="Y146" i="16" s="1"/>
  <c r="AA73" i="16"/>
  <c r="Z73" i="16" s="1"/>
  <c r="Y73" i="16" s="1"/>
  <c r="AA194" i="16"/>
  <c r="Z194" i="16" s="1"/>
  <c r="Y194" i="16" s="1"/>
  <c r="AA141" i="16"/>
  <c r="Z141" i="16" s="1"/>
  <c r="Y141" i="16" s="1"/>
  <c r="AA280" i="16"/>
  <c r="Z280" i="16" s="1"/>
  <c r="Y280" i="16" s="1"/>
  <c r="AA268" i="16"/>
  <c r="Z268" i="16" s="1"/>
  <c r="Y268" i="16" s="1"/>
  <c r="AA237" i="16"/>
  <c r="Z237" i="16" s="1"/>
  <c r="Y237" i="16" s="1"/>
  <c r="AA168" i="16"/>
  <c r="Z168" i="16" s="1"/>
  <c r="Y168" i="16" s="1"/>
  <c r="AA329" i="16"/>
  <c r="Z329" i="16" s="1"/>
  <c r="Y329" i="16" s="1"/>
  <c r="AA322" i="16"/>
  <c r="Z322" i="16" s="1"/>
  <c r="Y322" i="16" s="1"/>
  <c r="AA215" i="16"/>
  <c r="Z215" i="16" s="1"/>
  <c r="Y215" i="16" s="1"/>
  <c r="AA156" i="16"/>
  <c r="Z156" i="16" s="1"/>
  <c r="Y156" i="16" s="1"/>
  <c r="AA93" i="16"/>
  <c r="Z93" i="16" s="1"/>
  <c r="Y93" i="16" s="1"/>
  <c r="AA270" i="16"/>
  <c r="Z270" i="16" s="1"/>
  <c r="Y270" i="16" s="1"/>
  <c r="AA161" i="16"/>
  <c r="Z161" i="16" s="1"/>
  <c r="Y161" i="16" s="1"/>
  <c r="AA195" i="16"/>
  <c r="Z195" i="16" s="1"/>
  <c r="Y195" i="16" s="1"/>
  <c r="AA57" i="16"/>
  <c r="Z57" i="16" s="1"/>
  <c r="Y57" i="16" s="1"/>
  <c r="H140" i="16"/>
  <c r="I140" i="16" s="1"/>
  <c r="H340" i="16"/>
  <c r="I340" i="16" s="1"/>
  <c r="H353" i="16"/>
  <c r="J353" i="16" s="1"/>
  <c r="H57" i="16"/>
  <c r="J57" i="16" s="1"/>
  <c r="D46" i="7"/>
  <c r="D48" i="7"/>
  <c r="H104" i="16"/>
  <c r="J104" i="16" s="1"/>
  <c r="H42" i="16"/>
  <c r="J42" i="16" s="1"/>
  <c r="AA69" i="16"/>
  <c r="Z69" i="16" s="1"/>
  <c r="Y69" i="16" s="1"/>
  <c r="H80" i="16"/>
  <c r="I80" i="16" s="1"/>
  <c r="AA269" i="16"/>
  <c r="Z269" i="16" s="1"/>
  <c r="Y269" i="16" s="1"/>
  <c r="AA236" i="16"/>
  <c r="Z236" i="16" s="1"/>
  <c r="Y236" i="16" s="1"/>
  <c r="AA370" i="16"/>
  <c r="Z370" i="16" s="1"/>
  <c r="Y370" i="16" s="1"/>
  <c r="AA362" i="16"/>
  <c r="Z362" i="16" s="1"/>
  <c r="Y362" i="16" s="1"/>
  <c r="AA374" i="16"/>
  <c r="Z374" i="16" s="1"/>
  <c r="Y374" i="16" s="1"/>
  <c r="AA200" i="16"/>
  <c r="Z200" i="16" s="1"/>
  <c r="Y200" i="16" s="1"/>
  <c r="AA179" i="16"/>
  <c r="Z179" i="16" s="1"/>
  <c r="Y179" i="16" s="1"/>
  <c r="AA143" i="16"/>
  <c r="Z143" i="16" s="1"/>
  <c r="Y143" i="16" s="1"/>
  <c r="AA326" i="16"/>
  <c r="Z326" i="16" s="1"/>
  <c r="Y326" i="16" s="1"/>
  <c r="AA165" i="16"/>
  <c r="Z165" i="16" s="1"/>
  <c r="Y165" i="16" s="1"/>
  <c r="AA172" i="16"/>
  <c r="Z172" i="16" s="1"/>
  <c r="Y172" i="16" s="1"/>
  <c r="AA299" i="16"/>
  <c r="Z299" i="16" s="1"/>
  <c r="Y299" i="16" s="1"/>
  <c r="AA364" i="16"/>
  <c r="Z364" i="16" s="1"/>
  <c r="Y364" i="16" s="1"/>
  <c r="AA104" i="16"/>
  <c r="Z104" i="16" s="1"/>
  <c r="Y104" i="16" s="1"/>
  <c r="AA226" i="16"/>
  <c r="Z226" i="16" s="1"/>
  <c r="Y226" i="16" s="1"/>
  <c r="AA155" i="16"/>
  <c r="Z155" i="16" s="1"/>
  <c r="Y155" i="16" s="1"/>
  <c r="AA347" i="16"/>
  <c r="Z347" i="16" s="1"/>
  <c r="Y347" i="16" s="1"/>
  <c r="AA318" i="16"/>
  <c r="Z318" i="16" s="1"/>
  <c r="Y318" i="16" s="1"/>
  <c r="AA18" i="16"/>
  <c r="Z18" i="16" s="1"/>
  <c r="Y18" i="16" s="1"/>
  <c r="AI12" i="17"/>
  <c r="D45" i="7"/>
  <c r="AA51" i="16"/>
  <c r="Z51" i="16" s="1"/>
  <c r="Y51" i="16" s="1"/>
  <c r="H213" i="16"/>
  <c r="J213" i="16" s="1"/>
  <c r="H18" i="16"/>
  <c r="I18" i="16" s="1"/>
  <c r="G158" i="16"/>
  <c r="BY158" i="6" s="1"/>
  <c r="AA70" i="16"/>
  <c r="Z70" i="16" s="1"/>
  <c r="Y70" i="16" s="1"/>
  <c r="H130" i="16"/>
  <c r="J130" i="16" s="1"/>
  <c r="H368" i="16"/>
  <c r="J368" i="16" s="1"/>
  <c r="AA135" i="16"/>
  <c r="Z135" i="16" s="1"/>
  <c r="Y135" i="16" s="1"/>
  <c r="H156" i="16"/>
  <c r="I156" i="16" s="1"/>
  <c r="H284" i="16"/>
  <c r="I284" i="16" s="1"/>
  <c r="AA325" i="16"/>
  <c r="Z325" i="16" s="1"/>
  <c r="Y325" i="16" s="1"/>
  <c r="H183" i="16"/>
  <c r="I183" i="16" s="1"/>
  <c r="H203" i="16"/>
  <c r="I203" i="16" s="1"/>
  <c r="AA90" i="16"/>
  <c r="Z90" i="16" s="1"/>
  <c r="Y90" i="16" s="1"/>
  <c r="H112" i="16"/>
  <c r="I112" i="16" s="1"/>
  <c r="AA109" i="16"/>
  <c r="Z109" i="16" s="1"/>
  <c r="Y109" i="16" s="1"/>
  <c r="H325" i="16"/>
  <c r="J325" i="16" s="1"/>
  <c r="AA89" i="16"/>
  <c r="Z89" i="16" s="1"/>
  <c r="Y89" i="16" s="1"/>
  <c r="G171" i="16"/>
  <c r="BY171" i="6" s="1"/>
  <c r="G72" i="16"/>
  <c r="BY72" i="6" s="1"/>
  <c r="AA306" i="16"/>
  <c r="Z306" i="16" s="1"/>
  <c r="Y306" i="16" s="1"/>
  <c r="G173" i="16"/>
  <c r="BY173" i="6" s="1"/>
  <c r="G186" i="16"/>
  <c r="BY186" i="6" s="1"/>
  <c r="AA244" i="16"/>
  <c r="Z244" i="16" s="1"/>
  <c r="Y244" i="16" s="1"/>
  <c r="G145" i="16"/>
  <c r="BY145" i="6" s="1"/>
  <c r="AA118" i="16"/>
  <c r="Z118" i="16" s="1"/>
  <c r="Y118" i="16" s="1"/>
  <c r="G154" i="16"/>
  <c r="BY154" i="6" s="1"/>
  <c r="AA352" i="16"/>
  <c r="Z352" i="16" s="1"/>
  <c r="Y352" i="16" s="1"/>
  <c r="AA238" i="16"/>
  <c r="Z238" i="16" s="1"/>
  <c r="Y238" i="16" s="1"/>
  <c r="H54" i="16"/>
  <c r="I54" i="16" s="1"/>
  <c r="H159" i="16"/>
  <c r="I159" i="16" s="1"/>
  <c r="H151" i="16"/>
  <c r="J151" i="16" s="1"/>
  <c r="H138" i="16"/>
  <c r="I138" i="16" s="1"/>
  <c r="G93" i="16"/>
  <c r="BY93" i="6" s="1"/>
  <c r="G358" i="16"/>
  <c r="BY358" i="6" s="1"/>
  <c r="AA151" i="16"/>
  <c r="Z151" i="16" s="1"/>
  <c r="Y151" i="16" s="1"/>
  <c r="H66" i="16"/>
  <c r="I66" i="16" s="1"/>
  <c r="AA371" i="16"/>
  <c r="Z371" i="16" s="1"/>
  <c r="Y371" i="16" s="1"/>
  <c r="F88" i="16"/>
  <c r="G88" i="16" s="1"/>
  <c r="BY88" i="6" s="1"/>
  <c r="H282" i="16"/>
  <c r="I282" i="16" s="1"/>
  <c r="F60" i="16"/>
  <c r="AA60" i="16" s="1"/>
  <c r="Z60" i="16" s="1"/>
  <c r="Y60" i="16" s="1"/>
  <c r="G129" i="16"/>
  <c r="BY129" i="6" s="1"/>
  <c r="AA110" i="16"/>
  <c r="Z110" i="16" s="1"/>
  <c r="Y110" i="16" s="1"/>
  <c r="F167" i="16"/>
  <c r="AA167" i="16" s="1"/>
  <c r="Z167" i="16" s="1"/>
  <c r="Y167" i="16" s="1"/>
  <c r="AA16" i="16"/>
  <c r="Z16" i="16" s="1"/>
  <c r="Y16" i="16" s="1"/>
  <c r="AA342" i="16"/>
  <c r="Z342" i="16" s="1"/>
  <c r="Y342" i="16" s="1"/>
  <c r="G48" i="16"/>
  <c r="BY48" i="6" s="1"/>
  <c r="H232" i="16"/>
  <c r="I232" i="16" s="1"/>
  <c r="H265" i="16"/>
  <c r="I265" i="16" s="1"/>
  <c r="H276" i="16"/>
  <c r="I276" i="16" s="1"/>
  <c r="G287" i="16"/>
  <c r="BY287" i="6" s="1"/>
  <c r="H273" i="16"/>
  <c r="I273" i="16" s="1"/>
  <c r="H253" i="16"/>
  <c r="I253" i="16" s="1"/>
  <c r="H71" i="16"/>
  <c r="J71" i="16" s="1"/>
  <c r="G175" i="16"/>
  <c r="BY175" i="6" s="1"/>
  <c r="AA134" i="16"/>
  <c r="Z134" i="16" s="1"/>
  <c r="Y134" i="16" s="1"/>
  <c r="V11" i="7"/>
  <c r="U11" i="17" s="1"/>
  <c r="U10" i="17" s="1"/>
  <c r="H356" i="16"/>
  <c r="J356" i="16" s="1"/>
  <c r="AI383" i="16"/>
  <c r="G318" i="16"/>
  <c r="BY318" i="6" s="1"/>
  <c r="AA184" i="16"/>
  <c r="Z184" i="16" s="1"/>
  <c r="Y184" i="16" s="1"/>
  <c r="G126" i="16"/>
  <c r="BY126" i="6" s="1"/>
  <c r="AA309" i="16"/>
  <c r="Z309" i="16" s="1"/>
  <c r="Y309" i="16" s="1"/>
  <c r="AA357" i="16"/>
  <c r="Z357" i="16" s="1"/>
  <c r="Y357" i="16" s="1"/>
  <c r="H45" i="16"/>
  <c r="J45" i="16" s="1"/>
  <c r="H98" i="16"/>
  <c r="I98" i="16" s="1"/>
  <c r="AA356" i="16"/>
  <c r="Z356" i="16" s="1"/>
  <c r="Y356" i="16" s="1"/>
  <c r="AA360" i="16"/>
  <c r="Z360" i="16" s="1"/>
  <c r="Y360" i="16" s="1"/>
  <c r="G159" i="16"/>
  <c r="BY159" i="6" s="1"/>
  <c r="AA339" i="16"/>
  <c r="Z339" i="16" s="1"/>
  <c r="Y339" i="16" s="1"/>
  <c r="AA171" i="16"/>
  <c r="Z171" i="16" s="1"/>
  <c r="Y171" i="16" s="1"/>
  <c r="G156" i="16"/>
  <c r="BY156" i="6" s="1"/>
  <c r="AA282" i="16"/>
  <c r="Z282" i="16" s="1"/>
  <c r="Y282" i="16" s="1"/>
  <c r="G376" i="16"/>
  <c r="BY376" i="6" s="1"/>
  <c r="H81" i="16"/>
  <c r="J81" i="16" s="1"/>
  <c r="G50" i="16"/>
  <c r="BY50" i="6" s="1"/>
  <c r="G110" i="16"/>
  <c r="BY110" i="6" s="1"/>
  <c r="G85" i="16"/>
  <c r="BY85" i="6" s="1"/>
  <c r="H173" i="16"/>
  <c r="J173" i="16" s="1"/>
  <c r="AA53" i="16"/>
  <c r="Z53" i="16" s="1"/>
  <c r="Y53" i="16" s="1"/>
  <c r="H95" i="16"/>
  <c r="J95" i="16" s="1"/>
  <c r="H371" i="16"/>
  <c r="J371" i="16" s="1"/>
  <c r="I376" i="16"/>
  <c r="H103" i="16"/>
  <c r="I103" i="16" s="1"/>
  <c r="AA67" i="16"/>
  <c r="Z67" i="16" s="1"/>
  <c r="Y67" i="16" s="1"/>
  <c r="AA186" i="16"/>
  <c r="Z186" i="16" s="1"/>
  <c r="Y186" i="16" s="1"/>
  <c r="AA343" i="16"/>
  <c r="Z343" i="16" s="1"/>
  <c r="Y343" i="16" s="1"/>
  <c r="G250" i="16"/>
  <c r="BY250" i="6" s="1"/>
  <c r="H244" i="16"/>
  <c r="J244" i="16" s="1"/>
  <c r="G296" i="16"/>
  <c r="BY296" i="6" s="1"/>
  <c r="AA157" i="16"/>
  <c r="Z157" i="16" s="1"/>
  <c r="Y157" i="16" s="1"/>
  <c r="AA232" i="16"/>
  <c r="Z232" i="16" s="1"/>
  <c r="Y232" i="16" s="1"/>
  <c r="AA265" i="16"/>
  <c r="Z265" i="16" s="1"/>
  <c r="Y265" i="16" s="1"/>
  <c r="H118" i="16"/>
  <c r="I118" i="16" s="1"/>
  <c r="AA287" i="16"/>
  <c r="Z287" i="16" s="1"/>
  <c r="Y287" i="16" s="1"/>
  <c r="AA328" i="16"/>
  <c r="Z328" i="16" s="1"/>
  <c r="Y328" i="16" s="1"/>
  <c r="AA112" i="16"/>
  <c r="Z112" i="16" s="1"/>
  <c r="Y112" i="16" s="1"/>
  <c r="G346" i="16"/>
  <c r="BY346" i="6" s="1"/>
  <c r="G378" i="16"/>
  <c r="BY378" i="6" s="1"/>
  <c r="G253" i="16"/>
  <c r="BY253" i="6" s="1"/>
  <c r="G71" i="16"/>
  <c r="BY71" i="6" s="1"/>
  <c r="AA216" i="16"/>
  <c r="Z216" i="16" s="1"/>
  <c r="Y216" i="16" s="1"/>
  <c r="G366" i="16"/>
  <c r="BY366" i="6" s="1"/>
  <c r="G224" i="16"/>
  <c r="BY224" i="6" s="1"/>
  <c r="H221" i="16"/>
  <c r="I221" i="16" s="1"/>
  <c r="H324" i="16"/>
  <c r="J324" i="16" s="1"/>
  <c r="H360" i="16"/>
  <c r="J360" i="16" s="1"/>
  <c r="G215" i="16"/>
  <c r="BY215" i="6" s="1"/>
  <c r="G120" i="16"/>
  <c r="BY120" i="6" s="1"/>
  <c r="AA225" i="16"/>
  <c r="Z225" i="16" s="1"/>
  <c r="Y225" i="16" s="1"/>
  <c r="AA359" i="16"/>
  <c r="Z359" i="16" s="1"/>
  <c r="Y359" i="16" s="1"/>
  <c r="H76" i="16"/>
  <c r="I76" i="16" s="1"/>
  <c r="H132" i="16"/>
  <c r="J132" i="16" s="1"/>
  <c r="G54" i="16"/>
  <c r="BY54" i="6" s="1"/>
  <c r="G249" i="16"/>
  <c r="BY249" i="6" s="1"/>
  <c r="H275" i="16"/>
  <c r="I275" i="16" s="1"/>
  <c r="H83" i="16"/>
  <c r="I83" i="16" s="1"/>
  <c r="H86" i="16"/>
  <c r="J86" i="16" s="1"/>
  <c r="H158" i="16"/>
  <c r="I158" i="16" s="1"/>
  <c r="H134" i="16"/>
  <c r="I134" i="16" s="1"/>
  <c r="H93" i="16"/>
  <c r="I93" i="16" s="1"/>
  <c r="H301" i="16"/>
  <c r="I301" i="16" s="1"/>
  <c r="H190" i="16"/>
  <c r="J190" i="16" s="1"/>
  <c r="H152" i="16"/>
  <c r="I152" i="16" s="1"/>
  <c r="AA252" i="16"/>
  <c r="Z252" i="16" s="1"/>
  <c r="Y252" i="16" s="1"/>
  <c r="AA164" i="16"/>
  <c r="Z164" i="16" s="1"/>
  <c r="Y164" i="16" s="1"/>
  <c r="G18" i="16"/>
  <c r="BY18" i="6" s="1"/>
  <c r="D49" i="7"/>
  <c r="G108" i="16"/>
  <c r="BY108" i="6" s="1"/>
  <c r="G323" i="16"/>
  <c r="BY323" i="6" s="1"/>
  <c r="V272" i="16"/>
  <c r="F272" i="16" s="1"/>
  <c r="G272" i="16" s="1"/>
  <c r="BY272" i="6" s="1"/>
  <c r="G61" i="16"/>
  <c r="BY61" i="6" s="1"/>
  <c r="AA207" i="16"/>
  <c r="Z207" i="16" s="1"/>
  <c r="Y207" i="16" s="1"/>
  <c r="G198" i="16"/>
  <c r="BY198" i="6" s="1"/>
  <c r="G326" i="16"/>
  <c r="BY326" i="6" s="1"/>
  <c r="D55" i="7"/>
  <c r="G185" i="16"/>
  <c r="BY185" i="6" s="1"/>
  <c r="AA150" i="16"/>
  <c r="Z150" i="16" s="1"/>
  <c r="Y150" i="16" s="1"/>
  <c r="AA334" i="16"/>
  <c r="Z334" i="16" s="1"/>
  <c r="Y334" i="16" s="1"/>
  <c r="AA348" i="16"/>
  <c r="Z348" i="16" s="1"/>
  <c r="Y348" i="16" s="1"/>
  <c r="AA277" i="16"/>
  <c r="Z277" i="16" s="1"/>
  <c r="Y277" i="16" s="1"/>
  <c r="AA72" i="16"/>
  <c r="Z72" i="16" s="1"/>
  <c r="Y72" i="16" s="1"/>
  <c r="AA98" i="16"/>
  <c r="Z98" i="16" s="1"/>
  <c r="Y98" i="16" s="1"/>
  <c r="AA297" i="16"/>
  <c r="Z297" i="16" s="1"/>
  <c r="Y297" i="16" s="1"/>
  <c r="AA34" i="16"/>
  <c r="Z34" i="16" s="1"/>
  <c r="Y34" i="16" s="1"/>
  <c r="AA331" i="16"/>
  <c r="Z331" i="16" s="1"/>
  <c r="Y331" i="16" s="1"/>
  <c r="AA115" i="16"/>
  <c r="Z115" i="16" s="1"/>
  <c r="Y115" i="16" s="1"/>
  <c r="H202" i="16"/>
  <c r="J202" i="16" s="1"/>
  <c r="H307" i="16"/>
  <c r="I307" i="16" s="1"/>
  <c r="H61" i="16"/>
  <c r="I61" i="16" s="1"/>
  <c r="G143" i="16"/>
  <c r="BY143" i="6" s="1"/>
  <c r="H313" i="16"/>
  <c r="I313" i="16" s="1"/>
  <c r="AA142" i="16"/>
  <c r="Z142" i="16" s="1"/>
  <c r="Y142" i="16" s="1"/>
  <c r="G177" i="16"/>
  <c r="BY177" i="6" s="1"/>
  <c r="AA160" i="16"/>
  <c r="Z160" i="16" s="1"/>
  <c r="Y160" i="16" s="1"/>
  <c r="AA196" i="16"/>
  <c r="Z196" i="16" s="1"/>
  <c r="Y196" i="16" s="1"/>
  <c r="AA279" i="16"/>
  <c r="Z279" i="16" s="1"/>
  <c r="Y279" i="16" s="1"/>
  <c r="H339" i="16"/>
  <c r="J339" i="16" s="1"/>
  <c r="H157" i="16"/>
  <c r="J157" i="16" s="1"/>
  <c r="H154" i="16"/>
  <c r="I154" i="16" s="1"/>
  <c r="H48" i="16"/>
  <c r="J48" i="16" s="1"/>
  <c r="H297" i="16"/>
  <c r="J297" i="16" s="1"/>
  <c r="AA50" i="16"/>
  <c r="Z50" i="16" s="1"/>
  <c r="Y50" i="16" s="1"/>
  <c r="G51" i="16"/>
  <c r="BY51" i="6" s="1"/>
  <c r="AA85" i="16"/>
  <c r="Z85" i="16" s="1"/>
  <c r="Y85" i="16" s="1"/>
  <c r="G304" i="16"/>
  <c r="BY304" i="6" s="1"/>
  <c r="AA380" i="16"/>
  <c r="Z380" i="16" s="1"/>
  <c r="Y380" i="16" s="1"/>
  <c r="H346" i="16"/>
  <c r="J346" i="16" s="1"/>
  <c r="H117" i="16"/>
  <c r="I117" i="16" s="1"/>
  <c r="G67" i="16"/>
  <c r="BY67" i="6" s="1"/>
  <c r="G342" i="16"/>
  <c r="BY342" i="6" s="1"/>
  <c r="H70" i="16"/>
  <c r="J70" i="16" s="1"/>
  <c r="G328" i="16"/>
  <c r="BY328" i="6" s="1"/>
  <c r="AA273" i="16"/>
  <c r="Z273" i="16" s="1"/>
  <c r="Y273" i="16" s="1"/>
  <c r="H216" i="16"/>
  <c r="I216" i="16" s="1"/>
  <c r="G352" i="16"/>
  <c r="BY352" i="6" s="1"/>
  <c r="AA366" i="16"/>
  <c r="Z366" i="16" s="1"/>
  <c r="Y366" i="16" s="1"/>
  <c r="G109" i="16"/>
  <c r="BY109" i="6" s="1"/>
  <c r="G40" i="16"/>
  <c r="BY40" i="6" s="1"/>
  <c r="AA175" i="16"/>
  <c r="Z175" i="16" s="1"/>
  <c r="Y175" i="16" s="1"/>
  <c r="H322" i="16"/>
  <c r="J322" i="16" s="1"/>
  <c r="H34" i="16"/>
  <c r="J34" i="16" s="1"/>
  <c r="H343" i="16"/>
  <c r="I343" i="16" s="1"/>
  <c r="H215" i="16"/>
  <c r="J215" i="16" s="1"/>
  <c r="AA95" i="16"/>
  <c r="Z95" i="16" s="1"/>
  <c r="Y95" i="16" s="1"/>
  <c r="AA203" i="16"/>
  <c r="Z203" i="16" s="1"/>
  <c r="Y203" i="16" s="1"/>
  <c r="G286" i="16"/>
  <c r="BY286" i="6" s="1"/>
  <c r="G295" i="16"/>
  <c r="BY295" i="6" s="1"/>
  <c r="AA86" i="16"/>
  <c r="Z86" i="16" s="1"/>
  <c r="Y86" i="16" s="1"/>
  <c r="G322" i="16"/>
  <c r="BY322" i="6" s="1"/>
  <c r="H178" i="16"/>
  <c r="J178" i="16" s="1"/>
  <c r="AA45" i="16"/>
  <c r="Z45" i="16" s="1"/>
  <c r="Y45" i="16" s="1"/>
  <c r="H187" i="16"/>
  <c r="J187" i="16" s="1"/>
  <c r="H89" i="16"/>
  <c r="J89" i="16" s="1"/>
  <c r="J304" i="16"/>
  <c r="AA66" i="16"/>
  <c r="Z66" i="16" s="1"/>
  <c r="Y66" i="16" s="1"/>
  <c r="AA327" i="16"/>
  <c r="Z327" i="16" s="1"/>
  <c r="Y327" i="16" s="1"/>
  <c r="AA304" i="16"/>
  <c r="Z304" i="16" s="1"/>
  <c r="Y304" i="16" s="1"/>
  <c r="AA247" i="16"/>
  <c r="Z247" i="16" s="1"/>
  <c r="Y247" i="16" s="1"/>
  <c r="AA24" i="16"/>
  <c r="Z24" i="16" s="1"/>
  <c r="Y24" i="16" s="1"/>
  <c r="AA117" i="16"/>
  <c r="Z117" i="16" s="1"/>
  <c r="Y117" i="16" s="1"/>
  <c r="AA376" i="16"/>
  <c r="Z376" i="16" s="1"/>
  <c r="Y376" i="16" s="1"/>
  <c r="H105" i="16"/>
  <c r="I105" i="16" s="1"/>
  <c r="H312" i="16"/>
  <c r="J312" i="16" s="1"/>
  <c r="H82" i="16"/>
  <c r="J82" i="16" s="1"/>
  <c r="AA79" i="16"/>
  <c r="Z79" i="16" s="1"/>
  <c r="Y79" i="16" s="1"/>
  <c r="G300" i="16"/>
  <c r="BY300" i="6" s="1"/>
  <c r="H255" i="16"/>
  <c r="J255" i="16" s="1"/>
  <c r="G261" i="16"/>
  <c r="BY261" i="6" s="1"/>
  <c r="AA152" i="16"/>
  <c r="Z152" i="16" s="1"/>
  <c r="Y152" i="16" s="1"/>
  <c r="H164" i="16"/>
  <c r="J164" i="16" s="1"/>
  <c r="H184" i="16"/>
  <c r="J184" i="16" s="1"/>
  <c r="AA123" i="16"/>
  <c r="Z123" i="16" s="1"/>
  <c r="Y123" i="16" s="1"/>
  <c r="G214" i="16"/>
  <c r="BY214" i="6" s="1"/>
  <c r="AA204" i="16"/>
  <c r="Z204" i="16" s="1"/>
  <c r="Y204" i="16" s="1"/>
  <c r="H115" i="16"/>
  <c r="J115" i="16" s="1"/>
  <c r="H256" i="16"/>
  <c r="J256" i="16" s="1"/>
  <c r="AA368" i="16"/>
  <c r="Z368" i="16" s="1"/>
  <c r="Y368" i="16" s="1"/>
  <c r="AA35" i="16"/>
  <c r="Z35" i="16" s="1"/>
  <c r="Y35" i="16" s="1"/>
  <c r="AA27" i="16"/>
  <c r="Z27" i="16" s="1"/>
  <c r="Y27" i="16" s="1"/>
  <c r="AA153" i="16"/>
  <c r="Z153" i="16" s="1"/>
  <c r="Y153" i="16" s="1"/>
  <c r="G33" i="16"/>
  <c r="BY33" i="6" s="1"/>
  <c r="H122" i="16"/>
  <c r="I122" i="16" s="1"/>
  <c r="AA311" i="16"/>
  <c r="Z311" i="16" s="1"/>
  <c r="Y311" i="16" s="1"/>
  <c r="G94" i="16"/>
  <c r="BY94" i="6" s="1"/>
  <c r="H288" i="16"/>
  <c r="I288" i="16" s="1"/>
  <c r="AA212" i="16"/>
  <c r="Z212" i="16" s="1"/>
  <c r="Y212" i="16" s="1"/>
  <c r="G39" i="16"/>
  <c r="BY39" i="6" s="1"/>
  <c r="G369" i="16"/>
  <c r="BY369" i="6" s="1"/>
  <c r="H375" i="16"/>
  <c r="J375" i="16" s="1"/>
  <c r="H223" i="16"/>
  <c r="I223" i="16" s="1"/>
  <c r="H121" i="16"/>
  <c r="J121" i="16" s="1"/>
  <c r="H254" i="16"/>
  <c r="J254" i="16" s="1"/>
  <c r="G122" i="16"/>
  <c r="BY122" i="6" s="1"/>
  <c r="G290" i="16"/>
  <c r="BY290" i="6" s="1"/>
  <c r="H205" i="16"/>
  <c r="I205" i="16" s="1"/>
  <c r="H309" i="16"/>
  <c r="J309" i="16" s="1"/>
  <c r="H143" i="16"/>
  <c r="I143" i="16" s="1"/>
  <c r="H317" i="16"/>
  <c r="I317" i="16" s="1"/>
  <c r="H311" i="16"/>
  <c r="J311" i="16" s="1"/>
  <c r="H36" i="16"/>
  <c r="J36" i="16" s="1"/>
  <c r="H290" i="16"/>
  <c r="J290" i="16" s="1"/>
  <c r="G174" i="16"/>
  <c r="BY174" i="6" s="1"/>
  <c r="H231" i="16"/>
  <c r="I231" i="16" s="1"/>
  <c r="AA274" i="16"/>
  <c r="Z274" i="16" s="1"/>
  <c r="Y274" i="16" s="1"/>
  <c r="AA271" i="16"/>
  <c r="Z271" i="16" s="1"/>
  <c r="Y271" i="16" s="1"/>
  <c r="AA373" i="16"/>
  <c r="Z373" i="16" s="1"/>
  <c r="Y373" i="16" s="1"/>
  <c r="H260" i="16"/>
  <c r="I260" i="16" s="1"/>
  <c r="G165" i="16"/>
  <c r="BY165" i="6" s="1"/>
  <c r="G312" i="16"/>
  <c r="BY312" i="6" s="1"/>
  <c r="H269" i="16"/>
  <c r="I269" i="16" s="1"/>
  <c r="AA254" i="16"/>
  <c r="Z254" i="16" s="1"/>
  <c r="Y254" i="16" s="1"/>
  <c r="G68" i="16"/>
  <c r="BY68" i="6" s="1"/>
  <c r="AA365" i="16"/>
  <c r="Z365" i="16" s="1"/>
  <c r="Y365" i="16" s="1"/>
  <c r="G121" i="16"/>
  <c r="BY121" i="6" s="1"/>
  <c r="AA192" i="16"/>
  <c r="Z192" i="16" s="1"/>
  <c r="Y192" i="16" s="1"/>
  <c r="AA234" i="16"/>
  <c r="Z234" i="16" s="1"/>
  <c r="Y234" i="16" s="1"/>
  <c r="H236" i="16"/>
  <c r="J236" i="16" s="1"/>
  <c r="J323" i="16"/>
  <c r="H84" i="16"/>
  <c r="I84" i="16" s="1"/>
  <c r="H97" i="16"/>
  <c r="I97" i="16" s="1"/>
  <c r="H252" i="16"/>
  <c r="I252" i="16" s="1"/>
  <c r="AA148" i="16"/>
  <c r="Z148" i="16" s="1"/>
  <c r="Y148" i="16" s="1"/>
  <c r="AA218" i="16"/>
  <c r="Z218" i="16" s="1"/>
  <c r="Y218" i="16" s="1"/>
  <c r="G380" i="16"/>
  <c r="BY380" i="6" s="1"/>
  <c r="U381" i="16"/>
  <c r="H249" i="16"/>
  <c r="I249" i="16" s="1"/>
  <c r="AA103" i="16"/>
  <c r="Z103" i="16" s="1"/>
  <c r="Y103" i="16" s="1"/>
  <c r="H225" i="16"/>
  <c r="J225" i="16" s="1"/>
  <c r="G359" i="16"/>
  <c r="BY359" i="6" s="1"/>
  <c r="G238" i="16"/>
  <c r="BY238" i="6" s="1"/>
  <c r="H286" i="16"/>
  <c r="J286" i="16" s="1"/>
  <c r="AA178" i="16"/>
  <c r="Z178" i="16" s="1"/>
  <c r="Y178" i="16" s="1"/>
  <c r="I352" i="16"/>
  <c r="H281" i="16"/>
  <c r="I281" i="16" s="1"/>
  <c r="AA97" i="16"/>
  <c r="Z97" i="16" s="1"/>
  <c r="Y97" i="16" s="1"/>
  <c r="AA124" i="16"/>
  <c r="Z124" i="16" s="1"/>
  <c r="Y124" i="16" s="1"/>
  <c r="AA275" i="16"/>
  <c r="Z275" i="16" s="1"/>
  <c r="Y275" i="16" s="1"/>
  <c r="AA221" i="16"/>
  <c r="Z221" i="16" s="1"/>
  <c r="Y221" i="16" s="1"/>
  <c r="AA36" i="16"/>
  <c r="Z36" i="16" s="1"/>
  <c r="Y36" i="16" s="1"/>
  <c r="AA222" i="16"/>
  <c r="Z222" i="16" s="1"/>
  <c r="Y222" i="16" s="1"/>
  <c r="AA264" i="16"/>
  <c r="Z264" i="16" s="1"/>
  <c r="Y264" i="16" s="1"/>
  <c r="AA227" i="16"/>
  <c r="Z227" i="16" s="1"/>
  <c r="Y227" i="16" s="1"/>
  <c r="AA208" i="16"/>
  <c r="Z208" i="16" s="1"/>
  <c r="Y208" i="16" s="1"/>
  <c r="AA188" i="16"/>
  <c r="Z188" i="16" s="1"/>
  <c r="Y188" i="16" s="1"/>
  <c r="AA296" i="16"/>
  <c r="Z296" i="16" s="1"/>
  <c r="Y296" i="16" s="1"/>
  <c r="AA355" i="16"/>
  <c r="Z355" i="16" s="1"/>
  <c r="Y355" i="16" s="1"/>
  <c r="AA205" i="16"/>
  <c r="Z205" i="16" s="1"/>
  <c r="Y205" i="16" s="1"/>
  <c r="AA37" i="16"/>
  <c r="Z37" i="16" s="1"/>
  <c r="Y37" i="16" s="1"/>
  <c r="AA49" i="16"/>
  <c r="Z49" i="16" s="1"/>
  <c r="Y49" i="16" s="1"/>
  <c r="AA335" i="16"/>
  <c r="Z335" i="16" s="1"/>
  <c r="Y335" i="16" s="1"/>
  <c r="AA108" i="16"/>
  <c r="Z108" i="16" s="1"/>
  <c r="Y108" i="16" s="1"/>
  <c r="AA125" i="16"/>
  <c r="Z125" i="16" s="1"/>
  <c r="Y125" i="16" s="1"/>
  <c r="AI381" i="16"/>
  <c r="AA62" i="16"/>
  <c r="Z62" i="16" s="1"/>
  <c r="Y62" i="16" s="1"/>
  <c r="AA206" i="16"/>
  <c r="Z206" i="16" s="1"/>
  <c r="Y206" i="16" s="1"/>
  <c r="AA223" i="16"/>
  <c r="Z223" i="16" s="1"/>
  <c r="Y223" i="16" s="1"/>
  <c r="AA65" i="16"/>
  <c r="Z65" i="16" s="1"/>
  <c r="Y65" i="16" s="1"/>
  <c r="AA82" i="16"/>
  <c r="Z82" i="16" s="1"/>
  <c r="Y82" i="16" s="1"/>
  <c r="AA189" i="16"/>
  <c r="Z189" i="16" s="1"/>
  <c r="Y189" i="16" s="1"/>
  <c r="AA240" i="16"/>
  <c r="Z240" i="16" s="1"/>
  <c r="Y240" i="16" s="1"/>
  <c r="AA166" i="16"/>
  <c r="Z166" i="16" s="1"/>
  <c r="Y166" i="16" s="1"/>
  <c r="AA59" i="16"/>
  <c r="Z59" i="16" s="1"/>
  <c r="Y59" i="16" s="1"/>
  <c r="AA105" i="16"/>
  <c r="Z105" i="16" s="1"/>
  <c r="Y105" i="16" s="1"/>
  <c r="AA300" i="16"/>
  <c r="Z300" i="16" s="1"/>
  <c r="Y300" i="16" s="1"/>
  <c r="AA257" i="16"/>
  <c r="Z257" i="16" s="1"/>
  <c r="Y257" i="16" s="1"/>
  <c r="AA38" i="16"/>
  <c r="Z38" i="16" s="1"/>
  <c r="Y38" i="16" s="1"/>
  <c r="H19" i="16"/>
  <c r="J19" i="16" s="1"/>
  <c r="H316" i="16"/>
  <c r="J316" i="16" s="1"/>
  <c r="G36" i="16"/>
  <c r="BY36" i="6" s="1"/>
  <c r="G179" i="16"/>
  <c r="BY179" i="6" s="1"/>
  <c r="H174" i="16"/>
  <c r="I174" i="16" s="1"/>
  <c r="AA317" i="16"/>
  <c r="Z317" i="16" s="1"/>
  <c r="Y317" i="16" s="1"/>
  <c r="AA116" i="16"/>
  <c r="Z116" i="16" s="1"/>
  <c r="Y116" i="16" s="1"/>
  <c r="H222" i="16"/>
  <c r="I222" i="16" s="1"/>
  <c r="G279" i="16"/>
  <c r="BY279" i="6" s="1"/>
  <c r="D44" i="7"/>
  <c r="AA181" i="16"/>
  <c r="Z181" i="16" s="1"/>
  <c r="Y181" i="16" s="1"/>
  <c r="H271" i="16"/>
  <c r="I271" i="16" s="1"/>
  <c r="G264" i="16"/>
  <c r="BY264" i="6" s="1"/>
  <c r="AA58" i="16"/>
  <c r="Z58" i="16" s="1"/>
  <c r="Y58" i="16" s="1"/>
  <c r="AA375" i="16"/>
  <c r="Z375" i="16" s="1"/>
  <c r="Y375" i="16" s="1"/>
  <c r="AA316" i="16"/>
  <c r="Z316" i="16" s="1"/>
  <c r="Y316" i="16" s="1"/>
  <c r="H369" i="16"/>
  <c r="I369" i="16" s="1"/>
  <c r="G219" i="16"/>
  <c r="BY219" i="6" s="1"/>
  <c r="G78" i="16"/>
  <c r="BY78" i="6" s="1"/>
  <c r="H125" i="16"/>
  <c r="I125" i="16" s="1"/>
  <c r="AA260" i="16"/>
  <c r="Z260" i="16" s="1"/>
  <c r="Y260" i="16" s="1"/>
  <c r="AA235" i="16"/>
  <c r="Z235" i="16" s="1"/>
  <c r="Y235" i="16" s="1"/>
  <c r="AA163" i="16"/>
  <c r="Z163" i="16" s="1"/>
  <c r="Y163" i="16" s="1"/>
  <c r="AA248" i="16"/>
  <c r="Z248" i="16" s="1"/>
  <c r="Y248" i="16" s="1"/>
  <c r="U382" i="16"/>
  <c r="G84" i="16"/>
  <c r="BY84" i="6" s="1"/>
  <c r="AA313" i="16"/>
  <c r="Z313" i="16" s="1"/>
  <c r="Y313" i="16" s="1"/>
  <c r="AA127" i="16"/>
  <c r="Z127" i="16" s="1"/>
  <c r="Y127" i="16" s="1"/>
  <c r="AA19" i="16"/>
  <c r="Z19" i="16" s="1"/>
  <c r="Y19" i="16" s="1"/>
  <c r="AA336" i="16"/>
  <c r="Z336" i="16" s="1"/>
  <c r="Y336" i="16" s="1"/>
  <c r="G269" i="16"/>
  <c r="BY269" i="6" s="1"/>
  <c r="AA68" i="16"/>
  <c r="Z68" i="16" s="1"/>
  <c r="Y68" i="16" s="1"/>
  <c r="AA96" i="16"/>
  <c r="Z96" i="16" s="1"/>
  <c r="Y96" i="16" s="1"/>
  <c r="AA377" i="16"/>
  <c r="Z377" i="16" s="1"/>
  <c r="Y377" i="16" s="1"/>
  <c r="AA245" i="16"/>
  <c r="Z245" i="16" s="1"/>
  <c r="Y245" i="16" s="1"/>
  <c r="G236" i="16"/>
  <c r="BY236" i="6" s="1"/>
  <c r="V119" i="16"/>
  <c r="F119" i="16" s="1"/>
  <c r="H119" i="16" s="1"/>
  <c r="G62" i="16"/>
  <c r="BY62" i="6" s="1"/>
  <c r="AA185" i="16"/>
  <c r="Z185" i="16" s="1"/>
  <c r="Y185" i="16" s="1"/>
  <c r="AA177" i="16"/>
  <c r="Z177" i="16" s="1"/>
  <c r="Y177" i="16" s="1"/>
  <c r="AH15" i="16"/>
  <c r="AG15" i="16" s="1"/>
  <c r="H198" i="16"/>
  <c r="J198" i="16" s="1"/>
  <c r="I219" i="16"/>
  <c r="H148" i="16"/>
  <c r="I148" i="16" s="1"/>
  <c r="H116" i="16"/>
  <c r="I116" i="16" s="1"/>
  <c r="H127" i="16"/>
  <c r="J127" i="16" s="1"/>
  <c r="AA293" i="16"/>
  <c r="Z293" i="16" s="1"/>
  <c r="Y293" i="16" s="1"/>
  <c r="AA130" i="16"/>
  <c r="Z130" i="16" s="1"/>
  <c r="Y130" i="16" s="1"/>
  <c r="AA83" i="16"/>
  <c r="Z83" i="16" s="1"/>
  <c r="Y83" i="16" s="1"/>
  <c r="AA301" i="16"/>
  <c r="Z301" i="16" s="1"/>
  <c r="Y301" i="16" s="1"/>
  <c r="AA138" i="16"/>
  <c r="Z138" i="16" s="1"/>
  <c r="Y138" i="16" s="1"/>
  <c r="H24" i="16"/>
  <c r="J24" i="16" s="1"/>
  <c r="H111" i="16"/>
  <c r="I111" i="16" s="1"/>
  <c r="AA111" i="16"/>
  <c r="Z111" i="16" s="1"/>
  <c r="Y111" i="16" s="1"/>
  <c r="H337" i="16"/>
  <c r="AA337" i="16"/>
  <c r="Z337" i="16" s="1"/>
  <c r="Y337" i="16" s="1"/>
  <c r="H329" i="16"/>
  <c r="G329" i="16"/>
  <c r="BY329" i="6" s="1"/>
  <c r="H133" i="16"/>
  <c r="I133" i="16" s="1"/>
  <c r="AA133" i="16"/>
  <c r="Z133" i="16" s="1"/>
  <c r="Y133" i="16" s="1"/>
  <c r="H247" i="16"/>
  <c r="I247" i="16" s="1"/>
  <c r="G247" i="16"/>
  <c r="BY247" i="6" s="1"/>
  <c r="AA162" i="16"/>
  <c r="Z162" i="16" s="1"/>
  <c r="Y162" i="16" s="1"/>
  <c r="G162" i="16"/>
  <c r="BY162" i="6" s="1"/>
  <c r="G114" i="16"/>
  <c r="BY114" i="6" s="1"/>
  <c r="AA114" i="16"/>
  <c r="Z114" i="16" s="1"/>
  <c r="Y114" i="16" s="1"/>
  <c r="AA63" i="16"/>
  <c r="Z63" i="16" s="1"/>
  <c r="Y63" i="16" s="1"/>
  <c r="H63" i="16"/>
  <c r="J63" i="16" s="1"/>
  <c r="AA64" i="16"/>
  <c r="Z64" i="16" s="1"/>
  <c r="Y64" i="16" s="1"/>
  <c r="H64" i="16"/>
  <c r="I64" i="16" s="1"/>
  <c r="H277" i="16"/>
  <c r="I277" i="16" s="1"/>
  <c r="G277" i="16"/>
  <c r="BY277" i="6" s="1"/>
  <c r="H16" i="16"/>
  <c r="I16" i="16" s="1"/>
  <c r="H53" i="16"/>
  <c r="I53" i="16" s="1"/>
  <c r="H327" i="16"/>
  <c r="I327" i="16" s="1"/>
  <c r="H348" i="16"/>
  <c r="I348" i="16" s="1"/>
  <c r="H306" i="16"/>
  <c r="J306" i="16" s="1"/>
  <c r="H145" i="16"/>
  <c r="I145" i="16" s="1"/>
  <c r="H90" i="16"/>
  <c r="J90" i="16" s="1"/>
  <c r="H150" i="16"/>
  <c r="I150" i="16" s="1"/>
  <c r="AA276" i="16"/>
  <c r="Z276" i="16" s="1"/>
  <c r="Y276" i="16" s="1"/>
  <c r="AA129" i="16"/>
  <c r="Z129" i="16" s="1"/>
  <c r="Y129" i="16" s="1"/>
  <c r="AA76" i="16"/>
  <c r="Z76" i="16" s="1"/>
  <c r="Y76" i="16" s="1"/>
  <c r="AA183" i="16"/>
  <c r="Z183" i="16" s="1"/>
  <c r="Y183" i="16" s="1"/>
  <c r="AA281" i="16"/>
  <c r="Z281" i="16" s="1"/>
  <c r="Y281" i="16" s="1"/>
  <c r="AA224" i="16"/>
  <c r="Z224" i="16" s="1"/>
  <c r="Y224" i="16" s="1"/>
  <c r="AA40" i="16"/>
  <c r="Z40" i="16" s="1"/>
  <c r="Y40" i="16" s="1"/>
  <c r="AA132" i="16"/>
  <c r="Z132" i="16" s="1"/>
  <c r="Y132" i="16" s="1"/>
  <c r="AA358" i="16"/>
  <c r="Z358" i="16" s="1"/>
  <c r="Y358" i="16" s="1"/>
  <c r="AA378" i="16"/>
  <c r="Z378" i="16" s="1"/>
  <c r="Y378" i="16" s="1"/>
  <c r="AA190" i="16"/>
  <c r="Z190" i="16" s="1"/>
  <c r="Y190" i="16" s="1"/>
  <c r="AA120" i="16"/>
  <c r="Z120" i="16" s="1"/>
  <c r="Y120" i="16" s="1"/>
  <c r="AA354" i="16"/>
  <c r="Z354" i="16" s="1"/>
  <c r="Y354" i="16" s="1"/>
  <c r="AA284" i="16"/>
  <c r="Z284" i="16" s="1"/>
  <c r="Y284" i="16" s="1"/>
  <c r="AA81" i="16"/>
  <c r="Z81" i="16" s="1"/>
  <c r="Y81" i="16" s="1"/>
  <c r="AA295" i="16"/>
  <c r="Z295" i="16" s="1"/>
  <c r="Y295" i="16" s="1"/>
  <c r="G63" i="19"/>
  <c r="H357" i="16"/>
  <c r="I357" i="16" s="1"/>
  <c r="H377" i="16"/>
  <c r="J377" i="16" s="1"/>
  <c r="H318" i="16"/>
  <c r="I318" i="16" s="1"/>
  <c r="H264" i="16"/>
  <c r="I264" i="16" s="1"/>
  <c r="H123" i="16"/>
  <c r="I123" i="16" s="1"/>
  <c r="H181" i="16"/>
  <c r="J181" i="16" s="1"/>
  <c r="H206" i="16"/>
  <c r="J206" i="16" s="1"/>
  <c r="H257" i="16"/>
  <c r="I257" i="16" s="1"/>
  <c r="AA255" i="16"/>
  <c r="Z255" i="16" s="1"/>
  <c r="Y255" i="16" s="1"/>
  <c r="AA261" i="16"/>
  <c r="Z261" i="16" s="1"/>
  <c r="Y261" i="16" s="1"/>
  <c r="F350" i="16"/>
  <c r="H350" i="16" s="1"/>
  <c r="I350" i="16" s="1"/>
  <c r="H166" i="16"/>
  <c r="I166" i="16" s="1"/>
  <c r="H23" i="16"/>
  <c r="I23" i="16" s="1"/>
  <c r="AA126" i="16"/>
  <c r="Z126" i="16" s="1"/>
  <c r="Y126" i="16" s="1"/>
  <c r="AA214" i="16"/>
  <c r="Z214" i="16" s="1"/>
  <c r="Y214" i="16" s="1"/>
  <c r="G204" i="16"/>
  <c r="BY204" i="6" s="1"/>
  <c r="AA256" i="16"/>
  <c r="Z256" i="16" s="1"/>
  <c r="Y256" i="16" s="1"/>
  <c r="AA323" i="16"/>
  <c r="Z323" i="16" s="1"/>
  <c r="Y323" i="16" s="1"/>
  <c r="AA202" i="16"/>
  <c r="Z202" i="16" s="1"/>
  <c r="Y202" i="16" s="1"/>
  <c r="AA307" i="16"/>
  <c r="Z307" i="16" s="1"/>
  <c r="Y307" i="16" s="1"/>
  <c r="G240" i="16"/>
  <c r="BY240" i="6" s="1"/>
  <c r="G153" i="16"/>
  <c r="BY153" i="6" s="1"/>
  <c r="AA33" i="16"/>
  <c r="Z33" i="16" s="1"/>
  <c r="Y33" i="16" s="1"/>
  <c r="G65" i="16"/>
  <c r="BY65" i="6" s="1"/>
  <c r="H63" i="19"/>
  <c r="H49" i="16"/>
  <c r="J49" i="16" s="1"/>
  <c r="H59" i="16"/>
  <c r="I59" i="16" s="1"/>
  <c r="H326" i="16"/>
  <c r="J326" i="16" s="1"/>
  <c r="H235" i="16"/>
  <c r="I235" i="16" s="1"/>
  <c r="H207" i="16"/>
  <c r="J207" i="16" s="1"/>
  <c r="F228" i="16"/>
  <c r="G228" i="16" s="1"/>
  <c r="BY228" i="6" s="1"/>
  <c r="H179" i="16"/>
  <c r="J179" i="16" s="1"/>
  <c r="AA231" i="16"/>
  <c r="Z231" i="16" s="1"/>
  <c r="Y231" i="16" s="1"/>
  <c r="H208" i="16"/>
  <c r="J208" i="16" s="1"/>
  <c r="H196" i="16"/>
  <c r="J196" i="16" s="1"/>
  <c r="F197" i="16"/>
  <c r="H197" i="16" s="1"/>
  <c r="J197" i="16" s="1"/>
  <c r="G188" i="16"/>
  <c r="BY188" i="6" s="1"/>
  <c r="H274" i="16"/>
  <c r="I274" i="16" s="1"/>
  <c r="F29" i="16"/>
  <c r="G29" i="16" s="1"/>
  <c r="BY29" i="6" s="1"/>
  <c r="G288" i="16"/>
  <c r="BY288" i="6" s="1"/>
  <c r="G212" i="16"/>
  <c r="BY212" i="6" s="1"/>
  <c r="AA39" i="16"/>
  <c r="Z39" i="16" s="1"/>
  <c r="Y39" i="16" s="1"/>
  <c r="AA219" i="16"/>
  <c r="Z219" i="16" s="1"/>
  <c r="Y219" i="16" s="1"/>
  <c r="H373" i="16"/>
  <c r="J373" i="16" s="1"/>
  <c r="G163" i="16"/>
  <c r="BY163" i="6" s="1"/>
  <c r="G248" i="16"/>
  <c r="BY248" i="6" s="1"/>
  <c r="U383" i="16"/>
  <c r="H165" i="16"/>
  <c r="I165" i="16" s="1"/>
  <c r="H355" i="16"/>
  <c r="I355" i="16" s="1"/>
  <c r="H37" i="16"/>
  <c r="I37" i="16" s="1"/>
  <c r="H78" i="16"/>
  <c r="I78" i="16" s="1"/>
  <c r="H38" i="16"/>
  <c r="I38" i="16" s="1"/>
  <c r="H218" i="16"/>
  <c r="I218" i="16" s="1"/>
  <c r="G199" i="16"/>
  <c r="BY199" i="6" s="1"/>
  <c r="G96" i="16"/>
  <c r="BY96" i="6" s="1"/>
  <c r="H365" i="16"/>
  <c r="J365" i="16" s="1"/>
  <c r="H245" i="16"/>
  <c r="I245" i="16" s="1"/>
  <c r="H192" i="16"/>
  <c r="J192" i="16" s="1"/>
  <c r="H124" i="16"/>
  <c r="J124" i="16" s="1"/>
  <c r="H234" i="16"/>
  <c r="J234" i="16" s="1"/>
  <c r="AA213" i="16"/>
  <c r="Z213" i="16" s="1"/>
  <c r="Y213" i="16" s="1"/>
  <c r="K63" i="19"/>
  <c r="AI382" i="16"/>
  <c r="H27" i="16"/>
  <c r="I27" i="16" s="1"/>
  <c r="H160" i="16"/>
  <c r="I160" i="16" s="1"/>
  <c r="H79" i="16"/>
  <c r="J79" i="16" s="1"/>
  <c r="H35" i="16"/>
  <c r="I35" i="16" s="1"/>
  <c r="J153" i="16"/>
  <c r="H142" i="16"/>
  <c r="J142" i="16" s="1"/>
  <c r="H335" i="16"/>
  <c r="I335" i="16" s="1"/>
  <c r="J85" i="16"/>
  <c r="J35" i="19"/>
  <c r="E11" i="19"/>
  <c r="AC10" i="22"/>
  <c r="O10" i="22"/>
  <c r="I363" i="15"/>
  <c r="H363" i="16" s="1"/>
  <c r="J342" i="16"/>
  <c r="J300" i="16"/>
  <c r="L40" i="19"/>
  <c r="V379" i="16"/>
  <c r="F379" i="16" s="1"/>
  <c r="AA379" i="16" s="1"/>
  <c r="Z379" i="16" s="1"/>
  <c r="Y379" i="16" s="1"/>
  <c r="D37" i="19"/>
  <c r="P10" i="25"/>
  <c r="L20" i="19"/>
  <c r="BR11" i="7"/>
  <c r="BP15" i="7"/>
  <c r="BQ11" i="7"/>
  <c r="A7" i="6"/>
  <c r="J214" i="16"/>
  <c r="J169" i="16"/>
  <c r="I50" i="16"/>
  <c r="I33" i="16"/>
  <c r="I300" i="16"/>
  <c r="I328" i="16"/>
  <c r="I51" i="16"/>
  <c r="I190" i="16"/>
  <c r="J296" i="16"/>
  <c r="J332" i="16"/>
  <c r="I67" i="16"/>
  <c r="J366" i="16"/>
  <c r="J349" i="16"/>
  <c r="J96" i="16"/>
  <c r="J204" i="16"/>
  <c r="J248" i="16"/>
  <c r="J20" i="16"/>
  <c r="I63" i="19"/>
  <c r="C63" i="19"/>
  <c r="J32" i="15"/>
  <c r="I32" i="15"/>
  <c r="H32" i="16" s="1"/>
  <c r="I32" i="16" s="1"/>
  <c r="F210" i="16"/>
  <c r="G210" i="16" s="1"/>
  <c r="BY210" i="6" s="1"/>
  <c r="F63" i="19"/>
  <c r="I36" i="16"/>
  <c r="I314" i="16"/>
  <c r="J146" i="16"/>
  <c r="J374" i="16"/>
  <c r="I374" i="16"/>
  <c r="I194" i="16"/>
  <c r="AA333" i="16"/>
  <c r="Z333" i="16" s="1"/>
  <c r="Y333" i="16" s="1"/>
  <c r="AA149" i="16"/>
  <c r="Z149" i="16" s="1"/>
  <c r="Y149" i="16" s="1"/>
  <c r="G149" i="16"/>
  <c r="BY149" i="6" s="1"/>
  <c r="I155" i="16"/>
  <c r="J46" i="15"/>
  <c r="I46" i="15"/>
  <c r="H46" i="16" s="1"/>
  <c r="J270" i="16"/>
  <c r="I270" i="16"/>
  <c r="J186" i="16"/>
  <c r="I186" i="16"/>
  <c r="J188" i="16"/>
  <c r="I188" i="16"/>
  <c r="I212" i="16"/>
  <c r="J212" i="16"/>
  <c r="I287" i="16"/>
  <c r="J287" i="16"/>
  <c r="T382" i="16"/>
  <c r="T383" i="16"/>
  <c r="S15" i="16"/>
  <c r="T381" i="16"/>
  <c r="J333" i="15"/>
  <c r="I333" i="15"/>
  <c r="H333" i="16" s="1"/>
  <c r="I55" i="16"/>
  <c r="I92" i="16"/>
  <c r="J92" i="16"/>
  <c r="I21" i="16"/>
  <c r="J347" i="16"/>
  <c r="I347" i="16"/>
  <c r="I358" i="16"/>
  <c r="J358" i="16"/>
  <c r="F180" i="16"/>
  <c r="I126" i="16"/>
  <c r="J126" i="16"/>
  <c r="J240" i="16"/>
  <c r="I240" i="16"/>
  <c r="J110" i="16"/>
  <c r="I110" i="16"/>
  <c r="I303" i="16"/>
  <c r="J303" i="16"/>
  <c r="J344" i="16"/>
  <c r="I344" i="16"/>
  <c r="I99" i="16"/>
  <c r="J99" i="16"/>
  <c r="J321" i="16"/>
  <c r="I321" i="16"/>
  <c r="AA106" i="16"/>
  <c r="Z106" i="16" s="1"/>
  <c r="Y106" i="16" s="1"/>
  <c r="G106" i="16"/>
  <c r="BY106" i="6" s="1"/>
  <c r="H106" i="16"/>
  <c r="I250" i="16"/>
  <c r="J250" i="16"/>
  <c r="J39" i="16"/>
  <c r="I39" i="16"/>
  <c r="J378" i="16"/>
  <c r="I378" i="16"/>
  <c r="I163" i="16"/>
  <c r="J163" i="16"/>
  <c r="I109" i="16"/>
  <c r="J109" i="16"/>
  <c r="J40" i="16"/>
  <c r="I40" i="16"/>
  <c r="I310" i="16"/>
  <c r="J310" i="16"/>
  <c r="J319" i="15"/>
  <c r="I319" i="15"/>
  <c r="H319" i="16" s="1"/>
  <c r="I144" i="16"/>
  <c r="J144" i="16"/>
  <c r="J189" i="15"/>
  <c r="I189" i="15"/>
  <c r="H189" i="16" s="1"/>
  <c r="J31" i="16"/>
  <c r="I291" i="16"/>
  <c r="J291" i="16"/>
  <c r="I62" i="16"/>
  <c r="J62" i="16"/>
  <c r="I87" i="16"/>
  <c r="J137" i="16"/>
  <c r="I298" i="16"/>
  <c r="J298" i="16"/>
  <c r="J120" i="16"/>
  <c r="I120" i="16"/>
  <c r="G330" i="16"/>
  <c r="BY330" i="6" s="1"/>
  <c r="AA330" i="16"/>
  <c r="Z330" i="16" s="1"/>
  <c r="Y330" i="16" s="1"/>
  <c r="G241" i="16"/>
  <c r="BY241" i="6" s="1"/>
  <c r="H241" i="16"/>
  <c r="AA241" i="16"/>
  <c r="Z241" i="16" s="1"/>
  <c r="Y241" i="16" s="1"/>
  <c r="J233" i="16"/>
  <c r="I233" i="16"/>
  <c r="I68" i="16"/>
  <c r="J68" i="16"/>
  <c r="I199" i="16"/>
  <c r="J199" i="16"/>
  <c r="J238" i="16"/>
  <c r="I238" i="16"/>
  <c r="J280" i="16"/>
  <c r="I280" i="16"/>
  <c r="I295" i="16"/>
  <c r="J295" i="16"/>
  <c r="J243" i="16"/>
  <c r="I243" i="16"/>
  <c r="G363" i="16"/>
  <c r="BY363" i="6" s="1"/>
  <c r="AA363" i="16"/>
  <c r="Z363" i="16" s="1"/>
  <c r="Y363" i="16" s="1"/>
  <c r="I361" i="16"/>
  <c r="AL9" i="1"/>
  <c r="Z16" i="1"/>
  <c r="AA382" i="1"/>
  <c r="AA9" i="1"/>
  <c r="AM8" i="1"/>
  <c r="AA381" i="1"/>
  <c r="AA383" i="1"/>
  <c r="J294" i="16"/>
  <c r="I294" i="16"/>
  <c r="I172" i="16"/>
  <c r="J172" i="16"/>
  <c r="I315" i="16"/>
  <c r="J315" i="16"/>
  <c r="I201" i="16"/>
  <c r="J201" i="16"/>
  <c r="J217" i="16"/>
  <c r="I217" i="16"/>
  <c r="J263" i="16"/>
  <c r="I263" i="16"/>
  <c r="J176" i="16"/>
  <c r="I176" i="16"/>
  <c r="J262" i="16"/>
  <c r="I262" i="16"/>
  <c r="I102" i="16"/>
  <c r="J102" i="16"/>
  <c r="I330" i="15"/>
  <c r="H330" i="16" s="1"/>
  <c r="J330" i="15"/>
  <c r="J80" i="16"/>
  <c r="I227" i="15"/>
  <c r="H227" i="16" s="1"/>
  <c r="J227" i="15"/>
  <c r="I182" i="16"/>
  <c r="J182" i="16"/>
  <c r="J266" i="16"/>
  <c r="J193" i="16"/>
  <c r="I193" i="16"/>
  <c r="J370" i="16"/>
  <c r="I370" i="16"/>
  <c r="J283" i="16"/>
  <c r="I283" i="16"/>
  <c r="J170" i="16"/>
  <c r="I170" i="16"/>
  <c r="I278" i="16"/>
  <c r="J278" i="16"/>
  <c r="J131" i="16"/>
  <c r="I131" i="16"/>
  <c r="I128" i="16"/>
  <c r="J128" i="16"/>
  <c r="D63" i="19"/>
  <c r="I268" i="16"/>
  <c r="G47" i="16"/>
  <c r="BY47" i="6" s="1"/>
  <c r="AA47" i="16"/>
  <c r="Z47" i="16" s="1"/>
  <c r="Y47" i="16" s="1"/>
  <c r="H47" i="16"/>
  <c r="J195" i="16"/>
  <c r="I195" i="16"/>
  <c r="J69" i="16"/>
  <c r="I69" i="16"/>
  <c r="J191" i="16"/>
  <c r="I191" i="16"/>
  <c r="J334" i="15"/>
  <c r="I334" i="15"/>
  <c r="H334" i="16" s="1"/>
  <c r="J94" i="15"/>
  <c r="I94" i="15"/>
  <c r="H94" i="16" s="1"/>
  <c r="I331" i="15"/>
  <c r="H331" i="16" s="1"/>
  <c r="J331" i="15"/>
  <c r="I354" i="15"/>
  <c r="H354" i="16" s="1"/>
  <c r="J354" i="15"/>
  <c r="Q10" i="18"/>
  <c r="Q205" i="18" s="1"/>
  <c r="AA77" i="15"/>
  <c r="Z77" i="15" s="1"/>
  <c r="Y77" i="15" s="1"/>
  <c r="H77" i="15"/>
  <c r="G77" i="15"/>
  <c r="BX77" i="6" s="1"/>
  <c r="J56" i="16"/>
  <c r="I56" i="16"/>
  <c r="J340" i="16"/>
  <c r="J44" i="16"/>
  <c r="I129" i="16"/>
  <c r="J129" i="16"/>
  <c r="I73" i="16"/>
  <c r="J73" i="16"/>
  <c r="I100" i="16"/>
  <c r="J100" i="16"/>
  <c r="I101" i="16"/>
  <c r="J101" i="16"/>
  <c r="I246" i="16"/>
  <c r="J246" i="16"/>
  <c r="I149" i="15"/>
  <c r="H149" i="16" s="1"/>
  <c r="J149" i="15"/>
  <c r="R381" i="15"/>
  <c r="R383" i="15"/>
  <c r="R382" i="15"/>
  <c r="P15" i="15"/>
  <c r="I338" i="16"/>
  <c r="J338" i="16"/>
  <c r="I57" i="16"/>
  <c r="F320" i="16"/>
  <c r="I261" i="16"/>
  <c r="J261" i="16"/>
  <c r="J108" i="16"/>
  <c r="I108" i="16"/>
  <c r="J171" i="16"/>
  <c r="I171" i="16"/>
  <c r="I72" i="16"/>
  <c r="J72" i="16"/>
  <c r="J65" i="16"/>
  <c r="I65" i="16"/>
  <c r="J267" i="16"/>
  <c r="I267" i="16"/>
  <c r="J380" i="16"/>
  <c r="I380" i="16"/>
  <c r="H380" i="17" s="1"/>
  <c r="I209" i="16"/>
  <c r="J209" i="16"/>
  <c r="I135" i="15"/>
  <c r="H135" i="16" s="1"/>
  <c r="J135" i="15"/>
  <c r="I91" i="16"/>
  <c r="J91" i="16"/>
  <c r="J30" i="16"/>
  <c r="J22" i="16"/>
  <c r="I22" i="16"/>
  <c r="J362" i="16"/>
  <c r="I289" i="16"/>
  <c r="J289" i="16"/>
  <c r="J279" i="16"/>
  <c r="I279" i="16"/>
  <c r="AA289" i="16"/>
  <c r="Z289" i="16" s="1"/>
  <c r="Y289" i="16" s="1"/>
  <c r="G289" i="16"/>
  <c r="BY289" i="6" s="1"/>
  <c r="F259" i="16"/>
  <c r="J224" i="16"/>
  <c r="I224" i="16"/>
  <c r="I175" i="16"/>
  <c r="J175" i="16"/>
  <c r="I345" i="16"/>
  <c r="I88" i="15"/>
  <c r="J88" i="15"/>
  <c r="J293" i="15"/>
  <c r="I293" i="15"/>
  <c r="H293" i="16" s="1"/>
  <c r="J25" i="16"/>
  <c r="I42" i="16"/>
  <c r="I341" i="16"/>
  <c r="J341" i="16"/>
  <c r="I28" i="16"/>
  <c r="J147" i="16"/>
  <c r="I147" i="16"/>
  <c r="J237" i="16"/>
  <c r="I237" i="16"/>
  <c r="I251" i="16"/>
  <c r="J251" i="16"/>
  <c r="F136" i="16"/>
  <c r="AA46" i="16"/>
  <c r="Z46" i="16" s="1"/>
  <c r="Y46" i="16" s="1"/>
  <c r="G46" i="16"/>
  <c r="BY46" i="6" s="1"/>
  <c r="J359" i="16"/>
  <c r="I359" i="16"/>
  <c r="J220" i="16"/>
  <c r="I220" i="16"/>
  <c r="I114" i="16"/>
  <c r="J114" i="16"/>
  <c r="J226" i="16"/>
  <c r="I226" i="16"/>
  <c r="J162" i="16"/>
  <c r="I162" i="16"/>
  <c r="I185" i="16"/>
  <c r="J185" i="16"/>
  <c r="J177" i="16"/>
  <c r="I177" i="16"/>
  <c r="I52" i="16"/>
  <c r="J52" i="16"/>
  <c r="I230" i="16"/>
  <c r="J230" i="16"/>
  <c r="I242" i="16"/>
  <c r="J242" i="16"/>
  <c r="J74" i="16"/>
  <c r="AA302" i="16"/>
  <c r="Z302" i="16" s="1"/>
  <c r="Y302" i="16" s="1"/>
  <c r="H302" i="16"/>
  <c r="G302" i="16"/>
  <c r="BY302" i="6" s="1"/>
  <c r="AF381" i="15"/>
  <c r="AD15" i="15"/>
  <c r="AF383" i="15"/>
  <c r="AF382" i="15"/>
  <c r="I41" i="16"/>
  <c r="J41" i="16"/>
  <c r="I305" i="16"/>
  <c r="J305" i="16"/>
  <c r="I239" i="16"/>
  <c r="J239" i="16"/>
  <c r="J351" i="16"/>
  <c r="I351" i="16"/>
  <c r="J107" i="16"/>
  <c r="I107" i="16"/>
  <c r="I200" i="16"/>
  <c r="J200" i="16"/>
  <c r="J364" i="16"/>
  <c r="I364" i="16"/>
  <c r="J372" i="16"/>
  <c r="I372" i="16"/>
  <c r="J285" i="16"/>
  <c r="I285" i="16"/>
  <c r="U16" i="7"/>
  <c r="J308" i="16"/>
  <c r="I308" i="16"/>
  <c r="F75" i="16"/>
  <c r="J168" i="16"/>
  <c r="I168" i="16"/>
  <c r="I292" i="16"/>
  <c r="J292" i="16"/>
  <c r="J211" i="16"/>
  <c r="I211" i="16"/>
  <c r="J113" i="16"/>
  <c r="I113" i="16"/>
  <c r="J58" i="15"/>
  <c r="I58" i="15"/>
  <c r="H58" i="16" s="1"/>
  <c r="I336" i="15"/>
  <c r="H336" i="16" s="1"/>
  <c r="J336" i="15"/>
  <c r="J320" i="15"/>
  <c r="I320" i="15"/>
  <c r="AA15" i="7"/>
  <c r="AE11" i="18"/>
  <c r="AI11" i="18"/>
  <c r="F11" i="19"/>
  <c r="AL6" i="1"/>
  <c r="AL12" i="1" s="1"/>
  <c r="L63" i="19" l="1"/>
  <c r="I24" i="16"/>
  <c r="I299" i="16"/>
  <c r="I43" i="16"/>
  <c r="I353" i="16"/>
  <c r="J26" i="16"/>
  <c r="J229" i="16"/>
  <c r="J161" i="16"/>
  <c r="I258" i="16"/>
  <c r="J282" i="16"/>
  <c r="J140" i="16"/>
  <c r="I367" i="16"/>
  <c r="I141" i="16"/>
  <c r="J17" i="16"/>
  <c r="J139" i="16"/>
  <c r="I104" i="16"/>
  <c r="I130" i="16"/>
  <c r="I213" i="16"/>
  <c r="J103" i="16"/>
  <c r="AI348" i="17"/>
  <c r="AH348" i="17" s="1"/>
  <c r="AG348" i="17" s="1"/>
  <c r="AF348" i="17" s="1"/>
  <c r="AD348" i="17" s="1"/>
  <c r="AI176" i="17"/>
  <c r="AH176" i="17" s="1"/>
  <c r="AG176" i="17" s="1"/>
  <c r="AF176" i="17" s="1"/>
  <c r="AD176" i="17" s="1"/>
  <c r="AI52" i="17"/>
  <c r="AH52" i="17" s="1"/>
  <c r="AG52" i="17" s="1"/>
  <c r="AF52" i="17" s="1"/>
  <c r="AD52" i="17" s="1"/>
  <c r="AI25" i="17"/>
  <c r="AH25" i="17" s="1"/>
  <c r="AG25" i="17" s="1"/>
  <c r="AF25" i="17" s="1"/>
  <c r="AD25" i="17" s="1"/>
  <c r="AI56" i="17"/>
  <c r="AH56" i="17" s="1"/>
  <c r="AI291" i="17"/>
  <c r="AH291" i="17" s="1"/>
  <c r="AG291" i="17" s="1"/>
  <c r="AF291" i="17" s="1"/>
  <c r="AD291" i="17" s="1"/>
  <c r="U323" i="17"/>
  <c r="T323" i="17" s="1"/>
  <c r="S323" i="17" s="1"/>
  <c r="R323" i="17" s="1"/>
  <c r="P323" i="17" s="1"/>
  <c r="V323" i="17" s="1"/>
  <c r="F323" i="17" s="1"/>
  <c r="G323" i="17" s="1"/>
  <c r="BZ323" i="6" s="1"/>
  <c r="U275" i="17"/>
  <c r="T275" i="17" s="1"/>
  <c r="S275" i="17" s="1"/>
  <c r="R275" i="17" s="1"/>
  <c r="P275" i="17" s="1"/>
  <c r="V275" i="17" s="1"/>
  <c r="F275" i="17" s="1"/>
  <c r="H275" i="17" s="1"/>
  <c r="U102" i="17"/>
  <c r="T102" i="17" s="1"/>
  <c r="S102" i="17" s="1"/>
  <c r="R102" i="17" s="1"/>
  <c r="P102" i="17" s="1"/>
  <c r="V102" i="17" s="1"/>
  <c r="F102" i="17" s="1"/>
  <c r="G102" i="17" s="1"/>
  <c r="BZ102" i="6" s="1"/>
  <c r="U78" i="17"/>
  <c r="T78" i="17" s="1"/>
  <c r="S78" i="17" s="1"/>
  <c r="R78" i="17" s="1"/>
  <c r="P78" i="17" s="1"/>
  <c r="V78" i="17" s="1"/>
  <c r="F78" i="17" s="1"/>
  <c r="H78" i="17" s="1"/>
  <c r="U145" i="17"/>
  <c r="T145" i="17" s="1"/>
  <c r="S145" i="17" s="1"/>
  <c r="R145" i="17" s="1"/>
  <c r="P145" i="17" s="1"/>
  <c r="V145" i="17" s="1"/>
  <c r="F145" i="17" s="1"/>
  <c r="G145" i="17" s="1"/>
  <c r="BZ145" i="6" s="1"/>
  <c r="U33" i="17"/>
  <c r="T33" i="17" s="1"/>
  <c r="S33" i="17" s="1"/>
  <c r="R33" i="17" s="1"/>
  <c r="P33" i="17" s="1"/>
  <c r="V33" i="17" s="1"/>
  <c r="F33" i="17" s="1"/>
  <c r="H33" i="17" s="1"/>
  <c r="I33" i="17" s="1"/>
  <c r="U366" i="17"/>
  <c r="T366" i="17" s="1"/>
  <c r="S366" i="17" s="1"/>
  <c r="R366" i="17" s="1"/>
  <c r="P366" i="17" s="1"/>
  <c r="V366" i="17" s="1"/>
  <c r="F366" i="17" s="1"/>
  <c r="G366" i="17" s="1"/>
  <c r="BZ366" i="6" s="1"/>
  <c r="AI371" i="17"/>
  <c r="AH371" i="17" s="1"/>
  <c r="AG371" i="17" s="1"/>
  <c r="AF371" i="17" s="1"/>
  <c r="AD371" i="17" s="1"/>
  <c r="AI326" i="17"/>
  <c r="AH326" i="17" s="1"/>
  <c r="AG326" i="17" s="1"/>
  <c r="AF326" i="17" s="1"/>
  <c r="AD326" i="17" s="1"/>
  <c r="AI57" i="17"/>
  <c r="AH57" i="17" s="1"/>
  <c r="AG57" i="17" s="1"/>
  <c r="AF57" i="17" s="1"/>
  <c r="AD57" i="17" s="1"/>
  <c r="AI26" i="17"/>
  <c r="AH26" i="17" s="1"/>
  <c r="AG26" i="17" s="1"/>
  <c r="AF26" i="17" s="1"/>
  <c r="AD26" i="17" s="1"/>
  <c r="AI123" i="17"/>
  <c r="AH123" i="17" s="1"/>
  <c r="AG123" i="17" s="1"/>
  <c r="AF123" i="17" s="1"/>
  <c r="AD123" i="17" s="1"/>
  <c r="AI293" i="17"/>
  <c r="AH293" i="17" s="1"/>
  <c r="AG293" i="17" s="1"/>
  <c r="AF293" i="17" s="1"/>
  <c r="AD293" i="17" s="1"/>
  <c r="U196" i="17"/>
  <c r="T196" i="17" s="1"/>
  <c r="S196" i="17" s="1"/>
  <c r="R196" i="17" s="1"/>
  <c r="P196" i="17" s="1"/>
  <c r="V196" i="17" s="1"/>
  <c r="F196" i="17" s="1"/>
  <c r="G196" i="17" s="1"/>
  <c r="BZ196" i="6" s="1"/>
  <c r="U300" i="17"/>
  <c r="T300" i="17" s="1"/>
  <c r="S300" i="17" s="1"/>
  <c r="R300" i="17" s="1"/>
  <c r="P300" i="17" s="1"/>
  <c r="V300" i="17" s="1"/>
  <c r="F300" i="17" s="1"/>
  <c r="G300" i="17" s="1"/>
  <c r="BZ300" i="6" s="1"/>
  <c r="U168" i="17"/>
  <c r="T168" i="17" s="1"/>
  <c r="S168" i="17" s="1"/>
  <c r="R168" i="17" s="1"/>
  <c r="P168" i="17" s="1"/>
  <c r="V168" i="17" s="1"/>
  <c r="F168" i="17" s="1"/>
  <c r="G168" i="17" s="1"/>
  <c r="BZ168" i="6" s="1"/>
  <c r="U213" i="17"/>
  <c r="T213" i="17" s="1"/>
  <c r="S213" i="17" s="1"/>
  <c r="R213" i="17" s="1"/>
  <c r="P213" i="17" s="1"/>
  <c r="V213" i="17" s="1"/>
  <c r="F213" i="17" s="1"/>
  <c r="H213" i="17" s="1"/>
  <c r="U152" i="17"/>
  <c r="T152" i="17" s="1"/>
  <c r="S152" i="17" s="1"/>
  <c r="R152" i="17" s="1"/>
  <c r="P152" i="17" s="1"/>
  <c r="V152" i="17" s="1"/>
  <c r="F152" i="17" s="1"/>
  <c r="H152" i="17" s="1"/>
  <c r="U26" i="17"/>
  <c r="T26" i="17" s="1"/>
  <c r="S26" i="17" s="1"/>
  <c r="R26" i="17" s="1"/>
  <c r="P26" i="17" s="1"/>
  <c r="V26" i="17" s="1"/>
  <c r="F26" i="17" s="1"/>
  <c r="H26" i="17" s="1"/>
  <c r="Q93" i="18"/>
  <c r="U311" i="17"/>
  <c r="T311" i="17" s="1"/>
  <c r="S311" i="17" s="1"/>
  <c r="R311" i="17" s="1"/>
  <c r="P311" i="17" s="1"/>
  <c r="V311" i="17" s="1"/>
  <c r="F311" i="17" s="1"/>
  <c r="U208" i="17"/>
  <c r="T208" i="17" s="1"/>
  <c r="S208" i="17" s="1"/>
  <c r="R208" i="17" s="1"/>
  <c r="P208" i="17" s="1"/>
  <c r="V208" i="17" s="1"/>
  <c r="F208" i="17" s="1"/>
  <c r="G208" i="17" s="1"/>
  <c r="BZ208" i="6" s="1"/>
  <c r="U133" i="17"/>
  <c r="T133" i="17" s="1"/>
  <c r="S133" i="17" s="1"/>
  <c r="R133" i="17" s="1"/>
  <c r="P133" i="17" s="1"/>
  <c r="V133" i="17" s="1"/>
  <c r="F133" i="17" s="1"/>
  <c r="H133" i="17" s="1"/>
  <c r="U23" i="17"/>
  <c r="T23" i="17" s="1"/>
  <c r="S23" i="17" s="1"/>
  <c r="R23" i="17" s="1"/>
  <c r="P23" i="17" s="1"/>
  <c r="V23" i="17" s="1"/>
  <c r="F23" i="17" s="1"/>
  <c r="G23" i="17" s="1"/>
  <c r="BZ23" i="6" s="1"/>
  <c r="U292" i="17"/>
  <c r="T292" i="17" s="1"/>
  <c r="S292" i="17" s="1"/>
  <c r="R292" i="17" s="1"/>
  <c r="P292" i="17" s="1"/>
  <c r="V292" i="17" s="1"/>
  <c r="F292" i="17" s="1"/>
  <c r="H292" i="17" s="1"/>
  <c r="U195" i="17"/>
  <c r="T195" i="17" s="1"/>
  <c r="S195" i="17" s="1"/>
  <c r="R195" i="17" s="1"/>
  <c r="P195" i="17" s="1"/>
  <c r="V195" i="17" s="1"/>
  <c r="F195" i="17" s="1"/>
  <c r="G195" i="17" s="1"/>
  <c r="BZ195" i="6" s="1"/>
  <c r="U222" i="17"/>
  <c r="T222" i="17" s="1"/>
  <c r="S222" i="17" s="1"/>
  <c r="R222" i="17" s="1"/>
  <c r="P222" i="17" s="1"/>
  <c r="V222" i="17" s="1"/>
  <c r="F222" i="17" s="1"/>
  <c r="H222" i="17" s="1"/>
  <c r="U119" i="17"/>
  <c r="T119" i="17" s="1"/>
  <c r="S119" i="17" s="1"/>
  <c r="R119" i="17" s="1"/>
  <c r="P119" i="17" s="1"/>
  <c r="V119" i="17" s="1"/>
  <c r="F119" i="17" s="1"/>
  <c r="U82" i="17"/>
  <c r="T82" i="17" s="1"/>
  <c r="S82" i="17" s="1"/>
  <c r="R82" i="17" s="1"/>
  <c r="P82" i="17" s="1"/>
  <c r="V82" i="17" s="1"/>
  <c r="F82" i="17" s="1"/>
  <c r="U200" i="17"/>
  <c r="T200" i="17" s="1"/>
  <c r="S200" i="17" s="1"/>
  <c r="R200" i="17" s="1"/>
  <c r="P200" i="17" s="1"/>
  <c r="V200" i="17" s="1"/>
  <c r="F200" i="17" s="1"/>
  <c r="G200" i="17" s="1"/>
  <c r="BZ200" i="6" s="1"/>
  <c r="U302" i="17"/>
  <c r="T302" i="17" s="1"/>
  <c r="S302" i="17" s="1"/>
  <c r="R302" i="17" s="1"/>
  <c r="P302" i="17" s="1"/>
  <c r="D65" i="7" s="1"/>
  <c r="U312" i="17"/>
  <c r="T312" i="17" s="1"/>
  <c r="S312" i="17" s="1"/>
  <c r="R312" i="17" s="1"/>
  <c r="P312" i="17" s="1"/>
  <c r="V312" i="17" s="1"/>
  <c r="F312" i="17" s="1"/>
  <c r="G312" i="17" s="1"/>
  <c r="BZ312" i="6" s="1"/>
  <c r="U251" i="17"/>
  <c r="T251" i="17" s="1"/>
  <c r="S251" i="17" s="1"/>
  <c r="R251" i="17" s="1"/>
  <c r="P251" i="17" s="1"/>
  <c r="V251" i="17" s="1"/>
  <c r="F251" i="17" s="1"/>
  <c r="G251" i="17" s="1"/>
  <c r="BZ251" i="6" s="1"/>
  <c r="J313" i="16"/>
  <c r="J273" i="16"/>
  <c r="J284" i="16"/>
  <c r="AH383" i="16"/>
  <c r="AI53" i="17"/>
  <c r="AH53" i="17" s="1"/>
  <c r="AI329" i="17"/>
  <c r="AH329" i="17" s="1"/>
  <c r="AG329" i="17" s="1"/>
  <c r="AF329" i="17" s="1"/>
  <c r="AD329" i="17" s="1"/>
  <c r="AI189" i="17"/>
  <c r="AH189" i="17" s="1"/>
  <c r="AG189" i="17" s="1"/>
  <c r="AF189" i="17" s="1"/>
  <c r="AD189" i="17" s="1"/>
  <c r="AI150" i="17"/>
  <c r="AH150" i="17" s="1"/>
  <c r="AG150" i="17" s="1"/>
  <c r="AF150" i="17" s="1"/>
  <c r="AD150" i="17" s="1"/>
  <c r="AI148" i="17"/>
  <c r="AH148" i="17" s="1"/>
  <c r="AG148" i="17" s="1"/>
  <c r="AF148" i="17" s="1"/>
  <c r="AD148" i="17" s="1"/>
  <c r="AI89" i="17"/>
  <c r="AH89" i="17" s="1"/>
  <c r="AG89" i="17" s="1"/>
  <c r="AF89" i="17" s="1"/>
  <c r="AD89" i="17" s="1"/>
  <c r="AI265" i="17"/>
  <c r="AH265" i="17" s="1"/>
  <c r="AG265" i="17" s="1"/>
  <c r="AF265" i="17" s="1"/>
  <c r="AD265" i="17" s="1"/>
  <c r="AI255" i="17"/>
  <c r="AH255" i="17" s="1"/>
  <c r="AG255" i="17" s="1"/>
  <c r="AF255" i="17" s="1"/>
  <c r="AD255" i="17" s="1"/>
  <c r="AI306" i="17"/>
  <c r="AH306" i="17" s="1"/>
  <c r="AG306" i="17" s="1"/>
  <c r="AF306" i="17" s="1"/>
  <c r="AD306" i="17" s="1"/>
  <c r="AI113" i="17"/>
  <c r="AH113" i="17" s="1"/>
  <c r="AG113" i="17" s="1"/>
  <c r="AF113" i="17" s="1"/>
  <c r="AD113" i="17" s="1"/>
  <c r="AI128" i="17"/>
  <c r="AH128" i="17" s="1"/>
  <c r="AG128" i="17" s="1"/>
  <c r="AF128" i="17" s="1"/>
  <c r="AD128" i="17" s="1"/>
  <c r="J275" i="16"/>
  <c r="I215" i="16"/>
  <c r="J203" i="16"/>
  <c r="J18" i="16"/>
  <c r="J66" i="16"/>
  <c r="I45" i="16"/>
  <c r="J221" i="16"/>
  <c r="J138" i="16"/>
  <c r="I365" i="16"/>
  <c r="I324" i="16"/>
  <c r="J183" i="16"/>
  <c r="J154" i="16"/>
  <c r="J134" i="16"/>
  <c r="I178" i="16"/>
  <c r="J218" i="16"/>
  <c r="I142" i="16"/>
  <c r="H88" i="16"/>
  <c r="I88" i="16" s="1"/>
  <c r="I127" i="16"/>
  <c r="J216" i="16"/>
  <c r="J253" i="16"/>
  <c r="J112" i="16"/>
  <c r="G60" i="16"/>
  <c r="BY60" i="6" s="1"/>
  <c r="J156" i="16"/>
  <c r="J158" i="16"/>
  <c r="I48" i="16"/>
  <c r="AA88" i="16"/>
  <c r="Z88" i="16" s="1"/>
  <c r="Y88" i="16" s="1"/>
  <c r="I368" i="16"/>
  <c r="J122" i="16"/>
  <c r="H272" i="16"/>
  <c r="I272" i="16" s="1"/>
  <c r="I164" i="16"/>
  <c r="J159" i="16"/>
  <c r="J265" i="16"/>
  <c r="I95" i="16"/>
  <c r="I82" i="16"/>
  <c r="I325" i="16"/>
  <c r="Q92" i="18"/>
  <c r="H167" i="16"/>
  <c r="I167" i="16" s="1"/>
  <c r="U268" i="17"/>
  <c r="T268" i="17" s="1"/>
  <c r="S268" i="17" s="1"/>
  <c r="R268" i="17" s="1"/>
  <c r="P268" i="17" s="1"/>
  <c r="V268" i="17" s="1"/>
  <c r="F268" i="17" s="1"/>
  <c r="G268" i="17" s="1"/>
  <c r="BZ268" i="6" s="1"/>
  <c r="U243" i="17"/>
  <c r="T243" i="17" s="1"/>
  <c r="S243" i="17" s="1"/>
  <c r="R243" i="17" s="1"/>
  <c r="P243" i="17" s="1"/>
  <c r="V243" i="17" s="1"/>
  <c r="F243" i="17" s="1"/>
  <c r="G243" i="17" s="1"/>
  <c r="BZ243" i="6" s="1"/>
  <c r="U185" i="17"/>
  <c r="T185" i="17" s="1"/>
  <c r="S185" i="17" s="1"/>
  <c r="R185" i="17" s="1"/>
  <c r="P185" i="17" s="1"/>
  <c r="V185" i="17" s="1"/>
  <c r="F185" i="17" s="1"/>
  <c r="G185" i="17" s="1"/>
  <c r="BZ185" i="6" s="1"/>
  <c r="U91" i="17"/>
  <c r="T91" i="17" s="1"/>
  <c r="S91" i="17" s="1"/>
  <c r="R91" i="17" s="1"/>
  <c r="P91" i="17" s="1"/>
  <c r="V91" i="17" s="1"/>
  <c r="F91" i="17" s="1"/>
  <c r="G91" i="17" s="1"/>
  <c r="BZ91" i="6" s="1"/>
  <c r="U17" i="17"/>
  <c r="T17" i="17" s="1"/>
  <c r="S17" i="17" s="1"/>
  <c r="R17" i="17" s="1"/>
  <c r="P17" i="17" s="1"/>
  <c r="V17" i="17" s="1"/>
  <c r="F17" i="17" s="1"/>
  <c r="G17" i="17" s="1"/>
  <c r="BZ17" i="6" s="1"/>
  <c r="U137" i="17"/>
  <c r="T137" i="17" s="1"/>
  <c r="S137" i="17" s="1"/>
  <c r="R137" i="17" s="1"/>
  <c r="P137" i="17" s="1"/>
  <c r="V137" i="17" s="1"/>
  <c r="F137" i="17" s="1"/>
  <c r="H137" i="17" s="1"/>
  <c r="U65" i="17"/>
  <c r="T65" i="17" s="1"/>
  <c r="S65" i="17" s="1"/>
  <c r="R65" i="17" s="1"/>
  <c r="P65" i="17" s="1"/>
  <c r="V65" i="17" s="1"/>
  <c r="F65" i="17" s="1"/>
  <c r="G65" i="17" s="1"/>
  <c r="BZ65" i="6" s="1"/>
  <c r="U42" i="17"/>
  <c r="T42" i="17" s="1"/>
  <c r="S42" i="17" s="1"/>
  <c r="R42" i="17" s="1"/>
  <c r="P42" i="17" s="1"/>
  <c r="V42" i="17" s="1"/>
  <c r="F42" i="17" s="1"/>
  <c r="G42" i="17" s="1"/>
  <c r="BZ42" i="6" s="1"/>
  <c r="U355" i="17"/>
  <c r="T355" i="17" s="1"/>
  <c r="S355" i="17" s="1"/>
  <c r="R355" i="17" s="1"/>
  <c r="P355" i="17" s="1"/>
  <c r="V355" i="17" s="1"/>
  <c r="F355" i="17" s="1"/>
  <c r="G355" i="17" s="1"/>
  <c r="BZ355" i="6" s="1"/>
  <c r="U374" i="17"/>
  <c r="T374" i="17" s="1"/>
  <c r="S374" i="17" s="1"/>
  <c r="R374" i="17" s="1"/>
  <c r="P374" i="17" s="1"/>
  <c r="V374" i="17" s="1"/>
  <c r="F374" i="17" s="1"/>
  <c r="H374" i="17" s="1"/>
  <c r="U317" i="17"/>
  <c r="T317" i="17" s="1"/>
  <c r="S317" i="17" s="1"/>
  <c r="R317" i="17" s="1"/>
  <c r="P317" i="17" s="1"/>
  <c r="V317" i="17" s="1"/>
  <c r="F317" i="17" s="1"/>
  <c r="G317" i="17" s="1"/>
  <c r="BZ317" i="6" s="1"/>
  <c r="U67" i="17"/>
  <c r="T67" i="17" s="1"/>
  <c r="S67" i="17" s="1"/>
  <c r="R67" i="17" s="1"/>
  <c r="P67" i="17" s="1"/>
  <c r="V67" i="17" s="1"/>
  <c r="F67" i="17" s="1"/>
  <c r="H67" i="17" s="1"/>
  <c r="I67" i="17" s="1"/>
  <c r="U101" i="17"/>
  <c r="T101" i="17" s="1"/>
  <c r="S101" i="17" s="1"/>
  <c r="R101" i="17" s="1"/>
  <c r="P101" i="17" s="1"/>
  <c r="V101" i="17" s="1"/>
  <c r="F101" i="17" s="1"/>
  <c r="G101" i="17" s="1"/>
  <c r="BZ101" i="6" s="1"/>
  <c r="U364" i="17"/>
  <c r="T364" i="17" s="1"/>
  <c r="S364" i="17" s="1"/>
  <c r="R364" i="17" s="1"/>
  <c r="P364" i="17" s="1"/>
  <c r="V364" i="17" s="1"/>
  <c r="F364" i="17" s="1"/>
  <c r="U245" i="17"/>
  <c r="T245" i="17" s="1"/>
  <c r="S245" i="17" s="1"/>
  <c r="R245" i="17" s="1"/>
  <c r="P245" i="17" s="1"/>
  <c r="V245" i="17" s="1"/>
  <c r="F245" i="17" s="1"/>
  <c r="H245" i="17" s="1"/>
  <c r="U181" i="17"/>
  <c r="T181" i="17" s="1"/>
  <c r="S181" i="17" s="1"/>
  <c r="R181" i="17" s="1"/>
  <c r="P181" i="17" s="1"/>
  <c r="V181" i="17" s="1"/>
  <c r="F181" i="17" s="1"/>
  <c r="G181" i="17" s="1"/>
  <c r="BZ181" i="6" s="1"/>
  <c r="U87" i="17"/>
  <c r="T87" i="17" s="1"/>
  <c r="S87" i="17" s="1"/>
  <c r="R87" i="17" s="1"/>
  <c r="P87" i="17" s="1"/>
  <c r="V87" i="17" s="1"/>
  <c r="F87" i="17" s="1"/>
  <c r="G87" i="17" s="1"/>
  <c r="BZ87" i="6" s="1"/>
  <c r="U191" i="17"/>
  <c r="T191" i="17" s="1"/>
  <c r="S191" i="17" s="1"/>
  <c r="R191" i="17" s="1"/>
  <c r="P191" i="17" s="1"/>
  <c r="V191" i="17" s="1"/>
  <c r="F191" i="17" s="1"/>
  <c r="G191" i="17" s="1"/>
  <c r="BZ191" i="6" s="1"/>
  <c r="U147" i="17"/>
  <c r="T147" i="17" s="1"/>
  <c r="S147" i="17" s="1"/>
  <c r="R147" i="17" s="1"/>
  <c r="P147" i="17" s="1"/>
  <c r="V147" i="17" s="1"/>
  <c r="F147" i="17" s="1"/>
  <c r="G147" i="17" s="1"/>
  <c r="BZ147" i="6" s="1"/>
  <c r="U76" i="17"/>
  <c r="T76" i="17" s="1"/>
  <c r="S76" i="17" s="1"/>
  <c r="R76" i="17" s="1"/>
  <c r="P76" i="17" s="1"/>
  <c r="V76" i="17" s="1"/>
  <c r="F76" i="17" s="1"/>
  <c r="G76" i="17" s="1"/>
  <c r="BZ76" i="6" s="1"/>
  <c r="U158" i="17"/>
  <c r="T158" i="17" s="1"/>
  <c r="S158" i="17" s="1"/>
  <c r="R158" i="17" s="1"/>
  <c r="P158" i="17" s="1"/>
  <c r="V158" i="17" s="1"/>
  <c r="F158" i="17" s="1"/>
  <c r="H158" i="17" s="1"/>
  <c r="U334" i="17"/>
  <c r="T334" i="17" s="1"/>
  <c r="S334" i="17" s="1"/>
  <c r="R334" i="17" s="1"/>
  <c r="P334" i="17" s="1"/>
  <c r="V334" i="17" s="1"/>
  <c r="F334" i="17" s="1"/>
  <c r="G334" i="17" s="1"/>
  <c r="BZ334" i="6" s="1"/>
  <c r="U235" i="17"/>
  <c r="T235" i="17" s="1"/>
  <c r="S235" i="17" s="1"/>
  <c r="R235" i="17" s="1"/>
  <c r="P235" i="17" s="1"/>
  <c r="V235" i="17" s="1"/>
  <c r="F235" i="17" s="1"/>
  <c r="G235" i="17" s="1"/>
  <c r="BZ235" i="6" s="1"/>
  <c r="U228" i="17"/>
  <c r="T228" i="17" s="1"/>
  <c r="S228" i="17" s="1"/>
  <c r="R228" i="17" s="1"/>
  <c r="P228" i="17" s="1"/>
  <c r="V228" i="17" s="1"/>
  <c r="F228" i="17" s="1"/>
  <c r="G228" i="17" s="1"/>
  <c r="BZ228" i="6" s="1"/>
  <c r="U303" i="17"/>
  <c r="T303" i="17" s="1"/>
  <c r="S303" i="17" s="1"/>
  <c r="R303" i="17" s="1"/>
  <c r="P303" i="17" s="1"/>
  <c r="V303" i="17" s="1"/>
  <c r="F303" i="17" s="1"/>
  <c r="G303" i="17" s="1"/>
  <c r="BZ303" i="6" s="1"/>
  <c r="U34" i="17"/>
  <c r="T34" i="17" s="1"/>
  <c r="S34" i="17" s="1"/>
  <c r="R34" i="17" s="1"/>
  <c r="P34" i="17" s="1"/>
  <c r="V34" i="17" s="1"/>
  <c r="F34" i="17" s="1"/>
  <c r="J54" i="16"/>
  <c r="AH381" i="16"/>
  <c r="AI351" i="17"/>
  <c r="AH351" i="17" s="1"/>
  <c r="AG351" i="17" s="1"/>
  <c r="AF351" i="17" s="1"/>
  <c r="AD351" i="17" s="1"/>
  <c r="AI280" i="17"/>
  <c r="AH280" i="17" s="1"/>
  <c r="AI288" i="17"/>
  <c r="AH288" i="17" s="1"/>
  <c r="AG288" i="17" s="1"/>
  <c r="AF288" i="17" s="1"/>
  <c r="AD288" i="17" s="1"/>
  <c r="AI94" i="17"/>
  <c r="AH94" i="17" s="1"/>
  <c r="AG94" i="17" s="1"/>
  <c r="AF94" i="17" s="1"/>
  <c r="AD94" i="17" s="1"/>
  <c r="AI343" i="17"/>
  <c r="AH343" i="17" s="1"/>
  <c r="AG343" i="17" s="1"/>
  <c r="AF343" i="17" s="1"/>
  <c r="AD343" i="17" s="1"/>
  <c r="AI49" i="17"/>
  <c r="AH49" i="17" s="1"/>
  <c r="AG49" i="17" s="1"/>
  <c r="AF49" i="17" s="1"/>
  <c r="AD49" i="17" s="1"/>
  <c r="AI244" i="17"/>
  <c r="AH244" i="17" s="1"/>
  <c r="AG244" i="17" s="1"/>
  <c r="AF244" i="17" s="1"/>
  <c r="AD244" i="17" s="1"/>
  <c r="AI203" i="17"/>
  <c r="AH203" i="17" s="1"/>
  <c r="AG203" i="17" s="1"/>
  <c r="AF203" i="17" s="1"/>
  <c r="AD203" i="17" s="1"/>
  <c r="AI167" i="17"/>
  <c r="AH167" i="17" s="1"/>
  <c r="AG167" i="17" s="1"/>
  <c r="AF167" i="17" s="1"/>
  <c r="AD167" i="17" s="1"/>
  <c r="AI35" i="17"/>
  <c r="AH35" i="17" s="1"/>
  <c r="AI126" i="17"/>
  <c r="AH126" i="17" s="1"/>
  <c r="AG126" i="17" s="1"/>
  <c r="AF126" i="17" s="1"/>
  <c r="AD126" i="17" s="1"/>
  <c r="AI339" i="17"/>
  <c r="AH339" i="17" s="1"/>
  <c r="AG339" i="17" s="1"/>
  <c r="AF339" i="17" s="1"/>
  <c r="AD339" i="17" s="1"/>
  <c r="AI251" i="17"/>
  <c r="AH251" i="17" s="1"/>
  <c r="AG251" i="17" s="1"/>
  <c r="AF251" i="17" s="1"/>
  <c r="AD251" i="17" s="1"/>
  <c r="AI302" i="17"/>
  <c r="AH302" i="17" s="1"/>
  <c r="AI249" i="17"/>
  <c r="AH249" i="17" s="1"/>
  <c r="AG249" i="17" s="1"/>
  <c r="AF249" i="17" s="1"/>
  <c r="AD249" i="17" s="1"/>
  <c r="AI214" i="17"/>
  <c r="AH214" i="17" s="1"/>
  <c r="AI34" i="17"/>
  <c r="AH34" i="17" s="1"/>
  <c r="AG34" i="17" s="1"/>
  <c r="AF34" i="17" s="1"/>
  <c r="AD34" i="17" s="1"/>
  <c r="AI114" i="17"/>
  <c r="AH114" i="17" s="1"/>
  <c r="AG114" i="17" s="1"/>
  <c r="AF114" i="17" s="1"/>
  <c r="AD114" i="17" s="1"/>
  <c r="AI269" i="17"/>
  <c r="AH269" i="17" s="1"/>
  <c r="AG269" i="17" s="1"/>
  <c r="AF269" i="17" s="1"/>
  <c r="AD269" i="17" s="1"/>
  <c r="AI98" i="17"/>
  <c r="AH98" i="17" s="1"/>
  <c r="AG98" i="17" s="1"/>
  <c r="AF98" i="17" s="1"/>
  <c r="AD98" i="17" s="1"/>
  <c r="AI68" i="17"/>
  <c r="AH68" i="17" s="1"/>
  <c r="AG68" i="17" s="1"/>
  <c r="AF68" i="17" s="1"/>
  <c r="AD68" i="17" s="1"/>
  <c r="I34" i="16"/>
  <c r="J84" i="16"/>
  <c r="J232" i="16"/>
  <c r="I346" i="16"/>
  <c r="J152" i="16"/>
  <c r="J83" i="16"/>
  <c r="J269" i="16"/>
  <c r="I244" i="16"/>
  <c r="I173" i="16"/>
  <c r="H60" i="16"/>
  <c r="I60" i="16" s="1"/>
  <c r="I256" i="16"/>
  <c r="I360" i="16"/>
  <c r="I132" i="16"/>
  <c r="I225" i="16"/>
  <c r="J249" i="16"/>
  <c r="J223" i="16"/>
  <c r="J222" i="16"/>
  <c r="J117" i="16"/>
  <c r="I81" i="16"/>
  <c r="J281" i="16"/>
  <c r="J93" i="16"/>
  <c r="AA119" i="16"/>
  <c r="Z119" i="16" s="1"/>
  <c r="Y119" i="16" s="1"/>
  <c r="I192" i="16"/>
  <c r="J327" i="16"/>
  <c r="I70" i="16"/>
  <c r="I202" i="16"/>
  <c r="I297" i="16"/>
  <c r="I79" i="16"/>
  <c r="J143" i="16"/>
  <c r="J111" i="16"/>
  <c r="I71" i="16"/>
  <c r="I371" i="16"/>
  <c r="G167" i="16"/>
  <c r="BY167" i="6" s="1"/>
  <c r="I151" i="16"/>
  <c r="J276" i="16"/>
  <c r="J231" i="16"/>
  <c r="I312" i="16"/>
  <c r="Q21" i="18"/>
  <c r="Q41" i="18"/>
  <c r="Q54" i="18"/>
  <c r="I306" i="16"/>
  <c r="G119" i="16"/>
  <c r="BY119" i="6" s="1"/>
  <c r="J247" i="16"/>
  <c r="I286" i="16"/>
  <c r="J277" i="16"/>
  <c r="J260" i="16"/>
  <c r="J369" i="16"/>
  <c r="J274" i="16"/>
  <c r="J174" i="16"/>
  <c r="I184" i="16"/>
  <c r="I181" i="16"/>
  <c r="I339" i="16"/>
  <c r="I311" i="16"/>
  <c r="H311" i="17" s="1"/>
  <c r="I86" i="16"/>
  <c r="AH382" i="16"/>
  <c r="J133" i="16"/>
  <c r="I236" i="16"/>
  <c r="J205" i="16"/>
  <c r="J76" i="16"/>
  <c r="I121" i="16"/>
  <c r="I375" i="16"/>
  <c r="J288" i="16"/>
  <c r="J61" i="16"/>
  <c r="I89" i="16"/>
  <c r="J118" i="16"/>
  <c r="I290" i="16"/>
  <c r="I19" i="16"/>
  <c r="I115" i="16"/>
  <c r="I255" i="16"/>
  <c r="J98" i="16"/>
  <c r="J116" i="16"/>
  <c r="I356" i="16"/>
  <c r="J252" i="16"/>
  <c r="J301" i="16"/>
  <c r="J27" i="16"/>
  <c r="I187" i="16"/>
  <c r="I234" i="16"/>
  <c r="I254" i="16"/>
  <c r="J38" i="16"/>
  <c r="J37" i="16"/>
  <c r="J16" i="16"/>
  <c r="J165" i="16"/>
  <c r="I373" i="16"/>
  <c r="G197" i="16"/>
  <c r="BY197" i="6" s="1"/>
  <c r="I207" i="16"/>
  <c r="I49" i="16"/>
  <c r="AA272" i="16"/>
  <c r="Z272" i="16" s="1"/>
  <c r="Y272" i="16" s="1"/>
  <c r="J166" i="16"/>
  <c r="I197" i="16"/>
  <c r="J264" i="16"/>
  <c r="J317" i="16"/>
  <c r="I198" i="16"/>
  <c r="J343" i="16"/>
  <c r="I322" i="16"/>
  <c r="J125" i="16"/>
  <c r="J271" i="16"/>
  <c r="I208" i="16"/>
  <c r="I316" i="16"/>
  <c r="J257" i="16"/>
  <c r="I157" i="16"/>
  <c r="J307" i="16"/>
  <c r="J63" i="19"/>
  <c r="J105" i="16"/>
  <c r="J235" i="16"/>
  <c r="AA197" i="16"/>
  <c r="Z197" i="16" s="1"/>
  <c r="Y197" i="16" s="1"/>
  <c r="I90" i="16"/>
  <c r="J245" i="16"/>
  <c r="J53" i="16"/>
  <c r="J150" i="16"/>
  <c r="J23" i="16"/>
  <c r="J348" i="16"/>
  <c r="E63" i="19"/>
  <c r="J335" i="16"/>
  <c r="I179" i="16"/>
  <c r="I326" i="16"/>
  <c r="I377" i="16"/>
  <c r="J64" i="16"/>
  <c r="I63" i="16"/>
  <c r="J355" i="16"/>
  <c r="AA29" i="16"/>
  <c r="Z29" i="16" s="1"/>
  <c r="Y29" i="16" s="1"/>
  <c r="J59" i="16"/>
  <c r="I206" i="16"/>
  <c r="J123" i="16"/>
  <c r="J97" i="16"/>
  <c r="I309" i="16"/>
  <c r="J148" i="16"/>
  <c r="J35" i="16"/>
  <c r="J318" i="16"/>
  <c r="J357" i="16"/>
  <c r="J145" i="16"/>
  <c r="AI50" i="17"/>
  <c r="AH50" i="17" s="1"/>
  <c r="AG50" i="17" s="1"/>
  <c r="AF50" i="17" s="1"/>
  <c r="AD50" i="17" s="1"/>
  <c r="Q359" i="18"/>
  <c r="Q89" i="18"/>
  <c r="Q99" i="18"/>
  <c r="Q24" i="18"/>
  <c r="Q23" i="18"/>
  <c r="Q79" i="18"/>
  <c r="Q97" i="18"/>
  <c r="Q36" i="18"/>
  <c r="Q193" i="18"/>
  <c r="Q314" i="18"/>
  <c r="Q47" i="18"/>
  <c r="Q100" i="18"/>
  <c r="Q95" i="18"/>
  <c r="Q34" i="18"/>
  <c r="Q73" i="18"/>
  <c r="Q68" i="18"/>
  <c r="Q44" i="18"/>
  <c r="Q22" i="18"/>
  <c r="Q96" i="18"/>
  <c r="Q98" i="18"/>
  <c r="Q40" i="18"/>
  <c r="U74" i="17"/>
  <c r="T74" i="17" s="1"/>
  <c r="S74" i="17" s="1"/>
  <c r="R74" i="17" s="1"/>
  <c r="P74" i="17" s="1"/>
  <c r="V74" i="17" s="1"/>
  <c r="F74" i="17" s="1"/>
  <c r="H74" i="17" s="1"/>
  <c r="U314" i="17"/>
  <c r="T314" i="17" s="1"/>
  <c r="S314" i="17" s="1"/>
  <c r="R314" i="17" s="1"/>
  <c r="P314" i="17" s="1"/>
  <c r="V314" i="17" s="1"/>
  <c r="F314" i="17" s="1"/>
  <c r="G314" i="17" s="1"/>
  <c r="BZ314" i="6" s="1"/>
  <c r="U295" i="17"/>
  <c r="T295" i="17" s="1"/>
  <c r="S295" i="17" s="1"/>
  <c r="R295" i="17" s="1"/>
  <c r="P295" i="17" s="1"/>
  <c r="V295" i="17" s="1"/>
  <c r="F295" i="17" s="1"/>
  <c r="U216" i="17"/>
  <c r="T216" i="17" s="1"/>
  <c r="S216" i="17" s="1"/>
  <c r="R216" i="17" s="1"/>
  <c r="P216" i="17" s="1"/>
  <c r="V216" i="17" s="1"/>
  <c r="F216" i="17" s="1"/>
  <c r="G216" i="17" s="1"/>
  <c r="BZ216" i="6" s="1"/>
  <c r="U229" i="17"/>
  <c r="T229" i="17" s="1"/>
  <c r="S229" i="17" s="1"/>
  <c r="R229" i="17" s="1"/>
  <c r="P229" i="17" s="1"/>
  <c r="V229" i="17" s="1"/>
  <c r="F229" i="17" s="1"/>
  <c r="G229" i="17" s="1"/>
  <c r="BZ229" i="6" s="1"/>
  <c r="U32" i="17"/>
  <c r="T32" i="17" s="1"/>
  <c r="S32" i="17" s="1"/>
  <c r="R32" i="17" s="1"/>
  <c r="P32" i="17" s="1"/>
  <c r="V32" i="17" s="1"/>
  <c r="F32" i="17" s="1"/>
  <c r="H32" i="17" s="1"/>
  <c r="U118" i="17"/>
  <c r="T118" i="17" s="1"/>
  <c r="S118" i="17" s="1"/>
  <c r="R118" i="17" s="1"/>
  <c r="P118" i="17" s="1"/>
  <c r="V118" i="17" s="1"/>
  <c r="F118" i="17" s="1"/>
  <c r="G118" i="17" s="1"/>
  <c r="BZ118" i="6" s="1"/>
  <c r="U107" i="17"/>
  <c r="T107" i="17" s="1"/>
  <c r="S107" i="17" s="1"/>
  <c r="R107" i="17" s="1"/>
  <c r="P107" i="17" s="1"/>
  <c r="V107" i="17" s="1"/>
  <c r="F107" i="17" s="1"/>
  <c r="H107" i="17" s="1"/>
  <c r="U274" i="17"/>
  <c r="T274" i="17" s="1"/>
  <c r="S274" i="17" s="1"/>
  <c r="R274" i="17" s="1"/>
  <c r="P274" i="17" s="1"/>
  <c r="V274" i="17" s="1"/>
  <c r="F274" i="17" s="1"/>
  <c r="G274" i="17" s="1"/>
  <c r="BZ274" i="6" s="1"/>
  <c r="U353" i="17"/>
  <c r="T353" i="17" s="1"/>
  <c r="S353" i="17" s="1"/>
  <c r="R353" i="17" s="1"/>
  <c r="P353" i="17" s="1"/>
  <c r="V353" i="17" s="1"/>
  <c r="F353" i="17" s="1"/>
  <c r="H353" i="17" s="1"/>
  <c r="U57" i="17"/>
  <c r="T57" i="17" s="1"/>
  <c r="S57" i="17" s="1"/>
  <c r="R57" i="17" s="1"/>
  <c r="P57" i="17" s="1"/>
  <c r="V57" i="17" s="1"/>
  <c r="F57" i="17" s="1"/>
  <c r="U220" i="17"/>
  <c r="T220" i="17" s="1"/>
  <c r="S220" i="17" s="1"/>
  <c r="R220" i="17" s="1"/>
  <c r="P220" i="17" s="1"/>
  <c r="V220" i="17" s="1"/>
  <c r="F220" i="17" s="1"/>
  <c r="H220" i="17" s="1"/>
  <c r="U121" i="17"/>
  <c r="T121" i="17" s="1"/>
  <c r="S121" i="17" s="1"/>
  <c r="R121" i="17" s="1"/>
  <c r="P121" i="17" s="1"/>
  <c r="V121" i="17" s="1"/>
  <c r="F121" i="17" s="1"/>
  <c r="G121" i="17" s="1"/>
  <c r="BZ121" i="6" s="1"/>
  <c r="U304" i="17"/>
  <c r="T304" i="17" s="1"/>
  <c r="S304" i="17" s="1"/>
  <c r="R304" i="17" s="1"/>
  <c r="P304" i="17" s="1"/>
  <c r="V304" i="17" s="1"/>
  <c r="F304" i="17" s="1"/>
  <c r="H30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293" i="17"/>
  <c r="T293" i="17" s="1"/>
  <c r="S293" i="17" s="1"/>
  <c r="R293" i="17" s="1"/>
  <c r="P293" i="17" s="1"/>
  <c r="V293" i="17" s="1"/>
  <c r="F293" i="17" s="1"/>
  <c r="G293" i="17" s="1"/>
  <c r="BZ293" i="6" s="1"/>
  <c r="U262" i="17"/>
  <c r="T262" i="17" s="1"/>
  <c r="S262" i="17" s="1"/>
  <c r="R262" i="17" s="1"/>
  <c r="P262" i="17" s="1"/>
  <c r="V262" i="17" s="1"/>
  <c r="F262" i="17" s="1"/>
  <c r="H262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58" i="17"/>
  <c r="T58" i="17" s="1"/>
  <c r="S58" i="17" s="1"/>
  <c r="R58" i="17" s="1"/>
  <c r="P58" i="17" s="1"/>
  <c r="V58" i="17" s="1"/>
  <c r="F58" i="17" s="1"/>
  <c r="G58" i="17" s="1"/>
  <c r="BZ58" i="6" s="1"/>
  <c r="U370" i="17"/>
  <c r="T370" i="17" s="1"/>
  <c r="S370" i="17" s="1"/>
  <c r="R370" i="17" s="1"/>
  <c r="P370" i="17" s="1"/>
  <c r="V370" i="17" s="1"/>
  <c r="F370" i="17" s="1"/>
  <c r="G370" i="17" s="1"/>
  <c r="BZ370" i="6" s="1"/>
  <c r="U15" i="17"/>
  <c r="U115" i="17"/>
  <c r="T115" i="17" s="1"/>
  <c r="S115" i="17" s="1"/>
  <c r="R115" i="17" s="1"/>
  <c r="P115" i="17" s="1"/>
  <c r="V115" i="17" s="1"/>
  <c r="F115" i="17" s="1"/>
  <c r="G115" i="17" s="1"/>
  <c r="BZ115" i="6" s="1"/>
  <c r="U176" i="17"/>
  <c r="T176" i="17" s="1"/>
  <c r="S176" i="17" s="1"/>
  <c r="R176" i="17" s="1"/>
  <c r="P176" i="17" s="1"/>
  <c r="V176" i="17" s="1"/>
  <c r="F176" i="17" s="1"/>
  <c r="H176" i="17" s="1"/>
  <c r="J176" i="17" s="1"/>
  <c r="U140" i="17"/>
  <c r="T140" i="17" s="1"/>
  <c r="S140" i="17" s="1"/>
  <c r="R140" i="17" s="1"/>
  <c r="P140" i="17" s="1"/>
  <c r="V140" i="17" s="1"/>
  <c r="F140" i="17" s="1"/>
  <c r="H140" i="17" s="1"/>
  <c r="I140" i="17" s="1"/>
  <c r="U24" i="17"/>
  <c r="T24" i="17" s="1"/>
  <c r="S24" i="17" s="1"/>
  <c r="R24" i="17" s="1"/>
  <c r="P24" i="17" s="1"/>
  <c r="V24" i="17" s="1"/>
  <c r="F24" i="17" s="1"/>
  <c r="G24" i="17" s="1"/>
  <c r="BZ24" i="6" s="1"/>
  <c r="U93" i="17"/>
  <c r="T93" i="17" s="1"/>
  <c r="S93" i="17" s="1"/>
  <c r="R93" i="17" s="1"/>
  <c r="P93" i="17" s="1"/>
  <c r="V93" i="17" s="1"/>
  <c r="F93" i="17" s="1"/>
  <c r="H93" i="17" s="1"/>
  <c r="U315" i="17"/>
  <c r="T315" i="17" s="1"/>
  <c r="S315" i="17" s="1"/>
  <c r="R315" i="17" s="1"/>
  <c r="P315" i="17" s="1"/>
  <c r="V315" i="17" s="1"/>
  <c r="F315" i="17" s="1"/>
  <c r="G315" i="17" s="1"/>
  <c r="BZ315" i="6" s="1"/>
  <c r="U144" i="17"/>
  <c r="T144" i="17" s="1"/>
  <c r="S144" i="17" s="1"/>
  <c r="R144" i="17" s="1"/>
  <c r="P144" i="17" s="1"/>
  <c r="V144" i="17" s="1"/>
  <c r="F144" i="17" s="1"/>
  <c r="G144" i="17" s="1"/>
  <c r="BZ144" i="6" s="1"/>
  <c r="U234" i="17"/>
  <c r="T234" i="17" s="1"/>
  <c r="S234" i="17" s="1"/>
  <c r="R234" i="17" s="1"/>
  <c r="P234" i="17" s="1"/>
  <c r="V234" i="17" s="1"/>
  <c r="F234" i="17" s="1"/>
  <c r="G234" i="17" s="1"/>
  <c r="BZ234" i="6" s="1"/>
  <c r="U190" i="17"/>
  <c r="T190" i="17" s="1"/>
  <c r="S190" i="17" s="1"/>
  <c r="R190" i="17" s="1"/>
  <c r="P190" i="17" s="1"/>
  <c r="V190" i="17" s="1"/>
  <c r="F190" i="17" s="1"/>
  <c r="G190" i="17" s="1"/>
  <c r="BZ190" i="6" s="1"/>
  <c r="U169" i="17"/>
  <c r="T169" i="17" s="1"/>
  <c r="S169" i="17" s="1"/>
  <c r="R169" i="17" s="1"/>
  <c r="P169" i="17" s="1"/>
  <c r="V169" i="17" s="1"/>
  <c r="F169" i="17" s="1"/>
  <c r="G169" i="17" s="1"/>
  <c r="BZ169" i="6" s="1"/>
  <c r="U186" i="17"/>
  <c r="T186" i="17" s="1"/>
  <c r="S186" i="17" s="1"/>
  <c r="R186" i="17" s="1"/>
  <c r="P186" i="17" s="1"/>
  <c r="V186" i="17" s="1"/>
  <c r="F186" i="17" s="1"/>
  <c r="H186" i="17" s="1"/>
  <c r="U189" i="17"/>
  <c r="T189" i="17" s="1"/>
  <c r="S189" i="17" s="1"/>
  <c r="R189" i="17" s="1"/>
  <c r="P189" i="17" s="1"/>
  <c r="V189" i="17" s="1"/>
  <c r="F189" i="17" s="1"/>
  <c r="G189" i="17" s="1"/>
  <c r="BZ189" i="6" s="1"/>
  <c r="U313" i="17"/>
  <c r="T313" i="17" s="1"/>
  <c r="S313" i="17" s="1"/>
  <c r="R313" i="17" s="1"/>
  <c r="P313" i="17" s="1"/>
  <c r="V313" i="17" s="1"/>
  <c r="F313" i="17" s="1"/>
  <c r="H313" i="17" s="1"/>
  <c r="U116" i="17"/>
  <c r="T116" i="17" s="1"/>
  <c r="S116" i="17" s="1"/>
  <c r="R116" i="17" s="1"/>
  <c r="P116" i="17" s="1"/>
  <c r="V116" i="17" s="1"/>
  <c r="F116" i="17" s="1"/>
  <c r="G116" i="17" s="1"/>
  <c r="BZ116" i="6" s="1"/>
  <c r="U99" i="17"/>
  <c r="T99" i="17" s="1"/>
  <c r="S99" i="17" s="1"/>
  <c r="R99" i="17" s="1"/>
  <c r="P99" i="17" s="1"/>
  <c r="V99" i="17" s="1"/>
  <c r="F99" i="17" s="1"/>
  <c r="H99" i="17" s="1"/>
  <c r="U219" i="17"/>
  <c r="T219" i="17" s="1"/>
  <c r="S219" i="17" s="1"/>
  <c r="R219" i="17" s="1"/>
  <c r="P219" i="17" s="1"/>
  <c r="V219" i="17" s="1"/>
  <c r="F219" i="17" s="1"/>
  <c r="G219" i="17" s="1"/>
  <c r="BZ219" i="6" s="1"/>
  <c r="U134" i="17"/>
  <c r="T134" i="17" s="1"/>
  <c r="S134" i="17" s="1"/>
  <c r="R134" i="17" s="1"/>
  <c r="P134" i="17" s="1"/>
  <c r="V134" i="17" s="1"/>
  <c r="F134" i="17" s="1"/>
  <c r="H134" i="17" s="1"/>
  <c r="U47" i="17"/>
  <c r="T47" i="17" s="1"/>
  <c r="S47" i="17" s="1"/>
  <c r="R47" i="17" s="1"/>
  <c r="P47" i="17" s="1"/>
  <c r="V47" i="17" s="1"/>
  <c r="F47" i="17" s="1"/>
  <c r="G47" i="17" s="1"/>
  <c r="BZ47" i="6" s="1"/>
  <c r="U344" i="17"/>
  <c r="T344" i="17" s="1"/>
  <c r="S344" i="17" s="1"/>
  <c r="R344" i="17" s="1"/>
  <c r="P344" i="17" s="1"/>
  <c r="V344" i="17" s="1"/>
  <c r="F344" i="17" s="1"/>
  <c r="G344" i="17" s="1"/>
  <c r="BZ344" i="6" s="1"/>
  <c r="U20" i="17"/>
  <c r="T20" i="17" s="1"/>
  <c r="S20" i="17" s="1"/>
  <c r="R20" i="17" s="1"/>
  <c r="P20" i="17" s="1"/>
  <c r="V20" i="17" s="1"/>
  <c r="F20" i="17" s="1"/>
  <c r="U338" i="17"/>
  <c r="T338" i="17" s="1"/>
  <c r="S338" i="17" s="1"/>
  <c r="R338" i="17" s="1"/>
  <c r="P338" i="17" s="1"/>
  <c r="V338" i="17" s="1"/>
  <c r="F338" i="17" s="1"/>
  <c r="G338" i="17" s="1"/>
  <c r="BZ338" i="6" s="1"/>
  <c r="U337" i="17"/>
  <c r="T337" i="17" s="1"/>
  <c r="S337" i="17" s="1"/>
  <c r="R337" i="17" s="1"/>
  <c r="P337" i="17" s="1"/>
  <c r="V337" i="17" s="1"/>
  <c r="F337" i="17" s="1"/>
  <c r="G337" i="17" s="1"/>
  <c r="BZ337" i="6" s="1"/>
  <c r="U333" i="17"/>
  <c r="T333" i="17" s="1"/>
  <c r="S333" i="17" s="1"/>
  <c r="R333" i="17" s="1"/>
  <c r="P333" i="17" s="1"/>
  <c r="D66" i="7" s="1"/>
  <c r="U201" i="17"/>
  <c r="T201" i="17" s="1"/>
  <c r="S201" i="17" s="1"/>
  <c r="R201" i="17" s="1"/>
  <c r="P201" i="17" s="1"/>
  <c r="V201" i="17" s="1"/>
  <c r="F201" i="17" s="1"/>
  <c r="G201" i="17" s="1"/>
  <c r="BZ201" i="6" s="1"/>
  <c r="U282" i="17"/>
  <c r="T282" i="17" s="1"/>
  <c r="S282" i="17" s="1"/>
  <c r="R282" i="17" s="1"/>
  <c r="P282" i="17" s="1"/>
  <c r="V282" i="17" s="1"/>
  <c r="F282" i="17" s="1"/>
  <c r="H282" i="17" s="1"/>
  <c r="U359" i="17"/>
  <c r="T359" i="17" s="1"/>
  <c r="S359" i="17" s="1"/>
  <c r="R359" i="17" s="1"/>
  <c r="P359" i="17" s="1"/>
  <c r="V359" i="17" s="1"/>
  <c r="F359" i="17" s="1"/>
  <c r="H359" i="17" s="1"/>
  <c r="U269" i="17"/>
  <c r="T269" i="17" s="1"/>
  <c r="S269" i="17" s="1"/>
  <c r="R269" i="17" s="1"/>
  <c r="P269" i="17" s="1"/>
  <c r="V269" i="17" s="1"/>
  <c r="F269" i="17" s="1"/>
  <c r="G269" i="17" s="1"/>
  <c r="BZ269" i="6" s="1"/>
  <c r="U113" i="17"/>
  <c r="T113" i="17" s="1"/>
  <c r="S113" i="17" s="1"/>
  <c r="R113" i="17" s="1"/>
  <c r="P113" i="17" s="1"/>
  <c r="V113" i="17" s="1"/>
  <c r="F113" i="17" s="1"/>
  <c r="H113" i="17" s="1"/>
  <c r="U103" i="17"/>
  <c r="T103" i="17" s="1"/>
  <c r="S103" i="17" s="1"/>
  <c r="R103" i="17" s="1"/>
  <c r="P103" i="17" s="1"/>
  <c r="V103" i="17" s="1"/>
  <c r="F103" i="17" s="1"/>
  <c r="G103" i="17" s="1"/>
  <c r="BZ103" i="6" s="1"/>
  <c r="U369" i="17"/>
  <c r="T369" i="17" s="1"/>
  <c r="S369" i="17" s="1"/>
  <c r="R369" i="17" s="1"/>
  <c r="P369" i="17" s="1"/>
  <c r="V369" i="17" s="1"/>
  <c r="F369" i="17" s="1"/>
  <c r="H369" i="17" s="1"/>
  <c r="U252" i="17"/>
  <c r="T252" i="17" s="1"/>
  <c r="S252" i="17" s="1"/>
  <c r="R252" i="17" s="1"/>
  <c r="P252" i="17" s="1"/>
  <c r="V252" i="17" s="1"/>
  <c r="F252" i="17" s="1"/>
  <c r="G252" i="17" s="1"/>
  <c r="BZ252" i="6" s="1"/>
  <c r="U239" i="17"/>
  <c r="T239" i="17" s="1"/>
  <c r="S239" i="17" s="1"/>
  <c r="R239" i="17" s="1"/>
  <c r="P239" i="17" s="1"/>
  <c r="V239" i="17" s="1"/>
  <c r="F239" i="17" s="1"/>
  <c r="I124" i="16"/>
  <c r="J78" i="16"/>
  <c r="Q111" i="18"/>
  <c r="Q213" i="18"/>
  <c r="AI185" i="17"/>
  <c r="AH185" i="17" s="1"/>
  <c r="AG185" i="17" s="1"/>
  <c r="AF185" i="17" s="1"/>
  <c r="AD185" i="17" s="1"/>
  <c r="AI286" i="17"/>
  <c r="AH286" i="17" s="1"/>
  <c r="AG286" i="17" s="1"/>
  <c r="AF286" i="17" s="1"/>
  <c r="AD286" i="17" s="1"/>
  <c r="AI95" i="17"/>
  <c r="AH95" i="17" s="1"/>
  <c r="AG95" i="17" s="1"/>
  <c r="AF95" i="17" s="1"/>
  <c r="AD95" i="17" s="1"/>
  <c r="AI243" i="17"/>
  <c r="AH243" i="17" s="1"/>
  <c r="AG243" i="17" s="1"/>
  <c r="AF243" i="17" s="1"/>
  <c r="AD243" i="17" s="1"/>
  <c r="AI281" i="17"/>
  <c r="AH281" i="17" s="1"/>
  <c r="AG281" i="17" s="1"/>
  <c r="AF281" i="17" s="1"/>
  <c r="AD281" i="17" s="1"/>
  <c r="AI196" i="17"/>
  <c r="AH196" i="17" s="1"/>
  <c r="AG196" i="17" s="1"/>
  <c r="AF196" i="17" s="1"/>
  <c r="AD196" i="17" s="1"/>
  <c r="AI58" i="17"/>
  <c r="AH58" i="17" s="1"/>
  <c r="AG58" i="17" s="1"/>
  <c r="AF58" i="17" s="1"/>
  <c r="AD58" i="17" s="1"/>
  <c r="AI36" i="17"/>
  <c r="AH36" i="17" s="1"/>
  <c r="AI140" i="17"/>
  <c r="AH140" i="17" s="1"/>
  <c r="AG140" i="17" s="1"/>
  <c r="AF140" i="17" s="1"/>
  <c r="AD140" i="17" s="1"/>
  <c r="AI116" i="17"/>
  <c r="AH116" i="17" s="1"/>
  <c r="AG116" i="17" s="1"/>
  <c r="AF116" i="17" s="1"/>
  <c r="AD116" i="17" s="1"/>
  <c r="AA116" i="17" s="1"/>
  <c r="Z116" i="17" s="1"/>
  <c r="Y116" i="17" s="1"/>
  <c r="AI17" i="17"/>
  <c r="AH17" i="17" s="1"/>
  <c r="AG17" i="17" s="1"/>
  <c r="AF17" i="17" s="1"/>
  <c r="AD17" i="17" s="1"/>
  <c r="AI18" i="17"/>
  <c r="AH18" i="17" s="1"/>
  <c r="AG18" i="17" s="1"/>
  <c r="AF18" i="17" s="1"/>
  <c r="AD18" i="17" s="1"/>
  <c r="AI304" i="17"/>
  <c r="AH304" i="17" s="1"/>
  <c r="AG304" i="17" s="1"/>
  <c r="AF304" i="17" s="1"/>
  <c r="AD304" i="17" s="1"/>
  <c r="AI287" i="17"/>
  <c r="AH287" i="17" s="1"/>
  <c r="AG287" i="17" s="1"/>
  <c r="AF287" i="17" s="1"/>
  <c r="AD287" i="17" s="1"/>
  <c r="AI246" i="17"/>
  <c r="AH246" i="17" s="1"/>
  <c r="AG246" i="17" s="1"/>
  <c r="AF246" i="17" s="1"/>
  <c r="AD246" i="17" s="1"/>
  <c r="AI289" i="17"/>
  <c r="AH289" i="17" s="1"/>
  <c r="AG289" i="17" s="1"/>
  <c r="AF289" i="17" s="1"/>
  <c r="AD289" i="17" s="1"/>
  <c r="AI282" i="17"/>
  <c r="AH282" i="17" s="1"/>
  <c r="AG282" i="17" s="1"/>
  <c r="AF282" i="17" s="1"/>
  <c r="AD282" i="17" s="1"/>
  <c r="AI257" i="17"/>
  <c r="AH257" i="17" s="1"/>
  <c r="AG257" i="17" s="1"/>
  <c r="AF257" i="17" s="1"/>
  <c r="AD257" i="17" s="1"/>
  <c r="AI105" i="17"/>
  <c r="AH105" i="17" s="1"/>
  <c r="AG105" i="17" s="1"/>
  <c r="AF105" i="17" s="1"/>
  <c r="AD105" i="17" s="1"/>
  <c r="AI160" i="17"/>
  <c r="AH160" i="17" s="1"/>
  <c r="AG160" i="17" s="1"/>
  <c r="AF160" i="17" s="1"/>
  <c r="AD160" i="17" s="1"/>
  <c r="AI307" i="17"/>
  <c r="AH307" i="17" s="1"/>
  <c r="AI83" i="17"/>
  <c r="AH83" i="17" s="1"/>
  <c r="AG83" i="17" s="1"/>
  <c r="AF83" i="17" s="1"/>
  <c r="AD83" i="17" s="1"/>
  <c r="AI360" i="17"/>
  <c r="AH360" i="17" s="1"/>
  <c r="AG360" i="17" s="1"/>
  <c r="AF360" i="17" s="1"/>
  <c r="AD360" i="17" s="1"/>
  <c r="AI144" i="17"/>
  <c r="AH144" i="17" s="1"/>
  <c r="AG144" i="17" s="1"/>
  <c r="AF144" i="17" s="1"/>
  <c r="AD144" i="17" s="1"/>
  <c r="AI212" i="17"/>
  <c r="AH212" i="17" s="1"/>
  <c r="AG212" i="17" s="1"/>
  <c r="AF212" i="17" s="1"/>
  <c r="AD212" i="17" s="1"/>
  <c r="AI21" i="17"/>
  <c r="AH21" i="17" s="1"/>
  <c r="AG21" i="17" s="1"/>
  <c r="AF21" i="17" s="1"/>
  <c r="AD21" i="17" s="1"/>
  <c r="AI205" i="17"/>
  <c r="AH205" i="17" s="1"/>
  <c r="AG205" i="17" s="1"/>
  <c r="AF205" i="17" s="1"/>
  <c r="AD205" i="17" s="1"/>
  <c r="AI117" i="17"/>
  <c r="AH117" i="17" s="1"/>
  <c r="AG117" i="17" s="1"/>
  <c r="AF117" i="17" s="1"/>
  <c r="AD117" i="17" s="1"/>
  <c r="AI169" i="17"/>
  <c r="AH169" i="17" s="1"/>
  <c r="AG169" i="17" s="1"/>
  <c r="AF169" i="17" s="1"/>
  <c r="AD169" i="17" s="1"/>
  <c r="AI33" i="17"/>
  <c r="AH33" i="17" s="1"/>
  <c r="AG33" i="17" s="1"/>
  <c r="AF33" i="17" s="1"/>
  <c r="AD33" i="17" s="1"/>
  <c r="AI353" i="17"/>
  <c r="AH353" i="17" s="1"/>
  <c r="AG353" i="17" s="1"/>
  <c r="AF353" i="17" s="1"/>
  <c r="AD353" i="17" s="1"/>
  <c r="AI41" i="17"/>
  <c r="AH41" i="17" s="1"/>
  <c r="AG41" i="17" s="1"/>
  <c r="AF41" i="17" s="1"/>
  <c r="AD41" i="17" s="1"/>
  <c r="AI82" i="17"/>
  <c r="AH82" i="17" s="1"/>
  <c r="AG82" i="17" s="1"/>
  <c r="AF82" i="17" s="1"/>
  <c r="AD82" i="17" s="1"/>
  <c r="AI349" i="17"/>
  <c r="AH349" i="17" s="1"/>
  <c r="AG349" i="17" s="1"/>
  <c r="AF349" i="17" s="1"/>
  <c r="AD349" i="17" s="1"/>
  <c r="AI361" i="17"/>
  <c r="AH361" i="17" s="1"/>
  <c r="AG361" i="17" s="1"/>
  <c r="AF361" i="17" s="1"/>
  <c r="AD361" i="17" s="1"/>
  <c r="AI229" i="17"/>
  <c r="AH229" i="17" s="1"/>
  <c r="AG229" i="17" s="1"/>
  <c r="AF229" i="17" s="1"/>
  <c r="AD229" i="17" s="1"/>
  <c r="AA229" i="17" s="1"/>
  <c r="Z229" i="17" s="1"/>
  <c r="Y229" i="17" s="1"/>
  <c r="AI253" i="17"/>
  <c r="AH253" i="17" s="1"/>
  <c r="AG253" i="17" s="1"/>
  <c r="AF253" i="17" s="1"/>
  <c r="AD253" i="17" s="1"/>
  <c r="AI47" i="17"/>
  <c r="AH47" i="17" s="1"/>
  <c r="AI256" i="17"/>
  <c r="AH256" i="17" s="1"/>
  <c r="AG256" i="17" s="1"/>
  <c r="AF256" i="17" s="1"/>
  <c r="AD256" i="17" s="1"/>
  <c r="AI191" i="17"/>
  <c r="AH191" i="17" s="1"/>
  <c r="AG191" i="17" s="1"/>
  <c r="AF191" i="17" s="1"/>
  <c r="AD191" i="17" s="1"/>
  <c r="AA191" i="17" s="1"/>
  <c r="Z191" i="17" s="1"/>
  <c r="Y191" i="17" s="1"/>
  <c r="AI209" i="17"/>
  <c r="AH209" i="17" s="1"/>
  <c r="AG209" i="17" s="1"/>
  <c r="AF209" i="17" s="1"/>
  <c r="AD209" i="17" s="1"/>
  <c r="AI356" i="17"/>
  <c r="AH356" i="17" s="1"/>
  <c r="AG356" i="17" s="1"/>
  <c r="AF356" i="17" s="1"/>
  <c r="AD356" i="17" s="1"/>
  <c r="I196" i="16"/>
  <c r="H196" i="17" s="1"/>
  <c r="AA228" i="16"/>
  <c r="Z228" i="16" s="1"/>
  <c r="Y228" i="16" s="1"/>
  <c r="G350" i="16"/>
  <c r="BY350" i="6" s="1"/>
  <c r="J160" i="16"/>
  <c r="H29" i="16"/>
  <c r="I29" i="16" s="1"/>
  <c r="H228" i="16"/>
  <c r="I228" i="16" s="1"/>
  <c r="H228" i="17" s="1"/>
  <c r="AA350" i="16"/>
  <c r="Z350" i="16" s="1"/>
  <c r="Y350" i="16" s="1"/>
  <c r="J329" i="16"/>
  <c r="I329" i="16"/>
  <c r="J337" i="16"/>
  <c r="I337" i="16"/>
  <c r="G379" i="16"/>
  <c r="BY379" i="6" s="1"/>
  <c r="Q113" i="18"/>
  <c r="Q207" i="18"/>
  <c r="Q151" i="18"/>
  <c r="Q289" i="18"/>
  <c r="Q251" i="18"/>
  <c r="Q225" i="18"/>
  <c r="Q269" i="18"/>
  <c r="Q199" i="18"/>
  <c r="Q141" i="18"/>
  <c r="Q292" i="18"/>
  <c r="Q299" i="18"/>
  <c r="Q131" i="18"/>
  <c r="Q329" i="18"/>
  <c r="Q339" i="18"/>
  <c r="AI190" i="17"/>
  <c r="AH190" i="17" s="1"/>
  <c r="AG190" i="17" s="1"/>
  <c r="AF190" i="17" s="1"/>
  <c r="AD190" i="17" s="1"/>
  <c r="AA190" i="17" s="1"/>
  <c r="Z190" i="17" s="1"/>
  <c r="Y190" i="17" s="1"/>
  <c r="AI259" i="17"/>
  <c r="AH259" i="17" s="1"/>
  <c r="AG259" i="17" s="1"/>
  <c r="AF259" i="17" s="1"/>
  <c r="AD259" i="17" s="1"/>
  <c r="AI216" i="17"/>
  <c r="AH216" i="17" s="1"/>
  <c r="AG216" i="17" s="1"/>
  <c r="AF216" i="17" s="1"/>
  <c r="AD216" i="17" s="1"/>
  <c r="AA216" i="17" s="1"/>
  <c r="Z216" i="17" s="1"/>
  <c r="Y216" i="17" s="1"/>
  <c r="AI284" i="17"/>
  <c r="AH284" i="17" s="1"/>
  <c r="AG284" i="17" s="1"/>
  <c r="AF284" i="17" s="1"/>
  <c r="AD284" i="17" s="1"/>
  <c r="AI219" i="17"/>
  <c r="AH219" i="17" s="1"/>
  <c r="AG219" i="17" s="1"/>
  <c r="AF219" i="17" s="1"/>
  <c r="AD219" i="17" s="1"/>
  <c r="AI232" i="17"/>
  <c r="AH232" i="17" s="1"/>
  <c r="AG232" i="17" s="1"/>
  <c r="AF232" i="17" s="1"/>
  <c r="AD232" i="17" s="1"/>
  <c r="AI45" i="17"/>
  <c r="AH45" i="17" s="1"/>
  <c r="AG45" i="17" s="1"/>
  <c r="AF45" i="17" s="1"/>
  <c r="AD45" i="17" s="1"/>
  <c r="AI275" i="17"/>
  <c r="AH275" i="17" s="1"/>
  <c r="AG275" i="17" s="1"/>
  <c r="AF275" i="17" s="1"/>
  <c r="AD275" i="17" s="1"/>
  <c r="AI198" i="17"/>
  <c r="AH198" i="17" s="1"/>
  <c r="AG198" i="17" s="1"/>
  <c r="AF198" i="17" s="1"/>
  <c r="AD198" i="17" s="1"/>
  <c r="AI145" i="17"/>
  <c r="AH145" i="17" s="1"/>
  <c r="AG145" i="17" s="1"/>
  <c r="AF145" i="17" s="1"/>
  <c r="AD145" i="17" s="1"/>
  <c r="AA145" i="17" s="1"/>
  <c r="Z145" i="17" s="1"/>
  <c r="Y145" i="17" s="1"/>
  <c r="AI71" i="17"/>
  <c r="AH71" i="17" s="1"/>
  <c r="AG71" i="17" s="1"/>
  <c r="AF71" i="17" s="1"/>
  <c r="AD71" i="17" s="1"/>
  <c r="AI22" i="17"/>
  <c r="AH22" i="17" s="1"/>
  <c r="AG22" i="17" s="1"/>
  <c r="AF22" i="17" s="1"/>
  <c r="AD22" i="17" s="1"/>
  <c r="AI215" i="17"/>
  <c r="AH215" i="17" s="1"/>
  <c r="AG215" i="17" s="1"/>
  <c r="AF215" i="17" s="1"/>
  <c r="AD215" i="17" s="1"/>
  <c r="AI67" i="17"/>
  <c r="AH67" i="17" s="1"/>
  <c r="AG67" i="17" s="1"/>
  <c r="AF67" i="17" s="1"/>
  <c r="AD67" i="17" s="1"/>
  <c r="AA67" i="17" s="1"/>
  <c r="Z67" i="17" s="1"/>
  <c r="Y67" i="17" s="1"/>
  <c r="AI234" i="17"/>
  <c r="AH234" i="17" s="1"/>
  <c r="AG234" i="17" s="1"/>
  <c r="AF234" i="17" s="1"/>
  <c r="AD234" i="17" s="1"/>
  <c r="AI379" i="17"/>
  <c r="AH379" i="17" s="1"/>
  <c r="AG379" i="17" s="1"/>
  <c r="AF379" i="17" s="1"/>
  <c r="AD379" i="17" s="1"/>
  <c r="AI321" i="17"/>
  <c r="AH321" i="17" s="1"/>
  <c r="AG321" i="17" s="1"/>
  <c r="AF321" i="17" s="1"/>
  <c r="AD321" i="17" s="1"/>
  <c r="AI239" i="17"/>
  <c r="AH239" i="17" s="1"/>
  <c r="AG239" i="17" s="1"/>
  <c r="AF239" i="17" s="1"/>
  <c r="AD239" i="17" s="1"/>
  <c r="AA239" i="17" s="1"/>
  <c r="Z239" i="17" s="1"/>
  <c r="Y239" i="17" s="1"/>
  <c r="AI309" i="17"/>
  <c r="AH309" i="17" s="1"/>
  <c r="AG309" i="17" s="1"/>
  <c r="AF309" i="17" s="1"/>
  <c r="AD309" i="17" s="1"/>
  <c r="AI137" i="17"/>
  <c r="AH137" i="17" s="1"/>
  <c r="AG137" i="17" s="1"/>
  <c r="AF137" i="17" s="1"/>
  <c r="AD137" i="17" s="1"/>
  <c r="AA137" i="17" s="1"/>
  <c r="Z137" i="17" s="1"/>
  <c r="Y137" i="17" s="1"/>
  <c r="AI372" i="17"/>
  <c r="AH372" i="17" s="1"/>
  <c r="AG372" i="17" s="1"/>
  <c r="AF372" i="17" s="1"/>
  <c r="AD372" i="17" s="1"/>
  <c r="AI331" i="17"/>
  <c r="AH331" i="17" s="1"/>
  <c r="AG331" i="17" s="1"/>
  <c r="AF331" i="17" s="1"/>
  <c r="AD331" i="17" s="1"/>
  <c r="AI242" i="17"/>
  <c r="AH242" i="17" s="1"/>
  <c r="AG242" i="17" s="1"/>
  <c r="AF242" i="17" s="1"/>
  <c r="AD242" i="17" s="1"/>
  <c r="AI200" i="17"/>
  <c r="AH200" i="17" s="1"/>
  <c r="AG200" i="17" s="1"/>
  <c r="AF200" i="17" s="1"/>
  <c r="AD200" i="17" s="1"/>
  <c r="AI316" i="17"/>
  <c r="AH316" i="17" s="1"/>
  <c r="AG316" i="17" s="1"/>
  <c r="AF316" i="17" s="1"/>
  <c r="AD316" i="17" s="1"/>
  <c r="AI261" i="17"/>
  <c r="AH261" i="17" s="1"/>
  <c r="AG261" i="17" s="1"/>
  <c r="AF261" i="17" s="1"/>
  <c r="AD261" i="17" s="1"/>
  <c r="AI101" i="17"/>
  <c r="AH101" i="17" s="1"/>
  <c r="AG101" i="17" s="1"/>
  <c r="AF101" i="17" s="1"/>
  <c r="AD101" i="17" s="1"/>
  <c r="AI377" i="17"/>
  <c r="AH377" i="17" s="1"/>
  <c r="AG377" i="17" s="1"/>
  <c r="AF377" i="17" s="1"/>
  <c r="AD377" i="17" s="1"/>
  <c r="AI327" i="17"/>
  <c r="AH327" i="17" s="1"/>
  <c r="AG327" i="17" s="1"/>
  <c r="AF327" i="17" s="1"/>
  <c r="AD327" i="17" s="1"/>
  <c r="AI111" i="17"/>
  <c r="AH111" i="17" s="1"/>
  <c r="AG111" i="17" s="1"/>
  <c r="AF111" i="17" s="1"/>
  <c r="AD111" i="17" s="1"/>
  <c r="AI330" i="17"/>
  <c r="AH330" i="17" s="1"/>
  <c r="AG330" i="17" s="1"/>
  <c r="AF330" i="17" s="1"/>
  <c r="AD330" i="17" s="1"/>
  <c r="AI141" i="17"/>
  <c r="AH141" i="17" s="1"/>
  <c r="AG141" i="17" s="1"/>
  <c r="AF141" i="17" s="1"/>
  <c r="AD141" i="17" s="1"/>
  <c r="AI336" i="17"/>
  <c r="AH336" i="17" s="1"/>
  <c r="AG336" i="17" s="1"/>
  <c r="AF336" i="17" s="1"/>
  <c r="AD336" i="17" s="1"/>
  <c r="AI272" i="17"/>
  <c r="AH272" i="17" s="1"/>
  <c r="AG272" i="17" s="1"/>
  <c r="AF272" i="17" s="1"/>
  <c r="AD272" i="17" s="1"/>
  <c r="AI192" i="17"/>
  <c r="AH192" i="17" s="1"/>
  <c r="AG192" i="17" s="1"/>
  <c r="AF192" i="17" s="1"/>
  <c r="AD192" i="17" s="1"/>
  <c r="AI210" i="17"/>
  <c r="AH210" i="17" s="1"/>
  <c r="AG210" i="17" s="1"/>
  <c r="AF210" i="17" s="1"/>
  <c r="AD210" i="17" s="1"/>
  <c r="AI51" i="17"/>
  <c r="AH51" i="17" s="1"/>
  <c r="AG51" i="17" s="1"/>
  <c r="AF51" i="17" s="1"/>
  <c r="AD51" i="17" s="1"/>
  <c r="AI270" i="17"/>
  <c r="AH270" i="17" s="1"/>
  <c r="AG270" i="17" s="1"/>
  <c r="AF270" i="17" s="1"/>
  <c r="AD270" i="17" s="1"/>
  <c r="AI222" i="17"/>
  <c r="AH222" i="17" s="1"/>
  <c r="AI134" i="17"/>
  <c r="AH134" i="17" s="1"/>
  <c r="AG134" i="17" s="1"/>
  <c r="AF134" i="17" s="1"/>
  <c r="AD134" i="17" s="1"/>
  <c r="AI79" i="17"/>
  <c r="AH79" i="17" s="1"/>
  <c r="AG79" i="17" s="1"/>
  <c r="AF79" i="17" s="1"/>
  <c r="AD79" i="17" s="1"/>
  <c r="AI345" i="17"/>
  <c r="AH345" i="17" s="1"/>
  <c r="AG345" i="17" s="1"/>
  <c r="AF345" i="17" s="1"/>
  <c r="AD345" i="17" s="1"/>
  <c r="AI164" i="17"/>
  <c r="AH164" i="17" s="1"/>
  <c r="AG164" i="17" s="1"/>
  <c r="AF164" i="17" s="1"/>
  <c r="AD164" i="17" s="1"/>
  <c r="AI373" i="17"/>
  <c r="AH373" i="17" s="1"/>
  <c r="AG373" i="17" s="1"/>
  <c r="AF373" i="17" s="1"/>
  <c r="AD373" i="17" s="1"/>
  <c r="AI143" i="17"/>
  <c r="AH143" i="17" s="1"/>
  <c r="AG143" i="17" s="1"/>
  <c r="AF143" i="17" s="1"/>
  <c r="AD143" i="17" s="1"/>
  <c r="AI81" i="17"/>
  <c r="AH81" i="17" s="1"/>
  <c r="AG81" i="17" s="1"/>
  <c r="AF81" i="17" s="1"/>
  <c r="AD81" i="17" s="1"/>
  <c r="AI124" i="17"/>
  <c r="AH124" i="17" s="1"/>
  <c r="AG124" i="17" s="1"/>
  <c r="AF124" i="17" s="1"/>
  <c r="AD124" i="17" s="1"/>
  <c r="AI354" i="17"/>
  <c r="AH354" i="17" s="1"/>
  <c r="AG354" i="17" s="1"/>
  <c r="AF354" i="17" s="1"/>
  <c r="AD354" i="17" s="1"/>
  <c r="AI298" i="17"/>
  <c r="AH298" i="17" s="1"/>
  <c r="AG298" i="17" s="1"/>
  <c r="AF298" i="17" s="1"/>
  <c r="AD298" i="17" s="1"/>
  <c r="AI290" i="17"/>
  <c r="AH290" i="17" s="1"/>
  <c r="AG290" i="17" s="1"/>
  <c r="AF290" i="17" s="1"/>
  <c r="AD290" i="17" s="1"/>
  <c r="AI228" i="17"/>
  <c r="AH228" i="17" s="1"/>
  <c r="AG228" i="17" s="1"/>
  <c r="AF228" i="17" s="1"/>
  <c r="AD228" i="17" s="1"/>
  <c r="AI147" i="17"/>
  <c r="AH147" i="17" s="1"/>
  <c r="AG147" i="17" s="1"/>
  <c r="AF147" i="17" s="1"/>
  <c r="AD147" i="17" s="1"/>
  <c r="AI122" i="17"/>
  <c r="AH122" i="17" s="1"/>
  <c r="AG122" i="17" s="1"/>
  <c r="AF122" i="17" s="1"/>
  <c r="AD122" i="17" s="1"/>
  <c r="AI369" i="17"/>
  <c r="AH369" i="17" s="1"/>
  <c r="AG369" i="17" s="1"/>
  <c r="AF369" i="17" s="1"/>
  <c r="AD369" i="17" s="1"/>
  <c r="AA369" i="17" s="1"/>
  <c r="Z369" i="17" s="1"/>
  <c r="Y369" i="17" s="1"/>
  <c r="AI175" i="17"/>
  <c r="AH175" i="17" s="1"/>
  <c r="AG175" i="17" s="1"/>
  <c r="AF175" i="17" s="1"/>
  <c r="AD175" i="17" s="1"/>
  <c r="AI172" i="17"/>
  <c r="AH172" i="17" s="1"/>
  <c r="AG172" i="17" s="1"/>
  <c r="AF172" i="17" s="1"/>
  <c r="AD172" i="17" s="1"/>
  <c r="AI90" i="17"/>
  <c r="AH90" i="17" s="1"/>
  <c r="AG90" i="17" s="1"/>
  <c r="AF90" i="17" s="1"/>
  <c r="AD90" i="17" s="1"/>
  <c r="AI19" i="17"/>
  <c r="AI252" i="17"/>
  <c r="AH252" i="17" s="1"/>
  <c r="AG252" i="17" s="1"/>
  <c r="AF252" i="17" s="1"/>
  <c r="AD252" i="17" s="1"/>
  <c r="AI55" i="17"/>
  <c r="AH55" i="17" s="1"/>
  <c r="AG55" i="17" s="1"/>
  <c r="AF55" i="17" s="1"/>
  <c r="AD55" i="17" s="1"/>
  <c r="AI283" i="17"/>
  <c r="AH283" i="17" s="1"/>
  <c r="AG283" i="17" s="1"/>
  <c r="AF283" i="17" s="1"/>
  <c r="AD283" i="17" s="1"/>
  <c r="AI44" i="17"/>
  <c r="AH44" i="17" s="1"/>
  <c r="AG44" i="17" s="1"/>
  <c r="AF44" i="17" s="1"/>
  <c r="AD44" i="17" s="1"/>
  <c r="AI324" i="17"/>
  <c r="AH324" i="17" s="1"/>
  <c r="AG324" i="17" s="1"/>
  <c r="AF324" i="17" s="1"/>
  <c r="AD324" i="17" s="1"/>
  <c r="AI276" i="17"/>
  <c r="AH276" i="17" s="1"/>
  <c r="AG276" i="17" s="1"/>
  <c r="AF276" i="17" s="1"/>
  <c r="AD276" i="17" s="1"/>
  <c r="AI347" i="17"/>
  <c r="AH347" i="17" s="1"/>
  <c r="AG347" i="17" s="1"/>
  <c r="AF347" i="17" s="1"/>
  <c r="AD347" i="17" s="1"/>
  <c r="AI165" i="17"/>
  <c r="AH165" i="17" s="1"/>
  <c r="AG165" i="17" s="1"/>
  <c r="AF165" i="17" s="1"/>
  <c r="AD165" i="17" s="1"/>
  <c r="AI60" i="17"/>
  <c r="AH60" i="17" s="1"/>
  <c r="AG60" i="17" s="1"/>
  <c r="AF60" i="17" s="1"/>
  <c r="AD60" i="17" s="1"/>
  <c r="AI334" i="17"/>
  <c r="AH334" i="17" s="1"/>
  <c r="AG334" i="17" s="1"/>
  <c r="AF334" i="17" s="1"/>
  <c r="AD334" i="17" s="1"/>
  <c r="AA334" i="17" s="1"/>
  <c r="Z334" i="17" s="1"/>
  <c r="Y334" i="17" s="1"/>
  <c r="AI278" i="17"/>
  <c r="AH278" i="17" s="1"/>
  <c r="AG278" i="17" s="1"/>
  <c r="AF278" i="17" s="1"/>
  <c r="AD278" i="17" s="1"/>
  <c r="AI146" i="17"/>
  <c r="AH146" i="17" s="1"/>
  <c r="AG146" i="17" s="1"/>
  <c r="AF146" i="17" s="1"/>
  <c r="AD146" i="17" s="1"/>
  <c r="AI359" i="17"/>
  <c r="AH359" i="17" s="1"/>
  <c r="AG359" i="17" s="1"/>
  <c r="AF359" i="17" s="1"/>
  <c r="AD359" i="17" s="1"/>
  <c r="AI299" i="17"/>
  <c r="AH299" i="17" s="1"/>
  <c r="AG299" i="17" s="1"/>
  <c r="AF299" i="17" s="1"/>
  <c r="AD299" i="17" s="1"/>
  <c r="AI119" i="17"/>
  <c r="AH119" i="17" s="1"/>
  <c r="AG119" i="17" s="1"/>
  <c r="AF119" i="17" s="1"/>
  <c r="AD119" i="17" s="1"/>
  <c r="AI48" i="17"/>
  <c r="AH48" i="17" s="1"/>
  <c r="AG48" i="17" s="1"/>
  <c r="AF48" i="17" s="1"/>
  <c r="AD48" i="17" s="1"/>
  <c r="AI338" i="17"/>
  <c r="AH338" i="17" s="1"/>
  <c r="AG338" i="17" s="1"/>
  <c r="AF338" i="17" s="1"/>
  <c r="AD338" i="17" s="1"/>
  <c r="AI153" i="17"/>
  <c r="AH153" i="17" s="1"/>
  <c r="AG153" i="17" s="1"/>
  <c r="AF153" i="17" s="1"/>
  <c r="AD153" i="17" s="1"/>
  <c r="AI328" i="17"/>
  <c r="AH328" i="17" s="1"/>
  <c r="AG328" i="17" s="1"/>
  <c r="AF328" i="17" s="1"/>
  <c r="AD328" i="17" s="1"/>
  <c r="AI184" i="17"/>
  <c r="AH184" i="17" s="1"/>
  <c r="AG184" i="17" s="1"/>
  <c r="AF184" i="17" s="1"/>
  <c r="AD184" i="17" s="1"/>
  <c r="AI367" i="17"/>
  <c r="AH367" i="17" s="1"/>
  <c r="AG367" i="17" s="1"/>
  <c r="AF367" i="17" s="1"/>
  <c r="AD367" i="17" s="1"/>
  <c r="AI277" i="17"/>
  <c r="AH277" i="17" s="1"/>
  <c r="AG277" i="17" s="1"/>
  <c r="AF277" i="17" s="1"/>
  <c r="AD277" i="17" s="1"/>
  <c r="AI231" i="17"/>
  <c r="AH231" i="17" s="1"/>
  <c r="AI250" i="17"/>
  <c r="AH250" i="17" s="1"/>
  <c r="AG250" i="17" s="1"/>
  <c r="AF250" i="17" s="1"/>
  <c r="AD250" i="17" s="1"/>
  <c r="AI77" i="17"/>
  <c r="AH77" i="17" s="1"/>
  <c r="AG77" i="17" s="1"/>
  <c r="AF77" i="17" s="1"/>
  <c r="AD77" i="17" s="1"/>
  <c r="AI317" i="17"/>
  <c r="AH317" i="17" s="1"/>
  <c r="AG317" i="17" s="1"/>
  <c r="AF317" i="17" s="1"/>
  <c r="AD317" i="17" s="1"/>
  <c r="AI218" i="17"/>
  <c r="AH218" i="17" s="1"/>
  <c r="AG218" i="17" s="1"/>
  <c r="AF218" i="17" s="1"/>
  <c r="AD218" i="17" s="1"/>
  <c r="AI168" i="17"/>
  <c r="AH168" i="17" s="1"/>
  <c r="AG168" i="17" s="1"/>
  <c r="AF168" i="17" s="1"/>
  <c r="AD168" i="17" s="1"/>
  <c r="AI152" i="17"/>
  <c r="AH152" i="17" s="1"/>
  <c r="AG152" i="17" s="1"/>
  <c r="AF152" i="17" s="1"/>
  <c r="AD152" i="17" s="1"/>
  <c r="AA152" i="17" s="1"/>
  <c r="Z152" i="17" s="1"/>
  <c r="Y152" i="17" s="1"/>
  <c r="AI28" i="17"/>
  <c r="AH28" i="17" s="1"/>
  <c r="AG28" i="17" s="1"/>
  <c r="AF28" i="17" s="1"/>
  <c r="AD28" i="17" s="1"/>
  <c r="AI204" i="17"/>
  <c r="AH204" i="17" s="1"/>
  <c r="AG204" i="17" s="1"/>
  <c r="AF204" i="17" s="1"/>
  <c r="AD204" i="17" s="1"/>
  <c r="AI238" i="17"/>
  <c r="AH238" i="17" s="1"/>
  <c r="AG238" i="17" s="1"/>
  <c r="AF238" i="17" s="1"/>
  <c r="AD238" i="17" s="1"/>
  <c r="AI177" i="17"/>
  <c r="AH177" i="17" s="1"/>
  <c r="AG177" i="17" s="1"/>
  <c r="AF177" i="17" s="1"/>
  <c r="AD177" i="17" s="1"/>
  <c r="AI103" i="17"/>
  <c r="AH103" i="17" s="1"/>
  <c r="AG103" i="17" s="1"/>
  <c r="AF103" i="17" s="1"/>
  <c r="AD103" i="17" s="1"/>
  <c r="AI151" i="17"/>
  <c r="AH151" i="17" s="1"/>
  <c r="AG151" i="17" s="1"/>
  <c r="AF151" i="17" s="1"/>
  <c r="AD151" i="17" s="1"/>
  <c r="AI108" i="17"/>
  <c r="AH108" i="17" s="1"/>
  <c r="AG108" i="17" s="1"/>
  <c r="AF108" i="17" s="1"/>
  <c r="AD108" i="17" s="1"/>
  <c r="AI335" i="17"/>
  <c r="AH335" i="17" s="1"/>
  <c r="AG335" i="17" s="1"/>
  <c r="AF335" i="17" s="1"/>
  <c r="AD335" i="17" s="1"/>
  <c r="AI315" i="17"/>
  <c r="AH315" i="17" s="1"/>
  <c r="AG315" i="17" s="1"/>
  <c r="AF315" i="17" s="1"/>
  <c r="AD315" i="17" s="1"/>
  <c r="AA315" i="17" s="1"/>
  <c r="Z315" i="17" s="1"/>
  <c r="Y315" i="17" s="1"/>
  <c r="AI225" i="17"/>
  <c r="AH225" i="17" s="1"/>
  <c r="AG225" i="17" s="1"/>
  <c r="AF225" i="17" s="1"/>
  <c r="AD225" i="17" s="1"/>
  <c r="AI182" i="17"/>
  <c r="AH182" i="17" s="1"/>
  <c r="AG182" i="17" s="1"/>
  <c r="AF182" i="17" s="1"/>
  <c r="AD182" i="17" s="1"/>
  <c r="AI157" i="17"/>
  <c r="AH157" i="17" s="1"/>
  <c r="AG157" i="17" s="1"/>
  <c r="AF157" i="17" s="1"/>
  <c r="AD157" i="17" s="1"/>
  <c r="AI358" i="17"/>
  <c r="AH358" i="17" s="1"/>
  <c r="AG358" i="17" s="1"/>
  <c r="AF358" i="17" s="1"/>
  <c r="AD358" i="17" s="1"/>
  <c r="AI224" i="17"/>
  <c r="AH224" i="17" s="1"/>
  <c r="AG224" i="17" s="1"/>
  <c r="AF224" i="17" s="1"/>
  <c r="AD224" i="17" s="1"/>
  <c r="AI174" i="17"/>
  <c r="AH174" i="17" s="1"/>
  <c r="AG174" i="17" s="1"/>
  <c r="AF174" i="17" s="1"/>
  <c r="AD174" i="17" s="1"/>
  <c r="AI115" i="17"/>
  <c r="AH115" i="17" s="1"/>
  <c r="AG115" i="17" s="1"/>
  <c r="AF115" i="17" s="1"/>
  <c r="AD115" i="17" s="1"/>
  <c r="AI66" i="17"/>
  <c r="AH66" i="17" s="1"/>
  <c r="AG66" i="17" s="1"/>
  <c r="AF66" i="17" s="1"/>
  <c r="AD66" i="17" s="1"/>
  <c r="AI285" i="17"/>
  <c r="AH285" i="17" s="1"/>
  <c r="AG285" i="17" s="1"/>
  <c r="AF285" i="17" s="1"/>
  <c r="AD285" i="17" s="1"/>
  <c r="AI100" i="17"/>
  <c r="AH100" i="17" s="1"/>
  <c r="AG100" i="17" s="1"/>
  <c r="AF100" i="17" s="1"/>
  <c r="AD100" i="17" s="1"/>
  <c r="AI131" i="17"/>
  <c r="AH131" i="17" s="1"/>
  <c r="AG131" i="17" s="1"/>
  <c r="AF131" i="17" s="1"/>
  <c r="AD131" i="17" s="1"/>
  <c r="AI54" i="17"/>
  <c r="AH54" i="17" s="1"/>
  <c r="AG54" i="17" s="1"/>
  <c r="AF54" i="17" s="1"/>
  <c r="AD54" i="17" s="1"/>
  <c r="AI363" i="17"/>
  <c r="AH363" i="17" s="1"/>
  <c r="AG363" i="17" s="1"/>
  <c r="AF363" i="17" s="1"/>
  <c r="AD363" i="17" s="1"/>
  <c r="AI179" i="17"/>
  <c r="AH179" i="17" s="1"/>
  <c r="AG179" i="17" s="1"/>
  <c r="AF179" i="17" s="1"/>
  <c r="AD179" i="17" s="1"/>
  <c r="AI24" i="17"/>
  <c r="AH24" i="17" s="1"/>
  <c r="AG24" i="17" s="1"/>
  <c r="AF24" i="17" s="1"/>
  <c r="AD24" i="17" s="1"/>
  <c r="AI201" i="17"/>
  <c r="AH201" i="17" s="1"/>
  <c r="AG201" i="17" s="1"/>
  <c r="AF201" i="17" s="1"/>
  <c r="AD201" i="17" s="1"/>
  <c r="AA201" i="17" s="1"/>
  <c r="Z201" i="17" s="1"/>
  <c r="Y201" i="17" s="1"/>
  <c r="AI64" i="17"/>
  <c r="AH64" i="17" s="1"/>
  <c r="AI374" i="17"/>
  <c r="AH374" i="17" s="1"/>
  <c r="AG374" i="17" s="1"/>
  <c r="AF374" i="17" s="1"/>
  <c r="AD374" i="17" s="1"/>
  <c r="AA374" i="17" s="1"/>
  <c r="Z374" i="17" s="1"/>
  <c r="Y374" i="17" s="1"/>
  <c r="AI292" i="17"/>
  <c r="AH292" i="17" s="1"/>
  <c r="AG292" i="17" s="1"/>
  <c r="AF292" i="17" s="1"/>
  <c r="AD292" i="17" s="1"/>
  <c r="AI187" i="17"/>
  <c r="AH187" i="17" s="1"/>
  <c r="AG187" i="17" s="1"/>
  <c r="AF187" i="17" s="1"/>
  <c r="AD187" i="17" s="1"/>
  <c r="AI127" i="17"/>
  <c r="AH127" i="17" s="1"/>
  <c r="AG127" i="17" s="1"/>
  <c r="AF127" i="17" s="1"/>
  <c r="AD127" i="17" s="1"/>
  <c r="AI346" i="17"/>
  <c r="AH346" i="17" s="1"/>
  <c r="AG346" i="17" s="1"/>
  <c r="AF346" i="17" s="1"/>
  <c r="AD346" i="17" s="1"/>
  <c r="AI129" i="17"/>
  <c r="AH129" i="17" s="1"/>
  <c r="AG129" i="17" s="1"/>
  <c r="AF129" i="17" s="1"/>
  <c r="AD129" i="17" s="1"/>
  <c r="AI59" i="17"/>
  <c r="AH59" i="17" s="1"/>
  <c r="AG59" i="17" s="1"/>
  <c r="AF59" i="17" s="1"/>
  <c r="AD59" i="17" s="1"/>
  <c r="AI378" i="17"/>
  <c r="AH378" i="17" s="1"/>
  <c r="AG378" i="17" s="1"/>
  <c r="AF378" i="17" s="1"/>
  <c r="AD378" i="17" s="1"/>
  <c r="AI193" i="17"/>
  <c r="AH193" i="17" s="1"/>
  <c r="AG193" i="17" s="1"/>
  <c r="AF193" i="17" s="1"/>
  <c r="AD193" i="17" s="1"/>
  <c r="AI355" i="17"/>
  <c r="AH355" i="17" s="1"/>
  <c r="AG355" i="17" s="1"/>
  <c r="AF355" i="17" s="1"/>
  <c r="AD355" i="17" s="1"/>
  <c r="AI86" i="17"/>
  <c r="AH86" i="17" s="1"/>
  <c r="AG86" i="17" s="1"/>
  <c r="AF86" i="17" s="1"/>
  <c r="AD86" i="17" s="1"/>
  <c r="AI362" i="17"/>
  <c r="AH362" i="17" s="1"/>
  <c r="AG362" i="17" s="1"/>
  <c r="AF362" i="17" s="1"/>
  <c r="AD362" i="17" s="1"/>
  <c r="AI312" i="17"/>
  <c r="AH312" i="17" s="1"/>
  <c r="AG312" i="17" s="1"/>
  <c r="AF312" i="17" s="1"/>
  <c r="AD312" i="17" s="1"/>
  <c r="AI76" i="17"/>
  <c r="AH76" i="17" s="1"/>
  <c r="AG76" i="17" s="1"/>
  <c r="AF76" i="17" s="1"/>
  <c r="AD76" i="17" s="1"/>
  <c r="AI297" i="17"/>
  <c r="AH297" i="17" s="1"/>
  <c r="AG297" i="17" s="1"/>
  <c r="AF297" i="17" s="1"/>
  <c r="AD297" i="17" s="1"/>
  <c r="AI112" i="17"/>
  <c r="AH112" i="17" s="1"/>
  <c r="AG112" i="17" s="1"/>
  <c r="AF112" i="17" s="1"/>
  <c r="AD112" i="17" s="1"/>
  <c r="AI320" i="17"/>
  <c r="AH320" i="17" s="1"/>
  <c r="AG320" i="17" s="1"/>
  <c r="AF320" i="17" s="1"/>
  <c r="AD320" i="17" s="1"/>
  <c r="AI258" i="17"/>
  <c r="AH258" i="17" s="1"/>
  <c r="AG258" i="17" s="1"/>
  <c r="AF258" i="17" s="1"/>
  <c r="AD258" i="17" s="1"/>
  <c r="AI178" i="17"/>
  <c r="AH178" i="17" s="1"/>
  <c r="AG178" i="17" s="1"/>
  <c r="AF178" i="17" s="1"/>
  <c r="AD178" i="17" s="1"/>
  <c r="AI181" i="17"/>
  <c r="AH181" i="17" s="1"/>
  <c r="AG181" i="17" s="1"/>
  <c r="AF181" i="17" s="1"/>
  <c r="AD181" i="17" s="1"/>
  <c r="AI27" i="17"/>
  <c r="AH27" i="17" s="1"/>
  <c r="AG27" i="17" s="1"/>
  <c r="AF27" i="17" s="1"/>
  <c r="AD27" i="17" s="1"/>
  <c r="AI241" i="17"/>
  <c r="AH241" i="17" s="1"/>
  <c r="AG241" i="17" s="1"/>
  <c r="AF241" i="17" s="1"/>
  <c r="AD241" i="17" s="1"/>
  <c r="AI267" i="17"/>
  <c r="AH267" i="17" s="1"/>
  <c r="AG267" i="17" s="1"/>
  <c r="AF267" i="17" s="1"/>
  <c r="AD267" i="17" s="1"/>
  <c r="AI180" i="17"/>
  <c r="AH180" i="17" s="1"/>
  <c r="AG180" i="17" s="1"/>
  <c r="AF180" i="17" s="1"/>
  <c r="AD180" i="17" s="1"/>
  <c r="AI130" i="17"/>
  <c r="AH130" i="17" s="1"/>
  <c r="AG130" i="17" s="1"/>
  <c r="AF130" i="17" s="1"/>
  <c r="AD130" i="17" s="1"/>
  <c r="AI186" i="17"/>
  <c r="AH186" i="17" s="1"/>
  <c r="AG186" i="17" s="1"/>
  <c r="AF186" i="17" s="1"/>
  <c r="AD186" i="17" s="1"/>
  <c r="AI135" i="17"/>
  <c r="AH135" i="17" s="1"/>
  <c r="AG135" i="17" s="1"/>
  <c r="AF135" i="17" s="1"/>
  <c r="AD135" i="17" s="1"/>
  <c r="AI46" i="17"/>
  <c r="AH46" i="17" s="1"/>
  <c r="AG46" i="17" s="1"/>
  <c r="AF46" i="17" s="1"/>
  <c r="AD46" i="17" s="1"/>
  <c r="AI318" i="17"/>
  <c r="AH318" i="17" s="1"/>
  <c r="AG318" i="17" s="1"/>
  <c r="AF318" i="17" s="1"/>
  <c r="AD318" i="17" s="1"/>
  <c r="AI263" i="17"/>
  <c r="AH263" i="17" s="1"/>
  <c r="AG263" i="17" s="1"/>
  <c r="AF263" i="17" s="1"/>
  <c r="AD263" i="17" s="1"/>
  <c r="AI344" i="17"/>
  <c r="AH344" i="17" s="1"/>
  <c r="AG344" i="17" s="1"/>
  <c r="AF344" i="17" s="1"/>
  <c r="AD344" i="17" s="1"/>
  <c r="AI199" i="17"/>
  <c r="AH199" i="17" s="1"/>
  <c r="AG199" i="17" s="1"/>
  <c r="AF199" i="17" s="1"/>
  <c r="AD199" i="17" s="1"/>
  <c r="AI30" i="17"/>
  <c r="AH30" i="17" s="1"/>
  <c r="AG30" i="17" s="1"/>
  <c r="AF30" i="17" s="1"/>
  <c r="AD30" i="17" s="1"/>
  <c r="AI273" i="17"/>
  <c r="AH273" i="17" s="1"/>
  <c r="AG273" i="17" s="1"/>
  <c r="AF273" i="17" s="1"/>
  <c r="AD273" i="17" s="1"/>
  <c r="AA273" i="17" s="1"/>
  <c r="Z273" i="17" s="1"/>
  <c r="Y273" i="17" s="1"/>
  <c r="AI213" i="17"/>
  <c r="AH213" i="17" s="1"/>
  <c r="AG213" i="17" s="1"/>
  <c r="AF213" i="17" s="1"/>
  <c r="AD213" i="17" s="1"/>
  <c r="AA213" i="17" s="1"/>
  <c r="Z213" i="17" s="1"/>
  <c r="Y213" i="17" s="1"/>
  <c r="AI133" i="17"/>
  <c r="AH133" i="17" s="1"/>
  <c r="AG133" i="17" s="1"/>
  <c r="AF133" i="17" s="1"/>
  <c r="AD133" i="17" s="1"/>
  <c r="AI92" i="17"/>
  <c r="AH92" i="17" s="1"/>
  <c r="AG92" i="17" s="1"/>
  <c r="AF92" i="17" s="1"/>
  <c r="AD92" i="17" s="1"/>
  <c r="AI333" i="17"/>
  <c r="AH333" i="17" s="1"/>
  <c r="AG333" i="17" s="1"/>
  <c r="AF333" i="17" s="1"/>
  <c r="AD333" i="17" s="1"/>
  <c r="AI142" i="17"/>
  <c r="AH142" i="17" s="1"/>
  <c r="AG142" i="17" s="1"/>
  <c r="AF142" i="17" s="1"/>
  <c r="AD142" i="17" s="1"/>
  <c r="AI154" i="17"/>
  <c r="AH154" i="17" s="1"/>
  <c r="AG154" i="17" s="1"/>
  <c r="AF154" i="17" s="1"/>
  <c r="AD154" i="17" s="1"/>
  <c r="AI75" i="17"/>
  <c r="AH75" i="17" s="1"/>
  <c r="AG75" i="17" s="1"/>
  <c r="AF75" i="17" s="1"/>
  <c r="AD75" i="17" s="1"/>
  <c r="AI366" i="17"/>
  <c r="AH366" i="17" s="1"/>
  <c r="AG366" i="17" s="1"/>
  <c r="AF366" i="17" s="1"/>
  <c r="AD366" i="17" s="1"/>
  <c r="AI220" i="17"/>
  <c r="AH220" i="17" s="1"/>
  <c r="AG220" i="17" s="1"/>
  <c r="AF220" i="17" s="1"/>
  <c r="AD220" i="17" s="1"/>
  <c r="AI15" i="17"/>
  <c r="AH15" i="17" s="1"/>
  <c r="AI248" i="17"/>
  <c r="AH248" i="17" s="1"/>
  <c r="AG248" i="17" s="1"/>
  <c r="AF248" i="17" s="1"/>
  <c r="AD248" i="17" s="1"/>
  <c r="AI84" i="17"/>
  <c r="AH84" i="17" s="1"/>
  <c r="AG84" i="17" s="1"/>
  <c r="AF84" i="17" s="1"/>
  <c r="AD84" i="17" s="1"/>
  <c r="AI368" i="17"/>
  <c r="AH368" i="17" s="1"/>
  <c r="AG368" i="17" s="1"/>
  <c r="AF368" i="17" s="1"/>
  <c r="AD368" i="17" s="1"/>
  <c r="AI325" i="17"/>
  <c r="AH325" i="17" s="1"/>
  <c r="AG325" i="17" s="1"/>
  <c r="AF325" i="17" s="1"/>
  <c r="AD325" i="17" s="1"/>
  <c r="AI226" i="17"/>
  <c r="AH226" i="17" s="1"/>
  <c r="AG226" i="17" s="1"/>
  <c r="AF226" i="17" s="1"/>
  <c r="AD226" i="17" s="1"/>
  <c r="AI170" i="17"/>
  <c r="AH170" i="17" s="1"/>
  <c r="AG170" i="17" s="1"/>
  <c r="AF170" i="17" s="1"/>
  <c r="AD170" i="17" s="1"/>
  <c r="AI221" i="17"/>
  <c r="AH221" i="17" s="1"/>
  <c r="AG221" i="17" s="1"/>
  <c r="AF221" i="17" s="1"/>
  <c r="AD221" i="17" s="1"/>
  <c r="AI162" i="17"/>
  <c r="AH162" i="17" s="1"/>
  <c r="AG162" i="17" s="1"/>
  <c r="AF162" i="17" s="1"/>
  <c r="AD162" i="17" s="1"/>
  <c r="AI88" i="17"/>
  <c r="AH88" i="17" s="1"/>
  <c r="AG88" i="17" s="1"/>
  <c r="AF88" i="17" s="1"/>
  <c r="AD88" i="17" s="1"/>
  <c r="AI376" i="17"/>
  <c r="AH376" i="17" s="1"/>
  <c r="AG376" i="17" s="1"/>
  <c r="AF376" i="17" s="1"/>
  <c r="AD376" i="17" s="1"/>
  <c r="AI240" i="17"/>
  <c r="AH240" i="17" s="1"/>
  <c r="AG240" i="17" s="1"/>
  <c r="AF240" i="17" s="1"/>
  <c r="AD240" i="17" s="1"/>
  <c r="AI29" i="17"/>
  <c r="AH29" i="17" s="1"/>
  <c r="AG29" i="17" s="1"/>
  <c r="AF29" i="17" s="1"/>
  <c r="AD29" i="17" s="1"/>
  <c r="AI102" i="17"/>
  <c r="AH102" i="17" s="1"/>
  <c r="AG102" i="17" s="1"/>
  <c r="AF102" i="17" s="1"/>
  <c r="AD102" i="17" s="1"/>
  <c r="AA102" i="17" s="1"/>
  <c r="Z102" i="17" s="1"/>
  <c r="Y102" i="17" s="1"/>
  <c r="AI37" i="17"/>
  <c r="AH37" i="17" s="1"/>
  <c r="AG37" i="17" s="1"/>
  <c r="AF37" i="17" s="1"/>
  <c r="AD37" i="17" s="1"/>
  <c r="AI322" i="17"/>
  <c r="AH322" i="17" s="1"/>
  <c r="AG322" i="17" s="1"/>
  <c r="AF322" i="17" s="1"/>
  <c r="AD322" i="17" s="1"/>
  <c r="AI118" i="17"/>
  <c r="AH118" i="17" s="1"/>
  <c r="AG118" i="17" s="1"/>
  <c r="AF118" i="17" s="1"/>
  <c r="AD118" i="17" s="1"/>
  <c r="AI296" i="17"/>
  <c r="AH296" i="17" s="1"/>
  <c r="AG296" i="17" s="1"/>
  <c r="AF296" i="17" s="1"/>
  <c r="AD296" i="17" s="1"/>
  <c r="AI155" i="17"/>
  <c r="AH155" i="17" s="1"/>
  <c r="AG155" i="17" s="1"/>
  <c r="AF155" i="17" s="1"/>
  <c r="AD155" i="17" s="1"/>
  <c r="U55" i="17"/>
  <c r="T55" i="17" s="1"/>
  <c r="S55" i="17" s="1"/>
  <c r="R55" i="17" s="1"/>
  <c r="P55" i="17" s="1"/>
  <c r="V55" i="17" s="1"/>
  <c r="F55" i="17" s="1"/>
  <c r="U70" i="17"/>
  <c r="T70" i="17" s="1"/>
  <c r="S70" i="17" s="1"/>
  <c r="R70" i="17" s="1"/>
  <c r="P70" i="17" s="1"/>
  <c r="V70" i="17" s="1"/>
  <c r="F70" i="17" s="1"/>
  <c r="G70" i="17" s="1"/>
  <c r="BZ70" i="6" s="1"/>
  <c r="U324" i="17"/>
  <c r="T324" i="17" s="1"/>
  <c r="S324" i="17" s="1"/>
  <c r="R324" i="17" s="1"/>
  <c r="P324" i="17" s="1"/>
  <c r="V324" i="17" s="1"/>
  <c r="F324" i="17" s="1"/>
  <c r="U260" i="17"/>
  <c r="T260" i="17" s="1"/>
  <c r="S260" i="17" s="1"/>
  <c r="R260" i="17" s="1"/>
  <c r="P260" i="17" s="1"/>
  <c r="V260" i="17" s="1"/>
  <c r="F260" i="17" s="1"/>
  <c r="G260" i="17" s="1"/>
  <c r="BZ260" i="6" s="1"/>
  <c r="U259" i="17"/>
  <c r="T259" i="17" s="1"/>
  <c r="S259" i="17" s="1"/>
  <c r="R259" i="17" s="1"/>
  <c r="P259" i="17" s="1"/>
  <c r="V259" i="17" s="1"/>
  <c r="F259" i="17" s="1"/>
  <c r="G259" i="17" s="1"/>
  <c r="BZ259" i="6" s="1"/>
  <c r="U22" i="17"/>
  <c r="T22" i="17" s="1"/>
  <c r="S22" i="17" s="1"/>
  <c r="R22" i="17" s="1"/>
  <c r="P22" i="17" s="1"/>
  <c r="V22" i="17" s="1"/>
  <c r="F22" i="17" s="1"/>
  <c r="G22" i="17" s="1"/>
  <c r="BZ22" i="6" s="1"/>
  <c r="U204" i="17"/>
  <c r="T204" i="17" s="1"/>
  <c r="S204" i="17" s="1"/>
  <c r="R204" i="17" s="1"/>
  <c r="P204" i="17" s="1"/>
  <c r="V204" i="17" s="1"/>
  <c r="F204" i="17" s="1"/>
  <c r="G204" i="17" s="1"/>
  <c r="BZ204" i="6" s="1"/>
  <c r="U44" i="17"/>
  <c r="T44" i="17" s="1"/>
  <c r="S44" i="17" s="1"/>
  <c r="R44" i="17" s="1"/>
  <c r="P44" i="17" s="1"/>
  <c r="V44" i="17" s="1"/>
  <c r="F44" i="17" s="1"/>
  <c r="G44" i="17" s="1"/>
  <c r="BZ44" i="6" s="1"/>
  <c r="U167" i="17"/>
  <c r="T167" i="17" s="1"/>
  <c r="S167" i="17" s="1"/>
  <c r="R167" i="17" s="1"/>
  <c r="P167" i="17" s="1"/>
  <c r="V167" i="17" s="1"/>
  <c r="F167" i="17" s="1"/>
  <c r="G167" i="17" s="1"/>
  <c r="BZ167" i="6" s="1"/>
  <c r="U309" i="17"/>
  <c r="T309" i="17" s="1"/>
  <c r="S309" i="17" s="1"/>
  <c r="R309" i="17" s="1"/>
  <c r="P309" i="17" s="1"/>
  <c r="V309" i="17" s="1"/>
  <c r="F309" i="17" s="1"/>
  <c r="U108" i="17"/>
  <c r="T108" i="17" s="1"/>
  <c r="S108" i="17" s="1"/>
  <c r="R108" i="17" s="1"/>
  <c r="P108" i="17" s="1"/>
  <c r="V108" i="17" s="1"/>
  <c r="F108" i="17" s="1"/>
  <c r="G108" i="17" s="1"/>
  <c r="BZ108" i="6" s="1"/>
  <c r="U308" i="17"/>
  <c r="T308" i="17" s="1"/>
  <c r="S308" i="17" s="1"/>
  <c r="R308" i="17" s="1"/>
  <c r="P308" i="17" s="1"/>
  <c r="V308" i="17" s="1"/>
  <c r="F308" i="17" s="1"/>
  <c r="G308" i="17" s="1"/>
  <c r="BZ308" i="6" s="1"/>
  <c r="U128" i="17"/>
  <c r="T128" i="17" s="1"/>
  <c r="S128" i="17" s="1"/>
  <c r="R128" i="17" s="1"/>
  <c r="P128" i="17" s="1"/>
  <c r="V128" i="17" s="1"/>
  <c r="F128" i="17" s="1"/>
  <c r="U135" i="17"/>
  <c r="T135" i="17" s="1"/>
  <c r="S135" i="17" s="1"/>
  <c r="R135" i="17" s="1"/>
  <c r="P135" i="17" s="1"/>
  <c r="V135" i="17" s="1"/>
  <c r="F135" i="17" s="1"/>
  <c r="G135" i="17" s="1"/>
  <c r="BZ135" i="6" s="1"/>
  <c r="U94" i="17"/>
  <c r="T94" i="17" s="1"/>
  <c r="S94" i="17" s="1"/>
  <c r="R94" i="17" s="1"/>
  <c r="P94" i="17" s="1"/>
  <c r="V94" i="17" s="1"/>
  <c r="F94" i="17" s="1"/>
  <c r="G94" i="17" s="1"/>
  <c r="BZ94" i="6" s="1"/>
  <c r="U327" i="17"/>
  <c r="T327" i="17" s="1"/>
  <c r="S327" i="17" s="1"/>
  <c r="R327" i="17" s="1"/>
  <c r="P327" i="17" s="1"/>
  <c r="V327" i="17" s="1"/>
  <c r="F327" i="17" s="1"/>
  <c r="G327" i="17" s="1"/>
  <c r="BZ327" i="6" s="1"/>
  <c r="U265" i="17"/>
  <c r="T265" i="17" s="1"/>
  <c r="S265" i="17" s="1"/>
  <c r="R265" i="17" s="1"/>
  <c r="P265" i="17" s="1"/>
  <c r="V265" i="17" s="1"/>
  <c r="F265" i="17" s="1"/>
  <c r="G265" i="17" s="1"/>
  <c r="BZ265" i="6" s="1"/>
  <c r="U18" i="17"/>
  <c r="T18" i="17" s="1"/>
  <c r="S18" i="17" s="1"/>
  <c r="R18" i="17" s="1"/>
  <c r="P18" i="17" s="1"/>
  <c r="V18" i="17" s="1"/>
  <c r="F18" i="17" s="1"/>
  <c r="G18" i="17" s="1"/>
  <c r="BZ18" i="6" s="1"/>
  <c r="U284" i="17"/>
  <c r="T284" i="17" s="1"/>
  <c r="S284" i="17" s="1"/>
  <c r="R284" i="17" s="1"/>
  <c r="P284" i="17" s="1"/>
  <c r="V284" i="17" s="1"/>
  <c r="F284" i="17" s="1"/>
  <c r="U291" i="17"/>
  <c r="T291" i="17" s="1"/>
  <c r="S291" i="17" s="1"/>
  <c r="R291" i="17" s="1"/>
  <c r="P291" i="17" s="1"/>
  <c r="V291" i="17" s="1"/>
  <c r="F291" i="17" s="1"/>
  <c r="H291" i="17" s="1"/>
  <c r="U316" i="17"/>
  <c r="T316" i="17" s="1"/>
  <c r="S316" i="17" s="1"/>
  <c r="R316" i="17" s="1"/>
  <c r="P316" i="17" s="1"/>
  <c r="V316" i="17" s="1"/>
  <c r="F316" i="17" s="1"/>
  <c r="U120" i="17"/>
  <c r="T120" i="17" s="1"/>
  <c r="S120" i="17" s="1"/>
  <c r="R120" i="17" s="1"/>
  <c r="P120" i="17" s="1"/>
  <c r="V120" i="17" s="1"/>
  <c r="F120" i="17" s="1"/>
  <c r="H120" i="17" s="1"/>
  <c r="U375" i="17"/>
  <c r="T375" i="17" s="1"/>
  <c r="S375" i="17" s="1"/>
  <c r="R375" i="17" s="1"/>
  <c r="P375" i="17" s="1"/>
  <c r="V375" i="17" s="1"/>
  <c r="F375" i="17" s="1"/>
  <c r="H375" i="17" s="1"/>
  <c r="U199" i="17"/>
  <c r="T199" i="17" s="1"/>
  <c r="S199" i="17" s="1"/>
  <c r="R199" i="17" s="1"/>
  <c r="P199" i="17" s="1"/>
  <c r="V199" i="17" s="1"/>
  <c r="F199" i="17" s="1"/>
  <c r="H199" i="17" s="1"/>
  <c r="U223" i="17"/>
  <c r="T223" i="17" s="1"/>
  <c r="S223" i="17" s="1"/>
  <c r="R223" i="17" s="1"/>
  <c r="P223" i="17" s="1"/>
  <c r="V223" i="17" s="1"/>
  <c r="F223" i="17" s="1"/>
  <c r="H223" i="17" s="1"/>
  <c r="U138" i="17"/>
  <c r="T138" i="17" s="1"/>
  <c r="S138" i="17" s="1"/>
  <c r="R138" i="17" s="1"/>
  <c r="P138" i="17" s="1"/>
  <c r="V138" i="17" s="1"/>
  <c r="F138" i="17" s="1"/>
  <c r="H138" i="17" s="1"/>
  <c r="U202" i="17"/>
  <c r="T202" i="17" s="1"/>
  <c r="S202" i="17" s="1"/>
  <c r="R202" i="17" s="1"/>
  <c r="P202" i="17" s="1"/>
  <c r="V202" i="17" s="1"/>
  <c r="F202" i="17" s="1"/>
  <c r="U236" i="17"/>
  <c r="T236" i="17" s="1"/>
  <c r="S236" i="17" s="1"/>
  <c r="R236" i="17" s="1"/>
  <c r="P236" i="17" s="1"/>
  <c r="V236" i="17" s="1"/>
  <c r="F236" i="17" s="1"/>
  <c r="G236" i="17" s="1"/>
  <c r="BZ236" i="6" s="1"/>
  <c r="U182" i="17"/>
  <c r="T182" i="17" s="1"/>
  <c r="S182" i="17" s="1"/>
  <c r="R182" i="17" s="1"/>
  <c r="P182" i="17" s="1"/>
  <c r="V182" i="17" s="1"/>
  <c r="F182" i="17" s="1"/>
  <c r="U249" i="17"/>
  <c r="T249" i="17" s="1"/>
  <c r="S249" i="17" s="1"/>
  <c r="R249" i="17" s="1"/>
  <c r="P249" i="17" s="1"/>
  <c r="V249" i="17" s="1"/>
  <c r="F249" i="17" s="1"/>
  <c r="G249" i="17" s="1"/>
  <c r="BZ249" i="6" s="1"/>
  <c r="U96" i="17"/>
  <c r="T96" i="17" s="1"/>
  <c r="S96" i="17" s="1"/>
  <c r="R96" i="17" s="1"/>
  <c r="P96" i="17" s="1"/>
  <c r="V96" i="17" s="1"/>
  <c r="F96" i="17" s="1"/>
  <c r="H96" i="17" s="1"/>
  <c r="U28" i="17"/>
  <c r="T28" i="17" s="1"/>
  <c r="S28" i="17" s="1"/>
  <c r="R28" i="17" s="1"/>
  <c r="P28" i="17" s="1"/>
  <c r="V28" i="17" s="1"/>
  <c r="F28" i="17" s="1"/>
  <c r="H28" i="17" s="1"/>
  <c r="U318" i="17"/>
  <c r="T318" i="17" s="1"/>
  <c r="S318" i="17" s="1"/>
  <c r="R318" i="17" s="1"/>
  <c r="P318" i="17" s="1"/>
  <c r="V318" i="17" s="1"/>
  <c r="F318" i="17" s="1"/>
  <c r="U277" i="17"/>
  <c r="T277" i="17" s="1"/>
  <c r="S277" i="17" s="1"/>
  <c r="R277" i="17" s="1"/>
  <c r="P277" i="17" s="1"/>
  <c r="V277" i="17" s="1"/>
  <c r="F277" i="17" s="1"/>
  <c r="G277" i="17" s="1"/>
  <c r="BZ277" i="6" s="1"/>
  <c r="U68" i="17"/>
  <c r="T68" i="17" s="1"/>
  <c r="S68" i="17" s="1"/>
  <c r="R68" i="17" s="1"/>
  <c r="P68" i="17" s="1"/>
  <c r="V68" i="17" s="1"/>
  <c r="F68" i="17" s="1"/>
  <c r="G68" i="17" s="1"/>
  <c r="BZ68" i="6" s="1"/>
  <c r="U254" i="17"/>
  <c r="T254" i="17" s="1"/>
  <c r="S254" i="17" s="1"/>
  <c r="R254" i="17" s="1"/>
  <c r="P254" i="17" s="1"/>
  <c r="V254" i="17" s="1"/>
  <c r="F254" i="17" s="1"/>
  <c r="G254" i="17" s="1"/>
  <c r="BZ254" i="6" s="1"/>
  <c r="U132" i="17"/>
  <c r="T132" i="17" s="1"/>
  <c r="S132" i="17" s="1"/>
  <c r="R132" i="17" s="1"/>
  <c r="P132" i="17" s="1"/>
  <c r="V132" i="17" s="1"/>
  <c r="F132" i="17" s="1"/>
  <c r="G132" i="17" s="1"/>
  <c r="BZ132" i="6" s="1"/>
  <c r="U232" i="17"/>
  <c r="T232" i="17" s="1"/>
  <c r="S232" i="17" s="1"/>
  <c r="R232" i="17" s="1"/>
  <c r="P232" i="17" s="1"/>
  <c r="V232" i="17" s="1"/>
  <c r="F232" i="17" s="1"/>
  <c r="G232" i="17" s="1"/>
  <c r="BZ232" i="6" s="1"/>
  <c r="U256" i="17"/>
  <c r="T256" i="17" s="1"/>
  <c r="S256" i="17" s="1"/>
  <c r="R256" i="17" s="1"/>
  <c r="P256" i="17" s="1"/>
  <c r="V256" i="17" s="1"/>
  <c r="F256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172" i="17"/>
  <c r="T172" i="17" s="1"/>
  <c r="S172" i="17" s="1"/>
  <c r="R172" i="17" s="1"/>
  <c r="P172" i="17" s="1"/>
  <c r="V172" i="17" s="1"/>
  <c r="F172" i="17" s="1"/>
  <c r="U112" i="17"/>
  <c r="T112" i="17" s="1"/>
  <c r="S112" i="17" s="1"/>
  <c r="R112" i="17" s="1"/>
  <c r="P112" i="17" s="1"/>
  <c r="V112" i="17" s="1"/>
  <c r="F112" i="17" s="1"/>
  <c r="G112" i="17" s="1"/>
  <c r="BZ112" i="6" s="1"/>
  <c r="U283" i="17"/>
  <c r="T283" i="17" s="1"/>
  <c r="S283" i="17" s="1"/>
  <c r="R283" i="17" s="1"/>
  <c r="P283" i="17" s="1"/>
  <c r="V283" i="17" s="1"/>
  <c r="F283" i="17" s="1"/>
  <c r="G283" i="17" s="1"/>
  <c r="BZ283" i="6" s="1"/>
  <c r="U325" i="17"/>
  <c r="T325" i="17" s="1"/>
  <c r="S325" i="17" s="1"/>
  <c r="R325" i="17" s="1"/>
  <c r="P325" i="17" s="1"/>
  <c r="V325" i="17" s="1"/>
  <c r="F325" i="17" s="1"/>
  <c r="G325" i="17" s="1"/>
  <c r="BZ325" i="6" s="1"/>
  <c r="U164" i="17"/>
  <c r="T164" i="17" s="1"/>
  <c r="S164" i="17" s="1"/>
  <c r="R164" i="17" s="1"/>
  <c r="P164" i="17" s="1"/>
  <c r="V164" i="17" s="1"/>
  <c r="F164" i="17" s="1"/>
  <c r="G164" i="17" s="1"/>
  <c r="BZ164" i="6" s="1"/>
  <c r="U329" i="17"/>
  <c r="T329" i="17" s="1"/>
  <c r="S329" i="17" s="1"/>
  <c r="R329" i="17" s="1"/>
  <c r="P329" i="17" s="1"/>
  <c r="V329" i="17" s="1"/>
  <c r="F329" i="17" s="1"/>
  <c r="G329" i="17" s="1"/>
  <c r="BZ329" i="6" s="1"/>
  <c r="U218" i="17"/>
  <c r="T218" i="17" s="1"/>
  <c r="S218" i="17" s="1"/>
  <c r="R218" i="17" s="1"/>
  <c r="P218" i="17" s="1"/>
  <c r="V218" i="17" s="1"/>
  <c r="F218" i="17" s="1"/>
  <c r="U331" i="17"/>
  <c r="T331" i="17" s="1"/>
  <c r="S331" i="17" s="1"/>
  <c r="R331" i="17" s="1"/>
  <c r="P331" i="17" s="1"/>
  <c r="V331" i="17" s="1"/>
  <c r="F331" i="17" s="1"/>
  <c r="G331" i="17" s="1"/>
  <c r="BZ331" i="6" s="1"/>
  <c r="U98" i="17"/>
  <c r="T98" i="17" s="1"/>
  <c r="S98" i="17" s="1"/>
  <c r="R98" i="17" s="1"/>
  <c r="P98" i="17" s="1"/>
  <c r="V98" i="17" s="1"/>
  <c r="F98" i="17" s="1"/>
  <c r="G98" i="17" s="1"/>
  <c r="BZ98" i="6" s="1"/>
  <c r="U41" i="17"/>
  <c r="T41" i="17" s="1"/>
  <c r="S41" i="17" s="1"/>
  <c r="R41" i="17" s="1"/>
  <c r="P41" i="17" s="1"/>
  <c r="V41" i="17" s="1"/>
  <c r="F41" i="17" s="1"/>
  <c r="G41" i="17" s="1"/>
  <c r="BZ41" i="6" s="1"/>
  <c r="U358" i="17"/>
  <c r="T358" i="17" s="1"/>
  <c r="S358" i="17" s="1"/>
  <c r="R358" i="17" s="1"/>
  <c r="P358" i="17" s="1"/>
  <c r="V358" i="17" s="1"/>
  <c r="F358" i="17" s="1"/>
  <c r="U64" i="17"/>
  <c r="T64" i="17" s="1"/>
  <c r="S64" i="17" s="1"/>
  <c r="R64" i="17" s="1"/>
  <c r="P64" i="17" s="1"/>
  <c r="V64" i="17" s="1"/>
  <c r="F64" i="17" s="1"/>
  <c r="G64" i="17" s="1"/>
  <c r="BZ64" i="6" s="1"/>
  <c r="U83" i="17"/>
  <c r="T83" i="17" s="1"/>
  <c r="S83" i="17" s="1"/>
  <c r="R83" i="17" s="1"/>
  <c r="P83" i="17" s="1"/>
  <c r="V83" i="17" s="1"/>
  <c r="F83" i="17" s="1"/>
  <c r="U278" i="17"/>
  <c r="T278" i="17" s="1"/>
  <c r="S278" i="17" s="1"/>
  <c r="R278" i="17" s="1"/>
  <c r="P278" i="17" s="1"/>
  <c r="V278" i="17" s="1"/>
  <c r="F278" i="17" s="1"/>
  <c r="G278" i="17" s="1"/>
  <c r="BZ278" i="6" s="1"/>
  <c r="U97" i="17"/>
  <c r="T97" i="17" s="1"/>
  <c r="S97" i="17" s="1"/>
  <c r="R97" i="17" s="1"/>
  <c r="P97" i="17" s="1"/>
  <c r="V97" i="17" s="1"/>
  <c r="F97" i="17" s="1"/>
  <c r="U51" i="17"/>
  <c r="T51" i="17" s="1"/>
  <c r="S51" i="17" s="1"/>
  <c r="R51" i="17" s="1"/>
  <c r="P51" i="17" s="1"/>
  <c r="V51" i="17" s="1"/>
  <c r="F51" i="17" s="1"/>
  <c r="G51" i="17" s="1"/>
  <c r="BZ51" i="6" s="1"/>
  <c r="U142" i="17"/>
  <c r="T142" i="17" s="1"/>
  <c r="S142" i="17" s="1"/>
  <c r="R142" i="17" s="1"/>
  <c r="P142" i="17" s="1"/>
  <c r="V142" i="17" s="1"/>
  <c r="F142" i="17" s="1"/>
  <c r="U61" i="17"/>
  <c r="T61" i="17" s="1"/>
  <c r="S61" i="17" s="1"/>
  <c r="R61" i="17" s="1"/>
  <c r="P61" i="17" s="1"/>
  <c r="V61" i="17" s="1"/>
  <c r="F61" i="17" s="1"/>
  <c r="G61" i="17" s="1"/>
  <c r="BZ61" i="6" s="1"/>
  <c r="U289" i="17"/>
  <c r="T289" i="17" s="1"/>
  <c r="S289" i="17" s="1"/>
  <c r="R289" i="17" s="1"/>
  <c r="P289" i="17" s="1"/>
  <c r="V289" i="17" s="1"/>
  <c r="F289" i="17" s="1"/>
  <c r="G289" i="17" s="1"/>
  <c r="BZ289" i="6" s="1"/>
  <c r="U238" i="17"/>
  <c r="T238" i="17" s="1"/>
  <c r="S238" i="17" s="1"/>
  <c r="R238" i="17" s="1"/>
  <c r="P238" i="17" s="1"/>
  <c r="V238" i="17" s="1"/>
  <c r="F238" i="17" s="1"/>
  <c r="G238" i="17" s="1"/>
  <c r="BZ238" i="6" s="1"/>
  <c r="U104" i="17"/>
  <c r="T104" i="17" s="1"/>
  <c r="S104" i="17" s="1"/>
  <c r="R104" i="17" s="1"/>
  <c r="P104" i="17" s="1"/>
  <c r="V104" i="17" s="1"/>
  <c r="F104" i="17" s="1"/>
  <c r="G104" i="17" s="1"/>
  <c r="BZ104" i="6" s="1"/>
  <c r="U123" i="17"/>
  <c r="T123" i="17" s="1"/>
  <c r="S123" i="17" s="1"/>
  <c r="R123" i="17" s="1"/>
  <c r="P123" i="17" s="1"/>
  <c r="V123" i="17" s="1"/>
  <c r="F123" i="17" s="1"/>
  <c r="H123" i="17" s="1"/>
  <c r="U225" i="17"/>
  <c r="T225" i="17" s="1"/>
  <c r="S225" i="17" s="1"/>
  <c r="R225" i="17" s="1"/>
  <c r="P225" i="17" s="1"/>
  <c r="V225" i="17" s="1"/>
  <c r="F225" i="17" s="1"/>
  <c r="U192" i="17"/>
  <c r="T192" i="17" s="1"/>
  <c r="S192" i="17" s="1"/>
  <c r="R192" i="17" s="1"/>
  <c r="P192" i="17" s="1"/>
  <c r="V192" i="17" s="1"/>
  <c r="F192" i="17" s="1"/>
  <c r="G192" i="17" s="1"/>
  <c r="BZ192" i="6" s="1"/>
  <c r="U162" i="17"/>
  <c r="T162" i="17" s="1"/>
  <c r="S162" i="17" s="1"/>
  <c r="R162" i="17" s="1"/>
  <c r="P162" i="17" s="1"/>
  <c r="V162" i="17" s="1"/>
  <c r="F162" i="17" s="1"/>
  <c r="U122" i="17"/>
  <c r="T122" i="17" s="1"/>
  <c r="S122" i="17" s="1"/>
  <c r="R122" i="17" s="1"/>
  <c r="P122" i="17" s="1"/>
  <c r="V122" i="17" s="1"/>
  <c r="F122" i="17" s="1"/>
  <c r="H122" i="17" s="1"/>
  <c r="U173" i="17"/>
  <c r="T173" i="17" s="1"/>
  <c r="S173" i="17" s="1"/>
  <c r="R173" i="17" s="1"/>
  <c r="P173" i="17" s="1"/>
  <c r="V173" i="17" s="1"/>
  <c r="F173" i="17" s="1"/>
  <c r="U301" i="17"/>
  <c r="T301" i="17" s="1"/>
  <c r="S301" i="17" s="1"/>
  <c r="R301" i="17" s="1"/>
  <c r="P301" i="17" s="1"/>
  <c r="V301" i="17" s="1"/>
  <c r="F301" i="17" s="1"/>
  <c r="H301" i="17" s="1"/>
  <c r="J30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342" i="17"/>
  <c r="T342" i="17" s="1"/>
  <c r="S342" i="17" s="1"/>
  <c r="R342" i="17" s="1"/>
  <c r="P342" i="17" s="1"/>
  <c r="V342" i="17" s="1"/>
  <c r="F342" i="17" s="1"/>
  <c r="G342" i="17" s="1"/>
  <c r="BZ342" i="6" s="1"/>
  <c r="U159" i="17"/>
  <c r="T159" i="17" s="1"/>
  <c r="S159" i="17" s="1"/>
  <c r="R159" i="17" s="1"/>
  <c r="P159" i="17" s="1"/>
  <c r="V159" i="17" s="1"/>
  <c r="F159" i="17" s="1"/>
  <c r="U339" i="17"/>
  <c r="T339" i="17" s="1"/>
  <c r="S339" i="17" s="1"/>
  <c r="R339" i="17" s="1"/>
  <c r="P339" i="17" s="1"/>
  <c r="V339" i="17" s="1"/>
  <c r="F339" i="17" s="1"/>
  <c r="G339" i="17" s="1"/>
  <c r="BZ339" i="6" s="1"/>
  <c r="U180" i="17"/>
  <c r="T180" i="17" s="1"/>
  <c r="S180" i="17" s="1"/>
  <c r="R180" i="17" s="1"/>
  <c r="P180" i="17" s="1"/>
  <c r="D61" i="7" s="1"/>
  <c r="U160" i="17"/>
  <c r="T160" i="17" s="1"/>
  <c r="S160" i="17" s="1"/>
  <c r="R160" i="17" s="1"/>
  <c r="P160" i="17" s="1"/>
  <c r="V160" i="17" s="1"/>
  <c r="F160" i="17" s="1"/>
  <c r="G160" i="17" s="1"/>
  <c r="BZ160" i="6" s="1"/>
  <c r="U203" i="17"/>
  <c r="T203" i="17" s="1"/>
  <c r="S203" i="17" s="1"/>
  <c r="R203" i="17" s="1"/>
  <c r="P203" i="17" s="1"/>
  <c r="V203" i="17" s="1"/>
  <c r="F203" i="17" s="1"/>
  <c r="U198" i="17"/>
  <c r="T198" i="17" s="1"/>
  <c r="S198" i="17" s="1"/>
  <c r="R198" i="17" s="1"/>
  <c r="P198" i="17" s="1"/>
  <c r="V198" i="17" s="1"/>
  <c r="F198" i="17" s="1"/>
  <c r="G198" i="17" s="1"/>
  <c r="BZ198" i="6" s="1"/>
  <c r="U224" i="17"/>
  <c r="T224" i="17" s="1"/>
  <c r="S224" i="17" s="1"/>
  <c r="R224" i="17" s="1"/>
  <c r="P224" i="17" s="1"/>
  <c r="V224" i="17" s="1"/>
  <c r="F224" i="17" s="1"/>
  <c r="U197" i="17"/>
  <c r="T197" i="17" s="1"/>
  <c r="S197" i="17" s="1"/>
  <c r="R197" i="17" s="1"/>
  <c r="P197" i="17" s="1"/>
  <c r="V197" i="17" s="1"/>
  <c r="F197" i="17" s="1"/>
  <c r="G197" i="17" s="1"/>
  <c r="BZ197" i="6" s="1"/>
  <c r="U170" i="17"/>
  <c r="T170" i="17" s="1"/>
  <c r="S170" i="17" s="1"/>
  <c r="R170" i="17" s="1"/>
  <c r="P170" i="17" s="1"/>
  <c r="V170" i="17" s="1"/>
  <c r="F170" i="17" s="1"/>
  <c r="H170" i="17" s="1"/>
  <c r="U305" i="17"/>
  <c r="T305" i="17" s="1"/>
  <c r="S305" i="17" s="1"/>
  <c r="R305" i="17" s="1"/>
  <c r="P305" i="17" s="1"/>
  <c r="V305" i="17" s="1"/>
  <c r="F305" i="17" s="1"/>
  <c r="H305" i="17" s="1"/>
  <c r="U257" i="17"/>
  <c r="T257" i="17" s="1"/>
  <c r="S257" i="17" s="1"/>
  <c r="R257" i="17" s="1"/>
  <c r="P257" i="17" s="1"/>
  <c r="V257" i="17" s="1"/>
  <c r="F257" i="17" s="1"/>
  <c r="G257" i="17" s="1"/>
  <c r="BZ257" i="6" s="1"/>
  <c r="U27" i="17"/>
  <c r="T27" i="17" s="1"/>
  <c r="S27" i="17" s="1"/>
  <c r="R27" i="17" s="1"/>
  <c r="P27" i="17" s="1"/>
  <c r="V27" i="17" s="1"/>
  <c r="F27" i="17" s="1"/>
  <c r="G27" i="17" s="1"/>
  <c r="BZ27" i="6" s="1"/>
  <c r="U343" i="17"/>
  <c r="T343" i="17" s="1"/>
  <c r="S343" i="17" s="1"/>
  <c r="R343" i="17" s="1"/>
  <c r="P343" i="17" s="1"/>
  <c r="V343" i="17" s="1"/>
  <c r="F343" i="17" s="1"/>
  <c r="U237" i="17"/>
  <c r="T237" i="17" s="1"/>
  <c r="S237" i="17" s="1"/>
  <c r="R237" i="17" s="1"/>
  <c r="P237" i="17" s="1"/>
  <c r="V237" i="17" s="1"/>
  <c r="F237" i="17" s="1"/>
  <c r="H237" i="17" s="1"/>
  <c r="U193" i="17"/>
  <c r="T193" i="17" s="1"/>
  <c r="S193" i="17" s="1"/>
  <c r="R193" i="17" s="1"/>
  <c r="P193" i="17" s="1"/>
  <c r="V193" i="17" s="1"/>
  <c r="F193" i="17" s="1"/>
  <c r="U188" i="17"/>
  <c r="T188" i="17" s="1"/>
  <c r="S188" i="17" s="1"/>
  <c r="R188" i="17" s="1"/>
  <c r="P188" i="17" s="1"/>
  <c r="V188" i="17" s="1"/>
  <c r="F188" i="17" s="1"/>
  <c r="G188" i="17" s="1"/>
  <c r="BZ188" i="6" s="1"/>
  <c r="U226" i="17"/>
  <c r="T226" i="17" s="1"/>
  <c r="S226" i="17" s="1"/>
  <c r="R226" i="17" s="1"/>
  <c r="P226" i="17" s="1"/>
  <c r="V226" i="17" s="1"/>
  <c r="F226" i="17" s="1"/>
  <c r="G226" i="17" s="1"/>
  <c r="BZ226" i="6" s="1"/>
  <c r="U279" i="17"/>
  <c r="T279" i="17" s="1"/>
  <c r="S279" i="17" s="1"/>
  <c r="R279" i="17" s="1"/>
  <c r="P279" i="17" s="1"/>
  <c r="V279" i="17" s="1"/>
  <c r="F279" i="17" s="1"/>
  <c r="G279" i="17" s="1"/>
  <c r="BZ279" i="6" s="1"/>
  <c r="U178" i="17"/>
  <c r="T178" i="17" s="1"/>
  <c r="S178" i="17" s="1"/>
  <c r="R178" i="17" s="1"/>
  <c r="P178" i="17" s="1"/>
  <c r="V178" i="17" s="1"/>
  <c r="F178" i="17" s="1"/>
  <c r="U40" i="17"/>
  <c r="T40" i="17" s="1"/>
  <c r="S40" i="17" s="1"/>
  <c r="R40" i="17" s="1"/>
  <c r="P40" i="17" s="1"/>
  <c r="V40" i="17" s="1"/>
  <c r="F40" i="17" s="1"/>
  <c r="G40" i="17" s="1"/>
  <c r="BZ40" i="6" s="1"/>
  <c r="U241" i="17"/>
  <c r="T241" i="17" s="1"/>
  <c r="S241" i="17" s="1"/>
  <c r="R241" i="17" s="1"/>
  <c r="P241" i="17" s="1"/>
  <c r="D63" i="7" s="1"/>
  <c r="U174" i="17"/>
  <c r="T174" i="17" s="1"/>
  <c r="S174" i="17" s="1"/>
  <c r="R174" i="17" s="1"/>
  <c r="P174" i="17" s="1"/>
  <c r="V174" i="17" s="1"/>
  <c r="U276" i="17"/>
  <c r="T276" i="17" s="1"/>
  <c r="S276" i="17" s="1"/>
  <c r="R276" i="17" s="1"/>
  <c r="P276" i="17" s="1"/>
  <c r="V276" i="17" s="1"/>
  <c r="F276" i="17" s="1"/>
  <c r="G276" i="17" s="1"/>
  <c r="BZ276" i="6" s="1"/>
  <c r="U177" i="17"/>
  <c r="T177" i="17" s="1"/>
  <c r="S177" i="17" s="1"/>
  <c r="R177" i="17" s="1"/>
  <c r="P177" i="17" s="1"/>
  <c r="V177" i="17" s="1"/>
  <c r="F177" i="17" s="1"/>
  <c r="G177" i="17" s="1"/>
  <c r="BZ177" i="6" s="1"/>
  <c r="U246" i="17"/>
  <c r="T246" i="17" s="1"/>
  <c r="S246" i="17" s="1"/>
  <c r="R246" i="17" s="1"/>
  <c r="P246" i="17" s="1"/>
  <c r="V246" i="17" s="1"/>
  <c r="F246" i="17" s="1"/>
  <c r="U264" i="17"/>
  <c r="T264" i="17" s="1"/>
  <c r="S264" i="17" s="1"/>
  <c r="R264" i="17" s="1"/>
  <c r="P264" i="17" s="1"/>
  <c r="V264" i="17" s="1"/>
  <c r="F264" i="17" s="1"/>
  <c r="G264" i="17" s="1"/>
  <c r="BZ264" i="6" s="1"/>
  <c r="U233" i="17"/>
  <c r="T233" i="17" s="1"/>
  <c r="S233" i="17" s="1"/>
  <c r="R233" i="17" s="1"/>
  <c r="P233" i="17" s="1"/>
  <c r="V233" i="17" s="1"/>
  <c r="F233" i="17" s="1"/>
  <c r="G233" i="17" s="1"/>
  <c r="BZ233" i="6" s="1"/>
  <c r="U146" i="17"/>
  <c r="T146" i="17" s="1"/>
  <c r="S146" i="17" s="1"/>
  <c r="R146" i="17" s="1"/>
  <c r="P146" i="17" s="1"/>
  <c r="V146" i="17" s="1"/>
  <c r="F146" i="17" s="1"/>
  <c r="G146" i="17" s="1"/>
  <c r="BZ146" i="6" s="1"/>
  <c r="U258" i="17"/>
  <c r="T258" i="17" s="1"/>
  <c r="S258" i="17" s="1"/>
  <c r="R258" i="17" s="1"/>
  <c r="P258" i="17" s="1"/>
  <c r="V258" i="17" s="1"/>
  <c r="F258" i="17" s="1"/>
  <c r="U307" i="17"/>
  <c r="T307" i="17" s="1"/>
  <c r="S307" i="17" s="1"/>
  <c r="R307" i="17" s="1"/>
  <c r="P307" i="17" s="1"/>
  <c r="V307" i="17" s="1"/>
  <c r="F307" i="17" s="1"/>
  <c r="H307" i="17" s="1"/>
  <c r="U165" i="17"/>
  <c r="T165" i="17" s="1"/>
  <c r="S165" i="17" s="1"/>
  <c r="R165" i="17" s="1"/>
  <c r="P165" i="17" s="1"/>
  <c r="V165" i="17" s="1"/>
  <c r="F165" i="17" s="1"/>
  <c r="G165" i="17" s="1"/>
  <c r="BZ165" i="6" s="1"/>
  <c r="U48" i="17"/>
  <c r="T48" i="17" s="1"/>
  <c r="S48" i="17" s="1"/>
  <c r="R48" i="17" s="1"/>
  <c r="P48" i="17" s="1"/>
  <c r="V48" i="17" s="1"/>
  <c r="F48" i="17" s="1"/>
  <c r="G48" i="17" s="1"/>
  <c r="BZ48" i="6" s="1"/>
  <c r="U63" i="17"/>
  <c r="T63" i="17" s="1"/>
  <c r="S63" i="17" s="1"/>
  <c r="R63" i="17" s="1"/>
  <c r="P63" i="17" s="1"/>
  <c r="V63" i="17" s="1"/>
  <c r="F63" i="17" s="1"/>
  <c r="U30" i="17"/>
  <c r="T30" i="17" s="1"/>
  <c r="S30" i="17" s="1"/>
  <c r="R30" i="17" s="1"/>
  <c r="P30" i="17" s="1"/>
  <c r="V30" i="17" s="1"/>
  <c r="F30" i="17" s="1"/>
  <c r="H30" i="17" s="1"/>
  <c r="U287" i="17"/>
  <c r="T287" i="17" s="1"/>
  <c r="S287" i="17" s="1"/>
  <c r="R287" i="17" s="1"/>
  <c r="P287" i="17" s="1"/>
  <c r="V287" i="17" s="1"/>
  <c r="F287" i="17" s="1"/>
  <c r="U72" i="17"/>
  <c r="T72" i="17" s="1"/>
  <c r="S72" i="17" s="1"/>
  <c r="R72" i="17" s="1"/>
  <c r="P72" i="17" s="1"/>
  <c r="V72" i="17" s="1"/>
  <c r="F72" i="17" s="1"/>
  <c r="H72" i="17" s="1"/>
  <c r="U46" i="17"/>
  <c r="T46" i="17" s="1"/>
  <c r="S46" i="17" s="1"/>
  <c r="R46" i="17" s="1"/>
  <c r="P46" i="17" s="1"/>
  <c r="V46" i="17" s="1"/>
  <c r="F46" i="17" s="1"/>
  <c r="G46" i="17" s="1"/>
  <c r="BZ46" i="6" s="1"/>
  <c r="U53" i="17"/>
  <c r="T53" i="17" s="1"/>
  <c r="S53" i="17" s="1"/>
  <c r="R53" i="17" s="1"/>
  <c r="P53" i="17" s="1"/>
  <c r="V53" i="17" s="1"/>
  <c r="F53" i="17" s="1"/>
  <c r="U183" i="17"/>
  <c r="T183" i="17" s="1"/>
  <c r="S183" i="17" s="1"/>
  <c r="R183" i="17" s="1"/>
  <c r="P183" i="17" s="1"/>
  <c r="V183" i="17" s="1"/>
  <c r="F183" i="17" s="1"/>
  <c r="U36" i="17"/>
  <c r="T36" i="17" s="1"/>
  <c r="S36" i="17" s="1"/>
  <c r="R36" i="17" s="1"/>
  <c r="P36" i="17" s="1"/>
  <c r="V36" i="17" s="1"/>
  <c r="F36" i="17" s="1"/>
  <c r="G36" i="17" s="1"/>
  <c r="BZ36" i="6" s="1"/>
  <c r="U80" i="17"/>
  <c r="T80" i="17" s="1"/>
  <c r="S80" i="17" s="1"/>
  <c r="R80" i="17" s="1"/>
  <c r="P80" i="17" s="1"/>
  <c r="V80" i="17" s="1"/>
  <c r="F80" i="17" s="1"/>
  <c r="H80" i="17" s="1"/>
  <c r="U16" i="17"/>
  <c r="T16" i="17" s="1"/>
  <c r="S16" i="17" s="1"/>
  <c r="R16" i="17" s="1"/>
  <c r="P16" i="17" s="1"/>
  <c r="V16" i="17" s="1"/>
  <c r="F16" i="17" s="1"/>
  <c r="H16" i="17" s="1"/>
  <c r="U75" i="17"/>
  <c r="T75" i="17" s="1"/>
  <c r="S75" i="17" s="1"/>
  <c r="R75" i="17" s="1"/>
  <c r="P75" i="17" s="1"/>
  <c r="V75" i="17" s="1"/>
  <c r="F75" i="17" s="1"/>
  <c r="G75" i="17" s="1"/>
  <c r="BZ75" i="6" s="1"/>
  <c r="U267" i="17"/>
  <c r="T267" i="17" s="1"/>
  <c r="S267" i="17" s="1"/>
  <c r="R267" i="17" s="1"/>
  <c r="P267" i="17" s="1"/>
  <c r="V267" i="17" s="1"/>
  <c r="F267" i="17" s="1"/>
  <c r="G267" i="17" s="1"/>
  <c r="BZ267" i="6" s="1"/>
  <c r="U184" i="17"/>
  <c r="T184" i="17" s="1"/>
  <c r="S184" i="17" s="1"/>
  <c r="R184" i="17" s="1"/>
  <c r="P184" i="17" s="1"/>
  <c r="V184" i="17" s="1"/>
  <c r="F184" i="17" s="1"/>
  <c r="G184" i="17" s="1"/>
  <c r="BZ184" i="6" s="1"/>
  <c r="U161" i="17"/>
  <c r="T161" i="17" s="1"/>
  <c r="S161" i="17" s="1"/>
  <c r="R161" i="17" s="1"/>
  <c r="P161" i="17" s="1"/>
  <c r="V161" i="17" s="1"/>
  <c r="F161" i="17" s="1"/>
  <c r="G161" i="17" s="1"/>
  <c r="BZ161" i="6" s="1"/>
  <c r="U356" i="17"/>
  <c r="T356" i="17" s="1"/>
  <c r="S356" i="17" s="1"/>
  <c r="R356" i="17" s="1"/>
  <c r="P356" i="17" s="1"/>
  <c r="V356" i="17" s="1"/>
  <c r="F356" i="17" s="1"/>
  <c r="U367" i="17"/>
  <c r="T367" i="17" s="1"/>
  <c r="S367" i="17" s="1"/>
  <c r="R367" i="17" s="1"/>
  <c r="P367" i="17" s="1"/>
  <c r="V367" i="17" s="1"/>
  <c r="F367" i="17" s="1"/>
  <c r="G367" i="17" s="1"/>
  <c r="BZ367" i="6" s="1"/>
  <c r="U376" i="17"/>
  <c r="T376" i="17" s="1"/>
  <c r="S376" i="17" s="1"/>
  <c r="R376" i="17" s="1"/>
  <c r="P376" i="17" s="1"/>
  <c r="V376" i="17" s="1"/>
  <c r="F376" i="17" s="1"/>
  <c r="G376" i="17" s="1"/>
  <c r="BZ376" i="6" s="1"/>
  <c r="U230" i="17"/>
  <c r="T230" i="17" s="1"/>
  <c r="S230" i="17" s="1"/>
  <c r="R230" i="17" s="1"/>
  <c r="P230" i="17" s="1"/>
  <c r="V230" i="17" s="1"/>
  <c r="F230" i="17" s="1"/>
  <c r="G230" i="17" s="1"/>
  <c r="BZ230" i="6" s="1"/>
  <c r="U310" i="17"/>
  <c r="T310" i="17" s="1"/>
  <c r="S310" i="17" s="1"/>
  <c r="R310" i="17" s="1"/>
  <c r="P310" i="17" s="1"/>
  <c r="V310" i="17" s="1"/>
  <c r="F310" i="17" s="1"/>
  <c r="U171" i="17"/>
  <c r="T171" i="17" s="1"/>
  <c r="S171" i="17" s="1"/>
  <c r="R171" i="17" s="1"/>
  <c r="P171" i="17" s="1"/>
  <c r="V171" i="17" s="1"/>
  <c r="F171" i="17" s="1"/>
  <c r="H171" i="17" s="1"/>
  <c r="U187" i="17"/>
  <c r="T187" i="17" s="1"/>
  <c r="S187" i="17" s="1"/>
  <c r="R187" i="17" s="1"/>
  <c r="P187" i="17" s="1"/>
  <c r="V187" i="17" s="1"/>
  <c r="F187" i="17" s="1"/>
  <c r="G187" i="17" s="1"/>
  <c r="BZ187" i="6" s="1"/>
  <c r="U360" i="17"/>
  <c r="T360" i="17" s="1"/>
  <c r="S360" i="17" s="1"/>
  <c r="R360" i="17" s="1"/>
  <c r="P360" i="17" s="1"/>
  <c r="V360" i="17" s="1"/>
  <c r="F360" i="17" s="1"/>
  <c r="G360" i="17" s="1"/>
  <c r="BZ360" i="6" s="1"/>
  <c r="U281" i="17"/>
  <c r="T281" i="17" s="1"/>
  <c r="S281" i="17" s="1"/>
  <c r="R281" i="17" s="1"/>
  <c r="P281" i="17" s="1"/>
  <c r="V281" i="17" s="1"/>
  <c r="F281" i="17" s="1"/>
  <c r="U261" i="17"/>
  <c r="T261" i="17" s="1"/>
  <c r="S261" i="17" s="1"/>
  <c r="R261" i="17" s="1"/>
  <c r="P261" i="17" s="1"/>
  <c r="V261" i="17" s="1"/>
  <c r="F261" i="17" s="1"/>
  <c r="G261" i="17" s="1"/>
  <c r="BZ261" i="6" s="1"/>
  <c r="U126" i="17"/>
  <c r="T126" i="17" s="1"/>
  <c r="S126" i="17" s="1"/>
  <c r="R126" i="17" s="1"/>
  <c r="P126" i="17" s="1"/>
  <c r="V126" i="17" s="1"/>
  <c r="F126" i="17" s="1"/>
  <c r="H126" i="17" s="1"/>
  <c r="U90" i="17"/>
  <c r="T90" i="17" s="1"/>
  <c r="S90" i="17" s="1"/>
  <c r="R90" i="17" s="1"/>
  <c r="P90" i="17" s="1"/>
  <c r="V90" i="17" s="1"/>
  <c r="F90" i="17" s="1"/>
  <c r="H90" i="17" s="1"/>
  <c r="U263" i="17"/>
  <c r="T263" i="17" s="1"/>
  <c r="S263" i="17" s="1"/>
  <c r="R263" i="17" s="1"/>
  <c r="P263" i="17" s="1"/>
  <c r="V263" i="17" s="1"/>
  <c r="F263" i="17" s="1"/>
  <c r="H263" i="17" s="1"/>
  <c r="U288" i="17"/>
  <c r="T288" i="17" s="1"/>
  <c r="S288" i="17" s="1"/>
  <c r="R288" i="17" s="1"/>
  <c r="P288" i="17" s="1"/>
  <c r="V288" i="17" s="1"/>
  <c r="F288" i="17" s="1"/>
  <c r="H288" i="17" s="1"/>
  <c r="U357" i="17"/>
  <c r="T357" i="17" s="1"/>
  <c r="S357" i="17" s="1"/>
  <c r="R357" i="17" s="1"/>
  <c r="P357" i="17" s="1"/>
  <c r="V357" i="17" s="1"/>
  <c r="F357" i="17" s="1"/>
  <c r="U136" i="17"/>
  <c r="T136" i="17" s="1"/>
  <c r="S136" i="17" s="1"/>
  <c r="R136" i="17" s="1"/>
  <c r="P136" i="17" s="1"/>
  <c r="V136" i="17" s="1"/>
  <c r="F136" i="17" s="1"/>
  <c r="G136" i="17" s="1"/>
  <c r="BZ136" i="6" s="1"/>
  <c r="U341" i="17"/>
  <c r="T341" i="17" s="1"/>
  <c r="S341" i="17" s="1"/>
  <c r="R341" i="17" s="1"/>
  <c r="P341" i="17" s="1"/>
  <c r="V341" i="17" s="1"/>
  <c r="F341" i="17" s="1"/>
  <c r="H341" i="17" s="1"/>
  <c r="U45" i="17"/>
  <c r="T45" i="17" s="1"/>
  <c r="S45" i="17" s="1"/>
  <c r="R45" i="17" s="1"/>
  <c r="P45" i="17" s="1"/>
  <c r="V45" i="17" s="1"/>
  <c r="F45" i="17" s="1"/>
  <c r="G45" i="17" s="1"/>
  <c r="BZ45" i="6" s="1"/>
  <c r="U346" i="17"/>
  <c r="T346" i="17" s="1"/>
  <c r="S346" i="17" s="1"/>
  <c r="R346" i="17" s="1"/>
  <c r="P346" i="17" s="1"/>
  <c r="V346" i="17" s="1"/>
  <c r="F346" i="17" s="1"/>
  <c r="G346" i="17" s="1"/>
  <c r="BZ346" i="6" s="1"/>
  <c r="U351" i="17"/>
  <c r="T351" i="17" s="1"/>
  <c r="S351" i="17" s="1"/>
  <c r="R351" i="17" s="1"/>
  <c r="P351" i="17" s="1"/>
  <c r="V351" i="17" s="1"/>
  <c r="F351" i="17" s="1"/>
  <c r="H351" i="17" s="1"/>
  <c r="U124" i="17"/>
  <c r="T124" i="17" s="1"/>
  <c r="S124" i="17" s="1"/>
  <c r="R124" i="17" s="1"/>
  <c r="P124" i="17" s="1"/>
  <c r="V124" i="17" s="1"/>
  <c r="F124" i="17" s="1"/>
  <c r="U217" i="17"/>
  <c r="T217" i="17" s="1"/>
  <c r="S217" i="17" s="1"/>
  <c r="R217" i="17" s="1"/>
  <c r="P217" i="17" s="1"/>
  <c r="V217" i="17" s="1"/>
  <c r="F217" i="17" s="1"/>
  <c r="G217" i="17" s="1"/>
  <c r="BZ217" i="6" s="1"/>
  <c r="U352" i="17"/>
  <c r="T352" i="17" s="1"/>
  <c r="S352" i="17" s="1"/>
  <c r="R352" i="17" s="1"/>
  <c r="P352" i="17" s="1"/>
  <c r="U166" i="17"/>
  <c r="T166" i="17" s="1"/>
  <c r="S166" i="17" s="1"/>
  <c r="R166" i="17" s="1"/>
  <c r="P166" i="17" s="1"/>
  <c r="V166" i="17" s="1"/>
  <c r="F166" i="17" s="1"/>
  <c r="G166" i="17" s="1"/>
  <c r="BZ166" i="6" s="1"/>
  <c r="U151" i="17"/>
  <c r="T151" i="17" s="1"/>
  <c r="S151" i="17" s="1"/>
  <c r="R151" i="17" s="1"/>
  <c r="P151" i="17" s="1"/>
  <c r="V151" i="17" s="1"/>
  <c r="F151" i="17" s="1"/>
  <c r="U211" i="17"/>
  <c r="T211" i="17" s="1"/>
  <c r="S211" i="17" s="1"/>
  <c r="R211" i="17" s="1"/>
  <c r="P211" i="17" s="1"/>
  <c r="V211" i="17" s="1"/>
  <c r="F211" i="17" s="1"/>
  <c r="G211" i="17" s="1"/>
  <c r="BZ211" i="6" s="1"/>
  <c r="U378" i="17"/>
  <c r="T378" i="17" s="1"/>
  <c r="S378" i="17" s="1"/>
  <c r="R378" i="17" s="1"/>
  <c r="P378" i="17" s="1"/>
  <c r="V378" i="17" s="1"/>
  <c r="F378" i="17" s="1"/>
  <c r="H378" i="17" s="1"/>
  <c r="U156" i="17"/>
  <c r="T156" i="17" s="1"/>
  <c r="S156" i="17" s="1"/>
  <c r="R156" i="17" s="1"/>
  <c r="P156" i="17" s="1"/>
  <c r="V156" i="17" s="1"/>
  <c r="F156" i="17" s="1"/>
  <c r="G156" i="17" s="1"/>
  <c r="BZ156" i="6" s="1"/>
  <c r="U285" i="17"/>
  <c r="T285" i="17" s="1"/>
  <c r="S285" i="17" s="1"/>
  <c r="R285" i="17" s="1"/>
  <c r="P285" i="17" s="1"/>
  <c r="V285" i="17" s="1"/>
  <c r="F285" i="17" s="1"/>
  <c r="U52" i="17"/>
  <c r="T52" i="17" s="1"/>
  <c r="S52" i="17" s="1"/>
  <c r="R52" i="17" s="1"/>
  <c r="P52" i="17" s="1"/>
  <c r="V52" i="17" s="1"/>
  <c r="F52" i="17" s="1"/>
  <c r="U212" i="17"/>
  <c r="T212" i="17" s="1"/>
  <c r="S212" i="17" s="1"/>
  <c r="R212" i="17" s="1"/>
  <c r="P212" i="17" s="1"/>
  <c r="V212" i="17" s="1"/>
  <c r="F212" i="17" s="1"/>
  <c r="U43" i="17"/>
  <c r="T43" i="17" s="1"/>
  <c r="S43" i="17" s="1"/>
  <c r="R43" i="17" s="1"/>
  <c r="P43" i="17" s="1"/>
  <c r="V43" i="17" s="1"/>
  <c r="F43" i="17" s="1"/>
  <c r="G43" i="17" s="1"/>
  <c r="BZ43" i="6" s="1"/>
  <c r="U62" i="17"/>
  <c r="T62" i="17" s="1"/>
  <c r="S62" i="17" s="1"/>
  <c r="R62" i="17" s="1"/>
  <c r="P62" i="17" s="1"/>
  <c r="V62" i="17" s="1"/>
  <c r="F62" i="17" s="1"/>
  <c r="H62" i="17" s="1"/>
  <c r="U37" i="17"/>
  <c r="T37" i="17" s="1"/>
  <c r="S37" i="17" s="1"/>
  <c r="R37" i="17" s="1"/>
  <c r="P37" i="17" s="1"/>
  <c r="V37" i="17" s="1"/>
  <c r="F37" i="17" s="1"/>
  <c r="G37" i="17" s="1"/>
  <c r="BZ37" i="6" s="1"/>
  <c r="U100" i="17"/>
  <c r="T100" i="17" s="1"/>
  <c r="S100" i="17" s="1"/>
  <c r="R100" i="17" s="1"/>
  <c r="P100" i="17" s="1"/>
  <c r="V100" i="17" s="1"/>
  <c r="F100" i="17" s="1"/>
  <c r="U340" i="17"/>
  <c r="T340" i="17" s="1"/>
  <c r="S340" i="17" s="1"/>
  <c r="R340" i="17" s="1"/>
  <c r="P340" i="17" s="1"/>
  <c r="V340" i="17" s="1"/>
  <c r="F340" i="17" s="1"/>
  <c r="G340" i="17" s="1"/>
  <c r="BZ340" i="6" s="1"/>
  <c r="U155" i="17"/>
  <c r="T155" i="17" s="1"/>
  <c r="S155" i="17" s="1"/>
  <c r="R155" i="17" s="1"/>
  <c r="P155" i="17" s="1"/>
  <c r="V155" i="17" s="1"/>
  <c r="F155" i="17" s="1"/>
  <c r="U81" i="17"/>
  <c r="T81" i="17" s="1"/>
  <c r="S81" i="17" s="1"/>
  <c r="R81" i="17" s="1"/>
  <c r="P81" i="17" s="1"/>
  <c r="V81" i="17" s="1"/>
  <c r="Q72" i="18"/>
  <c r="Q80" i="18"/>
  <c r="Q70" i="18"/>
  <c r="Q15" i="18"/>
  <c r="Q20" i="18"/>
  <c r="Q84" i="18"/>
  <c r="Q61" i="18"/>
  <c r="Q62" i="18"/>
  <c r="Q55" i="18"/>
  <c r="Q67" i="18"/>
  <c r="Q39" i="18"/>
  <c r="Q37" i="18"/>
  <c r="Q77" i="18"/>
  <c r="Q42" i="18"/>
  <c r="Q90" i="18"/>
  <c r="Q86" i="18"/>
  <c r="Q58" i="18"/>
  <c r="Q81" i="18"/>
  <c r="Q17" i="18"/>
  <c r="Q101" i="18"/>
  <c r="Q32" i="18"/>
  <c r="Q33" i="18"/>
  <c r="U330" i="17"/>
  <c r="T330" i="17" s="1"/>
  <c r="S330" i="17" s="1"/>
  <c r="R330" i="17" s="1"/>
  <c r="P330" i="17" s="1"/>
  <c r="V330" i="17" s="1"/>
  <c r="F330" i="17" s="1"/>
  <c r="G330" i="17" s="1"/>
  <c r="BZ330" i="6" s="1"/>
  <c r="U84" i="17"/>
  <c r="T84" i="17" s="1"/>
  <c r="S84" i="17" s="1"/>
  <c r="R84" i="17" s="1"/>
  <c r="P84" i="17" s="1"/>
  <c r="V84" i="17" s="1"/>
  <c r="F84" i="17" s="1"/>
  <c r="H84" i="17" s="1"/>
  <c r="U326" i="17"/>
  <c r="T326" i="17" s="1"/>
  <c r="S326" i="17" s="1"/>
  <c r="R326" i="17" s="1"/>
  <c r="P326" i="17" s="1"/>
  <c r="V326" i="17" s="1"/>
  <c r="F326" i="17" s="1"/>
  <c r="G326" i="17" s="1"/>
  <c r="BZ326" i="6" s="1"/>
  <c r="U306" i="17"/>
  <c r="T306" i="17" s="1"/>
  <c r="S306" i="17" s="1"/>
  <c r="R306" i="17" s="1"/>
  <c r="P306" i="17" s="1"/>
  <c r="V306" i="17" s="1"/>
  <c r="F306" i="17" s="1"/>
  <c r="U231" i="17"/>
  <c r="T231" i="17" s="1"/>
  <c r="S231" i="17" s="1"/>
  <c r="R231" i="17" s="1"/>
  <c r="P231" i="17" s="1"/>
  <c r="V231" i="17" s="1"/>
  <c r="F231" i="17" s="1"/>
  <c r="H231" i="17" s="1"/>
  <c r="U95" i="17"/>
  <c r="T95" i="17" s="1"/>
  <c r="S95" i="17" s="1"/>
  <c r="R95" i="17" s="1"/>
  <c r="P95" i="17" s="1"/>
  <c r="V95" i="17" s="1"/>
  <c r="F95" i="17" s="1"/>
  <c r="U361" i="17"/>
  <c r="T361" i="17" s="1"/>
  <c r="S361" i="17" s="1"/>
  <c r="R361" i="17" s="1"/>
  <c r="P361" i="17" s="1"/>
  <c r="V361" i="17" s="1"/>
  <c r="F361" i="17" s="1"/>
  <c r="U272" i="17"/>
  <c r="T272" i="17" s="1"/>
  <c r="S272" i="17" s="1"/>
  <c r="R272" i="17" s="1"/>
  <c r="P272" i="17" s="1"/>
  <c r="V272" i="17" s="1"/>
  <c r="U240" i="17"/>
  <c r="T240" i="17" s="1"/>
  <c r="S240" i="17" s="1"/>
  <c r="R240" i="17" s="1"/>
  <c r="P240" i="17" s="1"/>
  <c r="V240" i="17" s="1"/>
  <c r="F240" i="17" s="1"/>
  <c r="U368" i="17"/>
  <c r="T368" i="17" s="1"/>
  <c r="S368" i="17" s="1"/>
  <c r="R368" i="17" s="1"/>
  <c r="P368" i="17" s="1"/>
  <c r="V368" i="17" s="1"/>
  <c r="F368" i="17" s="1"/>
  <c r="U60" i="17"/>
  <c r="T60" i="17" s="1"/>
  <c r="S60" i="17" s="1"/>
  <c r="R60" i="17" s="1"/>
  <c r="P60" i="17" s="1"/>
  <c r="D57" i="7" s="1"/>
  <c r="U19" i="17"/>
  <c r="T19" i="17" s="1"/>
  <c r="S19" i="17" s="1"/>
  <c r="R19" i="17" s="1"/>
  <c r="P19" i="17" s="1"/>
  <c r="V19" i="17" s="1"/>
  <c r="F19" i="17" s="1"/>
  <c r="G19" i="17" s="1"/>
  <c r="BZ19" i="6" s="1"/>
  <c r="U221" i="17"/>
  <c r="T221" i="17" s="1"/>
  <c r="S221" i="17" s="1"/>
  <c r="R221" i="17" s="1"/>
  <c r="P221" i="17" s="1"/>
  <c r="V221" i="17" s="1"/>
  <c r="F221" i="17" s="1"/>
  <c r="U77" i="17"/>
  <c r="T77" i="17" s="1"/>
  <c r="S77" i="17" s="1"/>
  <c r="R77" i="17" s="1"/>
  <c r="P77" i="17" s="1"/>
  <c r="V77" i="17" s="1"/>
  <c r="F77" i="17" s="1"/>
  <c r="G77" i="17" s="1"/>
  <c r="BZ77" i="6" s="1"/>
  <c r="U354" i="17"/>
  <c r="T354" i="17" s="1"/>
  <c r="S354" i="17" s="1"/>
  <c r="R354" i="17" s="1"/>
  <c r="P354" i="17" s="1"/>
  <c r="V354" i="17" s="1"/>
  <c r="F354" i="17" s="1"/>
  <c r="G354" i="17" s="1"/>
  <c r="BZ354" i="6" s="1"/>
  <c r="U38" i="17"/>
  <c r="T38" i="17" s="1"/>
  <c r="S38" i="17" s="1"/>
  <c r="R38" i="17" s="1"/>
  <c r="P38" i="17" s="1"/>
  <c r="V38" i="17" s="1"/>
  <c r="F38" i="17" s="1"/>
  <c r="H38" i="17" s="1"/>
  <c r="U336" i="17"/>
  <c r="T336" i="17" s="1"/>
  <c r="S336" i="17" s="1"/>
  <c r="R336" i="17" s="1"/>
  <c r="P336" i="17" s="1"/>
  <c r="V336" i="17" s="1"/>
  <c r="F336" i="17" s="1"/>
  <c r="G336" i="17" s="1"/>
  <c r="BZ336" i="6" s="1"/>
  <c r="U117" i="17"/>
  <c r="T117" i="17" s="1"/>
  <c r="S117" i="17" s="1"/>
  <c r="R117" i="17" s="1"/>
  <c r="P117" i="17" s="1"/>
  <c r="V117" i="17" s="1"/>
  <c r="F117" i="17" s="1"/>
  <c r="U131" i="17"/>
  <c r="T131" i="17" s="1"/>
  <c r="S131" i="17" s="1"/>
  <c r="R131" i="17" s="1"/>
  <c r="P131" i="17" s="1"/>
  <c r="V131" i="17" s="1"/>
  <c r="F131" i="17" s="1"/>
  <c r="U321" i="17"/>
  <c r="T321" i="17" s="1"/>
  <c r="S321" i="17" s="1"/>
  <c r="R321" i="17" s="1"/>
  <c r="P321" i="17" s="1"/>
  <c r="V321" i="17" s="1"/>
  <c r="F321" i="17" s="1"/>
  <c r="G321" i="17" s="1"/>
  <c r="BZ321" i="6" s="1"/>
  <c r="U373" i="17"/>
  <c r="T373" i="17" s="1"/>
  <c r="S373" i="17" s="1"/>
  <c r="R373" i="17" s="1"/>
  <c r="P373" i="17" s="1"/>
  <c r="V373" i="17" s="1"/>
  <c r="F373" i="17" s="1"/>
  <c r="U25" i="17"/>
  <c r="T25" i="17" s="1"/>
  <c r="S25" i="17" s="1"/>
  <c r="R25" i="17" s="1"/>
  <c r="P25" i="17" s="1"/>
  <c r="V25" i="17" s="1"/>
  <c r="F25" i="17" s="1"/>
  <c r="G25" i="17" s="1"/>
  <c r="BZ25" i="6" s="1"/>
  <c r="U210" i="17"/>
  <c r="T210" i="17" s="1"/>
  <c r="S210" i="17" s="1"/>
  <c r="R210" i="17" s="1"/>
  <c r="P210" i="17" s="1"/>
  <c r="D62" i="7" s="1"/>
  <c r="U296" i="17"/>
  <c r="T296" i="17" s="1"/>
  <c r="S296" i="17" s="1"/>
  <c r="R296" i="17" s="1"/>
  <c r="P296" i="17" s="1"/>
  <c r="V296" i="17" s="1"/>
  <c r="F296" i="17" s="1"/>
  <c r="U49" i="17"/>
  <c r="T49" i="17" s="1"/>
  <c r="S49" i="17" s="1"/>
  <c r="R49" i="17" s="1"/>
  <c r="P49" i="17" s="1"/>
  <c r="V49" i="17" s="1"/>
  <c r="F49" i="17" s="1"/>
  <c r="U139" i="17"/>
  <c r="T139" i="17" s="1"/>
  <c r="S139" i="17" s="1"/>
  <c r="R139" i="17" s="1"/>
  <c r="P139" i="17" s="1"/>
  <c r="V139" i="17" s="1"/>
  <c r="F139" i="17" s="1"/>
  <c r="G139" i="17" s="1"/>
  <c r="BZ139" i="6" s="1"/>
  <c r="U129" i="17"/>
  <c r="T129" i="17" s="1"/>
  <c r="S129" i="17" s="1"/>
  <c r="R129" i="17" s="1"/>
  <c r="P129" i="17" s="1"/>
  <c r="V129" i="17" s="1"/>
  <c r="F129" i="17" s="1"/>
  <c r="H129" i="17" s="1"/>
  <c r="U35" i="17"/>
  <c r="T35" i="17" s="1"/>
  <c r="S35" i="17" s="1"/>
  <c r="R35" i="17" s="1"/>
  <c r="P35" i="17" s="1"/>
  <c r="V35" i="17" s="1"/>
  <c r="F35" i="17" s="1"/>
  <c r="G35" i="17" s="1"/>
  <c r="BZ35" i="6" s="1"/>
  <c r="U280" i="17"/>
  <c r="T280" i="17" s="1"/>
  <c r="S280" i="17" s="1"/>
  <c r="R280" i="17" s="1"/>
  <c r="P280" i="17" s="1"/>
  <c r="V280" i="17" s="1"/>
  <c r="F280" i="17" s="1"/>
  <c r="G280" i="17" s="1"/>
  <c r="BZ280" i="6" s="1"/>
  <c r="U111" i="17"/>
  <c r="T111" i="17" s="1"/>
  <c r="S111" i="17" s="1"/>
  <c r="R111" i="17" s="1"/>
  <c r="P111" i="17" s="1"/>
  <c r="V111" i="17" s="1"/>
  <c r="U250" i="17"/>
  <c r="T250" i="17" s="1"/>
  <c r="S250" i="17" s="1"/>
  <c r="R250" i="17" s="1"/>
  <c r="P250" i="17" s="1"/>
  <c r="V250" i="17" s="1"/>
  <c r="F250" i="17" s="1"/>
  <c r="H250" i="17" s="1"/>
  <c r="U153" i="17"/>
  <c r="T153" i="17" s="1"/>
  <c r="S153" i="17" s="1"/>
  <c r="R153" i="17" s="1"/>
  <c r="P153" i="17" s="1"/>
  <c r="V153" i="17" s="1"/>
  <c r="F153" i="17" s="1"/>
  <c r="U299" i="17"/>
  <c r="T299" i="17" s="1"/>
  <c r="S299" i="17" s="1"/>
  <c r="R299" i="17" s="1"/>
  <c r="P299" i="17" s="1"/>
  <c r="V299" i="17" s="1"/>
  <c r="F299" i="17" s="1"/>
  <c r="G299" i="17" s="1"/>
  <c r="BZ299" i="6" s="1"/>
  <c r="U29" i="17"/>
  <c r="T29" i="17" s="1"/>
  <c r="S29" i="17" s="1"/>
  <c r="R29" i="17" s="1"/>
  <c r="P29" i="17" s="1"/>
  <c r="V29" i="17" s="1"/>
  <c r="F29" i="17" s="1"/>
  <c r="U242" i="17"/>
  <c r="T242" i="17" s="1"/>
  <c r="S242" i="17" s="1"/>
  <c r="R242" i="17" s="1"/>
  <c r="P242" i="17" s="1"/>
  <c r="V242" i="17" s="1"/>
  <c r="F242" i="17" s="1"/>
  <c r="U332" i="17"/>
  <c r="T332" i="17" s="1"/>
  <c r="S332" i="17" s="1"/>
  <c r="R332" i="17" s="1"/>
  <c r="P332" i="17" s="1"/>
  <c r="V332" i="17" s="1"/>
  <c r="F332" i="17" s="1"/>
  <c r="H332" i="17" s="1"/>
  <c r="I332" i="17" s="1"/>
  <c r="U248" i="17"/>
  <c r="T248" i="17" s="1"/>
  <c r="S248" i="17" s="1"/>
  <c r="R248" i="17" s="1"/>
  <c r="P248" i="17" s="1"/>
  <c r="V248" i="17" s="1"/>
  <c r="F248" i="17" s="1"/>
  <c r="G248" i="17" s="1"/>
  <c r="BZ248" i="6" s="1"/>
  <c r="U350" i="17"/>
  <c r="T350" i="17" s="1"/>
  <c r="S350" i="17" s="1"/>
  <c r="R350" i="17" s="1"/>
  <c r="P350" i="17" s="1"/>
  <c r="V350" i="17" s="1"/>
  <c r="F350" i="17" s="1"/>
  <c r="H350" i="17" s="1"/>
  <c r="U377" i="17"/>
  <c r="T377" i="17" s="1"/>
  <c r="S377" i="17" s="1"/>
  <c r="R377" i="17" s="1"/>
  <c r="P377" i="17" s="1"/>
  <c r="V377" i="17" s="1"/>
  <c r="F377" i="17" s="1"/>
  <c r="U335" i="17"/>
  <c r="T335" i="17" s="1"/>
  <c r="S335" i="17" s="1"/>
  <c r="R335" i="17" s="1"/>
  <c r="P335" i="17" s="1"/>
  <c r="V335" i="17" s="1"/>
  <c r="F335" i="17" s="1"/>
  <c r="H335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73" i="17"/>
  <c r="T73" i="17" s="1"/>
  <c r="S73" i="17" s="1"/>
  <c r="R73" i="17" s="1"/>
  <c r="P73" i="17" s="1"/>
  <c r="V73" i="17" s="1"/>
  <c r="F73" i="17" s="1"/>
  <c r="G73" i="17" s="1"/>
  <c r="BZ73" i="6" s="1"/>
  <c r="U253" i="17"/>
  <c r="T253" i="17" s="1"/>
  <c r="S253" i="17" s="1"/>
  <c r="R253" i="17" s="1"/>
  <c r="P253" i="17" s="1"/>
  <c r="V253" i="17" s="1"/>
  <c r="F253" i="17" s="1"/>
  <c r="U109" i="17"/>
  <c r="T109" i="17" s="1"/>
  <c r="S109" i="17" s="1"/>
  <c r="R109" i="17" s="1"/>
  <c r="P109" i="17" s="1"/>
  <c r="V109" i="17" s="1"/>
  <c r="F109" i="17" s="1"/>
  <c r="G109" i="17" s="1"/>
  <c r="BZ109" i="6" s="1"/>
  <c r="U179" i="17"/>
  <c r="T179" i="17" s="1"/>
  <c r="S179" i="17" s="1"/>
  <c r="R179" i="17" s="1"/>
  <c r="P179" i="17" s="1"/>
  <c r="V179" i="17" s="1"/>
  <c r="F179" i="17" s="1"/>
  <c r="U215" i="17"/>
  <c r="T215" i="17" s="1"/>
  <c r="S215" i="17" s="1"/>
  <c r="R215" i="17" s="1"/>
  <c r="P215" i="17" s="1"/>
  <c r="V215" i="17" s="1"/>
  <c r="F215" i="17" s="1"/>
  <c r="H215" i="17" s="1"/>
  <c r="J215" i="17" s="1"/>
  <c r="U319" i="17"/>
  <c r="T319" i="17" s="1"/>
  <c r="S319" i="17" s="1"/>
  <c r="R319" i="17" s="1"/>
  <c r="P319" i="17" s="1"/>
  <c r="V319" i="17" s="1"/>
  <c r="U362" i="17"/>
  <c r="T362" i="17" s="1"/>
  <c r="S362" i="17" s="1"/>
  <c r="R362" i="17" s="1"/>
  <c r="P362" i="17" s="1"/>
  <c r="V362" i="17" s="1"/>
  <c r="F362" i="17" s="1"/>
  <c r="G362" i="17" s="1"/>
  <c r="BZ362" i="6" s="1"/>
  <c r="U105" i="17"/>
  <c r="T105" i="17" s="1"/>
  <c r="S105" i="17" s="1"/>
  <c r="R105" i="17" s="1"/>
  <c r="P105" i="17" s="1"/>
  <c r="V105" i="17" s="1"/>
  <c r="F105" i="17" s="1"/>
  <c r="G105" i="17" s="1"/>
  <c r="BZ105" i="6" s="1"/>
  <c r="U54" i="17"/>
  <c r="T54" i="17" s="1"/>
  <c r="S54" i="17" s="1"/>
  <c r="R54" i="17" s="1"/>
  <c r="P54" i="17" s="1"/>
  <c r="V54" i="17" s="1"/>
  <c r="F54" i="17" s="1"/>
  <c r="G54" i="17" s="1"/>
  <c r="BZ54" i="6" s="1"/>
  <c r="U50" i="17"/>
  <c r="T50" i="17" s="1"/>
  <c r="S50" i="17" s="1"/>
  <c r="R50" i="17" s="1"/>
  <c r="P50" i="17" s="1"/>
  <c r="V50" i="17" s="1"/>
  <c r="F50" i="17" s="1"/>
  <c r="U320" i="17"/>
  <c r="T320" i="17" s="1"/>
  <c r="S320" i="17" s="1"/>
  <c r="R320" i="17" s="1"/>
  <c r="P320" i="17" s="1"/>
  <c r="V320" i="17" s="1"/>
  <c r="F320" i="17" s="1"/>
  <c r="G320" i="17" s="1"/>
  <c r="BZ320" i="6" s="1"/>
  <c r="U59" i="17"/>
  <c r="T59" i="17" s="1"/>
  <c r="S59" i="17" s="1"/>
  <c r="R59" i="17" s="1"/>
  <c r="P59" i="17" s="1"/>
  <c r="V59" i="17" s="1"/>
  <c r="F59" i="17" s="1"/>
  <c r="U79" i="17"/>
  <c r="T79" i="17" s="1"/>
  <c r="S79" i="17" s="1"/>
  <c r="R79" i="17" s="1"/>
  <c r="P79" i="17" s="1"/>
  <c r="V79" i="17" s="1"/>
  <c r="F79" i="17" s="1"/>
  <c r="G79" i="17" s="1"/>
  <c r="BZ79" i="6" s="1"/>
  <c r="U365" i="17"/>
  <c r="T365" i="17" s="1"/>
  <c r="S365" i="17" s="1"/>
  <c r="R365" i="17" s="1"/>
  <c r="P365" i="17" s="1"/>
  <c r="V365" i="17" s="1"/>
  <c r="F365" i="17" s="1"/>
  <c r="U244" i="17"/>
  <c r="T244" i="17" s="1"/>
  <c r="S244" i="17" s="1"/>
  <c r="R244" i="17" s="1"/>
  <c r="P244" i="17" s="1"/>
  <c r="V244" i="17" s="1"/>
  <c r="F244" i="17" s="1"/>
  <c r="G244" i="17" s="1"/>
  <c r="BZ244" i="6" s="1"/>
  <c r="U372" i="17"/>
  <c r="T372" i="17" s="1"/>
  <c r="S372" i="17" s="1"/>
  <c r="R372" i="17" s="1"/>
  <c r="P372" i="17" s="1"/>
  <c r="V372" i="17" s="1"/>
  <c r="F372" i="17" s="1"/>
  <c r="U247" i="17"/>
  <c r="T247" i="17" s="1"/>
  <c r="S247" i="17" s="1"/>
  <c r="R247" i="17" s="1"/>
  <c r="P247" i="17" s="1"/>
  <c r="V247" i="17" s="1"/>
  <c r="F247" i="17" s="1"/>
  <c r="H247" i="17" s="1"/>
  <c r="U227" i="17"/>
  <c r="T227" i="17" s="1"/>
  <c r="S227" i="17" s="1"/>
  <c r="R227" i="17" s="1"/>
  <c r="P227" i="17" s="1"/>
  <c r="V227" i="17" s="1"/>
  <c r="F227" i="17" s="1"/>
  <c r="G227" i="17" s="1"/>
  <c r="BZ227" i="6" s="1"/>
  <c r="U148" i="17"/>
  <c r="T148" i="17" s="1"/>
  <c r="S148" i="17" s="1"/>
  <c r="R148" i="17" s="1"/>
  <c r="P148" i="17" s="1"/>
  <c r="V148" i="17" s="1"/>
  <c r="F148" i="17" s="1"/>
  <c r="G148" i="17" s="1"/>
  <c r="BZ148" i="6" s="1"/>
  <c r="U66" i="17"/>
  <c r="T66" i="17" s="1"/>
  <c r="S66" i="17" s="1"/>
  <c r="R66" i="17" s="1"/>
  <c r="P66" i="17" s="1"/>
  <c r="V66" i="17" s="1"/>
  <c r="F66" i="17" s="1"/>
  <c r="U194" i="17"/>
  <c r="T194" i="17" s="1"/>
  <c r="S194" i="17" s="1"/>
  <c r="R194" i="17" s="1"/>
  <c r="P194" i="17" s="1"/>
  <c r="V194" i="17" s="1"/>
  <c r="F194" i="17" s="1"/>
  <c r="G194" i="17" s="1"/>
  <c r="BZ194" i="6" s="1"/>
  <c r="U149" i="17"/>
  <c r="T149" i="17" s="1"/>
  <c r="S149" i="17" s="1"/>
  <c r="R149" i="17" s="1"/>
  <c r="P149" i="17" s="1"/>
  <c r="V149" i="17" s="1"/>
  <c r="U163" i="17"/>
  <c r="T163" i="17" s="1"/>
  <c r="S163" i="17" s="1"/>
  <c r="R163" i="17" s="1"/>
  <c r="P163" i="17" s="1"/>
  <c r="V163" i="17" s="1"/>
  <c r="F163" i="17" s="1"/>
  <c r="G163" i="17" s="1"/>
  <c r="BZ163" i="6" s="1"/>
  <c r="U85" i="17"/>
  <c r="T85" i="17" s="1"/>
  <c r="S85" i="17" s="1"/>
  <c r="R85" i="17" s="1"/>
  <c r="P85" i="17" s="1"/>
  <c r="V85" i="17" s="1"/>
  <c r="F85" i="17" s="1"/>
  <c r="U349" i="17"/>
  <c r="T349" i="17" s="1"/>
  <c r="S349" i="17" s="1"/>
  <c r="R349" i="17" s="1"/>
  <c r="P349" i="17" s="1"/>
  <c r="V349" i="17" s="1"/>
  <c r="F349" i="17" s="1"/>
  <c r="G349" i="17" s="1"/>
  <c r="BZ349" i="6" s="1"/>
  <c r="U110" i="17"/>
  <c r="T110" i="17" s="1"/>
  <c r="S110" i="17" s="1"/>
  <c r="R110" i="17" s="1"/>
  <c r="P110" i="17" s="1"/>
  <c r="V110" i="17" s="1"/>
  <c r="F110" i="17" s="1"/>
  <c r="G110" i="17" s="1"/>
  <c r="BZ110" i="6" s="1"/>
  <c r="U379" i="17"/>
  <c r="U12" i="18" s="1"/>
  <c r="U125" i="17"/>
  <c r="T125" i="17" s="1"/>
  <c r="S125" i="17" s="1"/>
  <c r="R125" i="17" s="1"/>
  <c r="P125" i="17" s="1"/>
  <c r="V125" i="17" s="1"/>
  <c r="F125" i="17" s="1"/>
  <c r="G125" i="17" s="1"/>
  <c r="BZ125" i="6" s="1"/>
  <c r="U88" i="17"/>
  <c r="T88" i="17" s="1"/>
  <c r="S88" i="17" s="1"/>
  <c r="R88" i="17" s="1"/>
  <c r="P88" i="17" s="1"/>
  <c r="V88" i="17" s="1"/>
  <c r="F88" i="17" s="1"/>
  <c r="U127" i="17"/>
  <c r="T127" i="17" s="1"/>
  <c r="S127" i="17" s="1"/>
  <c r="R127" i="17" s="1"/>
  <c r="P127" i="17" s="1"/>
  <c r="V127" i="17" s="1"/>
  <c r="F127" i="17" s="1"/>
  <c r="U175" i="17"/>
  <c r="T175" i="17" s="1"/>
  <c r="S175" i="17" s="1"/>
  <c r="R175" i="17" s="1"/>
  <c r="P175" i="17" s="1"/>
  <c r="V175" i="17" s="1"/>
  <c r="F175" i="17" s="1"/>
  <c r="G175" i="17" s="1"/>
  <c r="BZ175" i="6" s="1"/>
  <c r="U154" i="17"/>
  <c r="T154" i="17" s="1"/>
  <c r="S154" i="17" s="1"/>
  <c r="R154" i="17" s="1"/>
  <c r="P154" i="17" s="1"/>
  <c r="V154" i="17" s="1"/>
  <c r="F154" i="17" s="1"/>
  <c r="U130" i="17"/>
  <c r="T130" i="17" s="1"/>
  <c r="S130" i="17" s="1"/>
  <c r="R130" i="17" s="1"/>
  <c r="P130" i="17" s="1"/>
  <c r="V130" i="17" s="1"/>
  <c r="F130" i="17" s="1"/>
  <c r="G130" i="17" s="1"/>
  <c r="BZ130" i="6" s="1"/>
  <c r="U106" i="17"/>
  <c r="T106" i="17" s="1"/>
  <c r="S106" i="17" s="1"/>
  <c r="R106" i="17" s="1"/>
  <c r="P106" i="17" s="1"/>
  <c r="V106" i="17" s="1"/>
  <c r="F106" i="17" s="1"/>
  <c r="G106" i="17" s="1"/>
  <c r="BZ106" i="6" s="1"/>
  <c r="U141" i="17"/>
  <c r="T141" i="17" s="1"/>
  <c r="S141" i="17" s="1"/>
  <c r="R141" i="17" s="1"/>
  <c r="P141" i="17" s="1"/>
  <c r="V141" i="17" s="1"/>
  <c r="F141" i="17" s="1"/>
  <c r="G141" i="17" s="1"/>
  <c r="BZ141" i="6" s="1"/>
  <c r="U255" i="17"/>
  <c r="T255" i="17" s="1"/>
  <c r="S255" i="17" s="1"/>
  <c r="R255" i="17" s="1"/>
  <c r="P255" i="17" s="1"/>
  <c r="V255" i="17" s="1"/>
  <c r="F255" i="17" s="1"/>
  <c r="G255" i="17" s="1"/>
  <c r="BZ255" i="6" s="1"/>
  <c r="U214" i="17"/>
  <c r="T214" i="17" s="1"/>
  <c r="S214" i="17" s="1"/>
  <c r="R214" i="17" s="1"/>
  <c r="P214" i="17" s="1"/>
  <c r="V214" i="17" s="1"/>
  <c r="F214" i="17" s="1"/>
  <c r="H214" i="17" s="1"/>
  <c r="U69" i="17"/>
  <c r="T69" i="17" s="1"/>
  <c r="S69" i="17" s="1"/>
  <c r="R69" i="17" s="1"/>
  <c r="P69" i="17" s="1"/>
  <c r="V69" i="17" s="1"/>
  <c r="F69" i="17" s="1"/>
  <c r="U114" i="17"/>
  <c r="T114" i="17" s="1"/>
  <c r="S114" i="17" s="1"/>
  <c r="R114" i="17" s="1"/>
  <c r="P114" i="17" s="1"/>
  <c r="V114" i="17" s="1"/>
  <c r="F114" i="17" s="1"/>
  <c r="G114" i="17" s="1"/>
  <c r="BZ114" i="6" s="1"/>
  <c r="U86" i="17"/>
  <c r="T86" i="17" s="1"/>
  <c r="S86" i="17" s="1"/>
  <c r="R86" i="17" s="1"/>
  <c r="P86" i="17" s="1"/>
  <c r="V86" i="17" s="1"/>
  <c r="F86" i="17" s="1"/>
  <c r="U298" i="17"/>
  <c r="T298" i="17" s="1"/>
  <c r="S298" i="17" s="1"/>
  <c r="R298" i="17" s="1"/>
  <c r="P298" i="17" s="1"/>
  <c r="V298" i="17" s="1"/>
  <c r="F298" i="17" s="1"/>
  <c r="G298" i="17" s="1"/>
  <c r="BZ298" i="6" s="1"/>
  <c r="U286" i="17"/>
  <c r="T286" i="17" s="1"/>
  <c r="S286" i="17" s="1"/>
  <c r="R286" i="17" s="1"/>
  <c r="P286" i="17" s="1"/>
  <c r="V286" i="17" s="1"/>
  <c r="F286" i="17" s="1"/>
  <c r="U71" i="17"/>
  <c r="T71" i="17" s="1"/>
  <c r="S71" i="17" s="1"/>
  <c r="R71" i="17" s="1"/>
  <c r="P71" i="17" s="1"/>
  <c r="V71" i="17" s="1"/>
  <c r="F71" i="17" s="1"/>
  <c r="G71" i="17" s="1"/>
  <c r="BZ71" i="6" s="1"/>
  <c r="U322" i="17"/>
  <c r="T322" i="17" s="1"/>
  <c r="S322" i="17" s="1"/>
  <c r="R322" i="17" s="1"/>
  <c r="P322" i="17" s="1"/>
  <c r="V322" i="17" s="1"/>
  <c r="F322" i="17" s="1"/>
  <c r="G322" i="17" s="1"/>
  <c r="BZ322" i="6" s="1"/>
  <c r="U297" i="17"/>
  <c r="T297" i="17" s="1"/>
  <c r="S297" i="17" s="1"/>
  <c r="R297" i="17" s="1"/>
  <c r="P297" i="17" s="1"/>
  <c r="V297" i="17" s="1"/>
  <c r="F297" i="17" s="1"/>
  <c r="G297" i="17" s="1"/>
  <c r="BZ297" i="6" s="1"/>
  <c r="U363" i="17"/>
  <c r="T363" i="17" s="1"/>
  <c r="S363" i="17" s="1"/>
  <c r="R363" i="17" s="1"/>
  <c r="P363" i="17" s="1"/>
  <c r="V363" i="17" s="1"/>
  <c r="F363" i="17" s="1"/>
  <c r="U143" i="17"/>
  <c r="T143" i="17" s="1"/>
  <c r="S143" i="17" s="1"/>
  <c r="R143" i="17" s="1"/>
  <c r="P143" i="17" s="1"/>
  <c r="V143" i="17" s="1"/>
  <c r="F143" i="17" s="1"/>
  <c r="G143" i="17" s="1"/>
  <c r="BZ143" i="6" s="1"/>
  <c r="U21" i="17"/>
  <c r="U270" i="17"/>
  <c r="T270" i="17" s="1"/>
  <c r="S270" i="17" s="1"/>
  <c r="R270" i="17" s="1"/>
  <c r="P270" i="17" s="1"/>
  <c r="V270" i="17" s="1"/>
  <c r="F270" i="17" s="1"/>
  <c r="G270" i="17" s="1"/>
  <c r="BZ270" i="6" s="1"/>
  <c r="U207" i="17"/>
  <c r="T207" i="17" s="1"/>
  <c r="S207" i="17" s="1"/>
  <c r="R207" i="17" s="1"/>
  <c r="P207" i="17" s="1"/>
  <c r="V207" i="17" s="1"/>
  <c r="F207" i="17" s="1"/>
  <c r="H207" i="17" s="1"/>
  <c r="U31" i="17"/>
  <c r="T31" i="17" s="1"/>
  <c r="S31" i="17" s="1"/>
  <c r="R31" i="17" s="1"/>
  <c r="P31" i="17" s="1"/>
  <c r="V31" i="17" s="1"/>
  <c r="F31" i="17" s="1"/>
  <c r="G31" i="17" s="1"/>
  <c r="BZ31" i="6" s="1"/>
  <c r="U39" i="17"/>
  <c r="T39" i="17" s="1"/>
  <c r="S39" i="17" s="1"/>
  <c r="R39" i="17" s="1"/>
  <c r="P39" i="17" s="1"/>
  <c r="V39" i="17" s="1"/>
  <c r="F39" i="17" s="1"/>
  <c r="G39" i="17" s="1"/>
  <c r="BZ39" i="6" s="1"/>
  <c r="U371" i="17"/>
  <c r="T371" i="17" s="1"/>
  <c r="S371" i="17" s="1"/>
  <c r="R371" i="17" s="1"/>
  <c r="P371" i="17" s="1"/>
  <c r="V371" i="17" s="1"/>
  <c r="F371" i="17" s="1"/>
  <c r="G371" i="17" s="1"/>
  <c r="BZ371" i="6" s="1"/>
  <c r="U56" i="17"/>
  <c r="T56" i="17" s="1"/>
  <c r="S56" i="17" s="1"/>
  <c r="R56" i="17" s="1"/>
  <c r="P56" i="17" s="1"/>
  <c r="V56" i="17" s="1"/>
  <c r="F56" i="17" s="1"/>
  <c r="U290" i="17"/>
  <c r="T290" i="17" s="1"/>
  <c r="S290" i="17" s="1"/>
  <c r="R290" i="17" s="1"/>
  <c r="P290" i="17" s="1"/>
  <c r="V290" i="17" s="1"/>
  <c r="F290" i="17" s="1"/>
  <c r="G290" i="17" s="1"/>
  <c r="BZ290" i="6" s="1"/>
  <c r="U206" i="17"/>
  <c r="T206" i="17" s="1"/>
  <c r="S206" i="17" s="1"/>
  <c r="R206" i="17" s="1"/>
  <c r="P206" i="17" s="1"/>
  <c r="V206" i="17" s="1"/>
  <c r="F206" i="17" s="1"/>
  <c r="G206" i="17" s="1"/>
  <c r="BZ206" i="6" s="1"/>
  <c r="U348" i="17"/>
  <c r="T348" i="17" s="1"/>
  <c r="S348" i="17" s="1"/>
  <c r="R348" i="17" s="1"/>
  <c r="P348" i="17" s="1"/>
  <c r="V348" i="17" s="1"/>
  <c r="F348" i="17" s="1"/>
  <c r="H348" i="17" s="1"/>
  <c r="U89" i="17"/>
  <c r="T89" i="17" s="1"/>
  <c r="S89" i="17" s="1"/>
  <c r="R89" i="17" s="1"/>
  <c r="P89" i="17" s="1"/>
  <c r="V89" i="17" s="1"/>
  <c r="F89" i="17" s="1"/>
  <c r="G89" i="17" s="1"/>
  <c r="BZ89" i="6" s="1"/>
  <c r="U92" i="17"/>
  <c r="T92" i="17" s="1"/>
  <c r="S92" i="17" s="1"/>
  <c r="R92" i="17" s="1"/>
  <c r="P92" i="17" s="1"/>
  <c r="V92" i="17" s="1"/>
  <c r="F92" i="17" s="1"/>
  <c r="G92" i="17" s="1"/>
  <c r="BZ92" i="6" s="1"/>
  <c r="U266" i="17"/>
  <c r="T266" i="17" s="1"/>
  <c r="S266" i="17" s="1"/>
  <c r="R266" i="17" s="1"/>
  <c r="P266" i="17" s="1"/>
  <c r="V266" i="17" s="1"/>
  <c r="F266" i="17" s="1"/>
  <c r="U345" i="17"/>
  <c r="T345" i="17" s="1"/>
  <c r="S345" i="17" s="1"/>
  <c r="R345" i="17" s="1"/>
  <c r="P345" i="17" s="1"/>
  <c r="V345" i="17" s="1"/>
  <c r="F345" i="17" s="1"/>
  <c r="G345" i="17" s="1"/>
  <c r="BZ345" i="6" s="1"/>
  <c r="U347" i="17"/>
  <c r="T347" i="17" s="1"/>
  <c r="S347" i="17" s="1"/>
  <c r="R347" i="17" s="1"/>
  <c r="P347" i="17" s="1"/>
  <c r="V347" i="17" s="1"/>
  <c r="F347" i="17" s="1"/>
  <c r="U294" i="17"/>
  <c r="T294" i="17" s="1"/>
  <c r="S294" i="17" s="1"/>
  <c r="R294" i="17" s="1"/>
  <c r="P294" i="17" s="1"/>
  <c r="V294" i="17" s="1"/>
  <c r="F294" i="17" s="1"/>
  <c r="G294" i="17" s="1"/>
  <c r="BZ294" i="6" s="1"/>
  <c r="U205" i="17"/>
  <c r="T205" i="17" s="1"/>
  <c r="S205" i="17" s="1"/>
  <c r="R205" i="17" s="1"/>
  <c r="P205" i="17" s="1"/>
  <c r="V205" i="17" s="1"/>
  <c r="F205" i="17" s="1"/>
  <c r="G205" i="17" s="1"/>
  <c r="BZ205" i="6" s="1"/>
  <c r="U271" i="17"/>
  <c r="T271" i="17" s="1"/>
  <c r="S271" i="17" s="1"/>
  <c r="R271" i="17" s="1"/>
  <c r="P271" i="17" s="1"/>
  <c r="V271" i="17" s="1"/>
  <c r="F271" i="17" s="1"/>
  <c r="G271" i="17" s="1"/>
  <c r="BZ271" i="6" s="1"/>
  <c r="Q364" i="18"/>
  <c r="Q350" i="18"/>
  <c r="Q263" i="18"/>
  <c r="Q176" i="18"/>
  <c r="Q118" i="18"/>
  <c r="Q191" i="18"/>
  <c r="AI235" i="17"/>
  <c r="AH235" i="17" s="1"/>
  <c r="AG235" i="17" s="1"/>
  <c r="AF235" i="17" s="1"/>
  <c r="AD235" i="17" s="1"/>
  <c r="AI183" i="17"/>
  <c r="AH183" i="17" s="1"/>
  <c r="AG183" i="17" s="1"/>
  <c r="AF183" i="17" s="1"/>
  <c r="AD183" i="17" s="1"/>
  <c r="AI236" i="17"/>
  <c r="AH236" i="17" s="1"/>
  <c r="AG236" i="17" s="1"/>
  <c r="AF236" i="17" s="1"/>
  <c r="AD236" i="17" s="1"/>
  <c r="AI106" i="17"/>
  <c r="AH106" i="17" s="1"/>
  <c r="AG106" i="17" s="1"/>
  <c r="AF106" i="17" s="1"/>
  <c r="AD106" i="17" s="1"/>
  <c r="AI247" i="17"/>
  <c r="AH247" i="17" s="1"/>
  <c r="AG247" i="17" s="1"/>
  <c r="AF247" i="17" s="1"/>
  <c r="AD247" i="17" s="1"/>
  <c r="AI16" i="17"/>
  <c r="AH16" i="17" s="1"/>
  <c r="AG16" i="17" s="1"/>
  <c r="AF16" i="17" s="1"/>
  <c r="AD16" i="17" s="1"/>
  <c r="AA16" i="17" s="1"/>
  <c r="Z16" i="17" s="1"/>
  <c r="Y16" i="17" s="1"/>
  <c r="AI230" i="17"/>
  <c r="AH230" i="17" s="1"/>
  <c r="AG230" i="17" s="1"/>
  <c r="AF230" i="17" s="1"/>
  <c r="AD230" i="17" s="1"/>
  <c r="AI161" i="17"/>
  <c r="AH161" i="17" s="1"/>
  <c r="AG161" i="17" s="1"/>
  <c r="AF161" i="17" s="1"/>
  <c r="AD161" i="17" s="1"/>
  <c r="AI303" i="17"/>
  <c r="AH303" i="17" s="1"/>
  <c r="AG303" i="17" s="1"/>
  <c r="AF303" i="17" s="1"/>
  <c r="AD303" i="17" s="1"/>
  <c r="AI138" i="17"/>
  <c r="AH138" i="17" s="1"/>
  <c r="AG138" i="17" s="1"/>
  <c r="AF138" i="17" s="1"/>
  <c r="AD138" i="17" s="1"/>
  <c r="AA138" i="17" s="1"/>
  <c r="Z138" i="17" s="1"/>
  <c r="Y138" i="17" s="1"/>
  <c r="AI233" i="17"/>
  <c r="AH233" i="17" s="1"/>
  <c r="AG233" i="17" s="1"/>
  <c r="AF233" i="17" s="1"/>
  <c r="AD233" i="17" s="1"/>
  <c r="AI20" i="17"/>
  <c r="AH20" i="17" s="1"/>
  <c r="AG20" i="17" s="1"/>
  <c r="AF20" i="17" s="1"/>
  <c r="AD20" i="17" s="1"/>
  <c r="AI375" i="17"/>
  <c r="AH375" i="17" s="1"/>
  <c r="AG375" i="17" s="1"/>
  <c r="AF375" i="17" s="1"/>
  <c r="AD375" i="17" s="1"/>
  <c r="AI340" i="17"/>
  <c r="AH340" i="17" s="1"/>
  <c r="AG340" i="17" s="1"/>
  <c r="AF340" i="17" s="1"/>
  <c r="AD340" i="17" s="1"/>
  <c r="AA340" i="17" s="1"/>
  <c r="Z340" i="17" s="1"/>
  <c r="Y340" i="17" s="1"/>
  <c r="AI314" i="17"/>
  <c r="AH314" i="17" s="1"/>
  <c r="AG314" i="17" s="1"/>
  <c r="AF314" i="17" s="1"/>
  <c r="AD314" i="17" s="1"/>
  <c r="AI279" i="17"/>
  <c r="AH279" i="17" s="1"/>
  <c r="AG279" i="17" s="1"/>
  <c r="AF279" i="17" s="1"/>
  <c r="AD279" i="17" s="1"/>
  <c r="AI104" i="17"/>
  <c r="AH104" i="17" s="1"/>
  <c r="AG104" i="17" s="1"/>
  <c r="AF104" i="17" s="1"/>
  <c r="AD104" i="17" s="1"/>
  <c r="AI70" i="17"/>
  <c r="AH70" i="17" s="1"/>
  <c r="AG70" i="17" s="1"/>
  <c r="AF70" i="17" s="1"/>
  <c r="AD70" i="17" s="1"/>
  <c r="AA70" i="17" s="1"/>
  <c r="Z70" i="17" s="1"/>
  <c r="Y70" i="17" s="1"/>
  <c r="AI274" i="17"/>
  <c r="AH274" i="17" s="1"/>
  <c r="AG274" i="17" s="1"/>
  <c r="AF274" i="17" s="1"/>
  <c r="AD274" i="17" s="1"/>
  <c r="AA274" i="17" s="1"/>
  <c r="Z274" i="17" s="1"/>
  <c r="Y274" i="17" s="1"/>
  <c r="AI31" i="17"/>
  <c r="AH31" i="17" s="1"/>
  <c r="AG31" i="17" s="1"/>
  <c r="AF31" i="17" s="1"/>
  <c r="AD31" i="17" s="1"/>
  <c r="AI295" i="17"/>
  <c r="AH295" i="17" s="1"/>
  <c r="AG295" i="17" s="1"/>
  <c r="AF295" i="17" s="1"/>
  <c r="AD295" i="17" s="1"/>
  <c r="AI341" i="17"/>
  <c r="AH341" i="17" s="1"/>
  <c r="AG341" i="17" s="1"/>
  <c r="AF341" i="17" s="1"/>
  <c r="AD341" i="17" s="1"/>
  <c r="AI99" i="17"/>
  <c r="AH99" i="17" s="1"/>
  <c r="AG99" i="17" s="1"/>
  <c r="AF99" i="17" s="1"/>
  <c r="AD99" i="17" s="1"/>
  <c r="AI197" i="17"/>
  <c r="AH197" i="17" s="1"/>
  <c r="AG197" i="17" s="1"/>
  <c r="AF197" i="17" s="1"/>
  <c r="AD197" i="17" s="1"/>
  <c r="AI96" i="17"/>
  <c r="AH96" i="17" s="1"/>
  <c r="AG96" i="17" s="1"/>
  <c r="AF96" i="17" s="1"/>
  <c r="AD96" i="17" s="1"/>
  <c r="AI237" i="17"/>
  <c r="AH237" i="17" s="1"/>
  <c r="AG237" i="17" s="1"/>
  <c r="AF237" i="17" s="1"/>
  <c r="AD237" i="17" s="1"/>
  <c r="AA237" i="17" s="1"/>
  <c r="Z237" i="17" s="1"/>
  <c r="Y237" i="17" s="1"/>
  <c r="AI78" i="17"/>
  <c r="AH78" i="17" s="1"/>
  <c r="AG78" i="17" s="1"/>
  <c r="AF78" i="17" s="1"/>
  <c r="AD78" i="17" s="1"/>
  <c r="AI208" i="17"/>
  <c r="AH208" i="17" s="1"/>
  <c r="AG208" i="17" s="1"/>
  <c r="AF208" i="17" s="1"/>
  <c r="AD208" i="17" s="1"/>
  <c r="AA208" i="17" s="1"/>
  <c r="Z208" i="17" s="1"/>
  <c r="Y208" i="17" s="1"/>
  <c r="AI350" i="17"/>
  <c r="AH350" i="17" s="1"/>
  <c r="AG350" i="17" s="1"/>
  <c r="AF350" i="17" s="1"/>
  <c r="AD350" i="17" s="1"/>
  <c r="AI109" i="17"/>
  <c r="AH109" i="17" s="1"/>
  <c r="AG109" i="17" s="1"/>
  <c r="AF109" i="17" s="1"/>
  <c r="AD109" i="17" s="1"/>
  <c r="AA109" i="17" s="1"/>
  <c r="Z109" i="17" s="1"/>
  <c r="Y109" i="17" s="1"/>
  <c r="AI149" i="17"/>
  <c r="AH149" i="17" s="1"/>
  <c r="AG149" i="17" s="1"/>
  <c r="AF149" i="17" s="1"/>
  <c r="AD149" i="17" s="1"/>
  <c r="AI156" i="17"/>
  <c r="AH156" i="17" s="1"/>
  <c r="AG156" i="17" s="1"/>
  <c r="AF156" i="17" s="1"/>
  <c r="AD156" i="17" s="1"/>
  <c r="AI97" i="17"/>
  <c r="AH97" i="17" s="1"/>
  <c r="AG97" i="17" s="1"/>
  <c r="AF97" i="17" s="1"/>
  <c r="AD97" i="17" s="1"/>
  <c r="AI194" i="17"/>
  <c r="AH194" i="17" s="1"/>
  <c r="AG194" i="17" s="1"/>
  <c r="AF194" i="17" s="1"/>
  <c r="AD194" i="17" s="1"/>
  <c r="AA194" i="17" s="1"/>
  <c r="Z194" i="17" s="1"/>
  <c r="Y194" i="17" s="1"/>
  <c r="AI42" i="17"/>
  <c r="AH42" i="17" s="1"/>
  <c r="AG42" i="17" s="1"/>
  <c r="AF42" i="17" s="1"/>
  <c r="AD42" i="17" s="1"/>
  <c r="AA42" i="17" s="1"/>
  <c r="Z42" i="17" s="1"/>
  <c r="Y42" i="17" s="1"/>
  <c r="AI342" i="17"/>
  <c r="AH342" i="17" s="1"/>
  <c r="AG342" i="17" s="1"/>
  <c r="AF342" i="17" s="1"/>
  <c r="AD342" i="17" s="1"/>
  <c r="AI337" i="17"/>
  <c r="AH337" i="17" s="1"/>
  <c r="AG337" i="17" s="1"/>
  <c r="AF337" i="17" s="1"/>
  <c r="AD337" i="17" s="1"/>
  <c r="AA337" i="17" s="1"/>
  <c r="Z337" i="17" s="1"/>
  <c r="Y337" i="17" s="1"/>
  <c r="AI268" i="17"/>
  <c r="AH268" i="17" s="1"/>
  <c r="AG268" i="17" s="1"/>
  <c r="AF268" i="17" s="1"/>
  <c r="AD268" i="17" s="1"/>
  <c r="AA268" i="17" s="1"/>
  <c r="Z268" i="17" s="1"/>
  <c r="Y268" i="17" s="1"/>
  <c r="AI245" i="17"/>
  <c r="AH245" i="17" s="1"/>
  <c r="AG245" i="17" s="1"/>
  <c r="AF245" i="17" s="1"/>
  <c r="AD245" i="17" s="1"/>
  <c r="AI91" i="17"/>
  <c r="AH91" i="17" s="1"/>
  <c r="AG91" i="17" s="1"/>
  <c r="AF91" i="17" s="1"/>
  <c r="AD91" i="17" s="1"/>
  <c r="AI23" i="17"/>
  <c r="AH23" i="17" s="1"/>
  <c r="AG23" i="17" s="1"/>
  <c r="AF23" i="17" s="1"/>
  <c r="AD23" i="17" s="1"/>
  <c r="AI262" i="17"/>
  <c r="AH262" i="17" s="1"/>
  <c r="AG262" i="17" s="1"/>
  <c r="AF262" i="17" s="1"/>
  <c r="AD262" i="17" s="1"/>
  <c r="AI32" i="17"/>
  <c r="AH32" i="17" s="1"/>
  <c r="AG32" i="17" s="1"/>
  <c r="AF32" i="17" s="1"/>
  <c r="AD32" i="17" s="1"/>
  <c r="AI264" i="17"/>
  <c r="AH264" i="17" s="1"/>
  <c r="AG264" i="17" s="1"/>
  <c r="AF264" i="17" s="1"/>
  <c r="AD264" i="17" s="1"/>
  <c r="AI305" i="17"/>
  <c r="AH305" i="17" s="1"/>
  <c r="AG305" i="17" s="1"/>
  <c r="AF305" i="17" s="1"/>
  <c r="AD305" i="17" s="1"/>
  <c r="AI85" i="17"/>
  <c r="AH85" i="17" s="1"/>
  <c r="AG85" i="17" s="1"/>
  <c r="AF85" i="17" s="1"/>
  <c r="AD85" i="17" s="1"/>
  <c r="AI207" i="17"/>
  <c r="AH207" i="17" s="1"/>
  <c r="AG207" i="17" s="1"/>
  <c r="AF207" i="17" s="1"/>
  <c r="AD207" i="17" s="1"/>
  <c r="AI74" i="17"/>
  <c r="AH74" i="17" s="1"/>
  <c r="AG74" i="17" s="1"/>
  <c r="AF74" i="17" s="1"/>
  <c r="AD74" i="17" s="1"/>
  <c r="AI206" i="17"/>
  <c r="AH206" i="17" s="1"/>
  <c r="AG206" i="17" s="1"/>
  <c r="AF206" i="17" s="1"/>
  <c r="AD206" i="17" s="1"/>
  <c r="AI80" i="17"/>
  <c r="AH80" i="17" s="1"/>
  <c r="AG80" i="17" s="1"/>
  <c r="AF80" i="17" s="1"/>
  <c r="AD80" i="17" s="1"/>
  <c r="AI202" i="17"/>
  <c r="AH202" i="17" s="1"/>
  <c r="AG202" i="17" s="1"/>
  <c r="AF202" i="17" s="1"/>
  <c r="AD202" i="17" s="1"/>
  <c r="AI254" i="17"/>
  <c r="AH254" i="17" s="1"/>
  <c r="AG254" i="17" s="1"/>
  <c r="AF254" i="17" s="1"/>
  <c r="AD254" i="17" s="1"/>
  <c r="AI69" i="17"/>
  <c r="AH69" i="17" s="1"/>
  <c r="AG69" i="17" s="1"/>
  <c r="AF69" i="17" s="1"/>
  <c r="AD69" i="17" s="1"/>
  <c r="AI120" i="17"/>
  <c r="AH120" i="17" s="1"/>
  <c r="AG120" i="17" s="1"/>
  <c r="AF120" i="17" s="1"/>
  <c r="AD120" i="17" s="1"/>
  <c r="AA120" i="17" s="1"/>
  <c r="Z120" i="17" s="1"/>
  <c r="Y120" i="17" s="1"/>
  <c r="AI107" i="17"/>
  <c r="AH107" i="17" s="1"/>
  <c r="AG107" i="17" s="1"/>
  <c r="AF107" i="17" s="1"/>
  <c r="AD107" i="17" s="1"/>
  <c r="AI65" i="17"/>
  <c r="AH65" i="17" s="1"/>
  <c r="AG65" i="17" s="1"/>
  <c r="AF65" i="17" s="1"/>
  <c r="AD65" i="17" s="1"/>
  <c r="AI195" i="17"/>
  <c r="AH195" i="17" s="1"/>
  <c r="AG195" i="17" s="1"/>
  <c r="AF195" i="17" s="1"/>
  <c r="AD195" i="17" s="1"/>
  <c r="AI365" i="17"/>
  <c r="AH365" i="17" s="1"/>
  <c r="AG365" i="17" s="1"/>
  <c r="AF365" i="17" s="1"/>
  <c r="AD365" i="17" s="1"/>
  <c r="AI311" i="17"/>
  <c r="AH311" i="17" s="1"/>
  <c r="AG311" i="17" s="1"/>
  <c r="AF311" i="17" s="1"/>
  <c r="AD311" i="17" s="1"/>
  <c r="AA311" i="17" s="1"/>
  <c r="Z311" i="17" s="1"/>
  <c r="Y311" i="17" s="1"/>
  <c r="AI301" i="17"/>
  <c r="AH301" i="17" s="1"/>
  <c r="AG301" i="17" s="1"/>
  <c r="AF301" i="17" s="1"/>
  <c r="AD301" i="17" s="1"/>
  <c r="AI227" i="17"/>
  <c r="AH227" i="17" s="1"/>
  <c r="AG227" i="17" s="1"/>
  <c r="AF227" i="17" s="1"/>
  <c r="AD227" i="17" s="1"/>
  <c r="AI310" i="17"/>
  <c r="AH310" i="17" s="1"/>
  <c r="AG310" i="17" s="1"/>
  <c r="AF310" i="17" s="1"/>
  <c r="AD310" i="17" s="1"/>
  <c r="AI72" i="17"/>
  <c r="AH72" i="17" s="1"/>
  <c r="AG72" i="17" s="1"/>
  <c r="AF72" i="17" s="1"/>
  <c r="AD72" i="17" s="1"/>
  <c r="AI357" i="17"/>
  <c r="AH357" i="17" s="1"/>
  <c r="AG357" i="17" s="1"/>
  <c r="AF357" i="17" s="1"/>
  <c r="AD357" i="17" s="1"/>
  <c r="AI223" i="17"/>
  <c r="AH223" i="17" s="1"/>
  <c r="AG223" i="17" s="1"/>
  <c r="AF223" i="17" s="1"/>
  <c r="AD223" i="17" s="1"/>
  <c r="AI364" i="17"/>
  <c r="AH364" i="17" s="1"/>
  <c r="AG364" i="17" s="1"/>
  <c r="AF364" i="17" s="1"/>
  <c r="AD364" i="17" s="1"/>
  <c r="AI266" i="17"/>
  <c r="AH266" i="17" s="1"/>
  <c r="AG266" i="17" s="1"/>
  <c r="AF266" i="17" s="1"/>
  <c r="AD266" i="17" s="1"/>
  <c r="AI294" i="17"/>
  <c r="AH294" i="17" s="1"/>
  <c r="AG294" i="17" s="1"/>
  <c r="AF294" i="17" s="1"/>
  <c r="AD294" i="17" s="1"/>
  <c r="AI73" i="17"/>
  <c r="AH73" i="17" s="1"/>
  <c r="AG73" i="17" s="1"/>
  <c r="AF73" i="17" s="1"/>
  <c r="AD73" i="17" s="1"/>
  <c r="AI158" i="17"/>
  <c r="AH158" i="17" s="1"/>
  <c r="AG158" i="17" s="1"/>
  <c r="AF158" i="17" s="1"/>
  <c r="AD158" i="17" s="1"/>
  <c r="AA158" i="17" s="1"/>
  <c r="Z158" i="17" s="1"/>
  <c r="Y158" i="17" s="1"/>
  <c r="AI39" i="17"/>
  <c r="AH39" i="17" s="1"/>
  <c r="AG39" i="17" s="1"/>
  <c r="AF39" i="17" s="1"/>
  <c r="AD39" i="17" s="1"/>
  <c r="AI87" i="17"/>
  <c r="AH87" i="17" s="1"/>
  <c r="AG87" i="17" s="1"/>
  <c r="AF87" i="17" s="1"/>
  <c r="AD87" i="17" s="1"/>
  <c r="AA87" i="17" s="1"/>
  <c r="Z87" i="17" s="1"/>
  <c r="Y87" i="17" s="1"/>
  <c r="AI43" i="17"/>
  <c r="AH43" i="17" s="1"/>
  <c r="AG43" i="17" s="1"/>
  <c r="AF43" i="17" s="1"/>
  <c r="AD43" i="17" s="1"/>
  <c r="AI163" i="17"/>
  <c r="AH163" i="17" s="1"/>
  <c r="AG163" i="17" s="1"/>
  <c r="AF163" i="17" s="1"/>
  <c r="AD163" i="17" s="1"/>
  <c r="AA163" i="17" s="1"/>
  <c r="Z163" i="17" s="1"/>
  <c r="Y163" i="17" s="1"/>
  <c r="AI211" i="17"/>
  <c r="AH211" i="17" s="1"/>
  <c r="AG211" i="17" s="1"/>
  <c r="AF211" i="17" s="1"/>
  <c r="AD211" i="17" s="1"/>
  <c r="AI38" i="17"/>
  <c r="AH38" i="17" s="1"/>
  <c r="AG38" i="17" s="1"/>
  <c r="AF38" i="17" s="1"/>
  <c r="AD38" i="17" s="1"/>
  <c r="AA38" i="17" s="1"/>
  <c r="Z38" i="17" s="1"/>
  <c r="Y38" i="17" s="1"/>
  <c r="AI110" i="17"/>
  <c r="AH110" i="17" s="1"/>
  <c r="AG110" i="17" s="1"/>
  <c r="AF110" i="17" s="1"/>
  <c r="AD110" i="17" s="1"/>
  <c r="AA110" i="17" s="1"/>
  <c r="Z110" i="17" s="1"/>
  <c r="Y110" i="17" s="1"/>
  <c r="AI61" i="17"/>
  <c r="AH61" i="17" s="1"/>
  <c r="AG61" i="17" s="1"/>
  <c r="AF61" i="17" s="1"/>
  <c r="AD61" i="17" s="1"/>
  <c r="AA61" i="17" s="1"/>
  <c r="Z61" i="17" s="1"/>
  <c r="Y61" i="17" s="1"/>
  <c r="AI40" i="17"/>
  <c r="AH40" i="17" s="1"/>
  <c r="AG40" i="17" s="1"/>
  <c r="AF40" i="17" s="1"/>
  <c r="AD40" i="17" s="1"/>
  <c r="AI159" i="17"/>
  <c r="AH159" i="17" s="1"/>
  <c r="AG159" i="17" s="1"/>
  <c r="AF159" i="17" s="1"/>
  <c r="AD159" i="17" s="1"/>
  <c r="AI323" i="17"/>
  <c r="AH323" i="17" s="1"/>
  <c r="AG323" i="17" s="1"/>
  <c r="AF323" i="17" s="1"/>
  <c r="AD323" i="17" s="1"/>
  <c r="AA323" i="17" s="1"/>
  <c r="Z323" i="17" s="1"/>
  <c r="Y323" i="17" s="1"/>
  <c r="AI166" i="17"/>
  <c r="AH166" i="17" s="1"/>
  <c r="AG166" i="17" s="1"/>
  <c r="AF166" i="17" s="1"/>
  <c r="AD166" i="17" s="1"/>
  <c r="AA166" i="17" s="1"/>
  <c r="AI300" i="17"/>
  <c r="AH300" i="17" s="1"/>
  <c r="AG300" i="17" s="1"/>
  <c r="AF300" i="17" s="1"/>
  <c r="AD300" i="17" s="1"/>
  <c r="AA300" i="17" s="1"/>
  <c r="Z300" i="17" s="1"/>
  <c r="Y300" i="17" s="1"/>
  <c r="AI370" i="17"/>
  <c r="AH370" i="17" s="1"/>
  <c r="AG370" i="17" s="1"/>
  <c r="AF370" i="17" s="1"/>
  <c r="AD370" i="17" s="1"/>
  <c r="AI171" i="17"/>
  <c r="AH171" i="17" s="1"/>
  <c r="AG171" i="17" s="1"/>
  <c r="AF171" i="17" s="1"/>
  <c r="AD171" i="17" s="1"/>
  <c r="AI271" i="17"/>
  <c r="AH271" i="17" s="1"/>
  <c r="AG271" i="17" s="1"/>
  <c r="AF271" i="17" s="1"/>
  <c r="AD271" i="17" s="1"/>
  <c r="AA271" i="17" s="1"/>
  <c r="Z271" i="17" s="1"/>
  <c r="Y271" i="17" s="1"/>
  <c r="AI217" i="17"/>
  <c r="AH217" i="17" s="1"/>
  <c r="AG217" i="17" s="1"/>
  <c r="AF217" i="17" s="1"/>
  <c r="AD217" i="17" s="1"/>
  <c r="AC326" i="22"/>
  <c r="AC225" i="22"/>
  <c r="AC353" i="22"/>
  <c r="AC253" i="22"/>
  <c r="AC272" i="22"/>
  <c r="AC174" i="22"/>
  <c r="AC345" i="22"/>
  <c r="AC348" i="22"/>
  <c r="AC179" i="22"/>
  <c r="AC252" i="22"/>
  <c r="AC197" i="22"/>
  <c r="AC366" i="22"/>
  <c r="AC372" i="22"/>
  <c r="AC193" i="22"/>
  <c r="AC233" i="22"/>
  <c r="AC313" i="22"/>
  <c r="AC309" i="22"/>
  <c r="AC239" i="22"/>
  <c r="AC140" i="22"/>
  <c r="AC135" i="22"/>
  <c r="AC266" i="22"/>
  <c r="AC136" i="22"/>
  <c r="AC240" i="22"/>
  <c r="AC232" i="22"/>
  <c r="AC184" i="22"/>
  <c r="AC332" i="22"/>
  <c r="AC312" i="22"/>
  <c r="AC181" i="22"/>
  <c r="AC342" i="22"/>
  <c r="AC180" i="22"/>
  <c r="AC235" i="22"/>
  <c r="AC274" i="22"/>
  <c r="AC231" i="22"/>
  <c r="AC301" i="22"/>
  <c r="AC361" i="22"/>
  <c r="AC377" i="22"/>
  <c r="AC163" i="22"/>
  <c r="AC147" i="22"/>
  <c r="AC210" i="22"/>
  <c r="AC331" i="22"/>
  <c r="AC183" i="22"/>
  <c r="AC192" i="22"/>
  <c r="AC230" i="22"/>
  <c r="AC176" i="22"/>
  <c r="AC189" i="22"/>
  <c r="AC302" i="22"/>
  <c r="AC338" i="22"/>
  <c r="AC316" i="22"/>
  <c r="AC148" i="22"/>
  <c r="AC220" i="22"/>
  <c r="AC293" i="22"/>
  <c r="AC318" i="22"/>
  <c r="AC142" i="22"/>
  <c r="AC238" i="22"/>
  <c r="AC255" i="22"/>
  <c r="AC173" i="22"/>
  <c r="AC311" i="22"/>
  <c r="AC153" i="22"/>
  <c r="AC154" i="22"/>
  <c r="AC243" i="22"/>
  <c r="AC336" i="22"/>
  <c r="AC334" i="22"/>
  <c r="AC201" i="22"/>
  <c r="AC351" i="22"/>
  <c r="AC370" i="22"/>
  <c r="AC285" i="22"/>
  <c r="AC314" i="22"/>
  <c r="AC143" i="22"/>
  <c r="AC324" i="22"/>
  <c r="AC228" i="22"/>
  <c r="AC152" i="22"/>
  <c r="AC294" i="22"/>
  <c r="AC139" i="22"/>
  <c r="AC175" i="22"/>
  <c r="AC367" i="22"/>
  <c r="AC202" i="22"/>
  <c r="AC265" i="22"/>
  <c r="AC217" i="22"/>
  <c r="AC310" i="22"/>
  <c r="AC144" i="22"/>
  <c r="AC286" i="22"/>
  <c r="AC288" i="22"/>
  <c r="AC149" i="22"/>
  <c r="AC304" i="22"/>
  <c r="AC295" i="22"/>
  <c r="AC141" i="22"/>
  <c r="AC287" i="22"/>
  <c r="AC330" i="22"/>
  <c r="AC306" i="22"/>
  <c r="AC282" i="22"/>
  <c r="AC371" i="22"/>
  <c r="AC375" i="22"/>
  <c r="AC209" i="22"/>
  <c r="AC206" i="22"/>
  <c r="AC216" i="22"/>
  <c r="AC320" i="22"/>
  <c r="AC226" i="22"/>
  <c r="AC162" i="22"/>
  <c r="AC321" i="22"/>
  <c r="AC188" i="22"/>
  <c r="AC199" i="22"/>
  <c r="AC185" i="22"/>
  <c r="AC161" i="22"/>
  <c r="AC300" i="22"/>
  <c r="AC249" i="22"/>
  <c r="AC269" i="22"/>
  <c r="AC259" i="22"/>
  <c r="AC186" i="22"/>
  <c r="AC299" i="22"/>
  <c r="AC378" i="22"/>
  <c r="AC343" i="22"/>
  <c r="AC194" i="22"/>
  <c r="AC292" i="22"/>
  <c r="AC260" i="22"/>
  <c r="AC358" i="22"/>
  <c r="AC325" i="22"/>
  <c r="AC356" i="22"/>
  <c r="AC151" i="22"/>
  <c r="AC211" i="22"/>
  <c r="AC165" i="22"/>
  <c r="AC270" i="22"/>
  <c r="AC341" i="22"/>
  <c r="AC219" i="22"/>
  <c r="AC267" i="22"/>
  <c r="AC242" i="22"/>
  <c r="AC305" i="22"/>
  <c r="AC218" i="22"/>
  <c r="AC319" i="22"/>
  <c r="AC166" i="22"/>
  <c r="AC221" i="22"/>
  <c r="AC248" i="22"/>
  <c r="AC196" i="22"/>
  <c r="AC145" i="22"/>
  <c r="AC257" i="22"/>
  <c r="AC241" i="22"/>
  <c r="AC205" i="22"/>
  <c r="AC317" i="22"/>
  <c r="AC268" i="22"/>
  <c r="AC279" i="22"/>
  <c r="AC335" i="22"/>
  <c r="AC187" i="22"/>
  <c r="AC379" i="22"/>
  <c r="AC349" i="22"/>
  <c r="AC261" i="22"/>
  <c r="AC290" i="22"/>
  <c r="AC251" i="22"/>
  <c r="AC168" i="22"/>
  <c r="AC222" i="22"/>
  <c r="AC333" i="22"/>
  <c r="AC204" i="22"/>
  <c r="AC360" i="22"/>
  <c r="AC190" i="22"/>
  <c r="AC203" i="22"/>
  <c r="AC250" i="22"/>
  <c r="AC355" i="22"/>
  <c r="AC170" i="22"/>
  <c r="AC303" i="22"/>
  <c r="AC323" i="22"/>
  <c r="AC247" i="22"/>
  <c r="AC278" i="22"/>
  <c r="AC373" i="22"/>
  <c r="AC328" i="22"/>
  <c r="AC297" i="22"/>
  <c r="AC215" i="22"/>
  <c r="AC182" i="22"/>
  <c r="AC283" i="22"/>
  <c r="AC298" i="22"/>
  <c r="AC281" i="22"/>
  <c r="AC276" i="22"/>
  <c r="AC322" i="22"/>
  <c r="AC207" i="22"/>
  <c r="AC296" i="22"/>
  <c r="AC357" i="22"/>
  <c r="AC376" i="22"/>
  <c r="AC156" i="22"/>
  <c r="AC244" i="22"/>
  <c r="AC160" i="22"/>
  <c r="AC236" i="22"/>
  <c r="AC258" i="22"/>
  <c r="AC359" i="22"/>
  <c r="AC212" i="22"/>
  <c r="AC354" i="22"/>
  <c r="AC227" i="22"/>
  <c r="AC178" i="22"/>
  <c r="AC339" i="22"/>
  <c r="AC237" i="22"/>
  <c r="AC327" i="22"/>
  <c r="AC347" i="22"/>
  <c r="AC263" i="22"/>
  <c r="AC346" i="22"/>
  <c r="AC171" i="22"/>
  <c r="AC262" i="22"/>
  <c r="AC315" i="22"/>
  <c r="AC289" i="22"/>
  <c r="AC146" i="22"/>
  <c r="AC214" i="22"/>
  <c r="AC234" i="22"/>
  <c r="AC364" i="22"/>
  <c r="AC350" i="22"/>
  <c r="AC308" i="22"/>
  <c r="AC167" i="22"/>
  <c r="AC369" i="22"/>
  <c r="AC380" i="22"/>
  <c r="AC365" i="22"/>
  <c r="AC138" i="22"/>
  <c r="AC363" i="22"/>
  <c r="AC198" i="22"/>
  <c r="AC307" i="22"/>
  <c r="AC352" i="22"/>
  <c r="AC254" i="22"/>
  <c r="AC246" i="22"/>
  <c r="AC164" i="22"/>
  <c r="AC271" i="22"/>
  <c r="AC150" i="22"/>
  <c r="AC224" i="22"/>
  <c r="AC362" i="22"/>
  <c r="AC280" i="22"/>
  <c r="AC374" i="22"/>
  <c r="AC158" i="22"/>
  <c r="AC223" i="22"/>
  <c r="AC208" i="22"/>
  <c r="AC340" i="22"/>
  <c r="AC137" i="22"/>
  <c r="AC264" i="22"/>
  <c r="AC159" i="22"/>
  <c r="AC245" i="22"/>
  <c r="AC213" i="22"/>
  <c r="AC157" i="22"/>
  <c r="AC256" i="22"/>
  <c r="AC344" i="22"/>
  <c r="AC275" i="22"/>
  <c r="AC172" i="22"/>
  <c r="AC273" i="22"/>
  <c r="AC329" i="22"/>
  <c r="AC229" i="22"/>
  <c r="AC195" i="22"/>
  <c r="AC337" i="22"/>
  <c r="AC284" i="22"/>
  <c r="AC155" i="22"/>
  <c r="AC169" i="22"/>
  <c r="AC191" i="22"/>
  <c r="AC177" i="22"/>
  <c r="AC368" i="22"/>
  <c r="AC277" i="22"/>
  <c r="AC200" i="22"/>
  <c r="Q250" i="18"/>
  <c r="Q332" i="18"/>
  <c r="Q325" i="18"/>
  <c r="Q245" i="18"/>
  <c r="Q105" i="18"/>
  <c r="Q232" i="18"/>
  <c r="Q184" i="18"/>
  <c r="Q370" i="18"/>
  <c r="Q231" i="18"/>
  <c r="Q253" i="18"/>
  <c r="Q165" i="18"/>
  <c r="O52" i="22"/>
  <c r="O191" i="22"/>
  <c r="O358" i="22"/>
  <c r="O110" i="22"/>
  <c r="O220" i="22"/>
  <c r="O339" i="22"/>
  <c r="O90" i="22"/>
  <c r="O241" i="22"/>
  <c r="AG39" i="7" s="1"/>
  <c r="O350" i="22"/>
  <c r="O142" i="22"/>
  <c r="O252" i="22"/>
  <c r="O364" i="22"/>
  <c r="O86" i="22"/>
  <c r="O234" i="22"/>
  <c r="O348" i="22"/>
  <c r="O103" i="22"/>
  <c r="O268" i="22"/>
  <c r="O342" i="22"/>
  <c r="O116" i="22"/>
  <c r="O246" i="22"/>
  <c r="O356" i="22"/>
  <c r="O102" i="22"/>
  <c r="O283" i="22"/>
  <c r="O369" i="22"/>
  <c r="O117" i="22"/>
  <c r="O271" i="22"/>
  <c r="O32" i="22"/>
  <c r="O140" i="22"/>
  <c r="O294" i="22"/>
  <c r="AM13" i="7"/>
  <c r="AS10" i="7" s="1"/>
  <c r="O145" i="22"/>
  <c r="O324" i="22"/>
  <c r="O60" i="22"/>
  <c r="AG33" i="7" s="1"/>
  <c r="O203" i="22"/>
  <c r="O269" i="22"/>
  <c r="O66" i="22"/>
  <c r="O218" i="22"/>
  <c r="O331" i="22"/>
  <c r="O136" i="22"/>
  <c r="O254" i="22"/>
  <c r="O359" i="22"/>
  <c r="O131" i="22"/>
  <c r="O224" i="22"/>
  <c r="O55" i="22"/>
  <c r="O183" i="22"/>
  <c r="O244" i="22"/>
  <c r="O106" i="22"/>
  <c r="O18" i="22"/>
  <c r="O307" i="22"/>
  <c r="O121" i="22"/>
  <c r="O49" i="22"/>
  <c r="O217" i="22"/>
  <c r="O113" i="22"/>
  <c r="O64" i="22"/>
  <c r="O230" i="22"/>
  <c r="O166" i="22"/>
  <c r="O17" i="22"/>
  <c r="O259" i="22"/>
  <c r="O240" i="22"/>
  <c r="O108" i="22"/>
  <c r="O346" i="22"/>
  <c r="O284" i="22"/>
  <c r="O164" i="22"/>
  <c r="O59" i="22"/>
  <c r="O362" i="22"/>
  <c r="O231" i="22"/>
  <c r="O95" i="22"/>
  <c r="O347" i="22"/>
  <c r="O273" i="22"/>
  <c r="O146" i="22"/>
  <c r="O33" i="22"/>
  <c r="O257" i="22"/>
  <c r="O184" i="22"/>
  <c r="O71" i="22"/>
  <c r="O278" i="22"/>
  <c r="O179" i="22"/>
  <c r="O92" i="22"/>
  <c r="O292" i="22"/>
  <c r="O275" i="22"/>
  <c r="O127" i="22"/>
  <c r="O31" i="22"/>
  <c r="O310" i="22"/>
  <c r="O180" i="22"/>
  <c r="AG37" i="7" s="1"/>
  <c r="O35" i="22"/>
  <c r="O253" i="22"/>
  <c r="O133" i="22"/>
  <c r="O48" i="22"/>
  <c r="O222" i="22"/>
  <c r="O156" i="22"/>
  <c r="O56" i="22"/>
  <c r="O256" i="22"/>
  <c r="O155" i="22"/>
  <c r="O75" i="22"/>
  <c r="O267" i="22"/>
  <c r="O177" i="22"/>
  <c r="O69" i="22"/>
  <c r="O290" i="22"/>
  <c r="O192" i="22"/>
  <c r="O98" i="22"/>
  <c r="O323" i="22"/>
  <c r="O205" i="22"/>
  <c r="O132" i="22"/>
  <c r="O357" i="22"/>
  <c r="O250" i="22"/>
  <c r="O182" i="22"/>
  <c r="O40" i="22"/>
  <c r="O373" i="22"/>
  <c r="O243" i="22"/>
  <c r="O286" i="22"/>
  <c r="O378" i="22"/>
  <c r="O158" i="22"/>
  <c r="O225" i="22"/>
  <c r="O22" i="22"/>
  <c r="O199" i="22"/>
  <c r="O375" i="22"/>
  <c r="O94" i="22"/>
  <c r="O232" i="22"/>
  <c r="O101" i="22"/>
  <c r="O235" i="22"/>
  <c r="O345" i="22"/>
  <c r="O187" i="22"/>
  <c r="O313" i="22"/>
  <c r="O38" i="22"/>
  <c r="O178" i="22"/>
  <c r="O19" i="22"/>
  <c r="O82" i="22"/>
  <c r="O321" i="22"/>
  <c r="O62" i="22"/>
  <c r="O298" i="22"/>
  <c r="O249" i="22"/>
  <c r="O150" i="22"/>
  <c r="O333" i="22"/>
  <c r="AG42" i="7" s="1"/>
  <c r="O304" i="22"/>
  <c r="O141" i="22"/>
  <c r="O93" i="22"/>
  <c r="O255" i="22"/>
  <c r="O355" i="22"/>
  <c r="O89" i="22"/>
  <c r="O285" i="22"/>
  <c r="O334" i="22"/>
  <c r="O143" i="22"/>
  <c r="O306" i="22"/>
  <c r="O27" i="22"/>
  <c r="O135" i="22"/>
  <c r="O300" i="22"/>
  <c r="O380" i="22"/>
  <c r="O130" i="22"/>
  <c r="O305" i="22"/>
  <c r="O44" i="22"/>
  <c r="O163" i="22"/>
  <c r="O316" i="22"/>
  <c r="O30" i="22"/>
  <c r="O134" i="22"/>
  <c r="O314" i="22"/>
  <c r="O42" i="22"/>
  <c r="O162" i="22"/>
  <c r="O226" i="22"/>
  <c r="O29" i="22"/>
  <c r="AG32" i="7" s="1"/>
  <c r="O124" i="22"/>
  <c r="O239" i="22"/>
  <c r="O51" i="22"/>
  <c r="O201" i="22"/>
  <c r="O233" i="22"/>
  <c r="O47" i="22"/>
  <c r="O165" i="22"/>
  <c r="O299" i="22"/>
  <c r="O80" i="22"/>
  <c r="O211" i="22"/>
  <c r="O351" i="22"/>
  <c r="O112" i="22"/>
  <c r="O277" i="22"/>
  <c r="O24" i="22"/>
  <c r="O118" i="22"/>
  <c r="O302" i="22"/>
  <c r="AG41" i="7" s="1"/>
  <c r="O361" i="22"/>
  <c r="O195" i="22"/>
  <c r="O303" i="22"/>
  <c r="O72" i="22"/>
  <c r="O186" i="22"/>
  <c r="O309" i="22"/>
  <c r="O167" i="22"/>
  <c r="O87" i="22"/>
  <c r="O308" i="22"/>
  <c r="O214" i="22"/>
  <c r="O115" i="22"/>
  <c r="O338" i="22"/>
  <c r="O202" i="22"/>
  <c r="O147" i="22"/>
  <c r="O370" i="22"/>
  <c r="O223" i="22"/>
  <c r="O137" i="22"/>
  <c r="O329" i="22"/>
  <c r="O297" i="22"/>
  <c r="O171" i="22"/>
  <c r="O65" i="22"/>
  <c r="O336" i="22"/>
  <c r="O238" i="22"/>
  <c r="O144" i="22"/>
  <c r="O46" i="22"/>
  <c r="O216" i="22"/>
  <c r="O153" i="22"/>
  <c r="O34" i="22"/>
  <c r="O274" i="22"/>
  <c r="O209" i="22"/>
  <c r="O138" i="22"/>
  <c r="O365" i="22"/>
  <c r="O266" i="22"/>
  <c r="O107" i="22"/>
  <c r="O340" i="22"/>
  <c r="O265" i="22"/>
  <c r="O128" i="22"/>
  <c r="O67" i="22"/>
  <c r="O320" i="22"/>
  <c r="O207" i="22"/>
  <c r="O37" i="22"/>
  <c r="O371" i="22"/>
  <c r="O237" i="22"/>
  <c r="O99" i="22"/>
  <c r="O337" i="22"/>
  <c r="O287" i="22"/>
  <c r="O173" i="22"/>
  <c r="O68" i="22"/>
  <c r="O276" i="22"/>
  <c r="O188" i="22"/>
  <c r="O97" i="22"/>
  <c r="O344" i="22"/>
  <c r="O215" i="22"/>
  <c r="O20" i="22"/>
  <c r="O193" i="22"/>
  <c r="O272" i="22"/>
  <c r="AG40" i="7" s="1"/>
  <c r="O28" i="22"/>
  <c r="O169" i="22"/>
  <c r="O332" i="22"/>
  <c r="O77" i="22"/>
  <c r="O263" i="22"/>
  <c r="O57" i="22"/>
  <c r="O210" i="22"/>
  <c r="AG38" i="7" s="1"/>
  <c r="O367" i="22"/>
  <c r="O228" i="22"/>
  <c r="O196" i="22"/>
  <c r="O96" i="22"/>
  <c r="O45" i="22"/>
  <c r="O349" i="22"/>
  <c r="O258" i="22"/>
  <c r="O161" i="22"/>
  <c r="O152" i="22"/>
  <c r="O53" i="22"/>
  <c r="O172" i="22"/>
  <c r="O366" i="22"/>
  <c r="O119" i="22"/>
  <c r="AG35" i="7" s="1"/>
  <c r="O213" i="22"/>
  <c r="O23" i="22"/>
  <c r="O279" i="22"/>
  <c r="O160" i="22"/>
  <c r="O61" i="22"/>
  <c r="O360" i="22"/>
  <c r="O198" i="22"/>
  <c r="O58" i="22"/>
  <c r="O343" i="22"/>
  <c r="O212" i="22"/>
  <c r="O85" i="22"/>
  <c r="O363" i="22"/>
  <c r="AG43" i="7" s="1"/>
  <c r="O236" i="22"/>
  <c r="O79" i="22"/>
  <c r="O341" i="22"/>
  <c r="O248" i="22"/>
  <c r="O111" i="22"/>
  <c r="O15" i="22"/>
  <c r="O318" i="22"/>
  <c r="O200" i="22"/>
  <c r="O81" i="22"/>
  <c r="O315" i="22"/>
  <c r="O264" i="22"/>
  <c r="O114" i="22"/>
  <c r="O41" i="22"/>
  <c r="O197" i="22"/>
  <c r="O325" i="22"/>
  <c r="O74" i="22"/>
  <c r="O242" i="22"/>
  <c r="O330" i="22"/>
  <c r="O157" i="22"/>
  <c r="O270" i="22"/>
  <c r="O100" i="22"/>
  <c r="O322" i="22"/>
  <c r="O16" i="22"/>
  <c r="O154" i="22"/>
  <c r="O326" i="22"/>
  <c r="O120" i="22"/>
  <c r="O281" i="22"/>
  <c r="O379" i="22"/>
  <c r="C41" i="19" s="1"/>
  <c r="O170" i="22"/>
  <c r="O327" i="22"/>
  <c r="O129" i="22"/>
  <c r="O229" i="22"/>
  <c r="O26" i="22"/>
  <c r="O168" i="22"/>
  <c r="O353" i="22"/>
  <c r="O159" i="22"/>
  <c r="O291" i="22"/>
  <c r="O206" i="22"/>
  <c r="O296" i="22"/>
  <c r="O208" i="22"/>
  <c r="O139" i="22"/>
  <c r="O126" i="22"/>
  <c r="O21" i="22"/>
  <c r="O280" i="22"/>
  <c r="O43" i="22"/>
  <c r="O311" i="22"/>
  <c r="O174" i="22"/>
  <c r="O282" i="22"/>
  <c r="O176" i="22"/>
  <c r="O190" i="22"/>
  <c r="O319" i="22"/>
  <c r="O122" i="22"/>
  <c r="O194" i="22"/>
  <c r="O354" i="22"/>
  <c r="O149" i="22"/>
  <c r="AG36" i="7" s="1"/>
  <c r="O251" i="22"/>
  <c r="O50" i="22"/>
  <c r="O204" i="22"/>
  <c r="O377" i="22"/>
  <c r="O312" i="22"/>
  <c r="O221" i="22"/>
  <c r="O105" i="22"/>
  <c r="O73" i="22"/>
  <c r="O372" i="22"/>
  <c r="O260" i="22"/>
  <c r="O262" i="22"/>
  <c r="O104" i="22"/>
  <c r="O84" i="22"/>
  <c r="O352" i="22"/>
  <c r="O295" i="22"/>
  <c r="O219" i="22"/>
  <c r="O36" i="22"/>
  <c r="O25" i="22"/>
  <c r="O368" i="22"/>
  <c r="O247" i="22"/>
  <c r="O125" i="22"/>
  <c r="O245" i="22"/>
  <c r="O189" i="22"/>
  <c r="O148" i="22"/>
  <c r="O301" i="22"/>
  <c r="O88" i="22"/>
  <c r="AG34" i="7" s="1"/>
  <c r="O39" i="22"/>
  <c r="O70" i="22"/>
  <c r="O288" i="22"/>
  <c r="O91" i="22"/>
  <c r="O175" i="22"/>
  <c r="O335" i="22"/>
  <c r="O109" i="22"/>
  <c r="O227" i="22"/>
  <c r="O328" i="22"/>
  <c r="O123" i="22"/>
  <c r="O317" i="22"/>
  <c r="O63" i="22"/>
  <c r="O293" i="22"/>
  <c r="O76" i="22"/>
  <c r="O376" i="22"/>
  <c r="O261" i="22"/>
  <c r="O181" i="22"/>
  <c r="O151" i="22"/>
  <c r="O78" i="22"/>
  <c r="O374" i="22"/>
  <c r="O289" i="22"/>
  <c r="O185" i="22"/>
  <c r="O83" i="22"/>
  <c r="O54" i="22"/>
  <c r="AC291" i="22"/>
  <c r="AC37" i="23"/>
  <c r="AC60" i="23"/>
  <c r="AC47" i="23"/>
  <c r="AC68" i="23"/>
  <c r="AC71" i="23"/>
  <c r="AC124" i="23"/>
  <c r="AC77" i="23"/>
  <c r="AC118" i="23"/>
  <c r="AC19" i="23"/>
  <c r="AC72" i="23"/>
  <c r="AC92" i="23"/>
  <c r="AC78" i="23"/>
  <c r="AC20" i="23"/>
  <c r="AC26" i="23"/>
  <c r="AC16" i="23"/>
  <c r="AC28" i="23"/>
  <c r="AC80" i="23"/>
  <c r="AC62" i="23"/>
  <c r="AC132" i="23"/>
  <c r="AC91" i="23"/>
  <c r="AC108" i="23"/>
  <c r="AC98" i="23"/>
  <c r="AC90" i="23"/>
  <c r="AC103" i="23"/>
  <c r="AC17" i="23"/>
  <c r="AC87" i="23"/>
  <c r="AC85" i="23"/>
  <c r="AC120" i="23"/>
  <c r="AC18" i="23"/>
  <c r="AC123" i="23"/>
  <c r="AC97" i="23"/>
  <c r="AC29" i="23"/>
  <c r="AC76" i="23"/>
  <c r="AC64" i="23"/>
  <c r="AC109" i="23"/>
  <c r="AC40" i="23"/>
  <c r="AC133" i="23"/>
  <c r="AC36" i="23"/>
  <c r="AC63" i="23"/>
  <c r="AC57" i="23"/>
  <c r="AC82" i="23"/>
  <c r="AC45" i="23"/>
  <c r="AC44" i="23"/>
  <c r="AC32" i="23"/>
  <c r="AC104" i="23"/>
  <c r="AC58" i="23"/>
  <c r="AC52" i="23"/>
  <c r="AC112" i="23"/>
  <c r="AC43" i="23"/>
  <c r="AC84" i="23"/>
  <c r="AC100" i="23"/>
  <c r="AC126" i="23"/>
  <c r="AC106" i="23"/>
  <c r="AC53" i="23"/>
  <c r="AC30" i="23"/>
  <c r="AC48" i="23"/>
  <c r="AC49" i="23"/>
  <c r="AC51" i="23"/>
  <c r="AC101" i="23"/>
  <c r="AC79" i="23"/>
  <c r="AC107" i="23"/>
  <c r="AC42" i="23"/>
  <c r="AC23" i="23"/>
  <c r="AC125" i="23"/>
  <c r="AC119" i="23"/>
  <c r="AC129" i="23"/>
  <c r="AC81" i="23"/>
  <c r="AC130" i="23"/>
  <c r="AC94" i="23"/>
  <c r="AC70" i="23"/>
  <c r="AC61" i="23"/>
  <c r="AC41" i="23"/>
  <c r="AC27" i="23"/>
  <c r="AC127" i="23"/>
  <c r="AC117" i="23"/>
  <c r="AC34" i="23"/>
  <c r="AC56" i="23"/>
  <c r="AC38" i="23"/>
  <c r="AC54" i="23"/>
  <c r="AC75" i="23"/>
  <c r="AC65" i="23"/>
  <c r="AC96" i="23"/>
  <c r="AC35" i="23"/>
  <c r="AC33" i="23"/>
  <c r="AC59" i="23"/>
  <c r="AC89" i="23"/>
  <c r="AC102" i="23"/>
  <c r="AC67" i="23"/>
  <c r="AC21" i="23"/>
  <c r="AC24" i="23"/>
  <c r="AC116" i="23"/>
  <c r="AC122" i="23"/>
  <c r="AC31" i="23"/>
  <c r="AC55" i="23"/>
  <c r="AC131" i="23"/>
  <c r="AC121" i="23"/>
  <c r="AC46" i="23"/>
  <c r="AC114" i="23"/>
  <c r="AC115" i="23"/>
  <c r="AC110" i="23"/>
  <c r="AC66" i="23"/>
  <c r="AC113" i="23"/>
  <c r="AC74" i="23"/>
  <c r="AC15" i="23"/>
  <c r="AC22" i="23"/>
  <c r="AC88" i="23"/>
  <c r="AC93" i="23"/>
  <c r="AC83" i="23"/>
  <c r="AC95" i="23"/>
  <c r="AC69" i="23"/>
  <c r="AC128" i="23"/>
  <c r="AC111" i="23"/>
  <c r="AC25" i="23"/>
  <c r="AC86" i="23"/>
  <c r="AC105" i="23"/>
  <c r="AC39" i="23"/>
  <c r="AC50" i="23"/>
  <c r="AC73" i="23"/>
  <c r="AC99" i="23"/>
  <c r="Q235" i="18"/>
  <c r="Q132" i="18"/>
  <c r="Q159" i="18"/>
  <c r="Q374" i="18"/>
  <c r="Q288" i="18"/>
  <c r="Q208" i="18"/>
  <c r="Q115" i="18"/>
  <c r="Q327" i="18"/>
  <c r="Q238" i="18"/>
  <c r="Q182" i="18"/>
  <c r="Q257" i="18"/>
  <c r="Q321" i="18"/>
  <c r="Q270" i="18"/>
  <c r="Q203" i="18"/>
  <c r="Q233" i="18"/>
  <c r="Q254" i="18"/>
  <c r="Q180" i="18"/>
  <c r="Q328" i="18"/>
  <c r="Q140" i="18"/>
  <c r="Q190" i="18"/>
  <c r="Q181" i="18"/>
  <c r="Q348" i="18"/>
  <c r="Q243" i="18"/>
  <c r="Q276" i="18"/>
  <c r="Q104" i="18"/>
  <c r="Q185" i="18"/>
  <c r="Q307" i="18"/>
  <c r="Q373" i="18"/>
  <c r="Q209" i="18"/>
  <c r="Q308" i="18"/>
  <c r="Q249" i="18"/>
  <c r="Q279" i="18"/>
  <c r="Q286" i="18"/>
  <c r="Q217" i="18"/>
  <c r="Q197" i="18"/>
  <c r="Q340" i="18"/>
  <c r="Q239" i="18"/>
  <c r="Q352" i="18"/>
  <c r="M63" i="19"/>
  <c r="H379" i="16"/>
  <c r="I379" i="16" s="1"/>
  <c r="Q170" i="18"/>
  <c r="Q333" i="18"/>
  <c r="Q287" i="18"/>
  <c r="Q198" i="18"/>
  <c r="Q121" i="18"/>
  <c r="Q166" i="18"/>
  <c r="Q282" i="18"/>
  <c r="Q344" i="18"/>
  <c r="Q123" i="18"/>
  <c r="Q347" i="18"/>
  <c r="Q379" i="18"/>
  <c r="Q171" i="18"/>
  <c r="Q311" i="18"/>
  <c r="H360" i="17"/>
  <c r="I360" i="17" s="1"/>
  <c r="Q106" i="18"/>
  <c r="Q262" i="18"/>
  <c r="Q168" i="18"/>
  <c r="Q126" i="18"/>
  <c r="Q112" i="18"/>
  <c r="Q342" i="18"/>
  <c r="Q368" i="18"/>
  <c r="Q247" i="18"/>
  <c r="Q138" i="18"/>
  <c r="Q136" i="18"/>
  <c r="Q349" i="18"/>
  <c r="Q275" i="18"/>
  <c r="Q320" i="18"/>
  <c r="Q285" i="18"/>
  <c r="Q266" i="18"/>
  <c r="Q125" i="18"/>
  <c r="Q186" i="18"/>
  <c r="Q146" i="18"/>
  <c r="Q167" i="18"/>
  <c r="Q355" i="18"/>
  <c r="Q298" i="18"/>
  <c r="Q227" i="18"/>
  <c r="Q122" i="18"/>
  <c r="Q360" i="18"/>
  <c r="Q202" i="18"/>
  <c r="Q293" i="18"/>
  <c r="Q326" i="18"/>
  <c r="Q234" i="18"/>
  <c r="Q219" i="18"/>
  <c r="Q160" i="18"/>
  <c r="Q297" i="18"/>
  <c r="Q267" i="18"/>
  <c r="Q134" i="18"/>
  <c r="Q377" i="18"/>
  <c r="Q324" i="18"/>
  <c r="Q305" i="18"/>
  <c r="Q158" i="18"/>
  <c r="Q108" i="18"/>
  <c r="Q313" i="18"/>
  <c r="Q152" i="18"/>
  <c r="Q345" i="18"/>
  <c r="Q139" i="18"/>
  <c r="Q283" i="18"/>
  <c r="Q142" i="18"/>
  <c r="Q133" i="18"/>
  <c r="Q268" i="18"/>
  <c r="Q343" i="18"/>
  <c r="Q290" i="18"/>
  <c r="Q175" i="18"/>
  <c r="Q367" i="18"/>
  <c r="Q319" i="18"/>
  <c r="Q150" i="18"/>
  <c r="Q161" i="18"/>
  <c r="Q318" i="18"/>
  <c r="Q281" i="18"/>
  <c r="Q278" i="18"/>
  <c r="Q346" i="18"/>
  <c r="Q302" i="18"/>
  <c r="Q216" i="18"/>
  <c r="Q336" i="18"/>
  <c r="Q154" i="18"/>
  <c r="Q218" i="18"/>
  <c r="Q376" i="18"/>
  <c r="Q357" i="18"/>
  <c r="Q147" i="18"/>
  <c r="Q226" i="18"/>
  <c r="Q351" i="18"/>
  <c r="Q236" i="18"/>
  <c r="Q334" i="18"/>
  <c r="Q214" i="18"/>
  <c r="Q261" i="18"/>
  <c r="Q215" i="18"/>
  <c r="Q173" i="18"/>
  <c r="Q224" i="18"/>
  <c r="Q361" i="18"/>
  <c r="Q272" i="18"/>
  <c r="Q248" i="18"/>
  <c r="Q144" i="18"/>
  <c r="Q258" i="18"/>
  <c r="Q212" i="18"/>
  <c r="Q153" i="18"/>
  <c r="Q366" i="18"/>
  <c r="Q135" i="18"/>
  <c r="Q315" i="18"/>
  <c r="Q201" i="18"/>
  <c r="Q277" i="18"/>
  <c r="Q178" i="18"/>
  <c r="Q110" i="18"/>
  <c r="Q316" i="18"/>
  <c r="Q341" i="18"/>
  <c r="Q27" i="18"/>
  <c r="Q69" i="18"/>
  <c r="Q64" i="18"/>
  <c r="Q63" i="18"/>
  <c r="Q71" i="18"/>
  <c r="Q29" i="18"/>
  <c r="Q66" i="18"/>
  <c r="Q76" i="18"/>
  <c r="Q87" i="18"/>
  <c r="Q91" i="18"/>
  <c r="Q16" i="18"/>
  <c r="Q78" i="18"/>
  <c r="Q19" i="18"/>
  <c r="Q35" i="18"/>
  <c r="Q56" i="18"/>
  <c r="Q65" i="18"/>
  <c r="Q83" i="18"/>
  <c r="Q50" i="18"/>
  <c r="Q51" i="18"/>
  <c r="Q43" i="18"/>
  <c r="Q26" i="18"/>
  <c r="Q94" i="18"/>
  <c r="Q60" i="18"/>
  <c r="Q88" i="18"/>
  <c r="Q28" i="18"/>
  <c r="Q102" i="18"/>
  <c r="Q18" i="18"/>
  <c r="Q82" i="18"/>
  <c r="Q103" i="18"/>
  <c r="Q53" i="18"/>
  <c r="Q85" i="18"/>
  <c r="Q46" i="18"/>
  <c r="Q31" i="18"/>
  <c r="Q57" i="18"/>
  <c r="Q75" i="18"/>
  <c r="Q38" i="18"/>
  <c r="Q48" i="18"/>
  <c r="Q52" i="18"/>
  <c r="Q30" i="18"/>
  <c r="Q25" i="18"/>
  <c r="Q49" i="18"/>
  <c r="Q59" i="18"/>
  <c r="Q74" i="18"/>
  <c r="Q45" i="18"/>
  <c r="Q192" i="18"/>
  <c r="Q130" i="18"/>
  <c r="Q109" i="18"/>
  <c r="Q296" i="18"/>
  <c r="Q259" i="18"/>
  <c r="Q221" i="18"/>
  <c r="Q143" i="18"/>
  <c r="Q265" i="18"/>
  <c r="Q335" i="18"/>
  <c r="Q353" i="18"/>
  <c r="Q194" i="18"/>
  <c r="Q260" i="18"/>
  <c r="Q124" i="18"/>
  <c r="Q323" i="18"/>
  <c r="Q119" i="18"/>
  <c r="Q369" i="18"/>
  <c r="Q116" i="18"/>
  <c r="Q222" i="18"/>
  <c r="Q317" i="18"/>
  <c r="Q300" i="18"/>
  <c r="Q331" i="18"/>
  <c r="Q107" i="18"/>
  <c r="Q129" i="18"/>
  <c r="Q241" i="18"/>
  <c r="Q240" i="18"/>
  <c r="Q177" i="18"/>
  <c r="Q280" i="18"/>
  <c r="Q356" i="18"/>
  <c r="Q163" i="18"/>
  <c r="Q187" i="18"/>
  <c r="Q271" i="18"/>
  <c r="Q127" i="18"/>
  <c r="Q274" i="18"/>
  <c r="Q375" i="18"/>
  <c r="Q157" i="18"/>
  <c r="Q174" i="18"/>
  <c r="Q338" i="18"/>
  <c r="Q322" i="18"/>
  <c r="Q237" i="18"/>
  <c r="AI136" i="17"/>
  <c r="AH136" i="17" s="1"/>
  <c r="AG136" i="17" s="1"/>
  <c r="AF136" i="17" s="1"/>
  <c r="AD136" i="17" s="1"/>
  <c r="AA136" i="17" s="1"/>
  <c r="Z136" i="17" s="1"/>
  <c r="Y136" i="17" s="1"/>
  <c r="AI319" i="17"/>
  <c r="AH319" i="17" s="1"/>
  <c r="AG319" i="17" s="1"/>
  <c r="AF319" i="17" s="1"/>
  <c r="AD319" i="17" s="1"/>
  <c r="AI93" i="17"/>
  <c r="AH93" i="17" s="1"/>
  <c r="AG93" i="17" s="1"/>
  <c r="AF93" i="17" s="1"/>
  <c r="AD93" i="17" s="1"/>
  <c r="AA93" i="17" s="1"/>
  <c r="Z93" i="17" s="1"/>
  <c r="Y93" i="17" s="1"/>
  <c r="AI132" i="17"/>
  <c r="AH132" i="17" s="1"/>
  <c r="AG132" i="17" s="1"/>
  <c r="AF132" i="17" s="1"/>
  <c r="AD132" i="17" s="1"/>
  <c r="AI188" i="17"/>
  <c r="AH188" i="17" s="1"/>
  <c r="AG188" i="17" s="1"/>
  <c r="AF188" i="17" s="1"/>
  <c r="AD188" i="17" s="1"/>
  <c r="AA188" i="17" s="1"/>
  <c r="Z188" i="17" s="1"/>
  <c r="Y188" i="17" s="1"/>
  <c r="AI121" i="17"/>
  <c r="AH121" i="17" s="1"/>
  <c r="AG121" i="17" s="1"/>
  <c r="AF121" i="17" s="1"/>
  <c r="AD121" i="17" s="1"/>
  <c r="AA121" i="17" s="1"/>
  <c r="Z121" i="17" s="1"/>
  <c r="Y121" i="17" s="1"/>
  <c r="AI260" i="17"/>
  <c r="AH260" i="17" s="1"/>
  <c r="AG260" i="17" s="1"/>
  <c r="AF260" i="17" s="1"/>
  <c r="AD260" i="17" s="1"/>
  <c r="AA260" i="17" s="1"/>
  <c r="Z260" i="17" s="1"/>
  <c r="Y260" i="17" s="1"/>
  <c r="AI313" i="17"/>
  <c r="AH313" i="17" s="1"/>
  <c r="AG313" i="17" s="1"/>
  <c r="AF313" i="17" s="1"/>
  <c r="AD313" i="17" s="1"/>
  <c r="AI352" i="17"/>
  <c r="AH352" i="17" s="1"/>
  <c r="AG352" i="17" s="1"/>
  <c r="AF352" i="17" s="1"/>
  <c r="AD352" i="17" s="1"/>
  <c r="AI63" i="17"/>
  <c r="AH63" i="17" s="1"/>
  <c r="AG63" i="17" s="1"/>
  <c r="AF63" i="17" s="1"/>
  <c r="AD63" i="17" s="1"/>
  <c r="AI139" i="17"/>
  <c r="AH139" i="17" s="1"/>
  <c r="AG139" i="17" s="1"/>
  <c r="AF139" i="17" s="1"/>
  <c r="AD139" i="17" s="1"/>
  <c r="AA139" i="17" s="1"/>
  <c r="Z139" i="17" s="1"/>
  <c r="Y139" i="17" s="1"/>
  <c r="AI332" i="17"/>
  <c r="AH332" i="17" s="1"/>
  <c r="AG332" i="17" s="1"/>
  <c r="AF332" i="17" s="1"/>
  <c r="AD332" i="17" s="1"/>
  <c r="AI173" i="17"/>
  <c r="AH173" i="17" s="1"/>
  <c r="AG173" i="17" s="1"/>
  <c r="AF173" i="17" s="1"/>
  <c r="AD173" i="17" s="1"/>
  <c r="AI308" i="17"/>
  <c r="AH308" i="17" s="1"/>
  <c r="AG308" i="17" s="1"/>
  <c r="AF308" i="17" s="1"/>
  <c r="AD308" i="17" s="1"/>
  <c r="AI62" i="17"/>
  <c r="AH62" i="17" s="1"/>
  <c r="AG62" i="17" s="1"/>
  <c r="AF62" i="17" s="1"/>
  <c r="AD62" i="17" s="1"/>
  <c r="AI125" i="17"/>
  <c r="AH125" i="17" s="1"/>
  <c r="AG125" i="17" s="1"/>
  <c r="AF125" i="17" s="1"/>
  <c r="AD125" i="17" s="1"/>
  <c r="W16" i="7"/>
  <c r="Q337" i="18"/>
  <c r="BV15" i="7"/>
  <c r="BW11" i="7"/>
  <c r="BX11" i="7"/>
  <c r="Q179" i="18"/>
  <c r="AA210" i="16"/>
  <c r="Z210" i="16" s="1"/>
  <c r="Y210" i="16" s="1"/>
  <c r="H251" i="17"/>
  <c r="J251" i="17" s="1"/>
  <c r="J32" i="16"/>
  <c r="H300" i="17"/>
  <c r="J300" i="17" s="1"/>
  <c r="J350" i="16"/>
  <c r="H320" i="16"/>
  <c r="J320" i="16" s="1"/>
  <c r="H210" i="16"/>
  <c r="J210" i="16" s="1"/>
  <c r="Q362" i="18"/>
  <c r="Q244" i="18"/>
  <c r="Q294" i="18"/>
  <c r="Q169" i="18"/>
  <c r="Q196" i="18"/>
  <c r="Q148" i="18"/>
  <c r="Q312" i="18"/>
  <c r="Q372" i="18"/>
  <c r="Q164" i="18"/>
  <c r="Q330" i="18"/>
  <c r="Q365" i="18"/>
  <c r="Q189" i="18"/>
  <c r="Q128" i="18"/>
  <c r="Q223" i="18"/>
  <c r="Q284" i="18"/>
  <c r="Q256" i="18"/>
  <c r="Q114" i="18"/>
  <c r="Q306" i="18"/>
  <c r="Q156" i="18"/>
  <c r="Q228" i="18"/>
  <c r="Q252" i="18"/>
  <c r="Q363" i="18"/>
  <c r="Q303" i="18"/>
  <c r="Q310" i="18"/>
  <c r="Q354" i="18"/>
  <c r="Q206" i="18"/>
  <c r="Q246" i="18"/>
  <c r="Q120" i="18"/>
  <c r="Q378" i="18"/>
  <c r="J149" i="16"/>
  <c r="I149" i="16"/>
  <c r="I336" i="16"/>
  <c r="J336" i="16"/>
  <c r="T15" i="17"/>
  <c r="G78" i="17"/>
  <c r="BZ78" i="6" s="1"/>
  <c r="G222" i="17"/>
  <c r="BZ222" i="6" s="1"/>
  <c r="D59" i="7"/>
  <c r="G82" i="17"/>
  <c r="BZ82" i="6" s="1"/>
  <c r="H323" i="17"/>
  <c r="AD383" i="15"/>
  <c r="AD382" i="15"/>
  <c r="AD381" i="15"/>
  <c r="J119" i="16"/>
  <c r="I119" i="16"/>
  <c r="G136" i="16"/>
  <c r="BY136" i="6" s="1"/>
  <c r="H136" i="16"/>
  <c r="AA136" i="16"/>
  <c r="Z136" i="16" s="1"/>
  <c r="Y136" i="16" s="1"/>
  <c r="J135" i="16"/>
  <c r="I135" i="16"/>
  <c r="AA320" i="16"/>
  <c r="Z320" i="16" s="1"/>
  <c r="Y320" i="16" s="1"/>
  <c r="G320" i="16"/>
  <c r="BY320" i="6" s="1"/>
  <c r="I77" i="15"/>
  <c r="H77" i="16" s="1"/>
  <c r="J77" i="15"/>
  <c r="AE49" i="18"/>
  <c r="AE66" i="18"/>
  <c r="AE63" i="18"/>
  <c r="AE55" i="18"/>
  <c r="AE41" i="18"/>
  <c r="AE84" i="18"/>
  <c r="AE86" i="18"/>
  <c r="AE58" i="18"/>
  <c r="AE62" i="18"/>
  <c r="AE103" i="18"/>
  <c r="AE76" i="18"/>
  <c r="AE97" i="18"/>
  <c r="AE85" i="18"/>
  <c r="AE56" i="18"/>
  <c r="AE44" i="18"/>
  <c r="AE20" i="18"/>
  <c r="AE102" i="18"/>
  <c r="AE28" i="18"/>
  <c r="AE81" i="18"/>
  <c r="AE68" i="18"/>
  <c r="AE36" i="18"/>
  <c r="AE53" i="18"/>
  <c r="AE18" i="18"/>
  <c r="AE73" i="18"/>
  <c r="AE61" i="18"/>
  <c r="AE51" i="18"/>
  <c r="AE40" i="18"/>
  <c r="AE26" i="18"/>
  <c r="AE35" i="18"/>
  <c r="AE70" i="18"/>
  <c r="AE38" i="18"/>
  <c r="AE29" i="18"/>
  <c r="AE91" i="18"/>
  <c r="AE30" i="18"/>
  <c r="AE25" i="18"/>
  <c r="AE100" i="18"/>
  <c r="AE45" i="18"/>
  <c r="AE101" i="18"/>
  <c r="AE46" i="18"/>
  <c r="AE72" i="18"/>
  <c r="AE92" i="18"/>
  <c r="AE88" i="18"/>
  <c r="AE80" i="18"/>
  <c r="AE47" i="18"/>
  <c r="AE65" i="18"/>
  <c r="AE52" i="18"/>
  <c r="AE21" i="18"/>
  <c r="AE39" i="18"/>
  <c r="AC15" i="7"/>
  <c r="AE94" i="18"/>
  <c r="AE96" i="18"/>
  <c r="AE87" i="18"/>
  <c r="AE32" i="18"/>
  <c r="AE42" i="18"/>
  <c r="AE79" i="18"/>
  <c r="AE19" i="18"/>
  <c r="AE17" i="18"/>
  <c r="AE67" i="18"/>
  <c r="AE95" i="18"/>
  <c r="AE60" i="18"/>
  <c r="AE24" i="18"/>
  <c r="AE99" i="18"/>
  <c r="AE22" i="18"/>
  <c r="AE57" i="18"/>
  <c r="AE48" i="18"/>
  <c r="AE93" i="18"/>
  <c r="AE89" i="18"/>
  <c r="AE98" i="18"/>
  <c r="AE69" i="18"/>
  <c r="AE82" i="18"/>
  <c r="AE83" i="18"/>
  <c r="AE78" i="18"/>
  <c r="AE50" i="18"/>
  <c r="AE15" i="18"/>
  <c r="AE90" i="18"/>
  <c r="AE37" i="18"/>
  <c r="AE74" i="18"/>
  <c r="AE71" i="18"/>
  <c r="AE54" i="18"/>
  <c r="AE33" i="18"/>
  <c r="AE59" i="18"/>
  <c r="AE64" i="18"/>
  <c r="AE23" i="18"/>
  <c r="AE31" i="18"/>
  <c r="AE43" i="18"/>
  <c r="AE75" i="18"/>
  <c r="AE77" i="18"/>
  <c r="AE27" i="18"/>
  <c r="AE34" i="18"/>
  <c r="AE16" i="18"/>
  <c r="Q183" i="18"/>
  <c r="Q137" i="18"/>
  <c r="Q255" i="18"/>
  <c r="Q162" i="18"/>
  <c r="Q304" i="18"/>
  <c r="Q210" i="18"/>
  <c r="Q242" i="18"/>
  <c r="Q291" i="18"/>
  <c r="Q230" i="18"/>
  <c r="Q172" i="18"/>
  <c r="Q264" i="18"/>
  <c r="Q145" i="18"/>
  <c r="Q195" i="18"/>
  <c r="Q309" i="18"/>
  <c r="Q117" i="18"/>
  <c r="Q200" i="18"/>
  <c r="Q273" i="18"/>
  <c r="Q155" i="18"/>
  <c r="Q295" i="18"/>
  <c r="Q220" i="18"/>
  <c r="Q371" i="18"/>
  <c r="Q211" i="18"/>
  <c r="Q229" i="18"/>
  <c r="Q188" i="18"/>
  <c r="Q358" i="18"/>
  <c r="Q204" i="18"/>
  <c r="Q301" i="18"/>
  <c r="Q149" i="18"/>
  <c r="I94" i="16"/>
  <c r="J94" i="16"/>
  <c r="J334" i="16"/>
  <c r="I334" i="16"/>
  <c r="J47" i="16"/>
  <c r="I47" i="16"/>
  <c r="I227" i="16"/>
  <c r="J227" i="16"/>
  <c r="I330" i="16"/>
  <c r="J330" i="16"/>
  <c r="AG383" i="16"/>
  <c r="AG381" i="16"/>
  <c r="AG382" i="16"/>
  <c r="AF15" i="16"/>
  <c r="AL7" i="1"/>
  <c r="AL11" i="1" s="1"/>
  <c r="AJ3" i="1" s="1"/>
  <c r="O11" i="19" s="1"/>
  <c r="Y16" i="1"/>
  <c r="Z383" i="1"/>
  <c r="Z382" i="1"/>
  <c r="Z381" i="1"/>
  <c r="Z9" i="1"/>
  <c r="AG64" i="17"/>
  <c r="AF64" i="17" s="1"/>
  <c r="AD64" i="17" s="1"/>
  <c r="AG231" i="17"/>
  <c r="AF231" i="17" s="1"/>
  <c r="AD231" i="17" s="1"/>
  <c r="AG222" i="17"/>
  <c r="AF222" i="17" s="1"/>
  <c r="AD222" i="17" s="1"/>
  <c r="J106" i="16"/>
  <c r="I106" i="16"/>
  <c r="G180" i="16"/>
  <c r="BY180" i="6" s="1"/>
  <c r="AA180" i="16"/>
  <c r="Z180" i="16" s="1"/>
  <c r="Y180" i="16" s="1"/>
  <c r="H180" i="16"/>
  <c r="R15" i="16"/>
  <c r="S382" i="16"/>
  <c r="S381" i="16"/>
  <c r="S383" i="16"/>
  <c r="J46" i="16"/>
  <c r="I46" i="16"/>
  <c r="J58" i="16"/>
  <c r="I58" i="16"/>
  <c r="G75" i="16"/>
  <c r="BY75" i="6" s="1"/>
  <c r="H75" i="16"/>
  <c r="AA75" i="16"/>
  <c r="Z75" i="16" s="1"/>
  <c r="Y75" i="16" s="1"/>
  <c r="H366" i="17"/>
  <c r="G311" i="17"/>
  <c r="BZ311" i="6" s="1"/>
  <c r="G133" i="17"/>
  <c r="BZ133" i="6" s="1"/>
  <c r="J302" i="16"/>
  <c r="I302" i="16"/>
  <c r="I293" i="16"/>
  <c r="J293" i="16"/>
  <c r="H259" i="16"/>
  <c r="G259" i="16"/>
  <c r="BY259" i="6" s="1"/>
  <c r="AA259" i="16"/>
  <c r="Z259" i="16" s="1"/>
  <c r="Y259" i="16" s="1"/>
  <c r="J380" i="17"/>
  <c r="I380" i="17"/>
  <c r="H380" i="18" s="1"/>
  <c r="P382" i="15"/>
  <c r="P381" i="15"/>
  <c r="V15" i="15"/>
  <c r="P383" i="15"/>
  <c r="J354" i="16"/>
  <c r="I354" i="16"/>
  <c r="J331" i="16"/>
  <c r="I331" i="16"/>
  <c r="AG53" i="17"/>
  <c r="AF53" i="17" s="1"/>
  <c r="AD53" i="17" s="1"/>
  <c r="AG280" i="17"/>
  <c r="AF280" i="17" s="1"/>
  <c r="AD280" i="17" s="1"/>
  <c r="AG36" i="17"/>
  <c r="AF36" i="17" s="1"/>
  <c r="AD36" i="17" s="1"/>
  <c r="AG56" i="17"/>
  <c r="AF56" i="17" s="1"/>
  <c r="AD56" i="17" s="1"/>
  <c r="AG35" i="17"/>
  <c r="AF35" i="17" s="1"/>
  <c r="AD35" i="17" s="1"/>
  <c r="AG307" i="17"/>
  <c r="AF307" i="17" s="1"/>
  <c r="AD307" i="17" s="1"/>
  <c r="AG302" i="17"/>
  <c r="AF302" i="17" s="1"/>
  <c r="AD302" i="17" s="1"/>
  <c r="AG214" i="17"/>
  <c r="AF214" i="17" s="1"/>
  <c r="AD214" i="17" s="1"/>
  <c r="AG47" i="17"/>
  <c r="AF47" i="17" s="1"/>
  <c r="AD47" i="17" s="1"/>
  <c r="J363" i="16"/>
  <c r="I363" i="16"/>
  <c r="J241" i="16"/>
  <c r="I241" i="16"/>
  <c r="I189" i="16"/>
  <c r="J189" i="16"/>
  <c r="J319" i="16"/>
  <c r="I319" i="16"/>
  <c r="J333" i="16"/>
  <c r="I333" i="16"/>
  <c r="AE237" i="18"/>
  <c r="AE363" i="18"/>
  <c r="AE147" i="18"/>
  <c r="AE346" i="18"/>
  <c r="AE282" i="18"/>
  <c r="AE254" i="18"/>
  <c r="AE163" i="18"/>
  <c r="AE166" i="18"/>
  <c r="AE104" i="18"/>
  <c r="AE272" i="18"/>
  <c r="AE250" i="18"/>
  <c r="AE281" i="18"/>
  <c r="AE124" i="18"/>
  <c r="AE116" i="18"/>
  <c r="AE303" i="18"/>
  <c r="AE113" i="18"/>
  <c r="AE114" i="18"/>
  <c r="AE171" i="18"/>
  <c r="AE270" i="18"/>
  <c r="AE344" i="18"/>
  <c r="AE342" i="18"/>
  <c r="AE349" i="18"/>
  <c r="AE313" i="18"/>
  <c r="AE211" i="18"/>
  <c r="AE259" i="18"/>
  <c r="AE317" i="18"/>
  <c r="AE325" i="18"/>
  <c r="AE372" i="18"/>
  <c r="AE347" i="18"/>
  <c r="AE200" i="18"/>
  <c r="AE213" i="18"/>
  <c r="AE149" i="18"/>
  <c r="AE172" i="18"/>
  <c r="AE356" i="18"/>
  <c r="AE330" i="18"/>
  <c r="AE214" i="18"/>
  <c r="AE312" i="18"/>
  <c r="AE130" i="18"/>
  <c r="AE345" i="18"/>
  <c r="AE265" i="18"/>
  <c r="AE280" i="18"/>
  <c r="AE316" i="18"/>
  <c r="AE107" i="18"/>
  <c r="AE327" i="18"/>
  <c r="AE111" i="18"/>
  <c r="AE162" i="18"/>
  <c r="AE368" i="18"/>
  <c r="AE297" i="18"/>
  <c r="AE108" i="18"/>
  <c r="AE215" i="18"/>
  <c r="AE152" i="18"/>
  <c r="AE173" i="18"/>
  <c r="AE199" i="18"/>
  <c r="AE151" i="18"/>
  <c r="AE167" i="18"/>
  <c r="AE234" i="18"/>
  <c r="AE177" i="18"/>
  <c r="AE133" i="18"/>
  <c r="AE353" i="18"/>
  <c r="AE350" i="18"/>
  <c r="AE311" i="18"/>
  <c r="AE140" i="18"/>
  <c r="AE239" i="18"/>
  <c r="AE202" i="18"/>
  <c r="AE292" i="18"/>
  <c r="AE260" i="18"/>
  <c r="AE181" i="18"/>
  <c r="AE248" i="18"/>
  <c r="AE138" i="18"/>
  <c r="AE164" i="18"/>
  <c r="AE307" i="18"/>
  <c r="AE123" i="18"/>
  <c r="AE155" i="18"/>
  <c r="AE378" i="18"/>
  <c r="AE336" i="18"/>
  <c r="AE257" i="18"/>
  <c r="AE247" i="18"/>
  <c r="AE131" i="18"/>
  <c r="AE184" i="18"/>
  <c r="AE243" i="18"/>
  <c r="AE135" i="18"/>
  <c r="AE128" i="18"/>
  <c r="AE284" i="18"/>
  <c r="AE358" i="18"/>
  <c r="AE287" i="18"/>
  <c r="AE365" i="18"/>
  <c r="AE263" i="18"/>
  <c r="AE341" i="18"/>
  <c r="AE169" i="18"/>
  <c r="AE289" i="18"/>
  <c r="AE331" i="18"/>
  <c r="AE333" i="18"/>
  <c r="AE319" i="18"/>
  <c r="AE126" i="18"/>
  <c r="AE271" i="18"/>
  <c r="AE241" i="18"/>
  <c r="AE194" i="18"/>
  <c r="AE246" i="18"/>
  <c r="AE240" i="18"/>
  <c r="AE157" i="18"/>
  <c r="AE306" i="18"/>
  <c r="AE165" i="18"/>
  <c r="AE228" i="18"/>
  <c r="AE279" i="18"/>
  <c r="AE210" i="18"/>
  <c r="AE283" i="18"/>
  <c r="AE222" i="18"/>
  <c r="AE295" i="18"/>
  <c r="AE245" i="18"/>
  <c r="AE159" i="18"/>
  <c r="AE178" i="18"/>
  <c r="AE160" i="18"/>
  <c r="AE374" i="18"/>
  <c r="AE304" i="18"/>
  <c r="AE156" i="18"/>
  <c r="AE197" i="18"/>
  <c r="AE255" i="18"/>
  <c r="AE364" i="18"/>
  <c r="AE268" i="18"/>
  <c r="AE253" i="18"/>
  <c r="AE361" i="18"/>
  <c r="AE258" i="18"/>
  <c r="AE291" i="18"/>
  <c r="AE235" i="18"/>
  <c r="AE377" i="18"/>
  <c r="AE189" i="18"/>
  <c r="AE362" i="18"/>
  <c r="AE185" i="18"/>
  <c r="AE153" i="18"/>
  <c r="AE308" i="18"/>
  <c r="AE267" i="18"/>
  <c r="AE352" i="18"/>
  <c r="AE326" i="18"/>
  <c r="AE143" i="18"/>
  <c r="AE217" i="18"/>
  <c r="AE203" i="18"/>
  <c r="AE105" i="18"/>
  <c r="AE106" i="18"/>
  <c r="AE314" i="18"/>
  <c r="AE233" i="18"/>
  <c r="AE357" i="18"/>
  <c r="AE221" i="18"/>
  <c r="AE190" i="18"/>
  <c r="AE231" i="18"/>
  <c r="AE137" i="18"/>
  <c r="AE355" i="18"/>
  <c r="AE264" i="18"/>
  <c r="AE339" i="18"/>
  <c r="AE229" i="18"/>
  <c r="AE244" i="18"/>
  <c r="AE309" i="18"/>
  <c r="AE323" i="18"/>
  <c r="AE256" i="18"/>
  <c r="AE249" i="18"/>
  <c r="AE145" i="18"/>
  <c r="AE223" i="18"/>
  <c r="AE375" i="18"/>
  <c r="AE122" i="18"/>
  <c r="AE204" i="18"/>
  <c r="AE300" i="18"/>
  <c r="AE179" i="18"/>
  <c r="AE142" i="18"/>
  <c r="AE329" i="18"/>
  <c r="AE225" i="18"/>
  <c r="AE158" i="18"/>
  <c r="AE351" i="18"/>
  <c r="AE150" i="18"/>
  <c r="AE134" i="18"/>
  <c r="AE290" i="18"/>
  <c r="AE119" i="18"/>
  <c r="AE348" i="18"/>
  <c r="AE376" i="18"/>
  <c r="AE218" i="18"/>
  <c r="AE182" i="18"/>
  <c r="AE187" i="18"/>
  <c r="AE127" i="18"/>
  <c r="AE183" i="18"/>
  <c r="AE370" i="18"/>
  <c r="AE120" i="18"/>
  <c r="AE201" i="18"/>
  <c r="AE209" i="18"/>
  <c r="AE359" i="18"/>
  <c r="AE367" i="18"/>
  <c r="AE266" i="18"/>
  <c r="AE118" i="18"/>
  <c r="AE278" i="18"/>
  <c r="AE236" i="18"/>
  <c r="AE322" i="18"/>
  <c r="AE224" i="18"/>
  <c r="AE226" i="18"/>
  <c r="AE115" i="18"/>
  <c r="AE112" i="18"/>
  <c r="AE154" i="18"/>
  <c r="AE192" i="18"/>
  <c r="AE125" i="18"/>
  <c r="AE305" i="18"/>
  <c r="AE110" i="18"/>
  <c r="AE121" i="18"/>
  <c r="AE320" i="18"/>
  <c r="AE371" i="18"/>
  <c r="AE180" i="18"/>
  <c r="AE129" i="18"/>
  <c r="AE148" i="18"/>
  <c r="AE338" i="18"/>
  <c r="AE238" i="18"/>
  <c r="AE379" i="18"/>
  <c r="AE12" i="20" s="1"/>
  <c r="AE227" i="18"/>
  <c r="AE212" i="18"/>
  <c r="AE296" i="18"/>
  <c r="AE269" i="18"/>
  <c r="AE315" i="18"/>
  <c r="AE274" i="18"/>
  <c r="AE261" i="18"/>
  <c r="AE139" i="18"/>
  <c r="AE168" i="18"/>
  <c r="AE285" i="18"/>
  <c r="AE369" i="18"/>
  <c r="AE208" i="18"/>
  <c r="AE275" i="18"/>
  <c r="AE117" i="18"/>
  <c r="AE219" i="18"/>
  <c r="AE109" i="18"/>
  <c r="AE175" i="18"/>
  <c r="AE366" i="18"/>
  <c r="AE146" i="18"/>
  <c r="AE136" i="18"/>
  <c r="AE286" i="18"/>
  <c r="AE242" i="18"/>
  <c r="AE340" i="18"/>
  <c r="AE220" i="18"/>
  <c r="AE293" i="18"/>
  <c r="AE216" i="18"/>
  <c r="AE335" i="18"/>
  <c r="AE301" i="18"/>
  <c r="AE299" i="18"/>
  <c r="AE198" i="18"/>
  <c r="AE174" i="18"/>
  <c r="AE324" i="18"/>
  <c r="AE337" i="18"/>
  <c r="AE277" i="18"/>
  <c r="AE318" i="18"/>
  <c r="AE252" i="18"/>
  <c r="AE360" i="18"/>
  <c r="AE144" i="18"/>
  <c r="AE294" i="18"/>
  <c r="AE343" i="18"/>
  <c r="AE251" i="18"/>
  <c r="AE191" i="18"/>
  <c r="AE302" i="18"/>
  <c r="AE141" i="18"/>
  <c r="AE328" i="18"/>
  <c r="AE321" i="18"/>
  <c r="AE195" i="18"/>
  <c r="AE161" i="18"/>
  <c r="AE196" i="18"/>
  <c r="AE334" i="18"/>
  <c r="AE207" i="18"/>
  <c r="AE276" i="18"/>
  <c r="AE262" i="18"/>
  <c r="AE132" i="18"/>
  <c r="AE332" i="18"/>
  <c r="AE205" i="18"/>
  <c r="AE188" i="18"/>
  <c r="AE354" i="18"/>
  <c r="AE232" i="18"/>
  <c r="AE230" i="18"/>
  <c r="AE193" i="18"/>
  <c r="AE273" i="18"/>
  <c r="AE373" i="18"/>
  <c r="AE310" i="18"/>
  <c r="AE176" i="18"/>
  <c r="AE170" i="18"/>
  <c r="AE206" i="18"/>
  <c r="AE186" i="18"/>
  <c r="AE298" i="18"/>
  <c r="AE288" i="18"/>
  <c r="AJ4" i="1"/>
  <c r="P11" i="19" s="1"/>
  <c r="V180" i="17" l="1"/>
  <c r="F180" i="17" s="1"/>
  <c r="G26" i="17"/>
  <c r="BZ26" i="6" s="1"/>
  <c r="V302" i="17"/>
  <c r="F302" i="17" s="1"/>
  <c r="H102" i="17"/>
  <c r="I102" i="17" s="1"/>
  <c r="H169" i="17"/>
  <c r="H315" i="17"/>
  <c r="J315" i="17" s="1"/>
  <c r="G213" i="17"/>
  <c r="BZ213" i="6" s="1"/>
  <c r="G292" i="17"/>
  <c r="BZ292" i="6" s="1"/>
  <c r="AA26" i="17"/>
  <c r="Z26" i="17" s="1"/>
  <c r="Y26" i="17" s="1"/>
  <c r="G129" i="17"/>
  <c r="BZ129" i="6" s="1"/>
  <c r="G137" i="17"/>
  <c r="BZ137" i="6" s="1"/>
  <c r="H243" i="17"/>
  <c r="J243" i="17" s="1"/>
  <c r="AA222" i="17"/>
  <c r="Z222" i="17" s="1"/>
  <c r="Y222" i="17" s="1"/>
  <c r="G374" i="17"/>
  <c r="BZ374" i="6" s="1"/>
  <c r="J88" i="16"/>
  <c r="H145" i="17"/>
  <c r="I145" i="17" s="1"/>
  <c r="AA366" i="17"/>
  <c r="Z366" i="17" s="1"/>
  <c r="Y366" i="17" s="1"/>
  <c r="AA133" i="17"/>
  <c r="Z133" i="17" s="1"/>
  <c r="Y133" i="17" s="1"/>
  <c r="AA292" i="17"/>
  <c r="Z292" i="17" s="1"/>
  <c r="Y292" i="17" s="1"/>
  <c r="AA82" i="17"/>
  <c r="Z82" i="17" s="1"/>
  <c r="Y82" i="17" s="1"/>
  <c r="AA251" i="17"/>
  <c r="Z251" i="17" s="1"/>
  <c r="Y251" i="17" s="1"/>
  <c r="H82" i="17"/>
  <c r="I82" i="17" s="1"/>
  <c r="H258" i="17"/>
  <c r="G152" i="17"/>
  <c r="BZ152" i="6" s="1"/>
  <c r="H303" i="17"/>
  <c r="I303" i="17" s="1"/>
  <c r="G275" i="17"/>
  <c r="BZ275" i="6" s="1"/>
  <c r="H87" i="17"/>
  <c r="J87" i="17" s="1"/>
  <c r="H168" i="17"/>
  <c r="I168" i="17" s="1"/>
  <c r="H23" i="17"/>
  <c r="I23" i="17" s="1"/>
  <c r="H147" i="17"/>
  <c r="J147" i="17" s="1"/>
  <c r="G245" i="17"/>
  <c r="BZ245" i="6" s="1"/>
  <c r="H200" i="17"/>
  <c r="J200" i="17" s="1"/>
  <c r="G33" i="17"/>
  <c r="BZ33" i="6" s="1"/>
  <c r="AA78" i="17"/>
  <c r="Z78" i="17" s="1"/>
  <c r="Y78" i="17" s="1"/>
  <c r="AA168" i="17"/>
  <c r="Z168" i="17" s="1"/>
  <c r="Y168" i="17" s="1"/>
  <c r="AA275" i="17"/>
  <c r="Z275" i="17" s="1"/>
  <c r="Y275" i="17" s="1"/>
  <c r="AA33" i="17"/>
  <c r="Z33" i="17" s="1"/>
  <c r="Y33" i="17" s="1"/>
  <c r="AA196" i="17"/>
  <c r="Z196" i="17" s="1"/>
  <c r="Y196" i="17" s="1"/>
  <c r="T379" i="17"/>
  <c r="S379" i="17" s="1"/>
  <c r="R379" i="17" s="1"/>
  <c r="P379" i="17" s="1"/>
  <c r="D38" i="19" s="1"/>
  <c r="H195" i="17"/>
  <c r="J195" i="17" s="1"/>
  <c r="AA195" i="17"/>
  <c r="Z195" i="17" s="1"/>
  <c r="Y195" i="17" s="1"/>
  <c r="AA23" i="17"/>
  <c r="Z23" i="17" s="1"/>
  <c r="Y23" i="17" s="1"/>
  <c r="AA312" i="17"/>
  <c r="Z312" i="17" s="1"/>
  <c r="Y312" i="17" s="1"/>
  <c r="AA200" i="17"/>
  <c r="Z200" i="17" s="1"/>
  <c r="Y200" i="17" s="1"/>
  <c r="H208" i="17"/>
  <c r="I208" i="17" s="1"/>
  <c r="H312" i="17"/>
  <c r="I312" i="17" s="1"/>
  <c r="AA65" i="17"/>
  <c r="Z65" i="17" s="1"/>
  <c r="Y65" i="17" s="1"/>
  <c r="AA17" i="17"/>
  <c r="Z17" i="17" s="1"/>
  <c r="Y17" i="17" s="1"/>
  <c r="AA185" i="17"/>
  <c r="Z185" i="17" s="1"/>
  <c r="Y185" i="17" s="1"/>
  <c r="G107" i="17"/>
  <c r="BZ107" i="6" s="1"/>
  <c r="H268" i="17"/>
  <c r="I268" i="17" s="1"/>
  <c r="AA309" i="17"/>
  <c r="Z309" i="17" s="1"/>
  <c r="Y309" i="17" s="1"/>
  <c r="AA101" i="17"/>
  <c r="Z101" i="17" s="1"/>
  <c r="Y101" i="17" s="1"/>
  <c r="AA192" i="17"/>
  <c r="Z192" i="17" s="1"/>
  <c r="Y192" i="17" s="1"/>
  <c r="AA278" i="17"/>
  <c r="Z278" i="17" s="1"/>
  <c r="Y278" i="17" s="1"/>
  <c r="AA64" i="17"/>
  <c r="Z64" i="17" s="1"/>
  <c r="Y64" i="17" s="1"/>
  <c r="AA362" i="17"/>
  <c r="Z362" i="17" s="1"/>
  <c r="Y362" i="17" s="1"/>
  <c r="AA112" i="17"/>
  <c r="Z112" i="17" s="1"/>
  <c r="Y112" i="17" s="1"/>
  <c r="AA186" i="17"/>
  <c r="Z186" i="17" s="1"/>
  <c r="Y186" i="17" s="1"/>
  <c r="AA325" i="17"/>
  <c r="Z325" i="17" s="1"/>
  <c r="Y325" i="17" s="1"/>
  <c r="J60" i="16"/>
  <c r="H317" i="17"/>
  <c r="I317" i="17" s="1"/>
  <c r="H355" i="17"/>
  <c r="I355" i="17" s="1"/>
  <c r="H65" i="17"/>
  <c r="I65" i="17" s="1"/>
  <c r="H185" i="17"/>
  <c r="I185" i="17" s="1"/>
  <c r="H314" i="17"/>
  <c r="J314" i="17" s="1"/>
  <c r="J29" i="16"/>
  <c r="H235" i="17"/>
  <c r="J235" i="17" s="1"/>
  <c r="G158" i="17"/>
  <c r="BZ158" i="6" s="1"/>
  <c r="H101" i="17"/>
  <c r="I101" i="17" s="1"/>
  <c r="H17" i="17"/>
  <c r="J17" i="17" s="1"/>
  <c r="G32" i="17"/>
  <c r="BZ32" i="6" s="1"/>
  <c r="H216" i="17"/>
  <c r="I216" i="17" s="1"/>
  <c r="AA355" i="17"/>
  <c r="Z355" i="17" s="1"/>
  <c r="Y355" i="17" s="1"/>
  <c r="G282" i="17"/>
  <c r="BZ282" i="6" s="1"/>
  <c r="H115" i="17"/>
  <c r="J115" i="17" s="1"/>
  <c r="H370" i="17"/>
  <c r="I370" i="17" s="1"/>
  <c r="G140" i="17"/>
  <c r="BZ140" i="6" s="1"/>
  <c r="H308" i="17"/>
  <c r="I308" i="17" s="1"/>
  <c r="H127" i="17"/>
  <c r="I127" i="17" s="1"/>
  <c r="H178" i="17"/>
  <c r="I178" i="17" s="1"/>
  <c r="H142" i="17"/>
  <c r="I142" i="17" s="1"/>
  <c r="H34" i="17"/>
  <c r="J34" i="17" s="1"/>
  <c r="AA91" i="17"/>
  <c r="Z91" i="17" s="1"/>
  <c r="Y91" i="17" s="1"/>
  <c r="J272" i="16"/>
  <c r="AA76" i="17"/>
  <c r="Z76" i="17" s="1"/>
  <c r="Y76" i="17" s="1"/>
  <c r="AA181" i="17"/>
  <c r="Z181" i="17" s="1"/>
  <c r="Y181" i="17" s="1"/>
  <c r="G34" i="17"/>
  <c r="BZ34" i="6" s="1"/>
  <c r="G359" i="17"/>
  <c r="BZ359" i="6" s="1"/>
  <c r="H191" i="17"/>
  <c r="I191" i="17" s="1"/>
  <c r="H181" i="17"/>
  <c r="I181" i="17" s="1"/>
  <c r="H42" i="17"/>
  <c r="I42" i="17" s="1"/>
  <c r="J167" i="16"/>
  <c r="G67" i="17"/>
  <c r="BZ67" i="6" s="1"/>
  <c r="H234" i="17"/>
  <c r="I234" i="17" s="1"/>
  <c r="H368" i="17"/>
  <c r="J368" i="17" s="1"/>
  <c r="H189" i="17"/>
  <c r="I189" i="17" s="1"/>
  <c r="AA176" i="17"/>
  <c r="Z176" i="17" s="1"/>
  <c r="Y176" i="17" s="1"/>
  <c r="AA113" i="17"/>
  <c r="Z113" i="17" s="1"/>
  <c r="Y113" i="17" s="1"/>
  <c r="AA34" i="17"/>
  <c r="Z34" i="17" s="1"/>
  <c r="Y34" i="17" s="1"/>
  <c r="AA169" i="17"/>
  <c r="Z169" i="17" s="1"/>
  <c r="Y169" i="17" s="1"/>
  <c r="AA57" i="17"/>
  <c r="Z57" i="17" s="1"/>
  <c r="Y57" i="17" s="1"/>
  <c r="AA243" i="17"/>
  <c r="Z243" i="17" s="1"/>
  <c r="Y243" i="17" s="1"/>
  <c r="G178" i="17"/>
  <c r="BZ178" i="6" s="1"/>
  <c r="H334" i="17"/>
  <c r="I334" i="17" s="1"/>
  <c r="H76" i="17"/>
  <c r="I76" i="17" s="1"/>
  <c r="H91" i="17"/>
  <c r="J91" i="17" s="1"/>
  <c r="AA74" i="17"/>
  <c r="Z74" i="17" s="1"/>
  <c r="Y74" i="17" s="1"/>
  <c r="AA20" i="17"/>
  <c r="Z20" i="17" s="1"/>
  <c r="Y20" i="17" s="1"/>
  <c r="H95" i="17"/>
  <c r="I95" i="17" s="1"/>
  <c r="AA228" i="17"/>
  <c r="Z228" i="17" s="1"/>
  <c r="Y228" i="17" s="1"/>
  <c r="G171" i="17"/>
  <c r="BZ171" i="6" s="1"/>
  <c r="AA245" i="17"/>
  <c r="Z245" i="17" s="1"/>
  <c r="Y245" i="17" s="1"/>
  <c r="AA303" i="17"/>
  <c r="Z303" i="17" s="1"/>
  <c r="Y303" i="17" s="1"/>
  <c r="AA235" i="17"/>
  <c r="Z235" i="17" s="1"/>
  <c r="Y235" i="17" s="1"/>
  <c r="H286" i="17"/>
  <c r="I286" i="17" s="1"/>
  <c r="AA317" i="17"/>
  <c r="Z317" i="17" s="1"/>
  <c r="Y317" i="17" s="1"/>
  <c r="AA147" i="17"/>
  <c r="Z147" i="17" s="1"/>
  <c r="Y147" i="17" s="1"/>
  <c r="H104" i="17"/>
  <c r="I104" i="17" s="1"/>
  <c r="H257" i="17"/>
  <c r="J257" i="17" s="1"/>
  <c r="AA118" i="17"/>
  <c r="Z118" i="17" s="1"/>
  <c r="Y118" i="17" s="1"/>
  <c r="AA47" i="17"/>
  <c r="Z47" i="17" s="1"/>
  <c r="Y47" i="17" s="1"/>
  <c r="AA150" i="17"/>
  <c r="Z150" i="17" s="1"/>
  <c r="Y150" i="17" s="1"/>
  <c r="H24" i="17"/>
  <c r="J24" i="17" s="1"/>
  <c r="H204" i="17"/>
  <c r="I204" i="17" s="1"/>
  <c r="G142" i="17"/>
  <c r="BZ142" i="6" s="1"/>
  <c r="G170" i="17"/>
  <c r="BZ170" i="6" s="1"/>
  <c r="H226" i="17"/>
  <c r="J226" i="17" s="1"/>
  <c r="H121" i="17"/>
  <c r="J121" i="17" s="1"/>
  <c r="H118" i="17"/>
  <c r="J118" i="17" s="1"/>
  <c r="H229" i="17"/>
  <c r="I229" i="17" s="1"/>
  <c r="G74" i="17"/>
  <c r="BZ74" i="6" s="1"/>
  <c r="H58" i="17"/>
  <c r="I58" i="17" s="1"/>
  <c r="H116" i="17"/>
  <c r="I116" i="17" s="1"/>
  <c r="H219" i="17"/>
  <c r="J219" i="17" s="1"/>
  <c r="H306" i="17"/>
  <c r="J306" i="17" s="1"/>
  <c r="H236" i="17"/>
  <c r="J236" i="17" s="1"/>
  <c r="H309" i="17"/>
  <c r="J309" i="17" s="1"/>
  <c r="I301" i="17"/>
  <c r="AA269" i="17"/>
  <c r="Z269" i="17" s="1"/>
  <c r="Y269" i="17" s="1"/>
  <c r="AA353" i="17"/>
  <c r="Z353" i="17" s="1"/>
  <c r="Y353" i="17" s="1"/>
  <c r="AA301" i="17"/>
  <c r="Z301" i="17" s="1"/>
  <c r="Y301" i="17" s="1"/>
  <c r="AA264" i="17"/>
  <c r="Z264" i="17" s="1"/>
  <c r="Y264" i="17" s="1"/>
  <c r="AA156" i="17"/>
  <c r="Z156" i="17" s="1"/>
  <c r="Y156" i="17" s="1"/>
  <c r="AA304" i="17"/>
  <c r="Z304" i="17" s="1"/>
  <c r="Y304" i="17" s="1"/>
  <c r="AA279" i="17"/>
  <c r="Z279" i="17" s="1"/>
  <c r="Y279" i="17" s="1"/>
  <c r="AA293" i="17"/>
  <c r="Z293" i="17" s="1"/>
  <c r="Y293" i="17" s="1"/>
  <c r="H293" i="17"/>
  <c r="J293" i="17" s="1"/>
  <c r="H44" i="17"/>
  <c r="I44" i="17" s="1"/>
  <c r="G304" i="17"/>
  <c r="BZ304" i="6" s="1"/>
  <c r="G220" i="17"/>
  <c r="BZ220" i="6" s="1"/>
  <c r="G134" i="17"/>
  <c r="BZ134" i="6" s="1"/>
  <c r="G99" i="17"/>
  <c r="BZ99" i="6" s="1"/>
  <c r="G313" i="17"/>
  <c r="BZ313" i="6" s="1"/>
  <c r="G186" i="17"/>
  <c r="BZ186" i="6" s="1"/>
  <c r="G247" i="17"/>
  <c r="BZ247" i="6" s="1"/>
  <c r="H157" i="17"/>
  <c r="I157" i="17" s="1"/>
  <c r="G291" i="17"/>
  <c r="BZ291" i="6" s="1"/>
  <c r="H325" i="17"/>
  <c r="I325" i="17" s="1"/>
  <c r="H238" i="17"/>
  <c r="I238" i="17" s="1"/>
  <c r="G122" i="17"/>
  <c r="BZ122" i="6" s="1"/>
  <c r="H339" i="17"/>
  <c r="J339" i="17" s="1"/>
  <c r="H198" i="17"/>
  <c r="J198" i="17" s="1"/>
  <c r="G305" i="17"/>
  <c r="BZ305" i="6" s="1"/>
  <c r="G237" i="17"/>
  <c r="BZ237" i="6" s="1"/>
  <c r="H279" i="17"/>
  <c r="J279" i="17" s="1"/>
  <c r="H340" i="17"/>
  <c r="I340" i="17" s="1"/>
  <c r="G353" i="17"/>
  <c r="BZ353" i="6" s="1"/>
  <c r="H344" i="17"/>
  <c r="I344" i="17" s="1"/>
  <c r="H19" i="17"/>
  <c r="I19" i="17" s="1"/>
  <c r="H252" i="17"/>
  <c r="J252" i="17" s="1"/>
  <c r="H179" i="17"/>
  <c r="I179" i="17" s="1"/>
  <c r="H377" i="17"/>
  <c r="I377" i="17" s="1"/>
  <c r="AA370" i="17"/>
  <c r="Z370" i="17" s="1"/>
  <c r="Y370" i="17" s="1"/>
  <c r="AA294" i="17"/>
  <c r="Z294" i="17" s="1"/>
  <c r="Y294" i="17" s="1"/>
  <c r="AA254" i="17"/>
  <c r="Z254" i="17" s="1"/>
  <c r="Y254" i="17" s="1"/>
  <c r="AA144" i="17"/>
  <c r="Z144" i="17" s="1"/>
  <c r="Y144" i="17" s="1"/>
  <c r="AA342" i="17"/>
  <c r="Z342" i="17" s="1"/>
  <c r="Y342" i="17" s="1"/>
  <c r="AA282" i="17"/>
  <c r="Z282" i="17" s="1"/>
  <c r="Y282" i="17" s="1"/>
  <c r="AA197" i="17"/>
  <c r="Z197" i="17" s="1"/>
  <c r="Y197" i="17" s="1"/>
  <c r="AA31" i="17"/>
  <c r="Z31" i="17" s="1"/>
  <c r="Y31" i="17" s="1"/>
  <c r="AA140" i="17"/>
  <c r="Z140" i="17" s="1"/>
  <c r="Y140" i="17" s="1"/>
  <c r="AA161" i="17"/>
  <c r="Z161" i="17" s="1"/>
  <c r="Y161" i="17" s="1"/>
  <c r="H327" i="17"/>
  <c r="I327" i="17" s="1"/>
  <c r="G199" i="17"/>
  <c r="BZ199" i="6" s="1"/>
  <c r="H254" i="17"/>
  <c r="I254" i="17" s="1"/>
  <c r="G16" i="17"/>
  <c r="BZ16" i="6" s="1"/>
  <c r="H45" i="17"/>
  <c r="I45" i="17" s="1"/>
  <c r="AA321" i="17"/>
  <c r="Z321" i="17" s="1"/>
  <c r="Y321" i="17" s="1"/>
  <c r="AA327" i="17"/>
  <c r="Z327" i="17" s="1"/>
  <c r="Y327" i="17" s="1"/>
  <c r="AA51" i="17"/>
  <c r="Z51" i="17" s="1"/>
  <c r="Y51" i="17" s="1"/>
  <c r="AA79" i="17"/>
  <c r="Z79" i="17" s="1"/>
  <c r="Y79" i="17" s="1"/>
  <c r="AA252" i="17"/>
  <c r="Z252" i="17" s="1"/>
  <c r="Y252" i="17" s="1"/>
  <c r="AA338" i="17"/>
  <c r="Z338" i="17" s="1"/>
  <c r="Y338" i="17" s="1"/>
  <c r="AA367" i="17"/>
  <c r="Z367" i="17" s="1"/>
  <c r="Y367" i="17" s="1"/>
  <c r="AA77" i="17"/>
  <c r="Z77" i="17" s="1"/>
  <c r="Y77" i="17" s="1"/>
  <c r="AA177" i="17"/>
  <c r="Z177" i="17" s="1"/>
  <c r="Y177" i="17" s="1"/>
  <c r="AA335" i="17"/>
  <c r="Z335" i="17" s="1"/>
  <c r="Y335" i="17" s="1"/>
  <c r="AA115" i="17"/>
  <c r="Z115" i="17" s="1"/>
  <c r="Y115" i="17" s="1"/>
  <c r="AA84" i="17"/>
  <c r="Z84" i="17" s="1"/>
  <c r="Y84" i="17" s="1"/>
  <c r="AA37" i="17"/>
  <c r="Z37" i="17" s="1"/>
  <c r="Y37" i="17" s="1"/>
  <c r="G348" i="17"/>
  <c r="BZ348" i="6" s="1"/>
  <c r="H371" i="17"/>
  <c r="I371" i="17" s="1"/>
  <c r="V333" i="17"/>
  <c r="F333" i="17" s="1"/>
  <c r="G333" i="17" s="1"/>
  <c r="BZ333" i="6" s="1"/>
  <c r="G214" i="17"/>
  <c r="BZ214" i="6" s="1"/>
  <c r="H144" i="17"/>
  <c r="I144" i="17" s="1"/>
  <c r="G93" i="17"/>
  <c r="BZ93" i="6" s="1"/>
  <c r="D56" i="7"/>
  <c r="G306" i="17"/>
  <c r="BZ306" i="6" s="1"/>
  <c r="H190" i="17"/>
  <c r="J190" i="17" s="1"/>
  <c r="H273" i="17"/>
  <c r="J273" i="17" s="1"/>
  <c r="AA313" i="17"/>
  <c r="Z313" i="17" s="1"/>
  <c r="Y313" i="17" s="1"/>
  <c r="AA107" i="17"/>
  <c r="Z107" i="17" s="1"/>
  <c r="Y107" i="17" s="1"/>
  <c r="AA32" i="17"/>
  <c r="Z32" i="17" s="1"/>
  <c r="Y32" i="17" s="1"/>
  <c r="AA314" i="17"/>
  <c r="Z314" i="17" s="1"/>
  <c r="Y314" i="17" s="1"/>
  <c r="AA344" i="17"/>
  <c r="Z344" i="17" s="1"/>
  <c r="Y344" i="17" s="1"/>
  <c r="AA103" i="17"/>
  <c r="Z103" i="17" s="1"/>
  <c r="Y103" i="17" s="1"/>
  <c r="AA134" i="17"/>
  <c r="Z134" i="17" s="1"/>
  <c r="Y134" i="17" s="1"/>
  <c r="AB15" i="7"/>
  <c r="H253" i="17"/>
  <c r="J253" i="17" s="1"/>
  <c r="G253" i="17"/>
  <c r="BZ253" i="6" s="1"/>
  <c r="G239" i="17"/>
  <c r="BZ239" i="6" s="1"/>
  <c r="H239" i="17"/>
  <c r="I239" i="17" s="1"/>
  <c r="H20" i="17"/>
  <c r="G20" i="17"/>
  <c r="BZ20" i="6" s="1"/>
  <c r="G57" i="17"/>
  <c r="BZ57" i="6" s="1"/>
  <c r="H57" i="17"/>
  <c r="J57" i="17" s="1"/>
  <c r="J228" i="16"/>
  <c r="J228" i="17" s="1"/>
  <c r="AA68" i="17"/>
  <c r="Z68" i="17" s="1"/>
  <c r="Y68" i="17" s="1"/>
  <c r="AA256" i="17"/>
  <c r="Z256" i="17" s="1"/>
  <c r="Y256" i="17" s="1"/>
  <c r="AA361" i="17"/>
  <c r="Z361" i="17" s="1"/>
  <c r="Y361" i="17" s="1"/>
  <c r="AA189" i="17"/>
  <c r="Z189" i="17" s="1"/>
  <c r="Y189" i="17" s="1"/>
  <c r="AA58" i="17"/>
  <c r="Z58" i="17" s="1"/>
  <c r="Y58" i="17" s="1"/>
  <c r="H265" i="17"/>
  <c r="J265" i="17" s="1"/>
  <c r="G375" i="17"/>
  <c r="BZ375" i="6" s="1"/>
  <c r="G223" i="17"/>
  <c r="BZ223" i="6" s="1"/>
  <c r="G96" i="17"/>
  <c r="BZ96" i="6" s="1"/>
  <c r="AI12" i="18"/>
  <c r="AA359" i="17"/>
  <c r="Z359" i="17" s="1"/>
  <c r="Y359" i="17" s="1"/>
  <c r="AA24" i="17"/>
  <c r="Z24" i="17" s="1"/>
  <c r="Y24" i="17" s="1"/>
  <c r="G369" i="17"/>
  <c r="BZ369" i="6" s="1"/>
  <c r="G113" i="17"/>
  <c r="BZ113" i="6" s="1"/>
  <c r="H201" i="17"/>
  <c r="J201" i="17" s="1"/>
  <c r="G262" i="17"/>
  <c r="BZ262" i="6" s="1"/>
  <c r="H150" i="17"/>
  <c r="J150" i="17" s="1"/>
  <c r="V210" i="17"/>
  <c r="H64" i="19" s="1"/>
  <c r="H274" i="17"/>
  <c r="I274" i="17" s="1"/>
  <c r="G176" i="17"/>
  <c r="BZ176" i="6" s="1"/>
  <c r="H47" i="17"/>
  <c r="I47" i="17" s="1"/>
  <c r="AA262" i="17"/>
  <c r="Z262" i="17" s="1"/>
  <c r="Y262" i="17" s="1"/>
  <c r="AA234" i="17"/>
  <c r="Z234" i="17" s="1"/>
  <c r="Y234" i="17" s="1"/>
  <c r="AA219" i="17"/>
  <c r="Z219" i="17" s="1"/>
  <c r="Y219" i="17" s="1"/>
  <c r="H337" i="17"/>
  <c r="J337" i="17" s="1"/>
  <c r="H166" i="17"/>
  <c r="I166" i="17" s="1"/>
  <c r="G309" i="17"/>
  <c r="BZ309" i="6" s="1"/>
  <c r="H209" i="17"/>
  <c r="J209" i="17" s="1"/>
  <c r="G30" i="17"/>
  <c r="BZ30" i="6" s="1"/>
  <c r="H267" i="17"/>
  <c r="J267" i="17" s="1"/>
  <c r="G90" i="17"/>
  <c r="BZ90" i="6" s="1"/>
  <c r="H217" i="17"/>
  <c r="I217" i="17" s="1"/>
  <c r="AA122" i="17"/>
  <c r="Z122" i="17" s="1"/>
  <c r="Y122" i="17" s="1"/>
  <c r="AA175" i="17"/>
  <c r="Z175" i="17" s="1"/>
  <c r="Y175" i="17" s="1"/>
  <c r="AA90" i="17"/>
  <c r="Z90" i="17" s="1"/>
  <c r="Y90" i="17" s="1"/>
  <c r="H270" i="17"/>
  <c r="I270" i="17" s="1"/>
  <c r="H71" i="17"/>
  <c r="I71" i="17" s="1"/>
  <c r="D58" i="7"/>
  <c r="V16" i="7"/>
  <c r="AB11" i="7" s="1"/>
  <c r="U11" i="18" s="1"/>
  <c r="U10" i="18" s="1"/>
  <c r="AA349" i="17"/>
  <c r="Z349" i="17" s="1"/>
  <c r="Y349" i="17" s="1"/>
  <c r="H163" i="17"/>
  <c r="I163" i="17" s="1"/>
  <c r="H73" i="17"/>
  <c r="I73" i="17" s="1"/>
  <c r="G335" i="17"/>
  <c r="BZ335" i="6" s="1"/>
  <c r="H139" i="17"/>
  <c r="I139" i="17" s="1"/>
  <c r="G38" i="17"/>
  <c r="BZ38" i="6" s="1"/>
  <c r="D64" i="7"/>
  <c r="H338" i="17"/>
  <c r="J338" i="17" s="1"/>
  <c r="H269" i="17"/>
  <c r="I269" i="17" s="1"/>
  <c r="H103" i="17"/>
  <c r="J103" i="17" s="1"/>
  <c r="H148" i="17"/>
  <c r="J148" i="17" s="1"/>
  <c r="H294" i="17"/>
  <c r="J294" i="17" s="1"/>
  <c r="H48" i="17"/>
  <c r="J48" i="17" s="1"/>
  <c r="AA72" i="17"/>
  <c r="Z72" i="17" s="1"/>
  <c r="Y72" i="17" s="1"/>
  <c r="AA305" i="17"/>
  <c r="Z305" i="17" s="1"/>
  <c r="Y305" i="17" s="1"/>
  <c r="AA350" i="17"/>
  <c r="Z350" i="17" s="1"/>
  <c r="Y350" i="17" s="1"/>
  <c r="AA99" i="17"/>
  <c r="Z99" i="17" s="1"/>
  <c r="Y99" i="17" s="1"/>
  <c r="AA230" i="17"/>
  <c r="Z230" i="17" s="1"/>
  <c r="Y230" i="17" s="1"/>
  <c r="AA247" i="17"/>
  <c r="Z247" i="17" s="1"/>
  <c r="Y247" i="17" s="1"/>
  <c r="AA236" i="17"/>
  <c r="Z236" i="17" s="1"/>
  <c r="Y236" i="17" s="1"/>
  <c r="AA220" i="17"/>
  <c r="Z220" i="17" s="1"/>
  <c r="Y220" i="17" s="1"/>
  <c r="H105" i="17"/>
  <c r="I105" i="17" s="1"/>
  <c r="AA284" i="17"/>
  <c r="Z284" i="17" s="1"/>
  <c r="Y284" i="17" s="1"/>
  <c r="AA98" i="17"/>
  <c r="Z98" i="17" s="1"/>
  <c r="Y98" i="17" s="1"/>
  <c r="AA253" i="17"/>
  <c r="Z253" i="17" s="1"/>
  <c r="Y253" i="17" s="1"/>
  <c r="G80" i="17"/>
  <c r="BZ80" i="6" s="1"/>
  <c r="H184" i="17"/>
  <c r="I184" i="17" s="1"/>
  <c r="H187" i="17"/>
  <c r="I187" i="17" s="1"/>
  <c r="G341" i="17"/>
  <c r="BZ341" i="6" s="1"/>
  <c r="H346" i="17"/>
  <c r="J346" i="17" s="1"/>
  <c r="G378" i="17"/>
  <c r="BZ378" i="6" s="1"/>
  <c r="H165" i="17"/>
  <c r="J165" i="17" s="1"/>
  <c r="Q382" i="18"/>
  <c r="AA92" i="17"/>
  <c r="Z92" i="17" s="1"/>
  <c r="Y92" i="17" s="1"/>
  <c r="AA30" i="17"/>
  <c r="Z30" i="17" s="1"/>
  <c r="Y30" i="17" s="1"/>
  <c r="AA290" i="17"/>
  <c r="Z290" i="17" s="1"/>
  <c r="Y290" i="17" s="1"/>
  <c r="AA22" i="17"/>
  <c r="Z22" i="17" s="1"/>
  <c r="Y22" i="17" s="1"/>
  <c r="Q12" i="20"/>
  <c r="AG15" i="7" s="1"/>
  <c r="G56" i="17"/>
  <c r="BZ56" i="6" s="1"/>
  <c r="H56" i="17"/>
  <c r="I56" i="17" s="1"/>
  <c r="T21" i="17"/>
  <c r="S21" i="17" s="1"/>
  <c r="R21" i="17" s="1"/>
  <c r="P21" i="17" s="1"/>
  <c r="V21" i="17" s="1"/>
  <c r="F21" i="17" s="1"/>
  <c r="H21" i="17" s="1"/>
  <c r="I21" i="17" s="1"/>
  <c r="U381" i="17"/>
  <c r="G154" i="17"/>
  <c r="BZ154" i="6" s="1"/>
  <c r="H154" i="17"/>
  <c r="I154" i="17" s="1"/>
  <c r="G85" i="17"/>
  <c r="BZ85" i="6" s="1"/>
  <c r="H85" i="17"/>
  <c r="I85" i="17" s="1"/>
  <c r="H66" i="17"/>
  <c r="I66" i="17" s="1"/>
  <c r="G66" i="17"/>
  <c r="BZ66" i="6" s="1"/>
  <c r="G365" i="17"/>
  <c r="BZ365" i="6" s="1"/>
  <c r="H365" i="17"/>
  <c r="I365" i="17" s="1"/>
  <c r="H59" i="17"/>
  <c r="I59" i="17" s="1"/>
  <c r="G59" i="17"/>
  <c r="BZ59" i="6" s="1"/>
  <c r="G50" i="17"/>
  <c r="BZ50" i="6" s="1"/>
  <c r="H50" i="17"/>
  <c r="I50" i="17" s="1"/>
  <c r="H221" i="17"/>
  <c r="J221" i="17" s="1"/>
  <c r="G221" i="17"/>
  <c r="BZ221" i="6" s="1"/>
  <c r="H240" i="17"/>
  <c r="I240" i="17" s="1"/>
  <c r="G240" i="17"/>
  <c r="BZ240" i="6" s="1"/>
  <c r="H361" i="17"/>
  <c r="J361" i="17" s="1"/>
  <c r="G361" i="17"/>
  <c r="BZ361" i="6" s="1"/>
  <c r="G155" i="17"/>
  <c r="BZ155" i="6" s="1"/>
  <c r="H155" i="17"/>
  <c r="I155" i="17" s="1"/>
  <c r="G100" i="17"/>
  <c r="BZ100" i="6" s="1"/>
  <c r="H100" i="17"/>
  <c r="J100" i="17" s="1"/>
  <c r="G151" i="17"/>
  <c r="BZ151" i="6" s="1"/>
  <c r="H151" i="17"/>
  <c r="I151" i="17" s="1"/>
  <c r="V352" i="17"/>
  <c r="F352" i="17" s="1"/>
  <c r="H124" i="17"/>
  <c r="I124" i="17" s="1"/>
  <c r="G124" i="17"/>
  <c r="BZ124" i="6" s="1"/>
  <c r="G357" i="17"/>
  <c r="BZ357" i="6" s="1"/>
  <c r="H357" i="17"/>
  <c r="I357" i="17" s="1"/>
  <c r="G281" i="17"/>
  <c r="BZ281" i="6" s="1"/>
  <c r="H281" i="17"/>
  <c r="J281" i="17" s="1"/>
  <c r="H183" i="17"/>
  <c r="I183" i="17" s="1"/>
  <c r="G183" i="17"/>
  <c r="BZ183" i="6" s="1"/>
  <c r="H287" i="17"/>
  <c r="J287" i="17" s="1"/>
  <c r="G287" i="17"/>
  <c r="BZ287" i="6" s="1"/>
  <c r="H63" i="17"/>
  <c r="I63" i="17" s="1"/>
  <c r="G63" i="17"/>
  <c r="BZ63" i="6" s="1"/>
  <c r="G193" i="17"/>
  <c r="BZ193" i="6" s="1"/>
  <c r="H193" i="17"/>
  <c r="I193" i="17" s="1"/>
  <c r="H343" i="17"/>
  <c r="I343" i="17" s="1"/>
  <c r="G343" i="17"/>
  <c r="BZ343" i="6" s="1"/>
  <c r="G224" i="17"/>
  <c r="BZ224" i="6" s="1"/>
  <c r="H224" i="17"/>
  <c r="I224" i="17" s="1"/>
  <c r="H203" i="17"/>
  <c r="I203" i="17" s="1"/>
  <c r="G203" i="17"/>
  <c r="BZ203" i="6" s="1"/>
  <c r="G159" i="17"/>
  <c r="BZ159" i="6" s="1"/>
  <c r="H159" i="17"/>
  <c r="J159" i="17" s="1"/>
  <c r="H173" i="17"/>
  <c r="J173" i="17" s="1"/>
  <c r="G173" i="17"/>
  <c r="BZ173" i="6" s="1"/>
  <c r="G225" i="17"/>
  <c r="BZ225" i="6" s="1"/>
  <c r="H225" i="17"/>
  <c r="I225" i="17" s="1"/>
  <c r="H83" i="17"/>
  <c r="J83" i="17" s="1"/>
  <c r="G83" i="17"/>
  <c r="BZ83" i="6" s="1"/>
  <c r="G218" i="17"/>
  <c r="BZ218" i="6" s="1"/>
  <c r="H218" i="17"/>
  <c r="J218" i="17" s="1"/>
  <c r="H172" i="17"/>
  <c r="I172" i="17" s="1"/>
  <c r="G172" i="17"/>
  <c r="BZ172" i="6" s="1"/>
  <c r="H256" i="17"/>
  <c r="J256" i="17" s="1"/>
  <c r="G256" i="17"/>
  <c r="BZ256" i="6" s="1"/>
  <c r="H318" i="17"/>
  <c r="I318" i="17" s="1"/>
  <c r="AA318" i="17"/>
  <c r="Z318" i="17" s="1"/>
  <c r="Y318" i="17" s="1"/>
  <c r="G182" i="17"/>
  <c r="BZ182" i="6" s="1"/>
  <c r="H182" i="17"/>
  <c r="J182" i="17" s="1"/>
  <c r="H202" i="17"/>
  <c r="J202" i="17" s="1"/>
  <c r="G202" i="17"/>
  <c r="BZ202" i="6" s="1"/>
  <c r="G324" i="17"/>
  <c r="BZ324" i="6" s="1"/>
  <c r="H324" i="17"/>
  <c r="J324" i="17" s="1"/>
  <c r="G55" i="17"/>
  <c r="BZ55" i="6" s="1"/>
  <c r="H55" i="17"/>
  <c r="J55" i="17" s="1"/>
  <c r="AH19" i="17"/>
  <c r="AG19" i="17" s="1"/>
  <c r="AF19" i="17" s="1"/>
  <c r="AD19" i="17" s="1"/>
  <c r="AA19" i="17" s="1"/>
  <c r="Z19" i="17" s="1"/>
  <c r="Y19" i="17" s="1"/>
  <c r="AI383" i="17"/>
  <c r="H68" i="17"/>
  <c r="J68" i="17" s="1"/>
  <c r="H132" i="17"/>
  <c r="I132" i="17" s="1"/>
  <c r="H283" i="17"/>
  <c r="I283" i="17" s="1"/>
  <c r="H164" i="17"/>
  <c r="J164" i="17" s="1"/>
  <c r="V241" i="17"/>
  <c r="I64" i="19" s="1"/>
  <c r="G258" i="17"/>
  <c r="BZ258" i="6" s="1"/>
  <c r="G126" i="17"/>
  <c r="BZ126" i="6" s="1"/>
  <c r="G263" i="17"/>
  <c r="BZ263" i="6" s="1"/>
  <c r="G62" i="17"/>
  <c r="BZ62" i="6" s="1"/>
  <c r="H89" i="17"/>
  <c r="I89" i="17" s="1"/>
  <c r="H39" i="17"/>
  <c r="I39" i="17" s="1"/>
  <c r="D67" i="7"/>
  <c r="H125" i="17"/>
  <c r="I125" i="17" s="1"/>
  <c r="D60" i="7"/>
  <c r="U382" i="17"/>
  <c r="H248" i="17"/>
  <c r="I248" i="17" s="1"/>
  <c r="V60" i="17"/>
  <c r="F60" i="17" s="1"/>
  <c r="AA60" i="17" s="1"/>
  <c r="Z60" i="17" s="1"/>
  <c r="Y60" i="17" s="1"/>
  <c r="H376" i="17"/>
  <c r="I376" i="17" s="1"/>
  <c r="AA255" i="17"/>
  <c r="Z255" i="17" s="1"/>
  <c r="Y255" i="17" s="1"/>
  <c r="AA205" i="17"/>
  <c r="Z205" i="17" s="1"/>
  <c r="Y205" i="17" s="1"/>
  <c r="AA212" i="17"/>
  <c r="Z212" i="17" s="1"/>
  <c r="Y212" i="17" s="1"/>
  <c r="AA265" i="17"/>
  <c r="Z265" i="17" s="1"/>
  <c r="Y265" i="17" s="1"/>
  <c r="AA83" i="17"/>
  <c r="Z83" i="17" s="1"/>
  <c r="Y83" i="17" s="1"/>
  <c r="AA126" i="17"/>
  <c r="Z126" i="17" s="1"/>
  <c r="Y126" i="17" s="1"/>
  <c r="AA89" i="17"/>
  <c r="Z89" i="17" s="1"/>
  <c r="Y89" i="17" s="1"/>
  <c r="AA105" i="17"/>
  <c r="Z105" i="17" s="1"/>
  <c r="Y105" i="17" s="1"/>
  <c r="AA257" i="17"/>
  <c r="Z257" i="17" s="1"/>
  <c r="Y257" i="17" s="1"/>
  <c r="AA167" i="17"/>
  <c r="Z167" i="17" s="1"/>
  <c r="Y167" i="17" s="1"/>
  <c r="AA289" i="17"/>
  <c r="Z289" i="17" s="1"/>
  <c r="Y289" i="17" s="1"/>
  <c r="AA203" i="17"/>
  <c r="Z203" i="17" s="1"/>
  <c r="Y203" i="17" s="1"/>
  <c r="AA246" i="17"/>
  <c r="Z246" i="17" s="1"/>
  <c r="Y246" i="17" s="1"/>
  <c r="AA56" i="17"/>
  <c r="Z56" i="17" s="1"/>
  <c r="Y56" i="17" s="1"/>
  <c r="AA287" i="17"/>
  <c r="Z287" i="17" s="1"/>
  <c r="Y287" i="17" s="1"/>
  <c r="AA343" i="17"/>
  <c r="Z343" i="17" s="1"/>
  <c r="Y343" i="17" s="1"/>
  <c r="AA94" i="17"/>
  <c r="Z94" i="17" s="1"/>
  <c r="Y94" i="17" s="1"/>
  <c r="AA281" i="17"/>
  <c r="Z281" i="17" s="1"/>
  <c r="Y281" i="17" s="1"/>
  <c r="AA280" i="17"/>
  <c r="Z280" i="17" s="1"/>
  <c r="Y280" i="17" s="1"/>
  <c r="AA286" i="17"/>
  <c r="Z286" i="17" s="1"/>
  <c r="Y286" i="17" s="1"/>
  <c r="H354" i="17"/>
  <c r="I354" i="17" s="1"/>
  <c r="H336" i="17"/>
  <c r="I336" i="17" s="1"/>
  <c r="AA320" i="17"/>
  <c r="Z320" i="17" s="1"/>
  <c r="Y320" i="17" s="1"/>
  <c r="G347" i="17"/>
  <c r="BZ347" i="6" s="1"/>
  <c r="H347" i="17"/>
  <c r="J347" i="17" s="1"/>
  <c r="G266" i="17"/>
  <c r="BZ266" i="6" s="1"/>
  <c r="H266" i="17"/>
  <c r="I266" i="17" s="1"/>
  <c r="G86" i="17"/>
  <c r="BZ86" i="6" s="1"/>
  <c r="H86" i="17"/>
  <c r="J86" i="17" s="1"/>
  <c r="G69" i="17"/>
  <c r="BZ69" i="6" s="1"/>
  <c r="H69" i="17"/>
  <c r="I69" i="17" s="1"/>
  <c r="G372" i="17"/>
  <c r="BZ372" i="6" s="1"/>
  <c r="H372" i="17"/>
  <c r="J372" i="17" s="1"/>
  <c r="G373" i="17"/>
  <c r="BZ373" i="6" s="1"/>
  <c r="H373" i="17"/>
  <c r="I373" i="17" s="1"/>
  <c r="G131" i="17"/>
  <c r="BZ131" i="6" s="1"/>
  <c r="H131" i="17"/>
  <c r="J131" i="17" s="1"/>
  <c r="H212" i="17"/>
  <c r="I212" i="17" s="1"/>
  <c r="G212" i="17"/>
  <c r="BZ212" i="6" s="1"/>
  <c r="G310" i="17"/>
  <c r="BZ310" i="6" s="1"/>
  <c r="H310" i="17"/>
  <c r="J310" i="17" s="1"/>
  <c r="G356" i="17"/>
  <c r="BZ356" i="6" s="1"/>
  <c r="H356" i="17"/>
  <c r="J356" i="17" s="1"/>
  <c r="G246" i="17"/>
  <c r="BZ246" i="6" s="1"/>
  <c r="H246" i="17"/>
  <c r="J246" i="17" s="1"/>
  <c r="G162" i="17"/>
  <c r="BZ162" i="6" s="1"/>
  <c r="H162" i="17"/>
  <c r="J162" i="17" s="1"/>
  <c r="H97" i="17"/>
  <c r="G97" i="17"/>
  <c r="BZ97" i="6" s="1"/>
  <c r="G358" i="17"/>
  <c r="BZ358" i="6" s="1"/>
  <c r="H358" i="17"/>
  <c r="J358" i="17" s="1"/>
  <c r="G316" i="17"/>
  <c r="BZ316" i="6" s="1"/>
  <c r="H316" i="17"/>
  <c r="I316" i="17" s="1"/>
  <c r="G284" i="17"/>
  <c r="BZ284" i="6" s="1"/>
  <c r="H284" i="17"/>
  <c r="I284" i="17" s="1"/>
  <c r="G128" i="17"/>
  <c r="BZ128" i="6" s="1"/>
  <c r="H128" i="17"/>
  <c r="I128" i="17" s="1"/>
  <c r="AA259" i="17"/>
  <c r="Z259" i="17" s="1"/>
  <c r="Y259" i="17" s="1"/>
  <c r="AA50" i="17"/>
  <c r="Z50" i="17" s="1"/>
  <c r="Y50" i="17" s="1"/>
  <c r="AA356" i="17"/>
  <c r="Z356" i="17" s="1"/>
  <c r="Y356" i="17" s="1"/>
  <c r="AA128" i="17"/>
  <c r="Z128" i="17" s="1"/>
  <c r="Y128" i="17" s="1"/>
  <c r="AA39" i="17"/>
  <c r="Z39" i="17" s="1"/>
  <c r="Y39" i="17" s="1"/>
  <c r="AA326" i="17"/>
  <c r="Z326" i="17" s="1"/>
  <c r="Y326" i="17" s="1"/>
  <c r="AA266" i="17"/>
  <c r="Z266" i="17" s="1"/>
  <c r="Y266" i="17" s="1"/>
  <c r="AA223" i="17"/>
  <c r="Z223" i="17" s="1"/>
  <c r="Y223" i="17" s="1"/>
  <c r="AA357" i="17"/>
  <c r="Z357" i="17" s="1"/>
  <c r="Y357" i="17" s="1"/>
  <c r="AA310" i="17"/>
  <c r="Z310" i="17" s="1"/>
  <c r="Y310" i="17" s="1"/>
  <c r="AA227" i="17"/>
  <c r="Z227" i="17" s="1"/>
  <c r="Y227" i="17" s="1"/>
  <c r="AA365" i="17"/>
  <c r="Z365" i="17" s="1"/>
  <c r="Y365" i="17" s="1"/>
  <c r="AA69" i="17"/>
  <c r="Z69" i="17" s="1"/>
  <c r="Y69" i="17" s="1"/>
  <c r="AA202" i="17"/>
  <c r="Z202" i="17" s="1"/>
  <c r="Y202" i="17" s="1"/>
  <c r="AA80" i="17"/>
  <c r="Z80" i="17" s="1"/>
  <c r="Y80" i="17" s="1"/>
  <c r="AA206" i="17"/>
  <c r="Z206" i="17" s="1"/>
  <c r="Y206" i="17" s="1"/>
  <c r="AA207" i="17"/>
  <c r="Z207" i="17" s="1"/>
  <c r="Y207" i="17" s="1"/>
  <c r="AA85" i="17"/>
  <c r="Z85" i="17" s="1"/>
  <c r="Y85" i="17" s="1"/>
  <c r="AA97" i="17"/>
  <c r="Z97" i="17" s="1"/>
  <c r="Y97" i="17" s="1"/>
  <c r="AA96" i="17"/>
  <c r="Z96" i="17" s="1"/>
  <c r="Y96" i="17" s="1"/>
  <c r="AA341" i="17"/>
  <c r="Z341" i="17" s="1"/>
  <c r="Y341" i="17" s="1"/>
  <c r="AA104" i="17"/>
  <c r="Z104" i="17" s="1"/>
  <c r="Y104" i="17" s="1"/>
  <c r="AA375" i="17"/>
  <c r="Z375" i="17" s="1"/>
  <c r="Y375" i="17" s="1"/>
  <c r="AA233" i="17"/>
  <c r="Z233" i="17" s="1"/>
  <c r="Y233" i="17" s="1"/>
  <c r="AA106" i="17"/>
  <c r="Z106" i="17" s="1"/>
  <c r="Y106" i="17" s="1"/>
  <c r="AA183" i="17"/>
  <c r="Z183" i="17" s="1"/>
  <c r="Y183" i="17" s="1"/>
  <c r="G318" i="17"/>
  <c r="BZ318" i="6" s="1"/>
  <c r="AA125" i="17"/>
  <c r="Z125" i="17" s="1"/>
  <c r="Y125" i="17" s="1"/>
  <c r="AA132" i="17"/>
  <c r="Z132" i="17" s="1"/>
  <c r="Y132" i="17" s="1"/>
  <c r="AA377" i="17"/>
  <c r="Z377" i="17" s="1"/>
  <c r="Y377" i="17" s="1"/>
  <c r="AA373" i="17"/>
  <c r="Z373" i="17" s="1"/>
  <c r="Y373" i="17" s="1"/>
  <c r="AA354" i="17"/>
  <c r="Z354" i="17" s="1"/>
  <c r="Y354" i="17" s="1"/>
  <c r="AA172" i="17"/>
  <c r="Z172" i="17" s="1"/>
  <c r="Y172" i="17" s="1"/>
  <c r="AA55" i="17"/>
  <c r="Z55" i="17" s="1"/>
  <c r="Y55" i="17" s="1"/>
  <c r="AA276" i="17"/>
  <c r="Z276" i="17" s="1"/>
  <c r="Y276" i="17" s="1"/>
  <c r="AA165" i="17"/>
  <c r="Z165" i="17" s="1"/>
  <c r="Y165" i="17" s="1"/>
  <c r="AA299" i="17"/>
  <c r="Z299" i="17" s="1"/>
  <c r="Y299" i="17" s="1"/>
  <c r="AA184" i="17"/>
  <c r="Z184" i="17" s="1"/>
  <c r="Y184" i="17" s="1"/>
  <c r="AA250" i="17"/>
  <c r="Z250" i="17" s="1"/>
  <c r="Y250" i="17" s="1"/>
  <c r="AA108" i="17"/>
  <c r="Z108" i="17" s="1"/>
  <c r="Y108" i="17" s="1"/>
  <c r="AA182" i="17"/>
  <c r="Z182" i="17" s="1"/>
  <c r="Y182" i="17" s="1"/>
  <c r="AA358" i="17"/>
  <c r="Z358" i="17" s="1"/>
  <c r="Y358" i="17" s="1"/>
  <c r="AA66" i="17"/>
  <c r="Z66" i="17" s="1"/>
  <c r="Y66" i="17" s="1"/>
  <c r="AA100" i="17"/>
  <c r="Z100" i="17" s="1"/>
  <c r="Y100" i="17" s="1"/>
  <c r="AA179" i="17"/>
  <c r="Z179" i="17" s="1"/>
  <c r="Y179" i="17" s="1"/>
  <c r="AA187" i="17"/>
  <c r="Z187" i="17" s="1"/>
  <c r="Y187" i="17" s="1"/>
  <c r="AA346" i="17"/>
  <c r="Z346" i="17" s="1"/>
  <c r="Y346" i="17" s="1"/>
  <c r="AA59" i="17"/>
  <c r="Z59" i="17" s="1"/>
  <c r="Y59" i="17" s="1"/>
  <c r="AA193" i="17"/>
  <c r="Z193" i="17" s="1"/>
  <c r="Y193" i="17" s="1"/>
  <c r="AA86" i="17"/>
  <c r="Z86" i="17" s="1"/>
  <c r="Y86" i="17" s="1"/>
  <c r="AA178" i="17"/>
  <c r="Z178" i="17" s="1"/>
  <c r="Y178" i="17" s="1"/>
  <c r="AA142" i="17"/>
  <c r="Z142" i="17" s="1"/>
  <c r="Y142" i="17" s="1"/>
  <c r="AA248" i="17"/>
  <c r="Z248" i="17" s="1"/>
  <c r="Y248" i="17" s="1"/>
  <c r="AA226" i="17"/>
  <c r="Z226" i="17" s="1"/>
  <c r="Y226" i="17" s="1"/>
  <c r="AA221" i="17"/>
  <c r="Z221" i="17" s="1"/>
  <c r="Y221" i="17" s="1"/>
  <c r="AA240" i="17"/>
  <c r="Z240" i="17" s="1"/>
  <c r="Y240" i="17" s="1"/>
  <c r="AA322" i="17"/>
  <c r="Z322" i="17" s="1"/>
  <c r="Y322" i="17" s="1"/>
  <c r="H205" i="17"/>
  <c r="J205" i="17" s="1"/>
  <c r="G207" i="17"/>
  <c r="BZ207" i="6" s="1"/>
  <c r="H322" i="17"/>
  <c r="J322" i="17" s="1"/>
  <c r="G286" i="17"/>
  <c r="BZ286" i="6" s="1"/>
  <c r="H255" i="17"/>
  <c r="I255" i="17" s="1"/>
  <c r="G127" i="17"/>
  <c r="BZ127" i="6" s="1"/>
  <c r="H110" i="17"/>
  <c r="J110" i="17" s="1"/>
  <c r="G179" i="17"/>
  <c r="BZ179" i="6" s="1"/>
  <c r="H328" i="17"/>
  <c r="I328" i="17" s="1"/>
  <c r="G377" i="17"/>
  <c r="BZ377" i="6" s="1"/>
  <c r="G250" i="17"/>
  <c r="BZ250" i="6" s="1"/>
  <c r="H280" i="17"/>
  <c r="J280" i="17" s="1"/>
  <c r="G231" i="17"/>
  <c r="BZ231" i="6" s="1"/>
  <c r="H326" i="17"/>
  <c r="I326" i="17" s="1"/>
  <c r="H289" i="17"/>
  <c r="I289" i="17" s="1"/>
  <c r="H299" i="17"/>
  <c r="J299" i="17" s="1"/>
  <c r="H108" i="17"/>
  <c r="I108" i="17" s="1"/>
  <c r="H233" i="17"/>
  <c r="J233" i="17" s="1"/>
  <c r="H276" i="17"/>
  <c r="J276" i="17" s="1"/>
  <c r="H98" i="17"/>
  <c r="J98" i="17" s="1"/>
  <c r="H206" i="17"/>
  <c r="J206" i="17" s="1"/>
  <c r="H46" i="17"/>
  <c r="J46" i="17" s="1"/>
  <c r="H106" i="17"/>
  <c r="I106" i="17" s="1"/>
  <c r="AA63" i="17"/>
  <c r="Z63" i="17" s="1"/>
  <c r="Y63" i="17" s="1"/>
  <c r="AA372" i="17"/>
  <c r="Z372" i="17" s="1"/>
  <c r="Y372" i="17" s="1"/>
  <c r="AA316" i="17"/>
  <c r="Z316" i="17" s="1"/>
  <c r="Y316" i="17" s="1"/>
  <c r="AA330" i="17"/>
  <c r="Z330" i="17" s="1"/>
  <c r="Y330" i="17" s="1"/>
  <c r="AA336" i="17"/>
  <c r="Z336" i="17" s="1"/>
  <c r="Y336" i="17" s="1"/>
  <c r="AA283" i="17"/>
  <c r="Z283" i="17" s="1"/>
  <c r="Y283" i="17" s="1"/>
  <c r="AA324" i="17"/>
  <c r="Z324" i="17" s="1"/>
  <c r="Y324" i="17" s="1"/>
  <c r="AA347" i="17"/>
  <c r="Z347" i="17" s="1"/>
  <c r="Y347" i="17" s="1"/>
  <c r="AA328" i="17"/>
  <c r="Z328" i="17" s="1"/>
  <c r="Y328" i="17" s="1"/>
  <c r="AA231" i="17"/>
  <c r="Z231" i="17" s="1"/>
  <c r="Y231" i="17" s="1"/>
  <c r="AA218" i="17"/>
  <c r="Z218" i="17" s="1"/>
  <c r="Y218" i="17" s="1"/>
  <c r="AA204" i="17"/>
  <c r="Z204" i="17" s="1"/>
  <c r="Y204" i="17" s="1"/>
  <c r="AA151" i="17"/>
  <c r="Z151" i="17" s="1"/>
  <c r="Y151" i="17" s="1"/>
  <c r="AA225" i="17"/>
  <c r="Z225" i="17" s="1"/>
  <c r="Y225" i="17" s="1"/>
  <c r="AA157" i="17"/>
  <c r="Z157" i="17" s="1"/>
  <c r="Y157" i="17" s="1"/>
  <c r="AA224" i="17"/>
  <c r="Z224" i="17" s="1"/>
  <c r="Y224" i="17" s="1"/>
  <c r="AA131" i="17"/>
  <c r="Z131" i="17" s="1"/>
  <c r="Y131" i="17" s="1"/>
  <c r="AA127" i="17"/>
  <c r="Z127" i="17" s="1"/>
  <c r="Y127" i="17" s="1"/>
  <c r="AA129" i="17"/>
  <c r="Z129" i="17" s="1"/>
  <c r="Y129" i="17" s="1"/>
  <c r="AA378" i="17"/>
  <c r="Z378" i="17" s="1"/>
  <c r="Y378" i="17" s="1"/>
  <c r="AA46" i="17"/>
  <c r="Z46" i="17" s="1"/>
  <c r="Y46" i="17" s="1"/>
  <c r="AA75" i="17"/>
  <c r="Z75" i="17" s="1"/>
  <c r="Y75" i="17" s="1"/>
  <c r="AA170" i="17"/>
  <c r="Z170" i="17" s="1"/>
  <c r="Y170" i="17" s="1"/>
  <c r="AA162" i="17"/>
  <c r="Z162" i="17" s="1"/>
  <c r="Y162" i="17" s="1"/>
  <c r="AA376" i="17"/>
  <c r="Z376" i="17" s="1"/>
  <c r="Y376" i="17" s="1"/>
  <c r="AA155" i="17"/>
  <c r="Z155" i="17" s="1"/>
  <c r="Y155" i="17" s="1"/>
  <c r="H330" i="17"/>
  <c r="I330" i="17" s="1"/>
  <c r="H227" i="17"/>
  <c r="J227" i="17" s="1"/>
  <c r="H94" i="17"/>
  <c r="I94" i="17" s="1"/>
  <c r="H167" i="17"/>
  <c r="I167" i="17" s="1"/>
  <c r="AA62" i="17"/>
  <c r="Z62" i="17" s="1"/>
  <c r="Y62" i="17" s="1"/>
  <c r="AA173" i="17"/>
  <c r="Z173" i="17" s="1"/>
  <c r="Y173" i="17" s="1"/>
  <c r="AA159" i="17"/>
  <c r="Z159" i="17" s="1"/>
  <c r="Y159" i="17" s="1"/>
  <c r="J332" i="17"/>
  <c r="AA348" i="17"/>
  <c r="Z348" i="17" s="1"/>
  <c r="Y348" i="17" s="1"/>
  <c r="AA217" i="17"/>
  <c r="Z217" i="17" s="1"/>
  <c r="Y217" i="17" s="1"/>
  <c r="AA371" i="17"/>
  <c r="Z371" i="17" s="1"/>
  <c r="Y371" i="17" s="1"/>
  <c r="AA171" i="17"/>
  <c r="Z171" i="17" s="1"/>
  <c r="Y171" i="17" s="1"/>
  <c r="AA209" i="17"/>
  <c r="Z209" i="17" s="1"/>
  <c r="Y209" i="17" s="1"/>
  <c r="AA114" i="17"/>
  <c r="Z114" i="17" s="1"/>
  <c r="Y114" i="17" s="1"/>
  <c r="H70" i="17"/>
  <c r="I70" i="17" s="1"/>
  <c r="H18" i="17"/>
  <c r="I18" i="17" s="1"/>
  <c r="G120" i="17"/>
  <c r="BZ120" i="6" s="1"/>
  <c r="G138" i="17"/>
  <c r="BZ138" i="6" s="1"/>
  <c r="H249" i="17"/>
  <c r="J249" i="17" s="1"/>
  <c r="G28" i="17"/>
  <c r="BZ28" i="6" s="1"/>
  <c r="H277" i="17"/>
  <c r="I277" i="17" s="1"/>
  <c r="H232" i="17"/>
  <c r="J232" i="17" s="1"/>
  <c r="H112" i="17"/>
  <c r="J112" i="17" s="1"/>
  <c r="H329" i="17"/>
  <c r="I329" i="17" s="1"/>
  <c r="G123" i="17"/>
  <c r="BZ123" i="6" s="1"/>
  <c r="H342" i="17"/>
  <c r="I342" i="17" s="1"/>
  <c r="H160" i="17"/>
  <c r="J160" i="17" s="1"/>
  <c r="H197" i="17"/>
  <c r="J197" i="17" s="1"/>
  <c r="H27" i="17"/>
  <c r="J27" i="17" s="1"/>
  <c r="H188" i="17"/>
  <c r="J188" i="17" s="1"/>
  <c r="H40" i="17"/>
  <c r="I40" i="17" s="1"/>
  <c r="G307" i="17"/>
  <c r="BZ307" i="6" s="1"/>
  <c r="G72" i="17"/>
  <c r="BZ72" i="6" s="1"/>
  <c r="H36" i="17"/>
  <c r="I36" i="17" s="1"/>
  <c r="H367" i="17"/>
  <c r="J367" i="17" s="1"/>
  <c r="H261" i="17"/>
  <c r="J261" i="17" s="1"/>
  <c r="G288" i="17"/>
  <c r="BZ288" i="6" s="1"/>
  <c r="G351" i="17"/>
  <c r="BZ351" i="6" s="1"/>
  <c r="H211" i="17"/>
  <c r="J211" i="17" s="1"/>
  <c r="H37" i="17"/>
  <c r="J37" i="17" s="1"/>
  <c r="AA332" i="17"/>
  <c r="Z332" i="17" s="1"/>
  <c r="Y332" i="17" s="1"/>
  <c r="H271" i="17"/>
  <c r="J271" i="17" s="1"/>
  <c r="H31" i="17"/>
  <c r="J31" i="17" s="1"/>
  <c r="H143" i="17"/>
  <c r="J143" i="17" s="1"/>
  <c r="H297" i="17"/>
  <c r="J297" i="17" s="1"/>
  <c r="H114" i="17"/>
  <c r="I114" i="17" s="1"/>
  <c r="H141" i="17"/>
  <c r="I141" i="17" s="1"/>
  <c r="H175" i="17"/>
  <c r="J175" i="17" s="1"/>
  <c r="H194" i="17"/>
  <c r="I194" i="17" s="1"/>
  <c r="H244" i="17"/>
  <c r="J244" i="17" s="1"/>
  <c r="H79" i="17"/>
  <c r="J79" i="17" s="1"/>
  <c r="H54" i="17"/>
  <c r="J54" i="17" s="1"/>
  <c r="G350" i="17"/>
  <c r="BZ350" i="6" s="1"/>
  <c r="H35" i="17"/>
  <c r="J35" i="17" s="1"/>
  <c r="H321" i="17"/>
  <c r="J321" i="17" s="1"/>
  <c r="G368" i="17"/>
  <c r="BZ368" i="6" s="1"/>
  <c r="G95" i="17"/>
  <c r="BZ95" i="6" s="1"/>
  <c r="G84" i="17"/>
  <c r="BZ84" i="6" s="1"/>
  <c r="AA345" i="17"/>
  <c r="Z345" i="17" s="1"/>
  <c r="Y345" i="17" s="1"/>
  <c r="H92" i="17"/>
  <c r="I92" i="17" s="1"/>
  <c r="H25" i="17"/>
  <c r="I25" i="17" s="1"/>
  <c r="H290" i="17"/>
  <c r="J290" i="17" s="1"/>
  <c r="H260" i="17"/>
  <c r="J260" i="17" s="1"/>
  <c r="H278" i="17"/>
  <c r="I278" i="17" s="1"/>
  <c r="H264" i="17"/>
  <c r="J264" i="17" s="1"/>
  <c r="G215" i="17"/>
  <c r="BZ215" i="6" s="1"/>
  <c r="H109" i="17"/>
  <c r="J109" i="17" s="1"/>
  <c r="H345" i="17"/>
  <c r="I345" i="17" s="1"/>
  <c r="H64" i="17"/>
  <c r="I64" i="17" s="1"/>
  <c r="G301" i="17"/>
  <c r="BZ301" i="6" s="1"/>
  <c r="AA154" i="17"/>
  <c r="Z154" i="17" s="1"/>
  <c r="Y154" i="17" s="1"/>
  <c r="AA199" i="17"/>
  <c r="Z199" i="17" s="1"/>
  <c r="Y199" i="17" s="1"/>
  <c r="AA263" i="17"/>
  <c r="Z263" i="17" s="1"/>
  <c r="Y263" i="17" s="1"/>
  <c r="AA258" i="17"/>
  <c r="Z258" i="17" s="1"/>
  <c r="Y258" i="17" s="1"/>
  <c r="AA298" i="17"/>
  <c r="Z298" i="17" s="1"/>
  <c r="Y298" i="17" s="1"/>
  <c r="AA124" i="17"/>
  <c r="Z124" i="17" s="1"/>
  <c r="Y124" i="17" s="1"/>
  <c r="AA143" i="17"/>
  <c r="Z143" i="17" s="1"/>
  <c r="Y143" i="17" s="1"/>
  <c r="AA164" i="17"/>
  <c r="Z164" i="17" s="1"/>
  <c r="Y164" i="17" s="1"/>
  <c r="AA215" i="17"/>
  <c r="Z215" i="17" s="1"/>
  <c r="Y215" i="17" s="1"/>
  <c r="AA71" i="17"/>
  <c r="Z71" i="17" s="1"/>
  <c r="Y71" i="17" s="1"/>
  <c r="AA198" i="17"/>
  <c r="Z198" i="17" s="1"/>
  <c r="Y198" i="17" s="1"/>
  <c r="AA45" i="17"/>
  <c r="Z45" i="17" s="1"/>
  <c r="Y45" i="17" s="1"/>
  <c r="AA232" i="17"/>
  <c r="Z232" i="17" s="1"/>
  <c r="Y232" i="17" s="1"/>
  <c r="AA40" i="17"/>
  <c r="Z40" i="17" s="1"/>
  <c r="Y40" i="17" s="1"/>
  <c r="AA211" i="17"/>
  <c r="Z211" i="17" s="1"/>
  <c r="Y211" i="17" s="1"/>
  <c r="AA43" i="17"/>
  <c r="Z43" i="17" s="1"/>
  <c r="Y43" i="17" s="1"/>
  <c r="AA73" i="17"/>
  <c r="Z73" i="17" s="1"/>
  <c r="Y73" i="17" s="1"/>
  <c r="AA306" i="17"/>
  <c r="Z306" i="17" s="1"/>
  <c r="Y306" i="17" s="1"/>
  <c r="AA41" i="17"/>
  <c r="Z41" i="17" s="1"/>
  <c r="Y41" i="17" s="1"/>
  <c r="AA214" i="17"/>
  <c r="Z214" i="17" s="1"/>
  <c r="Y214" i="17" s="1"/>
  <c r="AA249" i="17"/>
  <c r="Z249" i="17" s="1"/>
  <c r="Y249" i="17" s="1"/>
  <c r="AA339" i="17"/>
  <c r="Z339" i="17" s="1"/>
  <c r="Y339" i="17" s="1"/>
  <c r="AA360" i="17"/>
  <c r="Z360" i="17" s="1"/>
  <c r="Y360" i="17" s="1"/>
  <c r="AA25" i="17"/>
  <c r="Z25" i="17" s="1"/>
  <c r="Y25" i="17" s="1"/>
  <c r="AA307" i="17"/>
  <c r="Z307" i="17" s="1"/>
  <c r="Y307" i="17" s="1"/>
  <c r="AA160" i="17"/>
  <c r="Z160" i="17" s="1"/>
  <c r="Y160" i="17" s="1"/>
  <c r="AA35" i="17"/>
  <c r="Z35" i="17" s="1"/>
  <c r="Y35" i="17" s="1"/>
  <c r="AA148" i="17"/>
  <c r="Z148" i="17" s="1"/>
  <c r="Y148" i="17" s="1"/>
  <c r="AA244" i="17"/>
  <c r="Z244" i="17" s="1"/>
  <c r="Y244" i="17" s="1"/>
  <c r="AA18" i="17"/>
  <c r="Z18" i="17" s="1"/>
  <c r="Y18" i="17" s="1"/>
  <c r="AA123" i="17"/>
  <c r="Z123" i="17" s="1"/>
  <c r="Y123" i="17" s="1"/>
  <c r="AA36" i="17"/>
  <c r="Z36" i="17" s="1"/>
  <c r="Y36" i="17" s="1"/>
  <c r="AA291" i="17"/>
  <c r="Z291" i="17" s="1"/>
  <c r="Y291" i="17" s="1"/>
  <c r="AA288" i="17"/>
  <c r="Z288" i="17" s="1"/>
  <c r="Y288" i="17" s="1"/>
  <c r="AA329" i="17"/>
  <c r="Z329" i="17" s="1"/>
  <c r="Y329" i="17" s="1"/>
  <c r="AA95" i="17"/>
  <c r="Z95" i="17" s="1"/>
  <c r="Y95" i="17" s="1"/>
  <c r="AA351" i="17"/>
  <c r="Z351" i="17" s="1"/>
  <c r="Y351" i="17" s="1"/>
  <c r="H331" i="17"/>
  <c r="I331" i="17" s="1"/>
  <c r="H349" i="17"/>
  <c r="I349" i="17" s="1"/>
  <c r="AA308" i="17"/>
  <c r="Z308" i="17" s="1"/>
  <c r="Y308" i="17" s="1"/>
  <c r="AA331" i="17"/>
  <c r="Z331" i="17" s="1"/>
  <c r="Y331" i="17" s="1"/>
  <c r="AA261" i="17"/>
  <c r="Z261" i="17" s="1"/>
  <c r="Y261" i="17" s="1"/>
  <c r="AA141" i="17"/>
  <c r="Z141" i="17" s="1"/>
  <c r="Y141" i="17" s="1"/>
  <c r="AA270" i="17"/>
  <c r="Z270" i="17" s="1"/>
  <c r="Y270" i="17" s="1"/>
  <c r="AA44" i="17"/>
  <c r="Z44" i="17" s="1"/>
  <c r="Y44" i="17" s="1"/>
  <c r="AA146" i="17"/>
  <c r="Z146" i="17" s="1"/>
  <c r="Y146" i="17" s="1"/>
  <c r="AA48" i="17"/>
  <c r="Z48" i="17" s="1"/>
  <c r="Y48" i="17" s="1"/>
  <c r="AA277" i="17"/>
  <c r="Z277" i="17" s="1"/>
  <c r="Y277" i="17" s="1"/>
  <c r="AA28" i="17"/>
  <c r="Z28" i="17" s="1"/>
  <c r="Y28" i="17" s="1"/>
  <c r="AA238" i="17"/>
  <c r="Z238" i="17" s="1"/>
  <c r="Y238" i="17" s="1"/>
  <c r="AA54" i="17"/>
  <c r="Z54" i="17" s="1"/>
  <c r="Y54" i="17" s="1"/>
  <c r="AA297" i="17"/>
  <c r="Z297" i="17" s="1"/>
  <c r="Y297" i="17" s="1"/>
  <c r="AA27" i="17"/>
  <c r="Z27" i="17" s="1"/>
  <c r="Y27" i="17" s="1"/>
  <c r="AA267" i="17"/>
  <c r="Z267" i="17" s="1"/>
  <c r="Y267" i="17" s="1"/>
  <c r="AA130" i="17"/>
  <c r="Z130" i="17" s="1"/>
  <c r="Y130" i="17" s="1"/>
  <c r="AA135" i="17"/>
  <c r="Z135" i="17" s="1"/>
  <c r="Y135" i="17" s="1"/>
  <c r="AA368" i="17"/>
  <c r="Z368" i="17" s="1"/>
  <c r="Y368" i="17" s="1"/>
  <c r="H135" i="17"/>
  <c r="I135" i="17" s="1"/>
  <c r="U383" i="17"/>
  <c r="H130" i="17"/>
  <c r="I130" i="17" s="1"/>
  <c r="H362" i="17"/>
  <c r="I362" i="17" s="1"/>
  <c r="H192" i="17"/>
  <c r="J192" i="17" s="1"/>
  <c r="H22" i="17"/>
  <c r="I22" i="17" s="1"/>
  <c r="H41" i="17"/>
  <c r="I41" i="17" s="1"/>
  <c r="H177" i="17"/>
  <c r="J177" i="17" s="1"/>
  <c r="H43" i="17"/>
  <c r="J43" i="17" s="1"/>
  <c r="H61" i="17"/>
  <c r="J61" i="17" s="1"/>
  <c r="H156" i="17"/>
  <c r="I156" i="17" s="1"/>
  <c r="H161" i="17"/>
  <c r="I161" i="17" s="1"/>
  <c r="H51" i="17"/>
  <c r="I51" i="17" s="1"/>
  <c r="H146" i="17"/>
  <c r="J146" i="17" s="1"/>
  <c r="G332" i="17"/>
  <c r="BZ332" i="6" s="1"/>
  <c r="H298" i="17"/>
  <c r="J298" i="17" s="1"/>
  <c r="H230" i="17"/>
  <c r="I230" i="17" s="1"/>
  <c r="E8" i="23"/>
  <c r="K18" i="19" s="1"/>
  <c r="K42" i="19" s="1"/>
  <c r="E7" i="23"/>
  <c r="O382" i="22"/>
  <c r="O381" i="22"/>
  <c r="O383" i="22"/>
  <c r="AC381" i="22"/>
  <c r="AC383" i="22"/>
  <c r="AC382" i="22"/>
  <c r="D64" i="19"/>
  <c r="J379" i="16"/>
  <c r="I320" i="16"/>
  <c r="H320" i="17" s="1"/>
  <c r="J320" i="17" s="1"/>
  <c r="J360" i="17"/>
  <c r="Q383" i="18"/>
  <c r="AI381" i="17"/>
  <c r="AI382" i="17"/>
  <c r="V379" i="17"/>
  <c r="F379" i="17" s="1"/>
  <c r="AA379" i="17" s="1"/>
  <c r="Q381" i="18"/>
  <c r="J33" i="17"/>
  <c r="J67" i="17"/>
  <c r="I215" i="17"/>
  <c r="J145" i="17"/>
  <c r="I251" i="17"/>
  <c r="J168" i="17"/>
  <c r="AL13" i="1"/>
  <c r="J23" i="17"/>
  <c r="I176" i="17"/>
  <c r="J140" i="17"/>
  <c r="I300" i="17"/>
  <c r="I195" i="17"/>
  <c r="I210" i="16"/>
  <c r="F81" i="17"/>
  <c r="AA81" i="17" s="1"/>
  <c r="Z81" i="17" s="1"/>
  <c r="Y81" i="17" s="1"/>
  <c r="G64" i="19"/>
  <c r="K64" i="19"/>
  <c r="AA285" i="17"/>
  <c r="Z285" i="17" s="1"/>
  <c r="Y285" i="17" s="1"/>
  <c r="H285" i="17"/>
  <c r="G285" i="17"/>
  <c r="BZ285" i="6" s="1"/>
  <c r="G242" i="17"/>
  <c r="BZ242" i="6" s="1"/>
  <c r="H242" i="17"/>
  <c r="AA242" i="17"/>
  <c r="Z242" i="17" s="1"/>
  <c r="Y242" i="17" s="1"/>
  <c r="I228" i="17"/>
  <c r="AA52" i="17"/>
  <c r="Z52" i="17" s="1"/>
  <c r="Y52" i="17" s="1"/>
  <c r="H52" i="17"/>
  <c r="G52" i="17"/>
  <c r="BZ52" i="6" s="1"/>
  <c r="AA117" i="17"/>
  <c r="Z117" i="17" s="1"/>
  <c r="Y117" i="17" s="1"/>
  <c r="G117" i="17"/>
  <c r="BZ117" i="6" s="1"/>
  <c r="H117" i="17"/>
  <c r="J380" i="18"/>
  <c r="C380" i="6" s="1"/>
  <c r="I380" i="18"/>
  <c r="I259" i="16"/>
  <c r="H259" i="17" s="1"/>
  <c r="J259" i="16"/>
  <c r="J291" i="17"/>
  <c r="I291" i="17"/>
  <c r="J120" i="17"/>
  <c r="I120" i="17"/>
  <c r="J199" i="17"/>
  <c r="I199" i="17"/>
  <c r="J223" i="17"/>
  <c r="I223" i="17"/>
  <c r="J138" i="17"/>
  <c r="I138" i="17"/>
  <c r="J123" i="17"/>
  <c r="I123" i="17"/>
  <c r="J122" i="17"/>
  <c r="I122" i="17"/>
  <c r="I237" i="17"/>
  <c r="J237" i="17"/>
  <c r="I258" i="17"/>
  <c r="J258" i="17"/>
  <c r="I30" i="17"/>
  <c r="J30" i="17"/>
  <c r="G53" i="17"/>
  <c r="BZ53" i="6" s="1"/>
  <c r="AA53" i="17"/>
  <c r="Z53" i="17" s="1"/>
  <c r="Y53" i="17" s="1"/>
  <c r="H53" i="17"/>
  <c r="J80" i="17"/>
  <c r="I80" i="17"/>
  <c r="I171" i="17"/>
  <c r="J171" i="17"/>
  <c r="J263" i="17"/>
  <c r="I263" i="17"/>
  <c r="I288" i="17"/>
  <c r="J288" i="17"/>
  <c r="J351" i="17"/>
  <c r="I351" i="17"/>
  <c r="I62" i="17"/>
  <c r="J62" i="17"/>
  <c r="J152" i="17"/>
  <c r="I152" i="17"/>
  <c r="J133" i="17"/>
  <c r="I133" i="17"/>
  <c r="J220" i="17"/>
  <c r="I220" i="17"/>
  <c r="J137" i="17"/>
  <c r="I137" i="17"/>
  <c r="G295" i="17"/>
  <c r="BZ295" i="6" s="1"/>
  <c r="AA295" i="17"/>
  <c r="Z295" i="17" s="1"/>
  <c r="Y295" i="17" s="1"/>
  <c r="H295" i="17"/>
  <c r="I366" i="17"/>
  <c r="J366" i="17"/>
  <c r="I74" i="17"/>
  <c r="J74" i="17"/>
  <c r="R381" i="16"/>
  <c r="R382" i="16"/>
  <c r="P15" i="16"/>
  <c r="R383" i="16"/>
  <c r="J180" i="16"/>
  <c r="I180" i="16"/>
  <c r="H180" i="17" s="1"/>
  <c r="Q10" i="20"/>
  <c r="AE31" i="20" s="1"/>
  <c r="J77" i="16"/>
  <c r="I77" i="16"/>
  <c r="H77" i="17" s="1"/>
  <c r="J136" i="16"/>
  <c r="I136" i="16"/>
  <c r="H136" i="17" s="1"/>
  <c r="J303" i="17"/>
  <c r="I348" i="17"/>
  <c r="J348" i="17"/>
  <c r="I359" i="17"/>
  <c r="J359" i="17"/>
  <c r="I196" i="17"/>
  <c r="J196" i="17"/>
  <c r="J282" i="17"/>
  <c r="I282" i="17"/>
  <c r="I207" i="17"/>
  <c r="J207" i="17"/>
  <c r="AA302" i="17"/>
  <c r="Z302" i="17" s="1"/>
  <c r="Y302" i="17" s="1"/>
  <c r="H302" i="17"/>
  <c r="G302" i="17"/>
  <c r="BZ302" i="6" s="1"/>
  <c r="J275" i="17"/>
  <c r="I275" i="17"/>
  <c r="I214" i="17"/>
  <c r="J214" i="17"/>
  <c r="I134" i="17"/>
  <c r="J134" i="17"/>
  <c r="J102" i="17"/>
  <c r="AA16" i="7"/>
  <c r="I87" i="17"/>
  <c r="I186" i="17"/>
  <c r="J186" i="17"/>
  <c r="I247" i="17"/>
  <c r="J247" i="17"/>
  <c r="I315" i="17"/>
  <c r="I213" i="17"/>
  <c r="J213" i="17"/>
  <c r="J374" i="17"/>
  <c r="I374" i="17"/>
  <c r="G29" i="17"/>
  <c r="BZ29" i="6" s="1"/>
  <c r="AA29" i="17"/>
  <c r="Z29" i="17" s="1"/>
  <c r="Y29" i="17" s="1"/>
  <c r="H29" i="17"/>
  <c r="I262" i="17"/>
  <c r="J262" i="17"/>
  <c r="AA153" i="17"/>
  <c r="Z153" i="17" s="1"/>
  <c r="Y153" i="17" s="1"/>
  <c r="G153" i="17"/>
  <c r="BZ153" i="6" s="1"/>
  <c r="H153" i="17"/>
  <c r="E64" i="19"/>
  <c r="I129" i="17"/>
  <c r="J129" i="17"/>
  <c r="AA49" i="17"/>
  <c r="Z49" i="17" s="1"/>
  <c r="Y49" i="17" s="1"/>
  <c r="G49" i="17"/>
  <c r="BZ49" i="6" s="1"/>
  <c r="H49" i="17"/>
  <c r="G296" i="17"/>
  <c r="BZ296" i="6" s="1"/>
  <c r="H296" i="17"/>
  <c r="AA296" i="17"/>
  <c r="Z296" i="17" s="1"/>
  <c r="Y296" i="17" s="1"/>
  <c r="I38" i="17"/>
  <c r="J38" i="17"/>
  <c r="I231" i="17"/>
  <c r="J231" i="17"/>
  <c r="I96" i="17"/>
  <c r="J96" i="17"/>
  <c r="F15" i="15"/>
  <c r="V380" i="15"/>
  <c r="V382" i="15" s="1"/>
  <c r="B62" i="19"/>
  <c r="N62" i="19" s="1"/>
  <c r="I375" i="17"/>
  <c r="J375" i="17"/>
  <c r="I28" i="17"/>
  <c r="J28" i="17"/>
  <c r="AA180" i="17"/>
  <c r="Z180" i="17" s="1"/>
  <c r="Y180" i="17" s="1"/>
  <c r="G180" i="17"/>
  <c r="BZ180" i="6" s="1"/>
  <c r="J170" i="17"/>
  <c r="I170" i="17"/>
  <c r="I305" i="17"/>
  <c r="J305" i="17"/>
  <c r="F174" i="17"/>
  <c r="I307" i="17"/>
  <c r="J307" i="17"/>
  <c r="I72" i="17"/>
  <c r="J72" i="17"/>
  <c r="I16" i="17"/>
  <c r="J16" i="17"/>
  <c r="I126" i="17"/>
  <c r="J126" i="17"/>
  <c r="I90" i="17"/>
  <c r="J90" i="17"/>
  <c r="J341" i="17"/>
  <c r="I341" i="17"/>
  <c r="J378" i="17"/>
  <c r="I378" i="17"/>
  <c r="J304" i="17"/>
  <c r="I304" i="17"/>
  <c r="I353" i="17"/>
  <c r="J353" i="17"/>
  <c r="J208" i="17"/>
  <c r="J107" i="17"/>
  <c r="I107" i="17"/>
  <c r="J26" i="17"/>
  <c r="I26" i="17"/>
  <c r="I32" i="17"/>
  <c r="J32" i="17"/>
  <c r="I311" i="17"/>
  <c r="J311" i="17"/>
  <c r="I75" i="16"/>
  <c r="H75" i="17" s="1"/>
  <c r="J75" i="16"/>
  <c r="AH381" i="17"/>
  <c r="AG15" i="17"/>
  <c r="AH383" i="17"/>
  <c r="AL5" i="1"/>
  <c r="X9" i="1"/>
  <c r="AM6" i="1"/>
  <c r="AM12" i="1" s="1"/>
  <c r="Y383" i="1"/>
  <c r="Y382" i="1"/>
  <c r="Y381" i="1"/>
  <c r="AF381" i="16"/>
  <c r="AF383" i="16"/>
  <c r="AF382" i="16"/>
  <c r="AD15" i="16"/>
  <c r="J369" i="17"/>
  <c r="I369" i="17"/>
  <c r="I323" i="17"/>
  <c r="J323" i="17"/>
  <c r="J113" i="17"/>
  <c r="I113" i="17"/>
  <c r="H363" i="17"/>
  <c r="AA363" i="17"/>
  <c r="Z363" i="17" s="1"/>
  <c r="Y363" i="17" s="1"/>
  <c r="G363" i="17"/>
  <c r="BZ363" i="6" s="1"/>
  <c r="J158" i="17"/>
  <c r="I158" i="17"/>
  <c r="I99" i="17"/>
  <c r="J99" i="17"/>
  <c r="AA88" i="17"/>
  <c r="Z88" i="17" s="1"/>
  <c r="Y88" i="17" s="1"/>
  <c r="H88" i="17"/>
  <c r="G88" i="17"/>
  <c r="BZ88" i="6" s="1"/>
  <c r="I313" i="17"/>
  <c r="J313" i="17"/>
  <c r="G119" i="17"/>
  <c r="BZ119" i="6" s="1"/>
  <c r="H119" i="17"/>
  <c r="AA119" i="17"/>
  <c r="Z119" i="17" s="1"/>
  <c r="Y119" i="17" s="1"/>
  <c r="F149" i="17"/>
  <c r="F64" i="19"/>
  <c r="J169" i="17"/>
  <c r="I169" i="17"/>
  <c r="I245" i="17"/>
  <c r="J245" i="17"/>
  <c r="J222" i="17"/>
  <c r="I222" i="17"/>
  <c r="AA364" i="17"/>
  <c r="Z364" i="17" s="1"/>
  <c r="Y364" i="17" s="1"/>
  <c r="G364" i="17"/>
  <c r="BZ364" i="6" s="1"/>
  <c r="H364" i="17"/>
  <c r="J78" i="17"/>
  <c r="I78" i="17"/>
  <c r="I93" i="17"/>
  <c r="J93" i="17"/>
  <c r="F319" i="17"/>
  <c r="H319" i="17" s="1"/>
  <c r="S15" i="17"/>
  <c r="J292" i="17"/>
  <c r="I292" i="17"/>
  <c r="J335" i="17"/>
  <c r="I335" i="17"/>
  <c r="I350" i="17"/>
  <c r="J350" i="17"/>
  <c r="J250" i="17"/>
  <c r="I250" i="17"/>
  <c r="F111" i="17"/>
  <c r="F272" i="17"/>
  <c r="J64" i="19"/>
  <c r="J84" i="17"/>
  <c r="I84" i="17"/>
  <c r="AE383" i="18"/>
  <c r="AE382" i="18"/>
  <c r="AE381" i="18"/>
  <c r="Z166" i="17"/>
  <c r="D135" i="18"/>
  <c r="E135" i="18" s="1"/>
  <c r="T382" i="17" l="1"/>
  <c r="J82" i="17"/>
  <c r="I115" i="17"/>
  <c r="J101" i="17"/>
  <c r="J127" i="17"/>
  <c r="I235" i="17"/>
  <c r="J191" i="17"/>
  <c r="I243" i="17"/>
  <c r="AE28" i="20"/>
  <c r="J312" i="17"/>
  <c r="I314" i="17"/>
  <c r="I147" i="17"/>
  <c r="AE86" i="20"/>
  <c r="AE83" i="20"/>
  <c r="I43" i="17"/>
  <c r="I368" i="17"/>
  <c r="J42" i="17"/>
  <c r="J142" i="17"/>
  <c r="J95" i="17"/>
  <c r="I200" i="17"/>
  <c r="AE57" i="20"/>
  <c r="AE38" i="20"/>
  <c r="AE87" i="20"/>
  <c r="T381" i="17"/>
  <c r="T383" i="17"/>
  <c r="AH382" i="17"/>
  <c r="J163" i="17"/>
  <c r="J185" i="17"/>
  <c r="J317" i="17"/>
  <c r="J116" i="17"/>
  <c r="J65" i="17"/>
  <c r="I265" i="17"/>
  <c r="J268" i="17"/>
  <c r="J340" i="17"/>
  <c r="J157" i="17"/>
  <c r="J274" i="17"/>
  <c r="I293" i="17"/>
  <c r="J76" i="17"/>
  <c r="J181" i="17"/>
  <c r="I121" i="17"/>
  <c r="J325" i="17"/>
  <c r="J44" i="17"/>
  <c r="J334" i="17"/>
  <c r="J189" i="17"/>
  <c r="I252" i="17"/>
  <c r="J355" i="17"/>
  <c r="J344" i="17"/>
  <c r="I34" i="17"/>
  <c r="J216" i="17"/>
  <c r="J187" i="17"/>
  <c r="J178" i="17"/>
  <c r="J104" i="17"/>
  <c r="J370" i="17"/>
  <c r="J234" i="17"/>
  <c r="I91" i="17"/>
  <c r="I17" i="17"/>
  <c r="J105" i="17"/>
  <c r="I227" i="17"/>
  <c r="I337" i="17"/>
  <c r="I100" i="17"/>
  <c r="I236" i="17"/>
  <c r="J377" i="17"/>
  <c r="I219" i="17"/>
  <c r="J229" i="17"/>
  <c r="I261" i="17"/>
  <c r="I198" i="17"/>
  <c r="J204" i="17"/>
  <c r="J106" i="17"/>
  <c r="J58" i="17"/>
  <c r="J308" i="17"/>
  <c r="J166" i="17"/>
  <c r="I361" i="17"/>
  <c r="J144" i="17"/>
  <c r="J286" i="17"/>
  <c r="J357" i="17"/>
  <c r="I267" i="17"/>
  <c r="I226" i="17"/>
  <c r="I306" i="17"/>
  <c r="L64" i="19"/>
  <c r="H333" i="17"/>
  <c r="I333" i="17" s="1"/>
  <c r="J21" i="17"/>
  <c r="I118" i="17"/>
  <c r="I309" i="17"/>
  <c r="I24" i="17"/>
  <c r="F210" i="17"/>
  <c r="H210" i="17" s="1"/>
  <c r="I257" i="17"/>
  <c r="J19" i="17"/>
  <c r="J73" i="17"/>
  <c r="I279" i="17"/>
  <c r="J238" i="17"/>
  <c r="J254" i="17"/>
  <c r="J71" i="17"/>
  <c r="I256" i="17"/>
  <c r="J371" i="17"/>
  <c r="J318" i="17"/>
  <c r="J108" i="17"/>
  <c r="J135" i="17"/>
  <c r="I273" i="17"/>
  <c r="J139" i="17"/>
  <c r="J179" i="17"/>
  <c r="J45" i="17"/>
  <c r="I46" i="17"/>
  <c r="I159" i="17"/>
  <c r="I221" i="17"/>
  <c r="I253" i="17"/>
  <c r="AA333" i="17"/>
  <c r="Z333" i="17" s="1"/>
  <c r="Y333" i="17" s="1"/>
  <c r="J270" i="17"/>
  <c r="J217" i="17"/>
  <c r="I339" i="17"/>
  <c r="I209" i="17"/>
  <c r="J327" i="17"/>
  <c r="J269" i="17"/>
  <c r="J59" i="17"/>
  <c r="I297" i="17"/>
  <c r="J225" i="17"/>
  <c r="I55" i="17"/>
  <c r="J240" i="17"/>
  <c r="J66" i="17"/>
  <c r="J184" i="17"/>
  <c r="J224" i="17"/>
  <c r="J336" i="17"/>
  <c r="I148" i="17"/>
  <c r="J161" i="17"/>
  <c r="I146" i="17"/>
  <c r="I48" i="17"/>
  <c r="I190" i="17"/>
  <c r="I150" i="17"/>
  <c r="I110" i="17"/>
  <c r="J154" i="17"/>
  <c r="I322" i="17"/>
  <c r="I201" i="17"/>
  <c r="J183" i="17"/>
  <c r="I287" i="17"/>
  <c r="I188" i="17"/>
  <c r="I202" i="17"/>
  <c r="G60" i="17"/>
  <c r="BZ60" i="6" s="1"/>
  <c r="I346" i="17"/>
  <c r="I165" i="17"/>
  <c r="J239" i="17"/>
  <c r="I57" i="17"/>
  <c r="I35" i="17"/>
  <c r="J328" i="17"/>
  <c r="J255" i="17"/>
  <c r="I143" i="17"/>
  <c r="J203" i="17"/>
  <c r="I173" i="17"/>
  <c r="J172" i="17"/>
  <c r="I68" i="17"/>
  <c r="H60" i="17"/>
  <c r="I60" i="17" s="1"/>
  <c r="J125" i="17"/>
  <c r="J39" i="17"/>
  <c r="F241" i="17"/>
  <c r="H241" i="17" s="1"/>
  <c r="J329" i="17"/>
  <c r="I338" i="17"/>
  <c r="I294" i="17"/>
  <c r="J47" i="17"/>
  <c r="I103" i="17"/>
  <c r="AI147" i="18"/>
  <c r="AH147" i="18" s="1"/>
  <c r="AG147" i="18" s="1"/>
  <c r="AF147" i="18" s="1"/>
  <c r="AI35" i="18"/>
  <c r="AH35" i="18" s="1"/>
  <c r="AG35" i="18" s="1"/>
  <c r="AF35" i="18" s="1"/>
  <c r="AD35" i="18" s="1"/>
  <c r="AI19" i="18"/>
  <c r="AH19" i="18" s="1"/>
  <c r="AG19" i="18" s="1"/>
  <c r="AF19" i="18" s="1"/>
  <c r="AD19" i="18" s="1"/>
  <c r="AI277" i="18"/>
  <c r="AH277" i="18" s="1"/>
  <c r="AG277" i="18" s="1"/>
  <c r="AF277" i="18" s="1"/>
  <c r="AI347" i="18"/>
  <c r="AH347" i="18" s="1"/>
  <c r="AG347" i="18" s="1"/>
  <c r="AF347" i="18" s="1"/>
  <c r="AI248" i="18"/>
  <c r="AH248" i="18" s="1"/>
  <c r="AG248" i="18" s="1"/>
  <c r="AF248" i="18" s="1"/>
  <c r="AI318" i="18"/>
  <c r="AH318" i="18" s="1"/>
  <c r="AG318" i="18" s="1"/>
  <c r="AF318" i="18" s="1"/>
  <c r="AD318" i="18" s="1"/>
  <c r="AI88" i="18"/>
  <c r="AH88" i="18" s="1"/>
  <c r="AG88" i="18" s="1"/>
  <c r="AF88" i="18" s="1"/>
  <c r="AD88" i="18" s="1"/>
  <c r="AI276" i="18"/>
  <c r="AH276" i="18" s="1"/>
  <c r="AI336" i="18"/>
  <c r="AH336" i="18" s="1"/>
  <c r="AG336" i="18" s="1"/>
  <c r="AF336" i="18" s="1"/>
  <c r="AD336" i="18" s="1"/>
  <c r="AI17" i="18"/>
  <c r="AH17" i="18" s="1"/>
  <c r="AG17" i="18" s="1"/>
  <c r="AF17" i="18" s="1"/>
  <c r="AD17" i="18" s="1"/>
  <c r="U376" i="18"/>
  <c r="T376" i="18" s="1"/>
  <c r="S376" i="18" s="1"/>
  <c r="R376" i="18" s="1"/>
  <c r="P376" i="18" s="1"/>
  <c r="V376" i="18" s="1"/>
  <c r="U116" i="18"/>
  <c r="T116" i="18" s="1"/>
  <c r="S116" i="18" s="1"/>
  <c r="R116" i="18" s="1"/>
  <c r="P116" i="18" s="1"/>
  <c r="V116" i="18" s="1"/>
  <c r="U47" i="18"/>
  <c r="T47" i="18" s="1"/>
  <c r="S47" i="18" s="1"/>
  <c r="R47" i="18" s="1"/>
  <c r="P47" i="18" s="1"/>
  <c r="V47" i="18" s="1"/>
  <c r="U333" i="18"/>
  <c r="T333" i="18" s="1"/>
  <c r="S333" i="18" s="1"/>
  <c r="R333" i="18" s="1"/>
  <c r="P333" i="18" s="1"/>
  <c r="D78" i="7" s="1"/>
  <c r="U102" i="18"/>
  <c r="T102" i="18" s="1"/>
  <c r="S102" i="18" s="1"/>
  <c r="R102" i="18" s="1"/>
  <c r="P102" i="18" s="1"/>
  <c r="V102" i="18" s="1"/>
  <c r="U322" i="18"/>
  <c r="T322" i="18" s="1"/>
  <c r="S322" i="18" s="1"/>
  <c r="R322" i="18" s="1"/>
  <c r="P322" i="18" s="1"/>
  <c r="V322" i="18" s="1"/>
  <c r="U53" i="18"/>
  <c r="T53" i="18" s="1"/>
  <c r="S53" i="18" s="1"/>
  <c r="R53" i="18" s="1"/>
  <c r="P53" i="18" s="1"/>
  <c r="V53" i="18" s="1"/>
  <c r="U16" i="18"/>
  <c r="T16" i="18" s="1"/>
  <c r="S16" i="18" s="1"/>
  <c r="R16" i="18" s="1"/>
  <c r="P16" i="18" s="1"/>
  <c r="V16" i="18" s="1"/>
  <c r="U159" i="18"/>
  <c r="T159" i="18" s="1"/>
  <c r="S159" i="18" s="1"/>
  <c r="R159" i="18" s="1"/>
  <c r="P159" i="18" s="1"/>
  <c r="V159" i="18" s="1"/>
  <c r="U26" i="18"/>
  <c r="T26" i="18" s="1"/>
  <c r="S26" i="18" s="1"/>
  <c r="R26" i="18" s="1"/>
  <c r="P26" i="18" s="1"/>
  <c r="V26" i="18" s="1"/>
  <c r="U56" i="18"/>
  <c r="T56" i="18" s="1"/>
  <c r="S56" i="18" s="1"/>
  <c r="R56" i="18" s="1"/>
  <c r="P56" i="18" s="1"/>
  <c r="V56" i="18" s="1"/>
  <c r="U21" i="18"/>
  <c r="T21" i="18" s="1"/>
  <c r="S21" i="18" s="1"/>
  <c r="R21" i="18" s="1"/>
  <c r="P21" i="18" s="1"/>
  <c r="V21" i="18" s="1"/>
  <c r="U364" i="18"/>
  <c r="T364" i="18" s="1"/>
  <c r="S364" i="18" s="1"/>
  <c r="R364" i="18" s="1"/>
  <c r="P364" i="18" s="1"/>
  <c r="V364" i="18" s="1"/>
  <c r="U265" i="18"/>
  <c r="T265" i="18" s="1"/>
  <c r="S265" i="18" s="1"/>
  <c r="R265" i="18" s="1"/>
  <c r="P265" i="18" s="1"/>
  <c r="V265" i="18" s="1"/>
  <c r="U205" i="18"/>
  <c r="T205" i="18" s="1"/>
  <c r="S205" i="18" s="1"/>
  <c r="R205" i="18" s="1"/>
  <c r="P205" i="18" s="1"/>
  <c r="V205" i="18" s="1"/>
  <c r="U148" i="18"/>
  <c r="T148" i="18" s="1"/>
  <c r="S148" i="18" s="1"/>
  <c r="R148" i="18" s="1"/>
  <c r="P148" i="18" s="1"/>
  <c r="V148" i="18" s="1"/>
  <c r="U292" i="18"/>
  <c r="T292" i="18" s="1"/>
  <c r="S292" i="18" s="1"/>
  <c r="R292" i="18" s="1"/>
  <c r="P292" i="18" s="1"/>
  <c r="V292" i="18" s="1"/>
  <c r="U291" i="18"/>
  <c r="T291" i="18" s="1"/>
  <c r="S291" i="18" s="1"/>
  <c r="R291" i="18" s="1"/>
  <c r="P291" i="18" s="1"/>
  <c r="V291" i="18" s="1"/>
  <c r="U50" i="18"/>
  <c r="T50" i="18" s="1"/>
  <c r="S50" i="18" s="1"/>
  <c r="R50" i="18" s="1"/>
  <c r="P50" i="18" s="1"/>
  <c r="V50" i="18" s="1"/>
  <c r="U76" i="18"/>
  <c r="T76" i="18" s="1"/>
  <c r="S76" i="18" s="1"/>
  <c r="R76" i="18" s="1"/>
  <c r="P76" i="18" s="1"/>
  <c r="V76" i="18" s="1"/>
  <c r="U312" i="18"/>
  <c r="T312" i="18" s="1"/>
  <c r="S312" i="18" s="1"/>
  <c r="R312" i="18" s="1"/>
  <c r="P312" i="18" s="1"/>
  <c r="V312" i="18" s="1"/>
  <c r="U24" i="18"/>
  <c r="T24" i="18" s="1"/>
  <c r="S24" i="18" s="1"/>
  <c r="R24" i="18" s="1"/>
  <c r="P24" i="18" s="1"/>
  <c r="V24" i="18" s="1"/>
  <c r="U146" i="18"/>
  <c r="T146" i="18" s="1"/>
  <c r="S146" i="18" s="1"/>
  <c r="R146" i="18" s="1"/>
  <c r="P146" i="18" s="1"/>
  <c r="V146" i="18" s="1"/>
  <c r="U87" i="18"/>
  <c r="T87" i="18" s="1"/>
  <c r="S87" i="18" s="1"/>
  <c r="R87" i="18" s="1"/>
  <c r="P87" i="18" s="1"/>
  <c r="V87" i="18" s="1"/>
  <c r="U200" i="18"/>
  <c r="T200" i="18" s="1"/>
  <c r="S200" i="18" s="1"/>
  <c r="R200" i="18" s="1"/>
  <c r="P200" i="18" s="1"/>
  <c r="V200" i="18" s="1"/>
  <c r="U272" i="18"/>
  <c r="T272" i="18" s="1"/>
  <c r="S272" i="18" s="1"/>
  <c r="R272" i="18" s="1"/>
  <c r="P272" i="18" s="1"/>
  <c r="V272" i="18" s="1"/>
  <c r="U71" i="18"/>
  <c r="T71" i="18" s="1"/>
  <c r="S71" i="18" s="1"/>
  <c r="R71" i="18" s="1"/>
  <c r="P71" i="18" s="1"/>
  <c r="V71" i="18" s="1"/>
  <c r="U107" i="18"/>
  <c r="T107" i="18" s="1"/>
  <c r="S107" i="18" s="1"/>
  <c r="R107" i="18" s="1"/>
  <c r="P107" i="18" s="1"/>
  <c r="V107" i="18" s="1"/>
  <c r="U23" i="18"/>
  <c r="T23" i="18" s="1"/>
  <c r="S23" i="18" s="1"/>
  <c r="R23" i="18" s="1"/>
  <c r="P23" i="18" s="1"/>
  <c r="V23" i="18" s="1"/>
  <c r="U223" i="18"/>
  <c r="T223" i="18" s="1"/>
  <c r="S223" i="18" s="1"/>
  <c r="R223" i="18" s="1"/>
  <c r="P223" i="18" s="1"/>
  <c r="V223" i="18" s="1"/>
  <c r="U241" i="18"/>
  <c r="T241" i="18" s="1"/>
  <c r="S241" i="18" s="1"/>
  <c r="R241" i="18" s="1"/>
  <c r="P241" i="18" s="1"/>
  <c r="D75" i="7" s="1"/>
  <c r="U114" i="18"/>
  <c r="T114" i="18" s="1"/>
  <c r="S114" i="18" s="1"/>
  <c r="R114" i="18" s="1"/>
  <c r="P114" i="18" s="1"/>
  <c r="V114" i="18" s="1"/>
  <c r="U154" i="18"/>
  <c r="T154" i="18" s="1"/>
  <c r="S154" i="18" s="1"/>
  <c r="R154" i="18" s="1"/>
  <c r="P154" i="18" s="1"/>
  <c r="V154" i="18" s="1"/>
  <c r="U202" i="18"/>
  <c r="T202" i="18" s="1"/>
  <c r="S202" i="18" s="1"/>
  <c r="R202" i="18" s="1"/>
  <c r="P202" i="18" s="1"/>
  <c r="V202" i="18" s="1"/>
  <c r="U244" i="18"/>
  <c r="T244" i="18" s="1"/>
  <c r="S244" i="18" s="1"/>
  <c r="R244" i="18" s="1"/>
  <c r="P244" i="18" s="1"/>
  <c r="V244" i="18" s="1"/>
  <c r="AI112" i="18"/>
  <c r="AH112" i="18" s="1"/>
  <c r="AG112" i="18" s="1"/>
  <c r="AF112" i="18" s="1"/>
  <c r="AI111" i="18"/>
  <c r="AH111" i="18" s="1"/>
  <c r="AG111" i="18" s="1"/>
  <c r="AF111" i="18" s="1"/>
  <c r="AD111" i="18" s="1"/>
  <c r="AI229" i="18"/>
  <c r="AH229" i="18" s="1"/>
  <c r="AG229" i="18" s="1"/>
  <c r="AF229" i="18" s="1"/>
  <c r="AD229" i="18" s="1"/>
  <c r="AI25" i="18"/>
  <c r="AH25" i="18" s="1"/>
  <c r="AG25" i="18" s="1"/>
  <c r="AF25" i="18" s="1"/>
  <c r="AD25" i="18" s="1"/>
  <c r="U141" i="18"/>
  <c r="T141" i="18" s="1"/>
  <c r="S141" i="18" s="1"/>
  <c r="R141" i="18" s="1"/>
  <c r="P141" i="18" s="1"/>
  <c r="V141" i="18" s="1"/>
  <c r="U196" i="18"/>
  <c r="T196" i="18" s="1"/>
  <c r="S196" i="18" s="1"/>
  <c r="R196" i="18" s="1"/>
  <c r="P196" i="18" s="1"/>
  <c r="V196" i="18" s="1"/>
  <c r="U357" i="18"/>
  <c r="T357" i="18" s="1"/>
  <c r="S357" i="18" s="1"/>
  <c r="R357" i="18" s="1"/>
  <c r="P357" i="18" s="1"/>
  <c r="V357" i="18" s="1"/>
  <c r="U83" i="18"/>
  <c r="T83" i="18" s="1"/>
  <c r="S83" i="18" s="1"/>
  <c r="R83" i="18" s="1"/>
  <c r="P83" i="18" s="1"/>
  <c r="V83" i="18" s="1"/>
  <c r="U106" i="18"/>
  <c r="T106" i="18" s="1"/>
  <c r="S106" i="18" s="1"/>
  <c r="R106" i="18" s="1"/>
  <c r="P106" i="18" s="1"/>
  <c r="V106" i="18" s="1"/>
  <c r="U358" i="18"/>
  <c r="T358" i="18" s="1"/>
  <c r="S358" i="18" s="1"/>
  <c r="R358" i="18" s="1"/>
  <c r="P358" i="18" s="1"/>
  <c r="V358" i="18" s="1"/>
  <c r="U296" i="18"/>
  <c r="T296" i="18" s="1"/>
  <c r="S296" i="18" s="1"/>
  <c r="R296" i="18" s="1"/>
  <c r="P296" i="18" s="1"/>
  <c r="V296" i="18" s="1"/>
  <c r="U365" i="18"/>
  <c r="T365" i="18" s="1"/>
  <c r="S365" i="18" s="1"/>
  <c r="R365" i="18" s="1"/>
  <c r="P365" i="18" s="1"/>
  <c r="V365" i="18" s="1"/>
  <c r="U257" i="18"/>
  <c r="T257" i="18" s="1"/>
  <c r="S257" i="18" s="1"/>
  <c r="R257" i="18" s="1"/>
  <c r="P257" i="18" s="1"/>
  <c r="V257" i="18" s="1"/>
  <c r="U165" i="18"/>
  <c r="T165" i="18" s="1"/>
  <c r="S165" i="18" s="1"/>
  <c r="R165" i="18" s="1"/>
  <c r="P165" i="18" s="1"/>
  <c r="V165" i="18" s="1"/>
  <c r="U73" i="18"/>
  <c r="T73" i="18" s="1"/>
  <c r="S73" i="18" s="1"/>
  <c r="R73" i="18" s="1"/>
  <c r="P73" i="18" s="1"/>
  <c r="V73" i="18" s="1"/>
  <c r="U248" i="18"/>
  <c r="T248" i="18" s="1"/>
  <c r="S248" i="18" s="1"/>
  <c r="R248" i="18" s="1"/>
  <c r="P248" i="18" s="1"/>
  <c r="V248" i="18" s="1"/>
  <c r="U377" i="18"/>
  <c r="T377" i="18" s="1"/>
  <c r="S377" i="18" s="1"/>
  <c r="R377" i="18" s="1"/>
  <c r="P377" i="18" s="1"/>
  <c r="V377" i="18" s="1"/>
  <c r="U168" i="18"/>
  <c r="T168" i="18" s="1"/>
  <c r="S168" i="18" s="1"/>
  <c r="R168" i="18" s="1"/>
  <c r="P168" i="18" s="1"/>
  <c r="V168" i="18" s="1"/>
  <c r="U366" i="18"/>
  <c r="T366" i="18" s="1"/>
  <c r="S366" i="18" s="1"/>
  <c r="R366" i="18" s="1"/>
  <c r="P366" i="18" s="1"/>
  <c r="V366" i="18" s="1"/>
  <c r="U184" i="18"/>
  <c r="T184" i="18" s="1"/>
  <c r="S184" i="18" s="1"/>
  <c r="R184" i="18" s="1"/>
  <c r="P184" i="18" s="1"/>
  <c r="V184" i="18" s="1"/>
  <c r="U263" i="18"/>
  <c r="T263" i="18" s="1"/>
  <c r="S263" i="18" s="1"/>
  <c r="R263" i="18" s="1"/>
  <c r="P263" i="18" s="1"/>
  <c r="V263" i="18" s="1"/>
  <c r="U178" i="18"/>
  <c r="T178" i="18" s="1"/>
  <c r="S178" i="18" s="1"/>
  <c r="R178" i="18" s="1"/>
  <c r="P178" i="18" s="1"/>
  <c r="V178" i="18" s="1"/>
  <c r="AI305" i="18"/>
  <c r="AH305" i="18" s="1"/>
  <c r="AG305" i="18" s="1"/>
  <c r="AF305" i="18" s="1"/>
  <c r="AD305" i="18" s="1"/>
  <c r="AI65" i="18"/>
  <c r="AH65" i="18" s="1"/>
  <c r="AG65" i="18" s="1"/>
  <c r="AF65" i="18" s="1"/>
  <c r="AD65" i="18" s="1"/>
  <c r="AI206" i="18"/>
  <c r="AH206" i="18" s="1"/>
  <c r="AG206" i="18" s="1"/>
  <c r="AF206" i="18" s="1"/>
  <c r="AI183" i="18"/>
  <c r="AH183" i="18" s="1"/>
  <c r="AG183" i="18" s="1"/>
  <c r="AF183" i="18" s="1"/>
  <c r="AI243" i="18"/>
  <c r="AH243" i="18" s="1"/>
  <c r="AG243" i="18" s="1"/>
  <c r="AF243" i="18" s="1"/>
  <c r="AD243" i="18" s="1"/>
  <c r="AI188" i="18"/>
  <c r="AH188" i="18" s="1"/>
  <c r="AI165" i="18"/>
  <c r="AH165" i="18" s="1"/>
  <c r="AG165" i="18" s="1"/>
  <c r="AF165" i="18" s="1"/>
  <c r="AD165" i="18" s="1"/>
  <c r="U275" i="18"/>
  <c r="T275" i="18" s="1"/>
  <c r="S275" i="18" s="1"/>
  <c r="R275" i="18" s="1"/>
  <c r="P275" i="18" s="1"/>
  <c r="V275" i="18" s="1"/>
  <c r="U208" i="18"/>
  <c r="T208" i="18" s="1"/>
  <c r="S208" i="18" s="1"/>
  <c r="R208" i="18" s="1"/>
  <c r="P208" i="18" s="1"/>
  <c r="V208" i="18" s="1"/>
  <c r="U345" i="18"/>
  <c r="T345" i="18" s="1"/>
  <c r="S345" i="18" s="1"/>
  <c r="R345" i="18" s="1"/>
  <c r="P345" i="18" s="1"/>
  <c r="V345" i="18" s="1"/>
  <c r="U214" i="18"/>
  <c r="T214" i="18" s="1"/>
  <c r="S214" i="18" s="1"/>
  <c r="R214" i="18" s="1"/>
  <c r="P214" i="18" s="1"/>
  <c r="V214" i="18" s="1"/>
  <c r="U289" i="18"/>
  <c r="T289" i="18" s="1"/>
  <c r="S289" i="18" s="1"/>
  <c r="R289" i="18" s="1"/>
  <c r="P289" i="18" s="1"/>
  <c r="V289" i="18" s="1"/>
  <c r="U342" i="18"/>
  <c r="T342" i="18" s="1"/>
  <c r="S342" i="18" s="1"/>
  <c r="R342" i="18" s="1"/>
  <c r="P342" i="18" s="1"/>
  <c r="V342" i="18" s="1"/>
  <c r="U253" i="18"/>
  <c r="T253" i="18" s="1"/>
  <c r="S253" i="18" s="1"/>
  <c r="R253" i="18" s="1"/>
  <c r="P253" i="18" s="1"/>
  <c r="V253" i="18" s="1"/>
  <c r="U195" i="18"/>
  <c r="T195" i="18" s="1"/>
  <c r="S195" i="18" s="1"/>
  <c r="R195" i="18" s="1"/>
  <c r="P195" i="18" s="1"/>
  <c r="V195" i="18" s="1"/>
  <c r="U360" i="18"/>
  <c r="T360" i="18" s="1"/>
  <c r="S360" i="18" s="1"/>
  <c r="R360" i="18" s="1"/>
  <c r="P360" i="18" s="1"/>
  <c r="V360" i="18" s="1"/>
  <c r="U118" i="18"/>
  <c r="T118" i="18" s="1"/>
  <c r="S118" i="18" s="1"/>
  <c r="R118" i="18" s="1"/>
  <c r="P118" i="18" s="1"/>
  <c r="V118" i="18" s="1"/>
  <c r="U46" i="18"/>
  <c r="T46" i="18" s="1"/>
  <c r="S46" i="18" s="1"/>
  <c r="R46" i="18" s="1"/>
  <c r="P46" i="18" s="1"/>
  <c r="V46" i="18" s="1"/>
  <c r="U229" i="18"/>
  <c r="T229" i="18" s="1"/>
  <c r="S229" i="18" s="1"/>
  <c r="R229" i="18" s="1"/>
  <c r="P229" i="18" s="1"/>
  <c r="V229" i="18" s="1"/>
  <c r="U316" i="18"/>
  <c r="T316" i="18" s="1"/>
  <c r="S316" i="18" s="1"/>
  <c r="R316" i="18" s="1"/>
  <c r="P316" i="18" s="1"/>
  <c r="V316" i="18" s="1"/>
  <c r="U344" i="18"/>
  <c r="T344" i="18" s="1"/>
  <c r="S344" i="18" s="1"/>
  <c r="R344" i="18" s="1"/>
  <c r="P344" i="18" s="1"/>
  <c r="V344" i="18" s="1"/>
  <c r="U80" i="18"/>
  <c r="T80" i="18" s="1"/>
  <c r="S80" i="18" s="1"/>
  <c r="R80" i="18" s="1"/>
  <c r="P80" i="18" s="1"/>
  <c r="V80" i="18" s="1"/>
  <c r="U64" i="18"/>
  <c r="T64" i="18" s="1"/>
  <c r="S64" i="18" s="1"/>
  <c r="R64" i="18" s="1"/>
  <c r="P64" i="18" s="1"/>
  <c r="V64" i="18" s="1"/>
  <c r="U135" i="18"/>
  <c r="T135" i="18" s="1"/>
  <c r="S135" i="18" s="1"/>
  <c r="R135" i="18" s="1"/>
  <c r="P135" i="18" s="1"/>
  <c r="V135" i="18" s="1"/>
  <c r="W135" i="18" s="1"/>
  <c r="J167" i="17"/>
  <c r="J124" i="17"/>
  <c r="J63" i="17"/>
  <c r="J343" i="17"/>
  <c r="I83" i="17"/>
  <c r="J283" i="17"/>
  <c r="I206" i="17"/>
  <c r="J289" i="17"/>
  <c r="I20" i="17"/>
  <c r="J20" i="17"/>
  <c r="AA21" i="17"/>
  <c r="Z21" i="17" s="1"/>
  <c r="Y21" i="17" s="1"/>
  <c r="G352" i="17"/>
  <c r="BZ352" i="6" s="1"/>
  <c r="AA352" i="17"/>
  <c r="Z352" i="17" s="1"/>
  <c r="Y352" i="17" s="1"/>
  <c r="C64" i="19"/>
  <c r="I54" i="17"/>
  <c r="I175" i="17"/>
  <c r="J114" i="17"/>
  <c r="I271" i="17"/>
  <c r="I197" i="17"/>
  <c r="J342" i="17"/>
  <c r="I232" i="17"/>
  <c r="I244" i="17"/>
  <c r="I37" i="17"/>
  <c r="J36" i="17"/>
  <c r="J18" i="17"/>
  <c r="J345" i="17"/>
  <c r="I61" i="17"/>
  <c r="I276" i="17"/>
  <c r="J362" i="17"/>
  <c r="I298" i="17"/>
  <c r="J22" i="17"/>
  <c r="J212" i="17"/>
  <c r="G21" i="17"/>
  <c r="BZ21" i="6" s="1"/>
  <c r="J89" i="17"/>
  <c r="J326" i="17"/>
  <c r="J50" i="17"/>
  <c r="J365" i="17"/>
  <c r="J85" i="17"/>
  <c r="I211" i="17"/>
  <c r="I281" i="17"/>
  <c r="I164" i="17"/>
  <c r="I182" i="17"/>
  <c r="I280" i="17"/>
  <c r="J248" i="17"/>
  <c r="I31" i="17"/>
  <c r="J155" i="17"/>
  <c r="J151" i="17"/>
  <c r="J193" i="17"/>
  <c r="I160" i="17"/>
  <c r="J132" i="17"/>
  <c r="J354" i="17"/>
  <c r="I299" i="17"/>
  <c r="J94" i="17"/>
  <c r="J40" i="17"/>
  <c r="I249" i="17"/>
  <c r="J70" i="17"/>
  <c r="J25" i="17"/>
  <c r="I246" i="17"/>
  <c r="I233" i="17"/>
  <c r="J51" i="17"/>
  <c r="J230" i="17"/>
  <c r="I310" i="17"/>
  <c r="I324" i="17"/>
  <c r="I372" i="17"/>
  <c r="J56" i="17"/>
  <c r="AE71" i="20"/>
  <c r="AE81" i="20"/>
  <c r="AE80" i="20"/>
  <c r="AE65" i="20"/>
  <c r="AE94" i="20"/>
  <c r="I321" i="17"/>
  <c r="I367" i="17"/>
  <c r="I112" i="17"/>
  <c r="J277" i="17"/>
  <c r="I79" i="17"/>
  <c r="J194" i="17"/>
  <c r="J141" i="17"/>
  <c r="I205" i="17"/>
  <c r="I27" i="17"/>
  <c r="J349" i="17"/>
  <c r="J330" i="17"/>
  <c r="I260" i="17"/>
  <c r="I358" i="17"/>
  <c r="I264" i="17"/>
  <c r="I162" i="17"/>
  <c r="J156" i="17"/>
  <c r="I347" i="17"/>
  <c r="I192" i="17"/>
  <c r="H352" i="17"/>
  <c r="J352" i="17" s="1"/>
  <c r="J376" i="17"/>
  <c r="I218" i="17"/>
  <c r="I86" i="17"/>
  <c r="I109" i="17"/>
  <c r="J69" i="17"/>
  <c r="J64" i="17"/>
  <c r="J284" i="17"/>
  <c r="I356" i="17"/>
  <c r="J41" i="17"/>
  <c r="J128" i="17"/>
  <c r="I131" i="17"/>
  <c r="J316" i="17"/>
  <c r="J130" i="17"/>
  <c r="J373" i="17"/>
  <c r="J266" i="17"/>
  <c r="I98" i="17"/>
  <c r="I97" i="17"/>
  <c r="J97" i="17"/>
  <c r="J92" i="17"/>
  <c r="J278" i="17"/>
  <c r="I290" i="17"/>
  <c r="AE54" i="20"/>
  <c r="AE36" i="20"/>
  <c r="AE15" i="20"/>
  <c r="AE79" i="20"/>
  <c r="AE33" i="20"/>
  <c r="AE89" i="20"/>
  <c r="AE48" i="20"/>
  <c r="AE82" i="20"/>
  <c r="AE98" i="20"/>
  <c r="AE78" i="20"/>
  <c r="U187" i="18"/>
  <c r="T187" i="18" s="1"/>
  <c r="S187" i="18" s="1"/>
  <c r="R187" i="18" s="1"/>
  <c r="P187" i="18" s="1"/>
  <c r="V187" i="18" s="1"/>
  <c r="U227" i="18"/>
  <c r="T227" i="18" s="1"/>
  <c r="S227" i="18" s="1"/>
  <c r="R227" i="18" s="1"/>
  <c r="P227" i="18" s="1"/>
  <c r="V227" i="18" s="1"/>
  <c r="U169" i="18"/>
  <c r="T169" i="18" s="1"/>
  <c r="S169" i="18" s="1"/>
  <c r="R169" i="18" s="1"/>
  <c r="P169" i="18" s="1"/>
  <c r="V169" i="18" s="1"/>
  <c r="U166" i="18"/>
  <c r="T166" i="18" s="1"/>
  <c r="S166" i="18" s="1"/>
  <c r="R166" i="18" s="1"/>
  <c r="P166" i="18" s="1"/>
  <c r="V166" i="18" s="1"/>
  <c r="D166" i="18" s="1"/>
  <c r="E166" i="18" s="1"/>
  <c r="F166" i="18" s="1"/>
  <c r="G166" i="18" s="1"/>
  <c r="CA166" i="6" s="1"/>
  <c r="U211" i="18"/>
  <c r="T211" i="18" s="1"/>
  <c r="S211" i="18" s="1"/>
  <c r="R211" i="18" s="1"/>
  <c r="P211" i="18" s="1"/>
  <c r="V211" i="18" s="1"/>
  <c r="U177" i="18"/>
  <c r="T177" i="18" s="1"/>
  <c r="S177" i="18" s="1"/>
  <c r="R177" i="18" s="1"/>
  <c r="P177" i="18" s="1"/>
  <c r="V177" i="18" s="1"/>
  <c r="U233" i="18"/>
  <c r="T233" i="18" s="1"/>
  <c r="S233" i="18" s="1"/>
  <c r="R233" i="18" s="1"/>
  <c r="P233" i="18" s="1"/>
  <c r="V233" i="18" s="1"/>
  <c r="U143" i="18"/>
  <c r="T143" i="18" s="1"/>
  <c r="S143" i="18" s="1"/>
  <c r="R143" i="18" s="1"/>
  <c r="P143" i="18" s="1"/>
  <c r="V143" i="18" s="1"/>
  <c r="U179" i="18"/>
  <c r="T179" i="18" s="1"/>
  <c r="S179" i="18" s="1"/>
  <c r="R179" i="18" s="1"/>
  <c r="P179" i="18" s="1"/>
  <c r="V179" i="18" s="1"/>
  <c r="U191" i="18"/>
  <c r="T191" i="18" s="1"/>
  <c r="S191" i="18" s="1"/>
  <c r="R191" i="18" s="1"/>
  <c r="P191" i="18" s="1"/>
  <c r="V191" i="18" s="1"/>
  <c r="U218" i="18"/>
  <c r="T218" i="18" s="1"/>
  <c r="S218" i="18" s="1"/>
  <c r="R218" i="18" s="1"/>
  <c r="P218" i="18" s="1"/>
  <c r="V218" i="18" s="1"/>
  <c r="U131" i="18"/>
  <c r="T131" i="18" s="1"/>
  <c r="S131" i="18" s="1"/>
  <c r="R131" i="18" s="1"/>
  <c r="P131" i="18" s="1"/>
  <c r="V131" i="18" s="1"/>
  <c r="U61" i="18"/>
  <c r="T61" i="18" s="1"/>
  <c r="S61" i="18" s="1"/>
  <c r="R61" i="18" s="1"/>
  <c r="P61" i="18" s="1"/>
  <c r="V61" i="18" s="1"/>
  <c r="U93" i="18"/>
  <c r="T93" i="18" s="1"/>
  <c r="S93" i="18" s="1"/>
  <c r="R93" i="18" s="1"/>
  <c r="P93" i="18" s="1"/>
  <c r="V93" i="18" s="1"/>
  <c r="U363" i="18"/>
  <c r="T363" i="18" s="1"/>
  <c r="S363" i="18" s="1"/>
  <c r="R363" i="18" s="1"/>
  <c r="P363" i="18" s="1"/>
  <c r="V363" i="18" s="1"/>
  <c r="U150" i="18"/>
  <c r="T150" i="18" s="1"/>
  <c r="S150" i="18" s="1"/>
  <c r="R150" i="18" s="1"/>
  <c r="P150" i="18" s="1"/>
  <c r="V150" i="18" s="1"/>
  <c r="U63" i="18"/>
  <c r="T63" i="18" s="1"/>
  <c r="S63" i="18" s="1"/>
  <c r="R63" i="18" s="1"/>
  <c r="P63" i="18" s="1"/>
  <c r="V63" i="18" s="1"/>
  <c r="U31" i="18"/>
  <c r="T31" i="18" s="1"/>
  <c r="S31" i="18" s="1"/>
  <c r="R31" i="18" s="1"/>
  <c r="P31" i="18" s="1"/>
  <c r="V31" i="18" s="1"/>
  <c r="U319" i="18"/>
  <c r="T319" i="18" s="1"/>
  <c r="S319" i="18" s="1"/>
  <c r="R319" i="18" s="1"/>
  <c r="P319" i="18" s="1"/>
  <c r="V319" i="18" s="1"/>
  <c r="U378" i="18"/>
  <c r="T378" i="18" s="1"/>
  <c r="S378" i="18" s="1"/>
  <c r="R378" i="18" s="1"/>
  <c r="P378" i="18" s="1"/>
  <c r="V378" i="18" s="1"/>
  <c r="U33" i="18"/>
  <c r="T33" i="18" s="1"/>
  <c r="S33" i="18" s="1"/>
  <c r="R33" i="18" s="1"/>
  <c r="P33" i="18" s="1"/>
  <c r="V33" i="18" s="1"/>
  <c r="U325" i="18"/>
  <c r="T325" i="18" s="1"/>
  <c r="S325" i="18" s="1"/>
  <c r="R325" i="18" s="1"/>
  <c r="P325" i="18" s="1"/>
  <c r="V325" i="18" s="1"/>
  <c r="U15" i="18"/>
  <c r="T15" i="18" s="1"/>
  <c r="U256" i="18"/>
  <c r="T256" i="18" s="1"/>
  <c r="S256" i="18" s="1"/>
  <c r="R256" i="18" s="1"/>
  <c r="P256" i="18" s="1"/>
  <c r="V256" i="18" s="1"/>
  <c r="U209" i="18"/>
  <c r="T209" i="18" s="1"/>
  <c r="S209" i="18" s="1"/>
  <c r="R209" i="18" s="1"/>
  <c r="P209" i="18" s="1"/>
  <c r="V209" i="18" s="1"/>
  <c r="U42" i="18"/>
  <c r="T42" i="18" s="1"/>
  <c r="S42" i="18" s="1"/>
  <c r="R42" i="18" s="1"/>
  <c r="P42" i="18" s="1"/>
  <c r="V42" i="18" s="1"/>
  <c r="U149" i="18"/>
  <c r="T149" i="18" s="1"/>
  <c r="S149" i="18" s="1"/>
  <c r="R149" i="18" s="1"/>
  <c r="P149" i="18" s="1"/>
  <c r="D72" i="7" s="1"/>
  <c r="U353" i="18"/>
  <c r="T353" i="18" s="1"/>
  <c r="S353" i="18" s="1"/>
  <c r="R353" i="18" s="1"/>
  <c r="P353" i="18" s="1"/>
  <c r="V353" i="18" s="1"/>
  <c r="U369" i="18"/>
  <c r="T369" i="18" s="1"/>
  <c r="S369" i="18" s="1"/>
  <c r="R369" i="18" s="1"/>
  <c r="P369" i="18" s="1"/>
  <c r="V369" i="18" s="1"/>
  <c r="U204" i="18"/>
  <c r="T204" i="18" s="1"/>
  <c r="S204" i="18" s="1"/>
  <c r="R204" i="18" s="1"/>
  <c r="P204" i="18" s="1"/>
  <c r="V204" i="18" s="1"/>
  <c r="U127" i="18"/>
  <c r="T127" i="18" s="1"/>
  <c r="S127" i="18" s="1"/>
  <c r="R127" i="18" s="1"/>
  <c r="P127" i="18" s="1"/>
  <c r="V127" i="18" s="1"/>
  <c r="U277" i="18"/>
  <c r="T277" i="18" s="1"/>
  <c r="S277" i="18" s="1"/>
  <c r="R277" i="18" s="1"/>
  <c r="P277" i="18" s="1"/>
  <c r="V277" i="18" s="1"/>
  <c r="U160" i="18"/>
  <c r="T160" i="18" s="1"/>
  <c r="S160" i="18" s="1"/>
  <c r="R160" i="18" s="1"/>
  <c r="P160" i="18" s="1"/>
  <c r="V160" i="18" s="1"/>
  <c r="U89" i="18"/>
  <c r="T89" i="18" s="1"/>
  <c r="S89" i="18" s="1"/>
  <c r="R89" i="18" s="1"/>
  <c r="P89" i="18" s="1"/>
  <c r="V89" i="18" s="1"/>
  <c r="U237" i="18"/>
  <c r="T237" i="18" s="1"/>
  <c r="S237" i="18" s="1"/>
  <c r="R237" i="18" s="1"/>
  <c r="P237" i="18" s="1"/>
  <c r="V237" i="18" s="1"/>
  <c r="U52" i="18"/>
  <c r="T52" i="18" s="1"/>
  <c r="S52" i="18" s="1"/>
  <c r="R52" i="18" s="1"/>
  <c r="P52" i="18" s="1"/>
  <c r="V52" i="18" s="1"/>
  <c r="U57" i="18"/>
  <c r="T57" i="18" s="1"/>
  <c r="S57" i="18" s="1"/>
  <c r="R57" i="18" s="1"/>
  <c r="P57" i="18" s="1"/>
  <c r="V57" i="18" s="1"/>
  <c r="U354" i="18"/>
  <c r="T354" i="18" s="1"/>
  <c r="S354" i="18" s="1"/>
  <c r="R354" i="18" s="1"/>
  <c r="P354" i="18" s="1"/>
  <c r="V354" i="18" s="1"/>
  <c r="U280" i="18"/>
  <c r="T280" i="18" s="1"/>
  <c r="S280" i="18" s="1"/>
  <c r="R280" i="18" s="1"/>
  <c r="P280" i="18" s="1"/>
  <c r="V280" i="18" s="1"/>
  <c r="U247" i="18"/>
  <c r="T247" i="18" s="1"/>
  <c r="S247" i="18" s="1"/>
  <c r="R247" i="18" s="1"/>
  <c r="P247" i="18" s="1"/>
  <c r="V247" i="18" s="1"/>
  <c r="U115" i="18"/>
  <c r="T115" i="18" s="1"/>
  <c r="S115" i="18" s="1"/>
  <c r="R115" i="18" s="1"/>
  <c r="P115" i="18" s="1"/>
  <c r="V115" i="18" s="1"/>
  <c r="U339" i="18"/>
  <c r="T339" i="18" s="1"/>
  <c r="S339" i="18" s="1"/>
  <c r="R339" i="18" s="1"/>
  <c r="P339" i="18" s="1"/>
  <c r="V339" i="18" s="1"/>
  <c r="U254" i="18"/>
  <c r="T254" i="18" s="1"/>
  <c r="S254" i="18" s="1"/>
  <c r="R254" i="18" s="1"/>
  <c r="P254" i="18" s="1"/>
  <c r="V254" i="18" s="1"/>
  <c r="U206" i="18"/>
  <c r="T206" i="18" s="1"/>
  <c r="S206" i="18" s="1"/>
  <c r="R206" i="18" s="1"/>
  <c r="P206" i="18" s="1"/>
  <c r="V206" i="18" s="1"/>
  <c r="U305" i="18"/>
  <c r="T305" i="18" s="1"/>
  <c r="S305" i="18" s="1"/>
  <c r="R305" i="18" s="1"/>
  <c r="P305" i="18" s="1"/>
  <c r="V305" i="18" s="1"/>
  <c r="U264" i="18"/>
  <c r="T264" i="18" s="1"/>
  <c r="S264" i="18" s="1"/>
  <c r="R264" i="18" s="1"/>
  <c r="P264" i="18" s="1"/>
  <c r="V264" i="18" s="1"/>
  <c r="U79" i="18"/>
  <c r="T79" i="18" s="1"/>
  <c r="S79" i="18" s="1"/>
  <c r="R79" i="18" s="1"/>
  <c r="P79" i="18" s="1"/>
  <c r="V79" i="18" s="1"/>
  <c r="U373" i="18"/>
  <c r="T373" i="18" s="1"/>
  <c r="S373" i="18" s="1"/>
  <c r="R373" i="18" s="1"/>
  <c r="P373" i="18" s="1"/>
  <c r="V373" i="18" s="1"/>
  <c r="U77" i="18"/>
  <c r="T77" i="18" s="1"/>
  <c r="S77" i="18" s="1"/>
  <c r="R77" i="18" s="1"/>
  <c r="P77" i="18" s="1"/>
  <c r="V77" i="18" s="1"/>
  <c r="U45" i="18"/>
  <c r="T45" i="18" s="1"/>
  <c r="S45" i="18" s="1"/>
  <c r="R45" i="18" s="1"/>
  <c r="P45" i="18" s="1"/>
  <c r="V45" i="18" s="1"/>
  <c r="U355" i="18"/>
  <c r="T355" i="18" s="1"/>
  <c r="S355" i="18" s="1"/>
  <c r="R355" i="18" s="1"/>
  <c r="P355" i="18" s="1"/>
  <c r="V355" i="18" s="1"/>
  <c r="U231" i="18"/>
  <c r="T231" i="18" s="1"/>
  <c r="S231" i="18" s="1"/>
  <c r="R231" i="18" s="1"/>
  <c r="P231" i="18" s="1"/>
  <c r="V231" i="18" s="1"/>
  <c r="U317" i="18"/>
  <c r="T317" i="18" s="1"/>
  <c r="S317" i="18" s="1"/>
  <c r="R317" i="18" s="1"/>
  <c r="P317" i="18" s="1"/>
  <c r="V317" i="18" s="1"/>
  <c r="U259" i="18"/>
  <c r="T259" i="18" s="1"/>
  <c r="S259" i="18" s="1"/>
  <c r="R259" i="18" s="1"/>
  <c r="P259" i="18" s="1"/>
  <c r="V259" i="18" s="1"/>
  <c r="U212" i="18"/>
  <c r="T212" i="18" s="1"/>
  <c r="S212" i="18" s="1"/>
  <c r="R212" i="18" s="1"/>
  <c r="P212" i="18" s="1"/>
  <c r="V212" i="18" s="1"/>
  <c r="U297" i="18"/>
  <c r="T297" i="18" s="1"/>
  <c r="S297" i="18" s="1"/>
  <c r="R297" i="18" s="1"/>
  <c r="P297" i="18" s="1"/>
  <c r="V297" i="18" s="1"/>
  <c r="U133" i="18"/>
  <c r="T133" i="18" s="1"/>
  <c r="S133" i="18" s="1"/>
  <c r="R133" i="18" s="1"/>
  <c r="P133" i="18" s="1"/>
  <c r="V133" i="18" s="1"/>
  <c r="U294" i="18"/>
  <c r="T294" i="18" s="1"/>
  <c r="S294" i="18" s="1"/>
  <c r="R294" i="18" s="1"/>
  <c r="P294" i="18" s="1"/>
  <c r="V294" i="18" s="1"/>
  <c r="U145" i="18"/>
  <c r="T145" i="18" s="1"/>
  <c r="S145" i="18" s="1"/>
  <c r="R145" i="18" s="1"/>
  <c r="P145" i="18" s="1"/>
  <c r="V145" i="18" s="1"/>
  <c r="U156" i="18"/>
  <c r="T156" i="18" s="1"/>
  <c r="S156" i="18" s="1"/>
  <c r="R156" i="18" s="1"/>
  <c r="P156" i="18" s="1"/>
  <c r="V156" i="18" s="1"/>
  <c r="U375" i="18"/>
  <c r="T375" i="18" s="1"/>
  <c r="S375" i="18" s="1"/>
  <c r="R375" i="18" s="1"/>
  <c r="P375" i="18" s="1"/>
  <c r="V375" i="18" s="1"/>
  <c r="U157" i="18"/>
  <c r="T157" i="18" s="1"/>
  <c r="S157" i="18" s="1"/>
  <c r="R157" i="18" s="1"/>
  <c r="P157" i="18" s="1"/>
  <c r="V157" i="18" s="1"/>
  <c r="U258" i="18"/>
  <c r="T258" i="18" s="1"/>
  <c r="S258" i="18" s="1"/>
  <c r="R258" i="18" s="1"/>
  <c r="P258" i="18" s="1"/>
  <c r="V258" i="18" s="1"/>
  <c r="W258" i="18" s="1"/>
  <c r="U203" i="18"/>
  <c r="T203" i="18" s="1"/>
  <c r="S203" i="18" s="1"/>
  <c r="R203" i="18" s="1"/>
  <c r="P203" i="18" s="1"/>
  <c r="V203" i="18" s="1"/>
  <c r="U22" i="18"/>
  <c r="T22" i="18" s="1"/>
  <c r="S22" i="18" s="1"/>
  <c r="R22" i="18" s="1"/>
  <c r="P22" i="18" s="1"/>
  <c r="V22" i="18" s="1"/>
  <c r="U303" i="18"/>
  <c r="T303" i="18" s="1"/>
  <c r="S303" i="18" s="1"/>
  <c r="R303" i="18" s="1"/>
  <c r="P303" i="18" s="1"/>
  <c r="V303" i="18" s="1"/>
  <c r="U349" i="18"/>
  <c r="T349" i="18" s="1"/>
  <c r="S349" i="18" s="1"/>
  <c r="R349" i="18" s="1"/>
  <c r="P349" i="18" s="1"/>
  <c r="V349" i="18" s="1"/>
  <c r="D349" i="18" s="1"/>
  <c r="E349" i="18" s="1"/>
  <c r="F349" i="18" s="1"/>
  <c r="H349" i="18" s="1"/>
  <c r="U75" i="18"/>
  <c r="T75" i="18" s="1"/>
  <c r="S75" i="18" s="1"/>
  <c r="R75" i="18" s="1"/>
  <c r="P75" i="18" s="1"/>
  <c r="V75" i="18" s="1"/>
  <c r="U219" i="18"/>
  <c r="T219" i="18" s="1"/>
  <c r="S219" i="18" s="1"/>
  <c r="R219" i="18" s="1"/>
  <c r="P219" i="18" s="1"/>
  <c r="V219" i="18" s="1"/>
  <c r="U242" i="18"/>
  <c r="T242" i="18" s="1"/>
  <c r="S242" i="18" s="1"/>
  <c r="R242" i="18" s="1"/>
  <c r="P242" i="18" s="1"/>
  <c r="V242" i="18" s="1"/>
  <c r="U88" i="18"/>
  <c r="T88" i="18" s="1"/>
  <c r="S88" i="18" s="1"/>
  <c r="R88" i="18" s="1"/>
  <c r="P88" i="18" s="1"/>
  <c r="V88" i="18" s="1"/>
  <c r="U20" i="18"/>
  <c r="T20" i="18" s="1"/>
  <c r="S20" i="18" s="1"/>
  <c r="R20" i="18" s="1"/>
  <c r="P20" i="18" s="1"/>
  <c r="V20" i="18" s="1"/>
  <c r="AI67" i="18"/>
  <c r="AH67" i="18" s="1"/>
  <c r="AG67" i="18" s="1"/>
  <c r="AF67" i="18" s="1"/>
  <c r="AD67" i="18" s="1"/>
  <c r="AI207" i="18"/>
  <c r="AH207" i="18" s="1"/>
  <c r="AG207" i="18" s="1"/>
  <c r="AF207" i="18" s="1"/>
  <c r="AD207" i="18" s="1"/>
  <c r="AI186" i="18"/>
  <c r="AH186" i="18" s="1"/>
  <c r="AG186" i="18" s="1"/>
  <c r="AF186" i="18" s="1"/>
  <c r="AD186" i="18" s="1"/>
  <c r="AI369" i="18"/>
  <c r="AH369" i="18" s="1"/>
  <c r="AG369" i="18" s="1"/>
  <c r="AF369" i="18" s="1"/>
  <c r="AD369" i="18" s="1"/>
  <c r="AI228" i="18"/>
  <c r="AH228" i="18" s="1"/>
  <c r="AG228" i="18" s="1"/>
  <c r="AF228" i="18" s="1"/>
  <c r="AD228" i="18" s="1"/>
  <c r="AI29" i="18"/>
  <c r="AH29" i="18" s="1"/>
  <c r="AG29" i="18" s="1"/>
  <c r="AF29" i="18" s="1"/>
  <c r="AD29" i="18" s="1"/>
  <c r="AI317" i="18"/>
  <c r="AH317" i="18" s="1"/>
  <c r="AG317" i="18" s="1"/>
  <c r="AF317" i="18" s="1"/>
  <c r="AD317" i="18" s="1"/>
  <c r="AI128" i="18"/>
  <c r="AH128" i="18" s="1"/>
  <c r="AG128" i="18" s="1"/>
  <c r="AF128" i="18" s="1"/>
  <c r="AD128" i="18" s="1"/>
  <c r="AI279" i="18"/>
  <c r="AH279" i="18" s="1"/>
  <c r="AG279" i="18" s="1"/>
  <c r="AF279" i="18" s="1"/>
  <c r="AD279" i="18" s="1"/>
  <c r="AI358" i="18"/>
  <c r="AH358" i="18" s="1"/>
  <c r="AG358" i="18" s="1"/>
  <c r="AF358" i="18" s="1"/>
  <c r="AD358" i="18" s="1"/>
  <c r="AI275" i="18"/>
  <c r="AH275" i="18" s="1"/>
  <c r="AG275" i="18" s="1"/>
  <c r="AF275" i="18" s="1"/>
  <c r="AD275" i="18" s="1"/>
  <c r="AI99" i="18"/>
  <c r="AH99" i="18" s="1"/>
  <c r="AG99" i="18" s="1"/>
  <c r="AF99" i="18" s="1"/>
  <c r="AD99" i="18" s="1"/>
  <c r="AI308" i="18"/>
  <c r="AH308" i="18" s="1"/>
  <c r="AG308" i="18" s="1"/>
  <c r="AF308" i="18" s="1"/>
  <c r="AI177" i="18"/>
  <c r="AH177" i="18" s="1"/>
  <c r="AG177" i="18" s="1"/>
  <c r="AF177" i="18" s="1"/>
  <c r="AI267" i="18"/>
  <c r="AH267" i="18" s="1"/>
  <c r="AG267" i="18" s="1"/>
  <c r="AF267" i="18" s="1"/>
  <c r="AI211" i="18"/>
  <c r="AH211" i="18" s="1"/>
  <c r="AG211" i="18" s="1"/>
  <c r="AF211" i="18" s="1"/>
  <c r="AI342" i="18"/>
  <c r="AH342" i="18" s="1"/>
  <c r="AG342" i="18" s="1"/>
  <c r="AF342" i="18" s="1"/>
  <c r="AI100" i="18"/>
  <c r="AH100" i="18" s="1"/>
  <c r="AG100" i="18" s="1"/>
  <c r="AF100" i="18" s="1"/>
  <c r="AD100" i="18" s="1"/>
  <c r="AI43" i="18"/>
  <c r="AH43" i="18" s="1"/>
  <c r="AG43" i="18" s="1"/>
  <c r="AF43" i="18" s="1"/>
  <c r="AD43" i="18" s="1"/>
  <c r="I177" i="17"/>
  <c r="J331" i="17"/>
  <c r="AI159" i="18"/>
  <c r="AH159" i="18" s="1"/>
  <c r="AG159" i="18" s="1"/>
  <c r="AF159" i="18" s="1"/>
  <c r="AD159" i="18" s="1"/>
  <c r="AI268" i="18"/>
  <c r="AH268" i="18" s="1"/>
  <c r="AG268" i="18" s="1"/>
  <c r="AF268" i="18" s="1"/>
  <c r="AD268" i="18" s="1"/>
  <c r="AI300" i="18"/>
  <c r="AH300" i="18" s="1"/>
  <c r="AG300" i="18" s="1"/>
  <c r="AF300" i="18" s="1"/>
  <c r="AD300" i="18" s="1"/>
  <c r="AI199" i="18"/>
  <c r="AH199" i="18" s="1"/>
  <c r="AG199" i="18" s="1"/>
  <c r="AF199" i="18" s="1"/>
  <c r="AI190" i="18"/>
  <c r="AH190" i="18" s="1"/>
  <c r="AG190" i="18" s="1"/>
  <c r="AF190" i="18" s="1"/>
  <c r="AI148" i="18"/>
  <c r="AH148" i="18" s="1"/>
  <c r="AG148" i="18" s="1"/>
  <c r="AF148" i="18" s="1"/>
  <c r="AI346" i="18"/>
  <c r="AH346" i="18" s="1"/>
  <c r="AG346" i="18" s="1"/>
  <c r="AF346" i="18" s="1"/>
  <c r="AD346" i="18" s="1"/>
  <c r="AI136" i="18"/>
  <c r="AH136" i="18" s="1"/>
  <c r="AG136" i="18" s="1"/>
  <c r="AF136" i="18" s="1"/>
  <c r="AD136" i="18" s="1"/>
  <c r="AI119" i="18"/>
  <c r="AH119" i="18" s="1"/>
  <c r="AG119" i="18" s="1"/>
  <c r="AF119" i="18" s="1"/>
  <c r="AD119" i="18" s="1"/>
  <c r="AI230" i="18"/>
  <c r="AH230" i="18" s="1"/>
  <c r="AG230" i="18" s="1"/>
  <c r="AF230" i="18" s="1"/>
  <c r="AD230" i="18" s="1"/>
  <c r="AI182" i="18"/>
  <c r="AH182" i="18" s="1"/>
  <c r="AG182" i="18" s="1"/>
  <c r="AF182" i="18" s="1"/>
  <c r="AD182" i="18" s="1"/>
  <c r="AI224" i="18"/>
  <c r="AH224" i="18" s="1"/>
  <c r="AG224" i="18" s="1"/>
  <c r="AF224" i="18" s="1"/>
  <c r="AI104" i="18"/>
  <c r="AH104" i="18" s="1"/>
  <c r="AG104" i="18" s="1"/>
  <c r="AI339" i="18"/>
  <c r="AH339" i="18" s="1"/>
  <c r="AG339" i="18" s="1"/>
  <c r="AF339" i="18" s="1"/>
  <c r="AD339" i="18" s="1"/>
  <c r="AI127" i="18"/>
  <c r="AH127" i="18" s="1"/>
  <c r="AG127" i="18" s="1"/>
  <c r="AF127" i="18" s="1"/>
  <c r="AD127" i="18" s="1"/>
  <c r="AI379" i="18"/>
  <c r="AI178" i="18"/>
  <c r="AH178" i="18" s="1"/>
  <c r="AI176" i="18"/>
  <c r="AH176" i="18" s="1"/>
  <c r="AG176" i="18" s="1"/>
  <c r="AF176" i="18" s="1"/>
  <c r="AI282" i="18"/>
  <c r="AH282" i="18" s="1"/>
  <c r="AI63" i="18"/>
  <c r="AH63" i="18" s="1"/>
  <c r="AG63" i="18" s="1"/>
  <c r="AF63" i="18" s="1"/>
  <c r="AD63" i="18" s="1"/>
  <c r="AI72" i="18"/>
  <c r="AH72" i="18" s="1"/>
  <c r="AG72" i="18" s="1"/>
  <c r="AF72" i="18" s="1"/>
  <c r="AD72" i="18" s="1"/>
  <c r="AI69" i="18"/>
  <c r="AH69" i="18" s="1"/>
  <c r="AG69" i="18" s="1"/>
  <c r="AF69" i="18" s="1"/>
  <c r="AD69" i="18" s="1"/>
  <c r="AI102" i="18"/>
  <c r="AH102" i="18" s="1"/>
  <c r="AG102" i="18" s="1"/>
  <c r="AF102" i="18" s="1"/>
  <c r="AD102" i="18" s="1"/>
  <c r="AI23" i="18"/>
  <c r="AH23" i="18" s="1"/>
  <c r="AG23" i="18" s="1"/>
  <c r="AF23" i="18" s="1"/>
  <c r="AD23" i="18" s="1"/>
  <c r="AI51" i="18"/>
  <c r="AH51" i="18" s="1"/>
  <c r="AG51" i="18" s="1"/>
  <c r="AF51" i="18" s="1"/>
  <c r="AD51" i="18" s="1"/>
  <c r="AI30" i="18"/>
  <c r="AH30" i="18" s="1"/>
  <c r="AG30" i="18" s="1"/>
  <c r="AF30" i="18" s="1"/>
  <c r="AD30" i="18" s="1"/>
  <c r="AI75" i="18"/>
  <c r="AH75" i="18" s="1"/>
  <c r="AG75" i="18" s="1"/>
  <c r="AF75" i="18" s="1"/>
  <c r="AD75" i="18" s="1"/>
  <c r="AI71" i="18"/>
  <c r="AH71" i="18" s="1"/>
  <c r="AG71" i="18" s="1"/>
  <c r="AF71" i="18" s="1"/>
  <c r="AD71" i="18" s="1"/>
  <c r="AI90" i="18"/>
  <c r="AH90" i="18" s="1"/>
  <c r="AG90" i="18" s="1"/>
  <c r="AF90" i="18" s="1"/>
  <c r="AD90" i="18" s="1"/>
  <c r="AI97" i="18"/>
  <c r="AH97" i="18" s="1"/>
  <c r="AG97" i="18" s="1"/>
  <c r="AF97" i="18" s="1"/>
  <c r="AD97" i="18" s="1"/>
  <c r="AI80" i="18"/>
  <c r="AH80" i="18" s="1"/>
  <c r="AG80" i="18" s="1"/>
  <c r="AF80" i="18" s="1"/>
  <c r="AD80" i="18" s="1"/>
  <c r="AI62" i="18"/>
  <c r="AH62" i="18" s="1"/>
  <c r="AG62" i="18" s="1"/>
  <c r="AF62" i="18" s="1"/>
  <c r="AD62" i="18" s="1"/>
  <c r="AI78" i="18"/>
  <c r="AH78" i="18" s="1"/>
  <c r="AG78" i="18" s="1"/>
  <c r="AF78" i="18" s="1"/>
  <c r="AD78" i="18" s="1"/>
  <c r="AI87" i="18"/>
  <c r="AH87" i="18" s="1"/>
  <c r="AG87" i="18" s="1"/>
  <c r="AF87" i="18" s="1"/>
  <c r="AD87" i="18" s="1"/>
  <c r="AI66" i="18"/>
  <c r="AH66" i="18" s="1"/>
  <c r="AG66" i="18" s="1"/>
  <c r="AF66" i="18" s="1"/>
  <c r="AD66" i="18" s="1"/>
  <c r="AI15" i="18"/>
  <c r="AH15" i="18" s="1"/>
  <c r="AG15" i="18" s="1"/>
  <c r="AF15" i="18" s="1"/>
  <c r="AI73" i="18"/>
  <c r="AH73" i="18" s="1"/>
  <c r="AG73" i="18" s="1"/>
  <c r="AF73" i="18" s="1"/>
  <c r="AD73" i="18" s="1"/>
  <c r="AI31" i="18"/>
  <c r="AH31" i="18" s="1"/>
  <c r="AG31" i="18" s="1"/>
  <c r="AF31" i="18" s="1"/>
  <c r="AD31" i="18" s="1"/>
  <c r="AI27" i="18"/>
  <c r="AH27" i="18" s="1"/>
  <c r="AG27" i="18" s="1"/>
  <c r="AF27" i="18" s="1"/>
  <c r="AD27" i="18" s="1"/>
  <c r="AI83" i="18"/>
  <c r="AH83" i="18" s="1"/>
  <c r="AG83" i="18" s="1"/>
  <c r="AF83" i="18" s="1"/>
  <c r="AD83" i="18" s="1"/>
  <c r="AI68" i="18"/>
  <c r="AH68" i="18" s="1"/>
  <c r="AG68" i="18" s="1"/>
  <c r="AF68" i="18" s="1"/>
  <c r="AD68" i="18" s="1"/>
  <c r="AI52" i="18"/>
  <c r="AH52" i="18" s="1"/>
  <c r="AG52" i="18" s="1"/>
  <c r="AF52" i="18" s="1"/>
  <c r="AD52" i="18" s="1"/>
  <c r="AI295" i="18"/>
  <c r="AH295" i="18" s="1"/>
  <c r="AG295" i="18" s="1"/>
  <c r="AF295" i="18" s="1"/>
  <c r="AI294" i="18"/>
  <c r="AH294" i="18" s="1"/>
  <c r="AG294" i="18" s="1"/>
  <c r="AF294" i="18" s="1"/>
  <c r="AI335" i="18"/>
  <c r="AH335" i="18" s="1"/>
  <c r="AG335" i="18" s="1"/>
  <c r="AF335" i="18" s="1"/>
  <c r="AI257" i="18"/>
  <c r="AH257" i="18" s="1"/>
  <c r="AG257" i="18" s="1"/>
  <c r="AF257" i="18" s="1"/>
  <c r="AI352" i="18"/>
  <c r="AH352" i="18" s="1"/>
  <c r="AG352" i="18" s="1"/>
  <c r="AF352" i="18" s="1"/>
  <c r="AI315" i="18"/>
  <c r="AH315" i="18" s="1"/>
  <c r="AG315" i="18" s="1"/>
  <c r="AF315" i="18" s="1"/>
  <c r="AI79" i="18"/>
  <c r="AH79" i="18" s="1"/>
  <c r="AG79" i="18" s="1"/>
  <c r="AF79" i="18" s="1"/>
  <c r="AD79" i="18" s="1"/>
  <c r="AI238" i="18"/>
  <c r="AH238" i="18" s="1"/>
  <c r="AG238" i="18" s="1"/>
  <c r="AF238" i="18" s="1"/>
  <c r="AI58" i="18"/>
  <c r="AH58" i="18" s="1"/>
  <c r="AG58" i="18" s="1"/>
  <c r="AF58" i="18" s="1"/>
  <c r="AD58" i="18" s="1"/>
  <c r="AI351" i="18"/>
  <c r="AH351" i="18" s="1"/>
  <c r="AI278" i="18"/>
  <c r="AH278" i="18" s="1"/>
  <c r="AG278" i="18" s="1"/>
  <c r="AF278" i="18" s="1"/>
  <c r="AI240" i="18"/>
  <c r="AH240" i="18" s="1"/>
  <c r="AG240" i="18" s="1"/>
  <c r="AF240" i="18" s="1"/>
  <c r="AI121" i="18"/>
  <c r="AH121" i="18" s="1"/>
  <c r="AI39" i="18"/>
  <c r="AH39" i="18" s="1"/>
  <c r="AG39" i="18" s="1"/>
  <c r="AF39" i="18" s="1"/>
  <c r="AD39" i="18" s="1"/>
  <c r="AI226" i="18"/>
  <c r="AH226" i="18" s="1"/>
  <c r="AG226" i="18" s="1"/>
  <c r="AF226" i="18" s="1"/>
  <c r="AI377" i="18"/>
  <c r="AH377" i="18" s="1"/>
  <c r="AG377" i="18" s="1"/>
  <c r="AF377" i="18" s="1"/>
  <c r="AI201" i="18"/>
  <c r="AH201" i="18" s="1"/>
  <c r="AI189" i="18"/>
  <c r="AH189" i="18" s="1"/>
  <c r="AG189" i="18" s="1"/>
  <c r="AF189" i="18" s="1"/>
  <c r="AI103" i="18"/>
  <c r="AH103" i="18" s="1"/>
  <c r="AG103" i="18" s="1"/>
  <c r="AF103" i="18" s="1"/>
  <c r="AD103" i="18" s="1"/>
  <c r="AI129" i="18"/>
  <c r="AH129" i="18" s="1"/>
  <c r="AG129" i="18" s="1"/>
  <c r="AF129" i="18" s="1"/>
  <c r="AI109" i="18"/>
  <c r="AH109" i="18" s="1"/>
  <c r="AG109" i="18" s="1"/>
  <c r="AF109" i="18" s="1"/>
  <c r="AI77" i="18"/>
  <c r="AH77" i="18" s="1"/>
  <c r="AG77" i="18" s="1"/>
  <c r="AF77" i="18" s="1"/>
  <c r="AD77" i="18" s="1"/>
  <c r="AI16" i="18"/>
  <c r="AH16" i="18" s="1"/>
  <c r="AG16" i="18" s="1"/>
  <c r="AF16" i="18" s="1"/>
  <c r="AD16" i="18" s="1"/>
  <c r="AI314" i="18"/>
  <c r="AH314" i="18" s="1"/>
  <c r="AG314" i="18" s="1"/>
  <c r="AF314" i="18" s="1"/>
  <c r="AI141" i="18"/>
  <c r="AH141" i="18" s="1"/>
  <c r="AI191" i="18"/>
  <c r="AH191" i="18" s="1"/>
  <c r="AG191" i="18" s="1"/>
  <c r="AF191" i="18" s="1"/>
  <c r="AI162" i="18"/>
  <c r="AH162" i="18" s="1"/>
  <c r="AI42" i="18"/>
  <c r="AH42" i="18" s="1"/>
  <c r="AG42" i="18" s="1"/>
  <c r="AF42" i="18" s="1"/>
  <c r="AD42" i="18" s="1"/>
  <c r="AI231" i="18"/>
  <c r="AH231" i="18" s="1"/>
  <c r="AI286" i="18"/>
  <c r="AH286" i="18" s="1"/>
  <c r="AG286" i="18" s="1"/>
  <c r="AF286" i="18" s="1"/>
  <c r="AI325" i="18"/>
  <c r="AH325" i="18" s="1"/>
  <c r="AG325" i="18" s="1"/>
  <c r="AF325" i="18" s="1"/>
  <c r="AI168" i="18"/>
  <c r="AH168" i="18" s="1"/>
  <c r="AG168" i="18" s="1"/>
  <c r="AF168" i="18" s="1"/>
  <c r="AI197" i="18"/>
  <c r="AH197" i="18" s="1"/>
  <c r="AI252" i="18"/>
  <c r="AH252" i="18" s="1"/>
  <c r="AG252" i="18" s="1"/>
  <c r="AF252" i="18" s="1"/>
  <c r="AI203" i="18"/>
  <c r="AH203" i="18" s="1"/>
  <c r="AG203" i="18" s="1"/>
  <c r="AF203" i="18" s="1"/>
  <c r="AI106" i="18"/>
  <c r="AH106" i="18" s="1"/>
  <c r="AI270" i="18"/>
  <c r="AH270" i="18" s="1"/>
  <c r="AG270" i="18" s="1"/>
  <c r="AF270" i="18" s="1"/>
  <c r="AI202" i="18"/>
  <c r="AH202" i="18" s="1"/>
  <c r="AI293" i="18"/>
  <c r="AH293" i="18" s="1"/>
  <c r="AG293" i="18" s="1"/>
  <c r="AF293" i="18" s="1"/>
  <c r="AI82" i="18"/>
  <c r="AH82" i="18" s="1"/>
  <c r="AG82" i="18" s="1"/>
  <c r="AF82" i="18" s="1"/>
  <c r="AD82" i="18" s="1"/>
  <c r="AI54" i="18"/>
  <c r="AH54" i="18" s="1"/>
  <c r="AG54" i="18" s="1"/>
  <c r="AF54" i="18" s="1"/>
  <c r="AD54" i="18" s="1"/>
  <c r="AI309" i="18"/>
  <c r="AH309" i="18" s="1"/>
  <c r="AG309" i="18" s="1"/>
  <c r="AF309" i="18" s="1"/>
  <c r="AI236" i="18"/>
  <c r="AH236" i="18" s="1"/>
  <c r="AG236" i="18" s="1"/>
  <c r="AF236" i="18" s="1"/>
  <c r="AI142" i="18"/>
  <c r="AH142" i="18" s="1"/>
  <c r="AG142" i="18" s="1"/>
  <c r="AF142" i="18" s="1"/>
  <c r="AD142" i="18" s="1"/>
  <c r="AI242" i="18"/>
  <c r="AH242" i="18" s="1"/>
  <c r="AG242" i="18" s="1"/>
  <c r="AF242" i="18" s="1"/>
  <c r="AD242" i="18" s="1"/>
  <c r="AI222" i="18"/>
  <c r="AH222" i="18" s="1"/>
  <c r="AI175" i="18"/>
  <c r="AH175" i="18" s="1"/>
  <c r="AI338" i="18"/>
  <c r="AH338" i="18" s="1"/>
  <c r="AG338" i="18" s="1"/>
  <c r="AF338" i="18" s="1"/>
  <c r="AD338" i="18" s="1"/>
  <c r="AI367" i="18"/>
  <c r="AH367" i="18" s="1"/>
  <c r="AG367" i="18" s="1"/>
  <c r="AF367" i="18" s="1"/>
  <c r="AI333" i="18"/>
  <c r="AH333" i="18" s="1"/>
  <c r="AG333" i="18" s="1"/>
  <c r="AF333" i="18" s="1"/>
  <c r="AD333" i="18" s="1"/>
  <c r="AI266" i="18"/>
  <c r="AH266" i="18" s="1"/>
  <c r="AG266" i="18" s="1"/>
  <c r="AF266" i="18" s="1"/>
  <c r="AD266" i="18" s="1"/>
  <c r="AI269" i="18"/>
  <c r="AH269" i="18" s="1"/>
  <c r="AG269" i="18" s="1"/>
  <c r="AF269" i="18" s="1"/>
  <c r="AD269" i="18" s="1"/>
  <c r="AI313" i="18"/>
  <c r="AH313" i="18" s="1"/>
  <c r="AI84" i="18"/>
  <c r="AH84" i="18" s="1"/>
  <c r="AG84" i="18" s="1"/>
  <c r="AF84" i="18" s="1"/>
  <c r="AD84" i="18" s="1"/>
  <c r="AI92" i="18"/>
  <c r="AH92" i="18" s="1"/>
  <c r="AG92" i="18" s="1"/>
  <c r="AF92" i="18" s="1"/>
  <c r="AD92" i="18" s="1"/>
  <c r="AI61" i="18"/>
  <c r="AH61" i="18" s="1"/>
  <c r="AG61" i="18" s="1"/>
  <c r="AF61" i="18" s="1"/>
  <c r="AD61" i="18" s="1"/>
  <c r="AI50" i="18"/>
  <c r="AH50" i="18" s="1"/>
  <c r="AG50" i="18" s="1"/>
  <c r="AF50" i="18" s="1"/>
  <c r="AD50" i="18" s="1"/>
  <c r="AI36" i="18"/>
  <c r="AH36" i="18" s="1"/>
  <c r="AG36" i="18" s="1"/>
  <c r="AF36" i="18" s="1"/>
  <c r="AD36" i="18" s="1"/>
  <c r="AI44" i="18"/>
  <c r="AH44" i="18" s="1"/>
  <c r="AG44" i="18" s="1"/>
  <c r="AF44" i="18" s="1"/>
  <c r="AD44" i="18" s="1"/>
  <c r="AI22" i="18"/>
  <c r="AH22" i="18" s="1"/>
  <c r="AG22" i="18" s="1"/>
  <c r="AF22" i="18" s="1"/>
  <c r="AD22" i="18" s="1"/>
  <c r="AI45" i="18"/>
  <c r="AH45" i="18" s="1"/>
  <c r="AG45" i="18" s="1"/>
  <c r="AF45" i="18" s="1"/>
  <c r="AD45" i="18" s="1"/>
  <c r="AI81" i="18"/>
  <c r="AH81" i="18" s="1"/>
  <c r="AG81" i="18" s="1"/>
  <c r="AF81" i="18" s="1"/>
  <c r="AD81" i="18" s="1"/>
  <c r="AI24" i="18"/>
  <c r="AH24" i="18" s="1"/>
  <c r="AG24" i="18" s="1"/>
  <c r="AF24" i="18" s="1"/>
  <c r="AD24" i="18" s="1"/>
  <c r="AI21" i="18"/>
  <c r="AH21" i="18" s="1"/>
  <c r="AG21" i="18" s="1"/>
  <c r="AF21" i="18" s="1"/>
  <c r="AD21" i="18" s="1"/>
  <c r="AI297" i="18"/>
  <c r="AH297" i="18" s="1"/>
  <c r="AI225" i="18"/>
  <c r="AH225" i="18" s="1"/>
  <c r="AI153" i="18"/>
  <c r="AH153" i="18" s="1"/>
  <c r="AG153" i="18" s="1"/>
  <c r="AF153" i="18" s="1"/>
  <c r="AI255" i="18"/>
  <c r="AH255" i="18" s="1"/>
  <c r="AG255" i="18" s="1"/>
  <c r="AF255" i="18" s="1"/>
  <c r="AI166" i="18"/>
  <c r="AH166" i="18" s="1"/>
  <c r="AG166" i="18" s="1"/>
  <c r="AF166" i="18" s="1"/>
  <c r="AI290" i="18"/>
  <c r="AH290" i="18" s="1"/>
  <c r="AG290" i="18" s="1"/>
  <c r="AF290" i="18" s="1"/>
  <c r="AI140" i="18"/>
  <c r="AH140" i="18" s="1"/>
  <c r="AG140" i="18" s="1"/>
  <c r="AF140" i="18" s="1"/>
  <c r="AI299" i="18"/>
  <c r="AH299" i="18" s="1"/>
  <c r="AG299" i="18" s="1"/>
  <c r="AF299" i="18" s="1"/>
  <c r="AI94" i="18"/>
  <c r="AH94" i="18" s="1"/>
  <c r="AG94" i="18" s="1"/>
  <c r="AF94" i="18" s="1"/>
  <c r="AD94" i="18" s="1"/>
  <c r="AI241" i="18"/>
  <c r="AH241" i="18" s="1"/>
  <c r="AG241" i="18" s="1"/>
  <c r="AF241" i="18" s="1"/>
  <c r="AI227" i="18"/>
  <c r="AH227" i="18" s="1"/>
  <c r="AG227" i="18" s="1"/>
  <c r="AF227" i="18" s="1"/>
  <c r="AI283" i="18"/>
  <c r="AH283" i="18" s="1"/>
  <c r="AG283" i="18" s="1"/>
  <c r="AF283" i="18" s="1"/>
  <c r="AI363" i="18"/>
  <c r="AH363" i="18" s="1"/>
  <c r="AG363" i="18" s="1"/>
  <c r="AF363" i="18" s="1"/>
  <c r="AI179" i="18"/>
  <c r="AH179" i="18" s="1"/>
  <c r="AG179" i="18" s="1"/>
  <c r="AF179" i="18" s="1"/>
  <c r="AI285" i="18"/>
  <c r="AH285" i="18" s="1"/>
  <c r="AI26" i="18"/>
  <c r="AH26" i="18" s="1"/>
  <c r="AG26" i="18" s="1"/>
  <c r="AF26" i="18" s="1"/>
  <c r="AD26" i="18" s="1"/>
  <c r="AI143" i="18"/>
  <c r="AH143" i="18" s="1"/>
  <c r="AG143" i="18" s="1"/>
  <c r="AF143" i="18" s="1"/>
  <c r="AI120" i="18"/>
  <c r="AH120" i="18" s="1"/>
  <c r="AG120" i="18" s="1"/>
  <c r="AF120" i="18" s="1"/>
  <c r="AI376" i="18"/>
  <c r="AH376" i="18" s="1"/>
  <c r="AI49" i="18"/>
  <c r="AH49" i="18" s="1"/>
  <c r="AG49" i="18" s="1"/>
  <c r="AF49" i="18" s="1"/>
  <c r="AD49" i="18" s="1"/>
  <c r="AI74" i="18"/>
  <c r="AH74" i="18" s="1"/>
  <c r="AG74" i="18" s="1"/>
  <c r="AF74" i="18" s="1"/>
  <c r="AD74" i="18" s="1"/>
  <c r="AI354" i="18"/>
  <c r="AH354" i="18" s="1"/>
  <c r="AG354" i="18" s="1"/>
  <c r="AF354" i="18" s="1"/>
  <c r="AI218" i="18"/>
  <c r="AH218" i="18" s="1"/>
  <c r="AG218" i="18" s="1"/>
  <c r="AF218" i="18" s="1"/>
  <c r="AI117" i="18"/>
  <c r="AH117" i="18" s="1"/>
  <c r="AG117" i="18" s="1"/>
  <c r="AF117" i="18" s="1"/>
  <c r="AD117" i="18" s="1"/>
  <c r="AI172" i="18"/>
  <c r="AH172" i="18" s="1"/>
  <c r="AG172" i="18" s="1"/>
  <c r="AF172" i="18" s="1"/>
  <c r="AD172" i="18" s="1"/>
  <c r="AI125" i="18"/>
  <c r="AH125" i="18" s="1"/>
  <c r="AG125" i="18" s="1"/>
  <c r="AF125" i="18" s="1"/>
  <c r="AD125" i="18" s="1"/>
  <c r="AI173" i="18"/>
  <c r="AH173" i="18" s="1"/>
  <c r="AG173" i="18" s="1"/>
  <c r="AF173" i="18" s="1"/>
  <c r="AD173" i="18" s="1"/>
  <c r="AI163" i="18"/>
  <c r="AH163" i="18" s="1"/>
  <c r="AG163" i="18" s="1"/>
  <c r="AF163" i="18" s="1"/>
  <c r="AD163" i="18" s="1"/>
  <c r="AI131" i="18"/>
  <c r="AH131" i="18" s="1"/>
  <c r="AG131" i="18" s="1"/>
  <c r="AF131" i="18" s="1"/>
  <c r="AD131" i="18" s="1"/>
  <c r="AI47" i="18"/>
  <c r="AH47" i="18" s="1"/>
  <c r="AG47" i="18" s="1"/>
  <c r="AF47" i="18" s="1"/>
  <c r="AD47" i="18" s="1"/>
  <c r="AI355" i="18"/>
  <c r="AH355" i="18" s="1"/>
  <c r="AG355" i="18" s="1"/>
  <c r="AF355" i="18" s="1"/>
  <c r="AD355" i="18" s="1"/>
  <c r="AI122" i="18"/>
  <c r="AH122" i="18" s="1"/>
  <c r="AG122" i="18" s="1"/>
  <c r="AF122" i="18" s="1"/>
  <c r="AD122" i="18" s="1"/>
  <c r="AI215" i="18"/>
  <c r="AH215" i="18" s="1"/>
  <c r="AG215" i="18" s="1"/>
  <c r="AF215" i="18" s="1"/>
  <c r="AD215" i="18" s="1"/>
  <c r="AI353" i="18"/>
  <c r="AH353" i="18" s="1"/>
  <c r="AG353" i="18" s="1"/>
  <c r="AF353" i="18" s="1"/>
  <c r="AD353" i="18" s="1"/>
  <c r="AI322" i="18"/>
  <c r="AH322" i="18" s="1"/>
  <c r="AG322" i="18" s="1"/>
  <c r="AF322" i="18" s="1"/>
  <c r="AD322" i="18" s="1"/>
  <c r="AI96" i="18"/>
  <c r="AH96" i="18" s="1"/>
  <c r="AG96" i="18" s="1"/>
  <c r="AF96" i="18" s="1"/>
  <c r="AD96" i="18" s="1"/>
  <c r="AI124" i="18"/>
  <c r="AH124" i="18" s="1"/>
  <c r="AG124" i="18" s="1"/>
  <c r="AF124" i="18" s="1"/>
  <c r="AD124" i="18" s="1"/>
  <c r="AI86" i="18"/>
  <c r="AH86" i="18" s="1"/>
  <c r="AG86" i="18" s="1"/>
  <c r="AF86" i="18" s="1"/>
  <c r="AD86" i="18" s="1"/>
  <c r="AI98" i="18"/>
  <c r="AH98" i="18" s="1"/>
  <c r="AG98" i="18" s="1"/>
  <c r="AF98" i="18" s="1"/>
  <c r="AD98" i="18" s="1"/>
  <c r="AI253" i="18"/>
  <c r="AH253" i="18" s="1"/>
  <c r="AG253" i="18" s="1"/>
  <c r="AF253" i="18" s="1"/>
  <c r="AD253" i="18" s="1"/>
  <c r="AI193" i="18"/>
  <c r="AH193" i="18" s="1"/>
  <c r="AG193" i="18" s="1"/>
  <c r="AF193" i="18" s="1"/>
  <c r="AD193" i="18" s="1"/>
  <c r="AI301" i="18"/>
  <c r="AH301" i="18" s="1"/>
  <c r="AG301" i="18" s="1"/>
  <c r="AF301" i="18" s="1"/>
  <c r="AD301" i="18" s="1"/>
  <c r="AI366" i="18"/>
  <c r="AH366" i="18" s="1"/>
  <c r="AG366" i="18" s="1"/>
  <c r="AF366" i="18" s="1"/>
  <c r="AD366" i="18" s="1"/>
  <c r="AI323" i="18"/>
  <c r="AH323" i="18" s="1"/>
  <c r="AG323" i="18" s="1"/>
  <c r="AF323" i="18" s="1"/>
  <c r="AD323" i="18" s="1"/>
  <c r="AI311" i="18"/>
  <c r="AH311" i="18" s="1"/>
  <c r="AG311" i="18" s="1"/>
  <c r="AF311" i="18" s="1"/>
  <c r="AD311" i="18" s="1"/>
  <c r="AI93" i="18"/>
  <c r="AH93" i="18" s="1"/>
  <c r="AG93" i="18" s="1"/>
  <c r="AF93" i="18" s="1"/>
  <c r="AD93" i="18" s="1"/>
  <c r="AI46" i="18"/>
  <c r="AH46" i="18" s="1"/>
  <c r="AG46" i="18" s="1"/>
  <c r="AF46" i="18" s="1"/>
  <c r="AD46" i="18" s="1"/>
  <c r="AI357" i="18"/>
  <c r="AH357" i="18" s="1"/>
  <c r="AG357" i="18" s="1"/>
  <c r="AF357" i="18" s="1"/>
  <c r="AD357" i="18" s="1"/>
  <c r="AI55" i="18"/>
  <c r="AH55" i="18" s="1"/>
  <c r="AG55" i="18" s="1"/>
  <c r="AF55" i="18" s="1"/>
  <c r="AD55" i="18" s="1"/>
  <c r="AI232" i="18"/>
  <c r="AH232" i="18" s="1"/>
  <c r="AG232" i="18" s="1"/>
  <c r="AF232" i="18" s="1"/>
  <c r="AD232" i="18" s="1"/>
  <c r="AI341" i="18"/>
  <c r="AH341" i="18" s="1"/>
  <c r="AG341" i="18" s="1"/>
  <c r="AF341" i="18" s="1"/>
  <c r="AD341" i="18" s="1"/>
  <c r="AI34" i="18"/>
  <c r="AH34" i="18" s="1"/>
  <c r="AG34" i="18" s="1"/>
  <c r="AF34" i="18" s="1"/>
  <c r="AD34" i="18" s="1"/>
  <c r="AI132" i="18"/>
  <c r="AH132" i="18" s="1"/>
  <c r="AG132" i="18" s="1"/>
  <c r="AF132" i="18" s="1"/>
  <c r="AD132" i="18" s="1"/>
  <c r="AI303" i="18"/>
  <c r="AH303" i="18" s="1"/>
  <c r="AG303" i="18" s="1"/>
  <c r="AF303" i="18" s="1"/>
  <c r="AD303" i="18" s="1"/>
  <c r="AI337" i="18"/>
  <c r="AH337" i="18" s="1"/>
  <c r="AG337" i="18" s="1"/>
  <c r="AF337" i="18" s="1"/>
  <c r="AD337" i="18" s="1"/>
  <c r="AI296" i="18"/>
  <c r="AH296" i="18" s="1"/>
  <c r="AG296" i="18" s="1"/>
  <c r="AF296" i="18" s="1"/>
  <c r="AD296" i="18" s="1"/>
  <c r="AI359" i="18"/>
  <c r="AH359" i="18" s="1"/>
  <c r="AG359" i="18" s="1"/>
  <c r="AF359" i="18" s="1"/>
  <c r="AD359" i="18" s="1"/>
  <c r="AI212" i="18"/>
  <c r="AH212" i="18" s="1"/>
  <c r="AG212" i="18" s="1"/>
  <c r="AF212" i="18" s="1"/>
  <c r="AD212" i="18" s="1"/>
  <c r="AI116" i="18"/>
  <c r="AH116" i="18" s="1"/>
  <c r="AG116" i="18" s="1"/>
  <c r="AF116" i="18" s="1"/>
  <c r="AD116" i="18" s="1"/>
  <c r="AI364" i="18"/>
  <c r="AH364" i="18" s="1"/>
  <c r="AG364" i="18" s="1"/>
  <c r="AF364" i="18" s="1"/>
  <c r="AD364" i="18" s="1"/>
  <c r="AI40" i="18"/>
  <c r="AH40" i="18" s="1"/>
  <c r="AG40" i="18" s="1"/>
  <c r="AF40" i="18" s="1"/>
  <c r="AD40" i="18" s="1"/>
  <c r="AI326" i="18"/>
  <c r="AH326" i="18" s="1"/>
  <c r="AG326" i="18" s="1"/>
  <c r="AF326" i="18" s="1"/>
  <c r="AD326" i="18" s="1"/>
  <c r="AI149" i="18"/>
  <c r="AH149" i="18" s="1"/>
  <c r="AG149" i="18" s="1"/>
  <c r="AF149" i="18" s="1"/>
  <c r="AD149" i="18" s="1"/>
  <c r="AI145" i="18"/>
  <c r="AH145" i="18" s="1"/>
  <c r="AG145" i="18" s="1"/>
  <c r="AF145" i="18" s="1"/>
  <c r="AD145" i="18" s="1"/>
  <c r="AI154" i="18"/>
  <c r="AH154" i="18" s="1"/>
  <c r="AG154" i="18" s="1"/>
  <c r="AF154" i="18" s="1"/>
  <c r="AD154" i="18" s="1"/>
  <c r="AI41" i="18"/>
  <c r="AH41" i="18" s="1"/>
  <c r="AG41" i="18" s="1"/>
  <c r="AF41" i="18" s="1"/>
  <c r="AD41" i="18" s="1"/>
  <c r="AI235" i="18"/>
  <c r="AH235" i="18" s="1"/>
  <c r="AG235" i="18" s="1"/>
  <c r="AF235" i="18" s="1"/>
  <c r="AD235" i="18" s="1"/>
  <c r="U144" i="18"/>
  <c r="T144" i="18" s="1"/>
  <c r="S144" i="18" s="1"/>
  <c r="R144" i="18" s="1"/>
  <c r="P144" i="18" s="1"/>
  <c r="V144" i="18" s="1"/>
  <c r="U293" i="18"/>
  <c r="T293" i="18" s="1"/>
  <c r="S293" i="18" s="1"/>
  <c r="R293" i="18" s="1"/>
  <c r="P293" i="18" s="1"/>
  <c r="V293" i="18" s="1"/>
  <c r="U98" i="18"/>
  <c r="T98" i="18" s="1"/>
  <c r="S98" i="18" s="1"/>
  <c r="R98" i="18" s="1"/>
  <c r="P98" i="18" s="1"/>
  <c r="V98" i="18" s="1"/>
  <c r="U215" i="18"/>
  <c r="T215" i="18" s="1"/>
  <c r="S215" i="18" s="1"/>
  <c r="R215" i="18" s="1"/>
  <c r="P215" i="18" s="1"/>
  <c r="V215" i="18" s="1"/>
  <c r="U311" i="18"/>
  <c r="T311" i="18" s="1"/>
  <c r="S311" i="18" s="1"/>
  <c r="R311" i="18" s="1"/>
  <c r="P311" i="18" s="1"/>
  <c r="V311" i="18" s="1"/>
  <c r="U91" i="18"/>
  <c r="T91" i="18" s="1"/>
  <c r="S91" i="18" s="1"/>
  <c r="R91" i="18" s="1"/>
  <c r="P91" i="18" s="1"/>
  <c r="V91" i="18" s="1"/>
  <c r="U104" i="18"/>
  <c r="T104" i="18" s="1"/>
  <c r="S104" i="18" s="1"/>
  <c r="R104" i="18" s="1"/>
  <c r="P104" i="18" s="1"/>
  <c r="V104" i="18" s="1"/>
  <c r="U374" i="18"/>
  <c r="T374" i="18" s="1"/>
  <c r="S374" i="18" s="1"/>
  <c r="R374" i="18" s="1"/>
  <c r="P374" i="18" s="1"/>
  <c r="V374" i="18" s="1"/>
  <c r="U122" i="18"/>
  <c r="T122" i="18" s="1"/>
  <c r="S122" i="18" s="1"/>
  <c r="R122" i="18" s="1"/>
  <c r="P122" i="18" s="1"/>
  <c r="V122" i="18" s="1"/>
  <c r="U110" i="18"/>
  <c r="T110" i="18" s="1"/>
  <c r="S110" i="18" s="1"/>
  <c r="R110" i="18" s="1"/>
  <c r="P110" i="18" s="1"/>
  <c r="V110" i="18" s="1"/>
  <c r="U189" i="18"/>
  <c r="T189" i="18" s="1"/>
  <c r="S189" i="18" s="1"/>
  <c r="R189" i="18" s="1"/>
  <c r="P189" i="18" s="1"/>
  <c r="V189" i="18" s="1"/>
  <c r="U260" i="18"/>
  <c r="T260" i="18" s="1"/>
  <c r="S260" i="18" s="1"/>
  <c r="R260" i="18" s="1"/>
  <c r="P260" i="18" s="1"/>
  <c r="V260" i="18" s="1"/>
  <c r="U176" i="18"/>
  <c r="T176" i="18" s="1"/>
  <c r="S176" i="18" s="1"/>
  <c r="R176" i="18" s="1"/>
  <c r="P176" i="18" s="1"/>
  <c r="V176" i="18" s="1"/>
  <c r="U39" i="18"/>
  <c r="T39" i="18" s="1"/>
  <c r="S39" i="18" s="1"/>
  <c r="R39" i="18" s="1"/>
  <c r="P39" i="18" s="1"/>
  <c r="V39" i="18" s="1"/>
  <c r="U368" i="18"/>
  <c r="T368" i="18" s="1"/>
  <c r="S368" i="18" s="1"/>
  <c r="R368" i="18" s="1"/>
  <c r="P368" i="18" s="1"/>
  <c r="V368" i="18" s="1"/>
  <c r="U186" i="18"/>
  <c r="T186" i="18" s="1"/>
  <c r="S186" i="18" s="1"/>
  <c r="R186" i="18" s="1"/>
  <c r="P186" i="18" s="1"/>
  <c r="V186" i="18" s="1"/>
  <c r="U68" i="18"/>
  <c r="T68" i="18" s="1"/>
  <c r="S68" i="18" s="1"/>
  <c r="R68" i="18" s="1"/>
  <c r="P68" i="18" s="1"/>
  <c r="V68" i="18" s="1"/>
  <c r="U66" i="18"/>
  <c r="T66" i="18" s="1"/>
  <c r="S66" i="18" s="1"/>
  <c r="R66" i="18" s="1"/>
  <c r="P66" i="18" s="1"/>
  <c r="V66" i="18" s="1"/>
  <c r="U51" i="18"/>
  <c r="T51" i="18" s="1"/>
  <c r="S51" i="18" s="1"/>
  <c r="R51" i="18" s="1"/>
  <c r="P51" i="18" s="1"/>
  <c r="V51" i="18" s="1"/>
  <c r="U335" i="18"/>
  <c r="T335" i="18" s="1"/>
  <c r="S335" i="18" s="1"/>
  <c r="R335" i="18" s="1"/>
  <c r="P335" i="18" s="1"/>
  <c r="V335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279" i="18"/>
  <c r="T279" i="18" s="1"/>
  <c r="S279" i="18" s="1"/>
  <c r="R279" i="18" s="1"/>
  <c r="P279" i="18" s="1"/>
  <c r="V279" i="18" s="1"/>
  <c r="U234" i="18"/>
  <c r="T234" i="18" s="1"/>
  <c r="S234" i="18" s="1"/>
  <c r="R234" i="18" s="1"/>
  <c r="P234" i="18" s="1"/>
  <c r="V234" i="18" s="1"/>
  <c r="U352" i="18"/>
  <c r="T352" i="18" s="1"/>
  <c r="S352" i="18" s="1"/>
  <c r="R352" i="18" s="1"/>
  <c r="P352" i="18" s="1"/>
  <c r="V352" i="18" s="1"/>
  <c r="U330" i="18"/>
  <c r="T330" i="18" s="1"/>
  <c r="S330" i="18" s="1"/>
  <c r="R330" i="18" s="1"/>
  <c r="P330" i="18" s="1"/>
  <c r="V330" i="18" s="1"/>
  <c r="U188" i="18"/>
  <c r="T188" i="18" s="1"/>
  <c r="S188" i="18" s="1"/>
  <c r="R188" i="18" s="1"/>
  <c r="P188" i="18" s="1"/>
  <c r="V188" i="18" s="1"/>
  <c r="U37" i="18"/>
  <c r="T37" i="18" s="1"/>
  <c r="S37" i="18" s="1"/>
  <c r="R37" i="18" s="1"/>
  <c r="P37" i="18" s="1"/>
  <c r="V37" i="18" s="1"/>
  <c r="U327" i="18"/>
  <c r="T327" i="18" s="1"/>
  <c r="S327" i="18" s="1"/>
  <c r="R327" i="18" s="1"/>
  <c r="P327" i="18" s="1"/>
  <c r="V327" i="18" s="1"/>
  <c r="U321" i="18"/>
  <c r="T321" i="18" s="1"/>
  <c r="S321" i="18" s="1"/>
  <c r="R321" i="18" s="1"/>
  <c r="P321" i="18" s="1"/>
  <c r="V321" i="18" s="1"/>
  <c r="U295" i="18"/>
  <c r="T295" i="18" s="1"/>
  <c r="S295" i="18" s="1"/>
  <c r="R295" i="18" s="1"/>
  <c r="P295" i="18" s="1"/>
  <c r="V295" i="18" s="1"/>
  <c r="U320" i="18"/>
  <c r="T320" i="18" s="1"/>
  <c r="S320" i="18" s="1"/>
  <c r="R320" i="18" s="1"/>
  <c r="P320" i="18" s="1"/>
  <c r="V320" i="18" s="1"/>
  <c r="U288" i="18"/>
  <c r="T288" i="18" s="1"/>
  <c r="S288" i="18" s="1"/>
  <c r="R288" i="18" s="1"/>
  <c r="P288" i="18" s="1"/>
  <c r="V288" i="18" s="1"/>
  <c r="U34" i="18"/>
  <c r="T34" i="18" s="1"/>
  <c r="S34" i="18" s="1"/>
  <c r="R34" i="18" s="1"/>
  <c r="P34" i="18" s="1"/>
  <c r="V34" i="18" s="1"/>
  <c r="U85" i="18"/>
  <c r="T85" i="18" s="1"/>
  <c r="S85" i="18" s="1"/>
  <c r="R85" i="18" s="1"/>
  <c r="P85" i="18" s="1"/>
  <c r="V85" i="18" s="1"/>
  <c r="U243" i="18"/>
  <c r="T243" i="18" s="1"/>
  <c r="S243" i="18" s="1"/>
  <c r="R243" i="18" s="1"/>
  <c r="P243" i="18" s="1"/>
  <c r="V243" i="18" s="1"/>
  <c r="U267" i="18"/>
  <c r="T267" i="18" s="1"/>
  <c r="S267" i="18" s="1"/>
  <c r="R267" i="18" s="1"/>
  <c r="P267" i="18" s="1"/>
  <c r="V267" i="18" s="1"/>
  <c r="U207" i="18"/>
  <c r="T207" i="18" s="1"/>
  <c r="S207" i="18" s="1"/>
  <c r="R207" i="18" s="1"/>
  <c r="P207" i="18" s="1"/>
  <c r="V207" i="18" s="1"/>
  <c r="U271" i="18"/>
  <c r="T271" i="18" s="1"/>
  <c r="S271" i="18" s="1"/>
  <c r="R271" i="18" s="1"/>
  <c r="P271" i="18" s="1"/>
  <c r="V271" i="18" s="1"/>
  <c r="U268" i="18"/>
  <c r="T268" i="18" s="1"/>
  <c r="S268" i="18" s="1"/>
  <c r="R268" i="18" s="1"/>
  <c r="P268" i="18" s="1"/>
  <c r="V268" i="18" s="1"/>
  <c r="U238" i="18"/>
  <c r="T238" i="18" s="1"/>
  <c r="S238" i="18" s="1"/>
  <c r="R238" i="18" s="1"/>
  <c r="P238" i="18" s="1"/>
  <c r="V238" i="18" s="1"/>
  <c r="U123" i="18"/>
  <c r="T123" i="18" s="1"/>
  <c r="S123" i="18" s="1"/>
  <c r="R123" i="18" s="1"/>
  <c r="P123" i="18" s="1"/>
  <c r="V123" i="18" s="1"/>
  <c r="U180" i="18"/>
  <c r="T180" i="18" s="1"/>
  <c r="S180" i="18" s="1"/>
  <c r="R180" i="18" s="1"/>
  <c r="P180" i="18" s="1"/>
  <c r="V180" i="18" s="1"/>
  <c r="U224" i="18"/>
  <c r="T224" i="18" s="1"/>
  <c r="S224" i="18" s="1"/>
  <c r="R224" i="18" s="1"/>
  <c r="P224" i="18" s="1"/>
  <c r="V224" i="18" s="1"/>
  <c r="U125" i="18"/>
  <c r="T125" i="18" s="1"/>
  <c r="S125" i="18" s="1"/>
  <c r="R125" i="18" s="1"/>
  <c r="P125" i="18" s="1"/>
  <c r="V125" i="18" s="1"/>
  <c r="U126" i="18"/>
  <c r="T126" i="18" s="1"/>
  <c r="S126" i="18" s="1"/>
  <c r="R126" i="18" s="1"/>
  <c r="P126" i="18" s="1"/>
  <c r="V126" i="18" s="1"/>
  <c r="U283" i="18"/>
  <c r="T283" i="18" s="1"/>
  <c r="S283" i="18" s="1"/>
  <c r="R283" i="18" s="1"/>
  <c r="P283" i="18" s="1"/>
  <c r="V283" i="18" s="1"/>
  <c r="U41" i="18"/>
  <c r="T41" i="18" s="1"/>
  <c r="S41" i="18" s="1"/>
  <c r="R41" i="18" s="1"/>
  <c r="P41" i="18" s="1"/>
  <c r="V41" i="18" s="1"/>
  <c r="U90" i="18"/>
  <c r="T90" i="18" s="1"/>
  <c r="S90" i="18" s="1"/>
  <c r="R90" i="18" s="1"/>
  <c r="P90" i="18" s="1"/>
  <c r="V90" i="18" s="1"/>
  <c r="U167" i="18"/>
  <c r="T167" i="18" s="1"/>
  <c r="S167" i="18" s="1"/>
  <c r="R167" i="18" s="1"/>
  <c r="P167" i="18" s="1"/>
  <c r="V167" i="18" s="1"/>
  <c r="U372" i="18"/>
  <c r="T372" i="18" s="1"/>
  <c r="S372" i="18" s="1"/>
  <c r="R372" i="18" s="1"/>
  <c r="P372" i="18" s="1"/>
  <c r="V372" i="18" s="1"/>
  <c r="U236" i="18"/>
  <c r="T236" i="18" s="1"/>
  <c r="S236" i="18" s="1"/>
  <c r="R236" i="18" s="1"/>
  <c r="P236" i="18" s="1"/>
  <c r="V236" i="18" s="1"/>
  <c r="U190" i="18"/>
  <c r="T190" i="18" s="1"/>
  <c r="S190" i="18" s="1"/>
  <c r="R190" i="18" s="1"/>
  <c r="P190" i="18" s="1"/>
  <c r="V190" i="18" s="1"/>
  <c r="U94" i="18"/>
  <c r="T94" i="18" s="1"/>
  <c r="S94" i="18" s="1"/>
  <c r="R94" i="18" s="1"/>
  <c r="P94" i="18" s="1"/>
  <c r="V94" i="18" s="1"/>
  <c r="U140" i="18"/>
  <c r="T140" i="18" s="1"/>
  <c r="S140" i="18" s="1"/>
  <c r="R140" i="18" s="1"/>
  <c r="P140" i="18" s="1"/>
  <c r="V140" i="18" s="1"/>
  <c r="U183" i="18"/>
  <c r="T183" i="18" s="1"/>
  <c r="S183" i="18" s="1"/>
  <c r="R183" i="18" s="1"/>
  <c r="P183" i="18" s="1"/>
  <c r="V183" i="18" s="1"/>
  <c r="U25" i="18"/>
  <c r="T25" i="18" s="1"/>
  <c r="S25" i="18" s="1"/>
  <c r="R25" i="18" s="1"/>
  <c r="P25" i="18" s="1"/>
  <c r="V25" i="18" s="1"/>
  <c r="U278" i="18"/>
  <c r="T278" i="18" s="1"/>
  <c r="S278" i="18" s="1"/>
  <c r="R278" i="18" s="1"/>
  <c r="P278" i="18" s="1"/>
  <c r="V278" i="18" s="1"/>
  <c r="U323" i="18"/>
  <c r="T323" i="18" s="1"/>
  <c r="S323" i="18" s="1"/>
  <c r="R323" i="18" s="1"/>
  <c r="P323" i="18" s="1"/>
  <c r="V323" i="18" s="1"/>
  <c r="U302" i="18"/>
  <c r="T302" i="18" s="1"/>
  <c r="S302" i="18" s="1"/>
  <c r="R302" i="18" s="1"/>
  <c r="P302" i="18" s="1"/>
  <c r="D77" i="7" s="1"/>
  <c r="U134" i="18"/>
  <c r="T134" i="18" s="1"/>
  <c r="S134" i="18" s="1"/>
  <c r="R134" i="18" s="1"/>
  <c r="P134" i="18" s="1"/>
  <c r="V134" i="18" s="1"/>
  <c r="U306" i="18"/>
  <c r="T306" i="18" s="1"/>
  <c r="S306" i="18" s="1"/>
  <c r="R306" i="18" s="1"/>
  <c r="P306" i="18" s="1"/>
  <c r="V306" i="18" s="1"/>
  <c r="U350" i="18"/>
  <c r="T350" i="18" s="1"/>
  <c r="S350" i="18" s="1"/>
  <c r="R350" i="18" s="1"/>
  <c r="P350" i="18" s="1"/>
  <c r="V350" i="18" s="1"/>
  <c r="U139" i="18"/>
  <c r="T139" i="18" s="1"/>
  <c r="S139" i="18" s="1"/>
  <c r="R139" i="18" s="1"/>
  <c r="P139" i="18" s="1"/>
  <c r="V139" i="18" s="1"/>
  <c r="U310" i="18"/>
  <c r="T310" i="18" s="1"/>
  <c r="S310" i="18" s="1"/>
  <c r="R310" i="18" s="1"/>
  <c r="P310" i="18" s="1"/>
  <c r="V310" i="18" s="1"/>
  <c r="U174" i="18"/>
  <c r="T174" i="18" s="1"/>
  <c r="S174" i="18" s="1"/>
  <c r="R174" i="18" s="1"/>
  <c r="P174" i="18" s="1"/>
  <c r="V174" i="18" s="1"/>
  <c r="U222" i="18"/>
  <c r="T222" i="18" s="1"/>
  <c r="S222" i="18" s="1"/>
  <c r="R222" i="18" s="1"/>
  <c r="P222" i="18" s="1"/>
  <c r="V222" i="18" s="1"/>
  <c r="U348" i="18"/>
  <c r="T348" i="18" s="1"/>
  <c r="S348" i="18" s="1"/>
  <c r="R348" i="18" s="1"/>
  <c r="P348" i="18" s="1"/>
  <c r="V348" i="18" s="1"/>
  <c r="U220" i="18"/>
  <c r="T220" i="18" s="1"/>
  <c r="S220" i="18" s="1"/>
  <c r="R220" i="18" s="1"/>
  <c r="P220" i="18" s="1"/>
  <c r="V220" i="18" s="1"/>
  <c r="U326" i="18"/>
  <c r="T326" i="18" s="1"/>
  <c r="S326" i="18" s="1"/>
  <c r="R326" i="18" s="1"/>
  <c r="P326" i="18" s="1"/>
  <c r="V326" i="18" s="1"/>
  <c r="U171" i="18"/>
  <c r="T171" i="18" s="1"/>
  <c r="S171" i="18" s="1"/>
  <c r="R171" i="18" s="1"/>
  <c r="P171" i="18" s="1"/>
  <c r="V171" i="18" s="1"/>
  <c r="U155" i="18"/>
  <c r="T155" i="18" s="1"/>
  <c r="S155" i="18" s="1"/>
  <c r="R155" i="18" s="1"/>
  <c r="P155" i="18" s="1"/>
  <c r="V155" i="18" s="1"/>
  <c r="U19" i="18"/>
  <c r="T19" i="18" s="1"/>
  <c r="S19" i="18" s="1"/>
  <c r="R19" i="18" s="1"/>
  <c r="P19" i="18" s="1"/>
  <c r="V19" i="18" s="1"/>
  <c r="U113" i="18"/>
  <c r="T113" i="18" s="1"/>
  <c r="S113" i="18" s="1"/>
  <c r="R113" i="18" s="1"/>
  <c r="P113" i="18" s="1"/>
  <c r="V113" i="18" s="1"/>
  <c r="U111" i="18"/>
  <c r="T111" i="18" s="1"/>
  <c r="S111" i="18" s="1"/>
  <c r="R111" i="18" s="1"/>
  <c r="P111" i="18" s="1"/>
  <c r="V111" i="18" s="1"/>
  <c r="U17" i="18"/>
  <c r="T17" i="18" s="1"/>
  <c r="S17" i="18" s="1"/>
  <c r="R17" i="18" s="1"/>
  <c r="P17" i="18" s="1"/>
  <c r="V17" i="18" s="1"/>
  <c r="U228" i="18"/>
  <c r="T228" i="18" s="1"/>
  <c r="S228" i="18" s="1"/>
  <c r="R228" i="18" s="1"/>
  <c r="P228" i="18" s="1"/>
  <c r="V228" i="18" s="1"/>
  <c r="U340" i="18"/>
  <c r="T340" i="18" s="1"/>
  <c r="S340" i="18" s="1"/>
  <c r="R340" i="18" s="1"/>
  <c r="P340" i="18" s="1"/>
  <c r="V340" i="18" s="1"/>
  <c r="U48" i="18"/>
  <c r="T48" i="18" s="1"/>
  <c r="S48" i="18" s="1"/>
  <c r="R48" i="18" s="1"/>
  <c r="P48" i="18" s="1"/>
  <c r="V48" i="18" s="1"/>
  <c r="U314" i="18"/>
  <c r="T314" i="18" s="1"/>
  <c r="S314" i="18" s="1"/>
  <c r="R314" i="18" s="1"/>
  <c r="P314" i="18" s="1"/>
  <c r="V314" i="18" s="1"/>
  <c r="U103" i="18"/>
  <c r="T103" i="18" s="1"/>
  <c r="S103" i="18" s="1"/>
  <c r="R103" i="18" s="1"/>
  <c r="P103" i="18" s="1"/>
  <c r="V103" i="18" s="1"/>
  <c r="U162" i="18"/>
  <c r="T162" i="18" s="1"/>
  <c r="S162" i="18" s="1"/>
  <c r="R162" i="18" s="1"/>
  <c r="P162" i="18" s="1"/>
  <c r="V162" i="18" s="1"/>
  <c r="U36" i="18"/>
  <c r="T36" i="18" s="1"/>
  <c r="S36" i="18" s="1"/>
  <c r="R36" i="18" s="1"/>
  <c r="P36" i="18" s="1"/>
  <c r="V36" i="18" s="1"/>
  <c r="AD211" i="18"/>
  <c r="U276" i="18"/>
  <c r="T276" i="18" s="1"/>
  <c r="S276" i="18" s="1"/>
  <c r="R276" i="18" s="1"/>
  <c r="P276" i="18" s="1"/>
  <c r="V276" i="18" s="1"/>
  <c r="U329" i="18"/>
  <c r="T329" i="18" s="1"/>
  <c r="S329" i="18" s="1"/>
  <c r="R329" i="18" s="1"/>
  <c r="P329" i="18" s="1"/>
  <c r="V329" i="18" s="1"/>
  <c r="U99" i="18"/>
  <c r="T99" i="18" s="1"/>
  <c r="S99" i="18" s="1"/>
  <c r="R99" i="18" s="1"/>
  <c r="P99" i="18" s="1"/>
  <c r="V99" i="18" s="1"/>
  <c r="U359" i="18"/>
  <c r="T359" i="18" s="1"/>
  <c r="S359" i="18" s="1"/>
  <c r="R359" i="18" s="1"/>
  <c r="P359" i="18" s="1"/>
  <c r="V359" i="18" s="1"/>
  <c r="U137" i="18"/>
  <c r="T137" i="18" s="1"/>
  <c r="S137" i="18" s="1"/>
  <c r="R137" i="18" s="1"/>
  <c r="P137" i="18" s="1"/>
  <c r="V137" i="18" s="1"/>
  <c r="U201" i="18"/>
  <c r="T201" i="18" s="1"/>
  <c r="S201" i="18" s="1"/>
  <c r="R201" i="18" s="1"/>
  <c r="P201" i="18" s="1"/>
  <c r="V201" i="18" s="1"/>
  <c r="U119" i="18"/>
  <c r="T119" i="18" s="1"/>
  <c r="S119" i="18" s="1"/>
  <c r="R119" i="18" s="1"/>
  <c r="P119" i="18" s="1"/>
  <c r="V119" i="18" s="1"/>
  <c r="U138" i="18"/>
  <c r="T138" i="18" s="1"/>
  <c r="S138" i="18" s="1"/>
  <c r="R138" i="18" s="1"/>
  <c r="P138" i="18" s="1"/>
  <c r="V138" i="18" s="1"/>
  <c r="U210" i="18"/>
  <c r="T210" i="18" s="1"/>
  <c r="S210" i="18" s="1"/>
  <c r="R210" i="18" s="1"/>
  <c r="P210" i="18" s="1"/>
  <c r="V210" i="18" s="1"/>
  <c r="U101" i="18"/>
  <c r="T101" i="18" s="1"/>
  <c r="S101" i="18" s="1"/>
  <c r="R101" i="18" s="1"/>
  <c r="P101" i="18" s="1"/>
  <c r="V101" i="18" s="1"/>
  <c r="U379" i="18"/>
  <c r="AB16" i="7" s="1"/>
  <c r="U346" i="18"/>
  <c r="T346" i="18" s="1"/>
  <c r="S346" i="18" s="1"/>
  <c r="R346" i="18" s="1"/>
  <c r="P346" i="18" s="1"/>
  <c r="V346" i="18" s="1"/>
  <c r="U286" i="18"/>
  <c r="T286" i="18" s="1"/>
  <c r="S286" i="18" s="1"/>
  <c r="R286" i="18" s="1"/>
  <c r="P286" i="18" s="1"/>
  <c r="V286" i="18" s="1"/>
  <c r="U255" i="18"/>
  <c r="T255" i="18" s="1"/>
  <c r="S255" i="18" s="1"/>
  <c r="R255" i="18" s="1"/>
  <c r="P255" i="18" s="1"/>
  <c r="V255" i="18" s="1"/>
  <c r="U270" i="18"/>
  <c r="T270" i="18" s="1"/>
  <c r="S270" i="18" s="1"/>
  <c r="R270" i="18" s="1"/>
  <c r="P270" i="18" s="1"/>
  <c r="V270" i="18" s="1"/>
  <c r="U315" i="18"/>
  <c r="T315" i="18" s="1"/>
  <c r="S315" i="18" s="1"/>
  <c r="R315" i="18" s="1"/>
  <c r="P315" i="18" s="1"/>
  <c r="V315" i="18" s="1"/>
  <c r="U266" i="18"/>
  <c r="T266" i="18" s="1"/>
  <c r="S266" i="18" s="1"/>
  <c r="R266" i="18" s="1"/>
  <c r="P266" i="18" s="1"/>
  <c r="V266" i="18" s="1"/>
  <c r="U232" i="18"/>
  <c r="T232" i="18" s="1"/>
  <c r="S232" i="18" s="1"/>
  <c r="R232" i="18" s="1"/>
  <c r="P232" i="18" s="1"/>
  <c r="V232" i="18" s="1"/>
  <c r="U59" i="18"/>
  <c r="T59" i="18" s="1"/>
  <c r="S59" i="18" s="1"/>
  <c r="R59" i="18" s="1"/>
  <c r="P59" i="18" s="1"/>
  <c r="V59" i="18" s="1"/>
  <c r="U153" i="18"/>
  <c r="T153" i="18" s="1"/>
  <c r="S153" i="18" s="1"/>
  <c r="R153" i="18" s="1"/>
  <c r="P153" i="18" s="1"/>
  <c r="V153" i="18" s="1"/>
  <c r="U226" i="18"/>
  <c r="T226" i="18" s="1"/>
  <c r="S226" i="18" s="1"/>
  <c r="R226" i="18" s="1"/>
  <c r="P226" i="18" s="1"/>
  <c r="V226" i="18" s="1"/>
  <c r="U361" i="18"/>
  <c r="T361" i="18" s="1"/>
  <c r="S361" i="18" s="1"/>
  <c r="R361" i="18" s="1"/>
  <c r="P361" i="18" s="1"/>
  <c r="V361" i="18" s="1"/>
  <c r="U27" i="18"/>
  <c r="T27" i="18" s="1"/>
  <c r="S27" i="18" s="1"/>
  <c r="R27" i="18" s="1"/>
  <c r="P27" i="18" s="1"/>
  <c r="V27" i="18" s="1"/>
  <c r="U86" i="18"/>
  <c r="T86" i="18" s="1"/>
  <c r="S86" i="18" s="1"/>
  <c r="R86" i="18" s="1"/>
  <c r="P86" i="18" s="1"/>
  <c r="V86" i="18" s="1"/>
  <c r="U175" i="18"/>
  <c r="T175" i="18" s="1"/>
  <c r="S175" i="18" s="1"/>
  <c r="R175" i="18" s="1"/>
  <c r="P175" i="18" s="1"/>
  <c r="V175" i="18" s="1"/>
  <c r="U274" i="18"/>
  <c r="T274" i="18" s="1"/>
  <c r="S274" i="18" s="1"/>
  <c r="R274" i="18" s="1"/>
  <c r="P274" i="18" s="1"/>
  <c r="V274" i="18" s="1"/>
  <c r="U308" i="18"/>
  <c r="T308" i="18" s="1"/>
  <c r="S308" i="18" s="1"/>
  <c r="R308" i="18" s="1"/>
  <c r="P308" i="18" s="1"/>
  <c r="V308" i="18" s="1"/>
  <c r="U304" i="18"/>
  <c r="T304" i="18" s="1"/>
  <c r="S304" i="18" s="1"/>
  <c r="R304" i="18" s="1"/>
  <c r="P304" i="18" s="1"/>
  <c r="V304" i="18" s="1"/>
  <c r="U334" i="18"/>
  <c r="T334" i="18" s="1"/>
  <c r="S334" i="18" s="1"/>
  <c r="R334" i="18" s="1"/>
  <c r="P334" i="18" s="1"/>
  <c r="V334" i="18" s="1"/>
  <c r="U44" i="18"/>
  <c r="T44" i="18" s="1"/>
  <c r="S44" i="18" s="1"/>
  <c r="R44" i="18" s="1"/>
  <c r="P44" i="18" s="1"/>
  <c r="V44" i="18" s="1"/>
  <c r="U285" i="18"/>
  <c r="T285" i="18" s="1"/>
  <c r="S285" i="18" s="1"/>
  <c r="R285" i="18" s="1"/>
  <c r="P285" i="18" s="1"/>
  <c r="V285" i="18" s="1"/>
  <c r="U343" i="18"/>
  <c r="T343" i="18" s="1"/>
  <c r="S343" i="18" s="1"/>
  <c r="R343" i="18" s="1"/>
  <c r="P343" i="18" s="1"/>
  <c r="V343" i="18" s="1"/>
  <c r="U290" i="18"/>
  <c r="T290" i="18" s="1"/>
  <c r="S290" i="18" s="1"/>
  <c r="R290" i="18" s="1"/>
  <c r="P290" i="18" s="1"/>
  <c r="V290" i="18" s="1"/>
  <c r="U163" i="18"/>
  <c r="T163" i="18" s="1"/>
  <c r="S163" i="18" s="1"/>
  <c r="R163" i="18" s="1"/>
  <c r="P163" i="18" s="1"/>
  <c r="V163" i="18" s="1"/>
  <c r="U112" i="18"/>
  <c r="T112" i="18" s="1"/>
  <c r="S112" i="18" s="1"/>
  <c r="R112" i="18" s="1"/>
  <c r="P112" i="18" s="1"/>
  <c r="V112" i="18" s="1"/>
  <c r="U124" i="18"/>
  <c r="T124" i="18" s="1"/>
  <c r="S124" i="18" s="1"/>
  <c r="R124" i="18" s="1"/>
  <c r="P124" i="18" s="1"/>
  <c r="V124" i="18" s="1"/>
  <c r="U18" i="18"/>
  <c r="T18" i="18" s="1"/>
  <c r="S18" i="18" s="1"/>
  <c r="R18" i="18" s="1"/>
  <c r="P18" i="18" s="1"/>
  <c r="V18" i="18" s="1"/>
  <c r="U197" i="18"/>
  <c r="T197" i="18" s="1"/>
  <c r="S197" i="18" s="1"/>
  <c r="R197" i="18" s="1"/>
  <c r="P197" i="18" s="1"/>
  <c r="V197" i="18" s="1"/>
  <c r="U336" i="18"/>
  <c r="T336" i="18" s="1"/>
  <c r="S336" i="18" s="1"/>
  <c r="R336" i="18" s="1"/>
  <c r="P336" i="18" s="1"/>
  <c r="V336" i="18" s="1"/>
  <c r="U38" i="18"/>
  <c r="T38" i="18" s="1"/>
  <c r="S38" i="18" s="1"/>
  <c r="R38" i="18" s="1"/>
  <c r="P38" i="18" s="1"/>
  <c r="V38" i="18" s="1"/>
  <c r="U161" i="18"/>
  <c r="T161" i="18" s="1"/>
  <c r="S161" i="18" s="1"/>
  <c r="R161" i="18" s="1"/>
  <c r="P161" i="18" s="1"/>
  <c r="V161" i="18" s="1"/>
  <c r="U298" i="18"/>
  <c r="T298" i="18" s="1"/>
  <c r="S298" i="18" s="1"/>
  <c r="R298" i="18" s="1"/>
  <c r="P298" i="18" s="1"/>
  <c r="V298" i="18" s="1"/>
  <c r="U318" i="18"/>
  <c r="T318" i="18" s="1"/>
  <c r="S318" i="18" s="1"/>
  <c r="R318" i="18" s="1"/>
  <c r="P318" i="18" s="1"/>
  <c r="V318" i="18" s="1"/>
  <c r="U309" i="18"/>
  <c r="T309" i="18" s="1"/>
  <c r="S309" i="18" s="1"/>
  <c r="R309" i="18" s="1"/>
  <c r="P309" i="18" s="1"/>
  <c r="V309" i="18" s="1"/>
  <c r="U217" i="18"/>
  <c r="T217" i="18" s="1"/>
  <c r="S217" i="18" s="1"/>
  <c r="R217" i="18" s="1"/>
  <c r="P217" i="18" s="1"/>
  <c r="V217" i="18" s="1"/>
  <c r="U199" i="18"/>
  <c r="T199" i="18" s="1"/>
  <c r="S199" i="18" s="1"/>
  <c r="R199" i="18" s="1"/>
  <c r="P199" i="18" s="1"/>
  <c r="V199" i="18" s="1"/>
  <c r="U152" i="18"/>
  <c r="T152" i="18" s="1"/>
  <c r="S152" i="18" s="1"/>
  <c r="R152" i="18" s="1"/>
  <c r="P152" i="18" s="1"/>
  <c r="V152" i="18" s="1"/>
  <c r="U362" i="18"/>
  <c r="T362" i="18" s="1"/>
  <c r="S362" i="18" s="1"/>
  <c r="R362" i="18" s="1"/>
  <c r="P362" i="18" s="1"/>
  <c r="V362" i="18" s="1"/>
  <c r="U67" i="18"/>
  <c r="T67" i="18" s="1"/>
  <c r="S67" i="18" s="1"/>
  <c r="R67" i="18" s="1"/>
  <c r="P67" i="18" s="1"/>
  <c r="V67" i="18" s="1"/>
  <c r="U30" i="18"/>
  <c r="T30" i="18" s="1"/>
  <c r="S30" i="18" s="1"/>
  <c r="R30" i="18" s="1"/>
  <c r="P30" i="18" s="1"/>
  <c r="V30" i="18" s="1"/>
  <c r="U213" i="18"/>
  <c r="T213" i="18" s="1"/>
  <c r="S213" i="18" s="1"/>
  <c r="R213" i="18" s="1"/>
  <c r="P213" i="18" s="1"/>
  <c r="V213" i="18" s="1"/>
  <c r="U72" i="18"/>
  <c r="T72" i="18" s="1"/>
  <c r="S72" i="18" s="1"/>
  <c r="R72" i="18" s="1"/>
  <c r="P72" i="18" s="1"/>
  <c r="V72" i="18" s="1"/>
  <c r="U136" i="18"/>
  <c r="T136" i="18" s="1"/>
  <c r="S136" i="18" s="1"/>
  <c r="R136" i="18" s="1"/>
  <c r="P136" i="18" s="1"/>
  <c r="V136" i="18" s="1"/>
  <c r="U328" i="18"/>
  <c r="T328" i="18" s="1"/>
  <c r="S328" i="18" s="1"/>
  <c r="R328" i="18" s="1"/>
  <c r="P328" i="18" s="1"/>
  <c r="V328" i="18" s="1"/>
  <c r="U69" i="18"/>
  <c r="T69" i="18" s="1"/>
  <c r="S69" i="18" s="1"/>
  <c r="R69" i="18" s="1"/>
  <c r="P69" i="18" s="1"/>
  <c r="V69" i="18" s="1"/>
  <c r="U105" i="18"/>
  <c r="T105" i="18" s="1"/>
  <c r="S105" i="18" s="1"/>
  <c r="R105" i="18" s="1"/>
  <c r="P105" i="18" s="1"/>
  <c r="V105" i="18" s="1"/>
  <c r="U158" i="18"/>
  <c r="T158" i="18" s="1"/>
  <c r="S158" i="18" s="1"/>
  <c r="R158" i="18" s="1"/>
  <c r="P158" i="18" s="1"/>
  <c r="V158" i="18" s="1"/>
  <c r="U324" i="18"/>
  <c r="T324" i="18" s="1"/>
  <c r="S324" i="18" s="1"/>
  <c r="R324" i="18" s="1"/>
  <c r="P324" i="18" s="1"/>
  <c r="V324" i="18" s="1"/>
  <c r="U130" i="18"/>
  <c r="T130" i="18" s="1"/>
  <c r="S130" i="18" s="1"/>
  <c r="R130" i="18" s="1"/>
  <c r="P130" i="18" s="1"/>
  <c r="V130" i="18" s="1"/>
  <c r="U337" i="18"/>
  <c r="T337" i="18" s="1"/>
  <c r="S337" i="18" s="1"/>
  <c r="R337" i="18" s="1"/>
  <c r="P337" i="18" s="1"/>
  <c r="V337" i="18" s="1"/>
  <c r="U192" i="18"/>
  <c r="T192" i="18" s="1"/>
  <c r="S192" i="18" s="1"/>
  <c r="R192" i="18" s="1"/>
  <c r="P192" i="18" s="1"/>
  <c r="V192" i="18" s="1"/>
  <c r="U108" i="18"/>
  <c r="T108" i="18" s="1"/>
  <c r="S108" i="18" s="1"/>
  <c r="R108" i="18" s="1"/>
  <c r="P108" i="18" s="1"/>
  <c r="V108" i="18" s="1"/>
  <c r="U170" i="18"/>
  <c r="T170" i="18" s="1"/>
  <c r="S170" i="18" s="1"/>
  <c r="R170" i="18" s="1"/>
  <c r="P170" i="18" s="1"/>
  <c r="V170" i="18" s="1"/>
  <c r="U81" i="18"/>
  <c r="T81" i="18" s="1"/>
  <c r="S81" i="18" s="1"/>
  <c r="R81" i="18" s="1"/>
  <c r="P81" i="18" s="1"/>
  <c r="V81" i="18" s="1"/>
  <c r="U96" i="18"/>
  <c r="T96" i="18" s="1"/>
  <c r="S96" i="18" s="1"/>
  <c r="R96" i="18" s="1"/>
  <c r="P96" i="18" s="1"/>
  <c r="V96" i="18" s="1"/>
  <c r="U182" i="18"/>
  <c r="T182" i="18" s="1"/>
  <c r="S182" i="18" s="1"/>
  <c r="R182" i="18" s="1"/>
  <c r="P182" i="18" s="1"/>
  <c r="V182" i="18" s="1"/>
  <c r="U84" i="18"/>
  <c r="T84" i="18" s="1"/>
  <c r="S84" i="18" s="1"/>
  <c r="R84" i="18" s="1"/>
  <c r="P84" i="18" s="1"/>
  <c r="V84" i="18" s="1"/>
  <c r="U240" i="18"/>
  <c r="T240" i="18" s="1"/>
  <c r="S240" i="18" s="1"/>
  <c r="R240" i="18" s="1"/>
  <c r="P240" i="18" s="1"/>
  <c r="V240" i="18" s="1"/>
  <c r="U299" i="18"/>
  <c r="T299" i="18" s="1"/>
  <c r="S299" i="18" s="1"/>
  <c r="R299" i="18" s="1"/>
  <c r="P299" i="18" s="1"/>
  <c r="V299" i="18" s="1"/>
  <c r="U307" i="18"/>
  <c r="T307" i="18" s="1"/>
  <c r="S307" i="18" s="1"/>
  <c r="R307" i="18" s="1"/>
  <c r="P307" i="18" s="1"/>
  <c r="V307" i="18" s="1"/>
  <c r="U230" i="18"/>
  <c r="T230" i="18" s="1"/>
  <c r="S230" i="18" s="1"/>
  <c r="R230" i="18" s="1"/>
  <c r="P230" i="18" s="1"/>
  <c r="V230" i="18" s="1"/>
  <c r="U185" i="18"/>
  <c r="T185" i="18" s="1"/>
  <c r="S185" i="18" s="1"/>
  <c r="R185" i="18" s="1"/>
  <c r="P185" i="18" s="1"/>
  <c r="V185" i="18" s="1"/>
  <c r="U128" i="18"/>
  <c r="T128" i="18" s="1"/>
  <c r="S128" i="18" s="1"/>
  <c r="R128" i="18" s="1"/>
  <c r="P128" i="18" s="1"/>
  <c r="V128" i="18" s="1"/>
  <c r="U225" i="18"/>
  <c r="T225" i="18" s="1"/>
  <c r="S225" i="18" s="1"/>
  <c r="R225" i="18" s="1"/>
  <c r="P225" i="18" s="1"/>
  <c r="V225" i="18" s="1"/>
  <c r="U273" i="18"/>
  <c r="T273" i="18" s="1"/>
  <c r="S273" i="18" s="1"/>
  <c r="R273" i="18" s="1"/>
  <c r="P273" i="18" s="1"/>
  <c r="V273" i="18" s="1"/>
  <c r="U121" i="18"/>
  <c r="T121" i="18" s="1"/>
  <c r="S121" i="18" s="1"/>
  <c r="R121" i="18" s="1"/>
  <c r="P121" i="18" s="1"/>
  <c r="V121" i="18" s="1"/>
  <c r="U198" i="18"/>
  <c r="T198" i="18" s="1"/>
  <c r="S198" i="18" s="1"/>
  <c r="R198" i="18" s="1"/>
  <c r="P198" i="18" s="1"/>
  <c r="V198" i="18" s="1"/>
  <c r="U282" i="18"/>
  <c r="T282" i="18" s="1"/>
  <c r="S282" i="18" s="1"/>
  <c r="R282" i="18" s="1"/>
  <c r="P282" i="18" s="1"/>
  <c r="V282" i="18" s="1"/>
  <c r="U300" i="18"/>
  <c r="T300" i="18" s="1"/>
  <c r="S300" i="18" s="1"/>
  <c r="R300" i="18" s="1"/>
  <c r="P300" i="18" s="1"/>
  <c r="V300" i="18" s="1"/>
  <c r="U78" i="18"/>
  <c r="T78" i="18" s="1"/>
  <c r="S78" i="18" s="1"/>
  <c r="R78" i="18" s="1"/>
  <c r="P78" i="18" s="1"/>
  <c r="V78" i="18" s="1"/>
  <c r="U55" i="18"/>
  <c r="T55" i="18" s="1"/>
  <c r="S55" i="18" s="1"/>
  <c r="R55" i="18" s="1"/>
  <c r="P55" i="18" s="1"/>
  <c r="V55" i="18" s="1"/>
  <c r="U62" i="18"/>
  <c r="T62" i="18" s="1"/>
  <c r="S62" i="18" s="1"/>
  <c r="R62" i="18" s="1"/>
  <c r="P62" i="18" s="1"/>
  <c r="V62" i="18" s="1"/>
  <c r="U347" i="18"/>
  <c r="T347" i="18" s="1"/>
  <c r="S347" i="18" s="1"/>
  <c r="R347" i="18" s="1"/>
  <c r="P347" i="18" s="1"/>
  <c r="V347" i="18" s="1"/>
  <c r="U43" i="18"/>
  <c r="T43" i="18" s="1"/>
  <c r="S43" i="18" s="1"/>
  <c r="R43" i="18" s="1"/>
  <c r="P43" i="18" s="1"/>
  <c r="V43" i="18" s="1"/>
  <c r="U28" i="18"/>
  <c r="T28" i="18" s="1"/>
  <c r="S28" i="18" s="1"/>
  <c r="R28" i="18" s="1"/>
  <c r="P28" i="18" s="1"/>
  <c r="V28" i="18" s="1"/>
  <c r="U252" i="18"/>
  <c r="T252" i="18" s="1"/>
  <c r="S252" i="18" s="1"/>
  <c r="R252" i="18" s="1"/>
  <c r="P252" i="18" s="1"/>
  <c r="V252" i="18" s="1"/>
  <c r="U193" i="18"/>
  <c r="T193" i="18" s="1"/>
  <c r="S193" i="18" s="1"/>
  <c r="R193" i="18" s="1"/>
  <c r="P193" i="18" s="1"/>
  <c r="V193" i="18" s="1"/>
  <c r="U40" i="18"/>
  <c r="T40" i="18" s="1"/>
  <c r="S40" i="18" s="1"/>
  <c r="R40" i="18" s="1"/>
  <c r="P40" i="18" s="1"/>
  <c r="V40" i="18" s="1"/>
  <c r="U239" i="18"/>
  <c r="T239" i="18" s="1"/>
  <c r="S239" i="18" s="1"/>
  <c r="R239" i="18" s="1"/>
  <c r="P239" i="18" s="1"/>
  <c r="V239" i="18" s="1"/>
  <c r="U173" i="18"/>
  <c r="T173" i="18" s="1"/>
  <c r="S173" i="18" s="1"/>
  <c r="R173" i="18" s="1"/>
  <c r="P173" i="18" s="1"/>
  <c r="V173" i="18" s="1"/>
  <c r="U221" i="18"/>
  <c r="T221" i="18" s="1"/>
  <c r="S221" i="18" s="1"/>
  <c r="R221" i="18" s="1"/>
  <c r="P221" i="18" s="1"/>
  <c r="V221" i="18" s="1"/>
  <c r="U262" i="18"/>
  <c r="T262" i="18" s="1"/>
  <c r="S262" i="18" s="1"/>
  <c r="R262" i="18" s="1"/>
  <c r="P262" i="18" s="1"/>
  <c r="V262" i="18" s="1"/>
  <c r="U97" i="18"/>
  <c r="T97" i="18" s="1"/>
  <c r="S97" i="18" s="1"/>
  <c r="R97" i="18" s="1"/>
  <c r="P97" i="18" s="1"/>
  <c r="V97" i="18" s="1"/>
  <c r="U261" i="18"/>
  <c r="T261" i="18" s="1"/>
  <c r="S261" i="18" s="1"/>
  <c r="R261" i="18" s="1"/>
  <c r="P261" i="18" s="1"/>
  <c r="V261" i="18" s="1"/>
  <c r="U109" i="18"/>
  <c r="T109" i="18" s="1"/>
  <c r="S109" i="18" s="1"/>
  <c r="R109" i="18" s="1"/>
  <c r="P109" i="18" s="1"/>
  <c r="V109" i="18" s="1"/>
  <c r="U341" i="18"/>
  <c r="T341" i="18" s="1"/>
  <c r="S341" i="18" s="1"/>
  <c r="R341" i="18" s="1"/>
  <c r="P341" i="18" s="1"/>
  <c r="V341" i="18" s="1"/>
  <c r="U249" i="18"/>
  <c r="T249" i="18" s="1"/>
  <c r="S249" i="18" s="1"/>
  <c r="R249" i="18" s="1"/>
  <c r="P249" i="18" s="1"/>
  <c r="V249" i="18" s="1"/>
  <c r="U117" i="18"/>
  <c r="T117" i="18" s="1"/>
  <c r="S117" i="18" s="1"/>
  <c r="R117" i="18" s="1"/>
  <c r="P117" i="18" s="1"/>
  <c r="V117" i="18" s="1"/>
  <c r="U332" i="18"/>
  <c r="T332" i="18" s="1"/>
  <c r="S332" i="18" s="1"/>
  <c r="R332" i="18" s="1"/>
  <c r="P332" i="18" s="1"/>
  <c r="V332" i="18" s="1"/>
  <c r="U172" i="18"/>
  <c r="T172" i="18" s="1"/>
  <c r="S172" i="18" s="1"/>
  <c r="R172" i="18" s="1"/>
  <c r="P172" i="18" s="1"/>
  <c r="V172" i="18" s="1"/>
  <c r="U351" i="18"/>
  <c r="T351" i="18" s="1"/>
  <c r="S351" i="18" s="1"/>
  <c r="R351" i="18" s="1"/>
  <c r="P351" i="18" s="1"/>
  <c r="V351" i="18" s="1"/>
  <c r="U281" i="18"/>
  <c r="T281" i="18" s="1"/>
  <c r="S281" i="18" s="1"/>
  <c r="R281" i="18" s="1"/>
  <c r="P281" i="18" s="1"/>
  <c r="V281" i="18" s="1"/>
  <c r="U301" i="18"/>
  <c r="T301" i="18" s="1"/>
  <c r="S301" i="18" s="1"/>
  <c r="R301" i="18" s="1"/>
  <c r="P301" i="18" s="1"/>
  <c r="V301" i="18" s="1"/>
  <c r="U120" i="18"/>
  <c r="T120" i="18" s="1"/>
  <c r="S120" i="18" s="1"/>
  <c r="R120" i="18" s="1"/>
  <c r="P120" i="18" s="1"/>
  <c r="V120" i="18" s="1"/>
  <c r="U29" i="18"/>
  <c r="T29" i="18" s="1"/>
  <c r="S29" i="18" s="1"/>
  <c r="R29" i="18" s="1"/>
  <c r="P29" i="18" s="1"/>
  <c r="V29" i="18" s="1"/>
  <c r="U269" i="18"/>
  <c r="T269" i="18" s="1"/>
  <c r="S269" i="18" s="1"/>
  <c r="R269" i="18" s="1"/>
  <c r="P269" i="18" s="1"/>
  <c r="V269" i="18" s="1"/>
  <c r="U151" i="18"/>
  <c r="T151" i="18" s="1"/>
  <c r="S151" i="18" s="1"/>
  <c r="R151" i="18" s="1"/>
  <c r="P151" i="18" s="1"/>
  <c r="V151" i="18" s="1"/>
  <c r="U92" i="18"/>
  <c r="T92" i="18" s="1"/>
  <c r="S92" i="18" s="1"/>
  <c r="R92" i="18" s="1"/>
  <c r="P92" i="18" s="1"/>
  <c r="V92" i="18" s="1"/>
  <c r="U142" i="18"/>
  <c r="T142" i="18" s="1"/>
  <c r="S142" i="18" s="1"/>
  <c r="R142" i="18" s="1"/>
  <c r="P142" i="18" s="1"/>
  <c r="V142" i="18" s="1"/>
  <c r="U194" i="18"/>
  <c r="T194" i="18" s="1"/>
  <c r="S194" i="18" s="1"/>
  <c r="R194" i="18" s="1"/>
  <c r="P194" i="18" s="1"/>
  <c r="V194" i="18" s="1"/>
  <c r="U367" i="18"/>
  <c r="T367" i="18" s="1"/>
  <c r="S367" i="18" s="1"/>
  <c r="R367" i="18" s="1"/>
  <c r="P367" i="18" s="1"/>
  <c r="V367" i="18" s="1"/>
  <c r="U35" i="18"/>
  <c r="T35" i="18" s="1"/>
  <c r="S35" i="18" s="1"/>
  <c r="R35" i="18" s="1"/>
  <c r="P35" i="18" s="1"/>
  <c r="V35" i="18" s="1"/>
  <c r="U129" i="18"/>
  <c r="T129" i="18" s="1"/>
  <c r="S129" i="18" s="1"/>
  <c r="R129" i="18" s="1"/>
  <c r="P129" i="18" s="1"/>
  <c r="V129" i="18" s="1"/>
  <c r="U250" i="18"/>
  <c r="T250" i="18" s="1"/>
  <c r="S250" i="18" s="1"/>
  <c r="R250" i="18" s="1"/>
  <c r="P250" i="18" s="1"/>
  <c r="V250" i="18" s="1"/>
  <c r="U181" i="18"/>
  <c r="T181" i="18" s="1"/>
  <c r="S181" i="18" s="1"/>
  <c r="R181" i="18" s="1"/>
  <c r="P181" i="18" s="1"/>
  <c r="V181" i="18" s="1"/>
  <c r="U100" i="18"/>
  <c r="T100" i="18" s="1"/>
  <c r="S100" i="18" s="1"/>
  <c r="R100" i="18" s="1"/>
  <c r="P100" i="18" s="1"/>
  <c r="V100" i="18" s="1"/>
  <c r="U370" i="18"/>
  <c r="T370" i="18" s="1"/>
  <c r="S370" i="18" s="1"/>
  <c r="R370" i="18" s="1"/>
  <c r="P370" i="18" s="1"/>
  <c r="V370" i="18" s="1"/>
  <c r="U65" i="18"/>
  <c r="T65" i="18" s="1"/>
  <c r="S65" i="18" s="1"/>
  <c r="R65" i="18" s="1"/>
  <c r="P65" i="18" s="1"/>
  <c r="V65" i="18" s="1"/>
  <c r="U82" i="18"/>
  <c r="T82" i="18" s="1"/>
  <c r="S82" i="18" s="1"/>
  <c r="R82" i="18" s="1"/>
  <c r="P82" i="18" s="1"/>
  <c r="V82" i="18" s="1"/>
  <c r="U245" i="18"/>
  <c r="T245" i="18" s="1"/>
  <c r="S245" i="18" s="1"/>
  <c r="R245" i="18" s="1"/>
  <c r="P245" i="18" s="1"/>
  <c r="V245" i="18" s="1"/>
  <c r="U287" i="18"/>
  <c r="T287" i="18" s="1"/>
  <c r="S287" i="18" s="1"/>
  <c r="R287" i="18" s="1"/>
  <c r="P287" i="18" s="1"/>
  <c r="V287" i="18" s="1"/>
  <c r="U60" i="18"/>
  <c r="T60" i="18" s="1"/>
  <c r="S60" i="18" s="1"/>
  <c r="R60" i="18" s="1"/>
  <c r="P60" i="18" s="1"/>
  <c r="D69" i="7" s="1"/>
  <c r="U284" i="18"/>
  <c r="T284" i="18" s="1"/>
  <c r="S284" i="18" s="1"/>
  <c r="R284" i="18" s="1"/>
  <c r="P284" i="18" s="1"/>
  <c r="V284" i="18" s="1"/>
  <c r="U164" i="18"/>
  <c r="T164" i="18" s="1"/>
  <c r="S164" i="18" s="1"/>
  <c r="R164" i="18" s="1"/>
  <c r="P164" i="18" s="1"/>
  <c r="V164" i="18" s="1"/>
  <c r="U49" i="18"/>
  <c r="T49" i="18" s="1"/>
  <c r="S49" i="18" s="1"/>
  <c r="R49" i="18" s="1"/>
  <c r="P49" i="18" s="1"/>
  <c r="V49" i="18" s="1"/>
  <c r="U216" i="18"/>
  <c r="T216" i="18" s="1"/>
  <c r="S216" i="18" s="1"/>
  <c r="R216" i="18" s="1"/>
  <c r="P216" i="18" s="1"/>
  <c r="V216" i="18" s="1"/>
  <c r="U338" i="18"/>
  <c r="T338" i="18" s="1"/>
  <c r="S338" i="18" s="1"/>
  <c r="R338" i="18" s="1"/>
  <c r="P338" i="18" s="1"/>
  <c r="V338" i="18" s="1"/>
  <c r="U251" i="18"/>
  <c r="T251" i="18" s="1"/>
  <c r="S251" i="18" s="1"/>
  <c r="R251" i="18" s="1"/>
  <c r="P251" i="18" s="1"/>
  <c r="V251" i="18" s="1"/>
  <c r="U331" i="18"/>
  <c r="T331" i="18" s="1"/>
  <c r="S331" i="18" s="1"/>
  <c r="R331" i="18" s="1"/>
  <c r="P331" i="18" s="1"/>
  <c r="V331" i="18" s="1"/>
  <c r="U147" i="18"/>
  <c r="T147" i="18" s="1"/>
  <c r="S147" i="18" s="1"/>
  <c r="R147" i="18" s="1"/>
  <c r="P147" i="18" s="1"/>
  <c r="V147" i="18" s="1"/>
  <c r="U74" i="18"/>
  <c r="T74" i="18" s="1"/>
  <c r="S74" i="18" s="1"/>
  <c r="R74" i="18" s="1"/>
  <c r="P74" i="18" s="1"/>
  <c r="V74" i="18" s="1"/>
  <c r="D74" i="18" s="1"/>
  <c r="E74" i="18" s="1"/>
  <c r="F74" i="18" s="1"/>
  <c r="H74" i="18" s="1"/>
  <c r="U356" i="18"/>
  <c r="T356" i="18" s="1"/>
  <c r="S356" i="18" s="1"/>
  <c r="R356" i="18" s="1"/>
  <c r="P356" i="18" s="1"/>
  <c r="V356" i="18" s="1"/>
  <c r="U235" i="18"/>
  <c r="T235" i="18" s="1"/>
  <c r="S235" i="18" s="1"/>
  <c r="R235" i="18" s="1"/>
  <c r="P235" i="18" s="1"/>
  <c r="V235" i="18" s="1"/>
  <c r="U58" i="18"/>
  <c r="T58" i="18" s="1"/>
  <c r="S58" i="18" s="1"/>
  <c r="R58" i="18" s="1"/>
  <c r="P58" i="18" s="1"/>
  <c r="V58" i="18" s="1"/>
  <c r="U313" i="18"/>
  <c r="T313" i="18" s="1"/>
  <c r="S313" i="18" s="1"/>
  <c r="R313" i="18" s="1"/>
  <c r="P313" i="18" s="1"/>
  <c r="V313" i="18" s="1"/>
  <c r="U132" i="18"/>
  <c r="T132" i="18" s="1"/>
  <c r="S132" i="18" s="1"/>
  <c r="R132" i="18" s="1"/>
  <c r="P132" i="18" s="1"/>
  <c r="V132" i="18" s="1"/>
  <c r="U371" i="18"/>
  <c r="T371" i="18" s="1"/>
  <c r="S371" i="18" s="1"/>
  <c r="R371" i="18" s="1"/>
  <c r="P371" i="18" s="1"/>
  <c r="V371" i="18" s="1"/>
  <c r="U32" i="18"/>
  <c r="T32" i="18" s="1"/>
  <c r="S32" i="18" s="1"/>
  <c r="R32" i="18" s="1"/>
  <c r="P32" i="18" s="1"/>
  <c r="V32" i="18" s="1"/>
  <c r="U246" i="18"/>
  <c r="T246" i="18" s="1"/>
  <c r="S246" i="18" s="1"/>
  <c r="R246" i="18" s="1"/>
  <c r="P246" i="18" s="1"/>
  <c r="V246" i="18" s="1"/>
  <c r="U95" i="18"/>
  <c r="T95" i="18" s="1"/>
  <c r="S95" i="18" s="1"/>
  <c r="R95" i="18" s="1"/>
  <c r="P95" i="18" s="1"/>
  <c r="V95" i="18" s="1"/>
  <c r="AI372" i="18"/>
  <c r="AH372" i="18" s="1"/>
  <c r="AG372" i="18" s="1"/>
  <c r="AF372" i="18" s="1"/>
  <c r="AD372" i="18" s="1"/>
  <c r="AI160" i="18"/>
  <c r="AH160" i="18" s="1"/>
  <c r="AG160" i="18" s="1"/>
  <c r="AF160" i="18" s="1"/>
  <c r="AD160" i="18" s="1"/>
  <c r="AI20" i="18"/>
  <c r="AH20" i="18" s="1"/>
  <c r="AG20" i="18" s="1"/>
  <c r="AF20" i="18" s="1"/>
  <c r="AD20" i="18" s="1"/>
  <c r="AI375" i="18"/>
  <c r="AH375" i="18" s="1"/>
  <c r="AG375" i="18" s="1"/>
  <c r="AF375" i="18" s="1"/>
  <c r="AD375" i="18" s="1"/>
  <c r="AI56" i="18"/>
  <c r="AH56" i="18" s="1"/>
  <c r="AG56" i="18" s="1"/>
  <c r="AF56" i="18" s="1"/>
  <c r="AD56" i="18" s="1"/>
  <c r="AI60" i="18"/>
  <c r="AH60" i="18" s="1"/>
  <c r="AG60" i="18" s="1"/>
  <c r="AF60" i="18" s="1"/>
  <c r="AD60" i="18" s="1"/>
  <c r="AI374" i="18"/>
  <c r="AH374" i="18" s="1"/>
  <c r="AG374" i="18" s="1"/>
  <c r="AF374" i="18" s="1"/>
  <c r="AD374" i="18" s="1"/>
  <c r="AI18" i="18"/>
  <c r="AH18" i="18" s="1"/>
  <c r="AG18" i="18" s="1"/>
  <c r="AF18" i="18" s="1"/>
  <c r="AD18" i="18" s="1"/>
  <c r="AI48" i="18"/>
  <c r="AH48" i="18" s="1"/>
  <c r="AG48" i="18" s="1"/>
  <c r="AF48" i="18" s="1"/>
  <c r="AD48" i="18" s="1"/>
  <c r="AI373" i="18"/>
  <c r="AH373" i="18" s="1"/>
  <c r="AG373" i="18" s="1"/>
  <c r="AF373" i="18" s="1"/>
  <c r="AD373" i="18" s="1"/>
  <c r="AI59" i="18"/>
  <c r="AH59" i="18" s="1"/>
  <c r="AG59" i="18" s="1"/>
  <c r="AF59" i="18" s="1"/>
  <c r="AD59" i="18" s="1"/>
  <c r="AI85" i="18"/>
  <c r="AH85" i="18" s="1"/>
  <c r="AG85" i="18" s="1"/>
  <c r="AF85" i="18" s="1"/>
  <c r="AD85" i="18" s="1"/>
  <c r="AI76" i="18"/>
  <c r="AH76" i="18" s="1"/>
  <c r="AG76" i="18" s="1"/>
  <c r="AF76" i="18" s="1"/>
  <c r="AD76" i="18" s="1"/>
  <c r="AI349" i="18"/>
  <c r="AH349" i="18" s="1"/>
  <c r="AG349" i="18" s="1"/>
  <c r="AF349" i="18" s="1"/>
  <c r="AD349" i="18" s="1"/>
  <c r="AI289" i="18"/>
  <c r="AH289" i="18" s="1"/>
  <c r="AG289" i="18" s="1"/>
  <c r="AF289" i="18" s="1"/>
  <c r="AD289" i="18" s="1"/>
  <c r="AI284" i="18"/>
  <c r="AH284" i="18" s="1"/>
  <c r="AG284" i="18" s="1"/>
  <c r="AF284" i="18" s="1"/>
  <c r="AD284" i="18" s="1"/>
  <c r="AI256" i="18"/>
  <c r="AH256" i="18" s="1"/>
  <c r="AG256" i="18" s="1"/>
  <c r="AF256" i="18" s="1"/>
  <c r="AD256" i="18" s="1"/>
  <c r="AI288" i="18"/>
  <c r="AH288" i="18" s="1"/>
  <c r="AG288" i="18" s="1"/>
  <c r="AF288" i="18" s="1"/>
  <c r="AD288" i="18" s="1"/>
  <c r="AI328" i="18"/>
  <c r="AH328" i="18" s="1"/>
  <c r="AG328" i="18" s="1"/>
  <c r="AF328" i="18" s="1"/>
  <c r="AD328" i="18" s="1"/>
  <c r="AI95" i="18"/>
  <c r="AH95" i="18" s="1"/>
  <c r="AG95" i="18" s="1"/>
  <c r="AF95" i="18" s="1"/>
  <c r="AD95" i="18" s="1"/>
  <c r="AI101" i="18"/>
  <c r="AH101" i="18" s="1"/>
  <c r="AG101" i="18" s="1"/>
  <c r="AF101" i="18" s="1"/>
  <c r="AD101" i="18" s="1"/>
  <c r="AI258" i="18"/>
  <c r="AH258" i="18" s="1"/>
  <c r="AG258" i="18" s="1"/>
  <c r="AF258" i="18" s="1"/>
  <c r="AD258" i="18" s="1"/>
  <c r="AI264" i="18"/>
  <c r="AH264" i="18" s="1"/>
  <c r="AG264" i="18" s="1"/>
  <c r="AF264" i="18" s="1"/>
  <c r="AD264" i="18" s="1"/>
  <c r="AI32" i="18"/>
  <c r="AH32" i="18" s="1"/>
  <c r="AG32" i="18" s="1"/>
  <c r="AF32" i="18" s="1"/>
  <c r="AD32" i="18" s="1"/>
  <c r="AI37" i="18"/>
  <c r="AH37" i="18" s="1"/>
  <c r="AG37" i="18" s="1"/>
  <c r="AF37" i="18" s="1"/>
  <c r="AD37" i="18" s="1"/>
  <c r="AI70" i="18"/>
  <c r="AH70" i="18" s="1"/>
  <c r="AG70" i="18" s="1"/>
  <c r="AF70" i="18" s="1"/>
  <c r="AD70" i="18" s="1"/>
  <c r="AI53" i="18"/>
  <c r="AH53" i="18" s="1"/>
  <c r="AG53" i="18" s="1"/>
  <c r="AF53" i="18" s="1"/>
  <c r="AD53" i="18" s="1"/>
  <c r="AI28" i="18"/>
  <c r="AH28" i="18" s="1"/>
  <c r="AG28" i="18" s="1"/>
  <c r="AF28" i="18" s="1"/>
  <c r="AD28" i="18" s="1"/>
  <c r="AI33" i="18"/>
  <c r="AH33" i="18" s="1"/>
  <c r="AG33" i="18" s="1"/>
  <c r="AF33" i="18" s="1"/>
  <c r="AD33" i="18" s="1"/>
  <c r="AI157" i="18"/>
  <c r="AH157" i="18" s="1"/>
  <c r="AI262" i="18"/>
  <c r="AH262" i="18" s="1"/>
  <c r="AG262" i="18" s="1"/>
  <c r="AF262" i="18" s="1"/>
  <c r="AI221" i="18"/>
  <c r="AH221" i="18" s="1"/>
  <c r="AI292" i="18"/>
  <c r="AH292" i="18" s="1"/>
  <c r="AG292" i="18" s="1"/>
  <c r="AF292" i="18" s="1"/>
  <c r="AI184" i="18"/>
  <c r="AH184" i="18" s="1"/>
  <c r="AG184" i="18" s="1"/>
  <c r="AF184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AI91" i="18"/>
  <c r="AH91" i="18" s="1"/>
  <c r="AG91" i="18" s="1"/>
  <c r="AF91" i="18" s="1"/>
  <c r="AD91" i="18" s="1"/>
  <c r="AI64" i="18"/>
  <c r="AH64" i="18" s="1"/>
  <c r="AG64" i="18" s="1"/>
  <c r="AF64" i="18" s="1"/>
  <c r="AD64" i="18" s="1"/>
  <c r="AI38" i="18"/>
  <c r="AH38" i="18" s="1"/>
  <c r="AG38" i="18" s="1"/>
  <c r="AF38" i="18" s="1"/>
  <c r="AD38" i="18" s="1"/>
  <c r="AI223" i="18"/>
  <c r="AH223" i="18" s="1"/>
  <c r="AG223" i="18" s="1"/>
  <c r="AF223" i="18" s="1"/>
  <c r="AD223" i="18" s="1"/>
  <c r="AI213" i="18"/>
  <c r="AH213" i="18" s="1"/>
  <c r="AI115" i="18"/>
  <c r="AH115" i="18" s="1"/>
  <c r="AG115" i="18" s="1"/>
  <c r="AF115" i="18" s="1"/>
  <c r="AI205" i="18"/>
  <c r="AH205" i="18" s="1"/>
  <c r="AG205" i="18" s="1"/>
  <c r="AF205" i="18" s="1"/>
  <c r="AD205" i="18" s="1"/>
  <c r="I320" i="17"/>
  <c r="O10" i="23"/>
  <c r="AC10" i="23"/>
  <c r="L41" i="19"/>
  <c r="AI331" i="18"/>
  <c r="AH331" i="18" s="1"/>
  <c r="AI233" i="18"/>
  <c r="AH233" i="18" s="1"/>
  <c r="AG233" i="18" s="1"/>
  <c r="AF233" i="18" s="1"/>
  <c r="AD233" i="18" s="1"/>
  <c r="AI144" i="18"/>
  <c r="AH144" i="18" s="1"/>
  <c r="AG144" i="18" s="1"/>
  <c r="AF144" i="18" s="1"/>
  <c r="AD144" i="18" s="1"/>
  <c r="G379" i="17"/>
  <c r="BZ379" i="6" s="1"/>
  <c r="H379" i="17"/>
  <c r="I379" i="17" s="1"/>
  <c r="Q69" i="20"/>
  <c r="AE11" i="20"/>
  <c r="Q124" i="20"/>
  <c r="Q365" i="20"/>
  <c r="Q111" i="20"/>
  <c r="Q229" i="20"/>
  <c r="Q332" i="20"/>
  <c r="Q361" i="20"/>
  <c r="Q195" i="20"/>
  <c r="Q57" i="20"/>
  <c r="Q276" i="20"/>
  <c r="AI169" i="18"/>
  <c r="AH169" i="18" s="1"/>
  <c r="AG169" i="18" s="1"/>
  <c r="AF169" i="18" s="1"/>
  <c r="AD169" i="18" s="1"/>
  <c r="AI327" i="18"/>
  <c r="AH327" i="18" s="1"/>
  <c r="AG327" i="18" s="1"/>
  <c r="AF327" i="18" s="1"/>
  <c r="AD327" i="18" s="1"/>
  <c r="AI247" i="18"/>
  <c r="AH247" i="18" s="1"/>
  <c r="AG247" i="18" s="1"/>
  <c r="AF247" i="18" s="1"/>
  <c r="AD247" i="18" s="1"/>
  <c r="AI170" i="18"/>
  <c r="AH170" i="18" s="1"/>
  <c r="AG170" i="18" s="1"/>
  <c r="AF170" i="18" s="1"/>
  <c r="AD170" i="18" s="1"/>
  <c r="AI196" i="18"/>
  <c r="AH196" i="18" s="1"/>
  <c r="AG196" i="18" s="1"/>
  <c r="AF196" i="18" s="1"/>
  <c r="AD196" i="18" s="1"/>
  <c r="AI362" i="18"/>
  <c r="AH362" i="18" s="1"/>
  <c r="AG362" i="18" s="1"/>
  <c r="AF362" i="18" s="1"/>
  <c r="AD362" i="18" s="1"/>
  <c r="AI158" i="18"/>
  <c r="AH158" i="18" s="1"/>
  <c r="AG158" i="18" s="1"/>
  <c r="AF158" i="18" s="1"/>
  <c r="AD158" i="18" s="1"/>
  <c r="AI254" i="18"/>
  <c r="AH254" i="18" s="1"/>
  <c r="AG254" i="18" s="1"/>
  <c r="AF254" i="18" s="1"/>
  <c r="AD254" i="18" s="1"/>
  <c r="AI265" i="18"/>
  <c r="AH265" i="18" s="1"/>
  <c r="AG265" i="18" s="1"/>
  <c r="AF265" i="18" s="1"/>
  <c r="AD265" i="18" s="1"/>
  <c r="AI324" i="18"/>
  <c r="AH324" i="18" s="1"/>
  <c r="AG324" i="18" s="1"/>
  <c r="AF324" i="18" s="1"/>
  <c r="AD324" i="18" s="1"/>
  <c r="AI220" i="18"/>
  <c r="AH220" i="18" s="1"/>
  <c r="AG220" i="18" s="1"/>
  <c r="AF220" i="18" s="1"/>
  <c r="AD220" i="18" s="1"/>
  <c r="AI107" i="18"/>
  <c r="AH107" i="18" s="1"/>
  <c r="AI164" i="18"/>
  <c r="AH164" i="18" s="1"/>
  <c r="AG164" i="18" s="1"/>
  <c r="AF164" i="18" s="1"/>
  <c r="AD164" i="18" s="1"/>
  <c r="AI287" i="18"/>
  <c r="AH287" i="18" s="1"/>
  <c r="AI209" i="18"/>
  <c r="AH209" i="18" s="1"/>
  <c r="AI161" i="18"/>
  <c r="AH161" i="18" s="1"/>
  <c r="AG161" i="18" s="1"/>
  <c r="AF161" i="18" s="1"/>
  <c r="AD161" i="18" s="1"/>
  <c r="AI181" i="18"/>
  <c r="AH181" i="18" s="1"/>
  <c r="AI281" i="18"/>
  <c r="AH281" i="18" s="1"/>
  <c r="AG281" i="18" s="1"/>
  <c r="AF281" i="18" s="1"/>
  <c r="AD281" i="18" s="1"/>
  <c r="AI210" i="18"/>
  <c r="AH210" i="18" s="1"/>
  <c r="AI138" i="18"/>
  <c r="AH138" i="18" s="1"/>
  <c r="AI345" i="18"/>
  <c r="AH345" i="18" s="1"/>
  <c r="AI217" i="18"/>
  <c r="AH217" i="18" s="1"/>
  <c r="AI371" i="18"/>
  <c r="AH371" i="18" s="1"/>
  <c r="AG371" i="18" s="1"/>
  <c r="AF371" i="18" s="1"/>
  <c r="AD371" i="18" s="1"/>
  <c r="AI312" i="18"/>
  <c r="AH312" i="18" s="1"/>
  <c r="AI152" i="18"/>
  <c r="AH152" i="18" s="1"/>
  <c r="AI344" i="18"/>
  <c r="AH344" i="18" s="1"/>
  <c r="AG344" i="18" s="1"/>
  <c r="AF344" i="18" s="1"/>
  <c r="AD344" i="18" s="1"/>
  <c r="AI250" i="18"/>
  <c r="AH250" i="18" s="1"/>
  <c r="AI135" i="18"/>
  <c r="AH135" i="18" s="1"/>
  <c r="AI123" i="18"/>
  <c r="AH123" i="18" s="1"/>
  <c r="AG123" i="18" s="1"/>
  <c r="AF123" i="18" s="1"/>
  <c r="AD123" i="18" s="1"/>
  <c r="AI329" i="18"/>
  <c r="AH329" i="18" s="1"/>
  <c r="AI272" i="18"/>
  <c r="AH272" i="18" s="1"/>
  <c r="AG272" i="18" s="1"/>
  <c r="AF272" i="18" s="1"/>
  <c r="AD272" i="18" s="1"/>
  <c r="AI370" i="18"/>
  <c r="AH370" i="18" s="1"/>
  <c r="AG370" i="18" s="1"/>
  <c r="AF370" i="18" s="1"/>
  <c r="AD370" i="18" s="1"/>
  <c r="AI304" i="18"/>
  <c r="AH304" i="18" s="1"/>
  <c r="AG304" i="18" s="1"/>
  <c r="AF304" i="18" s="1"/>
  <c r="AD304" i="18" s="1"/>
  <c r="AI146" i="18"/>
  <c r="AH146" i="18" s="1"/>
  <c r="AI330" i="18"/>
  <c r="AH330" i="18" s="1"/>
  <c r="AI340" i="18"/>
  <c r="AH340" i="18" s="1"/>
  <c r="AI245" i="18"/>
  <c r="AH245" i="18" s="1"/>
  <c r="AI113" i="18"/>
  <c r="AH113" i="18" s="1"/>
  <c r="AG113" i="18" s="1"/>
  <c r="AF113" i="18" s="1"/>
  <c r="AD113" i="18" s="1"/>
  <c r="AI137" i="18"/>
  <c r="AH137" i="18" s="1"/>
  <c r="AI246" i="18"/>
  <c r="AH246" i="18" s="1"/>
  <c r="AG246" i="18" s="1"/>
  <c r="AF246" i="18" s="1"/>
  <c r="AD246" i="18" s="1"/>
  <c r="AI271" i="18"/>
  <c r="AH271" i="18" s="1"/>
  <c r="AI216" i="18"/>
  <c r="AH216" i="18" s="1"/>
  <c r="AG216" i="18" s="1"/>
  <c r="AF216" i="18" s="1"/>
  <c r="AD216" i="18" s="1"/>
  <c r="AI259" i="18"/>
  <c r="AH259" i="18" s="1"/>
  <c r="AI155" i="18"/>
  <c r="AH155" i="18" s="1"/>
  <c r="AI343" i="18"/>
  <c r="AH343" i="18" s="1"/>
  <c r="AG343" i="18" s="1"/>
  <c r="AF343" i="18" s="1"/>
  <c r="AD343" i="18" s="1"/>
  <c r="AC16" i="7"/>
  <c r="AI274" i="18"/>
  <c r="AH274" i="18" s="1"/>
  <c r="AG274" i="18" s="1"/>
  <c r="AF274" i="18" s="1"/>
  <c r="AD274" i="18" s="1"/>
  <c r="AI350" i="18"/>
  <c r="AH350" i="18" s="1"/>
  <c r="AG350" i="18" s="1"/>
  <c r="AF350" i="18" s="1"/>
  <c r="AD350" i="18" s="1"/>
  <c r="AI361" i="18"/>
  <c r="AH361" i="18" s="1"/>
  <c r="AG361" i="18" s="1"/>
  <c r="AF361" i="18" s="1"/>
  <c r="AD361" i="18" s="1"/>
  <c r="AI214" i="18"/>
  <c r="AH214" i="18" s="1"/>
  <c r="AG214" i="18" s="1"/>
  <c r="AF214" i="18" s="1"/>
  <c r="AD214" i="18" s="1"/>
  <c r="AI302" i="18"/>
  <c r="AH302" i="18" s="1"/>
  <c r="AG302" i="18" s="1"/>
  <c r="AF302" i="18" s="1"/>
  <c r="AD302" i="18" s="1"/>
  <c r="AI174" i="18"/>
  <c r="AH174" i="18" s="1"/>
  <c r="AG174" i="18" s="1"/>
  <c r="AF174" i="18" s="1"/>
  <c r="AD174" i="18" s="1"/>
  <c r="AI378" i="18"/>
  <c r="AH378" i="18" s="1"/>
  <c r="AG378" i="18" s="1"/>
  <c r="AF378" i="18" s="1"/>
  <c r="AD378" i="18" s="1"/>
  <c r="AI263" i="18"/>
  <c r="AH263" i="18" s="1"/>
  <c r="AG263" i="18" s="1"/>
  <c r="AF263" i="18" s="1"/>
  <c r="AD263" i="18" s="1"/>
  <c r="AE43" i="20"/>
  <c r="AE55" i="20"/>
  <c r="AE103" i="20"/>
  <c r="AE84" i="20"/>
  <c r="AE96" i="20"/>
  <c r="AE34" i="20"/>
  <c r="AE92" i="20"/>
  <c r="AE102" i="20"/>
  <c r="AE59" i="20"/>
  <c r="AE24" i="20"/>
  <c r="AE85" i="20"/>
  <c r="AE90" i="20"/>
  <c r="AE63" i="20"/>
  <c r="AE61" i="20"/>
  <c r="AE42" i="20"/>
  <c r="AE66" i="20"/>
  <c r="AE99" i="20"/>
  <c r="AE88" i="20"/>
  <c r="AE23" i="20"/>
  <c r="AE18" i="20"/>
  <c r="AE47" i="20"/>
  <c r="AE35" i="20"/>
  <c r="AE138" i="20"/>
  <c r="AE329" i="20"/>
  <c r="AE352" i="20"/>
  <c r="AE127" i="20"/>
  <c r="AE124" i="20"/>
  <c r="AE178" i="20"/>
  <c r="AE136" i="20"/>
  <c r="AE302" i="20"/>
  <c r="AE147" i="20"/>
  <c r="AE281" i="20"/>
  <c r="AE121" i="20"/>
  <c r="AE227" i="20"/>
  <c r="AE298" i="20"/>
  <c r="AE370" i="20"/>
  <c r="AE354" i="20"/>
  <c r="AE213" i="20"/>
  <c r="AE296" i="20"/>
  <c r="AE246" i="20"/>
  <c r="AE187" i="20"/>
  <c r="AE295" i="20"/>
  <c r="AE269" i="20"/>
  <c r="AE341" i="20"/>
  <c r="AE125" i="20"/>
  <c r="AE250" i="20"/>
  <c r="AE289" i="20"/>
  <c r="AE210" i="20"/>
  <c r="AE236" i="20"/>
  <c r="AE176" i="20"/>
  <c r="AE175" i="20"/>
  <c r="AE364" i="20"/>
  <c r="AE243" i="20"/>
  <c r="AE345" i="20"/>
  <c r="AE330" i="20"/>
  <c r="AE163" i="20"/>
  <c r="AE251" i="20"/>
  <c r="Q309" i="20"/>
  <c r="Q23" i="20"/>
  <c r="Q35" i="20"/>
  <c r="Q348" i="20"/>
  <c r="Q61" i="20"/>
  <c r="Q263" i="20"/>
  <c r="Q331" i="20"/>
  <c r="Q49" i="20"/>
  <c r="Q305" i="20"/>
  <c r="AI134" i="18"/>
  <c r="AH134" i="18" s="1"/>
  <c r="AG134" i="18" s="1"/>
  <c r="AF134" i="18" s="1"/>
  <c r="AD134" i="18" s="1"/>
  <c r="AI180" i="18"/>
  <c r="AH180" i="18" s="1"/>
  <c r="AI251" i="18"/>
  <c r="AH251" i="18" s="1"/>
  <c r="AI151" i="18"/>
  <c r="AH151" i="18" s="1"/>
  <c r="AG151" i="18" s="1"/>
  <c r="AF151" i="18" s="1"/>
  <c r="AD151" i="18" s="1"/>
  <c r="AI239" i="18"/>
  <c r="AH239" i="18" s="1"/>
  <c r="AI307" i="18"/>
  <c r="AH307" i="18" s="1"/>
  <c r="AI110" i="18"/>
  <c r="AH110" i="18" s="1"/>
  <c r="AI319" i="18"/>
  <c r="AH319" i="18" s="1"/>
  <c r="AI273" i="18"/>
  <c r="AH273" i="18" s="1"/>
  <c r="AG273" i="18" s="1"/>
  <c r="AF273" i="18" s="1"/>
  <c r="AD273" i="18" s="1"/>
  <c r="AI249" i="18"/>
  <c r="AH249" i="18" s="1"/>
  <c r="AG249" i="18" s="1"/>
  <c r="AF249" i="18" s="1"/>
  <c r="AD249" i="18" s="1"/>
  <c r="AI306" i="18"/>
  <c r="AH306" i="18" s="1"/>
  <c r="AI368" i="18"/>
  <c r="AH368" i="18" s="1"/>
  <c r="AI365" i="18"/>
  <c r="AH365" i="18" s="1"/>
  <c r="AG365" i="18" s="1"/>
  <c r="AF365" i="18" s="1"/>
  <c r="AD365" i="18" s="1"/>
  <c r="AI332" i="18"/>
  <c r="AH332" i="18" s="1"/>
  <c r="AI156" i="18"/>
  <c r="AH156" i="18" s="1"/>
  <c r="AI334" i="18"/>
  <c r="AH334" i="18" s="1"/>
  <c r="AG334" i="18" s="1"/>
  <c r="AF334" i="18" s="1"/>
  <c r="AD334" i="18" s="1"/>
  <c r="AI150" i="18"/>
  <c r="AH150" i="18" s="1"/>
  <c r="AI321" i="18"/>
  <c r="AH321" i="18" s="1"/>
  <c r="AG321" i="18" s="1"/>
  <c r="AF321" i="18" s="1"/>
  <c r="AD321" i="18" s="1"/>
  <c r="AI360" i="18"/>
  <c r="AH360" i="18" s="1"/>
  <c r="AI194" i="18"/>
  <c r="AH194" i="18" s="1"/>
  <c r="AI291" i="18"/>
  <c r="AH291" i="18" s="1"/>
  <c r="AI244" i="18"/>
  <c r="AH244" i="18" s="1"/>
  <c r="AG244" i="18" s="1"/>
  <c r="AF244" i="18" s="1"/>
  <c r="AD244" i="18" s="1"/>
  <c r="AI260" i="18"/>
  <c r="AH260" i="18" s="1"/>
  <c r="AG260" i="18" s="1"/>
  <c r="AF260" i="18" s="1"/>
  <c r="AD260" i="18" s="1"/>
  <c r="AI139" i="18"/>
  <c r="AH139" i="18" s="1"/>
  <c r="AG139" i="18" s="1"/>
  <c r="AF139" i="18" s="1"/>
  <c r="AD139" i="18" s="1"/>
  <c r="AI310" i="18"/>
  <c r="AH310" i="18" s="1"/>
  <c r="AG310" i="18" s="1"/>
  <c r="AF310" i="18" s="1"/>
  <c r="AD310" i="18" s="1"/>
  <c r="AI192" i="18"/>
  <c r="AH192" i="18" s="1"/>
  <c r="AG192" i="18" s="1"/>
  <c r="AF192" i="18" s="1"/>
  <c r="AD192" i="18" s="1"/>
  <c r="AI185" i="18"/>
  <c r="AH185" i="18" s="1"/>
  <c r="AG185" i="18" s="1"/>
  <c r="AF185" i="18" s="1"/>
  <c r="AD185" i="18" s="1"/>
  <c r="AI130" i="18"/>
  <c r="AH130" i="18" s="1"/>
  <c r="AG130" i="18" s="1"/>
  <c r="AF130" i="18" s="1"/>
  <c r="AD130" i="18" s="1"/>
  <c r="AI126" i="18"/>
  <c r="AH126" i="18" s="1"/>
  <c r="AG126" i="18" s="1"/>
  <c r="AF126" i="18" s="1"/>
  <c r="AD126" i="18" s="1"/>
  <c r="AI167" i="18"/>
  <c r="AH167" i="18" s="1"/>
  <c r="AI200" i="18"/>
  <c r="AH200" i="18" s="1"/>
  <c r="AG200" i="18" s="1"/>
  <c r="AF200" i="18" s="1"/>
  <c r="AD200" i="18" s="1"/>
  <c r="AI133" i="18"/>
  <c r="AH133" i="18" s="1"/>
  <c r="AG133" i="18" s="1"/>
  <c r="AF133" i="18" s="1"/>
  <c r="AD133" i="18" s="1"/>
  <c r="AI234" i="18"/>
  <c r="AH234" i="18" s="1"/>
  <c r="AG234" i="18" s="1"/>
  <c r="AF234" i="18" s="1"/>
  <c r="AD234" i="18" s="1"/>
  <c r="AI237" i="18"/>
  <c r="AH237" i="18" s="1"/>
  <c r="AI195" i="18"/>
  <c r="AH195" i="18" s="1"/>
  <c r="AI316" i="18"/>
  <c r="AH316" i="18" s="1"/>
  <c r="AG316" i="18" s="1"/>
  <c r="AF316" i="18" s="1"/>
  <c r="AD316" i="18" s="1"/>
  <c r="AI320" i="18"/>
  <c r="AH320" i="18" s="1"/>
  <c r="AG320" i="18" s="1"/>
  <c r="AF320" i="18" s="1"/>
  <c r="AD320" i="18" s="1"/>
  <c r="AI204" i="18"/>
  <c r="AH204" i="18" s="1"/>
  <c r="AG204" i="18" s="1"/>
  <c r="AF204" i="18" s="1"/>
  <c r="AD204" i="18" s="1"/>
  <c r="AI171" i="18"/>
  <c r="AH171" i="18" s="1"/>
  <c r="AG171" i="18" s="1"/>
  <c r="AF171" i="18" s="1"/>
  <c r="AD171" i="18" s="1"/>
  <c r="AI261" i="18"/>
  <c r="AH261" i="18" s="1"/>
  <c r="AG261" i="18" s="1"/>
  <c r="AF261" i="18" s="1"/>
  <c r="AD261" i="18" s="1"/>
  <c r="AI356" i="18"/>
  <c r="AH356" i="18" s="1"/>
  <c r="AG356" i="18" s="1"/>
  <c r="AF356" i="18" s="1"/>
  <c r="AD356" i="18" s="1"/>
  <c r="AI105" i="18"/>
  <c r="AH105" i="18" s="1"/>
  <c r="AG105" i="18" s="1"/>
  <c r="AF105" i="18" s="1"/>
  <c r="AD105" i="18" s="1"/>
  <c r="AI118" i="18"/>
  <c r="AH118" i="18" s="1"/>
  <c r="AG118" i="18" s="1"/>
  <c r="AF118" i="18" s="1"/>
  <c r="AD118" i="18" s="1"/>
  <c r="AI187" i="18"/>
  <c r="AH187" i="18" s="1"/>
  <c r="AG187" i="18" s="1"/>
  <c r="AF187" i="18" s="1"/>
  <c r="AD187" i="18" s="1"/>
  <c r="AI348" i="18"/>
  <c r="AH348" i="18" s="1"/>
  <c r="AG348" i="18" s="1"/>
  <c r="AF348" i="18" s="1"/>
  <c r="AD348" i="18" s="1"/>
  <c r="AI114" i="18"/>
  <c r="AH114" i="18" s="1"/>
  <c r="AG114" i="18" s="1"/>
  <c r="AF114" i="18" s="1"/>
  <c r="AD114" i="18" s="1"/>
  <c r="AI280" i="18"/>
  <c r="AH280" i="18" s="1"/>
  <c r="AG280" i="18" s="1"/>
  <c r="AF280" i="18" s="1"/>
  <c r="AD280" i="18" s="1"/>
  <c r="AI219" i="18"/>
  <c r="AH219" i="18" s="1"/>
  <c r="AG219" i="18" s="1"/>
  <c r="AF219" i="18" s="1"/>
  <c r="AD219" i="18" s="1"/>
  <c r="AI208" i="18"/>
  <c r="AH208" i="18" s="1"/>
  <c r="AG208" i="18" s="1"/>
  <c r="AF208" i="18" s="1"/>
  <c r="AD208" i="18" s="1"/>
  <c r="AI298" i="18"/>
  <c r="AH298" i="18" s="1"/>
  <c r="AG298" i="18" s="1"/>
  <c r="AF298" i="18" s="1"/>
  <c r="AD298" i="18" s="1"/>
  <c r="AI198" i="18"/>
  <c r="AH198" i="18" s="1"/>
  <c r="AG198" i="18" s="1"/>
  <c r="AF198" i="18" s="1"/>
  <c r="AD198" i="18" s="1"/>
  <c r="AI108" i="18"/>
  <c r="AH108" i="18" s="1"/>
  <c r="AG108" i="18" s="1"/>
  <c r="AF108" i="18" s="1"/>
  <c r="AD108" i="18" s="1"/>
  <c r="M64" i="19"/>
  <c r="AE49" i="20"/>
  <c r="AE70" i="20"/>
  <c r="AE68" i="20"/>
  <c r="AE25" i="20"/>
  <c r="AE51" i="20"/>
  <c r="AE64" i="20"/>
  <c r="AE53" i="20"/>
  <c r="AE62" i="20"/>
  <c r="AE101" i="20"/>
  <c r="AE75" i="20"/>
  <c r="AE41" i="20"/>
  <c r="AE29" i="20"/>
  <c r="AE52" i="20"/>
  <c r="AE20" i="20"/>
  <c r="AE95" i="20"/>
  <c r="AE69" i="20"/>
  <c r="AE37" i="20"/>
  <c r="AE77" i="20"/>
  <c r="AE56" i="20"/>
  <c r="AE44" i="20"/>
  <c r="AE39" i="20"/>
  <c r="AE74" i="20"/>
  <c r="AE22" i="20"/>
  <c r="AE72" i="20"/>
  <c r="AE60" i="20"/>
  <c r="AE17" i="20"/>
  <c r="AE67" i="20"/>
  <c r="AE19" i="20"/>
  <c r="AE45" i="20"/>
  <c r="AE50" i="20"/>
  <c r="AE76" i="20"/>
  <c r="AE46" i="20"/>
  <c r="AE40" i="20"/>
  <c r="AE16" i="20"/>
  <c r="AE27" i="20"/>
  <c r="AE21" i="20"/>
  <c r="AE93" i="20"/>
  <c r="AE32" i="20"/>
  <c r="AE58" i="20"/>
  <c r="AE26" i="20"/>
  <c r="AE30" i="20"/>
  <c r="AE73" i="20"/>
  <c r="AE91" i="20"/>
  <c r="AE97" i="20"/>
  <c r="AE100" i="20"/>
  <c r="AE317" i="20"/>
  <c r="AE112" i="20"/>
  <c r="AE318" i="20"/>
  <c r="AE191" i="20"/>
  <c r="AE297" i="20"/>
  <c r="AE111" i="20"/>
  <c r="AE369" i="20"/>
  <c r="AE331" i="20"/>
  <c r="AE170" i="20"/>
  <c r="AE237" i="20"/>
  <c r="AE359" i="20"/>
  <c r="AE309" i="20"/>
  <c r="AE265" i="20"/>
  <c r="AE232" i="20"/>
  <c r="AE377" i="20"/>
  <c r="AE122" i="20"/>
  <c r="AE303" i="20"/>
  <c r="AE274" i="20"/>
  <c r="AE344" i="20"/>
  <c r="AE316" i="20"/>
  <c r="AE219" i="20"/>
  <c r="AE362" i="20"/>
  <c r="AE223" i="20"/>
  <c r="AE201" i="20"/>
  <c r="AE301" i="20"/>
  <c r="AE273" i="20"/>
  <c r="AE304" i="20"/>
  <c r="AE169" i="20"/>
  <c r="AE291" i="20"/>
  <c r="AE241" i="20"/>
  <c r="AE262" i="20"/>
  <c r="AE376" i="20"/>
  <c r="AE334" i="20"/>
  <c r="AE182" i="20"/>
  <c r="AE197" i="20"/>
  <c r="AE199" i="20"/>
  <c r="AE257" i="20"/>
  <c r="AE212" i="20"/>
  <c r="AE155" i="20"/>
  <c r="AE234" i="20"/>
  <c r="AE371" i="20"/>
  <c r="AE215" i="20"/>
  <c r="AE282" i="20"/>
  <c r="AE190" i="20"/>
  <c r="AE209" i="20"/>
  <c r="AE267" i="20"/>
  <c r="AE123" i="20"/>
  <c r="AE259" i="20"/>
  <c r="AE231" i="20"/>
  <c r="AE347" i="20"/>
  <c r="AE247" i="20"/>
  <c r="AE211" i="20"/>
  <c r="AE194" i="20"/>
  <c r="AE174" i="20"/>
  <c r="AE118" i="20"/>
  <c r="AE126" i="20"/>
  <c r="AE284" i="20"/>
  <c r="AE256" i="20"/>
  <c r="AE143" i="20"/>
  <c r="AE179" i="20"/>
  <c r="AE214" i="20"/>
  <c r="AE224" i="20"/>
  <c r="AE141" i="20"/>
  <c r="AE115" i="20"/>
  <c r="AE379" i="20"/>
  <c r="AE12" i="22" s="1"/>
  <c r="AE226" i="20"/>
  <c r="AE353" i="20"/>
  <c r="AE133" i="20"/>
  <c r="Q307" i="20"/>
  <c r="Q80" i="20"/>
  <c r="Q304" i="20"/>
  <c r="Q99" i="20"/>
  <c r="Q142" i="20"/>
  <c r="Q168" i="20"/>
  <c r="Q125" i="20"/>
  <c r="Q86" i="20"/>
  <c r="Q179" i="20"/>
  <c r="Q234" i="20"/>
  <c r="Q147" i="20"/>
  <c r="Q172" i="20"/>
  <c r="Q65" i="20"/>
  <c r="Q75" i="20"/>
  <c r="Q261" i="20"/>
  <c r="Q202" i="20"/>
  <c r="Q107" i="20"/>
  <c r="Q371" i="20"/>
  <c r="Q26" i="20"/>
  <c r="Q203" i="20"/>
  <c r="Q149" i="20"/>
  <c r="Q313" i="20"/>
  <c r="Q330" i="20"/>
  <c r="Q311" i="20"/>
  <c r="Q358" i="20"/>
  <c r="Q22" i="20"/>
  <c r="Q155" i="20"/>
  <c r="Q373" i="20"/>
  <c r="Q183" i="20"/>
  <c r="Q298" i="20"/>
  <c r="Q303" i="20"/>
  <c r="Q292" i="20"/>
  <c r="Q360" i="20"/>
  <c r="Q81" i="20"/>
  <c r="Q251" i="20"/>
  <c r="Q378" i="20"/>
  <c r="Q37" i="20"/>
  <c r="Q230" i="20"/>
  <c r="Q375" i="20"/>
  <c r="Q186" i="20"/>
  <c r="Q340" i="20"/>
  <c r="Q370" i="20"/>
  <c r="Q280" i="20"/>
  <c r="Q68" i="20"/>
  <c r="Q308" i="20"/>
  <c r="Q341" i="20"/>
  <c r="Q199" i="20"/>
  <c r="Q219" i="20"/>
  <c r="Q282" i="20"/>
  <c r="Q90" i="20"/>
  <c r="Q72" i="20"/>
  <c r="Q36" i="20"/>
  <c r="Q225" i="20"/>
  <c r="Q166" i="20"/>
  <c r="Q287" i="20"/>
  <c r="Q71" i="20"/>
  <c r="Q262" i="20"/>
  <c r="Q346" i="20"/>
  <c r="Q91" i="20"/>
  <c r="Q162" i="20"/>
  <c r="Q139" i="20"/>
  <c r="Q317" i="20"/>
  <c r="Q228" i="20"/>
  <c r="Q264" i="20"/>
  <c r="Q334" i="20"/>
  <c r="Q241" i="20"/>
  <c r="Q271" i="20"/>
  <c r="Q15" i="20"/>
  <c r="Q180" i="20"/>
  <c r="G81" i="17"/>
  <c r="BZ81" i="6" s="1"/>
  <c r="Q302" i="20"/>
  <c r="Q151" i="20"/>
  <c r="Q73" i="20"/>
  <c r="Q222" i="20"/>
  <c r="Q236" i="20"/>
  <c r="Q343" i="20"/>
  <c r="Q379" i="20"/>
  <c r="Q145" i="20"/>
  <c r="Q44" i="20"/>
  <c r="Q182" i="20"/>
  <c r="Q103" i="20"/>
  <c r="Q132" i="20"/>
  <c r="Q34" i="20"/>
  <c r="Q214" i="20"/>
  <c r="Q273" i="20"/>
  <c r="Q318" i="20"/>
  <c r="Q21" i="20"/>
  <c r="Q321" i="20"/>
  <c r="Q300" i="20"/>
  <c r="Q345" i="20"/>
  <c r="Q63" i="20"/>
  <c r="Q294" i="20"/>
  <c r="Q257" i="20"/>
  <c r="Q210" i="20"/>
  <c r="Q362" i="20"/>
  <c r="Q355" i="20"/>
  <c r="Q281" i="20"/>
  <c r="Q255" i="20"/>
  <c r="Q181" i="20"/>
  <c r="Q110" i="20"/>
  <c r="Q154" i="20"/>
  <c r="Q211" i="20"/>
  <c r="Q150" i="20"/>
  <c r="Q296" i="20"/>
  <c r="Q247" i="20"/>
  <c r="Q240" i="20"/>
  <c r="Q196" i="20"/>
  <c r="Q278" i="20"/>
  <c r="Q77" i="20"/>
  <c r="Q205" i="20"/>
  <c r="Q344" i="20"/>
  <c r="Q121" i="20"/>
  <c r="Q97" i="20"/>
  <c r="Q128" i="20"/>
  <c r="Q323" i="20"/>
  <c r="Q242" i="20"/>
  <c r="Q88" i="20"/>
  <c r="Q148" i="20"/>
  <c r="Q160" i="20"/>
  <c r="Q342" i="20"/>
  <c r="Q146" i="20"/>
  <c r="Q337" i="20"/>
  <c r="Q131" i="20"/>
  <c r="Q106" i="20"/>
  <c r="Q159" i="20"/>
  <c r="Q163" i="20"/>
  <c r="Q188" i="20"/>
  <c r="Q42" i="20"/>
  <c r="Q16" i="20"/>
  <c r="Q30" i="20"/>
  <c r="Q25" i="20"/>
  <c r="Q18" i="20"/>
  <c r="Q59" i="20"/>
  <c r="Q333" i="20"/>
  <c r="Q118" i="20"/>
  <c r="Q291" i="20"/>
  <c r="Q354" i="20"/>
  <c r="Q84" i="20"/>
  <c r="Q113" i="20"/>
  <c r="Q105" i="20"/>
  <c r="Q108" i="20"/>
  <c r="Q328" i="20"/>
  <c r="Q153" i="20"/>
  <c r="Q177" i="20"/>
  <c r="Q314" i="20"/>
  <c r="Q76" i="20"/>
  <c r="Q51" i="20"/>
  <c r="Q322" i="20"/>
  <c r="Q293" i="20"/>
  <c r="Q156" i="20"/>
  <c r="Q351" i="20"/>
  <c r="Q174" i="20"/>
  <c r="Q239" i="20"/>
  <c r="Q104" i="20"/>
  <c r="Q246" i="20"/>
  <c r="Q283" i="20"/>
  <c r="Q200" i="20"/>
  <c r="Q189" i="20"/>
  <c r="Q191" i="20"/>
  <c r="Q79" i="20"/>
  <c r="Q64" i="20"/>
  <c r="Q306" i="20"/>
  <c r="Q93" i="20"/>
  <c r="Q201" i="20"/>
  <c r="Q20" i="20"/>
  <c r="Q54" i="20"/>
  <c r="Q198" i="20"/>
  <c r="Q50" i="20"/>
  <c r="Q127" i="20"/>
  <c r="Q352" i="20"/>
  <c r="Q260" i="20"/>
  <c r="Q359" i="20"/>
  <c r="Q78" i="20"/>
  <c r="Q248" i="20"/>
  <c r="Q367" i="20"/>
  <c r="Q310" i="20"/>
  <c r="Q288" i="20"/>
  <c r="Q295" i="20"/>
  <c r="Q376" i="20"/>
  <c r="Q28" i="20"/>
  <c r="Q363" i="20"/>
  <c r="Q39" i="20"/>
  <c r="Q369" i="20"/>
  <c r="Q158" i="20"/>
  <c r="Q170" i="20"/>
  <c r="Q364" i="20"/>
  <c r="Q335" i="20"/>
  <c r="Q193" i="20"/>
  <c r="Q197" i="20"/>
  <c r="Q218" i="20"/>
  <c r="Q350" i="20"/>
  <c r="Q62" i="20"/>
  <c r="Q275" i="20"/>
  <c r="Q133" i="20"/>
  <c r="Q250" i="20"/>
  <c r="Q372" i="20"/>
  <c r="Q249" i="20"/>
  <c r="Q254" i="20"/>
  <c r="Q85" i="20"/>
  <c r="Q169" i="20"/>
  <c r="Q339" i="20"/>
  <c r="Q347" i="20"/>
  <c r="Q47" i="20"/>
  <c r="Q40" i="20"/>
  <c r="Q123" i="20"/>
  <c r="Q70" i="20"/>
  <c r="Q82" i="20"/>
  <c r="Q94" i="20"/>
  <c r="Q130" i="20"/>
  <c r="Q171" i="20"/>
  <c r="Q98" i="20"/>
  <c r="Q135" i="20"/>
  <c r="Q56" i="20"/>
  <c r="Q101" i="20"/>
  <c r="Q43" i="20"/>
  <c r="Q252" i="20"/>
  <c r="Q27" i="20"/>
  <c r="Q270" i="20"/>
  <c r="Q284" i="20"/>
  <c r="Q176" i="20"/>
  <c r="Q109" i="20"/>
  <c r="Q114" i="20"/>
  <c r="Q374" i="20"/>
  <c r="Q66" i="20"/>
  <c r="Q157" i="20"/>
  <c r="Q326" i="20"/>
  <c r="Q19" i="20"/>
  <c r="Q237" i="20"/>
  <c r="Q256" i="20"/>
  <c r="Q119" i="20"/>
  <c r="Q223" i="20"/>
  <c r="Q320" i="20"/>
  <c r="Q208" i="20"/>
  <c r="Q269" i="20"/>
  <c r="Q137" i="20"/>
  <c r="Q290" i="20"/>
  <c r="Q100" i="20"/>
  <c r="Q366" i="20"/>
  <c r="Q141" i="20"/>
  <c r="Q267" i="20"/>
  <c r="Q96" i="20"/>
  <c r="Q274" i="20"/>
  <c r="Q120" i="20"/>
  <c r="Q126" i="20"/>
  <c r="Q32" i="20"/>
  <c r="W74" i="18"/>
  <c r="V383" i="15"/>
  <c r="V381" i="15"/>
  <c r="D258" i="18"/>
  <c r="E258" i="18" s="1"/>
  <c r="W166" i="18"/>
  <c r="W349" i="18"/>
  <c r="H81" i="17"/>
  <c r="J81" i="17" s="1"/>
  <c r="Q138" i="20"/>
  <c r="Q122" i="20"/>
  <c r="Q92" i="20"/>
  <c r="Q325" i="20"/>
  <c r="Q244" i="20"/>
  <c r="Q58" i="20"/>
  <c r="I319" i="17"/>
  <c r="J319" i="17"/>
  <c r="AA272" i="17"/>
  <c r="Z272" i="17" s="1"/>
  <c r="Y272" i="17" s="1"/>
  <c r="H272" i="17"/>
  <c r="G272" i="17"/>
  <c r="BZ272" i="6" s="1"/>
  <c r="G111" i="17"/>
  <c r="BZ111" i="6" s="1"/>
  <c r="H111" i="17"/>
  <c r="AA111" i="17"/>
  <c r="Z111" i="17" s="1"/>
  <c r="Y111" i="17" s="1"/>
  <c r="I364" i="17"/>
  <c r="J364" i="17"/>
  <c r="G149" i="17"/>
  <c r="BZ149" i="6" s="1"/>
  <c r="AA149" i="17"/>
  <c r="Z149" i="17" s="1"/>
  <c r="Y149" i="17" s="1"/>
  <c r="H149" i="17"/>
  <c r="I119" i="17"/>
  <c r="J119" i="17"/>
  <c r="J88" i="17"/>
  <c r="I88" i="17"/>
  <c r="I363" i="17"/>
  <c r="J363" i="17"/>
  <c r="AK4" i="1"/>
  <c r="R11" i="19" s="1"/>
  <c r="N12" i="19" s="1"/>
  <c r="AM13" i="1"/>
  <c r="I75" i="17"/>
  <c r="J75" i="17"/>
  <c r="I180" i="17"/>
  <c r="J180" i="17"/>
  <c r="J29" i="17"/>
  <c r="I29" i="17"/>
  <c r="D187" i="18"/>
  <c r="E187" i="18" s="1"/>
  <c r="W187" i="18"/>
  <c r="D244" i="18"/>
  <c r="E244" i="18" s="1"/>
  <c r="W244" i="18"/>
  <c r="D227" i="18"/>
  <c r="E227" i="18" s="1"/>
  <c r="W227" i="18"/>
  <c r="W178" i="18"/>
  <c r="D178" i="18"/>
  <c r="E178" i="18" s="1"/>
  <c r="D169" i="18"/>
  <c r="E169" i="18" s="1"/>
  <c r="W169" i="18"/>
  <c r="W202" i="18"/>
  <c r="D202" i="18"/>
  <c r="E202" i="18" s="1"/>
  <c r="W211" i="18"/>
  <c r="D211" i="18"/>
  <c r="E211" i="18" s="1"/>
  <c r="D154" i="18"/>
  <c r="E154" i="18" s="1"/>
  <c r="W154" i="18"/>
  <c r="W177" i="18"/>
  <c r="D177" i="18"/>
  <c r="E177" i="18" s="1"/>
  <c r="W263" i="18"/>
  <c r="D263" i="18"/>
  <c r="E263" i="18" s="1"/>
  <c r="W233" i="18"/>
  <c r="D233" i="18"/>
  <c r="E233" i="18" s="1"/>
  <c r="D114" i="18"/>
  <c r="E114" i="18" s="1"/>
  <c r="W114" i="18"/>
  <c r="W143" i="18"/>
  <c r="D143" i="18"/>
  <c r="E143" i="18" s="1"/>
  <c r="W64" i="18"/>
  <c r="D64" i="18"/>
  <c r="E64" i="18" s="1"/>
  <c r="W179" i="18"/>
  <c r="D179" i="18"/>
  <c r="E179" i="18" s="1"/>
  <c r="V241" i="18"/>
  <c r="D191" i="18"/>
  <c r="E191" i="18" s="1"/>
  <c r="W191" i="18"/>
  <c r="W184" i="18"/>
  <c r="D184" i="18"/>
  <c r="E184" i="18" s="1"/>
  <c r="W218" i="18"/>
  <c r="D218" i="18"/>
  <c r="E218" i="18" s="1"/>
  <c r="D223" i="18"/>
  <c r="E223" i="18" s="1"/>
  <c r="W223" i="18"/>
  <c r="D131" i="18"/>
  <c r="E131" i="18" s="1"/>
  <c r="W131" i="18"/>
  <c r="W80" i="18"/>
  <c r="D80" i="18"/>
  <c r="E80" i="18" s="1"/>
  <c r="D61" i="18"/>
  <c r="E61" i="18" s="1"/>
  <c r="W61" i="18"/>
  <c r="W23" i="18"/>
  <c r="D23" i="18"/>
  <c r="E23" i="18" s="1"/>
  <c r="D93" i="18"/>
  <c r="E93" i="18" s="1"/>
  <c r="W93" i="18"/>
  <c r="D366" i="18"/>
  <c r="E366" i="18" s="1"/>
  <c r="W366" i="18"/>
  <c r="D107" i="18"/>
  <c r="E107" i="18" s="1"/>
  <c r="W107" i="18"/>
  <c r="D150" i="18"/>
  <c r="E150" i="18" s="1"/>
  <c r="W150" i="18"/>
  <c r="W344" i="18"/>
  <c r="D344" i="18"/>
  <c r="E344" i="18" s="1"/>
  <c r="D63" i="18"/>
  <c r="E63" i="18" s="1"/>
  <c r="W63" i="18"/>
  <c r="D71" i="18"/>
  <c r="E71" i="18" s="1"/>
  <c r="W71" i="18"/>
  <c r="D31" i="18"/>
  <c r="E31" i="18" s="1"/>
  <c r="W31" i="18"/>
  <c r="W168" i="18"/>
  <c r="D168" i="18"/>
  <c r="E168" i="18" s="1"/>
  <c r="D319" i="18"/>
  <c r="E319" i="18" s="1"/>
  <c r="W319" i="18"/>
  <c r="D378" i="18"/>
  <c r="E378" i="18" s="1"/>
  <c r="W378" i="18"/>
  <c r="W316" i="18"/>
  <c r="D316" i="18"/>
  <c r="E316" i="18" s="1"/>
  <c r="W33" i="18"/>
  <c r="D33" i="18"/>
  <c r="E33" i="18" s="1"/>
  <c r="W200" i="18"/>
  <c r="D200" i="18"/>
  <c r="E200" i="18" s="1"/>
  <c r="W325" i="18"/>
  <c r="D325" i="18"/>
  <c r="E325" i="18" s="1"/>
  <c r="W377" i="18"/>
  <c r="D377" i="18"/>
  <c r="E377" i="18" s="1"/>
  <c r="W87" i="18"/>
  <c r="D87" i="18"/>
  <c r="E87" i="18" s="1"/>
  <c r="W256" i="18"/>
  <c r="D256" i="18"/>
  <c r="E256" i="18" s="1"/>
  <c r="D229" i="18"/>
  <c r="E229" i="18" s="1"/>
  <c r="W229" i="18"/>
  <c r="D209" i="18"/>
  <c r="E209" i="18" s="1"/>
  <c r="W209" i="18"/>
  <c r="D146" i="18"/>
  <c r="E146" i="18" s="1"/>
  <c r="W146" i="18"/>
  <c r="D42" i="18"/>
  <c r="E42" i="18" s="1"/>
  <c r="W42" i="18"/>
  <c r="D248" i="18"/>
  <c r="E248" i="18" s="1"/>
  <c r="W248" i="18"/>
  <c r="V149" i="18"/>
  <c r="D24" i="18"/>
  <c r="E24" i="18" s="1"/>
  <c r="W24" i="18"/>
  <c r="D353" i="18"/>
  <c r="E353" i="18" s="1"/>
  <c r="W353" i="18"/>
  <c r="D46" i="18"/>
  <c r="E46" i="18" s="1"/>
  <c r="W46" i="18"/>
  <c r="D369" i="18"/>
  <c r="E369" i="18" s="1"/>
  <c r="W369" i="18"/>
  <c r="W312" i="18"/>
  <c r="D312" i="18"/>
  <c r="E312" i="18" s="1"/>
  <c r="W204" i="18"/>
  <c r="D204" i="18"/>
  <c r="E204" i="18" s="1"/>
  <c r="W73" i="18"/>
  <c r="D73" i="18"/>
  <c r="E73" i="18" s="1"/>
  <c r="D127" i="18"/>
  <c r="E127" i="18" s="1"/>
  <c r="W127" i="18"/>
  <c r="D76" i="18"/>
  <c r="E76" i="18" s="1"/>
  <c r="W76" i="18"/>
  <c r="W277" i="18"/>
  <c r="D277" i="18"/>
  <c r="E277" i="18" s="1"/>
  <c r="W118" i="18"/>
  <c r="D118" i="18"/>
  <c r="E118" i="18" s="1"/>
  <c r="W160" i="18"/>
  <c r="D160" i="18"/>
  <c r="E160" i="18" s="1"/>
  <c r="W50" i="18"/>
  <c r="D50" i="18"/>
  <c r="E50" i="18" s="1"/>
  <c r="W89" i="18"/>
  <c r="D89" i="18"/>
  <c r="E89" i="18" s="1"/>
  <c r="D165" i="18"/>
  <c r="E165" i="18" s="1"/>
  <c r="W165" i="18"/>
  <c r="W237" i="18"/>
  <c r="D237" i="18"/>
  <c r="E237" i="18" s="1"/>
  <c r="W52" i="18"/>
  <c r="D52" i="18"/>
  <c r="E52" i="18" s="1"/>
  <c r="D360" i="18"/>
  <c r="E360" i="18" s="1"/>
  <c r="W360" i="18"/>
  <c r="D57" i="18"/>
  <c r="E57" i="18" s="1"/>
  <c r="W57" i="18"/>
  <c r="D291" i="18"/>
  <c r="E291" i="18" s="1"/>
  <c r="W291" i="18"/>
  <c r="D354" i="18"/>
  <c r="E354" i="18" s="1"/>
  <c r="W354" i="18"/>
  <c r="W257" i="18"/>
  <c r="D257" i="18"/>
  <c r="E257" i="18" s="1"/>
  <c r="D280" i="18"/>
  <c r="E280" i="18" s="1"/>
  <c r="W280" i="18"/>
  <c r="W292" i="18"/>
  <c r="D292" i="18"/>
  <c r="E292" i="18" s="1"/>
  <c r="W247" i="18"/>
  <c r="D247" i="18"/>
  <c r="E247" i="18" s="1"/>
  <c r="W195" i="18"/>
  <c r="D195" i="18"/>
  <c r="E195" i="18" s="1"/>
  <c r="D115" i="18"/>
  <c r="E115" i="18" s="1"/>
  <c r="W115" i="18"/>
  <c r="D148" i="18"/>
  <c r="E148" i="18" s="1"/>
  <c r="W148" i="18"/>
  <c r="W339" i="18"/>
  <c r="D339" i="18"/>
  <c r="E339" i="18" s="1"/>
  <c r="W365" i="18"/>
  <c r="D365" i="18"/>
  <c r="E365" i="18" s="1"/>
  <c r="W254" i="18"/>
  <c r="D254" i="18"/>
  <c r="E254" i="18" s="1"/>
  <c r="D205" i="18"/>
  <c r="E205" i="18" s="1"/>
  <c r="W205" i="18"/>
  <c r="W206" i="18"/>
  <c r="D206" i="18"/>
  <c r="E206" i="18" s="1"/>
  <c r="D253" i="18"/>
  <c r="E253" i="18" s="1"/>
  <c r="W253" i="18"/>
  <c r="D305" i="18"/>
  <c r="E305" i="18" s="1"/>
  <c r="W305" i="18"/>
  <c r="D265" i="18"/>
  <c r="E265" i="18" s="1"/>
  <c r="W265" i="18"/>
  <c r="D264" i="18"/>
  <c r="E264" i="18" s="1"/>
  <c r="W264" i="18"/>
  <c r="W296" i="18"/>
  <c r="D296" i="18"/>
  <c r="E296" i="18" s="1"/>
  <c r="W79" i="18"/>
  <c r="D79" i="18"/>
  <c r="E79" i="18" s="1"/>
  <c r="W364" i="18"/>
  <c r="D364" i="18"/>
  <c r="E364" i="18" s="1"/>
  <c r="D373" i="18"/>
  <c r="E373" i="18" s="1"/>
  <c r="W373" i="18"/>
  <c r="W342" i="18"/>
  <c r="D342" i="18"/>
  <c r="E342" i="18" s="1"/>
  <c r="W77" i="18"/>
  <c r="D77" i="18"/>
  <c r="E77" i="18" s="1"/>
  <c r="W21" i="18"/>
  <c r="D21" i="18"/>
  <c r="E21" i="18" s="1"/>
  <c r="W45" i="18"/>
  <c r="D45" i="18"/>
  <c r="E45" i="18" s="1"/>
  <c r="D358" i="18"/>
  <c r="E358" i="18" s="1"/>
  <c r="W358" i="18"/>
  <c r="W355" i="18"/>
  <c r="D355" i="18"/>
  <c r="E355" i="18" s="1"/>
  <c r="W56" i="18"/>
  <c r="D56" i="18"/>
  <c r="E56" i="18" s="1"/>
  <c r="W172" i="18"/>
  <c r="D172" i="18"/>
  <c r="E172" i="18" s="1"/>
  <c r="W231" i="18"/>
  <c r="D231" i="18"/>
  <c r="E231" i="18" s="1"/>
  <c r="W351" i="18"/>
  <c r="D351" i="18"/>
  <c r="E351" i="18" s="1"/>
  <c r="W289" i="18"/>
  <c r="D289" i="18"/>
  <c r="E289" i="18" s="1"/>
  <c r="D281" i="18"/>
  <c r="E281" i="18" s="1"/>
  <c r="W281" i="18"/>
  <c r="D317" i="18"/>
  <c r="E317" i="18" s="1"/>
  <c r="W317" i="18"/>
  <c r="W301" i="18"/>
  <c r="D301" i="18"/>
  <c r="E301" i="18" s="1"/>
  <c r="W26" i="18"/>
  <c r="D26" i="18"/>
  <c r="E26" i="18" s="1"/>
  <c r="W120" i="18"/>
  <c r="D120" i="18"/>
  <c r="E120" i="18" s="1"/>
  <c r="W259" i="18"/>
  <c r="D259" i="18"/>
  <c r="E259" i="18" s="1"/>
  <c r="D106" i="18"/>
  <c r="E106" i="18" s="1"/>
  <c r="W106" i="18"/>
  <c r="W269" i="18"/>
  <c r="D269" i="18"/>
  <c r="E269" i="18" s="1"/>
  <c r="W212" i="18"/>
  <c r="D212" i="18"/>
  <c r="E212" i="18" s="1"/>
  <c r="W151" i="18"/>
  <c r="D151" i="18"/>
  <c r="E151" i="18" s="1"/>
  <c r="W159" i="18"/>
  <c r="D159" i="18"/>
  <c r="E159" i="18" s="1"/>
  <c r="W92" i="18"/>
  <c r="D92" i="18"/>
  <c r="E92" i="18" s="1"/>
  <c r="D297" i="18"/>
  <c r="E297" i="18" s="1"/>
  <c r="W297" i="18"/>
  <c r="D142" i="18"/>
  <c r="E142" i="18" s="1"/>
  <c r="W142" i="18"/>
  <c r="D214" i="18"/>
  <c r="E214" i="18" s="1"/>
  <c r="W214" i="18"/>
  <c r="W194" i="18"/>
  <c r="D194" i="18"/>
  <c r="E194" i="18" s="1"/>
  <c r="W133" i="18"/>
  <c r="D133" i="18"/>
  <c r="E133" i="18" s="1"/>
  <c r="D367" i="18"/>
  <c r="E367" i="18" s="1"/>
  <c r="W367" i="18"/>
  <c r="W16" i="18"/>
  <c r="D16" i="18"/>
  <c r="E16" i="18" s="1"/>
  <c r="W35" i="18"/>
  <c r="D35" i="18"/>
  <c r="E35" i="18" s="1"/>
  <c r="W294" i="18"/>
  <c r="D294" i="18"/>
  <c r="E294" i="18" s="1"/>
  <c r="W129" i="18"/>
  <c r="D129" i="18"/>
  <c r="E129" i="18" s="1"/>
  <c r="W83" i="18"/>
  <c r="D83" i="18"/>
  <c r="E83" i="18" s="1"/>
  <c r="D250" i="18"/>
  <c r="E250" i="18" s="1"/>
  <c r="W250" i="18"/>
  <c r="D145" i="18"/>
  <c r="E145" i="18" s="1"/>
  <c r="W145" i="18"/>
  <c r="W181" i="18"/>
  <c r="D181" i="18"/>
  <c r="E181" i="18" s="1"/>
  <c r="W53" i="18"/>
  <c r="D53" i="18"/>
  <c r="E53" i="18" s="1"/>
  <c r="W100" i="18"/>
  <c r="D100" i="18"/>
  <c r="E100" i="18" s="1"/>
  <c r="W156" i="18"/>
  <c r="D156" i="18"/>
  <c r="E156" i="18" s="1"/>
  <c r="D370" i="18"/>
  <c r="E370" i="18" s="1"/>
  <c r="W370" i="18"/>
  <c r="D345" i="18"/>
  <c r="E345" i="18" s="1"/>
  <c r="W345" i="18"/>
  <c r="W65" i="18"/>
  <c r="D65" i="18"/>
  <c r="E65" i="18" s="1"/>
  <c r="W375" i="18"/>
  <c r="D375" i="18"/>
  <c r="E375" i="18" s="1"/>
  <c r="D82" i="18"/>
  <c r="E82" i="18" s="1"/>
  <c r="W82" i="18"/>
  <c r="W322" i="18"/>
  <c r="D322" i="18"/>
  <c r="E322" i="18" s="1"/>
  <c r="D245" i="18"/>
  <c r="E245" i="18" s="1"/>
  <c r="W245" i="18"/>
  <c r="W157" i="18"/>
  <c r="D157" i="18"/>
  <c r="E157" i="18" s="1"/>
  <c r="W287" i="18"/>
  <c r="D287" i="18"/>
  <c r="E287" i="18" s="1"/>
  <c r="D357" i="18"/>
  <c r="E357" i="18" s="1"/>
  <c r="W357" i="18"/>
  <c r="D284" i="18"/>
  <c r="E284" i="18" s="1"/>
  <c r="W284" i="18"/>
  <c r="W102" i="18"/>
  <c r="D102" i="18"/>
  <c r="E102" i="18" s="1"/>
  <c r="W164" i="18"/>
  <c r="D164" i="18"/>
  <c r="E164" i="18" s="1"/>
  <c r="W203" i="18"/>
  <c r="D203" i="18"/>
  <c r="E203" i="18" s="1"/>
  <c r="D49" i="18"/>
  <c r="E49" i="18" s="1"/>
  <c r="W49" i="18"/>
  <c r="W208" i="18"/>
  <c r="D208" i="18"/>
  <c r="E208" i="18" s="1"/>
  <c r="D216" i="18"/>
  <c r="E216" i="18" s="1"/>
  <c r="W216" i="18"/>
  <c r="W22" i="18"/>
  <c r="D22" i="18"/>
  <c r="E22" i="18" s="1"/>
  <c r="W338" i="18"/>
  <c r="D338" i="18"/>
  <c r="E338" i="18" s="1"/>
  <c r="W251" i="18"/>
  <c r="D251" i="18"/>
  <c r="E251" i="18" s="1"/>
  <c r="W303" i="18"/>
  <c r="D303" i="18"/>
  <c r="E303" i="18" s="1"/>
  <c r="D331" i="18"/>
  <c r="E331" i="18" s="1"/>
  <c r="W331" i="18"/>
  <c r="D196" i="18"/>
  <c r="E196" i="18" s="1"/>
  <c r="W196" i="18"/>
  <c r="D147" i="18"/>
  <c r="E147" i="18" s="1"/>
  <c r="W147" i="18"/>
  <c r="D47" i="18"/>
  <c r="E47" i="18" s="1"/>
  <c r="W47" i="18"/>
  <c r="D356" i="18"/>
  <c r="E356" i="18" s="1"/>
  <c r="W356" i="18"/>
  <c r="D75" i="18"/>
  <c r="E75" i="18" s="1"/>
  <c r="W75" i="18"/>
  <c r="D235" i="18"/>
  <c r="E235" i="18" s="1"/>
  <c r="W235" i="18"/>
  <c r="D275" i="18"/>
  <c r="E275" i="18" s="1"/>
  <c r="W275" i="18"/>
  <c r="W58" i="18"/>
  <c r="D58" i="18"/>
  <c r="E58" i="18" s="1"/>
  <c r="W219" i="18"/>
  <c r="D219" i="18"/>
  <c r="E219" i="18" s="1"/>
  <c r="W313" i="18"/>
  <c r="D313" i="18"/>
  <c r="E313" i="18" s="1"/>
  <c r="D116" i="18"/>
  <c r="E116" i="18" s="1"/>
  <c r="W116" i="18"/>
  <c r="D132" i="18"/>
  <c r="E132" i="18" s="1"/>
  <c r="W132" i="18"/>
  <c r="W242" i="18"/>
  <c r="D242" i="18"/>
  <c r="E242" i="18" s="1"/>
  <c r="D371" i="18"/>
  <c r="E371" i="18" s="1"/>
  <c r="W371" i="18"/>
  <c r="D141" i="18"/>
  <c r="E141" i="18" s="1"/>
  <c r="W141" i="18"/>
  <c r="D32" i="18"/>
  <c r="E32" i="18" s="1"/>
  <c r="W32" i="18"/>
  <c r="W246" i="18"/>
  <c r="D246" i="18"/>
  <c r="E246" i="18" s="1"/>
  <c r="D376" i="18"/>
  <c r="E376" i="18" s="1"/>
  <c r="W376" i="18"/>
  <c r="D95" i="18"/>
  <c r="E95" i="18" s="1"/>
  <c r="W95" i="18"/>
  <c r="D20" i="18"/>
  <c r="E20" i="18" s="1"/>
  <c r="W20" i="18"/>
  <c r="I302" i="17"/>
  <c r="J302" i="17"/>
  <c r="I136" i="17"/>
  <c r="J136" i="17"/>
  <c r="J77" i="17"/>
  <c r="I77" i="17"/>
  <c r="Q245" i="20"/>
  <c r="Q266" i="20"/>
  <c r="Q357" i="20"/>
  <c r="Q184" i="20"/>
  <c r="Q213" i="20"/>
  <c r="Q190" i="20"/>
  <c r="Q185" i="20"/>
  <c r="Q259" i="20"/>
  <c r="Q315" i="20"/>
  <c r="Q338" i="20"/>
  <c r="Q268" i="20"/>
  <c r="Q45" i="20"/>
  <c r="Q265" i="20"/>
  <c r="Q17" i="20"/>
  <c r="Q161" i="20"/>
  <c r="Q87" i="20"/>
  <c r="Q216" i="20"/>
  <c r="Q175" i="20"/>
  <c r="Q207" i="20"/>
  <c r="Q253" i="20"/>
  <c r="Q178" i="20"/>
  <c r="Q173" i="20"/>
  <c r="Q299" i="20"/>
  <c r="Q258" i="20"/>
  <c r="Q67" i="20"/>
  <c r="Q164" i="20"/>
  <c r="Q129" i="20"/>
  <c r="Q102" i="20"/>
  <c r="Q134" i="20"/>
  <c r="Q112" i="20"/>
  <c r="Q285" i="20"/>
  <c r="Q243" i="20"/>
  <c r="Q212" i="20"/>
  <c r="Q165" i="20"/>
  <c r="Q217" i="20"/>
  <c r="Q368" i="20"/>
  <c r="Q227" i="20"/>
  <c r="Q83" i="20"/>
  <c r="Q301" i="20"/>
  <c r="Q48" i="20"/>
  <c r="Q272" i="20"/>
  <c r="Q55" i="20"/>
  <c r="Q192" i="20"/>
  <c r="Q215" i="20"/>
  <c r="Q194" i="20"/>
  <c r="Q41" i="20"/>
  <c r="Q46" i="20"/>
  <c r="Q279" i="20"/>
  <c r="Q316" i="20"/>
  <c r="Q297" i="20"/>
  <c r="Q144" i="20"/>
  <c r="V15" i="16"/>
  <c r="P382" i="16"/>
  <c r="P381" i="16"/>
  <c r="P383" i="16"/>
  <c r="F15" i="16"/>
  <c r="B380" i="6"/>
  <c r="BA380" i="6" s="1"/>
  <c r="D380" i="6" s="1"/>
  <c r="H380" i="20"/>
  <c r="J117" i="17"/>
  <c r="I117" i="17"/>
  <c r="I52" i="17"/>
  <c r="J52" i="17"/>
  <c r="J285" i="17"/>
  <c r="I285" i="17"/>
  <c r="S383" i="17"/>
  <c r="R15" i="17"/>
  <c r="S381" i="17"/>
  <c r="S382" i="17"/>
  <c r="G319" i="17"/>
  <c r="BZ319" i="6" s="1"/>
  <c r="AA319" i="17"/>
  <c r="Z319" i="17" s="1"/>
  <c r="Y319" i="17" s="1"/>
  <c r="AD382" i="16"/>
  <c r="AD381" i="16"/>
  <c r="AD383" i="16"/>
  <c r="Y11" i="1"/>
  <c r="AA11" i="1"/>
  <c r="AA5" i="1" s="1"/>
  <c r="I11" i="19" s="1"/>
  <c r="J11" i="19"/>
  <c r="Z11" i="1"/>
  <c r="Z5" i="1" s="1"/>
  <c r="H11" i="19" s="1"/>
  <c r="AG383" i="17"/>
  <c r="AG382" i="17"/>
  <c r="AG381" i="17"/>
  <c r="AF15" i="17"/>
  <c r="AA174" i="17"/>
  <c r="Z174" i="17" s="1"/>
  <c r="Y174" i="17" s="1"/>
  <c r="H174" i="17"/>
  <c r="G174" i="17"/>
  <c r="BZ174" i="6" s="1"/>
  <c r="F382" i="15"/>
  <c r="F383" i="15"/>
  <c r="F9" i="15"/>
  <c r="F381" i="15"/>
  <c r="G15" i="15"/>
  <c r="BX15" i="6" s="1"/>
  <c r="AA15" i="15"/>
  <c r="AK10" i="15"/>
  <c r="AK12" i="15" s="1"/>
  <c r="AK13" i="15" s="1"/>
  <c r="H15" i="15"/>
  <c r="AM10" i="15"/>
  <c r="AA210" i="17"/>
  <c r="Z210" i="17" s="1"/>
  <c r="Y210" i="17" s="1"/>
  <c r="I296" i="17"/>
  <c r="J296" i="17"/>
  <c r="I49" i="17"/>
  <c r="J49" i="17"/>
  <c r="J153" i="17"/>
  <c r="I153" i="17"/>
  <c r="D276" i="18"/>
  <c r="E276" i="18" s="1"/>
  <c r="W276" i="18"/>
  <c r="D329" i="18"/>
  <c r="E329" i="18" s="1"/>
  <c r="W329" i="18"/>
  <c r="W99" i="18"/>
  <c r="D99" i="18"/>
  <c r="E99" i="18" s="1"/>
  <c r="D359" i="18"/>
  <c r="E359" i="18" s="1"/>
  <c r="W359" i="18"/>
  <c r="W137" i="18"/>
  <c r="D137" i="18"/>
  <c r="E137" i="18" s="1"/>
  <c r="W201" i="18"/>
  <c r="D201" i="18"/>
  <c r="E201" i="18" s="1"/>
  <c r="D138" i="18"/>
  <c r="E138" i="18" s="1"/>
  <c r="W138" i="18"/>
  <c r="D74" i="7"/>
  <c r="D101" i="18"/>
  <c r="E101" i="18" s="1"/>
  <c r="W101" i="18"/>
  <c r="D346" i="18"/>
  <c r="E346" i="18" s="1"/>
  <c r="W346" i="18"/>
  <c r="D286" i="18"/>
  <c r="E286" i="18" s="1"/>
  <c r="W286" i="18"/>
  <c r="D255" i="18"/>
  <c r="E255" i="18" s="1"/>
  <c r="W255" i="18"/>
  <c r="W270" i="18"/>
  <c r="D270" i="18"/>
  <c r="E270" i="18" s="1"/>
  <c r="D315" i="18"/>
  <c r="E315" i="18" s="1"/>
  <c r="W315" i="18"/>
  <c r="D266" i="18"/>
  <c r="E266" i="18" s="1"/>
  <c r="W266" i="18"/>
  <c r="D232" i="18"/>
  <c r="E232" i="18" s="1"/>
  <c r="W232" i="18"/>
  <c r="W59" i="18"/>
  <c r="D59" i="18"/>
  <c r="E59" i="18" s="1"/>
  <c r="D153" i="18"/>
  <c r="E153" i="18" s="1"/>
  <c r="W153" i="18"/>
  <c r="W226" i="18"/>
  <c r="D226" i="18"/>
  <c r="E226" i="18" s="1"/>
  <c r="W361" i="18"/>
  <c r="D361" i="18"/>
  <c r="E361" i="18" s="1"/>
  <c r="W27" i="18"/>
  <c r="D27" i="18"/>
  <c r="E27" i="18" s="1"/>
  <c r="W86" i="18"/>
  <c r="D86" i="18"/>
  <c r="E86" i="18" s="1"/>
  <c r="W175" i="18"/>
  <c r="D175" i="18"/>
  <c r="E175" i="18" s="1"/>
  <c r="W274" i="18"/>
  <c r="D274" i="18"/>
  <c r="E274" i="18" s="1"/>
  <c r="W308" i="18"/>
  <c r="D308" i="18"/>
  <c r="E308" i="18" s="1"/>
  <c r="W304" i="18"/>
  <c r="D304" i="18"/>
  <c r="E304" i="18" s="1"/>
  <c r="W334" i="18"/>
  <c r="D334" i="18"/>
  <c r="E334" i="18" s="1"/>
  <c r="D44" i="18"/>
  <c r="E44" i="18" s="1"/>
  <c r="W44" i="18"/>
  <c r="W285" i="18"/>
  <c r="D285" i="18"/>
  <c r="E285" i="18" s="1"/>
  <c r="W343" i="18"/>
  <c r="D343" i="18"/>
  <c r="E343" i="18" s="1"/>
  <c r="D290" i="18"/>
  <c r="E290" i="18" s="1"/>
  <c r="W290" i="18"/>
  <c r="W163" i="18"/>
  <c r="D163" i="18"/>
  <c r="E163" i="18" s="1"/>
  <c r="D112" i="18"/>
  <c r="E112" i="18" s="1"/>
  <c r="W112" i="18"/>
  <c r="D124" i="18"/>
  <c r="E124" i="18" s="1"/>
  <c r="W124" i="18"/>
  <c r="W18" i="18"/>
  <c r="D18" i="18"/>
  <c r="E18" i="18" s="1"/>
  <c r="D197" i="18"/>
  <c r="E197" i="18" s="1"/>
  <c r="W197" i="18"/>
  <c r="W336" i="18"/>
  <c r="D336" i="18"/>
  <c r="E336" i="18" s="1"/>
  <c r="D38" i="18"/>
  <c r="E38" i="18" s="1"/>
  <c r="W38" i="18"/>
  <c r="W161" i="18"/>
  <c r="D161" i="18"/>
  <c r="E161" i="18" s="1"/>
  <c r="W298" i="18"/>
  <c r="D298" i="18"/>
  <c r="E298" i="18" s="1"/>
  <c r="W318" i="18"/>
  <c r="D318" i="18"/>
  <c r="E318" i="18" s="1"/>
  <c r="D309" i="18"/>
  <c r="E309" i="18" s="1"/>
  <c r="W309" i="18"/>
  <c r="W217" i="18"/>
  <c r="D217" i="18"/>
  <c r="E217" i="18" s="1"/>
  <c r="W199" i="18"/>
  <c r="D199" i="18"/>
  <c r="E199" i="18" s="1"/>
  <c r="D152" i="18"/>
  <c r="E152" i="18" s="1"/>
  <c r="W152" i="18"/>
  <c r="D362" i="18"/>
  <c r="E362" i="18" s="1"/>
  <c r="W362" i="18"/>
  <c r="D67" i="18"/>
  <c r="E67" i="18" s="1"/>
  <c r="W67" i="18"/>
  <c r="W30" i="18"/>
  <c r="D30" i="18"/>
  <c r="E30" i="18" s="1"/>
  <c r="D213" i="18"/>
  <c r="E213" i="18" s="1"/>
  <c r="W213" i="18"/>
  <c r="W72" i="18"/>
  <c r="D72" i="18"/>
  <c r="E72" i="18" s="1"/>
  <c r="D136" i="18"/>
  <c r="E136" i="18" s="1"/>
  <c r="W136" i="18"/>
  <c r="D328" i="18"/>
  <c r="E328" i="18" s="1"/>
  <c r="W328" i="18"/>
  <c r="W69" i="18"/>
  <c r="D69" i="18"/>
  <c r="E69" i="18" s="1"/>
  <c r="D105" i="18"/>
  <c r="E105" i="18" s="1"/>
  <c r="W105" i="18"/>
  <c r="D158" i="18"/>
  <c r="E158" i="18" s="1"/>
  <c r="W158" i="18"/>
  <c r="D324" i="18"/>
  <c r="E324" i="18" s="1"/>
  <c r="W324" i="18"/>
  <c r="D130" i="18"/>
  <c r="E130" i="18" s="1"/>
  <c r="W130" i="18"/>
  <c r="W337" i="18"/>
  <c r="D337" i="18"/>
  <c r="E337" i="18" s="1"/>
  <c r="D192" i="18"/>
  <c r="E192" i="18" s="1"/>
  <c r="W192" i="18"/>
  <c r="W108" i="18"/>
  <c r="D108" i="18"/>
  <c r="E108" i="18" s="1"/>
  <c r="W170" i="18"/>
  <c r="D170" i="18"/>
  <c r="E170" i="18" s="1"/>
  <c r="D81" i="18"/>
  <c r="E81" i="18" s="1"/>
  <c r="W81" i="18"/>
  <c r="W96" i="18"/>
  <c r="D96" i="18"/>
  <c r="E96" i="18" s="1"/>
  <c r="W182" i="18"/>
  <c r="D182" i="18"/>
  <c r="E182" i="18" s="1"/>
  <c r="D84" i="18"/>
  <c r="E84" i="18" s="1"/>
  <c r="W84" i="18"/>
  <c r="W240" i="18"/>
  <c r="D240" i="18"/>
  <c r="E240" i="18" s="1"/>
  <c r="W299" i="18"/>
  <c r="D299" i="18"/>
  <c r="E299" i="18" s="1"/>
  <c r="W307" i="18"/>
  <c r="D307" i="18"/>
  <c r="E307" i="18" s="1"/>
  <c r="W230" i="18"/>
  <c r="D230" i="18"/>
  <c r="E230" i="18" s="1"/>
  <c r="W185" i="18"/>
  <c r="D185" i="18"/>
  <c r="E185" i="18" s="1"/>
  <c r="D128" i="18"/>
  <c r="E128" i="18" s="1"/>
  <c r="W128" i="18"/>
  <c r="D225" i="18"/>
  <c r="E225" i="18" s="1"/>
  <c r="W225" i="18"/>
  <c r="W273" i="18"/>
  <c r="D273" i="18"/>
  <c r="E273" i="18" s="1"/>
  <c r="W121" i="18"/>
  <c r="D121" i="18"/>
  <c r="E121" i="18" s="1"/>
  <c r="W198" i="18"/>
  <c r="D198" i="18"/>
  <c r="E198" i="18" s="1"/>
  <c r="D282" i="18"/>
  <c r="E282" i="18" s="1"/>
  <c r="W282" i="18"/>
  <c r="D300" i="18"/>
  <c r="E300" i="18" s="1"/>
  <c r="W300" i="18"/>
  <c r="W78" i="18"/>
  <c r="D78" i="18"/>
  <c r="E78" i="18" s="1"/>
  <c r="W55" i="18"/>
  <c r="D55" i="18"/>
  <c r="E55" i="18" s="1"/>
  <c r="D62" i="18"/>
  <c r="E62" i="18" s="1"/>
  <c r="W62" i="18"/>
  <c r="W347" i="18"/>
  <c r="D347" i="18"/>
  <c r="E347" i="18" s="1"/>
  <c r="D43" i="18"/>
  <c r="E43" i="18" s="1"/>
  <c r="W43" i="18"/>
  <c r="D28" i="18"/>
  <c r="E28" i="18" s="1"/>
  <c r="W28" i="18"/>
  <c r="D252" i="18"/>
  <c r="E252" i="18" s="1"/>
  <c r="W252" i="18"/>
  <c r="D193" i="18"/>
  <c r="E193" i="18" s="1"/>
  <c r="W193" i="18"/>
  <c r="W40" i="18"/>
  <c r="D40" i="18"/>
  <c r="E40" i="18" s="1"/>
  <c r="D239" i="18"/>
  <c r="E239" i="18" s="1"/>
  <c r="W239" i="18"/>
  <c r="D173" i="18"/>
  <c r="E173" i="18" s="1"/>
  <c r="W173" i="18"/>
  <c r="W221" i="18"/>
  <c r="D221" i="18"/>
  <c r="E221" i="18" s="1"/>
  <c r="W262" i="18"/>
  <c r="D262" i="18"/>
  <c r="E262" i="18" s="1"/>
  <c r="D97" i="18"/>
  <c r="E97" i="18" s="1"/>
  <c r="W97" i="18"/>
  <c r="D261" i="18"/>
  <c r="E261" i="18" s="1"/>
  <c r="W261" i="18"/>
  <c r="D109" i="18"/>
  <c r="E109" i="18" s="1"/>
  <c r="W109" i="18"/>
  <c r="D341" i="18"/>
  <c r="E341" i="18" s="1"/>
  <c r="W341" i="18"/>
  <c r="D249" i="18"/>
  <c r="E249" i="18" s="1"/>
  <c r="W249" i="18"/>
  <c r="D117" i="18"/>
  <c r="E117" i="18" s="1"/>
  <c r="W117" i="18"/>
  <c r="W332" i="18"/>
  <c r="D332" i="18"/>
  <c r="E332" i="18" s="1"/>
  <c r="W36" i="18"/>
  <c r="D36" i="18"/>
  <c r="E36" i="18" s="1"/>
  <c r="W162" i="18"/>
  <c r="D162" i="18"/>
  <c r="E162" i="18" s="1"/>
  <c r="D103" i="18"/>
  <c r="E103" i="18" s="1"/>
  <c r="W103" i="18"/>
  <c r="W314" i="18"/>
  <c r="D314" i="18"/>
  <c r="E314" i="18" s="1"/>
  <c r="W48" i="18"/>
  <c r="D48" i="18"/>
  <c r="E48" i="18" s="1"/>
  <c r="D340" i="18"/>
  <c r="E340" i="18" s="1"/>
  <c r="W340" i="18"/>
  <c r="D228" i="18"/>
  <c r="E228" i="18" s="1"/>
  <c r="W228" i="18"/>
  <c r="D17" i="18"/>
  <c r="E17" i="18" s="1"/>
  <c r="W17" i="18"/>
  <c r="D111" i="18"/>
  <c r="E111" i="18" s="1"/>
  <c r="W111" i="18"/>
  <c r="W113" i="18"/>
  <c r="D113" i="18"/>
  <c r="E113" i="18" s="1"/>
  <c r="W19" i="18"/>
  <c r="D19" i="18"/>
  <c r="E19" i="18" s="1"/>
  <c r="D155" i="18"/>
  <c r="E155" i="18" s="1"/>
  <c r="W155" i="18"/>
  <c r="D171" i="18"/>
  <c r="E171" i="18" s="1"/>
  <c r="W171" i="18"/>
  <c r="W326" i="18"/>
  <c r="D326" i="18"/>
  <c r="E326" i="18" s="1"/>
  <c r="D220" i="18"/>
  <c r="E220" i="18" s="1"/>
  <c r="W220" i="18"/>
  <c r="W348" i="18"/>
  <c r="D348" i="18"/>
  <c r="E348" i="18" s="1"/>
  <c r="D222" i="18"/>
  <c r="E222" i="18" s="1"/>
  <c r="W222" i="18"/>
  <c r="D174" i="18"/>
  <c r="E174" i="18" s="1"/>
  <c r="W174" i="18"/>
  <c r="W310" i="18"/>
  <c r="D310" i="18"/>
  <c r="E310" i="18" s="1"/>
  <c r="D139" i="18"/>
  <c r="E139" i="18" s="1"/>
  <c r="W139" i="18"/>
  <c r="W350" i="18"/>
  <c r="D350" i="18"/>
  <c r="E350" i="18" s="1"/>
  <c r="W306" i="18"/>
  <c r="D306" i="18"/>
  <c r="E306" i="18" s="1"/>
  <c r="D134" i="18"/>
  <c r="E134" i="18" s="1"/>
  <c r="W134" i="18"/>
  <c r="D323" i="18"/>
  <c r="E323" i="18" s="1"/>
  <c r="W323" i="18"/>
  <c r="D278" i="18"/>
  <c r="E278" i="18" s="1"/>
  <c r="W278" i="18"/>
  <c r="D25" i="18"/>
  <c r="E25" i="18" s="1"/>
  <c r="W25" i="18"/>
  <c r="D183" i="18"/>
  <c r="E183" i="18" s="1"/>
  <c r="W183" i="18"/>
  <c r="D140" i="18"/>
  <c r="E140" i="18" s="1"/>
  <c r="W140" i="18"/>
  <c r="W94" i="18"/>
  <c r="D94" i="18"/>
  <c r="E94" i="18" s="1"/>
  <c r="D190" i="18"/>
  <c r="E190" i="18" s="1"/>
  <c r="W190" i="18"/>
  <c r="W236" i="18"/>
  <c r="D236" i="18"/>
  <c r="E236" i="18" s="1"/>
  <c r="D372" i="18"/>
  <c r="E372" i="18" s="1"/>
  <c r="W372" i="18"/>
  <c r="D167" i="18"/>
  <c r="E167" i="18" s="1"/>
  <c r="W167" i="18"/>
  <c r="W90" i="18"/>
  <c r="D90" i="18"/>
  <c r="E90" i="18" s="1"/>
  <c r="D41" i="18"/>
  <c r="E41" i="18" s="1"/>
  <c r="W41" i="18"/>
  <c r="W283" i="18"/>
  <c r="D283" i="18"/>
  <c r="E283" i="18" s="1"/>
  <c r="W126" i="18"/>
  <c r="D126" i="18"/>
  <c r="E126" i="18" s="1"/>
  <c r="D125" i="18"/>
  <c r="E125" i="18" s="1"/>
  <c r="W125" i="18"/>
  <c r="D224" i="18"/>
  <c r="E224" i="18" s="1"/>
  <c r="W224" i="18"/>
  <c r="W123" i="18"/>
  <c r="D123" i="18"/>
  <c r="E123" i="18" s="1"/>
  <c r="W238" i="18"/>
  <c r="D238" i="18"/>
  <c r="E238" i="18" s="1"/>
  <c r="D268" i="18"/>
  <c r="E268" i="18" s="1"/>
  <c r="W268" i="18"/>
  <c r="D271" i="18"/>
  <c r="E271" i="18" s="1"/>
  <c r="W271" i="18"/>
  <c r="D207" i="18"/>
  <c r="E207" i="18" s="1"/>
  <c r="W207" i="18"/>
  <c r="D267" i="18"/>
  <c r="E267" i="18" s="1"/>
  <c r="W267" i="18"/>
  <c r="W243" i="18"/>
  <c r="D243" i="18"/>
  <c r="E243" i="18" s="1"/>
  <c r="W85" i="18"/>
  <c r="D85" i="18"/>
  <c r="E85" i="18" s="1"/>
  <c r="W34" i="18"/>
  <c r="D34" i="18"/>
  <c r="E34" i="18" s="1"/>
  <c r="D288" i="18"/>
  <c r="E288" i="18" s="1"/>
  <c r="W288" i="18"/>
  <c r="D320" i="18"/>
  <c r="E320" i="18" s="1"/>
  <c r="W320" i="18"/>
  <c r="W295" i="18"/>
  <c r="D295" i="18"/>
  <c r="E295" i="18" s="1"/>
  <c r="D321" i="18"/>
  <c r="E321" i="18" s="1"/>
  <c r="W321" i="18"/>
  <c r="D327" i="18"/>
  <c r="E327" i="18" s="1"/>
  <c r="W327" i="18"/>
  <c r="W37" i="18"/>
  <c r="D37" i="18"/>
  <c r="E37" i="18" s="1"/>
  <c r="D188" i="18"/>
  <c r="E188" i="18" s="1"/>
  <c r="W188" i="18"/>
  <c r="W330" i="18"/>
  <c r="D330" i="18"/>
  <c r="E330" i="18" s="1"/>
  <c r="W352" i="18"/>
  <c r="D352" i="18"/>
  <c r="E352" i="18" s="1"/>
  <c r="D234" i="18"/>
  <c r="E234" i="18" s="1"/>
  <c r="W234" i="18"/>
  <c r="W279" i="18"/>
  <c r="D279" i="18"/>
  <c r="E279" i="18" s="1"/>
  <c r="W54" i="18"/>
  <c r="D54" i="18"/>
  <c r="E54" i="18" s="1"/>
  <c r="W70" i="18"/>
  <c r="D70" i="18"/>
  <c r="E70" i="18" s="1"/>
  <c r="W335" i="18"/>
  <c r="D335" i="18"/>
  <c r="E335" i="18" s="1"/>
  <c r="D51" i="18"/>
  <c r="E51" i="18" s="1"/>
  <c r="W51" i="18"/>
  <c r="D66" i="18"/>
  <c r="E66" i="18" s="1"/>
  <c r="W66" i="18"/>
  <c r="W68" i="18"/>
  <c r="D68" i="18"/>
  <c r="E68" i="18" s="1"/>
  <c r="D186" i="18"/>
  <c r="E186" i="18" s="1"/>
  <c r="W186" i="18"/>
  <c r="W368" i="18"/>
  <c r="D368" i="18"/>
  <c r="E368" i="18" s="1"/>
  <c r="D39" i="18"/>
  <c r="E39" i="18" s="1"/>
  <c r="W39" i="18"/>
  <c r="W176" i="18"/>
  <c r="D176" i="18"/>
  <c r="E176" i="18" s="1"/>
  <c r="W260" i="18"/>
  <c r="D260" i="18"/>
  <c r="E260" i="18" s="1"/>
  <c r="D189" i="18"/>
  <c r="E189" i="18" s="1"/>
  <c r="W189" i="18"/>
  <c r="D110" i="18"/>
  <c r="E110" i="18" s="1"/>
  <c r="W110" i="18"/>
  <c r="W122" i="18"/>
  <c r="D122" i="18"/>
  <c r="E122" i="18" s="1"/>
  <c r="D374" i="18"/>
  <c r="E374" i="18" s="1"/>
  <c r="W374" i="18"/>
  <c r="D104" i="18"/>
  <c r="E104" i="18" s="1"/>
  <c r="W104" i="18"/>
  <c r="W91" i="18"/>
  <c r="D91" i="18"/>
  <c r="E91" i="18" s="1"/>
  <c r="D311" i="18"/>
  <c r="E311" i="18" s="1"/>
  <c r="W311" i="18"/>
  <c r="W215" i="18"/>
  <c r="D215" i="18"/>
  <c r="E215" i="18" s="1"/>
  <c r="W98" i="18"/>
  <c r="D98" i="18"/>
  <c r="E98" i="18" s="1"/>
  <c r="W293" i="18"/>
  <c r="D293" i="18"/>
  <c r="E293" i="18" s="1"/>
  <c r="D144" i="18"/>
  <c r="E144" i="18" s="1"/>
  <c r="W144" i="18"/>
  <c r="AI15" i="7"/>
  <c r="AE363" i="20"/>
  <c r="AE276" i="20"/>
  <c r="AE348" i="20"/>
  <c r="AE285" i="20"/>
  <c r="AE158" i="20"/>
  <c r="AE188" i="20"/>
  <c r="AE221" i="20"/>
  <c r="AE205" i="20"/>
  <c r="AE332" i="20"/>
  <c r="AE338" i="20"/>
  <c r="AE294" i="20"/>
  <c r="AE173" i="20"/>
  <c r="AE366" i="20"/>
  <c r="AE375" i="20"/>
  <c r="AE235" i="20"/>
  <c r="AE360" i="20"/>
  <c r="AE167" i="20"/>
  <c r="AE139" i="20"/>
  <c r="AE193" i="20"/>
  <c r="AE342" i="20"/>
  <c r="AE280" i="20"/>
  <c r="AE110" i="20"/>
  <c r="AE365" i="20"/>
  <c r="AE120" i="20"/>
  <c r="AE378" i="20"/>
  <c r="AE192" i="20"/>
  <c r="AE356" i="20"/>
  <c r="AE132" i="20"/>
  <c r="AE277" i="20"/>
  <c r="AE339" i="20"/>
  <c r="AE105" i="20"/>
  <c r="AE290" i="20"/>
  <c r="AE327" i="20"/>
  <c r="AE149" i="20"/>
  <c r="AE162" i="20"/>
  <c r="AE159" i="20"/>
  <c r="AE134" i="20"/>
  <c r="AE196" i="20"/>
  <c r="AE206" i="20"/>
  <c r="AE185" i="20"/>
  <c r="AE372" i="20"/>
  <c r="AE346" i="20"/>
  <c r="AE288" i="20"/>
  <c r="AE229" i="20"/>
  <c r="AE279" i="20"/>
  <c r="AE373" i="20"/>
  <c r="AE275" i="20"/>
  <c r="AE165" i="20"/>
  <c r="AE145" i="20"/>
  <c r="AE186" i="20"/>
  <c r="AE308" i="20"/>
  <c r="AE258" i="20"/>
  <c r="AE161" i="20"/>
  <c r="AE117" i="20"/>
  <c r="AE239" i="20"/>
  <c r="AE130" i="20"/>
  <c r="AE252" i="20"/>
  <c r="AE148" i="20"/>
  <c r="AE222" i="20"/>
  <c r="AE220" i="20"/>
  <c r="AE358" i="20"/>
  <c r="AE305" i="20"/>
  <c r="AE203" i="20"/>
  <c r="AE326" i="20"/>
  <c r="AE217" i="20"/>
  <c r="AE177" i="20"/>
  <c r="AE310" i="20"/>
  <c r="AE146" i="20"/>
  <c r="AE299" i="20"/>
  <c r="AE312" i="20"/>
  <c r="AE335" i="20"/>
  <c r="AE319" i="20"/>
  <c r="AE240" i="20"/>
  <c r="AE230" i="20"/>
  <c r="AE140" i="20"/>
  <c r="AE287" i="20"/>
  <c r="AE106" i="20"/>
  <c r="AE350" i="20"/>
  <c r="AE156" i="20"/>
  <c r="AE264" i="20"/>
  <c r="AE108" i="20"/>
  <c r="AE253" i="20"/>
  <c r="AE184" i="20"/>
  <c r="AE166" i="20"/>
  <c r="AE153" i="20"/>
  <c r="AE238" i="20"/>
  <c r="AE225" i="20"/>
  <c r="AE283" i="20"/>
  <c r="AE119" i="20"/>
  <c r="AE260" i="20"/>
  <c r="AE104" i="20"/>
  <c r="AE154" i="20"/>
  <c r="AE307" i="20"/>
  <c r="AE151" i="20"/>
  <c r="AE292" i="20"/>
  <c r="AE137" i="20"/>
  <c r="AE107" i="20"/>
  <c r="AE202" i="20"/>
  <c r="AE218" i="20"/>
  <c r="AE160" i="20"/>
  <c r="AE336" i="20"/>
  <c r="AE116" i="20"/>
  <c r="AE313" i="20"/>
  <c r="AE340" i="20"/>
  <c r="AE144" i="20"/>
  <c r="AE200" i="20"/>
  <c r="AE278" i="20"/>
  <c r="AE248" i="20"/>
  <c r="AE135" i="20"/>
  <c r="AE320" i="20"/>
  <c r="AE216" i="20"/>
  <c r="AE228" i="20"/>
  <c r="AE233" i="20"/>
  <c r="AE355" i="20"/>
  <c r="AE168" i="20"/>
  <c r="AE314" i="20"/>
  <c r="AE128" i="20"/>
  <c r="AE323" i="20"/>
  <c r="AE245" i="20"/>
  <c r="AE367" i="20"/>
  <c r="AE272" i="20"/>
  <c r="AE195" i="20"/>
  <c r="AE142" i="20"/>
  <c r="AE254" i="20"/>
  <c r="AE180" i="20"/>
  <c r="AE268" i="20"/>
  <c r="AE207" i="20"/>
  <c r="AE337" i="20"/>
  <c r="AE204" i="20"/>
  <c r="AE351" i="20"/>
  <c r="AE255" i="20"/>
  <c r="AE261" i="20"/>
  <c r="AE328" i="20"/>
  <c r="AE172" i="20"/>
  <c r="AE333" i="20"/>
  <c r="AE368" i="20"/>
  <c r="AE315" i="20"/>
  <c r="AE198" i="20"/>
  <c r="AE324" i="20"/>
  <c r="Q136" i="20"/>
  <c r="Q89" i="20"/>
  <c r="Q206" i="20"/>
  <c r="Q232" i="20"/>
  <c r="Q233" i="20"/>
  <c r="Q238" i="20"/>
  <c r="Q220" i="20"/>
  <c r="Q53" i="20"/>
  <c r="Q336" i="20"/>
  <c r="Q74" i="20"/>
  <c r="Q204" i="20"/>
  <c r="Q117" i="20"/>
  <c r="Q356" i="20"/>
  <c r="Q24" i="20"/>
  <c r="Q116" i="20"/>
  <c r="Q286" i="20"/>
  <c r="Q231" i="20"/>
  <c r="Q167" i="20"/>
  <c r="Q329" i="20"/>
  <c r="Q377" i="20"/>
  <c r="Q140" i="20"/>
  <c r="Q327" i="20"/>
  <c r="Q115" i="20"/>
  <c r="Q277" i="20"/>
  <c r="Q31" i="20"/>
  <c r="Q289" i="20"/>
  <c r="Q152" i="20"/>
  <c r="Q143" i="20"/>
  <c r="Q235" i="20"/>
  <c r="Q224" i="20"/>
  <c r="Q221" i="20"/>
  <c r="Q312" i="20"/>
  <c r="Q226" i="20"/>
  <c r="Q52" i="20"/>
  <c r="Q187" i="20"/>
  <c r="Q33" i="20"/>
  <c r="Q29" i="20"/>
  <c r="Q60" i="20"/>
  <c r="Q95" i="20"/>
  <c r="Q38" i="20"/>
  <c r="Q319" i="20"/>
  <c r="Q353" i="20"/>
  <c r="Q209" i="20"/>
  <c r="Q324" i="20"/>
  <c r="Q349" i="20"/>
  <c r="AG188" i="18"/>
  <c r="AF188" i="18" s="1"/>
  <c r="AD188" i="18" s="1"/>
  <c r="AG276" i="18"/>
  <c r="AF276" i="18" s="1"/>
  <c r="AD276" i="18" s="1"/>
  <c r="I295" i="17"/>
  <c r="J295" i="17"/>
  <c r="I53" i="17"/>
  <c r="J53" i="17"/>
  <c r="I259" i="17"/>
  <c r="J259" i="17"/>
  <c r="AD206" i="18"/>
  <c r="J242" i="17"/>
  <c r="I242" i="17"/>
  <c r="Z379" i="17"/>
  <c r="Y379" i="17" s="1"/>
  <c r="AL9" i="16"/>
  <c r="Y166" i="17"/>
  <c r="D73" i="7" l="1"/>
  <c r="AD299" i="18"/>
  <c r="D70" i="7"/>
  <c r="AD191" i="18"/>
  <c r="AH11" i="7"/>
  <c r="U11" i="20" s="1"/>
  <c r="AD238" i="18"/>
  <c r="U12" i="20"/>
  <c r="D71" i="7"/>
  <c r="AD377" i="18"/>
  <c r="D68" i="7"/>
  <c r="D79" i="7"/>
  <c r="AD354" i="18"/>
  <c r="AD252" i="18"/>
  <c r="AD283" i="18"/>
  <c r="AD286" i="18"/>
  <c r="AD314" i="18"/>
  <c r="T379" i="18"/>
  <c r="S379" i="18" s="1"/>
  <c r="R379" i="18" s="1"/>
  <c r="P379" i="18" s="1"/>
  <c r="AD309" i="18"/>
  <c r="AD292" i="18"/>
  <c r="V333" i="18"/>
  <c r="L65" i="19" s="1"/>
  <c r="D76" i="7"/>
  <c r="AD189" i="18"/>
  <c r="AD199" i="18"/>
  <c r="AD176" i="18"/>
  <c r="AD218" i="18"/>
  <c r="AD177" i="18"/>
  <c r="AD183" i="18"/>
  <c r="AD248" i="18"/>
  <c r="F134" i="18"/>
  <c r="F222" i="18"/>
  <c r="H222" i="18" s="1"/>
  <c r="F220" i="18"/>
  <c r="F171" i="18"/>
  <c r="AA171" i="18" s="1"/>
  <c r="Z171" i="18" s="1"/>
  <c r="Y171" i="18" s="1"/>
  <c r="F111" i="18"/>
  <c r="F228" i="18"/>
  <c r="G228" i="18" s="1"/>
  <c r="CA228" i="6" s="1"/>
  <c r="F103" i="18"/>
  <c r="F249" i="18"/>
  <c r="G249" i="18" s="1"/>
  <c r="CA249" i="6" s="1"/>
  <c r="F109" i="18"/>
  <c r="F97" i="18"/>
  <c r="AA97" i="18" s="1"/>
  <c r="Z97" i="18" s="1"/>
  <c r="Y97" i="18" s="1"/>
  <c r="F239" i="18"/>
  <c r="F193" i="18"/>
  <c r="G193" i="18" s="1"/>
  <c r="CA193" i="6" s="1"/>
  <c r="F28" i="18"/>
  <c r="F300" i="18"/>
  <c r="AA300" i="18" s="1"/>
  <c r="Z300" i="18" s="1"/>
  <c r="Y300" i="18" s="1"/>
  <c r="F128" i="18"/>
  <c r="F84" i="18"/>
  <c r="H84" i="18" s="1"/>
  <c r="F192" i="18"/>
  <c r="F130" i="18"/>
  <c r="AA130" i="18" s="1"/>
  <c r="Z130" i="18" s="1"/>
  <c r="Y130" i="18" s="1"/>
  <c r="F158" i="18"/>
  <c r="F136" i="18"/>
  <c r="G136" i="18" s="1"/>
  <c r="CA136" i="6" s="1"/>
  <c r="F213" i="18"/>
  <c r="F67" i="18"/>
  <c r="AA67" i="18" s="1"/>
  <c r="Z67" i="18" s="1"/>
  <c r="Y67" i="18" s="1"/>
  <c r="F152" i="18"/>
  <c r="F112" i="18"/>
  <c r="G112" i="18" s="1"/>
  <c r="CA112" i="6" s="1"/>
  <c r="F290" i="18"/>
  <c r="F266" i="18"/>
  <c r="AA266" i="18" s="1"/>
  <c r="Z266" i="18" s="1"/>
  <c r="Y266" i="18" s="1"/>
  <c r="F286" i="18"/>
  <c r="F137" i="18"/>
  <c r="G137" i="18" s="1"/>
  <c r="CA137" i="6" s="1"/>
  <c r="F99" i="18"/>
  <c r="AD294" i="18"/>
  <c r="AD315" i="18"/>
  <c r="AD120" i="18"/>
  <c r="AD179" i="18"/>
  <c r="AD255" i="18"/>
  <c r="AD262" i="18"/>
  <c r="AD168" i="18"/>
  <c r="AD290" i="18"/>
  <c r="AD267" i="18"/>
  <c r="AD240" i="18"/>
  <c r="AD347" i="18"/>
  <c r="AD241" i="18"/>
  <c r="AD129" i="18"/>
  <c r="AD257" i="18"/>
  <c r="AD112" i="18"/>
  <c r="AD148" i="18"/>
  <c r="AD224" i="18"/>
  <c r="AD147" i="18"/>
  <c r="AD277" i="18"/>
  <c r="G210" i="17"/>
  <c r="BZ210" i="6" s="1"/>
  <c r="J333" i="17"/>
  <c r="J60" i="17"/>
  <c r="F246" i="18"/>
  <c r="AA246" i="18" s="1"/>
  <c r="Z246" i="18" s="1"/>
  <c r="Y246" i="18" s="1"/>
  <c r="F371" i="18"/>
  <c r="AA371" i="18" s="1"/>
  <c r="Z371" i="18" s="1"/>
  <c r="Y371" i="18" s="1"/>
  <c r="F275" i="18"/>
  <c r="H275" i="18" s="1"/>
  <c r="F235" i="18"/>
  <c r="H235" i="18" s="1"/>
  <c r="F47" i="18"/>
  <c r="H47" i="18" s="1"/>
  <c r="F196" i="18"/>
  <c r="G196" i="18" s="1"/>
  <c r="CA196" i="6" s="1"/>
  <c r="F331" i="18"/>
  <c r="H331" i="18" s="1"/>
  <c r="F102" i="18"/>
  <c r="AA102" i="18" s="1"/>
  <c r="Z102" i="18" s="1"/>
  <c r="Y102" i="18" s="1"/>
  <c r="F53" i="18"/>
  <c r="H53" i="18" s="1"/>
  <c r="F83" i="18"/>
  <c r="H83" i="18" s="1"/>
  <c r="F159" i="18"/>
  <c r="H159" i="18" s="1"/>
  <c r="F289" i="18"/>
  <c r="AA289" i="18" s="1"/>
  <c r="Z289" i="18" s="1"/>
  <c r="Y289" i="18" s="1"/>
  <c r="F56" i="18"/>
  <c r="AA56" i="18" s="1"/>
  <c r="Z56" i="18" s="1"/>
  <c r="Y56" i="18" s="1"/>
  <c r="F364" i="18"/>
  <c r="H364" i="18" s="1"/>
  <c r="F365" i="18"/>
  <c r="AA365" i="18" s="1"/>
  <c r="Z365" i="18" s="1"/>
  <c r="Y365" i="18" s="1"/>
  <c r="F292" i="18"/>
  <c r="AA292" i="18" s="1"/>
  <c r="Z292" i="18" s="1"/>
  <c r="Y292" i="18" s="1"/>
  <c r="F50" i="18"/>
  <c r="H50" i="18" s="1"/>
  <c r="F312" i="18"/>
  <c r="H312" i="18" s="1"/>
  <c r="F248" i="18"/>
  <c r="AA248" i="18" s="1"/>
  <c r="Z248" i="18" s="1"/>
  <c r="Y248" i="18" s="1"/>
  <c r="F146" i="18"/>
  <c r="G146" i="18" s="1"/>
  <c r="CA146" i="6" s="1"/>
  <c r="F168" i="18"/>
  <c r="H168" i="18" s="1"/>
  <c r="F154" i="18"/>
  <c r="H154" i="18" s="1"/>
  <c r="F244" i="18"/>
  <c r="H244" i="18" s="1"/>
  <c r="F20" i="18"/>
  <c r="AA20" i="18" s="1"/>
  <c r="Z20" i="18" s="1"/>
  <c r="Y20" i="18" s="1"/>
  <c r="F242" i="18"/>
  <c r="AA242" i="18" s="1"/>
  <c r="Z242" i="18" s="1"/>
  <c r="Y242" i="18" s="1"/>
  <c r="F303" i="18"/>
  <c r="G303" i="18" s="1"/>
  <c r="CA303" i="6" s="1"/>
  <c r="F107" i="18"/>
  <c r="H107" i="18" s="1"/>
  <c r="F64" i="18"/>
  <c r="AA64" i="18" s="1"/>
  <c r="Z64" i="18" s="1"/>
  <c r="Y64" i="18" s="1"/>
  <c r="F263" i="18"/>
  <c r="H263" i="18" s="1"/>
  <c r="F202" i="18"/>
  <c r="H202" i="18" s="1"/>
  <c r="G349" i="18"/>
  <c r="CA349" i="6" s="1"/>
  <c r="G74" i="18"/>
  <c r="CA74" i="6" s="1"/>
  <c r="F98" i="18"/>
  <c r="G98" i="18" s="1"/>
  <c r="CA98" i="6" s="1"/>
  <c r="F122" i="18"/>
  <c r="AA122" i="18" s="1"/>
  <c r="Z122" i="18" s="1"/>
  <c r="Y122" i="18" s="1"/>
  <c r="F176" i="18"/>
  <c r="AA176" i="18" s="1"/>
  <c r="Z176" i="18" s="1"/>
  <c r="Y176" i="18" s="1"/>
  <c r="F368" i="18"/>
  <c r="G368" i="18" s="1"/>
  <c r="CA368" i="6" s="1"/>
  <c r="F68" i="18"/>
  <c r="H68" i="18" s="1"/>
  <c r="F70" i="18"/>
  <c r="G70" i="18" s="1"/>
  <c r="CA70" i="6" s="1"/>
  <c r="F279" i="18"/>
  <c r="G279" i="18" s="1"/>
  <c r="CA279" i="6" s="1"/>
  <c r="F352" i="18"/>
  <c r="G352" i="18" s="1"/>
  <c r="CA352" i="6" s="1"/>
  <c r="F295" i="18"/>
  <c r="H295" i="18" s="1"/>
  <c r="F85" i="18"/>
  <c r="G85" i="18" s="1"/>
  <c r="CA85" i="6" s="1"/>
  <c r="F238" i="18"/>
  <c r="AA238" i="18" s="1"/>
  <c r="Z238" i="18" s="1"/>
  <c r="Y238" i="18" s="1"/>
  <c r="F283" i="18"/>
  <c r="G283" i="18" s="1"/>
  <c r="CA283" i="6" s="1"/>
  <c r="F90" i="18"/>
  <c r="H90" i="18" s="1"/>
  <c r="F376" i="18"/>
  <c r="H376" i="18" s="1"/>
  <c r="F49" i="18"/>
  <c r="AA49" i="18" s="1"/>
  <c r="Z49" i="18" s="1"/>
  <c r="Y49" i="18" s="1"/>
  <c r="F284" i="18"/>
  <c r="H284" i="18" s="1"/>
  <c r="F82" i="18"/>
  <c r="G82" i="18" s="1"/>
  <c r="CA82" i="6" s="1"/>
  <c r="F345" i="18"/>
  <c r="H345" i="18" s="1"/>
  <c r="F370" i="18"/>
  <c r="AA370" i="18" s="1"/>
  <c r="Z370" i="18" s="1"/>
  <c r="Y370" i="18" s="1"/>
  <c r="F367" i="18"/>
  <c r="G367" i="18" s="1"/>
  <c r="CA367" i="6" s="1"/>
  <c r="F142" i="18"/>
  <c r="G142" i="18" s="1"/>
  <c r="CA142" i="6" s="1"/>
  <c r="F358" i="18"/>
  <c r="AA358" i="18" s="1"/>
  <c r="Z358" i="18" s="1"/>
  <c r="Y358" i="18" s="1"/>
  <c r="F253" i="18"/>
  <c r="H253" i="18" s="1"/>
  <c r="F205" i="18"/>
  <c r="G205" i="18" s="1"/>
  <c r="CA205" i="6" s="1"/>
  <c r="F360" i="18"/>
  <c r="H360" i="18" s="1"/>
  <c r="F165" i="18"/>
  <c r="AA165" i="18" s="1"/>
  <c r="Z165" i="18" s="1"/>
  <c r="Y165" i="18" s="1"/>
  <c r="F46" i="18"/>
  <c r="H46" i="18" s="1"/>
  <c r="F200" i="18"/>
  <c r="AA200" i="18" s="1"/>
  <c r="Z200" i="18" s="1"/>
  <c r="Y200" i="18" s="1"/>
  <c r="F316" i="18"/>
  <c r="H316" i="18" s="1"/>
  <c r="F71" i="18"/>
  <c r="G71" i="18" s="1"/>
  <c r="CA71" i="6" s="1"/>
  <c r="F23" i="18"/>
  <c r="G23" i="18" s="1"/>
  <c r="CA23" i="6" s="1"/>
  <c r="F80" i="18"/>
  <c r="G80" i="18" s="1"/>
  <c r="CA80" i="6" s="1"/>
  <c r="F218" i="18"/>
  <c r="G218" i="18" s="1"/>
  <c r="CA218" i="6" s="1"/>
  <c r="F184" i="18"/>
  <c r="G184" i="18" s="1"/>
  <c r="CA184" i="6" s="1"/>
  <c r="F179" i="18"/>
  <c r="H179" i="18" s="1"/>
  <c r="F233" i="18"/>
  <c r="G233" i="18" s="1"/>
  <c r="CA233" i="6" s="1"/>
  <c r="F211" i="18"/>
  <c r="G211" i="18" s="1"/>
  <c r="CA211" i="6" s="1"/>
  <c r="F178" i="18"/>
  <c r="G178" i="18" s="1"/>
  <c r="CA178" i="6" s="1"/>
  <c r="F258" i="18"/>
  <c r="H258" i="18" s="1"/>
  <c r="J258" i="18" s="1"/>
  <c r="C258" i="6" s="1"/>
  <c r="F135" i="18"/>
  <c r="H135" i="18" s="1"/>
  <c r="J135" i="18" s="1"/>
  <c r="C135" i="6" s="1"/>
  <c r="H166" i="18"/>
  <c r="I166" i="18" s="1"/>
  <c r="B166" i="6" s="1"/>
  <c r="BA166" i="6" s="1"/>
  <c r="F208" i="18"/>
  <c r="G208" i="18" s="1"/>
  <c r="CA208" i="6" s="1"/>
  <c r="F203" i="18"/>
  <c r="G203" i="18" s="1"/>
  <c r="CA203" i="6" s="1"/>
  <c r="F157" i="18"/>
  <c r="H157" i="18" s="1"/>
  <c r="F322" i="18"/>
  <c r="G322" i="18" s="1"/>
  <c r="CA322" i="6" s="1"/>
  <c r="F156" i="18"/>
  <c r="G156" i="18" s="1"/>
  <c r="CA156" i="6" s="1"/>
  <c r="F294" i="18"/>
  <c r="AA294" i="18" s="1"/>
  <c r="Z294" i="18" s="1"/>
  <c r="Y294" i="18" s="1"/>
  <c r="F16" i="18"/>
  <c r="G16" i="18" s="1"/>
  <c r="CA16" i="6" s="1"/>
  <c r="F259" i="18"/>
  <c r="G259" i="18" s="1"/>
  <c r="CA259" i="6" s="1"/>
  <c r="F26" i="18"/>
  <c r="G26" i="18" s="1"/>
  <c r="CA26" i="6" s="1"/>
  <c r="F231" i="18"/>
  <c r="H231" i="18" s="1"/>
  <c r="F45" i="18"/>
  <c r="H45" i="18" s="1"/>
  <c r="F21" i="18"/>
  <c r="AA21" i="18" s="1"/>
  <c r="Z21" i="18" s="1"/>
  <c r="Y21" i="18" s="1"/>
  <c r="F342" i="18"/>
  <c r="G342" i="18" s="1"/>
  <c r="CA342" i="6" s="1"/>
  <c r="F296" i="18"/>
  <c r="G296" i="18" s="1"/>
  <c r="CA296" i="6" s="1"/>
  <c r="F206" i="18"/>
  <c r="AA206" i="18" s="1"/>
  <c r="Z206" i="18" s="1"/>
  <c r="Y206" i="18" s="1"/>
  <c r="F339" i="18"/>
  <c r="G339" i="18" s="1"/>
  <c r="CA339" i="6" s="1"/>
  <c r="F195" i="18"/>
  <c r="H195" i="18" s="1"/>
  <c r="F247" i="18"/>
  <c r="AA247" i="18" s="1"/>
  <c r="Z247" i="18" s="1"/>
  <c r="Y247" i="18" s="1"/>
  <c r="F257" i="18"/>
  <c r="AA257" i="18" s="1"/>
  <c r="Z257" i="18" s="1"/>
  <c r="Y257" i="18" s="1"/>
  <c r="F52" i="18"/>
  <c r="H52" i="18" s="1"/>
  <c r="F89" i="18"/>
  <c r="H89" i="18" s="1"/>
  <c r="F118" i="18"/>
  <c r="AA118" i="18" s="1"/>
  <c r="Z118" i="18" s="1"/>
  <c r="Y118" i="18" s="1"/>
  <c r="F277" i="18"/>
  <c r="G277" i="18" s="1"/>
  <c r="CA277" i="6" s="1"/>
  <c r="F73" i="18"/>
  <c r="AA73" i="18" s="1"/>
  <c r="Z73" i="18" s="1"/>
  <c r="Y73" i="18" s="1"/>
  <c r="F204" i="18"/>
  <c r="G204" i="18" s="1"/>
  <c r="CA204" i="6" s="1"/>
  <c r="F42" i="18"/>
  <c r="AA42" i="18" s="1"/>
  <c r="Z42" i="18" s="1"/>
  <c r="Y42" i="18" s="1"/>
  <c r="F229" i="18"/>
  <c r="G229" i="18" s="1"/>
  <c r="CA229" i="6" s="1"/>
  <c r="F65" i="18"/>
  <c r="H65" i="18" s="1"/>
  <c r="F100" i="18"/>
  <c r="G100" i="18" s="1"/>
  <c r="CA100" i="6" s="1"/>
  <c r="F35" i="18"/>
  <c r="H35" i="18" s="1"/>
  <c r="F194" i="18"/>
  <c r="H194" i="18" s="1"/>
  <c r="F92" i="18"/>
  <c r="AA92" i="18" s="1"/>
  <c r="Z92" i="18" s="1"/>
  <c r="Y92" i="18" s="1"/>
  <c r="F269" i="18"/>
  <c r="AA269" i="18" s="1"/>
  <c r="Z269" i="18" s="1"/>
  <c r="Y269" i="18" s="1"/>
  <c r="F120" i="18"/>
  <c r="H120" i="18" s="1"/>
  <c r="F172" i="18"/>
  <c r="AA172" i="18" s="1"/>
  <c r="Z172" i="18" s="1"/>
  <c r="Y172" i="18" s="1"/>
  <c r="G241" i="17"/>
  <c r="BZ241" i="6" s="1"/>
  <c r="AA241" i="17"/>
  <c r="Z241" i="17" s="1"/>
  <c r="Y241" i="17" s="1"/>
  <c r="AL6" i="17" s="1"/>
  <c r="F141" i="18"/>
  <c r="G141" i="18" s="1"/>
  <c r="CA141" i="6" s="1"/>
  <c r="F116" i="18"/>
  <c r="G116" i="18" s="1"/>
  <c r="CA116" i="6" s="1"/>
  <c r="F357" i="18"/>
  <c r="G357" i="18" s="1"/>
  <c r="CA357" i="6" s="1"/>
  <c r="F214" i="18"/>
  <c r="H214" i="18" s="1"/>
  <c r="F106" i="18"/>
  <c r="H106" i="18" s="1"/>
  <c r="F265" i="18"/>
  <c r="G265" i="18" s="1"/>
  <c r="CA265" i="6" s="1"/>
  <c r="F148" i="18"/>
  <c r="G148" i="18" s="1"/>
  <c r="CA148" i="6" s="1"/>
  <c r="F291" i="18"/>
  <c r="H291" i="18" s="1"/>
  <c r="F76" i="18"/>
  <c r="G76" i="18" s="1"/>
  <c r="CA76" i="6" s="1"/>
  <c r="F24" i="18"/>
  <c r="H24" i="18" s="1"/>
  <c r="F87" i="18"/>
  <c r="G87" i="18" s="1"/>
  <c r="CA87" i="6" s="1"/>
  <c r="F377" i="18"/>
  <c r="H377" i="18" s="1"/>
  <c r="F344" i="18"/>
  <c r="H344" i="18" s="1"/>
  <c r="F366" i="18"/>
  <c r="H366" i="18" s="1"/>
  <c r="F223" i="18"/>
  <c r="H223" i="18" s="1"/>
  <c r="F114" i="18"/>
  <c r="H114" i="18" s="1"/>
  <c r="F325" i="18"/>
  <c r="G325" i="18" s="1"/>
  <c r="CA325" i="6" s="1"/>
  <c r="F93" i="18"/>
  <c r="G93" i="18" s="1"/>
  <c r="CA93" i="6" s="1"/>
  <c r="F131" i="18"/>
  <c r="AA131" i="18" s="1"/>
  <c r="Z131" i="18" s="1"/>
  <c r="Y131" i="18" s="1"/>
  <c r="F191" i="18"/>
  <c r="F227" i="18"/>
  <c r="H227" i="18" s="1"/>
  <c r="J227" i="18" s="1"/>
  <c r="C227" i="6" s="1"/>
  <c r="AD15" i="18"/>
  <c r="V302" i="18"/>
  <c r="K65" i="19" s="1"/>
  <c r="F139" i="18"/>
  <c r="H139" i="18" s="1"/>
  <c r="F174" i="18"/>
  <c r="AA174" i="18" s="1"/>
  <c r="Z174" i="18" s="1"/>
  <c r="Y174" i="18" s="1"/>
  <c r="F155" i="18"/>
  <c r="H155" i="18" s="1"/>
  <c r="F17" i="18"/>
  <c r="H17" i="18" s="1"/>
  <c r="F340" i="18"/>
  <c r="H340" i="18" s="1"/>
  <c r="F117" i="18"/>
  <c r="H117" i="18" s="1"/>
  <c r="F341" i="18"/>
  <c r="G341" i="18" s="1"/>
  <c r="CA341" i="6" s="1"/>
  <c r="F261" i="18"/>
  <c r="F173" i="18"/>
  <c r="AA173" i="18" s="1"/>
  <c r="Z173" i="18" s="1"/>
  <c r="Y173" i="18" s="1"/>
  <c r="F252" i="18"/>
  <c r="F43" i="18"/>
  <c r="G43" i="18" s="1"/>
  <c r="CA43" i="6" s="1"/>
  <c r="F62" i="18"/>
  <c r="AA62" i="18" s="1"/>
  <c r="Z62" i="18" s="1"/>
  <c r="Y62" i="18" s="1"/>
  <c r="F282" i="18"/>
  <c r="G282" i="18" s="1"/>
  <c r="CA282" i="6" s="1"/>
  <c r="F225" i="18"/>
  <c r="H225" i="18" s="1"/>
  <c r="F81" i="18"/>
  <c r="AA81" i="18" s="1"/>
  <c r="Z81" i="18" s="1"/>
  <c r="Y81" i="18" s="1"/>
  <c r="F324" i="18"/>
  <c r="H324" i="18" s="1"/>
  <c r="F105" i="18"/>
  <c r="H105" i="18" s="1"/>
  <c r="I105" i="18" s="1"/>
  <c r="B105" i="6" s="1"/>
  <c r="BA105" i="6" s="1"/>
  <c r="D105" i="6" s="1"/>
  <c r="F328" i="18"/>
  <c r="G328" i="18" s="1"/>
  <c r="CA328" i="6" s="1"/>
  <c r="F362" i="18"/>
  <c r="G362" i="18" s="1"/>
  <c r="CA362" i="6" s="1"/>
  <c r="F309" i="18"/>
  <c r="G309" i="18" s="1"/>
  <c r="CA309" i="6" s="1"/>
  <c r="F38" i="18"/>
  <c r="AA38" i="18" s="1"/>
  <c r="Z38" i="18" s="1"/>
  <c r="Y38" i="18" s="1"/>
  <c r="F197" i="18"/>
  <c r="G197" i="18" s="1"/>
  <c r="CA197" i="6" s="1"/>
  <c r="F124" i="18"/>
  <c r="H124" i="18" s="1"/>
  <c r="F44" i="18"/>
  <c r="F153" i="18"/>
  <c r="H153" i="18" s="1"/>
  <c r="F232" i="18"/>
  <c r="F315" i="18"/>
  <c r="H315" i="18" s="1"/>
  <c r="F255" i="18"/>
  <c r="G255" i="18" s="1"/>
  <c r="CA255" i="6" s="1"/>
  <c r="F346" i="18"/>
  <c r="G346" i="18" s="1"/>
  <c r="CA346" i="6" s="1"/>
  <c r="F201" i="18"/>
  <c r="G201" i="18" s="1"/>
  <c r="CA201" i="6" s="1"/>
  <c r="AD293" i="18"/>
  <c r="AD227" i="18"/>
  <c r="AA227" i="18" s="1"/>
  <c r="Z227" i="18" s="1"/>
  <c r="Y227" i="18" s="1"/>
  <c r="F75" i="18"/>
  <c r="AA75" i="18" s="1"/>
  <c r="Z75" i="18" s="1"/>
  <c r="Y75" i="18" s="1"/>
  <c r="F297" i="18"/>
  <c r="H297" i="18" s="1"/>
  <c r="F373" i="18"/>
  <c r="H373" i="18" s="1"/>
  <c r="F264" i="18"/>
  <c r="AA264" i="18" s="1"/>
  <c r="Z264" i="18" s="1"/>
  <c r="Y264" i="18" s="1"/>
  <c r="F354" i="18"/>
  <c r="H354" i="18" s="1"/>
  <c r="F353" i="18"/>
  <c r="F256" i="18"/>
  <c r="G256" i="18" s="1"/>
  <c r="CA256" i="6" s="1"/>
  <c r="U382" i="18"/>
  <c r="F378" i="18"/>
  <c r="G378" i="18" s="1"/>
  <c r="CA378" i="6" s="1"/>
  <c r="F31" i="18"/>
  <c r="AA31" i="18" s="1"/>
  <c r="Z31" i="18" s="1"/>
  <c r="Y31" i="18" s="1"/>
  <c r="F150" i="18"/>
  <c r="H150" i="18" s="1"/>
  <c r="F143" i="18"/>
  <c r="G143" i="18" s="1"/>
  <c r="CA143" i="6" s="1"/>
  <c r="F177" i="18"/>
  <c r="G177" i="18" s="1"/>
  <c r="CA177" i="6" s="1"/>
  <c r="I352" i="17"/>
  <c r="AD367" i="18"/>
  <c r="AD352" i="18"/>
  <c r="F144" i="18"/>
  <c r="G144" i="18" s="1"/>
  <c r="CA144" i="6" s="1"/>
  <c r="F311" i="18"/>
  <c r="G311" i="18" s="1"/>
  <c r="CA311" i="6" s="1"/>
  <c r="F104" i="18"/>
  <c r="H104" i="18" s="1"/>
  <c r="F189" i="18"/>
  <c r="G189" i="18" s="1"/>
  <c r="CA189" i="6" s="1"/>
  <c r="F51" i="18"/>
  <c r="H51" i="18" s="1"/>
  <c r="F188" i="18"/>
  <c r="G188" i="18" s="1"/>
  <c r="CA188" i="6" s="1"/>
  <c r="F327" i="18"/>
  <c r="H327" i="18" s="1"/>
  <c r="F288" i="18"/>
  <c r="H288" i="18" s="1"/>
  <c r="F267" i="18"/>
  <c r="G267" i="18" s="1"/>
  <c r="CA267" i="6" s="1"/>
  <c r="F271" i="18"/>
  <c r="H271" i="18" s="1"/>
  <c r="F125" i="18"/>
  <c r="H125" i="18" s="1"/>
  <c r="F372" i="18"/>
  <c r="H372" i="18" s="1"/>
  <c r="F190" i="18"/>
  <c r="G190" i="18" s="1"/>
  <c r="CA190" i="6" s="1"/>
  <c r="F140" i="18"/>
  <c r="G140" i="18" s="1"/>
  <c r="CA140" i="6" s="1"/>
  <c r="F25" i="18"/>
  <c r="H25" i="18" s="1"/>
  <c r="F323" i="18"/>
  <c r="F350" i="18"/>
  <c r="G350" i="18" s="1"/>
  <c r="CA350" i="6" s="1"/>
  <c r="F310" i="18"/>
  <c r="AA310" i="18" s="1"/>
  <c r="Z310" i="18" s="1"/>
  <c r="Y310" i="18" s="1"/>
  <c r="F19" i="18"/>
  <c r="G19" i="18" s="1"/>
  <c r="CA19" i="6" s="1"/>
  <c r="F48" i="18"/>
  <c r="AA48" i="18" s="1"/>
  <c r="Z48" i="18" s="1"/>
  <c r="Y48" i="18" s="1"/>
  <c r="F36" i="18"/>
  <c r="G36" i="18" s="1"/>
  <c r="CA36" i="6" s="1"/>
  <c r="F332" i="18"/>
  <c r="G332" i="18" s="1"/>
  <c r="CA332" i="6" s="1"/>
  <c r="F221" i="18"/>
  <c r="H221" i="18" s="1"/>
  <c r="F347" i="18"/>
  <c r="F55" i="18"/>
  <c r="AA55" i="18" s="1"/>
  <c r="Z55" i="18" s="1"/>
  <c r="Y55" i="18" s="1"/>
  <c r="F198" i="18"/>
  <c r="H198" i="18" s="1"/>
  <c r="F273" i="18"/>
  <c r="G273" i="18" s="1"/>
  <c r="CA273" i="6" s="1"/>
  <c r="F230" i="18"/>
  <c r="G230" i="18" s="1"/>
  <c r="CA230" i="6" s="1"/>
  <c r="F299" i="18"/>
  <c r="H299" i="18" s="1"/>
  <c r="F96" i="18"/>
  <c r="G96" i="18" s="1"/>
  <c r="CA96" i="6" s="1"/>
  <c r="F170" i="18"/>
  <c r="AA170" i="18" s="1"/>
  <c r="Z170" i="18" s="1"/>
  <c r="Y170" i="18" s="1"/>
  <c r="F69" i="18"/>
  <c r="H69" i="18" s="1"/>
  <c r="F217" i="18"/>
  <c r="H217" i="18" s="1"/>
  <c r="F318" i="18"/>
  <c r="G318" i="18" s="1"/>
  <c r="CA318" i="6" s="1"/>
  <c r="F161" i="18"/>
  <c r="AA161" i="18" s="1"/>
  <c r="Z161" i="18" s="1"/>
  <c r="Y161" i="18" s="1"/>
  <c r="F336" i="18"/>
  <c r="H336" i="18" s="1"/>
  <c r="F18" i="18"/>
  <c r="G18" i="18" s="1"/>
  <c r="CA18" i="6" s="1"/>
  <c r="F285" i="18"/>
  <c r="G285" i="18" s="1"/>
  <c r="CA285" i="6" s="1"/>
  <c r="F334" i="18"/>
  <c r="G334" i="18" s="1"/>
  <c r="CA334" i="6" s="1"/>
  <c r="F308" i="18"/>
  <c r="F175" i="18"/>
  <c r="H175" i="18" s="1"/>
  <c r="F27" i="18"/>
  <c r="G27" i="18" s="1"/>
  <c r="CA27" i="6" s="1"/>
  <c r="F226" i="18"/>
  <c r="H226" i="18" s="1"/>
  <c r="F59" i="18"/>
  <c r="G59" i="18" s="1"/>
  <c r="CA59" i="6" s="1"/>
  <c r="F270" i="18"/>
  <c r="G270" i="18" s="1"/>
  <c r="CA270" i="6" s="1"/>
  <c r="F276" i="18"/>
  <c r="G276" i="18" s="1"/>
  <c r="CA276" i="6" s="1"/>
  <c r="F313" i="18"/>
  <c r="H313" i="18" s="1"/>
  <c r="F338" i="18"/>
  <c r="AA338" i="18" s="1"/>
  <c r="Z338" i="18" s="1"/>
  <c r="Y338" i="18" s="1"/>
  <c r="F287" i="18"/>
  <c r="H287" i="18" s="1"/>
  <c r="F375" i="18"/>
  <c r="H375" i="18" s="1"/>
  <c r="F181" i="18"/>
  <c r="H181" i="18" s="1"/>
  <c r="F129" i="18"/>
  <c r="H129" i="18" s="1"/>
  <c r="F133" i="18"/>
  <c r="H133" i="18" s="1"/>
  <c r="F151" i="18"/>
  <c r="G151" i="18" s="1"/>
  <c r="CA151" i="6" s="1"/>
  <c r="F212" i="18"/>
  <c r="H212" i="18" s="1"/>
  <c r="F301" i="18"/>
  <c r="H301" i="18" s="1"/>
  <c r="F351" i="18"/>
  <c r="H351" i="18" s="1"/>
  <c r="F355" i="18"/>
  <c r="AA355" i="18" s="1"/>
  <c r="Z355" i="18" s="1"/>
  <c r="Y355" i="18" s="1"/>
  <c r="F77" i="18"/>
  <c r="G77" i="18" s="1"/>
  <c r="CA77" i="6" s="1"/>
  <c r="F79" i="18"/>
  <c r="H79" i="18" s="1"/>
  <c r="F254" i="18"/>
  <c r="AA254" i="18" s="1"/>
  <c r="Z254" i="18" s="1"/>
  <c r="Y254" i="18" s="1"/>
  <c r="F237" i="18"/>
  <c r="H237" i="18" s="1"/>
  <c r="F160" i="18"/>
  <c r="AA160" i="18" s="1"/>
  <c r="Z160" i="18" s="1"/>
  <c r="Y160" i="18" s="1"/>
  <c r="F33" i="18"/>
  <c r="AA33" i="18" s="1"/>
  <c r="Z33" i="18" s="1"/>
  <c r="Y33" i="18" s="1"/>
  <c r="AA349" i="18"/>
  <c r="Z349" i="18" s="1"/>
  <c r="Y349" i="18" s="1"/>
  <c r="AA258" i="18"/>
  <c r="Z258" i="18" s="1"/>
  <c r="Y258" i="18" s="1"/>
  <c r="AA74" i="18"/>
  <c r="Z74" i="18" s="1"/>
  <c r="Y74" i="18" s="1"/>
  <c r="AH15" i="7"/>
  <c r="J379" i="17"/>
  <c r="AD270" i="18"/>
  <c r="Q12" i="22"/>
  <c r="F374" i="18"/>
  <c r="AA374" i="18" s="1"/>
  <c r="Z374" i="18" s="1"/>
  <c r="Y374" i="18" s="1"/>
  <c r="F110" i="18"/>
  <c r="G110" i="18" s="1"/>
  <c r="CA110" i="6" s="1"/>
  <c r="F39" i="18"/>
  <c r="G39" i="18" s="1"/>
  <c r="CA39" i="6" s="1"/>
  <c r="F186" i="18"/>
  <c r="H186" i="18" s="1"/>
  <c r="F66" i="18"/>
  <c r="G66" i="18" s="1"/>
  <c r="CA66" i="6" s="1"/>
  <c r="F234" i="18"/>
  <c r="AA234" i="18" s="1"/>
  <c r="Z234" i="18" s="1"/>
  <c r="Y234" i="18" s="1"/>
  <c r="F321" i="18"/>
  <c r="H321" i="18" s="1"/>
  <c r="F320" i="18"/>
  <c r="F207" i="18"/>
  <c r="H207" i="18" s="1"/>
  <c r="F268" i="18"/>
  <c r="F224" i="18"/>
  <c r="H224" i="18" s="1"/>
  <c r="F41" i="18"/>
  <c r="H41" i="18" s="1"/>
  <c r="F167" i="18"/>
  <c r="H167" i="18" s="1"/>
  <c r="F183" i="18"/>
  <c r="AA183" i="18" s="1"/>
  <c r="Z183" i="18" s="1"/>
  <c r="Y183" i="18" s="1"/>
  <c r="F278" i="18"/>
  <c r="G278" i="18" s="1"/>
  <c r="CA278" i="6" s="1"/>
  <c r="AD342" i="18"/>
  <c r="AA342" i="18" s="1"/>
  <c r="Z342" i="18" s="1"/>
  <c r="Y342" i="18" s="1"/>
  <c r="F219" i="18"/>
  <c r="G219" i="18" s="1"/>
  <c r="CA219" i="6" s="1"/>
  <c r="F58" i="18"/>
  <c r="H58" i="18" s="1"/>
  <c r="F251" i="18"/>
  <c r="H251" i="18" s="1"/>
  <c r="F22" i="18"/>
  <c r="AA22" i="18" s="1"/>
  <c r="Z22" i="18" s="1"/>
  <c r="Y22" i="18" s="1"/>
  <c r="F164" i="18"/>
  <c r="G164" i="18" s="1"/>
  <c r="CA164" i="6" s="1"/>
  <c r="V60" i="18"/>
  <c r="C65" i="19" s="1"/>
  <c r="F145" i="18"/>
  <c r="H145" i="18" s="1"/>
  <c r="F317" i="18"/>
  <c r="H317" i="18" s="1"/>
  <c r="F305" i="18"/>
  <c r="H305" i="18" s="1"/>
  <c r="F115" i="18"/>
  <c r="H115" i="18" s="1"/>
  <c r="F280" i="18"/>
  <c r="H280" i="18" s="1"/>
  <c r="F57" i="18"/>
  <c r="F127" i="18"/>
  <c r="H127" i="18" s="1"/>
  <c r="F369" i="18"/>
  <c r="F209" i="18"/>
  <c r="G209" i="18" s="1"/>
  <c r="CA209" i="6" s="1"/>
  <c r="F319" i="18"/>
  <c r="H319" i="18" s="1"/>
  <c r="F63" i="18"/>
  <c r="AA63" i="18" s="1"/>
  <c r="Z63" i="18" s="1"/>
  <c r="Y63" i="18" s="1"/>
  <c r="F61" i="18"/>
  <c r="H61" i="18" s="1"/>
  <c r="F169" i="18"/>
  <c r="AA169" i="18" s="1"/>
  <c r="Z169" i="18" s="1"/>
  <c r="Y169" i="18" s="1"/>
  <c r="F187" i="18"/>
  <c r="AA187" i="18" s="1"/>
  <c r="Z187" i="18" s="1"/>
  <c r="Y187" i="18" s="1"/>
  <c r="AD308" i="18"/>
  <c r="AD140" i="18"/>
  <c r="AD203" i="18"/>
  <c r="AA203" i="18" s="1"/>
  <c r="Z203" i="18" s="1"/>
  <c r="Y203" i="18" s="1"/>
  <c r="AD295" i="18"/>
  <c r="AD363" i="18"/>
  <c r="AD190" i="18"/>
  <c r="AG221" i="18"/>
  <c r="AF221" i="18" s="1"/>
  <c r="AD221" i="18" s="1"/>
  <c r="AG157" i="18"/>
  <c r="AF157" i="18" s="1"/>
  <c r="AD157" i="18" s="1"/>
  <c r="AA157" i="18" s="1"/>
  <c r="Z157" i="18" s="1"/>
  <c r="Y157" i="18" s="1"/>
  <c r="AG376" i="18"/>
  <c r="AF376" i="18" s="1"/>
  <c r="AD376" i="18" s="1"/>
  <c r="AG285" i="18"/>
  <c r="AF285" i="18" s="1"/>
  <c r="AD285" i="18" s="1"/>
  <c r="AG297" i="18"/>
  <c r="AF297" i="18" s="1"/>
  <c r="AD297" i="18" s="1"/>
  <c r="AG313" i="18"/>
  <c r="AF313" i="18" s="1"/>
  <c r="AD313" i="18" s="1"/>
  <c r="AG175" i="18"/>
  <c r="AF175" i="18" s="1"/>
  <c r="AD175" i="18" s="1"/>
  <c r="AG197" i="18"/>
  <c r="AF197" i="18" s="1"/>
  <c r="AD197" i="18" s="1"/>
  <c r="AG231" i="18"/>
  <c r="AF231" i="18" s="1"/>
  <c r="AD231" i="18" s="1"/>
  <c r="AA231" i="18" s="1"/>
  <c r="Z231" i="18" s="1"/>
  <c r="Y231" i="18" s="1"/>
  <c r="AG162" i="18"/>
  <c r="AF162" i="18" s="1"/>
  <c r="AD162" i="18" s="1"/>
  <c r="AG141" i="18"/>
  <c r="AF141" i="18" s="1"/>
  <c r="AD141" i="18" s="1"/>
  <c r="AA141" i="18" s="1"/>
  <c r="Z141" i="18" s="1"/>
  <c r="Y141" i="18" s="1"/>
  <c r="AG201" i="18"/>
  <c r="AF201" i="18" s="1"/>
  <c r="AD201" i="18" s="1"/>
  <c r="AG121" i="18"/>
  <c r="AF121" i="18" s="1"/>
  <c r="AD121" i="18" s="1"/>
  <c r="AG282" i="18"/>
  <c r="AF282" i="18" s="1"/>
  <c r="AD282" i="18" s="1"/>
  <c r="AA282" i="18" s="1"/>
  <c r="Z282" i="18" s="1"/>
  <c r="Y282" i="18" s="1"/>
  <c r="AG178" i="18"/>
  <c r="AF178" i="18" s="1"/>
  <c r="AD178" i="18" s="1"/>
  <c r="AD335" i="18"/>
  <c r="AD153" i="18"/>
  <c r="AD184" i="18"/>
  <c r="AD325" i="18"/>
  <c r="AA325" i="18" s="1"/>
  <c r="Z325" i="18" s="1"/>
  <c r="Y325" i="18" s="1"/>
  <c r="F293" i="18"/>
  <c r="F215" i="18"/>
  <c r="H215" i="18" s="1"/>
  <c r="F91" i="18"/>
  <c r="AA91" i="18" s="1"/>
  <c r="Z91" i="18" s="1"/>
  <c r="Y91" i="18" s="1"/>
  <c r="F260" i="18"/>
  <c r="AA260" i="18" s="1"/>
  <c r="Z260" i="18" s="1"/>
  <c r="Y260" i="18" s="1"/>
  <c r="F335" i="18"/>
  <c r="G335" i="18" s="1"/>
  <c r="CA335" i="6" s="1"/>
  <c r="F54" i="18"/>
  <c r="G54" i="18" s="1"/>
  <c r="CA54" i="6" s="1"/>
  <c r="F330" i="18"/>
  <c r="G330" i="18" s="1"/>
  <c r="CA330" i="6" s="1"/>
  <c r="F37" i="18"/>
  <c r="AA37" i="18" s="1"/>
  <c r="Z37" i="18" s="1"/>
  <c r="Y37" i="18" s="1"/>
  <c r="F34" i="18"/>
  <c r="AA34" i="18" s="1"/>
  <c r="Z34" i="18" s="1"/>
  <c r="Y34" i="18" s="1"/>
  <c r="F243" i="18"/>
  <c r="H243" i="18" s="1"/>
  <c r="F123" i="18"/>
  <c r="G123" i="18" s="1"/>
  <c r="CA123" i="6" s="1"/>
  <c r="F126" i="18"/>
  <c r="H126" i="18" s="1"/>
  <c r="F236" i="18"/>
  <c r="G236" i="18" s="1"/>
  <c r="CA236" i="6" s="1"/>
  <c r="F94" i="18"/>
  <c r="H94" i="18" s="1"/>
  <c r="F306" i="18"/>
  <c r="F348" i="18"/>
  <c r="G348" i="18" s="1"/>
  <c r="CA348" i="6" s="1"/>
  <c r="F326" i="18"/>
  <c r="F113" i="18"/>
  <c r="H113" i="18" s="1"/>
  <c r="F314" i="18"/>
  <c r="G314" i="18" s="1"/>
  <c r="CA314" i="6" s="1"/>
  <c r="F162" i="18"/>
  <c r="H162" i="18" s="1"/>
  <c r="F262" i="18"/>
  <c r="F40" i="18"/>
  <c r="AA40" i="18" s="1"/>
  <c r="Z40" i="18" s="1"/>
  <c r="Y40" i="18" s="1"/>
  <c r="F78" i="18"/>
  <c r="F121" i="18"/>
  <c r="G121" i="18" s="1"/>
  <c r="CA121" i="6" s="1"/>
  <c r="F185" i="18"/>
  <c r="F307" i="18"/>
  <c r="H307" i="18" s="1"/>
  <c r="F240" i="18"/>
  <c r="F182" i="18"/>
  <c r="H182" i="18" s="1"/>
  <c r="F108" i="18"/>
  <c r="AA108" i="18" s="1"/>
  <c r="Z108" i="18" s="1"/>
  <c r="Y108" i="18" s="1"/>
  <c r="F337" i="18"/>
  <c r="AA337" i="18" s="1"/>
  <c r="Z337" i="18" s="1"/>
  <c r="Y337" i="18" s="1"/>
  <c r="F72" i="18"/>
  <c r="F30" i="18"/>
  <c r="G30" i="18" s="1"/>
  <c r="CA30" i="6" s="1"/>
  <c r="F199" i="18"/>
  <c r="AA199" i="18" s="1"/>
  <c r="Z199" i="18" s="1"/>
  <c r="Y199" i="18" s="1"/>
  <c r="F298" i="18"/>
  <c r="AA298" i="18" s="1"/>
  <c r="Z298" i="18" s="1"/>
  <c r="Y298" i="18" s="1"/>
  <c r="F163" i="18"/>
  <c r="F343" i="18"/>
  <c r="G343" i="18" s="1"/>
  <c r="CA343" i="6" s="1"/>
  <c r="F304" i="18"/>
  <c r="F274" i="18"/>
  <c r="G274" i="18" s="1"/>
  <c r="CA274" i="6" s="1"/>
  <c r="F86" i="18"/>
  <c r="F361" i="18"/>
  <c r="AA361" i="18" s="1"/>
  <c r="Z361" i="18" s="1"/>
  <c r="Y361" i="18" s="1"/>
  <c r="F101" i="18"/>
  <c r="F138" i="18"/>
  <c r="H138" i="18" s="1"/>
  <c r="F359" i="18"/>
  <c r="F329" i="18"/>
  <c r="H329" i="18" s="1"/>
  <c r="AD236" i="18"/>
  <c r="F95" i="18"/>
  <c r="AA95" i="18" s="1"/>
  <c r="Z95" i="18" s="1"/>
  <c r="Y95" i="18" s="1"/>
  <c r="F32" i="18"/>
  <c r="G32" i="18" s="1"/>
  <c r="CA32" i="6" s="1"/>
  <c r="F132" i="18"/>
  <c r="H132" i="18" s="1"/>
  <c r="F356" i="18"/>
  <c r="F147" i="18"/>
  <c r="H147" i="18" s="1"/>
  <c r="F216" i="18"/>
  <c r="F245" i="18"/>
  <c r="H245" i="18" s="1"/>
  <c r="F250" i="18"/>
  <c r="F281" i="18"/>
  <c r="G281" i="18" s="1"/>
  <c r="CA281" i="6" s="1"/>
  <c r="U381" i="18"/>
  <c r="U383" i="18"/>
  <c r="AD143" i="18"/>
  <c r="AD166" i="18"/>
  <c r="AA166" i="18" s="1"/>
  <c r="Z166" i="18" s="1"/>
  <c r="Y166" i="18" s="1"/>
  <c r="AD278" i="18"/>
  <c r="AD115" i="18"/>
  <c r="AD109" i="18"/>
  <c r="AA109" i="18" s="1"/>
  <c r="Z109" i="18" s="1"/>
  <c r="Y109" i="18" s="1"/>
  <c r="AD226" i="18"/>
  <c r="AG213" i="18"/>
  <c r="AF213" i="18" s="1"/>
  <c r="AD213" i="18" s="1"/>
  <c r="AA213" i="18" s="1"/>
  <c r="Z213" i="18" s="1"/>
  <c r="Y213" i="18" s="1"/>
  <c r="AG225" i="18"/>
  <c r="AF225" i="18" s="1"/>
  <c r="AD225" i="18" s="1"/>
  <c r="AG222" i="18"/>
  <c r="AF222" i="18" s="1"/>
  <c r="AD222" i="18" s="1"/>
  <c r="AG202" i="18"/>
  <c r="AF202" i="18" s="1"/>
  <c r="AD202" i="18" s="1"/>
  <c r="AG106" i="18"/>
  <c r="AF106" i="18" s="1"/>
  <c r="AD106" i="18" s="1"/>
  <c r="AG351" i="18"/>
  <c r="AF351" i="18" s="1"/>
  <c r="AD351" i="18" s="1"/>
  <c r="AH379" i="18"/>
  <c r="AG379" i="18" s="1"/>
  <c r="AF379" i="18" s="1"/>
  <c r="AD379" i="18" s="1"/>
  <c r="AI12" i="20"/>
  <c r="G135" i="18"/>
  <c r="CA135" i="6" s="1"/>
  <c r="AC208" i="23"/>
  <c r="AC243" i="23"/>
  <c r="AC286" i="23"/>
  <c r="AC205" i="23"/>
  <c r="AC359" i="23"/>
  <c r="AC219" i="23"/>
  <c r="AC275" i="23"/>
  <c r="AC188" i="23"/>
  <c r="AC369" i="23"/>
  <c r="AC373" i="23"/>
  <c r="AC154" i="23"/>
  <c r="AC135" i="23"/>
  <c r="AC137" i="23"/>
  <c r="AC169" i="23"/>
  <c r="AC377" i="23"/>
  <c r="AC160" i="23"/>
  <c r="AC306" i="23"/>
  <c r="AC235" i="23"/>
  <c r="AC255" i="23"/>
  <c r="AC215" i="23"/>
  <c r="AC289" i="23"/>
  <c r="AC148" i="23"/>
  <c r="AC297" i="23"/>
  <c r="AC156" i="23"/>
  <c r="AC367" i="23"/>
  <c r="AC366" i="23"/>
  <c r="AC327" i="23"/>
  <c r="AC252" i="23"/>
  <c r="AC376" i="23"/>
  <c r="AC143" i="23"/>
  <c r="AC210" i="23"/>
  <c r="AC141" i="23"/>
  <c r="AC329" i="23"/>
  <c r="AC268" i="23"/>
  <c r="AC202" i="23"/>
  <c r="AC277" i="23"/>
  <c r="AC164" i="23"/>
  <c r="AC317" i="23"/>
  <c r="AC238" i="23"/>
  <c r="AC322" i="23"/>
  <c r="AC296" i="23"/>
  <c r="AC209" i="23"/>
  <c r="AC186" i="23"/>
  <c r="AC203" i="23"/>
  <c r="AC360" i="23"/>
  <c r="AC368" i="23"/>
  <c r="AC233" i="23"/>
  <c r="AC213" i="23"/>
  <c r="AC157" i="23"/>
  <c r="AC246" i="23"/>
  <c r="AC321" i="23"/>
  <c r="AC350" i="23"/>
  <c r="AC216" i="23"/>
  <c r="AC345" i="23"/>
  <c r="AC379" i="23"/>
  <c r="AC279" i="23"/>
  <c r="AC240" i="23"/>
  <c r="AC295" i="23"/>
  <c r="AC347" i="23"/>
  <c r="AC354" i="23"/>
  <c r="AC365" i="23"/>
  <c r="AC314" i="23"/>
  <c r="AC198" i="23"/>
  <c r="AC292" i="23"/>
  <c r="AC225" i="23"/>
  <c r="AC145" i="23"/>
  <c r="AC134" i="23"/>
  <c r="AC372" i="23"/>
  <c r="AC323" i="23"/>
  <c r="AC328" i="23"/>
  <c r="AC272" i="23"/>
  <c r="AC165" i="23"/>
  <c r="AC232" i="23"/>
  <c r="AC258" i="23"/>
  <c r="AC250" i="23"/>
  <c r="AC217" i="23"/>
  <c r="AC260" i="23"/>
  <c r="AC352" i="23"/>
  <c r="AC239" i="23"/>
  <c r="AC356" i="23"/>
  <c r="AC294" i="23"/>
  <c r="AC242" i="23"/>
  <c r="AC303" i="23"/>
  <c r="AC274" i="23"/>
  <c r="AC163" i="23"/>
  <c r="AC237" i="23"/>
  <c r="AC180" i="23"/>
  <c r="AC184" i="23"/>
  <c r="AC263" i="23"/>
  <c r="AC168" i="23"/>
  <c r="AC193" i="23"/>
  <c r="AC249" i="23"/>
  <c r="AC177" i="23"/>
  <c r="AC349" i="23"/>
  <c r="AC364" i="23"/>
  <c r="AC300" i="23"/>
  <c r="AC172" i="23"/>
  <c r="AC191" i="23"/>
  <c r="AC285" i="23"/>
  <c r="AC227" i="23"/>
  <c r="AC152" i="23"/>
  <c r="AC144" i="23"/>
  <c r="AC183" i="23"/>
  <c r="AC257" i="23"/>
  <c r="AC358" i="23"/>
  <c r="AC310" i="23"/>
  <c r="AC305" i="23"/>
  <c r="AC293" i="23"/>
  <c r="AC319" i="23"/>
  <c r="AC261" i="23"/>
  <c r="AC161" i="23"/>
  <c r="AC151" i="23"/>
  <c r="AC220" i="23"/>
  <c r="AC196" i="23"/>
  <c r="AC288" i="23"/>
  <c r="AC378" i="23"/>
  <c r="AC343" i="23"/>
  <c r="AC182" i="23"/>
  <c r="AC335" i="23"/>
  <c r="AC175" i="23"/>
  <c r="AC298" i="23"/>
  <c r="AC142" i="23"/>
  <c r="AC348" i="23"/>
  <c r="AC179" i="23"/>
  <c r="AC194" i="23"/>
  <c r="AC283" i="23"/>
  <c r="AC230" i="23"/>
  <c r="AC320" i="23"/>
  <c r="AC362" i="23"/>
  <c r="AC291" i="23"/>
  <c r="AC140" i="23"/>
  <c r="AC280" i="23"/>
  <c r="AC158" i="23"/>
  <c r="AC311" i="23"/>
  <c r="AC228" i="23"/>
  <c r="AC318" i="23"/>
  <c r="AC223" i="23"/>
  <c r="AC370" i="23"/>
  <c r="AC336" i="23"/>
  <c r="AC190" i="23"/>
  <c r="AC170" i="23"/>
  <c r="AC374" i="23"/>
  <c r="AC248" i="23"/>
  <c r="AC201" i="23"/>
  <c r="AC331" i="23"/>
  <c r="AC325" i="23"/>
  <c r="AC226" i="23"/>
  <c r="AC375" i="23"/>
  <c r="AC234" i="23"/>
  <c r="AC324" i="23"/>
  <c r="AC231" i="23"/>
  <c r="AC221" i="23"/>
  <c r="AC244" i="23"/>
  <c r="AC307" i="23"/>
  <c r="AC200" i="23"/>
  <c r="AC301" i="23"/>
  <c r="AC339" i="23"/>
  <c r="AC334" i="23"/>
  <c r="AC197" i="23"/>
  <c r="AC312" i="23"/>
  <c r="AC332" i="23"/>
  <c r="AC253" i="23"/>
  <c r="AC270" i="23"/>
  <c r="AC176" i="23"/>
  <c r="AC206" i="23"/>
  <c r="AC162" i="23"/>
  <c r="AC167" i="23"/>
  <c r="AC173" i="23"/>
  <c r="AC337" i="23"/>
  <c r="AC315" i="23"/>
  <c r="AC150" i="23"/>
  <c r="AC353" i="23"/>
  <c r="AC363" i="23"/>
  <c r="AC346" i="23"/>
  <c r="AC276" i="23"/>
  <c r="AC371" i="23"/>
  <c r="AC304" i="23"/>
  <c r="AC241" i="23"/>
  <c r="AC267" i="23"/>
  <c r="AC146" i="23"/>
  <c r="AC313" i="23"/>
  <c r="AC247" i="23"/>
  <c r="AC290" i="23"/>
  <c r="AC284" i="23"/>
  <c r="AC187" i="23"/>
  <c r="AC278" i="23"/>
  <c r="AC224" i="23"/>
  <c r="AC229" i="23"/>
  <c r="AC166" i="23"/>
  <c r="AC211" i="23"/>
  <c r="AC218" i="23"/>
  <c r="AC212" i="23"/>
  <c r="AC265" i="23"/>
  <c r="AC308" i="23"/>
  <c r="AC361" i="23"/>
  <c r="AC147" i="23"/>
  <c r="AC149" i="23"/>
  <c r="AC355" i="23"/>
  <c r="AC338" i="23"/>
  <c r="AC256" i="23"/>
  <c r="AC199" i="23"/>
  <c r="AC204" i="23"/>
  <c r="AC214" i="23"/>
  <c r="AC222" i="23"/>
  <c r="AC269" i="23"/>
  <c r="AC236" i="23"/>
  <c r="AC281" i="23"/>
  <c r="AC189" i="23"/>
  <c r="AC282" i="23"/>
  <c r="AC153" i="23"/>
  <c r="AC342" i="23"/>
  <c r="AC171" i="23"/>
  <c r="AC192" i="23"/>
  <c r="AC264" i="23"/>
  <c r="AC351" i="23"/>
  <c r="AC262" i="23"/>
  <c r="AC299" i="23"/>
  <c r="AC195" i="23"/>
  <c r="AC330" i="23"/>
  <c r="AC207" i="23"/>
  <c r="AC136" i="23"/>
  <c r="AC344" i="23"/>
  <c r="AC266" i="23"/>
  <c r="AC155" i="23"/>
  <c r="AC138" i="23"/>
  <c r="AC287" i="23"/>
  <c r="AC302" i="23"/>
  <c r="AC357" i="23"/>
  <c r="AC159" i="23"/>
  <c r="AC139" i="23"/>
  <c r="AC174" i="23"/>
  <c r="AC254" i="23"/>
  <c r="AC251" i="23"/>
  <c r="AC316" i="23"/>
  <c r="AC245" i="23"/>
  <c r="AC271" i="23"/>
  <c r="AC181" i="23"/>
  <c r="AC333" i="23"/>
  <c r="AC340" i="23"/>
  <c r="AC178" i="23"/>
  <c r="AC341" i="23"/>
  <c r="AC326" i="23"/>
  <c r="AC309" i="23"/>
  <c r="AC185" i="23"/>
  <c r="AC259" i="23"/>
  <c r="AC273" i="23"/>
  <c r="AS13" i="7"/>
  <c r="AY10" i="7" s="1"/>
  <c r="O355" i="23"/>
  <c r="O151" i="23"/>
  <c r="O167" i="23"/>
  <c r="O160" i="23"/>
  <c r="O216" i="23"/>
  <c r="O212" i="23"/>
  <c r="O243" i="23"/>
  <c r="O277" i="23"/>
  <c r="O206" i="23"/>
  <c r="O369" i="23"/>
  <c r="O136" i="23"/>
  <c r="O300" i="23"/>
  <c r="O267" i="23"/>
  <c r="O258" i="23"/>
  <c r="O359" i="23"/>
  <c r="O140" i="23"/>
  <c r="O315" i="23"/>
  <c r="O195" i="23"/>
  <c r="O294" i="23"/>
  <c r="O166" i="23"/>
  <c r="O255" i="23"/>
  <c r="O352" i="23"/>
  <c r="O200" i="23"/>
  <c r="O229" i="23"/>
  <c r="O356" i="23"/>
  <c r="O189" i="23"/>
  <c r="O224" i="23"/>
  <c r="O376" i="23"/>
  <c r="O261" i="23"/>
  <c r="O291" i="23"/>
  <c r="O173" i="23"/>
  <c r="O226" i="23"/>
  <c r="O271" i="23"/>
  <c r="O278" i="23"/>
  <c r="O249" i="23"/>
  <c r="O311" i="23"/>
  <c r="O365" i="23"/>
  <c r="O219" i="23"/>
  <c r="O322" i="23"/>
  <c r="O280" i="23"/>
  <c r="O282" i="23"/>
  <c r="O366" i="23"/>
  <c r="O135" i="23"/>
  <c r="O256" i="23"/>
  <c r="O251" i="23"/>
  <c r="O284" i="23"/>
  <c r="O68" i="23"/>
  <c r="O246" i="23"/>
  <c r="O152" i="23"/>
  <c r="O344" i="23"/>
  <c r="O326" i="23"/>
  <c r="O209" i="23"/>
  <c r="O196" i="23"/>
  <c r="O312" i="23"/>
  <c r="O260" i="23"/>
  <c r="O327" i="23"/>
  <c r="O242" i="23"/>
  <c r="O119" i="23"/>
  <c r="AG47" i="7" s="1"/>
  <c r="O257" i="23"/>
  <c r="O168" i="23"/>
  <c r="O57" i="23"/>
  <c r="O372" i="23"/>
  <c r="O51" i="23"/>
  <c r="O253" i="23"/>
  <c r="O319" i="23"/>
  <c r="O330" i="23"/>
  <c r="O367" i="23"/>
  <c r="O304" i="23"/>
  <c r="O146" i="23"/>
  <c r="O182" i="23"/>
  <c r="O230" i="23"/>
  <c r="O185" i="23"/>
  <c r="O174" i="23"/>
  <c r="O293" i="23"/>
  <c r="O373" i="23"/>
  <c r="O302" i="23"/>
  <c r="AG53" i="7" s="1"/>
  <c r="O339" i="23"/>
  <c r="O171" i="23"/>
  <c r="O237" i="23"/>
  <c r="O286" i="23"/>
  <c r="O247" i="23"/>
  <c r="O338" i="23"/>
  <c r="O148" i="23"/>
  <c r="O314" i="23"/>
  <c r="O287" i="23"/>
  <c r="O270" i="23"/>
  <c r="O378" i="23"/>
  <c r="O343" i="23"/>
  <c r="O145" i="23"/>
  <c r="O371" i="23"/>
  <c r="O214" i="23"/>
  <c r="O241" i="23"/>
  <c r="AG51" i="7" s="1"/>
  <c r="O317" i="23"/>
  <c r="O139" i="23"/>
  <c r="O199" i="23"/>
  <c r="O361" i="23"/>
  <c r="O215" i="23"/>
  <c r="O138" i="23"/>
  <c r="O264" i="23"/>
  <c r="O306" i="23"/>
  <c r="O368" i="23"/>
  <c r="O153" i="23"/>
  <c r="O283" i="23"/>
  <c r="O179" i="23"/>
  <c r="O157" i="23"/>
  <c r="O290" i="23"/>
  <c r="O188" i="23"/>
  <c r="O354" i="23"/>
  <c r="O350" i="23"/>
  <c r="O73" i="23"/>
  <c r="O364" i="23"/>
  <c r="O158" i="23"/>
  <c r="O203" i="23"/>
  <c r="O345" i="23"/>
  <c r="O176" i="23"/>
  <c r="O162" i="23"/>
  <c r="O193" i="23"/>
  <c r="O83" i="23"/>
  <c r="O231" i="23"/>
  <c r="O340" i="23"/>
  <c r="O325" i="23"/>
  <c r="O285" i="23"/>
  <c r="O288" i="23"/>
  <c r="O375" i="23"/>
  <c r="O192" i="23"/>
  <c r="O341" i="23"/>
  <c r="O218" i="23"/>
  <c r="O91" i="23"/>
  <c r="O45" i="23"/>
  <c r="O303" i="23"/>
  <c r="O47" i="23"/>
  <c r="O298" i="23"/>
  <c r="O186" i="23"/>
  <c r="O252" i="23"/>
  <c r="O349" i="23"/>
  <c r="O141" i="23"/>
  <c r="O233" i="23"/>
  <c r="O144" i="23"/>
  <c r="O183" i="23"/>
  <c r="O362" i="23"/>
  <c r="O245" i="23"/>
  <c r="O269" i="23"/>
  <c r="O164" i="23"/>
  <c r="O236" i="23"/>
  <c r="O279" i="23"/>
  <c r="O265" i="23"/>
  <c r="O321" i="23"/>
  <c r="O296" i="23"/>
  <c r="O307" i="23"/>
  <c r="O281" i="23"/>
  <c r="O65" i="23"/>
  <c r="O297" i="23"/>
  <c r="O232" i="23"/>
  <c r="O353" i="23"/>
  <c r="O165" i="23"/>
  <c r="O198" i="23"/>
  <c r="O235" i="23"/>
  <c r="O222" i="23"/>
  <c r="O295" i="23"/>
  <c r="O149" i="23"/>
  <c r="AG48" i="7" s="1"/>
  <c r="O363" i="23"/>
  <c r="AG55" i="7" s="1"/>
  <c r="O337" i="23"/>
  <c r="O178" i="23"/>
  <c r="O213" i="23"/>
  <c r="O305" i="23"/>
  <c r="O334" i="23"/>
  <c r="O147" i="23"/>
  <c r="O266" i="23"/>
  <c r="O250" i="23"/>
  <c r="O313" i="23"/>
  <c r="O318" i="23"/>
  <c r="O155" i="23"/>
  <c r="O374" i="23"/>
  <c r="O254" i="23"/>
  <c r="O190" i="23"/>
  <c r="O210" i="23"/>
  <c r="AG50" i="7" s="1"/>
  <c r="O333" i="23"/>
  <c r="AG54" i="7" s="1"/>
  <c r="O262" i="23"/>
  <c r="O172" i="23"/>
  <c r="O137" i="23"/>
  <c r="O272" i="23"/>
  <c r="AG52" i="7" s="1"/>
  <c r="O15" i="23"/>
  <c r="O276" i="23"/>
  <c r="O228" i="23"/>
  <c r="O161" i="23"/>
  <c r="O377" i="23"/>
  <c r="O379" i="23"/>
  <c r="C42" i="19" s="1"/>
  <c r="O170" i="23"/>
  <c r="O30" i="23"/>
  <c r="O263" i="23"/>
  <c r="O244" i="23"/>
  <c r="O275" i="23"/>
  <c r="O292" i="23"/>
  <c r="O181" i="23"/>
  <c r="O259" i="23"/>
  <c r="O211" i="23"/>
  <c r="O143" i="23"/>
  <c r="O55" i="23"/>
  <c r="O360" i="23"/>
  <c r="O175" i="23"/>
  <c r="O156" i="23"/>
  <c r="O201" i="23"/>
  <c r="O342" i="23"/>
  <c r="O268" i="23"/>
  <c r="O328" i="23"/>
  <c r="O187" i="23"/>
  <c r="O225" i="23"/>
  <c r="O301" i="23"/>
  <c r="O357" i="23"/>
  <c r="O309" i="23"/>
  <c r="O234" i="23"/>
  <c r="O320" i="23"/>
  <c r="O227" i="23"/>
  <c r="O163" i="23"/>
  <c r="O221" i="23"/>
  <c r="O169" i="23"/>
  <c r="O299" i="23"/>
  <c r="O202" i="23"/>
  <c r="O348" i="23"/>
  <c r="O289" i="23"/>
  <c r="O331" i="23"/>
  <c r="O310" i="23"/>
  <c r="O154" i="23"/>
  <c r="O205" i="23"/>
  <c r="O240" i="23"/>
  <c r="O194" i="23"/>
  <c r="O180" i="23"/>
  <c r="AG49" i="7" s="1"/>
  <c r="O336" i="23"/>
  <c r="O208" i="23"/>
  <c r="O220" i="23"/>
  <c r="O217" i="23"/>
  <c r="O323" i="23"/>
  <c r="O103" i="23"/>
  <c r="O324" i="23"/>
  <c r="O248" i="23"/>
  <c r="O351" i="23"/>
  <c r="O239" i="23"/>
  <c r="O273" i="23"/>
  <c r="O347" i="23"/>
  <c r="O332" i="23"/>
  <c r="O370" i="23"/>
  <c r="O316" i="23"/>
  <c r="O177" i="23"/>
  <c r="O346" i="23"/>
  <c r="O184" i="23"/>
  <c r="O150" i="23"/>
  <c r="O204" i="23"/>
  <c r="O329" i="23"/>
  <c r="O207" i="23"/>
  <c r="O223" i="23"/>
  <c r="O134" i="23"/>
  <c r="O197" i="23"/>
  <c r="O238" i="23"/>
  <c r="O335" i="23"/>
  <c r="O191" i="23"/>
  <c r="O274" i="23"/>
  <c r="O159" i="23"/>
  <c r="O142" i="23"/>
  <c r="O358" i="23"/>
  <c r="O308" i="23"/>
  <c r="O90" i="23"/>
  <c r="O80" i="23"/>
  <c r="O19" i="23"/>
  <c r="O49" i="23"/>
  <c r="O92" i="23"/>
  <c r="O61" i="23"/>
  <c r="O52" i="23"/>
  <c r="O25" i="23"/>
  <c r="O118" i="23"/>
  <c r="O120" i="23"/>
  <c r="O53" i="23"/>
  <c r="O79" i="23"/>
  <c r="O88" i="23"/>
  <c r="AG46" i="7" s="1"/>
  <c r="O17" i="23"/>
  <c r="O56" i="23"/>
  <c r="O116" i="23"/>
  <c r="O124" i="23"/>
  <c r="O121" i="23"/>
  <c r="O32" i="23"/>
  <c r="O108" i="23"/>
  <c r="O59" i="23"/>
  <c r="O64" i="23"/>
  <c r="O60" i="23"/>
  <c r="AG45" i="7" s="1"/>
  <c r="O81" i="23"/>
  <c r="O133" i="23"/>
  <c r="O67" i="23"/>
  <c r="O114" i="23"/>
  <c r="O76" i="23"/>
  <c r="O126" i="23"/>
  <c r="O104" i="23"/>
  <c r="O70" i="23"/>
  <c r="O24" i="23"/>
  <c r="O75" i="23"/>
  <c r="O106" i="23"/>
  <c r="O43" i="23"/>
  <c r="O105" i="23"/>
  <c r="O112" i="23"/>
  <c r="O131" i="23"/>
  <c r="O111" i="23"/>
  <c r="O58" i="23"/>
  <c r="O113" i="23"/>
  <c r="O82" i="23"/>
  <c r="O38" i="23"/>
  <c r="O29" i="23"/>
  <c r="AG44" i="7" s="1"/>
  <c r="O36" i="23"/>
  <c r="O94" i="23"/>
  <c r="O71" i="23"/>
  <c r="O97" i="23"/>
  <c r="O109" i="23"/>
  <c r="O129" i="23"/>
  <c r="O93" i="23"/>
  <c r="O95" i="23"/>
  <c r="O35" i="23"/>
  <c r="O40" i="23"/>
  <c r="O115" i="23"/>
  <c r="O66" i="23"/>
  <c r="O54" i="23"/>
  <c r="O102" i="23"/>
  <c r="O27" i="23"/>
  <c r="O130" i="23"/>
  <c r="O98" i="23"/>
  <c r="O48" i="23"/>
  <c r="O87" i="23"/>
  <c r="O34" i="23"/>
  <c r="O39" i="23"/>
  <c r="O125" i="23"/>
  <c r="O101" i="23"/>
  <c r="O33" i="23"/>
  <c r="O26" i="23"/>
  <c r="O122" i="23"/>
  <c r="O72" i="23"/>
  <c r="O46" i="23"/>
  <c r="O132" i="23"/>
  <c r="O37" i="23"/>
  <c r="O100" i="23"/>
  <c r="O44" i="23"/>
  <c r="O128" i="23"/>
  <c r="O85" i="23"/>
  <c r="O78" i="23"/>
  <c r="O42" i="23"/>
  <c r="O96" i="23"/>
  <c r="O63" i="23"/>
  <c r="O21" i="23"/>
  <c r="O110" i="23"/>
  <c r="O77" i="23"/>
  <c r="O86" i="23"/>
  <c r="O50" i="23"/>
  <c r="O23" i="23"/>
  <c r="O28" i="23"/>
  <c r="O74" i="23"/>
  <c r="O69" i="23"/>
  <c r="O31" i="23"/>
  <c r="O16" i="23"/>
  <c r="O20" i="23"/>
  <c r="O123" i="23"/>
  <c r="O22" i="23"/>
  <c r="O107" i="23"/>
  <c r="O99" i="23"/>
  <c r="O18" i="23"/>
  <c r="O127" i="23"/>
  <c r="O41" i="23"/>
  <c r="O62" i="23"/>
  <c r="O117" i="23"/>
  <c r="O84" i="23"/>
  <c r="O89" i="23"/>
  <c r="AC125" i="24"/>
  <c r="AC90" i="24"/>
  <c r="AC58" i="24"/>
  <c r="AC52" i="24"/>
  <c r="AC65" i="24"/>
  <c r="AC120" i="24"/>
  <c r="AC44" i="24"/>
  <c r="AC127" i="24"/>
  <c r="AC68" i="24"/>
  <c r="AC108" i="24"/>
  <c r="AC88" i="24"/>
  <c r="AC93" i="24"/>
  <c r="AC99" i="24"/>
  <c r="AC104" i="24"/>
  <c r="AC132" i="24"/>
  <c r="AC118" i="24"/>
  <c r="AC21" i="24"/>
  <c r="AC25" i="24"/>
  <c r="AC100" i="24"/>
  <c r="AC24" i="24"/>
  <c r="AC119" i="24"/>
  <c r="AC98" i="24"/>
  <c r="AC75" i="24"/>
  <c r="AC23" i="24"/>
  <c r="AC82" i="24"/>
  <c r="AC46" i="24"/>
  <c r="AC92" i="24"/>
  <c r="AC17" i="24"/>
  <c r="AC37" i="24"/>
  <c r="AC94" i="24"/>
  <c r="AC61" i="24"/>
  <c r="AC133" i="24"/>
  <c r="AC110" i="24"/>
  <c r="AC124" i="24"/>
  <c r="AC38" i="24"/>
  <c r="AC115" i="24"/>
  <c r="AC22" i="24"/>
  <c r="AC73" i="24"/>
  <c r="AC71" i="24"/>
  <c r="AC29" i="24"/>
  <c r="AC80" i="24"/>
  <c r="AC55" i="24"/>
  <c r="AC102" i="24"/>
  <c r="AC95" i="24"/>
  <c r="AC79" i="24"/>
  <c r="AC116" i="24"/>
  <c r="AC54" i="24"/>
  <c r="AC36" i="24"/>
  <c r="AC26" i="24"/>
  <c r="AC87" i="24"/>
  <c r="AC57" i="24"/>
  <c r="AC121" i="24"/>
  <c r="AC18" i="24"/>
  <c r="AC123" i="24"/>
  <c r="AC60" i="24"/>
  <c r="AC89" i="24"/>
  <c r="AC83" i="24"/>
  <c r="AC74" i="24"/>
  <c r="AC103" i="24"/>
  <c r="AC40" i="24"/>
  <c r="AC66" i="24"/>
  <c r="AC130" i="24"/>
  <c r="AC19" i="24"/>
  <c r="AC64" i="24"/>
  <c r="AC49" i="24"/>
  <c r="AC67" i="24"/>
  <c r="AC32" i="24"/>
  <c r="AC107" i="24"/>
  <c r="AC76" i="24"/>
  <c r="AC129" i="24"/>
  <c r="AC47" i="24"/>
  <c r="AC35" i="24"/>
  <c r="AC117" i="24"/>
  <c r="AC42" i="24"/>
  <c r="AC131" i="24"/>
  <c r="AC72" i="24"/>
  <c r="AC50" i="24"/>
  <c r="AC122" i="24"/>
  <c r="AC109" i="24"/>
  <c r="AC33" i="24"/>
  <c r="AC41" i="24"/>
  <c r="AC56" i="24"/>
  <c r="AC111" i="24"/>
  <c r="AC20" i="24"/>
  <c r="AC78" i="24"/>
  <c r="AC77" i="24"/>
  <c r="AC114" i="24"/>
  <c r="AC69" i="24"/>
  <c r="AC113" i="24"/>
  <c r="AC112" i="24"/>
  <c r="AC45" i="24"/>
  <c r="AC126" i="24"/>
  <c r="AC106" i="24"/>
  <c r="AC70" i="24"/>
  <c r="AC48" i="24"/>
  <c r="AC53" i="24"/>
  <c r="AC63" i="24"/>
  <c r="AC39" i="24"/>
  <c r="AC15" i="24"/>
  <c r="AC27" i="24"/>
  <c r="AC85" i="24"/>
  <c r="AC128" i="24"/>
  <c r="AC34" i="24"/>
  <c r="AC31" i="24"/>
  <c r="AC97" i="24"/>
  <c r="AC62" i="24"/>
  <c r="AC28" i="24"/>
  <c r="AC59" i="24"/>
  <c r="AC105" i="24"/>
  <c r="AC81" i="24"/>
  <c r="AC101" i="24"/>
  <c r="AC86" i="24"/>
  <c r="AC51" i="24"/>
  <c r="AC16" i="24"/>
  <c r="AC84" i="24"/>
  <c r="AC43" i="24"/>
  <c r="AC91" i="24"/>
  <c r="AC96" i="24"/>
  <c r="AC30" i="24"/>
  <c r="H35" i="19"/>
  <c r="I35" i="19"/>
  <c r="AG331" i="18"/>
  <c r="AF331" i="18" s="1"/>
  <c r="AD331" i="18" s="1"/>
  <c r="AE171" i="20"/>
  <c r="AE249" i="20"/>
  <c r="AE164" i="20"/>
  <c r="AE131" i="20"/>
  <c r="AE374" i="20"/>
  <c r="AE325" i="20"/>
  <c r="AE152" i="20"/>
  <c r="AE183" i="20"/>
  <c r="AE263" i="20"/>
  <c r="AE242" i="20"/>
  <c r="AE306" i="20"/>
  <c r="AE321" i="20"/>
  <c r="AE311" i="20"/>
  <c r="AE109" i="20"/>
  <c r="AE129" i="20"/>
  <c r="AE357" i="20"/>
  <c r="AE270" i="20"/>
  <c r="AE113" i="20"/>
  <c r="AE189" i="20"/>
  <c r="AE150" i="20"/>
  <c r="AE361" i="20"/>
  <c r="AE244" i="20"/>
  <c r="AE322" i="20"/>
  <c r="AE293" i="20"/>
  <c r="AE300" i="20"/>
  <c r="AE114" i="20"/>
  <c r="AE208" i="20"/>
  <c r="AE349" i="20"/>
  <c r="AE157" i="20"/>
  <c r="AE343" i="20"/>
  <c r="AE181" i="20"/>
  <c r="AE266" i="20"/>
  <c r="AE286" i="20"/>
  <c r="AE271" i="20"/>
  <c r="AG259" i="18"/>
  <c r="AF259" i="18" s="1"/>
  <c r="AD259" i="18" s="1"/>
  <c r="AA259" i="18" s="1"/>
  <c r="Z259" i="18" s="1"/>
  <c r="Y259" i="18" s="1"/>
  <c r="AG271" i="18"/>
  <c r="AF271" i="18" s="1"/>
  <c r="AD271" i="18" s="1"/>
  <c r="AG137" i="18"/>
  <c r="AF137" i="18" s="1"/>
  <c r="AD137" i="18" s="1"/>
  <c r="AA137" i="18" s="1"/>
  <c r="Z137" i="18" s="1"/>
  <c r="Y137" i="18" s="1"/>
  <c r="AG245" i="18"/>
  <c r="AF245" i="18" s="1"/>
  <c r="AD245" i="18" s="1"/>
  <c r="AG330" i="18"/>
  <c r="AF330" i="18" s="1"/>
  <c r="AD330" i="18" s="1"/>
  <c r="AG250" i="18"/>
  <c r="AF250" i="18" s="1"/>
  <c r="AD250" i="18" s="1"/>
  <c r="AG152" i="18"/>
  <c r="AF152" i="18" s="1"/>
  <c r="AD152" i="18" s="1"/>
  <c r="AA152" i="18" s="1"/>
  <c r="Z152" i="18" s="1"/>
  <c r="Y152" i="18" s="1"/>
  <c r="AG345" i="18"/>
  <c r="AF345" i="18" s="1"/>
  <c r="AD345" i="18" s="1"/>
  <c r="AA345" i="18" s="1"/>
  <c r="Z345" i="18" s="1"/>
  <c r="Y345" i="18" s="1"/>
  <c r="AG210" i="18"/>
  <c r="AF210" i="18" s="1"/>
  <c r="AD210" i="18" s="1"/>
  <c r="AG181" i="18"/>
  <c r="AF181" i="18" s="1"/>
  <c r="AD181" i="18" s="1"/>
  <c r="AG209" i="18"/>
  <c r="AF209" i="18" s="1"/>
  <c r="AD209" i="18" s="1"/>
  <c r="AA209" i="18" s="1"/>
  <c r="Z209" i="18" s="1"/>
  <c r="Y209" i="18" s="1"/>
  <c r="AG155" i="18"/>
  <c r="AF155" i="18" s="1"/>
  <c r="AD155" i="18" s="1"/>
  <c r="AA155" i="18" s="1"/>
  <c r="Z155" i="18" s="1"/>
  <c r="Y155" i="18" s="1"/>
  <c r="AG340" i="18"/>
  <c r="AF340" i="18" s="1"/>
  <c r="AD340" i="18" s="1"/>
  <c r="AG146" i="18"/>
  <c r="AF146" i="18" s="1"/>
  <c r="AD146" i="18" s="1"/>
  <c r="AA146" i="18" s="1"/>
  <c r="Z146" i="18" s="1"/>
  <c r="Y146" i="18" s="1"/>
  <c r="AG329" i="18"/>
  <c r="AF329" i="18" s="1"/>
  <c r="AD329" i="18" s="1"/>
  <c r="AA329" i="18" s="1"/>
  <c r="Z329" i="18" s="1"/>
  <c r="Y329" i="18" s="1"/>
  <c r="AG135" i="18"/>
  <c r="AF135" i="18" s="1"/>
  <c r="AD135" i="18" s="1"/>
  <c r="AA135" i="18" s="1"/>
  <c r="Z135" i="18" s="1"/>
  <c r="Y135" i="18" s="1"/>
  <c r="AG312" i="18"/>
  <c r="AF312" i="18" s="1"/>
  <c r="AD312" i="18" s="1"/>
  <c r="AG217" i="18"/>
  <c r="AF217" i="18" s="1"/>
  <c r="AD217" i="18" s="1"/>
  <c r="AG138" i="18"/>
  <c r="AF138" i="18" s="1"/>
  <c r="AD138" i="18" s="1"/>
  <c r="AA138" i="18" s="1"/>
  <c r="Z138" i="18" s="1"/>
  <c r="Y138" i="18" s="1"/>
  <c r="AG287" i="18"/>
  <c r="AF287" i="18" s="1"/>
  <c r="AD287" i="18" s="1"/>
  <c r="AG107" i="18"/>
  <c r="AF107" i="18" s="1"/>
  <c r="AD107" i="18" s="1"/>
  <c r="AA107" i="18" s="1"/>
  <c r="Z107" i="18" s="1"/>
  <c r="Y107" i="18" s="1"/>
  <c r="AG195" i="18"/>
  <c r="AF195" i="18" s="1"/>
  <c r="AD195" i="18" s="1"/>
  <c r="AA195" i="18" s="1"/>
  <c r="Z195" i="18" s="1"/>
  <c r="Y195" i="18" s="1"/>
  <c r="AG291" i="18"/>
  <c r="AF291" i="18" s="1"/>
  <c r="AD291" i="18" s="1"/>
  <c r="AG360" i="18"/>
  <c r="AF360" i="18" s="1"/>
  <c r="AD360" i="18" s="1"/>
  <c r="AG150" i="18"/>
  <c r="AF150" i="18" s="1"/>
  <c r="AD150" i="18" s="1"/>
  <c r="AG156" i="18"/>
  <c r="AF156" i="18" s="1"/>
  <c r="AD156" i="18" s="1"/>
  <c r="AA156" i="18" s="1"/>
  <c r="Z156" i="18" s="1"/>
  <c r="Y156" i="18" s="1"/>
  <c r="AG306" i="18"/>
  <c r="AF306" i="18" s="1"/>
  <c r="AD306" i="18" s="1"/>
  <c r="AG110" i="18"/>
  <c r="AF110" i="18" s="1"/>
  <c r="AD110" i="18" s="1"/>
  <c r="AA110" i="18" s="1"/>
  <c r="Z110" i="18" s="1"/>
  <c r="Y110" i="18" s="1"/>
  <c r="AG239" i="18"/>
  <c r="AF239" i="18" s="1"/>
  <c r="AD239" i="18" s="1"/>
  <c r="AA239" i="18" s="1"/>
  <c r="Z239" i="18" s="1"/>
  <c r="Y239" i="18" s="1"/>
  <c r="AG251" i="18"/>
  <c r="AF251" i="18" s="1"/>
  <c r="AD251" i="18" s="1"/>
  <c r="AI381" i="18"/>
  <c r="AI382" i="18"/>
  <c r="AI383" i="18"/>
  <c r="AG237" i="18"/>
  <c r="AF237" i="18" s="1"/>
  <c r="AD237" i="18" s="1"/>
  <c r="AG167" i="18"/>
  <c r="AF167" i="18" s="1"/>
  <c r="AD167" i="18" s="1"/>
  <c r="AA167" i="18" s="1"/>
  <c r="Z167" i="18" s="1"/>
  <c r="Y167" i="18" s="1"/>
  <c r="AG194" i="18"/>
  <c r="AF194" i="18" s="1"/>
  <c r="AD194" i="18" s="1"/>
  <c r="AA194" i="18" s="1"/>
  <c r="Z194" i="18" s="1"/>
  <c r="Y194" i="18" s="1"/>
  <c r="AG332" i="18"/>
  <c r="AF332" i="18" s="1"/>
  <c r="AD332" i="18" s="1"/>
  <c r="AG368" i="18"/>
  <c r="AF368" i="18" s="1"/>
  <c r="AD368" i="18" s="1"/>
  <c r="AA368" i="18" s="1"/>
  <c r="Z368" i="18" s="1"/>
  <c r="Y368" i="18" s="1"/>
  <c r="AG319" i="18"/>
  <c r="AF319" i="18" s="1"/>
  <c r="AD319" i="18" s="1"/>
  <c r="AG307" i="18"/>
  <c r="AF307" i="18" s="1"/>
  <c r="AD307" i="18" s="1"/>
  <c r="AG180" i="18"/>
  <c r="AF180" i="18" s="1"/>
  <c r="AD180" i="18" s="1"/>
  <c r="V379" i="18"/>
  <c r="D379" i="18" s="1"/>
  <c r="E379" i="18" s="1"/>
  <c r="F379" i="18" s="1"/>
  <c r="D39" i="19"/>
  <c r="AH381" i="18"/>
  <c r="I81" i="17"/>
  <c r="AH383" i="18"/>
  <c r="Q383" i="20"/>
  <c r="Q381" i="20"/>
  <c r="I241" i="17"/>
  <c r="J241" i="17"/>
  <c r="H98" i="18"/>
  <c r="H122" i="18"/>
  <c r="G238" i="18"/>
  <c r="CA238" i="6" s="1"/>
  <c r="G65" i="19"/>
  <c r="U10" i="20"/>
  <c r="U301" i="20" s="1"/>
  <c r="T301" i="20" s="1"/>
  <c r="S301" i="20" s="1"/>
  <c r="R301" i="20" s="1"/>
  <c r="P301" i="20" s="1"/>
  <c r="V301" i="20" s="1"/>
  <c r="B301" i="20" s="1"/>
  <c r="H65" i="19"/>
  <c r="E65" i="19"/>
  <c r="I210" i="17"/>
  <c r="J210" i="17"/>
  <c r="G382" i="15"/>
  <c r="G383" i="15"/>
  <c r="G12" i="15" s="1"/>
  <c r="G381" i="15"/>
  <c r="AB9" i="15"/>
  <c r="F11" i="15"/>
  <c r="G12" i="19"/>
  <c r="J174" i="17"/>
  <c r="I174" i="17"/>
  <c r="AF382" i="17"/>
  <c r="AD15" i="17"/>
  <c r="AF383" i="17"/>
  <c r="AF381" i="17"/>
  <c r="I380" i="20"/>
  <c r="J380" i="20"/>
  <c r="AA15" i="16"/>
  <c r="AM10" i="16"/>
  <c r="AK10" i="16"/>
  <c r="AK12" i="16" s="1"/>
  <c r="AK13" i="16" s="1"/>
  <c r="F382" i="16"/>
  <c r="G15" i="16"/>
  <c r="BY15" i="6" s="1"/>
  <c r="F9" i="16"/>
  <c r="F383" i="16"/>
  <c r="F381" i="16"/>
  <c r="V383" i="16"/>
  <c r="V382" i="16"/>
  <c r="B63" i="19"/>
  <c r="N63" i="19" s="1"/>
  <c r="V381" i="16"/>
  <c r="Q382" i="20"/>
  <c r="AA275" i="18"/>
  <c r="Z275" i="18" s="1"/>
  <c r="Y275" i="18" s="1"/>
  <c r="W29" i="18"/>
  <c r="D29" i="18"/>
  <c r="E29" i="18" s="1"/>
  <c r="F29" i="18" s="1"/>
  <c r="J272" i="17"/>
  <c r="I272" i="17"/>
  <c r="AA134" i="18"/>
  <c r="Z134" i="18" s="1"/>
  <c r="Y134" i="18" s="1"/>
  <c r="G134" i="18"/>
  <c r="CA134" i="6" s="1"/>
  <c r="H134" i="18"/>
  <c r="G222" i="18"/>
  <c r="CA222" i="6" s="1"/>
  <c r="G220" i="18"/>
  <c r="CA220" i="6" s="1"/>
  <c r="H220" i="18"/>
  <c r="AA220" i="18"/>
  <c r="Z220" i="18" s="1"/>
  <c r="Y220" i="18" s="1"/>
  <c r="H171" i="18"/>
  <c r="AA111" i="18"/>
  <c r="Z111" i="18" s="1"/>
  <c r="Y111" i="18" s="1"/>
  <c r="G111" i="18"/>
  <c r="CA111" i="6" s="1"/>
  <c r="AA103" i="18"/>
  <c r="Z103" i="18" s="1"/>
  <c r="Y103" i="18" s="1"/>
  <c r="H103" i="18"/>
  <c r="G103" i="18"/>
  <c r="CA103" i="6" s="1"/>
  <c r="G109" i="18"/>
  <c r="CA109" i="6" s="1"/>
  <c r="H109" i="18"/>
  <c r="G97" i="18"/>
  <c r="CA97" i="6" s="1"/>
  <c r="H239" i="18"/>
  <c r="G239" i="18"/>
  <c r="CA239" i="6" s="1"/>
  <c r="AA28" i="18"/>
  <c r="Z28" i="18" s="1"/>
  <c r="Y28" i="18" s="1"/>
  <c r="G28" i="18"/>
  <c r="CA28" i="6" s="1"/>
  <c r="H28" i="18"/>
  <c r="AA128" i="18"/>
  <c r="Z128" i="18" s="1"/>
  <c r="Y128" i="18" s="1"/>
  <c r="G128" i="18"/>
  <c r="CA128" i="6" s="1"/>
  <c r="H128" i="18"/>
  <c r="G192" i="18"/>
  <c r="CA192" i="6" s="1"/>
  <c r="H192" i="18"/>
  <c r="AA192" i="18"/>
  <c r="Z192" i="18" s="1"/>
  <c r="Y192" i="18" s="1"/>
  <c r="G158" i="18"/>
  <c r="CA158" i="6" s="1"/>
  <c r="AA158" i="18"/>
  <c r="Z158" i="18" s="1"/>
  <c r="Y158" i="18" s="1"/>
  <c r="H158" i="18"/>
  <c r="G213" i="18"/>
  <c r="CA213" i="6" s="1"/>
  <c r="H213" i="18"/>
  <c r="G152" i="18"/>
  <c r="CA152" i="6" s="1"/>
  <c r="H152" i="18"/>
  <c r="AA290" i="18"/>
  <c r="Z290" i="18" s="1"/>
  <c r="Y290" i="18" s="1"/>
  <c r="H290" i="18"/>
  <c r="G290" i="18"/>
  <c r="CA290" i="6" s="1"/>
  <c r="AA286" i="18"/>
  <c r="Z286" i="18" s="1"/>
  <c r="Y286" i="18" s="1"/>
  <c r="H286" i="18"/>
  <c r="G286" i="18"/>
  <c r="CA286" i="6" s="1"/>
  <c r="AG16" i="7"/>
  <c r="U90" i="20"/>
  <c r="T90" i="20" s="1"/>
  <c r="S90" i="20" s="1"/>
  <c r="R90" i="20" s="1"/>
  <c r="P90" i="20" s="1"/>
  <c r="V90" i="20" s="1"/>
  <c r="B90" i="20" s="1"/>
  <c r="U88" i="20"/>
  <c r="T88" i="20" s="1"/>
  <c r="S88" i="20" s="1"/>
  <c r="R88" i="20" s="1"/>
  <c r="P88" i="20" s="1"/>
  <c r="H99" i="18"/>
  <c r="G99" i="18"/>
  <c r="CA99" i="6" s="1"/>
  <c r="AA99" i="18"/>
  <c r="Z99" i="18" s="1"/>
  <c r="Y99" i="18" s="1"/>
  <c r="J15" i="15"/>
  <c r="I15" i="15"/>
  <c r="H15" i="16" s="1"/>
  <c r="AL10" i="15"/>
  <c r="Z15" i="15"/>
  <c r="AL9" i="15"/>
  <c r="AA382" i="15"/>
  <c r="AA383" i="15"/>
  <c r="AA381" i="15"/>
  <c r="AA9" i="15"/>
  <c r="AM8" i="15"/>
  <c r="R383" i="17"/>
  <c r="R382" i="17"/>
  <c r="R381" i="17"/>
  <c r="P15" i="17"/>
  <c r="D65" i="19"/>
  <c r="H303" i="18"/>
  <c r="H208" i="18"/>
  <c r="F65" i="19"/>
  <c r="T381" i="18"/>
  <c r="T382" i="18"/>
  <c r="T383" i="18"/>
  <c r="S15" i="18"/>
  <c r="J65" i="19"/>
  <c r="I65" i="19"/>
  <c r="I149" i="17"/>
  <c r="J149" i="17"/>
  <c r="J111" i="17"/>
  <c r="I111" i="17"/>
  <c r="H111" i="18" s="1"/>
  <c r="AF104" i="18"/>
  <c r="AL7" i="16"/>
  <c r="I349" i="18"/>
  <c r="B349" i="6" s="1"/>
  <c r="BA349" i="6" s="1"/>
  <c r="D349" i="6" s="1"/>
  <c r="J349" i="18"/>
  <c r="C349" i="6" s="1"/>
  <c r="I74" i="18"/>
  <c r="J74" i="18"/>
  <c r="C74" i="6" s="1"/>
  <c r="U377" i="20" l="1"/>
  <c r="T377" i="20" s="1"/>
  <c r="S377" i="20" s="1"/>
  <c r="R377" i="20" s="1"/>
  <c r="P377" i="20" s="1"/>
  <c r="V377" i="20" s="1"/>
  <c r="B377" i="20" s="1"/>
  <c r="AA191" i="18"/>
  <c r="Z191" i="18" s="1"/>
  <c r="Y191" i="18" s="1"/>
  <c r="G53" i="18"/>
  <c r="CA53" i="6" s="1"/>
  <c r="H137" i="18"/>
  <c r="I137" i="18" s="1"/>
  <c r="B137" i="6" s="1"/>
  <c r="BA137" i="6" s="1"/>
  <c r="D137" i="6" s="1"/>
  <c r="U99" i="20"/>
  <c r="T99" i="20" s="1"/>
  <c r="S99" i="20" s="1"/>
  <c r="R99" i="20" s="1"/>
  <c r="P99" i="20" s="1"/>
  <c r="V99" i="20" s="1"/>
  <c r="B99" i="20" s="1"/>
  <c r="U27" i="20"/>
  <c r="T27" i="20" s="1"/>
  <c r="S27" i="20" s="1"/>
  <c r="R27" i="20" s="1"/>
  <c r="P27" i="20" s="1"/>
  <c r="V27" i="20" s="1"/>
  <c r="B27" i="20" s="1"/>
  <c r="D27" i="20" s="1"/>
  <c r="E27" i="20" s="1"/>
  <c r="F27" i="20" s="1"/>
  <c r="H266" i="18"/>
  <c r="U87" i="20"/>
  <c r="T87" i="20" s="1"/>
  <c r="S87" i="20" s="1"/>
  <c r="R87" i="20" s="1"/>
  <c r="P87" i="20" s="1"/>
  <c r="V87" i="20" s="1"/>
  <c r="B87" i="20" s="1"/>
  <c r="D87" i="20" s="1"/>
  <c r="E87" i="20" s="1"/>
  <c r="F87" i="20" s="1"/>
  <c r="U203" i="20"/>
  <c r="T203" i="20" s="1"/>
  <c r="S203" i="20" s="1"/>
  <c r="R203" i="20" s="1"/>
  <c r="P203" i="20" s="1"/>
  <c r="V203" i="20" s="1"/>
  <c r="B203" i="20" s="1"/>
  <c r="W203" i="20" s="1"/>
  <c r="U44" i="20"/>
  <c r="T44" i="20" s="1"/>
  <c r="S44" i="20" s="1"/>
  <c r="R44" i="20" s="1"/>
  <c r="P44" i="20" s="1"/>
  <c r="V44" i="20" s="1"/>
  <c r="B44" i="20" s="1"/>
  <c r="W44" i="20" s="1"/>
  <c r="U193" i="20"/>
  <c r="T193" i="20" s="1"/>
  <c r="S193" i="20" s="1"/>
  <c r="R193" i="20" s="1"/>
  <c r="P193" i="20" s="1"/>
  <c r="V193" i="20" s="1"/>
  <c r="B193" i="20" s="1"/>
  <c r="D193" i="20" s="1"/>
  <c r="E193" i="20" s="1"/>
  <c r="F193" i="20" s="1"/>
  <c r="U114" i="20"/>
  <c r="T114" i="20" s="1"/>
  <c r="S114" i="20" s="1"/>
  <c r="R114" i="20" s="1"/>
  <c r="P114" i="20" s="1"/>
  <c r="V114" i="20" s="1"/>
  <c r="B114" i="20" s="1"/>
  <c r="D114" i="20" s="1"/>
  <c r="E114" i="20" s="1"/>
  <c r="F114" i="20" s="1"/>
  <c r="U307" i="20"/>
  <c r="T307" i="20" s="1"/>
  <c r="S307" i="20" s="1"/>
  <c r="R307" i="20" s="1"/>
  <c r="P307" i="20" s="1"/>
  <c r="V307" i="20" s="1"/>
  <c r="B307" i="20" s="1"/>
  <c r="D307" i="20" s="1"/>
  <c r="E307" i="20" s="1"/>
  <c r="F307" i="20" s="1"/>
  <c r="H67" i="18"/>
  <c r="J67" i="18" s="1"/>
  <c r="C67" i="6" s="1"/>
  <c r="AA249" i="18"/>
  <c r="Z249" i="18" s="1"/>
  <c r="Y249" i="18" s="1"/>
  <c r="AA228" i="18"/>
  <c r="Z228" i="18" s="1"/>
  <c r="Y228" i="18" s="1"/>
  <c r="AA52" i="18"/>
  <c r="Z52" i="18" s="1"/>
  <c r="Y52" i="18" s="1"/>
  <c r="U167" i="20"/>
  <c r="T167" i="20" s="1"/>
  <c r="S167" i="20" s="1"/>
  <c r="R167" i="20" s="1"/>
  <c r="P167" i="20" s="1"/>
  <c r="V167" i="20" s="1"/>
  <c r="B167" i="20" s="1"/>
  <c r="D167" i="20" s="1"/>
  <c r="E167" i="20" s="1"/>
  <c r="F167" i="20" s="1"/>
  <c r="U130" i="20"/>
  <c r="T130" i="20" s="1"/>
  <c r="S130" i="20" s="1"/>
  <c r="R130" i="20" s="1"/>
  <c r="P130" i="20" s="1"/>
  <c r="V130" i="20" s="1"/>
  <c r="B130" i="20" s="1"/>
  <c r="W130" i="20" s="1"/>
  <c r="U173" i="20"/>
  <c r="T173" i="20" s="1"/>
  <c r="S173" i="20" s="1"/>
  <c r="R173" i="20" s="1"/>
  <c r="P173" i="20" s="1"/>
  <c r="V173" i="20" s="1"/>
  <c r="B173" i="20" s="1"/>
  <c r="W173" i="20" s="1"/>
  <c r="U31" i="20"/>
  <c r="T31" i="20" s="1"/>
  <c r="S31" i="20" s="1"/>
  <c r="R31" i="20" s="1"/>
  <c r="P31" i="20" s="1"/>
  <c r="V31" i="20" s="1"/>
  <c r="B31" i="20" s="1"/>
  <c r="W31" i="20" s="1"/>
  <c r="U364" i="20"/>
  <c r="T364" i="20" s="1"/>
  <c r="S364" i="20" s="1"/>
  <c r="R364" i="20" s="1"/>
  <c r="P364" i="20" s="1"/>
  <c r="V364" i="20" s="1"/>
  <c r="B364" i="20" s="1"/>
  <c r="W364" i="20" s="1"/>
  <c r="U369" i="20"/>
  <c r="T369" i="20" s="1"/>
  <c r="S369" i="20" s="1"/>
  <c r="R369" i="20" s="1"/>
  <c r="P369" i="20" s="1"/>
  <c r="V369" i="20" s="1"/>
  <c r="B369" i="20" s="1"/>
  <c r="W369" i="20" s="1"/>
  <c r="U207" i="20"/>
  <c r="T207" i="20" s="1"/>
  <c r="S207" i="20" s="1"/>
  <c r="R207" i="20" s="1"/>
  <c r="P207" i="20" s="1"/>
  <c r="V207" i="20" s="1"/>
  <c r="B207" i="20" s="1"/>
  <c r="D207" i="20" s="1"/>
  <c r="E207" i="20" s="1"/>
  <c r="F207" i="20" s="1"/>
  <c r="U204" i="20"/>
  <c r="T204" i="20" s="1"/>
  <c r="S204" i="20" s="1"/>
  <c r="R204" i="20" s="1"/>
  <c r="P204" i="20" s="1"/>
  <c r="V204" i="20" s="1"/>
  <c r="B204" i="20" s="1"/>
  <c r="W204" i="20" s="1"/>
  <c r="U318" i="20"/>
  <c r="T318" i="20" s="1"/>
  <c r="S318" i="20" s="1"/>
  <c r="R318" i="20" s="1"/>
  <c r="P318" i="20" s="1"/>
  <c r="V318" i="20" s="1"/>
  <c r="B318" i="20" s="1"/>
  <c r="W318" i="20" s="1"/>
  <c r="U40" i="20"/>
  <c r="T40" i="20" s="1"/>
  <c r="S40" i="20" s="1"/>
  <c r="R40" i="20" s="1"/>
  <c r="P40" i="20" s="1"/>
  <c r="V40" i="20" s="1"/>
  <c r="B40" i="20" s="1"/>
  <c r="W40" i="20" s="1"/>
  <c r="U58" i="20"/>
  <c r="T58" i="20" s="1"/>
  <c r="S58" i="20" s="1"/>
  <c r="R58" i="20" s="1"/>
  <c r="P58" i="20" s="1"/>
  <c r="V58" i="20" s="1"/>
  <c r="B58" i="20" s="1"/>
  <c r="W58" i="20" s="1"/>
  <c r="U103" i="20"/>
  <c r="T103" i="20" s="1"/>
  <c r="S103" i="20" s="1"/>
  <c r="R103" i="20" s="1"/>
  <c r="P103" i="20" s="1"/>
  <c r="V103" i="20" s="1"/>
  <c r="B103" i="20" s="1"/>
  <c r="W103" i="20" s="1"/>
  <c r="G67" i="18"/>
  <c r="CA67" i="6" s="1"/>
  <c r="AA136" i="18"/>
  <c r="Z136" i="18" s="1"/>
  <c r="Y136" i="18" s="1"/>
  <c r="H130" i="18"/>
  <c r="I130" i="18" s="1"/>
  <c r="B130" i="6" s="1"/>
  <c r="BA130" i="6" s="1"/>
  <c r="D130" i="6" s="1"/>
  <c r="AA84" i="18"/>
  <c r="Z84" i="18" s="1"/>
  <c r="Y84" i="18" s="1"/>
  <c r="G300" i="18"/>
  <c r="CA300" i="6" s="1"/>
  <c r="H193" i="18"/>
  <c r="I193" i="18" s="1"/>
  <c r="B193" i="6" s="1"/>
  <c r="BA193" i="6" s="1"/>
  <c r="D193" i="6" s="1"/>
  <c r="H97" i="18"/>
  <c r="I97" i="18" s="1"/>
  <c r="B97" i="6" s="1"/>
  <c r="BA97" i="6" s="1"/>
  <c r="D97" i="6" s="1"/>
  <c r="G171" i="18"/>
  <c r="CA171" i="6" s="1"/>
  <c r="U259" i="20"/>
  <c r="T259" i="20" s="1"/>
  <c r="S259" i="20" s="1"/>
  <c r="R259" i="20" s="1"/>
  <c r="P259" i="20" s="1"/>
  <c r="V259" i="20" s="1"/>
  <c r="B259" i="20" s="1"/>
  <c r="W259" i="20" s="1"/>
  <c r="U156" i="20"/>
  <c r="T156" i="20" s="1"/>
  <c r="S156" i="20" s="1"/>
  <c r="R156" i="20" s="1"/>
  <c r="P156" i="20" s="1"/>
  <c r="V156" i="20" s="1"/>
  <c r="B156" i="20" s="1"/>
  <c r="W156" i="20" s="1"/>
  <c r="U333" i="20"/>
  <c r="T333" i="20" s="1"/>
  <c r="S333" i="20" s="1"/>
  <c r="R333" i="20" s="1"/>
  <c r="P333" i="20" s="1"/>
  <c r="AH30" i="7" s="1"/>
  <c r="U264" i="20"/>
  <c r="T264" i="20" s="1"/>
  <c r="S264" i="20" s="1"/>
  <c r="R264" i="20" s="1"/>
  <c r="P264" i="20" s="1"/>
  <c r="V264" i="20" s="1"/>
  <c r="B264" i="20" s="1"/>
  <c r="D264" i="20" s="1"/>
  <c r="E264" i="20" s="1"/>
  <c r="F264" i="20" s="1"/>
  <c r="U53" i="20"/>
  <c r="T53" i="20" s="1"/>
  <c r="S53" i="20" s="1"/>
  <c r="R53" i="20" s="1"/>
  <c r="P53" i="20" s="1"/>
  <c r="V53" i="20" s="1"/>
  <c r="B53" i="20" s="1"/>
  <c r="W53" i="20" s="1"/>
  <c r="U274" i="20"/>
  <c r="T274" i="20" s="1"/>
  <c r="S274" i="20" s="1"/>
  <c r="R274" i="20" s="1"/>
  <c r="P274" i="20" s="1"/>
  <c r="V274" i="20" s="1"/>
  <c r="B274" i="20" s="1"/>
  <c r="D274" i="20" s="1"/>
  <c r="E274" i="20" s="1"/>
  <c r="F274" i="20" s="1"/>
  <c r="U206" i="20"/>
  <c r="T206" i="20" s="1"/>
  <c r="S206" i="20" s="1"/>
  <c r="R206" i="20" s="1"/>
  <c r="P206" i="20" s="1"/>
  <c r="V206" i="20" s="1"/>
  <c r="B206" i="20" s="1"/>
  <c r="W206" i="20" s="1"/>
  <c r="U62" i="20"/>
  <c r="T62" i="20" s="1"/>
  <c r="S62" i="20" s="1"/>
  <c r="R62" i="20" s="1"/>
  <c r="P62" i="20" s="1"/>
  <c r="V62" i="20" s="1"/>
  <c r="B62" i="20" s="1"/>
  <c r="W62" i="20" s="1"/>
  <c r="U244" i="20"/>
  <c r="T244" i="20" s="1"/>
  <c r="S244" i="20" s="1"/>
  <c r="R244" i="20" s="1"/>
  <c r="P244" i="20" s="1"/>
  <c r="V244" i="20" s="1"/>
  <c r="B244" i="20" s="1"/>
  <c r="D244" i="20" s="1"/>
  <c r="E244" i="20" s="1"/>
  <c r="F244" i="20" s="1"/>
  <c r="U122" i="20"/>
  <c r="T122" i="20" s="1"/>
  <c r="S122" i="20" s="1"/>
  <c r="R122" i="20" s="1"/>
  <c r="P122" i="20" s="1"/>
  <c r="V122" i="20" s="1"/>
  <c r="B122" i="20" s="1"/>
  <c r="W122" i="20" s="1"/>
  <c r="U241" i="20"/>
  <c r="T241" i="20" s="1"/>
  <c r="S241" i="20" s="1"/>
  <c r="R241" i="20" s="1"/>
  <c r="P241" i="20" s="1"/>
  <c r="V241" i="20" s="1"/>
  <c r="U91" i="20"/>
  <c r="T91" i="20" s="1"/>
  <c r="S91" i="20" s="1"/>
  <c r="R91" i="20" s="1"/>
  <c r="P91" i="20" s="1"/>
  <c r="V91" i="20" s="1"/>
  <c r="B91" i="20" s="1"/>
  <c r="D91" i="20" s="1"/>
  <c r="E91" i="20" s="1"/>
  <c r="F91" i="20" s="1"/>
  <c r="U349" i="20"/>
  <c r="T349" i="20" s="1"/>
  <c r="S349" i="20" s="1"/>
  <c r="R349" i="20" s="1"/>
  <c r="P349" i="20" s="1"/>
  <c r="V349" i="20" s="1"/>
  <c r="B349" i="20" s="1"/>
  <c r="D349" i="20" s="1"/>
  <c r="E349" i="20" s="1"/>
  <c r="F349" i="20" s="1"/>
  <c r="H349" i="20" s="1"/>
  <c r="U86" i="20"/>
  <c r="T86" i="20" s="1"/>
  <c r="S86" i="20" s="1"/>
  <c r="R86" i="20" s="1"/>
  <c r="P86" i="20" s="1"/>
  <c r="V86" i="20" s="1"/>
  <c r="B86" i="20" s="1"/>
  <c r="D86" i="20" s="1"/>
  <c r="E86" i="20" s="1"/>
  <c r="F86" i="20" s="1"/>
  <c r="U266" i="20"/>
  <c r="T266" i="20" s="1"/>
  <c r="S266" i="20" s="1"/>
  <c r="R266" i="20" s="1"/>
  <c r="P266" i="20" s="1"/>
  <c r="V266" i="20" s="1"/>
  <c r="B266" i="20" s="1"/>
  <c r="D266" i="20" s="1"/>
  <c r="E266" i="20" s="1"/>
  <c r="F266" i="20" s="1"/>
  <c r="U32" i="20"/>
  <c r="T32" i="20" s="1"/>
  <c r="S32" i="20" s="1"/>
  <c r="R32" i="20" s="1"/>
  <c r="P32" i="20" s="1"/>
  <c r="V32" i="20" s="1"/>
  <c r="B32" i="20" s="1"/>
  <c r="D32" i="20" s="1"/>
  <c r="E32" i="20" s="1"/>
  <c r="F32" i="20" s="1"/>
  <c r="U306" i="20"/>
  <c r="T306" i="20" s="1"/>
  <c r="S306" i="20" s="1"/>
  <c r="R306" i="20" s="1"/>
  <c r="P306" i="20" s="1"/>
  <c r="V306" i="20" s="1"/>
  <c r="B306" i="20" s="1"/>
  <c r="W306" i="20" s="1"/>
  <c r="U166" i="20"/>
  <c r="T166" i="20" s="1"/>
  <c r="S166" i="20" s="1"/>
  <c r="R166" i="20" s="1"/>
  <c r="P166" i="20" s="1"/>
  <c r="V166" i="20" s="1"/>
  <c r="B166" i="20" s="1"/>
  <c r="D166" i="20" s="1"/>
  <c r="E166" i="20" s="1"/>
  <c r="F166" i="20" s="1"/>
  <c r="H166" i="20" s="1"/>
  <c r="I166" i="20" s="1"/>
  <c r="U310" i="20"/>
  <c r="T310" i="20" s="1"/>
  <c r="S310" i="20" s="1"/>
  <c r="R310" i="20" s="1"/>
  <c r="P310" i="20" s="1"/>
  <c r="V310" i="20" s="1"/>
  <c r="B310" i="20" s="1"/>
  <c r="D310" i="20" s="1"/>
  <c r="E310" i="20" s="1"/>
  <c r="F310" i="20" s="1"/>
  <c r="U96" i="20"/>
  <c r="T96" i="20" s="1"/>
  <c r="S96" i="20" s="1"/>
  <c r="R96" i="20" s="1"/>
  <c r="P96" i="20" s="1"/>
  <c r="V96" i="20" s="1"/>
  <c r="B96" i="20" s="1"/>
  <c r="D96" i="20" s="1"/>
  <c r="E96" i="20" s="1"/>
  <c r="F96" i="20" s="1"/>
  <c r="U51" i="20"/>
  <c r="T51" i="20" s="1"/>
  <c r="S51" i="20" s="1"/>
  <c r="R51" i="20" s="1"/>
  <c r="P51" i="20" s="1"/>
  <c r="V51" i="20" s="1"/>
  <c r="B51" i="20" s="1"/>
  <c r="W51" i="20" s="1"/>
  <c r="U71" i="20"/>
  <c r="T71" i="20" s="1"/>
  <c r="S71" i="20" s="1"/>
  <c r="R71" i="20" s="1"/>
  <c r="P71" i="20" s="1"/>
  <c r="V71" i="20" s="1"/>
  <c r="B71" i="20" s="1"/>
  <c r="D71" i="20" s="1"/>
  <c r="E71" i="20" s="1"/>
  <c r="F71" i="20" s="1"/>
  <c r="U375" i="20"/>
  <c r="T375" i="20" s="1"/>
  <c r="S375" i="20" s="1"/>
  <c r="R375" i="20" s="1"/>
  <c r="P375" i="20" s="1"/>
  <c r="V375" i="20" s="1"/>
  <c r="B375" i="20" s="1"/>
  <c r="W375" i="20" s="1"/>
  <c r="AA112" i="18"/>
  <c r="Z112" i="18" s="1"/>
  <c r="Y112" i="18" s="1"/>
  <c r="H247" i="18"/>
  <c r="J247" i="18" s="1"/>
  <c r="C247" i="6" s="1"/>
  <c r="G266" i="18"/>
  <c r="CA266" i="6" s="1"/>
  <c r="H112" i="18"/>
  <c r="J112" i="18" s="1"/>
  <c r="C112" i="6" s="1"/>
  <c r="H136" i="18"/>
  <c r="J136" i="18" s="1"/>
  <c r="C136" i="6" s="1"/>
  <c r="G130" i="18"/>
  <c r="CA130" i="6" s="1"/>
  <c r="G84" i="18"/>
  <c r="CA84" i="6" s="1"/>
  <c r="H300" i="18"/>
  <c r="J300" i="18" s="1"/>
  <c r="C300" i="6" s="1"/>
  <c r="AA193" i="18"/>
  <c r="Z193" i="18" s="1"/>
  <c r="Y193" i="18" s="1"/>
  <c r="H249" i="18"/>
  <c r="J249" i="18" s="1"/>
  <c r="C249" i="6" s="1"/>
  <c r="H228" i="18"/>
  <c r="I228" i="18" s="1"/>
  <c r="B228" i="6" s="1"/>
  <c r="BA228" i="6" s="1"/>
  <c r="D228" i="6" s="1"/>
  <c r="G360" i="18"/>
  <c r="CA360" i="6" s="1"/>
  <c r="AA222" i="18"/>
  <c r="Z222" i="18" s="1"/>
  <c r="Y222" i="18" s="1"/>
  <c r="H292" i="18"/>
  <c r="J292" i="18" s="1"/>
  <c r="C292" i="6" s="1"/>
  <c r="H23" i="18"/>
  <c r="J23" i="18" s="1"/>
  <c r="C23" i="6" s="1"/>
  <c r="G159" i="18"/>
  <c r="CA159" i="6" s="1"/>
  <c r="AA244" i="18"/>
  <c r="Z244" i="18" s="1"/>
  <c r="Y244" i="18" s="1"/>
  <c r="G331" i="18"/>
  <c r="CA331" i="6" s="1"/>
  <c r="H64" i="18"/>
  <c r="J64" i="18" s="1"/>
  <c r="C64" i="6" s="1"/>
  <c r="AA184" i="18"/>
  <c r="Z184" i="18" s="1"/>
  <c r="Y184" i="18" s="1"/>
  <c r="G168" i="18"/>
  <c r="CA168" i="6" s="1"/>
  <c r="AA316" i="18"/>
  <c r="Z316" i="18" s="1"/>
  <c r="Y316" i="18" s="1"/>
  <c r="AA50" i="18"/>
  <c r="Z50" i="18" s="1"/>
  <c r="Y50" i="18" s="1"/>
  <c r="H339" i="18"/>
  <c r="G294" i="18"/>
  <c r="CA294" i="6" s="1"/>
  <c r="H322" i="18"/>
  <c r="I322" i="18" s="1"/>
  <c r="B322" i="6" s="1"/>
  <c r="BA322" i="6" s="1"/>
  <c r="D322" i="6" s="1"/>
  <c r="H248" i="18"/>
  <c r="J248" i="18" s="1"/>
  <c r="C248" i="6" s="1"/>
  <c r="AA253" i="18"/>
  <c r="Z253" i="18" s="1"/>
  <c r="Y253" i="18" s="1"/>
  <c r="AA47" i="18"/>
  <c r="Z47" i="18" s="1"/>
  <c r="Y47" i="18" s="1"/>
  <c r="G289" i="18"/>
  <c r="CA289" i="6" s="1"/>
  <c r="H146" i="18"/>
  <c r="I146" i="18" s="1"/>
  <c r="B146" i="6" s="1"/>
  <c r="BA146" i="6" s="1"/>
  <c r="D146" i="6" s="1"/>
  <c r="H165" i="18"/>
  <c r="I165" i="18" s="1"/>
  <c r="B165" i="6" s="1"/>
  <c r="BA165" i="6" s="1"/>
  <c r="D165" i="6" s="1"/>
  <c r="AA205" i="18"/>
  <c r="Z205" i="18" s="1"/>
  <c r="Y205" i="18" s="1"/>
  <c r="G358" i="18"/>
  <c r="CA358" i="6" s="1"/>
  <c r="G20" i="18"/>
  <c r="CA20" i="6" s="1"/>
  <c r="G202" i="18"/>
  <c r="CA202" i="6" s="1"/>
  <c r="G377" i="18"/>
  <c r="CA377" i="6" s="1"/>
  <c r="G312" i="18"/>
  <c r="CA312" i="6" s="1"/>
  <c r="AA364" i="18"/>
  <c r="Z364" i="18" s="1"/>
  <c r="Y364" i="18" s="1"/>
  <c r="G83" i="18"/>
  <c r="CA83" i="6" s="1"/>
  <c r="H156" i="18"/>
  <c r="J156" i="18" s="1"/>
  <c r="C156" i="6" s="1"/>
  <c r="G157" i="18"/>
  <c r="CA157" i="6" s="1"/>
  <c r="AA154" i="18"/>
  <c r="Z154" i="18" s="1"/>
  <c r="Y154" i="18" s="1"/>
  <c r="G345" i="18"/>
  <c r="CA345" i="6" s="1"/>
  <c r="H196" i="18"/>
  <c r="J196" i="18" s="1"/>
  <c r="C196" i="6" s="1"/>
  <c r="AA235" i="18"/>
  <c r="Z235" i="18" s="1"/>
  <c r="Y235" i="18" s="1"/>
  <c r="H371" i="18"/>
  <c r="I371" i="18" s="1"/>
  <c r="B371" i="6" s="1"/>
  <c r="BA371" i="6" s="1"/>
  <c r="D371" i="6" s="1"/>
  <c r="AA85" i="18"/>
  <c r="Z85" i="18" s="1"/>
  <c r="Y85" i="18" s="1"/>
  <c r="I135" i="18"/>
  <c r="B135" i="6" s="1"/>
  <c r="BA135" i="6" s="1"/>
  <c r="D135" i="6" s="1"/>
  <c r="H178" i="18"/>
  <c r="J178" i="18" s="1"/>
  <c r="C178" i="6" s="1"/>
  <c r="AA233" i="18"/>
  <c r="Z233" i="18" s="1"/>
  <c r="Y233" i="18" s="1"/>
  <c r="H80" i="18"/>
  <c r="J80" i="18" s="1"/>
  <c r="C80" i="6" s="1"/>
  <c r="AA204" i="18"/>
  <c r="Z204" i="18" s="1"/>
  <c r="Y204" i="18" s="1"/>
  <c r="G292" i="18"/>
  <c r="CA292" i="6" s="1"/>
  <c r="G195" i="18"/>
  <c r="CA195" i="6" s="1"/>
  <c r="H206" i="18"/>
  <c r="I206" i="18" s="1"/>
  <c r="B206" i="6" s="1"/>
  <c r="BA206" i="6" s="1"/>
  <c r="D206" i="6" s="1"/>
  <c r="AA45" i="18"/>
  <c r="Z45" i="18" s="1"/>
  <c r="Y45" i="18" s="1"/>
  <c r="H289" i="18"/>
  <c r="J289" i="18" s="1"/>
  <c r="C289" i="6" s="1"/>
  <c r="AA16" i="18"/>
  <c r="Z16" i="18" s="1"/>
  <c r="Y16" i="18" s="1"/>
  <c r="AA83" i="18"/>
  <c r="Z83" i="18" s="1"/>
  <c r="Y83" i="18" s="1"/>
  <c r="G102" i="18"/>
  <c r="CA102" i="6" s="1"/>
  <c r="AA303" i="18"/>
  <c r="Z303" i="18" s="1"/>
  <c r="Y303" i="18" s="1"/>
  <c r="H71" i="18"/>
  <c r="I71" i="18" s="1"/>
  <c r="B71" i="6" s="1"/>
  <c r="BA71" i="6" s="1"/>
  <c r="D71" i="6" s="1"/>
  <c r="H367" i="18"/>
  <c r="J367" i="18" s="1"/>
  <c r="C367" i="6" s="1"/>
  <c r="G376" i="18"/>
  <c r="CA376" i="6" s="1"/>
  <c r="AA283" i="18"/>
  <c r="Z283" i="18" s="1"/>
  <c r="Y283" i="18" s="1"/>
  <c r="H368" i="18"/>
  <c r="I368" i="18" s="1"/>
  <c r="B368" i="6" s="1"/>
  <c r="BA368" i="6" s="1"/>
  <c r="D368" i="6" s="1"/>
  <c r="H233" i="18"/>
  <c r="I233" i="18" s="1"/>
  <c r="B233" i="6" s="1"/>
  <c r="BA233" i="6" s="1"/>
  <c r="D233" i="6" s="1"/>
  <c r="G64" i="18"/>
  <c r="CA64" i="6" s="1"/>
  <c r="H184" i="18"/>
  <c r="I184" i="18" s="1"/>
  <c r="B184" i="6" s="1"/>
  <c r="BA184" i="6" s="1"/>
  <c r="D184" i="6" s="1"/>
  <c r="AA80" i="18"/>
  <c r="Z80" i="18" s="1"/>
  <c r="Y80" i="18" s="1"/>
  <c r="G200" i="18"/>
  <c r="CA200" i="6" s="1"/>
  <c r="H277" i="18"/>
  <c r="J277" i="18" s="1"/>
  <c r="C277" i="6" s="1"/>
  <c r="G364" i="18"/>
  <c r="CA364" i="6" s="1"/>
  <c r="G172" i="18"/>
  <c r="CA172" i="6" s="1"/>
  <c r="H26" i="18"/>
  <c r="J26" i="18" s="1"/>
  <c r="C26" i="6" s="1"/>
  <c r="G194" i="18"/>
  <c r="CA194" i="6" s="1"/>
  <c r="H102" i="18"/>
  <c r="I102" i="18" s="1"/>
  <c r="B102" i="6" s="1"/>
  <c r="BA102" i="6" s="1"/>
  <c r="D102" i="6" s="1"/>
  <c r="G154" i="18"/>
  <c r="CA154" i="6" s="1"/>
  <c r="H229" i="18"/>
  <c r="J229" i="18" s="1"/>
  <c r="C229" i="6" s="1"/>
  <c r="G165" i="18"/>
  <c r="CA165" i="6" s="1"/>
  <c r="H358" i="18"/>
  <c r="I358" i="18" s="1"/>
  <c r="B358" i="6" s="1"/>
  <c r="BA358" i="6" s="1"/>
  <c r="D358" i="6" s="1"/>
  <c r="AA284" i="18"/>
  <c r="Z284" i="18" s="1"/>
  <c r="Y284" i="18" s="1"/>
  <c r="AA196" i="18"/>
  <c r="Z196" i="18" s="1"/>
  <c r="Y196" i="18" s="1"/>
  <c r="G235" i="18"/>
  <c r="CA235" i="6" s="1"/>
  <c r="G371" i="18"/>
  <c r="CA371" i="6" s="1"/>
  <c r="H20" i="18"/>
  <c r="J20" i="18" s="1"/>
  <c r="C20" i="6" s="1"/>
  <c r="H85" i="18"/>
  <c r="I85" i="18" s="1"/>
  <c r="B85" i="6" s="1"/>
  <c r="BA85" i="6" s="1"/>
  <c r="D85" i="6" s="1"/>
  <c r="AA70" i="18"/>
  <c r="Z70" i="18" s="1"/>
  <c r="Y70" i="18" s="1"/>
  <c r="G122" i="18"/>
  <c r="CA122" i="6" s="1"/>
  <c r="AA312" i="18"/>
  <c r="Z312" i="18" s="1"/>
  <c r="Y312" i="18" s="1"/>
  <c r="AA202" i="18"/>
  <c r="Z202" i="18" s="1"/>
  <c r="Y202" i="18" s="1"/>
  <c r="I258" i="18"/>
  <c r="B258" i="6" s="1"/>
  <c r="BA258" i="6" s="1"/>
  <c r="D258" i="6" s="1"/>
  <c r="H211" i="18"/>
  <c r="I211" i="18" s="1"/>
  <c r="B211" i="6" s="1"/>
  <c r="BA211" i="6" s="1"/>
  <c r="AA168" i="18"/>
  <c r="Z168" i="18" s="1"/>
  <c r="Y168" i="18" s="1"/>
  <c r="H73" i="18"/>
  <c r="I73" i="18" s="1"/>
  <c r="B73" i="6" s="1"/>
  <c r="BA73" i="6" s="1"/>
  <c r="D73" i="6" s="1"/>
  <c r="G118" i="18"/>
  <c r="CA118" i="6" s="1"/>
  <c r="G50" i="18"/>
  <c r="CA50" i="6" s="1"/>
  <c r="H365" i="18"/>
  <c r="I365" i="18" s="1"/>
  <c r="B365" i="6" s="1"/>
  <c r="BA365" i="6" s="1"/>
  <c r="D365" i="6" s="1"/>
  <c r="G56" i="18"/>
  <c r="CA56" i="6" s="1"/>
  <c r="G120" i="18"/>
  <c r="CA120" i="6" s="1"/>
  <c r="AA159" i="18"/>
  <c r="Z159" i="18" s="1"/>
  <c r="Y159" i="18" s="1"/>
  <c r="H203" i="18"/>
  <c r="J203" i="18" s="1"/>
  <c r="C203" i="6" s="1"/>
  <c r="G242" i="18"/>
  <c r="CA242" i="6" s="1"/>
  <c r="H246" i="18"/>
  <c r="J246" i="18" s="1"/>
  <c r="C246" i="6" s="1"/>
  <c r="G244" i="18"/>
  <c r="CA244" i="6" s="1"/>
  <c r="G107" i="18"/>
  <c r="CA107" i="6" s="1"/>
  <c r="G248" i="18"/>
  <c r="CA248" i="6" s="1"/>
  <c r="AA142" i="18"/>
  <c r="Z142" i="18" s="1"/>
  <c r="Y142" i="18" s="1"/>
  <c r="G295" i="18"/>
  <c r="CA295" i="6" s="1"/>
  <c r="J166" i="18"/>
  <c r="C166" i="6" s="1"/>
  <c r="AA211" i="18"/>
  <c r="Z211" i="18" s="1"/>
  <c r="Y211" i="18" s="1"/>
  <c r="AA263" i="18"/>
  <c r="Z263" i="18" s="1"/>
  <c r="Y263" i="18" s="1"/>
  <c r="G179" i="18"/>
  <c r="CA179" i="6" s="1"/>
  <c r="AA218" i="18"/>
  <c r="Z218" i="18" s="1"/>
  <c r="Y218" i="18" s="1"/>
  <c r="AA23" i="18"/>
  <c r="Z23" i="18" s="1"/>
  <c r="Y23" i="18" s="1"/>
  <c r="G73" i="18"/>
  <c r="CA73" i="6" s="1"/>
  <c r="H118" i="18"/>
  <c r="I118" i="18" s="1"/>
  <c r="B118" i="6" s="1"/>
  <c r="BA118" i="6" s="1"/>
  <c r="D118" i="6" s="1"/>
  <c r="G52" i="18"/>
  <c r="CA52" i="6" s="1"/>
  <c r="G247" i="18"/>
  <c r="CA247" i="6" s="1"/>
  <c r="AA339" i="18"/>
  <c r="Z339" i="18" s="1"/>
  <c r="Y339" i="18" s="1"/>
  <c r="G365" i="18"/>
  <c r="CA365" i="6" s="1"/>
  <c r="H296" i="18"/>
  <c r="J296" i="18" s="1"/>
  <c r="C296" i="6" s="1"/>
  <c r="H21" i="18"/>
  <c r="J21" i="18" s="1"/>
  <c r="C21" i="6" s="1"/>
  <c r="H56" i="18"/>
  <c r="I56" i="18" s="1"/>
  <c r="B56" i="6" s="1"/>
  <c r="BA56" i="6" s="1"/>
  <c r="D56" i="6" s="1"/>
  <c r="G231" i="18"/>
  <c r="CA231" i="6" s="1"/>
  <c r="H259" i="18"/>
  <c r="I259" i="18" s="1"/>
  <c r="B259" i="6" s="1"/>
  <c r="BA259" i="6" s="1"/>
  <c r="D259" i="6" s="1"/>
  <c r="G92" i="18"/>
  <c r="CA92" i="6" s="1"/>
  <c r="H294" i="18"/>
  <c r="J294" i="18" s="1"/>
  <c r="C294" i="6" s="1"/>
  <c r="AA53" i="18"/>
  <c r="Z53" i="18" s="1"/>
  <c r="Y53" i="18" s="1"/>
  <c r="AA65" i="18"/>
  <c r="Z65" i="18" s="1"/>
  <c r="Y65" i="18" s="1"/>
  <c r="AA322" i="18"/>
  <c r="Z322" i="18" s="1"/>
  <c r="Y322" i="18" s="1"/>
  <c r="H242" i="18"/>
  <c r="J242" i="18" s="1"/>
  <c r="C242" i="6" s="1"/>
  <c r="G246" i="18"/>
  <c r="CA246" i="6" s="1"/>
  <c r="G42" i="18"/>
  <c r="CA42" i="6" s="1"/>
  <c r="G46" i="18"/>
  <c r="CA46" i="6" s="1"/>
  <c r="H142" i="18"/>
  <c r="I142" i="18" s="1"/>
  <c r="B142" i="6" s="1"/>
  <c r="BA142" i="6" s="1"/>
  <c r="D142" i="6" s="1"/>
  <c r="G370" i="18"/>
  <c r="CA370" i="6" s="1"/>
  <c r="AA82" i="18"/>
  <c r="Z82" i="18" s="1"/>
  <c r="Y82" i="18" s="1"/>
  <c r="G49" i="18"/>
  <c r="CA49" i="6" s="1"/>
  <c r="G47" i="18"/>
  <c r="CA47" i="6" s="1"/>
  <c r="G275" i="18"/>
  <c r="CA275" i="6" s="1"/>
  <c r="AA90" i="18"/>
  <c r="Z90" i="18" s="1"/>
  <c r="Y90" i="18" s="1"/>
  <c r="H238" i="18"/>
  <c r="J238" i="18" s="1"/>
  <c r="C238" i="6" s="1"/>
  <c r="AA279" i="18"/>
  <c r="Z279" i="18" s="1"/>
  <c r="Y279" i="18" s="1"/>
  <c r="AA68" i="18"/>
  <c r="Z68" i="18" s="1"/>
  <c r="Y68" i="18" s="1"/>
  <c r="H176" i="18"/>
  <c r="I176" i="18" s="1"/>
  <c r="B176" i="6" s="1"/>
  <c r="BA176" i="6" s="1"/>
  <c r="D176" i="6" s="1"/>
  <c r="AA98" i="18"/>
  <c r="Z98" i="18" s="1"/>
  <c r="Y98" i="18" s="1"/>
  <c r="I227" i="18"/>
  <c r="B227" i="6" s="1"/>
  <c r="BA227" i="6" s="1"/>
  <c r="D227" i="6" s="1"/>
  <c r="AA331" i="18"/>
  <c r="Z331" i="18" s="1"/>
  <c r="Y331" i="18" s="1"/>
  <c r="AA367" i="18"/>
  <c r="Z367" i="18" s="1"/>
  <c r="Y367" i="18" s="1"/>
  <c r="G263" i="18"/>
  <c r="CA263" i="6" s="1"/>
  <c r="AA179" i="18"/>
  <c r="Z179" i="18" s="1"/>
  <c r="Y179" i="18" s="1"/>
  <c r="H218" i="18"/>
  <c r="J218" i="18" s="1"/>
  <c r="C218" i="6" s="1"/>
  <c r="G316" i="18"/>
  <c r="CA316" i="6" s="1"/>
  <c r="AA296" i="18"/>
  <c r="Z296" i="18" s="1"/>
  <c r="Y296" i="18" s="1"/>
  <c r="G21" i="18"/>
  <c r="CA21" i="6" s="1"/>
  <c r="AA120" i="18"/>
  <c r="Z120" i="18" s="1"/>
  <c r="Y120" i="18" s="1"/>
  <c r="G35" i="18"/>
  <c r="CA35" i="6" s="1"/>
  <c r="G65" i="18"/>
  <c r="CA65" i="6" s="1"/>
  <c r="H42" i="18"/>
  <c r="I42" i="18" s="1"/>
  <c r="B42" i="6" s="1"/>
  <c r="BA42" i="6" s="1"/>
  <c r="D42" i="6" s="1"/>
  <c r="AA46" i="18"/>
  <c r="Z46" i="18" s="1"/>
  <c r="Y46" i="18" s="1"/>
  <c r="G253" i="18"/>
  <c r="CA253" i="6" s="1"/>
  <c r="H370" i="18"/>
  <c r="J370" i="18" s="1"/>
  <c r="C370" i="6" s="1"/>
  <c r="H82" i="18"/>
  <c r="J82" i="18" s="1"/>
  <c r="C82" i="6" s="1"/>
  <c r="H49" i="18"/>
  <c r="J49" i="18" s="1"/>
  <c r="C49" i="6" s="1"/>
  <c r="G90" i="18"/>
  <c r="CA90" i="6" s="1"/>
  <c r="H279" i="18"/>
  <c r="I279" i="18" s="1"/>
  <c r="B279" i="6" s="1"/>
  <c r="BA279" i="6" s="1"/>
  <c r="D279" i="6" s="1"/>
  <c r="G68" i="18"/>
  <c r="CA68" i="6" s="1"/>
  <c r="G176" i="18"/>
  <c r="CA176" i="6" s="1"/>
  <c r="G258" i="18"/>
  <c r="CA258" i="6" s="1"/>
  <c r="AA360" i="18"/>
  <c r="Z360" i="18" s="1"/>
  <c r="Y360" i="18" s="1"/>
  <c r="AA295" i="18"/>
  <c r="Z295" i="18" s="1"/>
  <c r="Y295" i="18" s="1"/>
  <c r="H200" i="18"/>
  <c r="I200" i="18" s="1"/>
  <c r="B200" i="6" s="1"/>
  <c r="BA200" i="6" s="1"/>
  <c r="D200" i="6" s="1"/>
  <c r="H204" i="18"/>
  <c r="J204" i="18" s="1"/>
  <c r="C204" i="6" s="1"/>
  <c r="AA277" i="18"/>
  <c r="Z277" i="18" s="1"/>
  <c r="Y277" i="18" s="1"/>
  <c r="G89" i="18"/>
  <c r="CA89" i="6" s="1"/>
  <c r="G257" i="18"/>
  <c r="CA257" i="6" s="1"/>
  <c r="G206" i="18"/>
  <c r="CA206" i="6" s="1"/>
  <c r="H342" i="18"/>
  <c r="J342" i="18" s="1"/>
  <c r="C342" i="6" s="1"/>
  <c r="G45" i="18"/>
  <c r="CA45" i="6" s="1"/>
  <c r="H172" i="18"/>
  <c r="I172" i="18" s="1"/>
  <c r="B172" i="6" s="1"/>
  <c r="BA172" i="6" s="1"/>
  <c r="D172" i="6" s="1"/>
  <c r="AA26" i="18"/>
  <c r="Z26" i="18" s="1"/>
  <c r="Y26" i="18" s="1"/>
  <c r="H269" i="18"/>
  <c r="I269" i="18" s="1"/>
  <c r="B269" i="6" s="1"/>
  <c r="BA269" i="6" s="1"/>
  <c r="D269" i="6" s="1"/>
  <c r="H16" i="18"/>
  <c r="J16" i="18" s="1"/>
  <c r="C16" i="6" s="1"/>
  <c r="H100" i="18"/>
  <c r="I100" i="18" s="1"/>
  <c r="B100" i="6" s="1"/>
  <c r="BA100" i="6" s="1"/>
  <c r="D100" i="6" s="1"/>
  <c r="AA208" i="18"/>
  <c r="Z208" i="18" s="1"/>
  <c r="Y208" i="18" s="1"/>
  <c r="AA71" i="18"/>
  <c r="Z71" i="18" s="1"/>
  <c r="Y71" i="18" s="1"/>
  <c r="H205" i="18"/>
  <c r="J205" i="18" s="1"/>
  <c r="C205" i="6" s="1"/>
  <c r="AA265" i="18"/>
  <c r="Z265" i="18" s="1"/>
  <c r="Y265" i="18" s="1"/>
  <c r="G284" i="18"/>
  <c r="CA284" i="6" s="1"/>
  <c r="G226" i="18"/>
  <c r="CA226" i="6" s="1"/>
  <c r="H283" i="18"/>
  <c r="J283" i="18" s="1"/>
  <c r="C283" i="6" s="1"/>
  <c r="H70" i="18"/>
  <c r="J70" i="18" s="1"/>
  <c r="C70" i="6" s="1"/>
  <c r="AA178" i="18"/>
  <c r="Z178" i="18" s="1"/>
  <c r="Y178" i="18" s="1"/>
  <c r="AA376" i="18"/>
  <c r="Z376" i="18" s="1"/>
  <c r="Y376" i="18" s="1"/>
  <c r="AA352" i="18"/>
  <c r="Z352" i="18" s="1"/>
  <c r="Y352" i="18" s="1"/>
  <c r="H352" i="18"/>
  <c r="J352" i="18" s="1"/>
  <c r="C352" i="6" s="1"/>
  <c r="AA89" i="18"/>
  <c r="Z89" i="18" s="1"/>
  <c r="Y89" i="18" s="1"/>
  <c r="H257" i="18"/>
  <c r="J257" i="18" s="1"/>
  <c r="C257" i="6" s="1"/>
  <c r="G269" i="18"/>
  <c r="CA269" i="6" s="1"/>
  <c r="AA100" i="18"/>
  <c r="Z100" i="18" s="1"/>
  <c r="Y100" i="18" s="1"/>
  <c r="AA229" i="18"/>
  <c r="Z229" i="18" s="1"/>
  <c r="Y229" i="18" s="1"/>
  <c r="AL10" i="17"/>
  <c r="H92" i="18"/>
  <c r="I92" i="18" s="1"/>
  <c r="B92" i="6" s="1"/>
  <c r="BA92" i="6" s="1"/>
  <c r="D92" i="6" s="1"/>
  <c r="AA35" i="18"/>
  <c r="Z35" i="18" s="1"/>
  <c r="Y35" i="18" s="1"/>
  <c r="AA223" i="18"/>
  <c r="Z223" i="18" s="1"/>
  <c r="Y223" i="18" s="1"/>
  <c r="AA243" i="18"/>
  <c r="Z243" i="18" s="1"/>
  <c r="Y243" i="18" s="1"/>
  <c r="H54" i="18"/>
  <c r="I54" i="18" s="1"/>
  <c r="B54" i="6" s="1"/>
  <c r="BA54" i="6" s="1"/>
  <c r="D54" i="6" s="1"/>
  <c r="H260" i="18"/>
  <c r="J260" i="18" s="1"/>
  <c r="C260" i="6" s="1"/>
  <c r="H173" i="18"/>
  <c r="J173" i="18" s="1"/>
  <c r="C173" i="6" s="1"/>
  <c r="AA341" i="18"/>
  <c r="Z341" i="18" s="1"/>
  <c r="Y341" i="18" s="1"/>
  <c r="G155" i="18"/>
  <c r="CA155" i="6" s="1"/>
  <c r="G114" i="18"/>
  <c r="CA114" i="6" s="1"/>
  <c r="AA366" i="18"/>
  <c r="Z366" i="18" s="1"/>
  <c r="Y366" i="18" s="1"/>
  <c r="AL8" i="17"/>
  <c r="AL12" i="17" s="1"/>
  <c r="AJ4" i="17" s="1"/>
  <c r="P14" i="19" s="1"/>
  <c r="AA212" i="18"/>
  <c r="Z212" i="18" s="1"/>
  <c r="Y212" i="18" s="1"/>
  <c r="G291" i="18"/>
  <c r="CA291" i="6" s="1"/>
  <c r="G214" i="18"/>
  <c r="CA214" i="6" s="1"/>
  <c r="H116" i="18"/>
  <c r="I116" i="18" s="1"/>
  <c r="B116" i="6" s="1"/>
  <c r="BA116" i="6" s="1"/>
  <c r="D116" i="6" s="1"/>
  <c r="AA377" i="18"/>
  <c r="Z377" i="18" s="1"/>
  <c r="Y377" i="18" s="1"/>
  <c r="H346" i="18"/>
  <c r="J346" i="18" s="1"/>
  <c r="C346" i="6" s="1"/>
  <c r="AA315" i="18"/>
  <c r="Z315" i="18" s="1"/>
  <c r="Y315" i="18" s="1"/>
  <c r="AA114" i="18"/>
  <c r="Z114" i="18" s="1"/>
  <c r="Y114" i="18" s="1"/>
  <c r="G366" i="18"/>
  <c r="CA366" i="6" s="1"/>
  <c r="G24" i="18"/>
  <c r="CA24" i="6" s="1"/>
  <c r="G354" i="18"/>
  <c r="CA354" i="6" s="1"/>
  <c r="AA214" i="18"/>
  <c r="Z214" i="18" s="1"/>
  <c r="Y214" i="18" s="1"/>
  <c r="AA116" i="18"/>
  <c r="Z116" i="18" s="1"/>
  <c r="Y116" i="18" s="1"/>
  <c r="AA256" i="18"/>
  <c r="Z256" i="18" s="1"/>
  <c r="Y256" i="18" s="1"/>
  <c r="G287" i="18"/>
  <c r="CA287" i="6" s="1"/>
  <c r="G124" i="18"/>
  <c r="CA124" i="6" s="1"/>
  <c r="G81" i="18"/>
  <c r="CA81" i="6" s="1"/>
  <c r="AA43" i="18"/>
  <c r="Z43" i="18" s="1"/>
  <c r="Y43" i="18" s="1"/>
  <c r="G139" i="18"/>
  <c r="CA139" i="6" s="1"/>
  <c r="H267" i="18"/>
  <c r="I267" i="18" s="1"/>
  <c r="B267" i="6" s="1"/>
  <c r="BA267" i="6" s="1"/>
  <c r="D267" i="6" s="1"/>
  <c r="G191" i="18"/>
  <c r="CA191" i="6" s="1"/>
  <c r="AA93" i="18"/>
  <c r="Z93" i="18" s="1"/>
  <c r="Y93" i="18" s="1"/>
  <c r="AA24" i="18"/>
  <c r="Z24" i="18" s="1"/>
  <c r="Y24" i="18" s="1"/>
  <c r="H265" i="18"/>
  <c r="I265" i="18" s="1"/>
  <c r="B265" i="6" s="1"/>
  <c r="BA265" i="6" s="1"/>
  <c r="D265" i="6" s="1"/>
  <c r="H270" i="18"/>
  <c r="I270" i="18" s="1"/>
  <c r="B270" i="6" s="1"/>
  <c r="BA270" i="6" s="1"/>
  <c r="D270" i="6" s="1"/>
  <c r="AA291" i="18"/>
  <c r="Z291" i="18" s="1"/>
  <c r="Y291" i="18" s="1"/>
  <c r="AA148" i="18"/>
  <c r="Z148" i="18" s="1"/>
  <c r="Y148" i="18" s="1"/>
  <c r="H357" i="18"/>
  <c r="J357" i="18" s="1"/>
  <c r="C357" i="6" s="1"/>
  <c r="G132" i="18"/>
  <c r="CA132" i="6" s="1"/>
  <c r="H141" i="18"/>
  <c r="I141" i="18" s="1"/>
  <c r="B141" i="6" s="1"/>
  <c r="BA141" i="6" s="1"/>
  <c r="D141" i="6" s="1"/>
  <c r="G237" i="18"/>
  <c r="CA237" i="6" s="1"/>
  <c r="H338" i="18"/>
  <c r="I338" i="18" s="1"/>
  <c r="B338" i="6" s="1"/>
  <c r="BA338" i="6" s="1"/>
  <c r="D338" i="6" s="1"/>
  <c r="G251" i="18"/>
  <c r="CA251" i="6" s="1"/>
  <c r="AA255" i="18"/>
  <c r="Z255" i="18" s="1"/>
  <c r="Y255" i="18" s="1"/>
  <c r="AA66" i="18"/>
  <c r="Z66" i="18" s="1"/>
  <c r="Y66" i="18" s="1"/>
  <c r="H76" i="18"/>
  <c r="J76" i="18" s="1"/>
  <c r="C76" i="6" s="1"/>
  <c r="G162" i="18"/>
  <c r="CA162" i="6" s="1"/>
  <c r="G344" i="18"/>
  <c r="CA344" i="6" s="1"/>
  <c r="H87" i="18"/>
  <c r="I87" i="18" s="1"/>
  <c r="B87" i="6" s="1"/>
  <c r="BA87" i="6" s="1"/>
  <c r="D87" i="6" s="1"/>
  <c r="H151" i="18"/>
  <c r="J151" i="18" s="1"/>
  <c r="C151" i="6" s="1"/>
  <c r="AA129" i="18"/>
  <c r="Z129" i="18" s="1"/>
  <c r="Y129" i="18" s="1"/>
  <c r="AA207" i="18"/>
  <c r="Z207" i="18" s="1"/>
  <c r="Y207" i="18" s="1"/>
  <c r="AA288" i="18"/>
  <c r="Z288" i="18" s="1"/>
  <c r="Y288" i="18" s="1"/>
  <c r="H311" i="18"/>
  <c r="J311" i="18" s="1"/>
  <c r="C311" i="6" s="1"/>
  <c r="H169" i="18"/>
  <c r="I169" i="18" s="1"/>
  <c r="B169" i="6" s="1"/>
  <c r="BA169" i="6" s="1"/>
  <c r="D169" i="6" s="1"/>
  <c r="G223" i="18"/>
  <c r="CA223" i="6" s="1"/>
  <c r="G127" i="18"/>
  <c r="CA127" i="6" s="1"/>
  <c r="AA280" i="18"/>
  <c r="Z280" i="18" s="1"/>
  <c r="Y280" i="18" s="1"/>
  <c r="G106" i="18"/>
  <c r="CA106" i="6" s="1"/>
  <c r="AA357" i="18"/>
  <c r="Z357" i="18" s="1"/>
  <c r="Y357" i="18" s="1"/>
  <c r="G95" i="18"/>
  <c r="CA95" i="6" s="1"/>
  <c r="H274" i="18"/>
  <c r="J274" i="18" s="1"/>
  <c r="C274" i="6" s="1"/>
  <c r="AA230" i="18"/>
  <c r="Z230" i="18" s="1"/>
  <c r="Y230" i="18" s="1"/>
  <c r="G310" i="18"/>
  <c r="CA310" i="6" s="1"/>
  <c r="H143" i="18"/>
  <c r="J143" i="18" s="1"/>
  <c r="C143" i="6" s="1"/>
  <c r="AA344" i="18"/>
  <c r="Z344" i="18" s="1"/>
  <c r="Y344" i="18" s="1"/>
  <c r="G33" i="18"/>
  <c r="CA33" i="6" s="1"/>
  <c r="H325" i="18"/>
  <c r="J325" i="18" s="1"/>
  <c r="C325" i="6" s="1"/>
  <c r="AA87" i="18"/>
  <c r="Z87" i="18" s="1"/>
  <c r="Y87" i="18" s="1"/>
  <c r="G301" i="18"/>
  <c r="CA301" i="6" s="1"/>
  <c r="AA375" i="18"/>
  <c r="Z375" i="18" s="1"/>
  <c r="Y375" i="18" s="1"/>
  <c r="AA328" i="18"/>
  <c r="Z328" i="18" s="1"/>
  <c r="Y328" i="18" s="1"/>
  <c r="G324" i="18"/>
  <c r="CA324" i="6" s="1"/>
  <c r="AA224" i="18"/>
  <c r="Z224" i="18" s="1"/>
  <c r="Y224" i="18" s="1"/>
  <c r="H188" i="18"/>
  <c r="J188" i="18" s="1"/>
  <c r="C188" i="6" s="1"/>
  <c r="G131" i="18"/>
  <c r="CA131" i="6" s="1"/>
  <c r="AA76" i="18"/>
  <c r="Z76" i="18" s="1"/>
  <c r="Y76" i="18" s="1"/>
  <c r="H148" i="18"/>
  <c r="I148" i="18" s="1"/>
  <c r="B148" i="6" s="1"/>
  <c r="BA148" i="6" s="1"/>
  <c r="D148" i="6" s="1"/>
  <c r="AA145" i="18"/>
  <c r="Z145" i="18" s="1"/>
  <c r="Y145" i="18" s="1"/>
  <c r="G329" i="18"/>
  <c r="CA329" i="6" s="1"/>
  <c r="G138" i="18"/>
  <c r="CA138" i="6" s="1"/>
  <c r="G361" i="18"/>
  <c r="CA361" i="6" s="1"/>
  <c r="H285" i="18"/>
  <c r="I285" i="18" s="1"/>
  <c r="B285" i="6" s="1"/>
  <c r="BA285" i="6" s="1"/>
  <c r="D285" i="6" s="1"/>
  <c r="AA96" i="18"/>
  <c r="Z96" i="18" s="1"/>
  <c r="Y96" i="18" s="1"/>
  <c r="AA113" i="18"/>
  <c r="Z113" i="18" s="1"/>
  <c r="Y113" i="18" s="1"/>
  <c r="AA94" i="18"/>
  <c r="Z94" i="18" s="1"/>
  <c r="Y94" i="18" s="1"/>
  <c r="AA106" i="18"/>
  <c r="Z106" i="18" s="1"/>
  <c r="Y106" i="18" s="1"/>
  <c r="G313" i="18"/>
  <c r="CA313" i="6" s="1"/>
  <c r="AA125" i="18"/>
  <c r="Z125" i="18" s="1"/>
  <c r="Y125" i="18" s="1"/>
  <c r="AA51" i="18"/>
  <c r="Z51" i="18" s="1"/>
  <c r="Y51" i="18" s="1"/>
  <c r="H144" i="18"/>
  <c r="J144" i="18" s="1"/>
  <c r="C144" i="6" s="1"/>
  <c r="G150" i="18"/>
  <c r="CA150" i="6" s="1"/>
  <c r="H378" i="18"/>
  <c r="J378" i="18" s="1"/>
  <c r="C378" i="6" s="1"/>
  <c r="AA273" i="18"/>
  <c r="Z273" i="18" s="1"/>
  <c r="Y273" i="18" s="1"/>
  <c r="G55" i="18"/>
  <c r="CA55" i="6" s="1"/>
  <c r="AA350" i="18"/>
  <c r="Z350" i="18" s="1"/>
  <c r="Y350" i="18" s="1"/>
  <c r="AA153" i="18"/>
  <c r="Z153" i="18" s="1"/>
  <c r="Y153" i="18" s="1"/>
  <c r="AA308" i="18"/>
  <c r="Z308" i="18" s="1"/>
  <c r="Y308" i="18" s="1"/>
  <c r="AA143" i="18"/>
  <c r="Z143" i="18" s="1"/>
  <c r="Y143" i="18" s="1"/>
  <c r="H33" i="18"/>
  <c r="I33" i="18" s="1"/>
  <c r="B33" i="6" s="1"/>
  <c r="BA33" i="6" s="1"/>
  <c r="D33" i="6" s="1"/>
  <c r="AA79" i="18"/>
  <c r="Z79" i="18" s="1"/>
  <c r="Y79" i="18" s="1"/>
  <c r="G355" i="18"/>
  <c r="CA355" i="6" s="1"/>
  <c r="AA301" i="18"/>
  <c r="Z301" i="18" s="1"/>
  <c r="Y301" i="18" s="1"/>
  <c r="AA151" i="18"/>
  <c r="Z151" i="18" s="1"/>
  <c r="Y151" i="18" s="1"/>
  <c r="G129" i="18"/>
  <c r="CA129" i="6" s="1"/>
  <c r="G375" i="18"/>
  <c r="CA375" i="6" s="1"/>
  <c r="H201" i="18"/>
  <c r="I201" i="18" s="1"/>
  <c r="B201" i="6" s="1"/>
  <c r="BA201" i="6" s="1"/>
  <c r="D201" i="6" s="1"/>
  <c r="AA309" i="18"/>
  <c r="Z309" i="18" s="1"/>
  <c r="Y309" i="18" s="1"/>
  <c r="G62" i="18"/>
  <c r="CA62" i="6" s="1"/>
  <c r="AA117" i="18"/>
  <c r="Z117" i="18" s="1"/>
  <c r="Y117" i="18" s="1"/>
  <c r="G271" i="18"/>
  <c r="CA271" i="6" s="1"/>
  <c r="AA321" i="18"/>
  <c r="Z321" i="18" s="1"/>
  <c r="Y321" i="18" s="1"/>
  <c r="AA39" i="18"/>
  <c r="Z39" i="18" s="1"/>
  <c r="Y39" i="18" s="1"/>
  <c r="H374" i="18"/>
  <c r="J374" i="18" s="1"/>
  <c r="C374" i="6" s="1"/>
  <c r="G227" i="18"/>
  <c r="CA227" i="6" s="1"/>
  <c r="H131" i="18"/>
  <c r="I131" i="18" s="1"/>
  <c r="B131" i="6" s="1"/>
  <c r="BA131" i="6" s="1"/>
  <c r="D131" i="6" s="1"/>
  <c r="G63" i="18"/>
  <c r="CA63" i="6" s="1"/>
  <c r="AA281" i="18"/>
  <c r="Z281" i="18" s="1"/>
  <c r="Y281" i="18" s="1"/>
  <c r="G147" i="18"/>
  <c r="CA147" i="6" s="1"/>
  <c r="H174" i="18"/>
  <c r="I174" i="18" s="1"/>
  <c r="B174" i="6" s="1"/>
  <c r="BA174" i="6" s="1"/>
  <c r="D174" i="6" s="1"/>
  <c r="AA276" i="18"/>
  <c r="Z276" i="18" s="1"/>
  <c r="Y276" i="18" s="1"/>
  <c r="H27" i="18"/>
  <c r="I27" i="18" s="1"/>
  <c r="B27" i="6" s="1"/>
  <c r="BA27" i="6" s="1"/>
  <c r="D27" i="6" s="1"/>
  <c r="G336" i="18"/>
  <c r="CA336" i="6" s="1"/>
  <c r="G307" i="18"/>
  <c r="CA307" i="6" s="1"/>
  <c r="H48" i="18"/>
  <c r="I48" i="18" s="1"/>
  <c r="B48" i="6" s="1"/>
  <c r="BA48" i="6" s="1"/>
  <c r="D48" i="6" s="1"/>
  <c r="H348" i="18"/>
  <c r="I348" i="18" s="1"/>
  <c r="B348" i="6" s="1"/>
  <c r="BA348" i="6" s="1"/>
  <c r="D348" i="6" s="1"/>
  <c r="G126" i="18"/>
  <c r="CA126" i="6" s="1"/>
  <c r="AA237" i="18"/>
  <c r="Z237" i="18" s="1"/>
  <c r="Y237" i="18" s="1"/>
  <c r="AA271" i="18"/>
  <c r="Z271" i="18" s="1"/>
  <c r="Y271" i="18" s="1"/>
  <c r="AA201" i="18"/>
  <c r="Z201" i="18" s="1"/>
  <c r="Y201" i="18" s="1"/>
  <c r="AA197" i="18"/>
  <c r="Z197" i="18" s="1"/>
  <c r="Y197" i="18" s="1"/>
  <c r="AA285" i="18"/>
  <c r="Z285" i="18" s="1"/>
  <c r="Y285" i="18" s="1"/>
  <c r="H177" i="18"/>
  <c r="J177" i="18" s="1"/>
  <c r="C177" i="6" s="1"/>
  <c r="H256" i="18"/>
  <c r="J256" i="18" s="1"/>
  <c r="C256" i="6" s="1"/>
  <c r="G160" i="18"/>
  <c r="CA160" i="6" s="1"/>
  <c r="AA77" i="18"/>
  <c r="Z77" i="18" s="1"/>
  <c r="Y77" i="18" s="1"/>
  <c r="G351" i="18"/>
  <c r="CA351" i="6" s="1"/>
  <c r="G133" i="18"/>
  <c r="CA133" i="6" s="1"/>
  <c r="G22" i="18"/>
  <c r="CA22" i="6" s="1"/>
  <c r="AA346" i="18"/>
  <c r="Z346" i="18" s="1"/>
  <c r="Y346" i="18" s="1"/>
  <c r="AA124" i="18"/>
  <c r="Z124" i="18" s="1"/>
  <c r="Y124" i="18" s="1"/>
  <c r="G38" i="18"/>
  <c r="CA38" i="6" s="1"/>
  <c r="AA362" i="18"/>
  <c r="Z362" i="18" s="1"/>
  <c r="Y362" i="18" s="1"/>
  <c r="AA105" i="18"/>
  <c r="Z105" i="18" s="1"/>
  <c r="Y105" i="18" s="1"/>
  <c r="H282" i="18"/>
  <c r="J282" i="18" s="1"/>
  <c r="C282" i="6" s="1"/>
  <c r="G173" i="18"/>
  <c r="CA173" i="6" s="1"/>
  <c r="H341" i="18"/>
  <c r="I341" i="18" s="1"/>
  <c r="B341" i="6" s="1"/>
  <c r="BA341" i="6" s="1"/>
  <c r="D341" i="6" s="1"/>
  <c r="G340" i="18"/>
  <c r="CA340" i="6" s="1"/>
  <c r="AA139" i="18"/>
  <c r="Z139" i="18" s="1"/>
  <c r="Y139" i="18" s="1"/>
  <c r="G25" i="18"/>
  <c r="CA25" i="6" s="1"/>
  <c r="G61" i="18"/>
  <c r="CA61" i="6" s="1"/>
  <c r="AA378" i="18"/>
  <c r="Z378" i="18" s="1"/>
  <c r="Y378" i="18" s="1"/>
  <c r="G373" i="18"/>
  <c r="CA373" i="6" s="1"/>
  <c r="G75" i="18"/>
  <c r="CA75" i="6" s="1"/>
  <c r="H334" i="18"/>
  <c r="I334" i="18" s="1"/>
  <c r="B334" i="6" s="1"/>
  <c r="BA334" i="6" s="1"/>
  <c r="D334" i="6" s="1"/>
  <c r="AA18" i="18"/>
  <c r="Z18" i="18" s="1"/>
  <c r="Y18" i="18" s="1"/>
  <c r="H161" i="18"/>
  <c r="I161" i="18" s="1"/>
  <c r="B161" i="6" s="1"/>
  <c r="BA161" i="6" s="1"/>
  <c r="D161" i="6" s="1"/>
  <c r="G170" i="18"/>
  <c r="CA170" i="6" s="1"/>
  <c r="G299" i="18"/>
  <c r="CA299" i="6" s="1"/>
  <c r="AA36" i="18"/>
  <c r="Z36" i="18" s="1"/>
  <c r="Y36" i="18" s="1"/>
  <c r="J105" i="18"/>
  <c r="C105" i="6" s="1"/>
  <c r="AA177" i="18"/>
  <c r="Z177" i="18" s="1"/>
  <c r="Y177" i="18" s="1"/>
  <c r="H160" i="18"/>
  <c r="I160" i="18" s="1"/>
  <c r="B160" i="6" s="1"/>
  <c r="BA160" i="6" s="1"/>
  <c r="D160" i="6" s="1"/>
  <c r="H254" i="18"/>
  <c r="I254" i="18" s="1"/>
  <c r="B254" i="6" s="1"/>
  <c r="BA254" i="6" s="1"/>
  <c r="D254" i="6" s="1"/>
  <c r="G212" i="18"/>
  <c r="CA212" i="6" s="1"/>
  <c r="AA133" i="18"/>
  <c r="Z133" i="18" s="1"/>
  <c r="Y133" i="18" s="1"/>
  <c r="G181" i="18"/>
  <c r="CA181" i="6" s="1"/>
  <c r="H22" i="18"/>
  <c r="I22" i="18" s="1"/>
  <c r="B22" i="6" s="1"/>
  <c r="BA22" i="6" s="1"/>
  <c r="D22" i="6" s="1"/>
  <c r="G58" i="18"/>
  <c r="CA58" i="6" s="1"/>
  <c r="G315" i="18"/>
  <c r="CA315" i="6" s="1"/>
  <c r="G153" i="18"/>
  <c r="CA153" i="6" s="1"/>
  <c r="H38" i="18"/>
  <c r="I38" i="18" s="1"/>
  <c r="B38" i="6" s="1"/>
  <c r="BA38" i="6" s="1"/>
  <c r="D38" i="6" s="1"/>
  <c r="H362" i="18"/>
  <c r="J362" i="18" s="1"/>
  <c r="C362" i="6" s="1"/>
  <c r="G105" i="18"/>
  <c r="CA105" i="6" s="1"/>
  <c r="H43" i="18"/>
  <c r="I43" i="18" s="1"/>
  <c r="B43" i="6" s="1"/>
  <c r="BA43" i="6" s="1"/>
  <c r="AA25" i="18"/>
  <c r="Z25" i="18" s="1"/>
  <c r="Y25" i="18" s="1"/>
  <c r="G183" i="18"/>
  <c r="CA183" i="6" s="1"/>
  <c r="G41" i="18"/>
  <c r="CA41" i="6" s="1"/>
  <c r="G327" i="18"/>
  <c r="CA327" i="6" s="1"/>
  <c r="G51" i="18"/>
  <c r="CA51" i="6" s="1"/>
  <c r="G104" i="18"/>
  <c r="CA104" i="6" s="1"/>
  <c r="AA144" i="18"/>
  <c r="Z144" i="18" s="1"/>
  <c r="Y144" i="18" s="1"/>
  <c r="H187" i="18"/>
  <c r="J187" i="18" s="1"/>
  <c r="C187" i="6" s="1"/>
  <c r="H191" i="18"/>
  <c r="I191" i="18" s="1"/>
  <c r="B191" i="6" s="1"/>
  <c r="BA191" i="6" s="1"/>
  <c r="D191" i="6" s="1"/>
  <c r="H93" i="18"/>
  <c r="I93" i="18" s="1"/>
  <c r="B93" i="6" s="1"/>
  <c r="BA93" i="6" s="1"/>
  <c r="D93" i="6" s="1"/>
  <c r="AA354" i="18"/>
  <c r="Z354" i="18" s="1"/>
  <c r="Y354" i="18" s="1"/>
  <c r="AA373" i="18"/>
  <c r="Z373" i="18" s="1"/>
  <c r="Y373" i="18" s="1"/>
  <c r="H75" i="18"/>
  <c r="I75" i="18" s="1"/>
  <c r="B75" i="6" s="1"/>
  <c r="BA75" i="6" s="1"/>
  <c r="D75" i="6" s="1"/>
  <c r="G175" i="18"/>
  <c r="CA175" i="6" s="1"/>
  <c r="AA334" i="18"/>
  <c r="Z334" i="18" s="1"/>
  <c r="Y334" i="18" s="1"/>
  <c r="H18" i="18"/>
  <c r="J18" i="18" s="1"/>
  <c r="C18" i="6" s="1"/>
  <c r="G161" i="18"/>
  <c r="CA161" i="6" s="1"/>
  <c r="G217" i="18"/>
  <c r="CA217" i="6" s="1"/>
  <c r="H273" i="18"/>
  <c r="I273" i="18" s="1"/>
  <c r="B273" i="6" s="1"/>
  <c r="BA273" i="6" s="1"/>
  <c r="D273" i="6" s="1"/>
  <c r="G221" i="18"/>
  <c r="CA221" i="6" s="1"/>
  <c r="AA19" i="18"/>
  <c r="Z19" i="18" s="1"/>
  <c r="Y19" i="18" s="1"/>
  <c r="H350" i="18"/>
  <c r="J350" i="18" s="1"/>
  <c r="C350" i="6" s="1"/>
  <c r="H81" i="18"/>
  <c r="J81" i="18" s="1"/>
  <c r="C81" i="6" s="1"/>
  <c r="AA150" i="18"/>
  <c r="Z150" i="18" s="1"/>
  <c r="Y150" i="18" s="1"/>
  <c r="AA340" i="18"/>
  <c r="Z340" i="18" s="1"/>
  <c r="Y340" i="18" s="1"/>
  <c r="AA351" i="18"/>
  <c r="Z351" i="18" s="1"/>
  <c r="Y351" i="18" s="1"/>
  <c r="AA226" i="18"/>
  <c r="Z226" i="18" s="1"/>
  <c r="Y226" i="18" s="1"/>
  <c r="AA175" i="18"/>
  <c r="Z175" i="18" s="1"/>
  <c r="Y175" i="18" s="1"/>
  <c r="AA221" i="18"/>
  <c r="Z221" i="18" s="1"/>
  <c r="Y221" i="18" s="1"/>
  <c r="AA115" i="18"/>
  <c r="Z115" i="18" s="1"/>
  <c r="Y115" i="18" s="1"/>
  <c r="G250" i="18"/>
  <c r="CA250" i="6" s="1"/>
  <c r="H250" i="18"/>
  <c r="I250" i="18" s="1"/>
  <c r="B250" i="6" s="1"/>
  <c r="BA250" i="6" s="1"/>
  <c r="D250" i="6" s="1"/>
  <c r="G216" i="18"/>
  <c r="CA216" i="6" s="1"/>
  <c r="H216" i="18"/>
  <c r="J216" i="18" s="1"/>
  <c r="C216" i="6" s="1"/>
  <c r="G356" i="18"/>
  <c r="CA356" i="6" s="1"/>
  <c r="AA356" i="18"/>
  <c r="Z356" i="18" s="1"/>
  <c r="Y356" i="18" s="1"/>
  <c r="H32" i="18"/>
  <c r="I32" i="18" s="1"/>
  <c r="B32" i="6" s="1"/>
  <c r="BA32" i="6" s="1"/>
  <c r="D32" i="6" s="1"/>
  <c r="AA32" i="18"/>
  <c r="Z32" i="18" s="1"/>
  <c r="Y32" i="18" s="1"/>
  <c r="G359" i="18"/>
  <c r="CA359" i="6" s="1"/>
  <c r="H359" i="18"/>
  <c r="J359" i="18" s="1"/>
  <c r="C359" i="6" s="1"/>
  <c r="H101" i="18"/>
  <c r="J101" i="18" s="1"/>
  <c r="C101" i="6" s="1"/>
  <c r="AA101" i="18"/>
  <c r="Z101" i="18" s="1"/>
  <c r="Y101" i="18" s="1"/>
  <c r="H86" i="18"/>
  <c r="I86" i="18" s="1"/>
  <c r="B86" i="6" s="1"/>
  <c r="BA86" i="6" s="1"/>
  <c r="D86" i="6" s="1"/>
  <c r="G86" i="18"/>
  <c r="CA86" i="6" s="1"/>
  <c r="H304" i="18"/>
  <c r="I304" i="18" s="1"/>
  <c r="B304" i="6" s="1"/>
  <c r="BA304" i="6" s="1"/>
  <c r="D304" i="6" s="1"/>
  <c r="AA304" i="18"/>
  <c r="Z304" i="18" s="1"/>
  <c r="Y304" i="18" s="1"/>
  <c r="AA163" i="18"/>
  <c r="Z163" i="18" s="1"/>
  <c r="Y163" i="18" s="1"/>
  <c r="H163" i="18"/>
  <c r="I163" i="18" s="1"/>
  <c r="B163" i="6" s="1"/>
  <c r="BA163" i="6" s="1"/>
  <c r="D163" i="6" s="1"/>
  <c r="G199" i="18"/>
  <c r="CA199" i="6" s="1"/>
  <c r="H199" i="18"/>
  <c r="J199" i="18" s="1"/>
  <c r="C199" i="6" s="1"/>
  <c r="H72" i="18"/>
  <c r="I72" i="18" s="1"/>
  <c r="B72" i="6" s="1"/>
  <c r="BA72" i="6" s="1"/>
  <c r="D72" i="6" s="1"/>
  <c r="AA72" i="18"/>
  <c r="Z72" i="18" s="1"/>
  <c r="Y72" i="18" s="1"/>
  <c r="AA240" i="18"/>
  <c r="Z240" i="18" s="1"/>
  <c r="Y240" i="18" s="1"/>
  <c r="H240" i="18"/>
  <c r="J240" i="18" s="1"/>
  <c r="C240" i="6" s="1"/>
  <c r="AA185" i="18"/>
  <c r="Z185" i="18" s="1"/>
  <c r="Y185" i="18" s="1"/>
  <c r="H185" i="18"/>
  <c r="I185" i="18" s="1"/>
  <c r="B185" i="6" s="1"/>
  <c r="BA185" i="6" s="1"/>
  <c r="D185" i="6" s="1"/>
  <c r="AA78" i="18"/>
  <c r="Z78" i="18" s="1"/>
  <c r="Y78" i="18" s="1"/>
  <c r="H78" i="18"/>
  <c r="I78" i="18" s="1"/>
  <c r="B78" i="6" s="1"/>
  <c r="BA78" i="6" s="1"/>
  <c r="D78" i="6" s="1"/>
  <c r="G262" i="18"/>
  <c r="CA262" i="6" s="1"/>
  <c r="AA262" i="18"/>
  <c r="Z262" i="18" s="1"/>
  <c r="Y262" i="18" s="1"/>
  <c r="AA314" i="18"/>
  <c r="Z314" i="18" s="1"/>
  <c r="Y314" i="18" s="1"/>
  <c r="H314" i="18"/>
  <c r="J314" i="18" s="1"/>
  <c r="C314" i="6" s="1"/>
  <c r="G326" i="18"/>
  <c r="CA326" i="6" s="1"/>
  <c r="H326" i="18"/>
  <c r="I326" i="18" s="1"/>
  <c r="B326" i="6" s="1"/>
  <c r="BA326" i="6" s="1"/>
  <c r="D326" i="6" s="1"/>
  <c r="G306" i="18"/>
  <c r="CA306" i="6" s="1"/>
  <c r="H306" i="18"/>
  <c r="J306" i="18" s="1"/>
  <c r="C306" i="6" s="1"/>
  <c r="AA123" i="18"/>
  <c r="Z123" i="18" s="1"/>
  <c r="Y123" i="18" s="1"/>
  <c r="H123" i="18"/>
  <c r="J123" i="18" s="1"/>
  <c r="C123" i="6" s="1"/>
  <c r="G34" i="18"/>
  <c r="CA34" i="6" s="1"/>
  <c r="H34" i="18"/>
  <c r="J34" i="18" s="1"/>
  <c r="C34" i="6" s="1"/>
  <c r="H335" i="18"/>
  <c r="J335" i="18" s="1"/>
  <c r="C335" i="6" s="1"/>
  <c r="AA335" i="18"/>
  <c r="Z335" i="18" s="1"/>
  <c r="Y335" i="18" s="1"/>
  <c r="AA293" i="18"/>
  <c r="Z293" i="18" s="1"/>
  <c r="Y293" i="18" s="1"/>
  <c r="H293" i="18"/>
  <c r="I293" i="18" s="1"/>
  <c r="B293" i="6" s="1"/>
  <c r="BA293" i="6" s="1"/>
  <c r="D293" i="6" s="1"/>
  <c r="H369" i="18"/>
  <c r="I369" i="18" s="1"/>
  <c r="B369" i="6" s="1"/>
  <c r="BA369" i="6" s="1"/>
  <c r="D369" i="6" s="1"/>
  <c r="G369" i="18"/>
  <c r="CA369" i="6" s="1"/>
  <c r="AA57" i="18"/>
  <c r="Z57" i="18" s="1"/>
  <c r="Y57" i="18" s="1"/>
  <c r="H57" i="18"/>
  <c r="J57" i="18" s="1"/>
  <c r="C57" i="6" s="1"/>
  <c r="G317" i="18"/>
  <c r="CA317" i="6" s="1"/>
  <c r="AA317" i="18"/>
  <c r="Z317" i="18" s="1"/>
  <c r="Y317" i="18" s="1"/>
  <c r="AA268" i="18"/>
  <c r="Z268" i="18" s="1"/>
  <c r="Y268" i="18" s="1"/>
  <c r="H268" i="18"/>
  <c r="I268" i="18" s="1"/>
  <c r="B268" i="6" s="1"/>
  <c r="BA268" i="6" s="1"/>
  <c r="D268" i="6" s="1"/>
  <c r="H320" i="18"/>
  <c r="J320" i="18" s="1"/>
  <c r="C320" i="6" s="1"/>
  <c r="AA320" i="18"/>
  <c r="Z320" i="18" s="1"/>
  <c r="Y320" i="18" s="1"/>
  <c r="G234" i="18"/>
  <c r="CA234" i="6" s="1"/>
  <c r="H234" i="18"/>
  <c r="I234" i="18" s="1"/>
  <c r="B234" i="6" s="1"/>
  <c r="BA234" i="6" s="1"/>
  <c r="D234" i="6" s="1"/>
  <c r="G186" i="18"/>
  <c r="CA186" i="6" s="1"/>
  <c r="AA186" i="18"/>
  <c r="Z186" i="18" s="1"/>
  <c r="Y186" i="18" s="1"/>
  <c r="Q10" i="22"/>
  <c r="Q145" i="22" s="1"/>
  <c r="H59" i="18"/>
  <c r="I59" i="18" s="1"/>
  <c r="B59" i="6" s="1"/>
  <c r="BA59" i="6" s="1"/>
  <c r="D59" i="6" s="1"/>
  <c r="AA59" i="18"/>
  <c r="Z59" i="18" s="1"/>
  <c r="Y59" i="18" s="1"/>
  <c r="G308" i="18"/>
  <c r="CA308" i="6" s="1"/>
  <c r="H308" i="18"/>
  <c r="I308" i="18" s="1"/>
  <c r="B308" i="6" s="1"/>
  <c r="BA308" i="6" s="1"/>
  <c r="D308" i="6" s="1"/>
  <c r="AA318" i="18"/>
  <c r="Z318" i="18" s="1"/>
  <c r="Y318" i="18" s="1"/>
  <c r="H318" i="18"/>
  <c r="I318" i="18" s="1"/>
  <c r="B318" i="6" s="1"/>
  <c r="BA318" i="6" s="1"/>
  <c r="D318" i="6" s="1"/>
  <c r="AA69" i="18"/>
  <c r="Z69" i="18" s="1"/>
  <c r="Y69" i="18" s="1"/>
  <c r="G69" i="18"/>
  <c r="CA69" i="6" s="1"/>
  <c r="AA198" i="18"/>
  <c r="Z198" i="18" s="1"/>
  <c r="Y198" i="18" s="1"/>
  <c r="G198" i="18"/>
  <c r="CA198" i="6" s="1"/>
  <c r="G347" i="18"/>
  <c r="CA347" i="6" s="1"/>
  <c r="H347" i="18"/>
  <c r="I347" i="18" s="1"/>
  <c r="B347" i="6" s="1"/>
  <c r="BA347" i="6" s="1"/>
  <c r="D347" i="6" s="1"/>
  <c r="H323" i="18"/>
  <c r="I323" i="18" s="1"/>
  <c r="B323" i="6" s="1"/>
  <c r="BA323" i="6" s="1"/>
  <c r="D323" i="6" s="1"/>
  <c r="AA323" i="18"/>
  <c r="Z323" i="18" s="1"/>
  <c r="Y323" i="18" s="1"/>
  <c r="AA140" i="18"/>
  <c r="Z140" i="18" s="1"/>
  <c r="Y140" i="18" s="1"/>
  <c r="H140" i="18"/>
  <c r="J140" i="18" s="1"/>
  <c r="C140" i="6" s="1"/>
  <c r="G372" i="18"/>
  <c r="CA372" i="6" s="1"/>
  <c r="AA372" i="18"/>
  <c r="Z372" i="18" s="1"/>
  <c r="Y372" i="18" s="1"/>
  <c r="H189" i="18"/>
  <c r="J189" i="18" s="1"/>
  <c r="C189" i="6" s="1"/>
  <c r="AA189" i="18"/>
  <c r="Z189" i="18" s="1"/>
  <c r="Y189" i="18" s="1"/>
  <c r="H31" i="18"/>
  <c r="I31" i="18" s="1"/>
  <c r="B31" i="6" s="1"/>
  <c r="BA31" i="6" s="1"/>
  <c r="D31" i="6" s="1"/>
  <c r="G31" i="18"/>
  <c r="CA31" i="6" s="1"/>
  <c r="AA353" i="18"/>
  <c r="Z353" i="18" s="1"/>
  <c r="Y353" i="18" s="1"/>
  <c r="H353" i="18"/>
  <c r="J353" i="18" s="1"/>
  <c r="C353" i="6" s="1"/>
  <c r="H264" i="18"/>
  <c r="I264" i="18" s="1"/>
  <c r="B264" i="6" s="1"/>
  <c r="BA264" i="6" s="1"/>
  <c r="D264" i="6" s="1"/>
  <c r="G264" i="18"/>
  <c r="CA264" i="6" s="1"/>
  <c r="H232" i="18"/>
  <c r="I232" i="18" s="1"/>
  <c r="B232" i="6" s="1"/>
  <c r="BA232" i="6" s="1"/>
  <c r="D232" i="6" s="1"/>
  <c r="AA232" i="18"/>
  <c r="Z232" i="18" s="1"/>
  <c r="Y232" i="18" s="1"/>
  <c r="AA44" i="18"/>
  <c r="Z44" i="18" s="1"/>
  <c r="Y44" i="18" s="1"/>
  <c r="H44" i="18"/>
  <c r="I44" i="18" s="1"/>
  <c r="B44" i="6" s="1"/>
  <c r="BA44" i="6" s="1"/>
  <c r="D44" i="6" s="1"/>
  <c r="G252" i="18"/>
  <c r="CA252" i="6" s="1"/>
  <c r="AA252" i="18"/>
  <c r="Z252" i="18" s="1"/>
  <c r="Y252" i="18" s="1"/>
  <c r="AA261" i="18"/>
  <c r="Z261" i="18" s="1"/>
  <c r="Y261" i="18" s="1"/>
  <c r="G261" i="18"/>
  <c r="CA261" i="6" s="1"/>
  <c r="G17" i="18"/>
  <c r="CA17" i="6" s="1"/>
  <c r="AA17" i="18"/>
  <c r="Z17" i="18" s="1"/>
  <c r="Y17" i="18" s="1"/>
  <c r="G79" i="18"/>
  <c r="CA79" i="6" s="1"/>
  <c r="H355" i="18"/>
  <c r="I355" i="18" s="1"/>
  <c r="B355" i="6" s="1"/>
  <c r="BA355" i="6" s="1"/>
  <c r="D355" i="6" s="1"/>
  <c r="G338" i="18"/>
  <c r="CA338" i="6" s="1"/>
  <c r="AA58" i="18"/>
  <c r="Z58" i="18" s="1"/>
  <c r="Y58" i="18" s="1"/>
  <c r="H255" i="18"/>
  <c r="J255" i="18" s="1"/>
  <c r="C255" i="6" s="1"/>
  <c r="G232" i="18"/>
  <c r="CA232" i="6" s="1"/>
  <c r="G44" i="18"/>
  <c r="CA44" i="6" s="1"/>
  <c r="H197" i="18"/>
  <c r="J197" i="18" s="1"/>
  <c r="C197" i="6" s="1"/>
  <c r="H309" i="18"/>
  <c r="J309" i="18" s="1"/>
  <c r="C309" i="6" s="1"/>
  <c r="H328" i="18"/>
  <c r="J328" i="18" s="1"/>
  <c r="C328" i="6" s="1"/>
  <c r="AA324" i="18"/>
  <c r="Z324" i="18" s="1"/>
  <c r="Y324" i="18" s="1"/>
  <c r="G225" i="18"/>
  <c r="CA225" i="6" s="1"/>
  <c r="H62" i="18"/>
  <c r="J62" i="18" s="1"/>
  <c r="C62" i="6" s="1"/>
  <c r="H252" i="18"/>
  <c r="J252" i="18" s="1"/>
  <c r="C252" i="6" s="1"/>
  <c r="H261" i="18"/>
  <c r="J261" i="18" s="1"/>
  <c r="C261" i="6" s="1"/>
  <c r="G117" i="18"/>
  <c r="CA117" i="6" s="1"/>
  <c r="G174" i="18"/>
  <c r="CA174" i="6" s="1"/>
  <c r="G323" i="18"/>
  <c r="CA323" i="6" s="1"/>
  <c r="H183" i="18"/>
  <c r="J183" i="18" s="1"/>
  <c r="C183" i="6" s="1"/>
  <c r="AA41" i="18"/>
  <c r="Z41" i="18" s="1"/>
  <c r="Y41" i="18" s="1"/>
  <c r="G268" i="18"/>
  <c r="CA268" i="6" s="1"/>
  <c r="G288" i="18"/>
  <c r="CA288" i="6" s="1"/>
  <c r="G320" i="18"/>
  <c r="CA320" i="6" s="1"/>
  <c r="AA188" i="18"/>
  <c r="Z188" i="18" s="1"/>
  <c r="Y188" i="18" s="1"/>
  <c r="H110" i="18"/>
  <c r="I110" i="18" s="1"/>
  <c r="B110" i="6" s="1"/>
  <c r="BA110" i="6" s="1"/>
  <c r="D110" i="6" s="1"/>
  <c r="AA311" i="18"/>
  <c r="Z311" i="18" s="1"/>
  <c r="Y311" i="18" s="1"/>
  <c r="AM15" i="7"/>
  <c r="G187" i="18"/>
  <c r="CA187" i="6" s="1"/>
  <c r="AA61" i="18"/>
  <c r="Z61" i="18" s="1"/>
  <c r="Y61" i="18" s="1"/>
  <c r="G319" i="18"/>
  <c r="CA319" i="6" s="1"/>
  <c r="G353" i="18"/>
  <c r="CA353" i="6" s="1"/>
  <c r="AA369" i="18"/>
  <c r="Z369" i="18" s="1"/>
  <c r="Y369" i="18" s="1"/>
  <c r="G57" i="18"/>
  <c r="CA57" i="6" s="1"/>
  <c r="G115" i="18"/>
  <c r="CA115" i="6" s="1"/>
  <c r="G297" i="18"/>
  <c r="CA297" i="6" s="1"/>
  <c r="AA216" i="18"/>
  <c r="Z216" i="18" s="1"/>
  <c r="Y216" i="18" s="1"/>
  <c r="H356" i="18"/>
  <c r="I356" i="18" s="1"/>
  <c r="B356" i="6" s="1"/>
  <c r="BA356" i="6" s="1"/>
  <c r="D356" i="6" s="1"/>
  <c r="H276" i="18"/>
  <c r="I276" i="18" s="1"/>
  <c r="B276" i="6" s="1"/>
  <c r="BA276" i="6" s="1"/>
  <c r="D276" i="6" s="1"/>
  <c r="AA359" i="18"/>
  <c r="Z359" i="18" s="1"/>
  <c r="Y359" i="18" s="1"/>
  <c r="U220" i="20"/>
  <c r="T220" i="20" s="1"/>
  <c r="S220" i="20" s="1"/>
  <c r="R220" i="20" s="1"/>
  <c r="P220" i="20" s="1"/>
  <c r="V220" i="20" s="1"/>
  <c r="B220" i="20" s="1"/>
  <c r="W220" i="20" s="1"/>
  <c r="U291" i="20"/>
  <c r="T291" i="20" s="1"/>
  <c r="S291" i="20" s="1"/>
  <c r="R291" i="20" s="1"/>
  <c r="P291" i="20" s="1"/>
  <c r="V291" i="20" s="1"/>
  <c r="B291" i="20" s="1"/>
  <c r="W291" i="20" s="1"/>
  <c r="U69" i="20"/>
  <c r="T69" i="20" s="1"/>
  <c r="S69" i="20" s="1"/>
  <c r="R69" i="20" s="1"/>
  <c r="P69" i="20" s="1"/>
  <c r="V69" i="20" s="1"/>
  <c r="B69" i="20" s="1"/>
  <c r="D69" i="20" s="1"/>
  <c r="E69" i="20" s="1"/>
  <c r="F69" i="20" s="1"/>
  <c r="U293" i="20"/>
  <c r="T293" i="20" s="1"/>
  <c r="S293" i="20" s="1"/>
  <c r="R293" i="20" s="1"/>
  <c r="P293" i="20" s="1"/>
  <c r="V293" i="20" s="1"/>
  <c r="B293" i="20" s="1"/>
  <c r="D293" i="20" s="1"/>
  <c r="E293" i="20" s="1"/>
  <c r="F293" i="20" s="1"/>
  <c r="U125" i="20"/>
  <c r="T125" i="20" s="1"/>
  <c r="S125" i="20" s="1"/>
  <c r="R125" i="20" s="1"/>
  <c r="P125" i="20" s="1"/>
  <c r="V125" i="20" s="1"/>
  <c r="B125" i="20" s="1"/>
  <c r="W125" i="20" s="1"/>
  <c r="U19" i="20"/>
  <c r="T19" i="20" s="1"/>
  <c r="S19" i="20" s="1"/>
  <c r="R19" i="20" s="1"/>
  <c r="P19" i="20" s="1"/>
  <c r="V19" i="20" s="1"/>
  <c r="B19" i="20" s="1"/>
  <c r="W19" i="20" s="1"/>
  <c r="U357" i="20"/>
  <c r="T357" i="20" s="1"/>
  <c r="S357" i="20" s="1"/>
  <c r="R357" i="20" s="1"/>
  <c r="P357" i="20" s="1"/>
  <c r="V357" i="20" s="1"/>
  <c r="B357" i="20" s="1"/>
  <c r="D357" i="20" s="1"/>
  <c r="E357" i="20" s="1"/>
  <c r="F357" i="20" s="1"/>
  <c r="U245" i="20"/>
  <c r="T245" i="20" s="1"/>
  <c r="S245" i="20" s="1"/>
  <c r="R245" i="20" s="1"/>
  <c r="P245" i="20" s="1"/>
  <c r="V245" i="20" s="1"/>
  <c r="B245" i="20" s="1"/>
  <c r="D245" i="20" s="1"/>
  <c r="E245" i="20" s="1"/>
  <c r="F245" i="20" s="1"/>
  <c r="U314" i="20"/>
  <c r="T314" i="20" s="1"/>
  <c r="S314" i="20" s="1"/>
  <c r="R314" i="20" s="1"/>
  <c r="P314" i="20" s="1"/>
  <c r="V314" i="20" s="1"/>
  <c r="B314" i="20" s="1"/>
  <c r="D314" i="20" s="1"/>
  <c r="E314" i="20" s="1"/>
  <c r="F314" i="20" s="1"/>
  <c r="U192" i="20"/>
  <c r="T192" i="20" s="1"/>
  <c r="S192" i="20" s="1"/>
  <c r="R192" i="20" s="1"/>
  <c r="P192" i="20" s="1"/>
  <c r="V192" i="20" s="1"/>
  <c r="B192" i="20" s="1"/>
  <c r="W192" i="20" s="1"/>
  <c r="U255" i="20"/>
  <c r="T255" i="20" s="1"/>
  <c r="S255" i="20" s="1"/>
  <c r="R255" i="20" s="1"/>
  <c r="P255" i="20" s="1"/>
  <c r="V255" i="20" s="1"/>
  <c r="B255" i="20" s="1"/>
  <c r="D255" i="20" s="1"/>
  <c r="E255" i="20" s="1"/>
  <c r="F255" i="20" s="1"/>
  <c r="U159" i="20"/>
  <c r="T159" i="20" s="1"/>
  <c r="S159" i="20" s="1"/>
  <c r="R159" i="20" s="1"/>
  <c r="P159" i="20" s="1"/>
  <c r="V159" i="20" s="1"/>
  <c r="B159" i="20" s="1"/>
  <c r="W159" i="20" s="1"/>
  <c r="U54" i="20"/>
  <c r="T54" i="20" s="1"/>
  <c r="S54" i="20" s="1"/>
  <c r="R54" i="20" s="1"/>
  <c r="P54" i="20" s="1"/>
  <c r="V54" i="20" s="1"/>
  <c r="B54" i="20" s="1"/>
  <c r="D54" i="20" s="1"/>
  <c r="E54" i="20" s="1"/>
  <c r="F54" i="20" s="1"/>
  <c r="U267" i="20"/>
  <c r="T267" i="20" s="1"/>
  <c r="S267" i="20" s="1"/>
  <c r="R267" i="20" s="1"/>
  <c r="P267" i="20" s="1"/>
  <c r="V267" i="20" s="1"/>
  <c r="B267" i="20" s="1"/>
  <c r="D267" i="20" s="1"/>
  <c r="E267" i="20" s="1"/>
  <c r="F267" i="20" s="1"/>
  <c r="U225" i="20"/>
  <c r="T225" i="20" s="1"/>
  <c r="S225" i="20" s="1"/>
  <c r="R225" i="20" s="1"/>
  <c r="P225" i="20" s="1"/>
  <c r="V225" i="20" s="1"/>
  <c r="B225" i="20" s="1"/>
  <c r="W225" i="20" s="1"/>
  <c r="U196" i="20"/>
  <c r="T196" i="20" s="1"/>
  <c r="S196" i="20" s="1"/>
  <c r="R196" i="20" s="1"/>
  <c r="P196" i="20" s="1"/>
  <c r="V196" i="20" s="1"/>
  <c r="B196" i="20" s="1"/>
  <c r="D196" i="20" s="1"/>
  <c r="E196" i="20" s="1"/>
  <c r="F196" i="20" s="1"/>
  <c r="U218" i="20"/>
  <c r="T218" i="20" s="1"/>
  <c r="S218" i="20" s="1"/>
  <c r="R218" i="20" s="1"/>
  <c r="P218" i="20" s="1"/>
  <c r="V218" i="20" s="1"/>
  <c r="B218" i="20" s="1"/>
  <c r="D218" i="20" s="1"/>
  <c r="E218" i="20" s="1"/>
  <c r="F218" i="20" s="1"/>
  <c r="U163" i="20"/>
  <c r="T163" i="20" s="1"/>
  <c r="S163" i="20" s="1"/>
  <c r="R163" i="20" s="1"/>
  <c r="P163" i="20" s="1"/>
  <c r="V163" i="20" s="1"/>
  <c r="B163" i="20" s="1"/>
  <c r="D163" i="20" s="1"/>
  <c r="E163" i="20" s="1"/>
  <c r="F163" i="20" s="1"/>
  <c r="U323" i="20"/>
  <c r="T323" i="20" s="1"/>
  <c r="S323" i="20" s="1"/>
  <c r="R323" i="20" s="1"/>
  <c r="P323" i="20" s="1"/>
  <c r="V323" i="20" s="1"/>
  <c r="B323" i="20" s="1"/>
  <c r="U230" i="20"/>
  <c r="T230" i="20" s="1"/>
  <c r="S230" i="20" s="1"/>
  <c r="R230" i="20" s="1"/>
  <c r="P230" i="20" s="1"/>
  <c r="V230" i="20" s="1"/>
  <c r="B230" i="20" s="1"/>
  <c r="D230" i="20" s="1"/>
  <c r="E230" i="20" s="1"/>
  <c r="F230" i="20" s="1"/>
  <c r="U352" i="20"/>
  <c r="T352" i="20" s="1"/>
  <c r="S352" i="20" s="1"/>
  <c r="R352" i="20" s="1"/>
  <c r="P352" i="20" s="1"/>
  <c r="V352" i="20" s="1"/>
  <c r="B352" i="20" s="1"/>
  <c r="W352" i="20" s="1"/>
  <c r="U228" i="20"/>
  <c r="T228" i="20" s="1"/>
  <c r="S228" i="20" s="1"/>
  <c r="R228" i="20" s="1"/>
  <c r="P228" i="20" s="1"/>
  <c r="V228" i="20" s="1"/>
  <c r="B228" i="20" s="1"/>
  <c r="D228" i="20" s="1"/>
  <c r="E228" i="20" s="1"/>
  <c r="F228" i="20" s="1"/>
  <c r="U283" i="20"/>
  <c r="T283" i="20" s="1"/>
  <c r="S283" i="20" s="1"/>
  <c r="R283" i="20" s="1"/>
  <c r="P283" i="20" s="1"/>
  <c r="V283" i="20" s="1"/>
  <c r="B283" i="20" s="1"/>
  <c r="D283" i="20" s="1"/>
  <c r="E283" i="20" s="1"/>
  <c r="F283" i="20" s="1"/>
  <c r="U296" i="20"/>
  <c r="T296" i="20" s="1"/>
  <c r="S296" i="20" s="1"/>
  <c r="R296" i="20" s="1"/>
  <c r="P296" i="20" s="1"/>
  <c r="V296" i="20" s="1"/>
  <c r="B296" i="20" s="1"/>
  <c r="D296" i="20" s="1"/>
  <c r="E296" i="20" s="1"/>
  <c r="F296" i="20" s="1"/>
  <c r="U30" i="20"/>
  <c r="T30" i="20" s="1"/>
  <c r="S30" i="20" s="1"/>
  <c r="R30" i="20" s="1"/>
  <c r="P30" i="20" s="1"/>
  <c r="V30" i="20" s="1"/>
  <c r="B30" i="20" s="1"/>
  <c r="D30" i="20" s="1"/>
  <c r="E30" i="20" s="1"/>
  <c r="F30" i="20" s="1"/>
  <c r="U153" i="20"/>
  <c r="T153" i="20" s="1"/>
  <c r="S153" i="20" s="1"/>
  <c r="R153" i="20" s="1"/>
  <c r="P153" i="20" s="1"/>
  <c r="V153" i="20" s="1"/>
  <c r="B153" i="20" s="1"/>
  <c r="D153" i="20" s="1"/>
  <c r="E153" i="20" s="1"/>
  <c r="F153" i="20" s="1"/>
  <c r="U233" i="20"/>
  <c r="T233" i="20" s="1"/>
  <c r="S233" i="20" s="1"/>
  <c r="R233" i="20" s="1"/>
  <c r="P233" i="20" s="1"/>
  <c r="V233" i="20" s="1"/>
  <c r="B233" i="20" s="1"/>
  <c r="D233" i="20" s="1"/>
  <c r="E233" i="20" s="1"/>
  <c r="F233" i="20" s="1"/>
  <c r="U36" i="20"/>
  <c r="T36" i="20" s="1"/>
  <c r="S36" i="20" s="1"/>
  <c r="R36" i="20" s="1"/>
  <c r="P36" i="20" s="1"/>
  <c r="V36" i="20" s="1"/>
  <c r="B36" i="20" s="1"/>
  <c r="W36" i="20" s="1"/>
  <c r="U240" i="20"/>
  <c r="T240" i="20" s="1"/>
  <c r="S240" i="20" s="1"/>
  <c r="R240" i="20" s="1"/>
  <c r="P240" i="20" s="1"/>
  <c r="V240" i="20" s="1"/>
  <c r="B240" i="20" s="1"/>
  <c r="W240" i="20" s="1"/>
  <c r="U74" i="20"/>
  <c r="T74" i="20" s="1"/>
  <c r="S74" i="20" s="1"/>
  <c r="R74" i="20" s="1"/>
  <c r="P74" i="20" s="1"/>
  <c r="V74" i="20" s="1"/>
  <c r="B74" i="20" s="1"/>
  <c r="W74" i="20" s="1"/>
  <c r="U311" i="20"/>
  <c r="T311" i="20" s="1"/>
  <c r="S311" i="20" s="1"/>
  <c r="R311" i="20" s="1"/>
  <c r="P311" i="20" s="1"/>
  <c r="V311" i="20" s="1"/>
  <c r="B311" i="20" s="1"/>
  <c r="W311" i="20" s="1"/>
  <c r="U208" i="20"/>
  <c r="T208" i="20" s="1"/>
  <c r="S208" i="20" s="1"/>
  <c r="R208" i="20" s="1"/>
  <c r="P208" i="20" s="1"/>
  <c r="V208" i="20" s="1"/>
  <c r="B208" i="20" s="1"/>
  <c r="W208" i="20" s="1"/>
  <c r="U236" i="20"/>
  <c r="T236" i="20" s="1"/>
  <c r="S236" i="20" s="1"/>
  <c r="R236" i="20" s="1"/>
  <c r="P236" i="20" s="1"/>
  <c r="V236" i="20" s="1"/>
  <c r="B236" i="20" s="1"/>
  <c r="D236" i="20" s="1"/>
  <c r="E236" i="20" s="1"/>
  <c r="F236" i="20" s="1"/>
  <c r="U221" i="20"/>
  <c r="T221" i="20" s="1"/>
  <c r="S221" i="20" s="1"/>
  <c r="R221" i="20" s="1"/>
  <c r="P221" i="20" s="1"/>
  <c r="V221" i="20" s="1"/>
  <c r="B221" i="20" s="1"/>
  <c r="D221" i="20" s="1"/>
  <c r="E221" i="20" s="1"/>
  <c r="F221" i="20" s="1"/>
  <c r="U68" i="20"/>
  <c r="T68" i="20" s="1"/>
  <c r="S68" i="20" s="1"/>
  <c r="R68" i="20" s="1"/>
  <c r="P68" i="20" s="1"/>
  <c r="V68" i="20" s="1"/>
  <c r="B68" i="20" s="1"/>
  <c r="W68" i="20" s="1"/>
  <c r="U370" i="20"/>
  <c r="T370" i="20" s="1"/>
  <c r="S370" i="20" s="1"/>
  <c r="R370" i="20" s="1"/>
  <c r="P370" i="20" s="1"/>
  <c r="V370" i="20" s="1"/>
  <c r="B370" i="20" s="1"/>
  <c r="D370" i="20" s="1"/>
  <c r="E370" i="20" s="1"/>
  <c r="F370" i="20" s="1"/>
  <c r="U362" i="20"/>
  <c r="T362" i="20" s="1"/>
  <c r="S362" i="20" s="1"/>
  <c r="R362" i="20" s="1"/>
  <c r="P362" i="20" s="1"/>
  <c r="V362" i="20" s="1"/>
  <c r="B362" i="20" s="1"/>
  <c r="W362" i="20" s="1"/>
  <c r="U374" i="20"/>
  <c r="T374" i="20" s="1"/>
  <c r="S374" i="20" s="1"/>
  <c r="R374" i="20" s="1"/>
  <c r="P374" i="20" s="1"/>
  <c r="V374" i="20" s="1"/>
  <c r="B374" i="20" s="1"/>
  <c r="W374" i="20" s="1"/>
  <c r="U129" i="20"/>
  <c r="T129" i="20" s="1"/>
  <c r="S129" i="20" s="1"/>
  <c r="R129" i="20" s="1"/>
  <c r="P129" i="20" s="1"/>
  <c r="V129" i="20" s="1"/>
  <c r="B129" i="20" s="1"/>
  <c r="W129" i="20" s="1"/>
  <c r="U227" i="20"/>
  <c r="T227" i="20" s="1"/>
  <c r="S227" i="20" s="1"/>
  <c r="R227" i="20" s="1"/>
  <c r="P227" i="20" s="1"/>
  <c r="V227" i="20" s="1"/>
  <c r="B227" i="20" s="1"/>
  <c r="D227" i="20" s="1"/>
  <c r="E227" i="20" s="1"/>
  <c r="F227" i="20" s="1"/>
  <c r="U101" i="20"/>
  <c r="T101" i="20" s="1"/>
  <c r="S101" i="20" s="1"/>
  <c r="R101" i="20" s="1"/>
  <c r="P101" i="20" s="1"/>
  <c r="V101" i="20" s="1"/>
  <c r="B101" i="20" s="1"/>
  <c r="D101" i="20" s="1"/>
  <c r="E101" i="20" s="1"/>
  <c r="F101" i="20" s="1"/>
  <c r="U16" i="20"/>
  <c r="T16" i="20" s="1"/>
  <c r="S16" i="20" s="1"/>
  <c r="R16" i="20" s="1"/>
  <c r="P16" i="20" s="1"/>
  <c r="V16" i="20" s="1"/>
  <c r="B16" i="20" s="1"/>
  <c r="W16" i="20" s="1"/>
  <c r="U351" i="20"/>
  <c r="T351" i="20" s="1"/>
  <c r="S351" i="20" s="1"/>
  <c r="R351" i="20" s="1"/>
  <c r="P351" i="20" s="1"/>
  <c r="V351" i="20" s="1"/>
  <c r="B351" i="20" s="1"/>
  <c r="W351" i="20" s="1"/>
  <c r="U200" i="20"/>
  <c r="T200" i="20" s="1"/>
  <c r="S200" i="20" s="1"/>
  <c r="R200" i="20" s="1"/>
  <c r="P200" i="20" s="1"/>
  <c r="V200" i="20" s="1"/>
  <c r="B200" i="20" s="1"/>
  <c r="W200" i="20" s="1"/>
  <c r="U304" i="20"/>
  <c r="T304" i="20" s="1"/>
  <c r="S304" i="20" s="1"/>
  <c r="R304" i="20" s="1"/>
  <c r="P304" i="20" s="1"/>
  <c r="V304" i="20" s="1"/>
  <c r="B304" i="20" s="1"/>
  <c r="D304" i="20" s="1"/>
  <c r="E304" i="20" s="1"/>
  <c r="F304" i="20" s="1"/>
  <c r="AA27" i="18"/>
  <c r="Z27" i="18" s="1"/>
  <c r="Y27" i="18" s="1"/>
  <c r="AA86" i="18"/>
  <c r="Z86" i="18" s="1"/>
  <c r="Y86" i="18" s="1"/>
  <c r="G304" i="18"/>
  <c r="CA304" i="6" s="1"/>
  <c r="G163" i="18"/>
  <c r="CA163" i="6" s="1"/>
  <c r="AA336" i="18"/>
  <c r="Z336" i="18" s="1"/>
  <c r="Y336" i="18" s="1"/>
  <c r="G72" i="18"/>
  <c r="CA72" i="6" s="1"/>
  <c r="H108" i="18"/>
  <c r="J108" i="18" s="1"/>
  <c r="C108" i="6" s="1"/>
  <c r="H96" i="18"/>
  <c r="I96" i="18" s="1"/>
  <c r="B96" i="6" s="1"/>
  <c r="BA96" i="6" s="1"/>
  <c r="D96" i="6" s="1"/>
  <c r="H230" i="18"/>
  <c r="J230" i="18" s="1"/>
  <c r="C230" i="6" s="1"/>
  <c r="G185" i="18"/>
  <c r="CA185" i="6" s="1"/>
  <c r="G78" i="18"/>
  <c r="CA78" i="6" s="1"/>
  <c r="AA347" i="18"/>
  <c r="Z347" i="18" s="1"/>
  <c r="Y347" i="18" s="1"/>
  <c r="H332" i="18"/>
  <c r="I332" i="18" s="1"/>
  <c r="B332" i="6" s="1"/>
  <c r="BA332" i="6" s="1"/>
  <c r="D332" i="6" s="1"/>
  <c r="G48" i="18"/>
  <c r="CA48" i="6" s="1"/>
  <c r="AA326" i="18"/>
  <c r="Z326" i="18" s="1"/>
  <c r="Y326" i="18" s="1"/>
  <c r="H310" i="18"/>
  <c r="I310" i="18" s="1"/>
  <c r="B310" i="6" s="1"/>
  <c r="BA310" i="6" s="1"/>
  <c r="D310" i="6" s="1"/>
  <c r="H330" i="18"/>
  <c r="I330" i="18" s="1"/>
  <c r="B330" i="6" s="1"/>
  <c r="BA330" i="6" s="1"/>
  <c r="D330" i="6" s="1"/>
  <c r="H91" i="18"/>
  <c r="J91" i="18" s="1"/>
  <c r="C91" i="6" s="1"/>
  <c r="G293" i="18"/>
  <c r="CA293" i="6" s="1"/>
  <c r="AA319" i="18"/>
  <c r="Z319" i="18" s="1"/>
  <c r="Y319" i="18" s="1"/>
  <c r="AA332" i="18"/>
  <c r="Z332" i="18" s="1"/>
  <c r="Y332" i="18" s="1"/>
  <c r="AA306" i="18"/>
  <c r="Z306" i="18" s="1"/>
  <c r="Y306" i="18" s="1"/>
  <c r="AA330" i="18"/>
  <c r="Z330" i="18" s="1"/>
  <c r="Y330" i="18" s="1"/>
  <c r="AA225" i="18"/>
  <c r="Z225" i="18" s="1"/>
  <c r="Y225" i="18" s="1"/>
  <c r="AA297" i="18"/>
  <c r="Z297" i="18" s="1"/>
  <c r="Y297" i="18" s="1"/>
  <c r="AA270" i="18"/>
  <c r="Z270" i="18" s="1"/>
  <c r="Y270" i="18" s="1"/>
  <c r="AA190" i="18"/>
  <c r="Z190" i="18" s="1"/>
  <c r="Y190" i="18" s="1"/>
  <c r="G254" i="18"/>
  <c r="CA254" i="6" s="1"/>
  <c r="H77" i="18"/>
  <c r="J77" i="18" s="1"/>
  <c r="C77" i="6" s="1"/>
  <c r="AA164" i="18"/>
  <c r="Z164" i="18" s="1"/>
  <c r="Y164" i="18" s="1"/>
  <c r="AA219" i="18"/>
  <c r="Z219" i="18" s="1"/>
  <c r="Y219" i="18" s="1"/>
  <c r="H278" i="18"/>
  <c r="J278" i="18" s="1"/>
  <c r="C278" i="6" s="1"/>
  <c r="H190" i="18"/>
  <c r="J190" i="18" s="1"/>
  <c r="C190" i="6" s="1"/>
  <c r="G167" i="18"/>
  <c r="CA167" i="6" s="1"/>
  <c r="G125" i="18"/>
  <c r="CA125" i="6" s="1"/>
  <c r="AA267" i="18"/>
  <c r="Z267" i="18" s="1"/>
  <c r="Y267" i="18" s="1"/>
  <c r="AA327" i="18"/>
  <c r="Z327" i="18" s="1"/>
  <c r="Y327" i="18" s="1"/>
  <c r="H66" i="18"/>
  <c r="I66" i="18" s="1"/>
  <c r="B66" i="6" s="1"/>
  <c r="BA66" i="6" s="1"/>
  <c r="D66" i="6" s="1"/>
  <c r="H39" i="18"/>
  <c r="I39" i="18" s="1"/>
  <c r="B39" i="6" s="1"/>
  <c r="BA39" i="6" s="1"/>
  <c r="D39" i="6" s="1"/>
  <c r="G374" i="18"/>
  <c r="CA374" i="6" s="1"/>
  <c r="H63" i="18"/>
  <c r="I63" i="18" s="1"/>
  <c r="B63" i="6" s="1"/>
  <c r="BA63" i="6" s="1"/>
  <c r="D63" i="6" s="1"/>
  <c r="H209" i="18"/>
  <c r="I209" i="18" s="1"/>
  <c r="B209" i="6" s="1"/>
  <c r="BA209" i="6" s="1"/>
  <c r="D209" i="6" s="1"/>
  <c r="G280" i="18"/>
  <c r="CA280" i="6" s="1"/>
  <c r="AA305" i="18"/>
  <c r="Z305" i="18" s="1"/>
  <c r="Y305" i="18" s="1"/>
  <c r="H281" i="18"/>
  <c r="J281" i="18" s="1"/>
  <c r="C281" i="6" s="1"/>
  <c r="G145" i="18"/>
  <c r="CA145" i="6" s="1"/>
  <c r="G245" i="18"/>
  <c r="CA245" i="6" s="1"/>
  <c r="H361" i="18"/>
  <c r="J361" i="18" s="1"/>
  <c r="C361" i="6" s="1"/>
  <c r="AA274" i="18"/>
  <c r="Z274" i="18" s="1"/>
  <c r="Y274" i="18" s="1"/>
  <c r="H343" i="18"/>
  <c r="I343" i="18" s="1"/>
  <c r="B343" i="6" s="1"/>
  <c r="BA343" i="6" s="1"/>
  <c r="D343" i="6" s="1"/>
  <c r="H298" i="18"/>
  <c r="J298" i="18" s="1"/>
  <c r="C298" i="6" s="1"/>
  <c r="AA30" i="18"/>
  <c r="Z30" i="18" s="1"/>
  <c r="Y30" i="18" s="1"/>
  <c r="H337" i="18"/>
  <c r="J337" i="18" s="1"/>
  <c r="C337" i="6" s="1"/>
  <c r="H170" i="18"/>
  <c r="I170" i="18" s="1"/>
  <c r="B170" i="6" s="1"/>
  <c r="BA170" i="6" s="1"/>
  <c r="D170" i="6" s="1"/>
  <c r="G182" i="18"/>
  <c r="CA182" i="6" s="1"/>
  <c r="AA299" i="18"/>
  <c r="Z299" i="18" s="1"/>
  <c r="Y299" i="18" s="1"/>
  <c r="H121" i="18"/>
  <c r="I121" i="18" s="1"/>
  <c r="B121" i="6" s="1"/>
  <c r="BA121" i="6" s="1"/>
  <c r="D121" i="6" s="1"/>
  <c r="H55" i="18"/>
  <c r="I55" i="18" s="1"/>
  <c r="B55" i="6" s="1"/>
  <c r="BA55" i="6" s="1"/>
  <c r="D55" i="6" s="1"/>
  <c r="G40" i="18"/>
  <c r="CA40" i="6" s="1"/>
  <c r="H36" i="18"/>
  <c r="J36" i="18" s="1"/>
  <c r="C36" i="6" s="1"/>
  <c r="H19" i="18"/>
  <c r="J19" i="18" s="1"/>
  <c r="C19" i="6" s="1"/>
  <c r="G243" i="18"/>
  <c r="CA243" i="6" s="1"/>
  <c r="H37" i="18"/>
  <c r="J37" i="18" s="1"/>
  <c r="C37" i="6" s="1"/>
  <c r="AA54" i="18"/>
  <c r="Z54" i="18" s="1"/>
  <c r="Y54" i="18" s="1"/>
  <c r="G260" i="18"/>
  <c r="CA260" i="6" s="1"/>
  <c r="AA215" i="18"/>
  <c r="Z215" i="18" s="1"/>
  <c r="Y215" i="18" s="1"/>
  <c r="AA287" i="18"/>
  <c r="Z287" i="18" s="1"/>
  <c r="Y287" i="18" s="1"/>
  <c r="AA217" i="18"/>
  <c r="Z217" i="18" s="1"/>
  <c r="Y217" i="18" s="1"/>
  <c r="AA181" i="18"/>
  <c r="Z181" i="18" s="1"/>
  <c r="Y181" i="18" s="1"/>
  <c r="AA313" i="18"/>
  <c r="Z313" i="18" s="1"/>
  <c r="Y313" i="18" s="1"/>
  <c r="U107" i="20"/>
  <c r="T107" i="20" s="1"/>
  <c r="S107" i="20" s="1"/>
  <c r="R107" i="20" s="1"/>
  <c r="P107" i="20" s="1"/>
  <c r="V107" i="20" s="1"/>
  <c r="B107" i="20" s="1"/>
  <c r="W107" i="20" s="1"/>
  <c r="AA121" i="18"/>
  <c r="Z121" i="18" s="1"/>
  <c r="Y121" i="18" s="1"/>
  <c r="H164" i="18"/>
  <c r="I164" i="18" s="1"/>
  <c r="B164" i="6" s="1"/>
  <c r="BA164" i="6" s="1"/>
  <c r="D164" i="6" s="1"/>
  <c r="H219" i="18"/>
  <c r="I219" i="18" s="1"/>
  <c r="B219" i="6" s="1"/>
  <c r="BA219" i="6" s="1"/>
  <c r="D219" i="6" s="1"/>
  <c r="U80" i="20"/>
  <c r="T80" i="20" s="1"/>
  <c r="S80" i="20" s="1"/>
  <c r="R80" i="20" s="1"/>
  <c r="P80" i="20" s="1"/>
  <c r="V80" i="20" s="1"/>
  <c r="B80" i="20" s="1"/>
  <c r="W80" i="20" s="1"/>
  <c r="U34" i="20"/>
  <c r="T34" i="20" s="1"/>
  <c r="S34" i="20" s="1"/>
  <c r="R34" i="20" s="1"/>
  <c r="P34" i="20" s="1"/>
  <c r="V34" i="20" s="1"/>
  <c r="B34" i="20" s="1"/>
  <c r="W34" i="20" s="1"/>
  <c r="U373" i="20"/>
  <c r="T373" i="20" s="1"/>
  <c r="S373" i="20" s="1"/>
  <c r="R373" i="20" s="1"/>
  <c r="P373" i="20" s="1"/>
  <c r="V373" i="20" s="1"/>
  <c r="B373" i="20" s="1"/>
  <c r="D373" i="20" s="1"/>
  <c r="E373" i="20" s="1"/>
  <c r="F373" i="20" s="1"/>
  <c r="U256" i="20"/>
  <c r="T256" i="20" s="1"/>
  <c r="S256" i="20" s="1"/>
  <c r="R256" i="20" s="1"/>
  <c r="P256" i="20" s="1"/>
  <c r="V256" i="20" s="1"/>
  <c r="B256" i="20" s="1"/>
  <c r="U85" i="20"/>
  <c r="T85" i="20" s="1"/>
  <c r="S85" i="20" s="1"/>
  <c r="R85" i="20" s="1"/>
  <c r="P85" i="20" s="1"/>
  <c r="V85" i="20" s="1"/>
  <c r="B85" i="20" s="1"/>
  <c r="D85" i="20" s="1"/>
  <c r="E85" i="20" s="1"/>
  <c r="F85" i="20" s="1"/>
  <c r="U327" i="20"/>
  <c r="T327" i="20" s="1"/>
  <c r="S327" i="20" s="1"/>
  <c r="R327" i="20" s="1"/>
  <c r="P327" i="20" s="1"/>
  <c r="V327" i="20" s="1"/>
  <c r="B327" i="20" s="1"/>
  <c r="W327" i="20" s="1"/>
  <c r="U123" i="20"/>
  <c r="T123" i="20" s="1"/>
  <c r="S123" i="20" s="1"/>
  <c r="R123" i="20" s="1"/>
  <c r="P123" i="20" s="1"/>
  <c r="V123" i="20" s="1"/>
  <c r="B123" i="20" s="1"/>
  <c r="D123" i="20" s="1"/>
  <c r="E123" i="20" s="1"/>
  <c r="F123" i="20" s="1"/>
  <c r="U95" i="20"/>
  <c r="T95" i="20" s="1"/>
  <c r="S95" i="20" s="1"/>
  <c r="R95" i="20" s="1"/>
  <c r="P95" i="20" s="1"/>
  <c r="V95" i="20" s="1"/>
  <c r="B95" i="20" s="1"/>
  <c r="U184" i="20"/>
  <c r="T184" i="20" s="1"/>
  <c r="S184" i="20" s="1"/>
  <c r="R184" i="20" s="1"/>
  <c r="P184" i="20" s="1"/>
  <c r="V184" i="20" s="1"/>
  <c r="B184" i="20" s="1"/>
  <c r="W184" i="20" s="1"/>
  <c r="U284" i="20"/>
  <c r="T284" i="20" s="1"/>
  <c r="S284" i="20" s="1"/>
  <c r="R284" i="20" s="1"/>
  <c r="P284" i="20" s="1"/>
  <c r="V284" i="20" s="1"/>
  <c r="B284" i="20" s="1"/>
  <c r="W284" i="20" s="1"/>
  <c r="U185" i="20"/>
  <c r="T185" i="20" s="1"/>
  <c r="S185" i="20" s="1"/>
  <c r="R185" i="20" s="1"/>
  <c r="P185" i="20" s="1"/>
  <c r="V185" i="20" s="1"/>
  <c r="B185" i="20" s="1"/>
  <c r="W185" i="20" s="1"/>
  <c r="U238" i="20"/>
  <c r="T238" i="20" s="1"/>
  <c r="S238" i="20" s="1"/>
  <c r="R238" i="20" s="1"/>
  <c r="P238" i="20" s="1"/>
  <c r="V238" i="20" s="1"/>
  <c r="B238" i="20" s="1"/>
  <c r="U201" i="20"/>
  <c r="T201" i="20" s="1"/>
  <c r="S201" i="20" s="1"/>
  <c r="R201" i="20" s="1"/>
  <c r="P201" i="20" s="1"/>
  <c r="V201" i="20" s="1"/>
  <c r="B201" i="20" s="1"/>
  <c r="W201" i="20" s="1"/>
  <c r="U344" i="20"/>
  <c r="T344" i="20" s="1"/>
  <c r="S344" i="20" s="1"/>
  <c r="R344" i="20" s="1"/>
  <c r="P344" i="20" s="1"/>
  <c r="V344" i="20" s="1"/>
  <c r="B344" i="20" s="1"/>
  <c r="W344" i="20" s="1"/>
  <c r="U257" i="20"/>
  <c r="T257" i="20" s="1"/>
  <c r="S257" i="20" s="1"/>
  <c r="R257" i="20" s="1"/>
  <c r="P257" i="20" s="1"/>
  <c r="V257" i="20" s="1"/>
  <c r="B257" i="20" s="1"/>
  <c r="W257" i="20" s="1"/>
  <c r="U359" i="20"/>
  <c r="T359" i="20" s="1"/>
  <c r="S359" i="20" s="1"/>
  <c r="R359" i="20" s="1"/>
  <c r="P359" i="20" s="1"/>
  <c r="V359" i="20" s="1"/>
  <c r="B359" i="20" s="1"/>
  <c r="U338" i="20"/>
  <c r="T338" i="20" s="1"/>
  <c r="S338" i="20" s="1"/>
  <c r="R338" i="20" s="1"/>
  <c r="P338" i="20" s="1"/>
  <c r="V338" i="20" s="1"/>
  <c r="B338" i="20" s="1"/>
  <c r="W338" i="20" s="1"/>
  <c r="U198" i="20"/>
  <c r="T198" i="20" s="1"/>
  <c r="S198" i="20" s="1"/>
  <c r="R198" i="20" s="1"/>
  <c r="P198" i="20" s="1"/>
  <c r="V198" i="20" s="1"/>
  <c r="B198" i="20" s="1"/>
  <c r="D198" i="20" s="1"/>
  <c r="E198" i="20" s="1"/>
  <c r="F198" i="20" s="1"/>
  <c r="U83" i="20"/>
  <c r="T83" i="20" s="1"/>
  <c r="S83" i="20" s="1"/>
  <c r="R83" i="20" s="1"/>
  <c r="P83" i="20" s="1"/>
  <c r="V83" i="20" s="1"/>
  <c r="B83" i="20" s="1"/>
  <c r="W83" i="20" s="1"/>
  <c r="U299" i="20"/>
  <c r="T299" i="20" s="1"/>
  <c r="S299" i="20" s="1"/>
  <c r="R299" i="20" s="1"/>
  <c r="P299" i="20" s="1"/>
  <c r="V299" i="20" s="1"/>
  <c r="B299" i="20" s="1"/>
  <c r="U312" i="20"/>
  <c r="T312" i="20" s="1"/>
  <c r="S312" i="20" s="1"/>
  <c r="R312" i="20" s="1"/>
  <c r="P312" i="20" s="1"/>
  <c r="V312" i="20" s="1"/>
  <c r="B312" i="20" s="1"/>
  <c r="W312" i="20" s="1"/>
  <c r="U285" i="20"/>
  <c r="T285" i="20" s="1"/>
  <c r="S285" i="20" s="1"/>
  <c r="R285" i="20" s="1"/>
  <c r="P285" i="20" s="1"/>
  <c r="V285" i="20" s="1"/>
  <c r="B285" i="20" s="1"/>
  <c r="D285" i="20" s="1"/>
  <c r="E285" i="20" s="1"/>
  <c r="F285" i="20" s="1"/>
  <c r="U104" i="20"/>
  <c r="T104" i="20" s="1"/>
  <c r="S104" i="20" s="1"/>
  <c r="R104" i="20" s="1"/>
  <c r="P104" i="20" s="1"/>
  <c r="V104" i="20" s="1"/>
  <c r="B104" i="20" s="1"/>
  <c r="D104" i="20" s="1"/>
  <c r="E104" i="20" s="1"/>
  <c r="F104" i="20" s="1"/>
  <c r="U28" i="20"/>
  <c r="T28" i="20" s="1"/>
  <c r="S28" i="20" s="1"/>
  <c r="R28" i="20" s="1"/>
  <c r="P28" i="20" s="1"/>
  <c r="V28" i="20" s="1"/>
  <c r="B28" i="20" s="1"/>
  <c r="W28" i="20" s="1"/>
  <c r="U89" i="20"/>
  <c r="T89" i="20" s="1"/>
  <c r="S89" i="20" s="1"/>
  <c r="R89" i="20" s="1"/>
  <c r="P89" i="20" s="1"/>
  <c r="V89" i="20" s="1"/>
  <c r="B89" i="20" s="1"/>
  <c r="W89" i="20" s="1"/>
  <c r="U152" i="20"/>
  <c r="T152" i="20" s="1"/>
  <c r="S152" i="20" s="1"/>
  <c r="R152" i="20" s="1"/>
  <c r="P152" i="20" s="1"/>
  <c r="V152" i="20" s="1"/>
  <c r="B152" i="20" s="1"/>
  <c r="W152" i="20" s="1"/>
  <c r="U313" i="20"/>
  <c r="T313" i="20" s="1"/>
  <c r="S313" i="20" s="1"/>
  <c r="R313" i="20" s="1"/>
  <c r="P313" i="20" s="1"/>
  <c r="V313" i="20" s="1"/>
  <c r="B313" i="20" s="1"/>
  <c r="W313" i="20" s="1"/>
  <c r="U180" i="20"/>
  <c r="T180" i="20" s="1"/>
  <c r="S180" i="20" s="1"/>
  <c r="R180" i="20" s="1"/>
  <c r="P180" i="20" s="1"/>
  <c r="AH25" i="7" s="1"/>
  <c r="U33" i="20"/>
  <c r="T33" i="20" s="1"/>
  <c r="S33" i="20" s="1"/>
  <c r="R33" i="20" s="1"/>
  <c r="P33" i="20" s="1"/>
  <c r="V33" i="20" s="1"/>
  <c r="B33" i="20" s="1"/>
  <c r="D33" i="20" s="1"/>
  <c r="E33" i="20" s="1"/>
  <c r="F33" i="20" s="1"/>
  <c r="U277" i="20"/>
  <c r="T277" i="20" s="1"/>
  <c r="S277" i="20" s="1"/>
  <c r="R277" i="20" s="1"/>
  <c r="P277" i="20" s="1"/>
  <c r="V277" i="20" s="1"/>
  <c r="B277" i="20" s="1"/>
  <c r="W277" i="20" s="1"/>
  <c r="U164" i="20"/>
  <c r="T164" i="20" s="1"/>
  <c r="S164" i="20" s="1"/>
  <c r="R164" i="20" s="1"/>
  <c r="P164" i="20" s="1"/>
  <c r="V164" i="20" s="1"/>
  <c r="B164" i="20" s="1"/>
  <c r="D164" i="20" s="1"/>
  <c r="E164" i="20" s="1"/>
  <c r="F164" i="20" s="1"/>
  <c r="U209" i="20"/>
  <c r="T209" i="20" s="1"/>
  <c r="S209" i="20" s="1"/>
  <c r="R209" i="20" s="1"/>
  <c r="P209" i="20" s="1"/>
  <c r="V209" i="20" s="1"/>
  <c r="B209" i="20" s="1"/>
  <c r="D209" i="20" s="1"/>
  <c r="E209" i="20" s="1"/>
  <c r="F209" i="20" s="1"/>
  <c r="U21" i="20"/>
  <c r="T21" i="20" s="1"/>
  <c r="S21" i="20" s="1"/>
  <c r="R21" i="20" s="1"/>
  <c r="P21" i="20" s="1"/>
  <c r="V21" i="20" s="1"/>
  <c r="B21" i="20" s="1"/>
  <c r="W21" i="20" s="1"/>
  <c r="U174" i="20"/>
  <c r="T174" i="20" s="1"/>
  <c r="S174" i="20" s="1"/>
  <c r="R174" i="20" s="1"/>
  <c r="P174" i="20" s="1"/>
  <c r="V174" i="20" s="1"/>
  <c r="B174" i="20" s="1"/>
  <c r="W174" i="20" s="1"/>
  <c r="U42" i="20"/>
  <c r="T42" i="20" s="1"/>
  <c r="S42" i="20" s="1"/>
  <c r="R42" i="20" s="1"/>
  <c r="P42" i="20" s="1"/>
  <c r="V42" i="20" s="1"/>
  <c r="B42" i="20" s="1"/>
  <c r="W42" i="20" s="1"/>
  <c r="U305" i="20"/>
  <c r="T305" i="20" s="1"/>
  <c r="S305" i="20" s="1"/>
  <c r="R305" i="20" s="1"/>
  <c r="P305" i="20" s="1"/>
  <c r="V305" i="20" s="1"/>
  <c r="B305" i="20" s="1"/>
  <c r="D305" i="20" s="1"/>
  <c r="E305" i="20" s="1"/>
  <c r="F305" i="20" s="1"/>
  <c r="U363" i="20"/>
  <c r="T363" i="20" s="1"/>
  <c r="S363" i="20" s="1"/>
  <c r="R363" i="20" s="1"/>
  <c r="P363" i="20" s="1"/>
  <c r="V363" i="20" s="1"/>
  <c r="B363" i="20" s="1"/>
  <c r="U172" i="20"/>
  <c r="T172" i="20" s="1"/>
  <c r="S172" i="20" s="1"/>
  <c r="R172" i="20" s="1"/>
  <c r="P172" i="20" s="1"/>
  <c r="V172" i="20" s="1"/>
  <c r="B172" i="20" s="1"/>
  <c r="U60" i="20"/>
  <c r="T60" i="20" s="1"/>
  <c r="S60" i="20" s="1"/>
  <c r="R60" i="20" s="1"/>
  <c r="P60" i="20" s="1"/>
  <c r="V60" i="20" s="1"/>
  <c r="U248" i="20"/>
  <c r="T248" i="20" s="1"/>
  <c r="S248" i="20" s="1"/>
  <c r="R248" i="20" s="1"/>
  <c r="P248" i="20" s="1"/>
  <c r="V248" i="20" s="1"/>
  <c r="B248" i="20" s="1"/>
  <c r="U137" i="20"/>
  <c r="T137" i="20" s="1"/>
  <c r="S137" i="20" s="1"/>
  <c r="R137" i="20" s="1"/>
  <c r="P137" i="20" s="1"/>
  <c r="V137" i="20" s="1"/>
  <c r="B137" i="20" s="1"/>
  <c r="D137" i="20" s="1"/>
  <c r="E137" i="20" s="1"/>
  <c r="F137" i="20" s="1"/>
  <c r="U22" i="20"/>
  <c r="T22" i="20" s="1"/>
  <c r="S22" i="20" s="1"/>
  <c r="R22" i="20" s="1"/>
  <c r="P22" i="20" s="1"/>
  <c r="V22" i="20" s="1"/>
  <c r="B22" i="20" s="1"/>
  <c r="W22" i="20" s="1"/>
  <c r="U288" i="20"/>
  <c r="T288" i="20" s="1"/>
  <c r="S288" i="20" s="1"/>
  <c r="R288" i="20" s="1"/>
  <c r="P288" i="20" s="1"/>
  <c r="V288" i="20" s="1"/>
  <c r="B288" i="20" s="1"/>
  <c r="D288" i="20" s="1"/>
  <c r="E288" i="20" s="1"/>
  <c r="F288" i="20" s="1"/>
  <c r="U252" i="20"/>
  <c r="T252" i="20" s="1"/>
  <c r="S252" i="20" s="1"/>
  <c r="R252" i="20" s="1"/>
  <c r="P252" i="20" s="1"/>
  <c r="V252" i="20" s="1"/>
  <c r="B252" i="20" s="1"/>
  <c r="U341" i="20"/>
  <c r="T341" i="20" s="1"/>
  <c r="S341" i="20" s="1"/>
  <c r="R341" i="20" s="1"/>
  <c r="P341" i="20" s="1"/>
  <c r="V341" i="20" s="1"/>
  <c r="B341" i="20" s="1"/>
  <c r="D341" i="20" s="1"/>
  <c r="E341" i="20" s="1"/>
  <c r="F341" i="20" s="1"/>
  <c r="U226" i="20"/>
  <c r="T226" i="20" s="1"/>
  <c r="S226" i="20" s="1"/>
  <c r="R226" i="20" s="1"/>
  <c r="P226" i="20" s="1"/>
  <c r="V226" i="20" s="1"/>
  <c r="B226" i="20" s="1"/>
  <c r="W226" i="20" s="1"/>
  <c r="U171" i="20"/>
  <c r="T171" i="20" s="1"/>
  <c r="S171" i="20" s="1"/>
  <c r="R171" i="20" s="1"/>
  <c r="P171" i="20" s="1"/>
  <c r="V171" i="20" s="1"/>
  <c r="B171" i="20" s="1"/>
  <c r="W171" i="20" s="1"/>
  <c r="U120" i="20"/>
  <c r="T120" i="20" s="1"/>
  <c r="S120" i="20" s="1"/>
  <c r="R120" i="20" s="1"/>
  <c r="P120" i="20" s="1"/>
  <c r="V120" i="20" s="1"/>
  <c r="B120" i="20" s="1"/>
  <c r="U308" i="20"/>
  <c r="T308" i="20" s="1"/>
  <c r="S308" i="20" s="1"/>
  <c r="R308" i="20" s="1"/>
  <c r="P308" i="20" s="1"/>
  <c r="V308" i="20" s="1"/>
  <c r="B308" i="20" s="1"/>
  <c r="D308" i="20" s="1"/>
  <c r="E308" i="20" s="1"/>
  <c r="F308" i="20" s="1"/>
  <c r="U46" i="20"/>
  <c r="T46" i="20" s="1"/>
  <c r="S46" i="20" s="1"/>
  <c r="R46" i="20" s="1"/>
  <c r="P46" i="20" s="1"/>
  <c r="V46" i="20" s="1"/>
  <c r="B46" i="20" s="1"/>
  <c r="W46" i="20" s="1"/>
  <c r="U300" i="20"/>
  <c r="T300" i="20" s="1"/>
  <c r="S300" i="20" s="1"/>
  <c r="R300" i="20" s="1"/>
  <c r="P300" i="20" s="1"/>
  <c r="V300" i="20" s="1"/>
  <c r="B300" i="20" s="1"/>
  <c r="D300" i="20" s="1"/>
  <c r="E300" i="20" s="1"/>
  <c r="F300" i="20" s="1"/>
  <c r="U147" i="20"/>
  <c r="T147" i="20" s="1"/>
  <c r="S147" i="20" s="1"/>
  <c r="R147" i="20" s="1"/>
  <c r="P147" i="20" s="1"/>
  <c r="V147" i="20" s="1"/>
  <c r="B147" i="20" s="1"/>
  <c r="U279" i="20"/>
  <c r="T279" i="20" s="1"/>
  <c r="S279" i="20" s="1"/>
  <c r="R279" i="20" s="1"/>
  <c r="P279" i="20" s="1"/>
  <c r="V279" i="20" s="1"/>
  <c r="B279" i="20" s="1"/>
  <c r="W279" i="20" s="1"/>
  <c r="U353" i="20"/>
  <c r="T353" i="20" s="1"/>
  <c r="S353" i="20" s="1"/>
  <c r="R353" i="20" s="1"/>
  <c r="P353" i="20" s="1"/>
  <c r="V353" i="20" s="1"/>
  <c r="B353" i="20" s="1"/>
  <c r="D353" i="20" s="1"/>
  <c r="E353" i="20" s="1"/>
  <c r="F353" i="20" s="1"/>
  <c r="U48" i="20"/>
  <c r="T48" i="20" s="1"/>
  <c r="S48" i="20" s="1"/>
  <c r="R48" i="20" s="1"/>
  <c r="P48" i="20" s="1"/>
  <c r="V48" i="20" s="1"/>
  <c r="B48" i="20" s="1"/>
  <c r="D48" i="20" s="1"/>
  <c r="E48" i="20" s="1"/>
  <c r="F48" i="20" s="1"/>
  <c r="U371" i="20"/>
  <c r="T371" i="20" s="1"/>
  <c r="S371" i="20" s="1"/>
  <c r="R371" i="20" s="1"/>
  <c r="P371" i="20" s="1"/>
  <c r="V371" i="20" s="1"/>
  <c r="B371" i="20" s="1"/>
  <c r="W371" i="20" s="1"/>
  <c r="U93" i="20"/>
  <c r="T93" i="20" s="1"/>
  <c r="S93" i="20" s="1"/>
  <c r="R93" i="20" s="1"/>
  <c r="P93" i="20" s="1"/>
  <c r="V93" i="20" s="1"/>
  <c r="B93" i="20" s="1"/>
  <c r="W93" i="20" s="1"/>
  <c r="U29" i="20"/>
  <c r="T29" i="20" s="1"/>
  <c r="S29" i="20" s="1"/>
  <c r="R29" i="20" s="1"/>
  <c r="P29" i="20" s="1"/>
  <c r="U139" i="20"/>
  <c r="T139" i="20" s="1"/>
  <c r="S139" i="20" s="1"/>
  <c r="R139" i="20" s="1"/>
  <c r="P139" i="20" s="1"/>
  <c r="V139" i="20" s="1"/>
  <c r="B139" i="20" s="1"/>
  <c r="D139" i="20" s="1"/>
  <c r="E139" i="20" s="1"/>
  <c r="F139" i="20" s="1"/>
  <c r="U126" i="20"/>
  <c r="T126" i="20" s="1"/>
  <c r="S126" i="20" s="1"/>
  <c r="R126" i="20" s="1"/>
  <c r="P126" i="20" s="1"/>
  <c r="V126" i="20" s="1"/>
  <c r="B126" i="20" s="1"/>
  <c r="U294" i="20"/>
  <c r="T294" i="20" s="1"/>
  <c r="S294" i="20" s="1"/>
  <c r="R294" i="20" s="1"/>
  <c r="P294" i="20" s="1"/>
  <c r="V294" i="20" s="1"/>
  <c r="B294" i="20" s="1"/>
  <c r="D294" i="20" s="1"/>
  <c r="E294" i="20" s="1"/>
  <c r="F294" i="20" s="1"/>
  <c r="U219" i="20"/>
  <c r="T219" i="20" s="1"/>
  <c r="S219" i="20" s="1"/>
  <c r="R219" i="20" s="1"/>
  <c r="P219" i="20" s="1"/>
  <c r="V219" i="20" s="1"/>
  <c r="B219" i="20" s="1"/>
  <c r="U360" i="20"/>
  <c r="T360" i="20" s="1"/>
  <c r="S360" i="20" s="1"/>
  <c r="R360" i="20" s="1"/>
  <c r="P360" i="20" s="1"/>
  <c r="V360" i="20" s="1"/>
  <c r="B360" i="20" s="1"/>
  <c r="D360" i="20" s="1"/>
  <c r="E360" i="20" s="1"/>
  <c r="F360" i="20" s="1"/>
  <c r="U302" i="20"/>
  <c r="T302" i="20" s="1"/>
  <c r="S302" i="20" s="1"/>
  <c r="R302" i="20" s="1"/>
  <c r="P302" i="20" s="1"/>
  <c r="V302" i="20" s="1"/>
  <c r="U144" i="20"/>
  <c r="T144" i="20" s="1"/>
  <c r="S144" i="20" s="1"/>
  <c r="R144" i="20" s="1"/>
  <c r="P144" i="20" s="1"/>
  <c r="V144" i="20" s="1"/>
  <c r="B144" i="20" s="1"/>
  <c r="D144" i="20" s="1"/>
  <c r="E144" i="20" s="1"/>
  <c r="F144" i="20" s="1"/>
  <c r="U354" i="20"/>
  <c r="T354" i="20" s="1"/>
  <c r="S354" i="20" s="1"/>
  <c r="R354" i="20" s="1"/>
  <c r="P354" i="20" s="1"/>
  <c r="V354" i="20" s="1"/>
  <c r="B354" i="20" s="1"/>
  <c r="W354" i="20" s="1"/>
  <c r="U368" i="20"/>
  <c r="T368" i="20" s="1"/>
  <c r="S368" i="20" s="1"/>
  <c r="R368" i="20" s="1"/>
  <c r="P368" i="20" s="1"/>
  <c r="V368" i="20" s="1"/>
  <c r="B368" i="20" s="1"/>
  <c r="W368" i="20" s="1"/>
  <c r="U205" i="20"/>
  <c r="T205" i="20" s="1"/>
  <c r="S205" i="20" s="1"/>
  <c r="R205" i="20" s="1"/>
  <c r="P205" i="20" s="1"/>
  <c r="V205" i="20" s="1"/>
  <c r="B205" i="20" s="1"/>
  <c r="U356" i="20"/>
  <c r="T356" i="20" s="1"/>
  <c r="S356" i="20" s="1"/>
  <c r="R356" i="20" s="1"/>
  <c r="P356" i="20" s="1"/>
  <c r="V356" i="20" s="1"/>
  <c r="B356" i="20" s="1"/>
  <c r="D356" i="20" s="1"/>
  <c r="E356" i="20" s="1"/>
  <c r="F356" i="20" s="1"/>
  <c r="U110" i="20"/>
  <c r="T110" i="20" s="1"/>
  <c r="S110" i="20" s="1"/>
  <c r="R110" i="20" s="1"/>
  <c r="P110" i="20" s="1"/>
  <c r="V110" i="20" s="1"/>
  <c r="B110" i="20" s="1"/>
  <c r="U112" i="20"/>
  <c r="T112" i="20" s="1"/>
  <c r="S112" i="20" s="1"/>
  <c r="R112" i="20" s="1"/>
  <c r="P112" i="20" s="1"/>
  <c r="V112" i="20" s="1"/>
  <c r="B112" i="20" s="1"/>
  <c r="D112" i="20" s="1"/>
  <c r="E112" i="20" s="1"/>
  <c r="F112" i="20" s="1"/>
  <c r="U372" i="20"/>
  <c r="T372" i="20" s="1"/>
  <c r="S372" i="20" s="1"/>
  <c r="R372" i="20" s="1"/>
  <c r="P372" i="20" s="1"/>
  <c r="V372" i="20" s="1"/>
  <c r="B372" i="20" s="1"/>
  <c r="D372" i="20" s="1"/>
  <c r="E372" i="20" s="1"/>
  <c r="F372" i="20" s="1"/>
  <c r="U64" i="20"/>
  <c r="T64" i="20" s="1"/>
  <c r="S64" i="20" s="1"/>
  <c r="R64" i="20" s="1"/>
  <c r="P64" i="20" s="1"/>
  <c r="V64" i="20" s="1"/>
  <c r="B64" i="20" s="1"/>
  <c r="W64" i="20" s="1"/>
  <c r="U222" i="20"/>
  <c r="T222" i="20" s="1"/>
  <c r="S222" i="20" s="1"/>
  <c r="R222" i="20" s="1"/>
  <c r="P222" i="20" s="1"/>
  <c r="V222" i="20" s="1"/>
  <c r="B222" i="20" s="1"/>
  <c r="U334" i="20"/>
  <c r="T334" i="20" s="1"/>
  <c r="S334" i="20" s="1"/>
  <c r="R334" i="20" s="1"/>
  <c r="P334" i="20" s="1"/>
  <c r="V334" i="20" s="1"/>
  <c r="B334" i="20" s="1"/>
  <c r="W334" i="20" s="1"/>
  <c r="U303" i="20"/>
  <c r="T303" i="20" s="1"/>
  <c r="S303" i="20" s="1"/>
  <c r="R303" i="20" s="1"/>
  <c r="P303" i="20" s="1"/>
  <c r="V303" i="20" s="1"/>
  <c r="B303" i="20" s="1"/>
  <c r="W303" i="20" s="1"/>
  <c r="U109" i="20"/>
  <c r="T109" i="20" s="1"/>
  <c r="S109" i="20" s="1"/>
  <c r="R109" i="20" s="1"/>
  <c r="P109" i="20" s="1"/>
  <c r="V109" i="20" s="1"/>
  <c r="B109" i="20" s="1"/>
  <c r="D109" i="20" s="1"/>
  <c r="E109" i="20" s="1"/>
  <c r="F109" i="20" s="1"/>
  <c r="U45" i="20"/>
  <c r="T45" i="20" s="1"/>
  <c r="S45" i="20" s="1"/>
  <c r="R45" i="20" s="1"/>
  <c r="P45" i="20" s="1"/>
  <c r="V45" i="20" s="1"/>
  <c r="B45" i="20" s="1"/>
  <c r="W45" i="20" s="1"/>
  <c r="U116" i="20"/>
  <c r="T116" i="20" s="1"/>
  <c r="S116" i="20" s="1"/>
  <c r="R116" i="20" s="1"/>
  <c r="P116" i="20" s="1"/>
  <c r="V116" i="20" s="1"/>
  <c r="B116" i="20" s="1"/>
  <c r="D116" i="20" s="1"/>
  <c r="E116" i="20" s="1"/>
  <c r="F116" i="20" s="1"/>
  <c r="U119" i="20"/>
  <c r="T119" i="20" s="1"/>
  <c r="S119" i="20" s="1"/>
  <c r="R119" i="20" s="1"/>
  <c r="P119" i="20" s="1"/>
  <c r="V119" i="20" s="1"/>
  <c r="U263" i="20"/>
  <c r="T263" i="20" s="1"/>
  <c r="S263" i="20" s="1"/>
  <c r="R263" i="20" s="1"/>
  <c r="P263" i="20" s="1"/>
  <c r="V263" i="20" s="1"/>
  <c r="B263" i="20" s="1"/>
  <c r="D263" i="20" s="1"/>
  <c r="E263" i="20" s="1"/>
  <c r="F263" i="20" s="1"/>
  <c r="U148" i="20"/>
  <c r="T148" i="20" s="1"/>
  <c r="S148" i="20" s="1"/>
  <c r="R148" i="20" s="1"/>
  <c r="P148" i="20" s="1"/>
  <c r="V148" i="20" s="1"/>
  <c r="B148" i="20" s="1"/>
  <c r="U269" i="20"/>
  <c r="T269" i="20" s="1"/>
  <c r="S269" i="20" s="1"/>
  <c r="R269" i="20" s="1"/>
  <c r="P269" i="20" s="1"/>
  <c r="V269" i="20" s="1"/>
  <c r="B269" i="20" s="1"/>
  <c r="W269" i="20" s="1"/>
  <c r="U365" i="20"/>
  <c r="T365" i="20" s="1"/>
  <c r="S365" i="20" s="1"/>
  <c r="R365" i="20" s="1"/>
  <c r="P365" i="20" s="1"/>
  <c r="V365" i="20" s="1"/>
  <c r="B365" i="20" s="1"/>
  <c r="D365" i="20" s="1"/>
  <c r="E365" i="20" s="1"/>
  <c r="F365" i="20" s="1"/>
  <c r="U143" i="20"/>
  <c r="T143" i="20" s="1"/>
  <c r="S143" i="20" s="1"/>
  <c r="R143" i="20" s="1"/>
  <c r="P143" i="20" s="1"/>
  <c r="V143" i="20" s="1"/>
  <c r="B143" i="20" s="1"/>
  <c r="W143" i="20" s="1"/>
  <c r="U41" i="20"/>
  <c r="T41" i="20" s="1"/>
  <c r="S41" i="20" s="1"/>
  <c r="R41" i="20" s="1"/>
  <c r="P41" i="20" s="1"/>
  <c r="V41" i="20" s="1"/>
  <c r="B41" i="20" s="1"/>
  <c r="W41" i="20" s="1"/>
  <c r="U61" i="20"/>
  <c r="T61" i="20" s="1"/>
  <c r="S61" i="20" s="1"/>
  <c r="R61" i="20" s="1"/>
  <c r="P61" i="20" s="1"/>
  <c r="V61" i="20" s="1"/>
  <c r="B61" i="20" s="1"/>
  <c r="D61" i="20" s="1"/>
  <c r="E61" i="20" s="1"/>
  <c r="F61" i="20" s="1"/>
  <c r="U319" i="20"/>
  <c r="T319" i="20" s="1"/>
  <c r="S319" i="20" s="1"/>
  <c r="R319" i="20" s="1"/>
  <c r="P319" i="20" s="1"/>
  <c r="V319" i="20" s="1"/>
  <c r="B319" i="20" s="1"/>
  <c r="U186" i="20"/>
  <c r="T186" i="20" s="1"/>
  <c r="S186" i="20" s="1"/>
  <c r="R186" i="20" s="1"/>
  <c r="P186" i="20" s="1"/>
  <c r="V186" i="20" s="1"/>
  <c r="B186" i="20" s="1"/>
  <c r="W186" i="20" s="1"/>
  <c r="U140" i="20"/>
  <c r="T140" i="20" s="1"/>
  <c r="S140" i="20" s="1"/>
  <c r="R140" i="20" s="1"/>
  <c r="P140" i="20" s="1"/>
  <c r="V140" i="20" s="1"/>
  <c r="B140" i="20" s="1"/>
  <c r="U111" i="20"/>
  <c r="T111" i="20" s="1"/>
  <c r="S111" i="20" s="1"/>
  <c r="R111" i="20" s="1"/>
  <c r="P111" i="20" s="1"/>
  <c r="V111" i="20" s="1"/>
  <c r="B111" i="20" s="1"/>
  <c r="D111" i="20" s="1"/>
  <c r="E111" i="20" s="1"/>
  <c r="F111" i="20" s="1"/>
  <c r="G224" i="18"/>
  <c r="CA224" i="6" s="1"/>
  <c r="G207" i="18"/>
  <c r="CA207" i="6" s="1"/>
  <c r="G321" i="18"/>
  <c r="CA321" i="6" s="1"/>
  <c r="G169" i="18"/>
  <c r="CA169" i="6" s="1"/>
  <c r="AA127" i="18"/>
  <c r="Z127" i="18" s="1"/>
  <c r="Y127" i="18" s="1"/>
  <c r="G305" i="18"/>
  <c r="CA305" i="6" s="1"/>
  <c r="AA147" i="18"/>
  <c r="Z147" i="18" s="1"/>
  <c r="Y147" i="18" s="1"/>
  <c r="AA132" i="18"/>
  <c r="Z132" i="18" s="1"/>
  <c r="Y132" i="18" s="1"/>
  <c r="H95" i="18"/>
  <c r="I95" i="18" s="1"/>
  <c r="B95" i="6" s="1"/>
  <c r="BA95" i="6" s="1"/>
  <c r="D95" i="6" s="1"/>
  <c r="AA343" i="18"/>
  <c r="Z343" i="18" s="1"/>
  <c r="Y343" i="18" s="1"/>
  <c r="G298" i="18"/>
  <c r="CA298" i="6" s="1"/>
  <c r="H30" i="18"/>
  <c r="J30" i="18" s="1"/>
  <c r="C30" i="6" s="1"/>
  <c r="G337" i="18"/>
  <c r="CA337" i="6" s="1"/>
  <c r="AA182" i="18"/>
  <c r="Z182" i="18" s="1"/>
  <c r="Y182" i="18" s="1"/>
  <c r="H40" i="18"/>
  <c r="J40" i="18" s="1"/>
  <c r="C40" i="6" s="1"/>
  <c r="G113" i="18"/>
  <c r="CA113" i="6" s="1"/>
  <c r="AA348" i="18"/>
  <c r="Z348" i="18" s="1"/>
  <c r="Y348" i="18" s="1"/>
  <c r="G94" i="18"/>
  <c r="CA94" i="6" s="1"/>
  <c r="AA126" i="18"/>
  <c r="Z126" i="18" s="1"/>
  <c r="Y126" i="18" s="1"/>
  <c r="G37" i="18"/>
  <c r="CA37" i="6" s="1"/>
  <c r="G215" i="18"/>
  <c r="CA215" i="6" s="1"/>
  <c r="AA307" i="18"/>
  <c r="Z307" i="18" s="1"/>
  <c r="Y307" i="18" s="1"/>
  <c r="AA251" i="18"/>
  <c r="Z251" i="18" s="1"/>
  <c r="Y251" i="18" s="1"/>
  <c r="AA245" i="18"/>
  <c r="Z245" i="18" s="1"/>
  <c r="Y245" i="18" s="1"/>
  <c r="AE381" i="20"/>
  <c r="AA278" i="18"/>
  <c r="Z278" i="18" s="1"/>
  <c r="Y278" i="18" s="1"/>
  <c r="AA236" i="18"/>
  <c r="Z236" i="18" s="1"/>
  <c r="Y236" i="18" s="1"/>
  <c r="AA162" i="18"/>
  <c r="Z162" i="18" s="1"/>
  <c r="Y162" i="18" s="1"/>
  <c r="AG382" i="18"/>
  <c r="U160" i="20"/>
  <c r="T160" i="20" s="1"/>
  <c r="S160" i="20" s="1"/>
  <c r="R160" i="20" s="1"/>
  <c r="P160" i="20" s="1"/>
  <c r="V160" i="20" s="1"/>
  <c r="B160" i="20" s="1"/>
  <c r="W160" i="20" s="1"/>
  <c r="U155" i="20"/>
  <c r="T155" i="20" s="1"/>
  <c r="S155" i="20" s="1"/>
  <c r="R155" i="20" s="1"/>
  <c r="P155" i="20" s="1"/>
  <c r="V155" i="20" s="1"/>
  <c r="B155" i="20" s="1"/>
  <c r="D155" i="20" s="1"/>
  <c r="E155" i="20" s="1"/>
  <c r="F155" i="20" s="1"/>
  <c r="U282" i="20"/>
  <c r="T282" i="20" s="1"/>
  <c r="S282" i="20" s="1"/>
  <c r="R282" i="20" s="1"/>
  <c r="P282" i="20" s="1"/>
  <c r="V282" i="20" s="1"/>
  <c r="B282" i="20" s="1"/>
  <c r="U79" i="20"/>
  <c r="T79" i="20" s="1"/>
  <c r="S79" i="20" s="1"/>
  <c r="R79" i="20" s="1"/>
  <c r="P79" i="20" s="1"/>
  <c r="V79" i="20" s="1"/>
  <c r="B79" i="20" s="1"/>
  <c r="D79" i="20" s="1"/>
  <c r="E79" i="20" s="1"/>
  <c r="F79" i="20" s="1"/>
  <c r="U234" i="20"/>
  <c r="T234" i="20" s="1"/>
  <c r="S234" i="20" s="1"/>
  <c r="R234" i="20" s="1"/>
  <c r="P234" i="20" s="1"/>
  <c r="V234" i="20" s="1"/>
  <c r="B234" i="20" s="1"/>
  <c r="U197" i="20"/>
  <c r="T197" i="20" s="1"/>
  <c r="S197" i="20" s="1"/>
  <c r="R197" i="20" s="1"/>
  <c r="P197" i="20" s="1"/>
  <c r="V197" i="20" s="1"/>
  <c r="B197" i="20" s="1"/>
  <c r="D197" i="20" s="1"/>
  <c r="E197" i="20" s="1"/>
  <c r="F197" i="20" s="1"/>
  <c r="U49" i="20"/>
  <c r="T49" i="20" s="1"/>
  <c r="S49" i="20" s="1"/>
  <c r="R49" i="20" s="1"/>
  <c r="P49" i="20" s="1"/>
  <c r="V49" i="20" s="1"/>
  <c r="B49" i="20" s="1"/>
  <c r="W49" i="20" s="1"/>
  <c r="U343" i="20"/>
  <c r="T343" i="20" s="1"/>
  <c r="S343" i="20" s="1"/>
  <c r="R343" i="20" s="1"/>
  <c r="P343" i="20" s="1"/>
  <c r="V343" i="20" s="1"/>
  <c r="B343" i="20" s="1"/>
  <c r="W343" i="20" s="1"/>
  <c r="U52" i="20"/>
  <c r="T52" i="20" s="1"/>
  <c r="S52" i="20" s="1"/>
  <c r="R52" i="20" s="1"/>
  <c r="P52" i="20" s="1"/>
  <c r="V52" i="20" s="1"/>
  <c r="B52" i="20" s="1"/>
  <c r="U124" i="20"/>
  <c r="T124" i="20" s="1"/>
  <c r="S124" i="20" s="1"/>
  <c r="R124" i="20" s="1"/>
  <c r="P124" i="20" s="1"/>
  <c r="V124" i="20" s="1"/>
  <c r="B124" i="20" s="1"/>
  <c r="W124" i="20" s="1"/>
  <c r="U224" i="20"/>
  <c r="T224" i="20" s="1"/>
  <c r="S224" i="20" s="1"/>
  <c r="R224" i="20" s="1"/>
  <c r="P224" i="20" s="1"/>
  <c r="V224" i="20" s="1"/>
  <c r="B224" i="20" s="1"/>
  <c r="W224" i="20" s="1"/>
  <c r="U348" i="20"/>
  <c r="T348" i="20" s="1"/>
  <c r="S348" i="20" s="1"/>
  <c r="R348" i="20" s="1"/>
  <c r="P348" i="20" s="1"/>
  <c r="V348" i="20" s="1"/>
  <c r="B348" i="20" s="1"/>
  <c r="D348" i="20" s="1"/>
  <c r="E348" i="20" s="1"/>
  <c r="F348" i="20" s="1"/>
  <c r="U182" i="20"/>
  <c r="T182" i="20" s="1"/>
  <c r="S182" i="20" s="1"/>
  <c r="R182" i="20" s="1"/>
  <c r="P182" i="20" s="1"/>
  <c r="V182" i="20" s="1"/>
  <c r="B182" i="20" s="1"/>
  <c r="D182" i="20" s="1"/>
  <c r="E182" i="20" s="1"/>
  <c r="F182" i="20" s="1"/>
  <c r="U246" i="20"/>
  <c r="T246" i="20" s="1"/>
  <c r="S246" i="20" s="1"/>
  <c r="R246" i="20" s="1"/>
  <c r="P246" i="20" s="1"/>
  <c r="V246" i="20" s="1"/>
  <c r="B246" i="20" s="1"/>
  <c r="W246" i="20" s="1"/>
  <c r="U202" i="20"/>
  <c r="T202" i="20" s="1"/>
  <c r="S202" i="20" s="1"/>
  <c r="R202" i="20" s="1"/>
  <c r="P202" i="20" s="1"/>
  <c r="V202" i="20" s="1"/>
  <c r="B202" i="20" s="1"/>
  <c r="U346" i="20"/>
  <c r="T346" i="20" s="1"/>
  <c r="S346" i="20" s="1"/>
  <c r="R346" i="20" s="1"/>
  <c r="P346" i="20" s="1"/>
  <c r="V346" i="20" s="1"/>
  <c r="B346" i="20" s="1"/>
  <c r="D346" i="20" s="1"/>
  <c r="E346" i="20" s="1"/>
  <c r="F346" i="20" s="1"/>
  <c r="U161" i="20"/>
  <c r="T161" i="20" s="1"/>
  <c r="S161" i="20" s="1"/>
  <c r="R161" i="20" s="1"/>
  <c r="P161" i="20" s="1"/>
  <c r="V161" i="20" s="1"/>
  <c r="B161" i="20" s="1"/>
  <c r="W161" i="20" s="1"/>
  <c r="U191" i="20"/>
  <c r="T191" i="20" s="1"/>
  <c r="S191" i="20" s="1"/>
  <c r="R191" i="20" s="1"/>
  <c r="P191" i="20" s="1"/>
  <c r="V191" i="20" s="1"/>
  <c r="B191" i="20" s="1"/>
  <c r="D191" i="20" s="1"/>
  <c r="E191" i="20" s="1"/>
  <c r="F191" i="20" s="1"/>
  <c r="U108" i="20"/>
  <c r="T108" i="20" s="1"/>
  <c r="S108" i="20" s="1"/>
  <c r="R108" i="20" s="1"/>
  <c r="P108" i="20" s="1"/>
  <c r="V108" i="20" s="1"/>
  <c r="B108" i="20" s="1"/>
  <c r="U23" i="20"/>
  <c r="T23" i="20" s="1"/>
  <c r="S23" i="20" s="1"/>
  <c r="R23" i="20" s="1"/>
  <c r="P23" i="20" s="1"/>
  <c r="V23" i="20" s="1"/>
  <c r="B23" i="20" s="1"/>
  <c r="W23" i="20" s="1"/>
  <c r="U142" i="20"/>
  <c r="T142" i="20" s="1"/>
  <c r="S142" i="20" s="1"/>
  <c r="R142" i="20" s="1"/>
  <c r="P142" i="20" s="1"/>
  <c r="V142" i="20" s="1"/>
  <c r="B142" i="20" s="1"/>
  <c r="U168" i="20"/>
  <c r="T168" i="20" s="1"/>
  <c r="S168" i="20" s="1"/>
  <c r="R168" i="20" s="1"/>
  <c r="P168" i="20" s="1"/>
  <c r="V168" i="20" s="1"/>
  <c r="B168" i="20" s="1"/>
  <c r="W168" i="20" s="1"/>
  <c r="U76" i="20"/>
  <c r="T76" i="20" s="1"/>
  <c r="S76" i="20" s="1"/>
  <c r="R76" i="20" s="1"/>
  <c r="P76" i="20" s="1"/>
  <c r="V76" i="20" s="1"/>
  <c r="B76" i="20" s="1"/>
  <c r="W76" i="20" s="1"/>
  <c r="U118" i="20"/>
  <c r="T118" i="20" s="1"/>
  <c r="S118" i="20" s="1"/>
  <c r="R118" i="20" s="1"/>
  <c r="P118" i="20" s="1"/>
  <c r="V118" i="20" s="1"/>
  <c r="B118" i="20" s="1"/>
  <c r="D118" i="20" s="1"/>
  <c r="E118" i="20" s="1"/>
  <c r="F118" i="20" s="1"/>
  <c r="U289" i="20"/>
  <c r="T289" i="20" s="1"/>
  <c r="S289" i="20" s="1"/>
  <c r="R289" i="20" s="1"/>
  <c r="P289" i="20" s="1"/>
  <c r="V289" i="20" s="1"/>
  <c r="B289" i="20" s="1"/>
  <c r="U63" i="20"/>
  <c r="T63" i="20" s="1"/>
  <c r="S63" i="20" s="1"/>
  <c r="R63" i="20" s="1"/>
  <c r="P63" i="20" s="1"/>
  <c r="V63" i="20" s="1"/>
  <c r="B63" i="20" s="1"/>
  <c r="W63" i="20" s="1"/>
  <c r="U298" i="20"/>
  <c r="T298" i="20" s="1"/>
  <c r="S298" i="20" s="1"/>
  <c r="R298" i="20" s="1"/>
  <c r="P298" i="20" s="1"/>
  <c r="V298" i="20" s="1"/>
  <c r="B298" i="20" s="1"/>
  <c r="D298" i="20" s="1"/>
  <c r="E298" i="20" s="1"/>
  <c r="F298" i="20" s="1"/>
  <c r="U251" i="20"/>
  <c r="T251" i="20" s="1"/>
  <c r="S251" i="20" s="1"/>
  <c r="R251" i="20" s="1"/>
  <c r="P251" i="20" s="1"/>
  <c r="V251" i="20" s="1"/>
  <c r="B251" i="20" s="1"/>
  <c r="D251" i="20" s="1"/>
  <c r="E251" i="20" s="1"/>
  <c r="F251" i="20" s="1"/>
  <c r="U358" i="20"/>
  <c r="T358" i="20" s="1"/>
  <c r="S358" i="20" s="1"/>
  <c r="R358" i="20" s="1"/>
  <c r="P358" i="20" s="1"/>
  <c r="V358" i="20" s="1"/>
  <c r="B358" i="20" s="1"/>
  <c r="W358" i="20" s="1"/>
  <c r="U290" i="20"/>
  <c r="T290" i="20" s="1"/>
  <c r="S290" i="20" s="1"/>
  <c r="R290" i="20" s="1"/>
  <c r="P290" i="20" s="1"/>
  <c r="V290" i="20" s="1"/>
  <c r="B290" i="20" s="1"/>
  <c r="D290" i="20" s="1"/>
  <c r="E290" i="20" s="1"/>
  <c r="F290" i="20" s="1"/>
  <c r="U271" i="20"/>
  <c r="T271" i="20" s="1"/>
  <c r="S271" i="20" s="1"/>
  <c r="R271" i="20" s="1"/>
  <c r="P271" i="20" s="1"/>
  <c r="V271" i="20" s="1"/>
  <c r="B271" i="20" s="1"/>
  <c r="U170" i="20"/>
  <c r="T170" i="20" s="1"/>
  <c r="S170" i="20" s="1"/>
  <c r="R170" i="20" s="1"/>
  <c r="P170" i="20" s="1"/>
  <c r="V170" i="20" s="1"/>
  <c r="B170" i="20" s="1"/>
  <c r="W170" i="20" s="1"/>
  <c r="U258" i="20"/>
  <c r="T258" i="20" s="1"/>
  <c r="S258" i="20" s="1"/>
  <c r="R258" i="20" s="1"/>
  <c r="P258" i="20" s="1"/>
  <c r="V258" i="20" s="1"/>
  <c r="B258" i="20" s="1"/>
  <c r="W258" i="20" s="1"/>
  <c r="U309" i="20"/>
  <c r="T309" i="20" s="1"/>
  <c r="S309" i="20" s="1"/>
  <c r="R309" i="20" s="1"/>
  <c r="P309" i="20" s="1"/>
  <c r="V309" i="20" s="1"/>
  <c r="B309" i="20" s="1"/>
  <c r="D309" i="20" s="1"/>
  <c r="E309" i="20" s="1"/>
  <c r="F309" i="20" s="1"/>
  <c r="U37" i="20"/>
  <c r="T37" i="20" s="1"/>
  <c r="S37" i="20" s="1"/>
  <c r="R37" i="20" s="1"/>
  <c r="P37" i="20" s="1"/>
  <c r="V37" i="20" s="1"/>
  <c r="B37" i="20" s="1"/>
  <c r="U328" i="20"/>
  <c r="T328" i="20" s="1"/>
  <c r="S328" i="20" s="1"/>
  <c r="R328" i="20" s="1"/>
  <c r="P328" i="20" s="1"/>
  <c r="V328" i="20" s="1"/>
  <c r="B328" i="20" s="1"/>
  <c r="W328" i="20" s="1"/>
  <c r="U295" i="20"/>
  <c r="T295" i="20" s="1"/>
  <c r="S295" i="20" s="1"/>
  <c r="R295" i="20" s="1"/>
  <c r="P295" i="20" s="1"/>
  <c r="V295" i="20" s="1"/>
  <c r="B295" i="20" s="1"/>
  <c r="U81" i="20"/>
  <c r="T81" i="20" s="1"/>
  <c r="S81" i="20" s="1"/>
  <c r="R81" i="20" s="1"/>
  <c r="P81" i="20" s="1"/>
  <c r="V81" i="20" s="1"/>
  <c r="B81" i="20" s="1"/>
  <c r="D81" i="20" s="1"/>
  <c r="E81" i="20" s="1"/>
  <c r="F81" i="20" s="1"/>
  <c r="U38" i="20"/>
  <c r="T38" i="20" s="1"/>
  <c r="S38" i="20" s="1"/>
  <c r="R38" i="20" s="1"/>
  <c r="P38" i="20" s="1"/>
  <c r="V38" i="20" s="1"/>
  <c r="B38" i="20" s="1"/>
  <c r="D38" i="20" s="1"/>
  <c r="E38" i="20" s="1"/>
  <c r="F38" i="20" s="1"/>
  <c r="U82" i="20"/>
  <c r="T82" i="20" s="1"/>
  <c r="S82" i="20" s="1"/>
  <c r="R82" i="20" s="1"/>
  <c r="P82" i="20" s="1"/>
  <c r="V82" i="20" s="1"/>
  <c r="B82" i="20" s="1"/>
  <c r="W82" i="20" s="1"/>
  <c r="U320" i="20"/>
  <c r="T320" i="20" s="1"/>
  <c r="S320" i="20" s="1"/>
  <c r="R320" i="20" s="1"/>
  <c r="P320" i="20" s="1"/>
  <c r="V320" i="20" s="1"/>
  <c r="B320" i="20" s="1"/>
  <c r="D320" i="20" s="1"/>
  <c r="E320" i="20" s="1"/>
  <c r="F320" i="20" s="1"/>
  <c r="U72" i="20"/>
  <c r="T72" i="20" s="1"/>
  <c r="S72" i="20" s="1"/>
  <c r="R72" i="20" s="1"/>
  <c r="P72" i="20" s="1"/>
  <c r="V72" i="20" s="1"/>
  <c r="B72" i="20" s="1"/>
  <c r="D72" i="20" s="1"/>
  <c r="E72" i="20" s="1"/>
  <c r="F72" i="20" s="1"/>
  <c r="U262" i="20"/>
  <c r="T262" i="20" s="1"/>
  <c r="S262" i="20" s="1"/>
  <c r="R262" i="20" s="1"/>
  <c r="P262" i="20" s="1"/>
  <c r="V262" i="20" s="1"/>
  <c r="B262" i="20" s="1"/>
  <c r="U188" i="20"/>
  <c r="T188" i="20" s="1"/>
  <c r="S188" i="20" s="1"/>
  <c r="R188" i="20" s="1"/>
  <c r="P188" i="20" s="1"/>
  <c r="V188" i="20" s="1"/>
  <c r="B188" i="20" s="1"/>
  <c r="W188" i="20" s="1"/>
  <c r="U39" i="20"/>
  <c r="T39" i="20" s="1"/>
  <c r="S39" i="20" s="1"/>
  <c r="R39" i="20" s="1"/>
  <c r="P39" i="20" s="1"/>
  <c r="V39" i="20" s="1"/>
  <c r="B39" i="20" s="1"/>
  <c r="D39" i="20" s="1"/>
  <c r="E39" i="20" s="1"/>
  <c r="F39" i="20" s="1"/>
  <c r="U331" i="20"/>
  <c r="T331" i="20" s="1"/>
  <c r="S331" i="20" s="1"/>
  <c r="R331" i="20" s="1"/>
  <c r="P331" i="20" s="1"/>
  <c r="V331" i="20" s="1"/>
  <c r="B331" i="20" s="1"/>
  <c r="D331" i="20" s="1"/>
  <c r="E331" i="20" s="1"/>
  <c r="F331" i="20" s="1"/>
  <c r="U247" i="20"/>
  <c r="T247" i="20" s="1"/>
  <c r="S247" i="20" s="1"/>
  <c r="R247" i="20" s="1"/>
  <c r="P247" i="20" s="1"/>
  <c r="V247" i="20" s="1"/>
  <c r="B247" i="20" s="1"/>
  <c r="W247" i="20" s="1"/>
  <c r="U154" i="20"/>
  <c r="T154" i="20" s="1"/>
  <c r="S154" i="20" s="1"/>
  <c r="R154" i="20" s="1"/>
  <c r="P154" i="20" s="1"/>
  <c r="V154" i="20" s="1"/>
  <c r="B154" i="20" s="1"/>
  <c r="W154" i="20" s="1"/>
  <c r="U242" i="20"/>
  <c r="T242" i="20" s="1"/>
  <c r="S242" i="20" s="1"/>
  <c r="R242" i="20" s="1"/>
  <c r="P242" i="20" s="1"/>
  <c r="V242" i="20" s="1"/>
  <c r="B242" i="20" s="1"/>
  <c r="U253" i="20"/>
  <c r="T253" i="20" s="1"/>
  <c r="S253" i="20" s="1"/>
  <c r="R253" i="20" s="1"/>
  <c r="P253" i="20" s="1"/>
  <c r="V253" i="20" s="1"/>
  <c r="B253" i="20" s="1"/>
  <c r="D253" i="20" s="1"/>
  <c r="E253" i="20" s="1"/>
  <c r="F253" i="20" s="1"/>
  <c r="U162" i="20"/>
  <c r="T162" i="20" s="1"/>
  <c r="S162" i="20" s="1"/>
  <c r="R162" i="20" s="1"/>
  <c r="P162" i="20" s="1"/>
  <c r="V162" i="20" s="1"/>
  <c r="B162" i="20" s="1"/>
  <c r="W162" i="20" s="1"/>
  <c r="U315" i="20"/>
  <c r="T315" i="20" s="1"/>
  <c r="S315" i="20" s="1"/>
  <c r="R315" i="20" s="1"/>
  <c r="P315" i="20" s="1"/>
  <c r="V315" i="20" s="1"/>
  <c r="B315" i="20" s="1"/>
  <c r="D315" i="20" s="1"/>
  <c r="E315" i="20" s="1"/>
  <c r="F315" i="20" s="1"/>
  <c r="U132" i="20"/>
  <c r="T132" i="20" s="1"/>
  <c r="S132" i="20" s="1"/>
  <c r="R132" i="20" s="1"/>
  <c r="P132" i="20" s="1"/>
  <c r="V132" i="20" s="1"/>
  <c r="B132" i="20" s="1"/>
  <c r="U57" i="20"/>
  <c r="T57" i="20" s="1"/>
  <c r="S57" i="20" s="1"/>
  <c r="R57" i="20" s="1"/>
  <c r="P57" i="20" s="1"/>
  <c r="V57" i="20" s="1"/>
  <c r="B57" i="20" s="1"/>
  <c r="W57" i="20" s="1"/>
  <c r="U350" i="20"/>
  <c r="T350" i="20" s="1"/>
  <c r="S350" i="20" s="1"/>
  <c r="R350" i="20" s="1"/>
  <c r="P350" i="20" s="1"/>
  <c r="V350" i="20" s="1"/>
  <c r="B350" i="20" s="1"/>
  <c r="U265" i="20"/>
  <c r="T265" i="20" s="1"/>
  <c r="S265" i="20" s="1"/>
  <c r="R265" i="20" s="1"/>
  <c r="P265" i="20" s="1"/>
  <c r="V265" i="20" s="1"/>
  <c r="B265" i="20" s="1"/>
  <c r="D265" i="20" s="1"/>
  <c r="E265" i="20" s="1"/>
  <c r="F265" i="20" s="1"/>
  <c r="U347" i="20"/>
  <c r="T347" i="20" s="1"/>
  <c r="S347" i="20" s="1"/>
  <c r="R347" i="20" s="1"/>
  <c r="P347" i="20" s="1"/>
  <c r="V347" i="20" s="1"/>
  <c r="B347" i="20" s="1"/>
  <c r="W347" i="20" s="1"/>
  <c r="U56" i="20"/>
  <c r="T56" i="20" s="1"/>
  <c r="S56" i="20" s="1"/>
  <c r="R56" i="20" s="1"/>
  <c r="P56" i="20" s="1"/>
  <c r="V56" i="20" s="1"/>
  <c r="B56" i="20" s="1"/>
  <c r="D56" i="20" s="1"/>
  <c r="E56" i="20" s="1"/>
  <c r="F56" i="20" s="1"/>
  <c r="U325" i="20"/>
  <c r="T325" i="20" s="1"/>
  <c r="S325" i="20" s="1"/>
  <c r="R325" i="20" s="1"/>
  <c r="P325" i="20" s="1"/>
  <c r="V325" i="20" s="1"/>
  <c r="B325" i="20" s="1"/>
  <c r="U105" i="20"/>
  <c r="T105" i="20" s="1"/>
  <c r="S105" i="20" s="1"/>
  <c r="R105" i="20" s="1"/>
  <c r="P105" i="20" s="1"/>
  <c r="V105" i="20" s="1"/>
  <c r="B105" i="20" s="1"/>
  <c r="W105" i="20" s="1"/>
  <c r="U35" i="20"/>
  <c r="T35" i="20" s="1"/>
  <c r="S35" i="20" s="1"/>
  <c r="R35" i="20" s="1"/>
  <c r="P35" i="20" s="1"/>
  <c r="V35" i="20" s="1"/>
  <c r="B35" i="20" s="1"/>
  <c r="W35" i="20" s="1"/>
  <c r="U324" i="20"/>
  <c r="T324" i="20" s="1"/>
  <c r="S324" i="20" s="1"/>
  <c r="R324" i="20" s="1"/>
  <c r="P324" i="20" s="1"/>
  <c r="V324" i="20" s="1"/>
  <c r="B324" i="20" s="1"/>
  <c r="D324" i="20" s="1"/>
  <c r="E324" i="20" s="1"/>
  <c r="F324" i="20" s="1"/>
  <c r="U281" i="20"/>
  <c r="T281" i="20" s="1"/>
  <c r="S281" i="20" s="1"/>
  <c r="R281" i="20" s="1"/>
  <c r="P281" i="20" s="1"/>
  <c r="V281" i="20" s="1"/>
  <c r="B281" i="20" s="1"/>
  <c r="D281" i="20" s="1"/>
  <c r="E281" i="20" s="1"/>
  <c r="F281" i="20" s="1"/>
  <c r="U77" i="20"/>
  <c r="T77" i="20" s="1"/>
  <c r="S77" i="20" s="1"/>
  <c r="R77" i="20" s="1"/>
  <c r="P77" i="20" s="1"/>
  <c r="V77" i="20" s="1"/>
  <c r="B77" i="20" s="1"/>
  <c r="D77" i="20" s="1"/>
  <c r="E77" i="20" s="1"/>
  <c r="F77" i="20" s="1"/>
  <c r="U190" i="20"/>
  <c r="T190" i="20" s="1"/>
  <c r="S190" i="20" s="1"/>
  <c r="R190" i="20" s="1"/>
  <c r="P190" i="20" s="1"/>
  <c r="V190" i="20" s="1"/>
  <c r="B190" i="20" s="1"/>
  <c r="U146" i="20"/>
  <c r="T146" i="20" s="1"/>
  <c r="S146" i="20" s="1"/>
  <c r="R146" i="20" s="1"/>
  <c r="P146" i="20" s="1"/>
  <c r="V146" i="20" s="1"/>
  <c r="B146" i="20" s="1"/>
  <c r="W146" i="20" s="1"/>
  <c r="U133" i="20"/>
  <c r="T133" i="20" s="1"/>
  <c r="S133" i="20" s="1"/>
  <c r="R133" i="20" s="1"/>
  <c r="P133" i="20" s="1"/>
  <c r="V133" i="20" s="1"/>
  <c r="B133" i="20" s="1"/>
  <c r="D133" i="20" s="1"/>
  <c r="E133" i="20" s="1"/>
  <c r="F133" i="20" s="1"/>
  <c r="U157" i="20"/>
  <c r="T157" i="20" s="1"/>
  <c r="S157" i="20" s="1"/>
  <c r="R157" i="20" s="1"/>
  <c r="P157" i="20" s="1"/>
  <c r="V157" i="20" s="1"/>
  <c r="B157" i="20" s="1"/>
  <c r="W157" i="20" s="1"/>
  <c r="U342" i="20"/>
  <c r="T342" i="20" s="1"/>
  <c r="S342" i="20" s="1"/>
  <c r="R342" i="20" s="1"/>
  <c r="P342" i="20" s="1"/>
  <c r="V342" i="20" s="1"/>
  <c r="B342" i="20" s="1"/>
  <c r="U297" i="20"/>
  <c r="T297" i="20" s="1"/>
  <c r="S297" i="20" s="1"/>
  <c r="R297" i="20" s="1"/>
  <c r="P297" i="20" s="1"/>
  <c r="V297" i="20" s="1"/>
  <c r="B297" i="20" s="1"/>
  <c r="W297" i="20" s="1"/>
  <c r="U326" i="20"/>
  <c r="T326" i="20" s="1"/>
  <c r="S326" i="20" s="1"/>
  <c r="R326" i="20" s="1"/>
  <c r="P326" i="20" s="1"/>
  <c r="V326" i="20" s="1"/>
  <c r="B326" i="20" s="1"/>
  <c r="U128" i="20"/>
  <c r="T128" i="20" s="1"/>
  <c r="S128" i="20" s="1"/>
  <c r="R128" i="20" s="1"/>
  <c r="P128" i="20" s="1"/>
  <c r="V128" i="20" s="1"/>
  <c r="B128" i="20" s="1"/>
  <c r="W128" i="20" s="1"/>
  <c r="U121" i="20"/>
  <c r="T121" i="20" s="1"/>
  <c r="S121" i="20" s="1"/>
  <c r="R121" i="20" s="1"/>
  <c r="P121" i="20" s="1"/>
  <c r="V121" i="20" s="1"/>
  <c r="B121" i="20" s="1"/>
  <c r="D121" i="20" s="1"/>
  <c r="E121" i="20" s="1"/>
  <c r="F121" i="20" s="1"/>
  <c r="U280" i="20"/>
  <c r="T280" i="20" s="1"/>
  <c r="S280" i="20" s="1"/>
  <c r="R280" i="20" s="1"/>
  <c r="P280" i="20" s="1"/>
  <c r="V280" i="20" s="1"/>
  <c r="B280" i="20" s="1"/>
  <c r="D280" i="20" s="1"/>
  <c r="E280" i="20" s="1"/>
  <c r="F280" i="20" s="1"/>
  <c r="U175" i="20"/>
  <c r="T175" i="20" s="1"/>
  <c r="S175" i="20" s="1"/>
  <c r="R175" i="20" s="1"/>
  <c r="P175" i="20" s="1"/>
  <c r="V175" i="20" s="1"/>
  <c r="B175" i="20" s="1"/>
  <c r="U316" i="20"/>
  <c r="T316" i="20" s="1"/>
  <c r="S316" i="20" s="1"/>
  <c r="R316" i="20" s="1"/>
  <c r="P316" i="20" s="1"/>
  <c r="V316" i="20" s="1"/>
  <c r="B316" i="20" s="1"/>
  <c r="W316" i="20" s="1"/>
  <c r="U292" i="20"/>
  <c r="T292" i="20" s="1"/>
  <c r="S292" i="20" s="1"/>
  <c r="R292" i="20" s="1"/>
  <c r="P292" i="20" s="1"/>
  <c r="V292" i="20" s="1"/>
  <c r="B292" i="20" s="1"/>
  <c r="W292" i="20" s="1"/>
  <c r="U84" i="20"/>
  <c r="T84" i="20" s="1"/>
  <c r="S84" i="20" s="1"/>
  <c r="R84" i="20" s="1"/>
  <c r="P84" i="20" s="1"/>
  <c r="V84" i="20" s="1"/>
  <c r="B84" i="20" s="1"/>
  <c r="W84" i="20" s="1"/>
  <c r="U158" i="20"/>
  <c r="T158" i="20" s="1"/>
  <c r="S158" i="20" s="1"/>
  <c r="R158" i="20" s="1"/>
  <c r="P158" i="20" s="1"/>
  <c r="V158" i="20" s="1"/>
  <c r="B158" i="20" s="1"/>
  <c r="D158" i="20" s="1"/>
  <c r="E158" i="20" s="1"/>
  <c r="F158" i="20" s="1"/>
  <c r="U335" i="20"/>
  <c r="T335" i="20" s="1"/>
  <c r="S335" i="20" s="1"/>
  <c r="R335" i="20" s="1"/>
  <c r="P335" i="20" s="1"/>
  <c r="V335" i="20" s="1"/>
  <c r="B335" i="20" s="1"/>
  <c r="D335" i="20" s="1"/>
  <c r="E335" i="20" s="1"/>
  <c r="F335" i="20" s="1"/>
  <c r="U70" i="20"/>
  <c r="T70" i="20" s="1"/>
  <c r="S70" i="20" s="1"/>
  <c r="R70" i="20" s="1"/>
  <c r="P70" i="20" s="1"/>
  <c r="V70" i="20" s="1"/>
  <c r="B70" i="20" s="1"/>
  <c r="U25" i="20"/>
  <c r="T25" i="20" s="1"/>
  <c r="S25" i="20" s="1"/>
  <c r="R25" i="20" s="1"/>
  <c r="P25" i="20" s="1"/>
  <c r="V25" i="20" s="1"/>
  <c r="B25" i="20" s="1"/>
  <c r="W25" i="20" s="1"/>
  <c r="U131" i="20"/>
  <c r="T131" i="20" s="1"/>
  <c r="S131" i="20" s="1"/>
  <c r="R131" i="20" s="1"/>
  <c r="P131" i="20" s="1"/>
  <c r="V131" i="20" s="1"/>
  <c r="B131" i="20" s="1"/>
  <c r="W131" i="20" s="1"/>
  <c r="U43" i="20"/>
  <c r="T43" i="20" s="1"/>
  <c r="S43" i="20" s="1"/>
  <c r="R43" i="20" s="1"/>
  <c r="P43" i="20" s="1"/>
  <c r="V43" i="20" s="1"/>
  <c r="B43" i="20" s="1"/>
  <c r="D43" i="20" s="1"/>
  <c r="E43" i="20" s="1"/>
  <c r="F43" i="20" s="1"/>
  <c r="U115" i="20"/>
  <c r="T115" i="20" s="1"/>
  <c r="S115" i="20" s="1"/>
  <c r="R115" i="20" s="1"/>
  <c r="P115" i="20" s="1"/>
  <c r="V115" i="20" s="1"/>
  <c r="B115" i="20" s="1"/>
  <c r="U78" i="20"/>
  <c r="T78" i="20" s="1"/>
  <c r="S78" i="20" s="1"/>
  <c r="R78" i="20" s="1"/>
  <c r="P78" i="20" s="1"/>
  <c r="V78" i="20" s="1"/>
  <c r="B78" i="20" s="1"/>
  <c r="D78" i="20" s="1"/>
  <c r="E78" i="20" s="1"/>
  <c r="F78" i="20" s="1"/>
  <c r="U102" i="20"/>
  <c r="T102" i="20" s="1"/>
  <c r="S102" i="20" s="1"/>
  <c r="R102" i="20" s="1"/>
  <c r="P102" i="20" s="1"/>
  <c r="V102" i="20" s="1"/>
  <c r="B102" i="20" s="1"/>
  <c r="U149" i="20"/>
  <c r="T149" i="20" s="1"/>
  <c r="S149" i="20" s="1"/>
  <c r="R149" i="20" s="1"/>
  <c r="P149" i="20" s="1"/>
  <c r="AH24" i="7" s="1"/>
  <c r="U100" i="20"/>
  <c r="T100" i="20" s="1"/>
  <c r="S100" i="20" s="1"/>
  <c r="R100" i="20" s="1"/>
  <c r="P100" i="20" s="1"/>
  <c r="V100" i="20" s="1"/>
  <c r="B100" i="20" s="1"/>
  <c r="U179" i="20"/>
  <c r="T179" i="20" s="1"/>
  <c r="S179" i="20" s="1"/>
  <c r="R179" i="20" s="1"/>
  <c r="P179" i="20" s="1"/>
  <c r="V179" i="20" s="1"/>
  <c r="B179" i="20" s="1"/>
  <c r="D179" i="20" s="1"/>
  <c r="E179" i="20" s="1"/>
  <c r="F179" i="20" s="1"/>
  <c r="U141" i="20"/>
  <c r="T141" i="20" s="1"/>
  <c r="S141" i="20" s="1"/>
  <c r="R141" i="20" s="1"/>
  <c r="P141" i="20" s="1"/>
  <c r="V141" i="20" s="1"/>
  <c r="B141" i="20" s="1"/>
  <c r="U367" i="20"/>
  <c r="T367" i="20" s="1"/>
  <c r="S367" i="20" s="1"/>
  <c r="R367" i="20" s="1"/>
  <c r="P367" i="20" s="1"/>
  <c r="V367" i="20" s="1"/>
  <c r="B367" i="20" s="1"/>
  <c r="D367" i="20" s="1"/>
  <c r="E367" i="20" s="1"/>
  <c r="F367" i="20" s="1"/>
  <c r="U250" i="20"/>
  <c r="T250" i="20" s="1"/>
  <c r="S250" i="20" s="1"/>
  <c r="R250" i="20" s="1"/>
  <c r="P250" i="20" s="1"/>
  <c r="V250" i="20" s="1"/>
  <c r="B250" i="20" s="1"/>
  <c r="W250" i="20" s="1"/>
  <c r="U254" i="20"/>
  <c r="T254" i="20" s="1"/>
  <c r="S254" i="20" s="1"/>
  <c r="R254" i="20" s="1"/>
  <c r="P254" i="20" s="1"/>
  <c r="V254" i="20" s="1"/>
  <c r="B254" i="20" s="1"/>
  <c r="D254" i="20" s="1"/>
  <c r="E254" i="20" s="1"/>
  <c r="F254" i="20" s="1"/>
  <c r="U286" i="20"/>
  <c r="T286" i="20" s="1"/>
  <c r="S286" i="20" s="1"/>
  <c r="R286" i="20" s="1"/>
  <c r="P286" i="20" s="1"/>
  <c r="V286" i="20" s="1"/>
  <c r="B286" i="20" s="1"/>
  <c r="U181" i="20"/>
  <c r="T181" i="20" s="1"/>
  <c r="S181" i="20" s="1"/>
  <c r="R181" i="20" s="1"/>
  <c r="P181" i="20" s="1"/>
  <c r="V181" i="20" s="1"/>
  <c r="B181" i="20" s="1"/>
  <c r="D181" i="20" s="1"/>
  <c r="E181" i="20" s="1"/>
  <c r="F181" i="20" s="1"/>
  <c r="U169" i="20"/>
  <c r="T169" i="20" s="1"/>
  <c r="S169" i="20" s="1"/>
  <c r="R169" i="20" s="1"/>
  <c r="P169" i="20" s="1"/>
  <c r="V169" i="20" s="1"/>
  <c r="B169" i="20" s="1"/>
  <c r="W169" i="20" s="1"/>
  <c r="U20" i="20"/>
  <c r="T20" i="20" s="1"/>
  <c r="S20" i="20" s="1"/>
  <c r="R20" i="20" s="1"/>
  <c r="P20" i="20" s="1"/>
  <c r="V20" i="20" s="1"/>
  <c r="B20" i="20" s="1"/>
  <c r="D20" i="20" s="1"/>
  <c r="E20" i="20" s="1"/>
  <c r="F20" i="20" s="1"/>
  <c r="U98" i="20"/>
  <c r="T98" i="20" s="1"/>
  <c r="S98" i="20" s="1"/>
  <c r="R98" i="20" s="1"/>
  <c r="P98" i="20" s="1"/>
  <c r="V98" i="20" s="1"/>
  <c r="B98" i="20" s="1"/>
  <c r="D98" i="20" s="1"/>
  <c r="E98" i="20" s="1"/>
  <c r="F98" i="20" s="1"/>
  <c r="U177" i="20"/>
  <c r="T177" i="20" s="1"/>
  <c r="S177" i="20" s="1"/>
  <c r="R177" i="20" s="1"/>
  <c r="P177" i="20" s="1"/>
  <c r="V177" i="20" s="1"/>
  <c r="B177" i="20" s="1"/>
  <c r="D177" i="20" s="1"/>
  <c r="E177" i="20" s="1"/>
  <c r="F177" i="20" s="1"/>
  <c r="U117" i="20"/>
  <c r="T117" i="20" s="1"/>
  <c r="S117" i="20" s="1"/>
  <c r="R117" i="20" s="1"/>
  <c r="P117" i="20" s="1"/>
  <c r="V117" i="20" s="1"/>
  <c r="B117" i="20" s="1"/>
  <c r="U165" i="20"/>
  <c r="T165" i="20" s="1"/>
  <c r="S165" i="20" s="1"/>
  <c r="R165" i="20" s="1"/>
  <c r="P165" i="20" s="1"/>
  <c r="V165" i="20" s="1"/>
  <c r="B165" i="20" s="1"/>
  <c r="W165" i="20" s="1"/>
  <c r="U270" i="20"/>
  <c r="T270" i="20" s="1"/>
  <c r="S270" i="20" s="1"/>
  <c r="R270" i="20" s="1"/>
  <c r="P270" i="20" s="1"/>
  <c r="V270" i="20" s="1"/>
  <c r="B270" i="20" s="1"/>
  <c r="W270" i="20" s="1"/>
  <c r="U59" i="20"/>
  <c r="T59" i="20" s="1"/>
  <c r="S59" i="20" s="1"/>
  <c r="R59" i="20" s="1"/>
  <c r="P59" i="20" s="1"/>
  <c r="V59" i="20" s="1"/>
  <c r="B59" i="20" s="1"/>
  <c r="D59" i="20" s="1"/>
  <c r="E59" i="20" s="1"/>
  <c r="F59" i="20" s="1"/>
  <c r="U379" i="20"/>
  <c r="U12" i="22" s="1"/>
  <c r="U272" i="20"/>
  <c r="T272" i="20" s="1"/>
  <c r="S272" i="20" s="1"/>
  <c r="R272" i="20" s="1"/>
  <c r="P272" i="20" s="1"/>
  <c r="V272" i="20" s="1"/>
  <c r="B272" i="20" s="1"/>
  <c r="W272" i="20" s="1"/>
  <c r="U216" i="20"/>
  <c r="T216" i="20" s="1"/>
  <c r="S216" i="20" s="1"/>
  <c r="R216" i="20" s="1"/>
  <c r="P216" i="20" s="1"/>
  <c r="V216" i="20" s="1"/>
  <c r="B216" i="20" s="1"/>
  <c r="D216" i="20" s="1"/>
  <c r="E216" i="20" s="1"/>
  <c r="F216" i="20" s="1"/>
  <c r="U376" i="20"/>
  <c r="T376" i="20" s="1"/>
  <c r="S376" i="20" s="1"/>
  <c r="R376" i="20" s="1"/>
  <c r="P376" i="20" s="1"/>
  <c r="V376" i="20" s="1"/>
  <c r="B376" i="20" s="1"/>
  <c r="D376" i="20" s="1"/>
  <c r="E376" i="20" s="1"/>
  <c r="F376" i="20" s="1"/>
  <c r="U217" i="20"/>
  <c r="T217" i="20" s="1"/>
  <c r="S217" i="20" s="1"/>
  <c r="R217" i="20" s="1"/>
  <c r="P217" i="20" s="1"/>
  <c r="V217" i="20" s="1"/>
  <c r="B217" i="20" s="1"/>
  <c r="W217" i="20" s="1"/>
  <c r="U113" i="20"/>
  <c r="T113" i="20" s="1"/>
  <c r="S113" i="20" s="1"/>
  <c r="R113" i="20" s="1"/>
  <c r="P113" i="20" s="1"/>
  <c r="V113" i="20" s="1"/>
  <c r="B113" i="20" s="1"/>
  <c r="D113" i="20" s="1"/>
  <c r="E113" i="20" s="1"/>
  <c r="F113" i="20" s="1"/>
  <c r="U24" i="20"/>
  <c r="T24" i="20" s="1"/>
  <c r="S24" i="20" s="1"/>
  <c r="R24" i="20" s="1"/>
  <c r="P24" i="20" s="1"/>
  <c r="V24" i="20" s="1"/>
  <c r="B24" i="20" s="1"/>
  <c r="U194" i="20"/>
  <c r="T194" i="20" s="1"/>
  <c r="S194" i="20" s="1"/>
  <c r="R194" i="20" s="1"/>
  <c r="P194" i="20" s="1"/>
  <c r="V194" i="20" s="1"/>
  <c r="B194" i="20" s="1"/>
  <c r="D194" i="20" s="1"/>
  <c r="E194" i="20" s="1"/>
  <c r="F194" i="20" s="1"/>
  <c r="U232" i="20"/>
  <c r="T232" i="20" s="1"/>
  <c r="S232" i="20" s="1"/>
  <c r="R232" i="20" s="1"/>
  <c r="P232" i="20" s="1"/>
  <c r="V232" i="20" s="1"/>
  <c r="B232" i="20" s="1"/>
  <c r="W232" i="20" s="1"/>
  <c r="U237" i="20"/>
  <c r="T237" i="20" s="1"/>
  <c r="S237" i="20" s="1"/>
  <c r="R237" i="20" s="1"/>
  <c r="P237" i="20" s="1"/>
  <c r="V237" i="20" s="1"/>
  <c r="B237" i="20" s="1"/>
  <c r="W237" i="20" s="1"/>
  <c r="U339" i="20"/>
  <c r="T339" i="20" s="1"/>
  <c r="S339" i="20" s="1"/>
  <c r="R339" i="20" s="1"/>
  <c r="P339" i="20" s="1"/>
  <c r="V339" i="20" s="1"/>
  <c r="B339" i="20" s="1"/>
  <c r="W339" i="20" s="1"/>
  <c r="U127" i="20"/>
  <c r="T127" i="20" s="1"/>
  <c r="S127" i="20" s="1"/>
  <c r="R127" i="20" s="1"/>
  <c r="P127" i="20" s="1"/>
  <c r="V127" i="20" s="1"/>
  <c r="B127" i="20" s="1"/>
  <c r="W127" i="20" s="1"/>
  <c r="U260" i="20"/>
  <c r="T260" i="20" s="1"/>
  <c r="S260" i="20" s="1"/>
  <c r="R260" i="20" s="1"/>
  <c r="P260" i="20" s="1"/>
  <c r="V260" i="20" s="1"/>
  <c r="B260" i="20" s="1"/>
  <c r="U355" i="20"/>
  <c r="T355" i="20" s="1"/>
  <c r="S355" i="20" s="1"/>
  <c r="R355" i="20" s="1"/>
  <c r="P355" i="20" s="1"/>
  <c r="V355" i="20" s="1"/>
  <c r="B355" i="20" s="1"/>
  <c r="W355" i="20" s="1"/>
  <c r="U135" i="20"/>
  <c r="T135" i="20" s="1"/>
  <c r="S135" i="20" s="1"/>
  <c r="R135" i="20" s="1"/>
  <c r="P135" i="20" s="1"/>
  <c r="V135" i="20" s="1"/>
  <c r="B135" i="20" s="1"/>
  <c r="W135" i="20" s="1"/>
  <c r="U50" i="20"/>
  <c r="T50" i="20" s="1"/>
  <c r="S50" i="20" s="1"/>
  <c r="R50" i="20" s="1"/>
  <c r="P50" i="20" s="1"/>
  <c r="V50" i="20" s="1"/>
  <c r="B50" i="20" s="1"/>
  <c r="D50" i="20" s="1"/>
  <c r="E50" i="20" s="1"/>
  <c r="F50" i="20" s="1"/>
  <c r="U199" i="20"/>
  <c r="T199" i="20" s="1"/>
  <c r="S199" i="20" s="1"/>
  <c r="R199" i="20" s="1"/>
  <c r="P199" i="20" s="1"/>
  <c r="V199" i="20" s="1"/>
  <c r="B199" i="20" s="1"/>
  <c r="U106" i="20"/>
  <c r="T106" i="20" s="1"/>
  <c r="S106" i="20" s="1"/>
  <c r="R106" i="20" s="1"/>
  <c r="P106" i="20" s="1"/>
  <c r="V106" i="20" s="1"/>
  <c r="B106" i="20" s="1"/>
  <c r="D106" i="20" s="1"/>
  <c r="E106" i="20" s="1"/>
  <c r="F106" i="20" s="1"/>
  <c r="U322" i="20"/>
  <c r="T322" i="20" s="1"/>
  <c r="S322" i="20" s="1"/>
  <c r="R322" i="20" s="1"/>
  <c r="P322" i="20" s="1"/>
  <c r="V322" i="20" s="1"/>
  <c r="B322" i="20" s="1"/>
  <c r="U378" i="20"/>
  <c r="T378" i="20" s="1"/>
  <c r="S378" i="20" s="1"/>
  <c r="R378" i="20" s="1"/>
  <c r="P378" i="20" s="1"/>
  <c r="V378" i="20" s="1"/>
  <c r="B378" i="20" s="1"/>
  <c r="W378" i="20" s="1"/>
  <c r="U278" i="20"/>
  <c r="T278" i="20" s="1"/>
  <c r="S278" i="20" s="1"/>
  <c r="R278" i="20" s="1"/>
  <c r="P278" i="20" s="1"/>
  <c r="V278" i="20" s="1"/>
  <c r="B278" i="20" s="1"/>
  <c r="W278" i="20" s="1"/>
  <c r="U243" i="20"/>
  <c r="T243" i="20" s="1"/>
  <c r="S243" i="20" s="1"/>
  <c r="R243" i="20" s="1"/>
  <c r="P243" i="20" s="1"/>
  <c r="V243" i="20" s="1"/>
  <c r="B243" i="20" s="1"/>
  <c r="W243" i="20" s="1"/>
  <c r="U215" i="20"/>
  <c r="T215" i="20" s="1"/>
  <c r="S215" i="20" s="1"/>
  <c r="R215" i="20" s="1"/>
  <c r="P215" i="20" s="1"/>
  <c r="V215" i="20" s="1"/>
  <c r="B215" i="20" s="1"/>
  <c r="U276" i="20"/>
  <c r="T276" i="20" s="1"/>
  <c r="S276" i="20" s="1"/>
  <c r="R276" i="20" s="1"/>
  <c r="P276" i="20" s="1"/>
  <c r="V276" i="20" s="1"/>
  <c r="B276" i="20" s="1"/>
  <c r="W276" i="20" s="1"/>
  <c r="U150" i="20"/>
  <c r="T150" i="20" s="1"/>
  <c r="S150" i="20" s="1"/>
  <c r="R150" i="20" s="1"/>
  <c r="P150" i="20" s="1"/>
  <c r="V150" i="20" s="1"/>
  <c r="B150" i="20" s="1"/>
  <c r="D150" i="20" s="1"/>
  <c r="E150" i="20" s="1"/>
  <c r="F150" i="20" s="1"/>
  <c r="U211" i="20"/>
  <c r="T211" i="20" s="1"/>
  <c r="S211" i="20" s="1"/>
  <c r="R211" i="20" s="1"/>
  <c r="P211" i="20" s="1"/>
  <c r="V211" i="20" s="1"/>
  <c r="B211" i="20" s="1"/>
  <c r="W211" i="20" s="1"/>
  <c r="U187" i="20"/>
  <c r="T187" i="20" s="1"/>
  <c r="S187" i="20" s="1"/>
  <c r="R187" i="20" s="1"/>
  <c r="P187" i="20" s="1"/>
  <c r="V187" i="20" s="1"/>
  <c r="B187" i="20" s="1"/>
  <c r="D187" i="20" s="1"/>
  <c r="E187" i="20" s="1"/>
  <c r="F187" i="20" s="1"/>
  <c r="U261" i="20"/>
  <c r="T261" i="20" s="1"/>
  <c r="S261" i="20" s="1"/>
  <c r="R261" i="20" s="1"/>
  <c r="P261" i="20" s="1"/>
  <c r="V261" i="20" s="1"/>
  <c r="B261" i="20" s="1"/>
  <c r="D261" i="20" s="1"/>
  <c r="E261" i="20" s="1"/>
  <c r="F261" i="20" s="1"/>
  <c r="U183" i="20"/>
  <c r="T183" i="20" s="1"/>
  <c r="S183" i="20" s="1"/>
  <c r="R183" i="20" s="1"/>
  <c r="P183" i="20" s="1"/>
  <c r="V183" i="20" s="1"/>
  <c r="B183" i="20" s="1"/>
  <c r="U151" i="20"/>
  <c r="T151" i="20" s="1"/>
  <c r="S151" i="20" s="1"/>
  <c r="R151" i="20" s="1"/>
  <c r="P151" i="20" s="1"/>
  <c r="V151" i="20" s="1"/>
  <c r="B151" i="20" s="1"/>
  <c r="D151" i="20" s="1"/>
  <c r="E151" i="20" s="1"/>
  <c r="F151" i="20" s="1"/>
  <c r="U340" i="20"/>
  <c r="T340" i="20" s="1"/>
  <c r="S340" i="20" s="1"/>
  <c r="R340" i="20" s="1"/>
  <c r="P340" i="20" s="1"/>
  <c r="V340" i="20" s="1"/>
  <c r="B340" i="20" s="1"/>
  <c r="D340" i="20" s="1"/>
  <c r="E340" i="20" s="1"/>
  <c r="F340" i="20" s="1"/>
  <c r="U134" i="20"/>
  <c r="T134" i="20" s="1"/>
  <c r="S134" i="20" s="1"/>
  <c r="R134" i="20" s="1"/>
  <c r="P134" i="20" s="1"/>
  <c r="V134" i="20" s="1"/>
  <c r="B134" i="20" s="1"/>
  <c r="D134" i="20" s="1"/>
  <c r="E134" i="20" s="1"/>
  <c r="F134" i="20" s="1"/>
  <c r="U210" i="20"/>
  <c r="T210" i="20" s="1"/>
  <c r="S210" i="20" s="1"/>
  <c r="R210" i="20" s="1"/>
  <c r="P210" i="20" s="1"/>
  <c r="V210" i="20" s="1"/>
  <c r="U136" i="20"/>
  <c r="T136" i="20" s="1"/>
  <c r="S136" i="20" s="1"/>
  <c r="R136" i="20" s="1"/>
  <c r="P136" i="20" s="1"/>
  <c r="V136" i="20" s="1"/>
  <c r="B136" i="20" s="1"/>
  <c r="W136" i="20" s="1"/>
  <c r="U231" i="20"/>
  <c r="T231" i="20" s="1"/>
  <c r="S231" i="20" s="1"/>
  <c r="R231" i="20" s="1"/>
  <c r="P231" i="20" s="1"/>
  <c r="V231" i="20" s="1"/>
  <c r="B231" i="20" s="1"/>
  <c r="U67" i="20"/>
  <c r="T67" i="20" s="1"/>
  <c r="S67" i="20" s="1"/>
  <c r="R67" i="20" s="1"/>
  <c r="P67" i="20" s="1"/>
  <c r="V67" i="20" s="1"/>
  <c r="B67" i="20" s="1"/>
  <c r="W67" i="20" s="1"/>
  <c r="U47" i="20"/>
  <c r="T47" i="20" s="1"/>
  <c r="S47" i="20" s="1"/>
  <c r="R47" i="20" s="1"/>
  <c r="P47" i="20" s="1"/>
  <c r="V47" i="20" s="1"/>
  <c r="B47" i="20" s="1"/>
  <c r="D47" i="20" s="1"/>
  <c r="E47" i="20" s="1"/>
  <c r="F47" i="20" s="1"/>
  <c r="U273" i="20"/>
  <c r="T273" i="20" s="1"/>
  <c r="S273" i="20" s="1"/>
  <c r="R273" i="20" s="1"/>
  <c r="P273" i="20" s="1"/>
  <c r="V273" i="20" s="1"/>
  <c r="B273" i="20" s="1"/>
  <c r="D273" i="20" s="1"/>
  <c r="E273" i="20" s="1"/>
  <c r="F273" i="20" s="1"/>
  <c r="U176" i="20"/>
  <c r="T176" i="20" s="1"/>
  <c r="S176" i="20" s="1"/>
  <c r="R176" i="20" s="1"/>
  <c r="P176" i="20" s="1"/>
  <c r="V176" i="20" s="1"/>
  <c r="B176" i="20" s="1"/>
  <c r="U229" i="20"/>
  <c r="T229" i="20" s="1"/>
  <c r="S229" i="20" s="1"/>
  <c r="R229" i="20" s="1"/>
  <c r="P229" i="20" s="1"/>
  <c r="V229" i="20" s="1"/>
  <c r="B229" i="20" s="1"/>
  <c r="D229" i="20" s="1"/>
  <c r="E229" i="20" s="1"/>
  <c r="F229" i="20" s="1"/>
  <c r="U189" i="20"/>
  <c r="T189" i="20" s="1"/>
  <c r="S189" i="20" s="1"/>
  <c r="R189" i="20" s="1"/>
  <c r="P189" i="20" s="1"/>
  <c r="V189" i="20" s="1"/>
  <c r="B189" i="20" s="1"/>
  <c r="D189" i="20" s="1"/>
  <c r="E189" i="20" s="1"/>
  <c r="F189" i="20" s="1"/>
  <c r="U18" i="20"/>
  <c r="T18" i="20" s="1"/>
  <c r="S18" i="20" s="1"/>
  <c r="R18" i="20" s="1"/>
  <c r="P18" i="20" s="1"/>
  <c r="V18" i="20" s="1"/>
  <c r="B18" i="20" s="1"/>
  <c r="D18" i="20" s="1"/>
  <c r="E18" i="20" s="1"/>
  <c r="F18" i="20" s="1"/>
  <c r="U195" i="20"/>
  <c r="T195" i="20" s="1"/>
  <c r="S195" i="20" s="1"/>
  <c r="R195" i="20" s="1"/>
  <c r="P195" i="20" s="1"/>
  <c r="V195" i="20" s="1"/>
  <c r="B195" i="20" s="1"/>
  <c r="D195" i="20" s="1"/>
  <c r="E195" i="20" s="1"/>
  <c r="F195" i="20" s="1"/>
  <c r="U138" i="20"/>
  <c r="T138" i="20" s="1"/>
  <c r="S138" i="20" s="1"/>
  <c r="R138" i="20" s="1"/>
  <c r="P138" i="20" s="1"/>
  <c r="V138" i="20" s="1"/>
  <c r="B138" i="20" s="1"/>
  <c r="D138" i="20" s="1"/>
  <c r="E138" i="20" s="1"/>
  <c r="F138" i="20" s="1"/>
  <c r="U239" i="20"/>
  <c r="T239" i="20" s="1"/>
  <c r="S239" i="20" s="1"/>
  <c r="R239" i="20" s="1"/>
  <c r="P239" i="20" s="1"/>
  <c r="V239" i="20" s="1"/>
  <c r="B239" i="20" s="1"/>
  <c r="W239" i="20" s="1"/>
  <c r="U66" i="20"/>
  <c r="T66" i="20" s="1"/>
  <c r="S66" i="20" s="1"/>
  <c r="R66" i="20" s="1"/>
  <c r="P66" i="20" s="1"/>
  <c r="V66" i="20" s="1"/>
  <c r="B66" i="20" s="1"/>
  <c r="D66" i="20" s="1"/>
  <c r="E66" i="20" s="1"/>
  <c r="F66" i="20" s="1"/>
  <c r="G66" i="20" s="1"/>
  <c r="CB66" i="6" s="1"/>
  <c r="U15" i="20"/>
  <c r="T15" i="20" s="1"/>
  <c r="U330" i="20"/>
  <c r="T330" i="20" s="1"/>
  <c r="S330" i="20" s="1"/>
  <c r="R330" i="20" s="1"/>
  <c r="P330" i="20" s="1"/>
  <c r="V330" i="20" s="1"/>
  <c r="B330" i="20" s="1"/>
  <c r="W330" i="20" s="1"/>
  <c r="U366" i="20"/>
  <c r="T366" i="20" s="1"/>
  <c r="S366" i="20" s="1"/>
  <c r="R366" i="20" s="1"/>
  <c r="P366" i="20" s="1"/>
  <c r="V366" i="20" s="1"/>
  <c r="B366" i="20" s="1"/>
  <c r="W366" i="20" s="1"/>
  <c r="U317" i="20"/>
  <c r="T317" i="20" s="1"/>
  <c r="S317" i="20" s="1"/>
  <c r="R317" i="20" s="1"/>
  <c r="P317" i="20" s="1"/>
  <c r="V317" i="20" s="1"/>
  <c r="B317" i="20" s="1"/>
  <c r="W317" i="20" s="1"/>
  <c r="U213" i="20"/>
  <c r="T213" i="20" s="1"/>
  <c r="S213" i="20" s="1"/>
  <c r="R213" i="20" s="1"/>
  <c r="P213" i="20" s="1"/>
  <c r="V213" i="20" s="1"/>
  <c r="B213" i="20" s="1"/>
  <c r="U332" i="20"/>
  <c r="T332" i="20" s="1"/>
  <c r="S332" i="20" s="1"/>
  <c r="R332" i="20" s="1"/>
  <c r="P332" i="20" s="1"/>
  <c r="V332" i="20" s="1"/>
  <c r="B332" i="20" s="1"/>
  <c r="W332" i="20" s="1"/>
  <c r="U268" i="20"/>
  <c r="T268" i="20" s="1"/>
  <c r="S268" i="20" s="1"/>
  <c r="R268" i="20" s="1"/>
  <c r="P268" i="20" s="1"/>
  <c r="V268" i="20" s="1"/>
  <c r="B268" i="20" s="1"/>
  <c r="W268" i="20" s="1"/>
  <c r="U223" i="20"/>
  <c r="T223" i="20" s="1"/>
  <c r="S223" i="20" s="1"/>
  <c r="R223" i="20" s="1"/>
  <c r="P223" i="20" s="1"/>
  <c r="V223" i="20" s="1"/>
  <c r="B223" i="20" s="1"/>
  <c r="D223" i="20" s="1"/>
  <c r="E223" i="20" s="1"/>
  <c r="F223" i="20" s="1"/>
  <c r="U249" i="20"/>
  <c r="T249" i="20" s="1"/>
  <c r="S249" i="20" s="1"/>
  <c r="R249" i="20" s="1"/>
  <c r="P249" i="20" s="1"/>
  <c r="V249" i="20" s="1"/>
  <c r="B249" i="20" s="1"/>
  <c r="W249" i="20" s="1"/>
  <c r="U337" i="20"/>
  <c r="T337" i="20" s="1"/>
  <c r="S337" i="20" s="1"/>
  <c r="R337" i="20" s="1"/>
  <c r="P337" i="20" s="1"/>
  <c r="V337" i="20" s="1"/>
  <c r="B337" i="20" s="1"/>
  <c r="D337" i="20" s="1"/>
  <c r="E337" i="20" s="1"/>
  <c r="F337" i="20" s="1"/>
  <c r="U178" i="20"/>
  <c r="T178" i="20" s="1"/>
  <c r="S178" i="20" s="1"/>
  <c r="R178" i="20" s="1"/>
  <c r="P178" i="20" s="1"/>
  <c r="V178" i="20" s="1"/>
  <c r="B178" i="20" s="1"/>
  <c r="U275" i="20"/>
  <c r="T275" i="20" s="1"/>
  <c r="S275" i="20" s="1"/>
  <c r="R275" i="20" s="1"/>
  <c r="P275" i="20" s="1"/>
  <c r="V275" i="20" s="1"/>
  <c r="B275" i="20" s="1"/>
  <c r="W275" i="20" s="1"/>
  <c r="U75" i="20"/>
  <c r="T75" i="20" s="1"/>
  <c r="S75" i="20" s="1"/>
  <c r="R75" i="20" s="1"/>
  <c r="P75" i="20" s="1"/>
  <c r="V75" i="20" s="1"/>
  <c r="B75" i="20" s="1"/>
  <c r="D75" i="20" s="1"/>
  <c r="E75" i="20" s="1"/>
  <c r="F75" i="20" s="1"/>
  <c r="U97" i="20"/>
  <c r="T97" i="20" s="1"/>
  <c r="S97" i="20" s="1"/>
  <c r="R97" i="20" s="1"/>
  <c r="P97" i="20" s="1"/>
  <c r="V97" i="20" s="1"/>
  <c r="B97" i="20" s="1"/>
  <c r="D97" i="20" s="1"/>
  <c r="E97" i="20" s="1"/>
  <c r="F97" i="20" s="1"/>
  <c r="U92" i="20"/>
  <c r="T92" i="20" s="1"/>
  <c r="S92" i="20" s="1"/>
  <c r="R92" i="20" s="1"/>
  <c r="P92" i="20" s="1"/>
  <c r="V92" i="20" s="1"/>
  <c r="B92" i="20" s="1"/>
  <c r="U321" i="20"/>
  <c r="T321" i="20" s="1"/>
  <c r="S321" i="20" s="1"/>
  <c r="R321" i="20" s="1"/>
  <c r="P321" i="20" s="1"/>
  <c r="V321" i="20" s="1"/>
  <c r="B321" i="20" s="1"/>
  <c r="D321" i="20" s="1"/>
  <c r="E321" i="20" s="1"/>
  <c r="F321" i="20" s="1"/>
  <c r="U214" i="20"/>
  <c r="T214" i="20" s="1"/>
  <c r="S214" i="20" s="1"/>
  <c r="R214" i="20" s="1"/>
  <c r="P214" i="20" s="1"/>
  <c r="V214" i="20" s="1"/>
  <c r="B214" i="20" s="1"/>
  <c r="U65" i="20"/>
  <c r="T65" i="20" s="1"/>
  <c r="S65" i="20" s="1"/>
  <c r="R65" i="20" s="1"/>
  <c r="P65" i="20" s="1"/>
  <c r="V65" i="20" s="1"/>
  <c r="B65" i="20" s="1"/>
  <c r="W65" i="20" s="1"/>
  <c r="U329" i="20"/>
  <c r="T329" i="20" s="1"/>
  <c r="S329" i="20" s="1"/>
  <c r="R329" i="20" s="1"/>
  <c r="P329" i="20" s="1"/>
  <c r="V329" i="20" s="1"/>
  <c r="B329" i="20" s="1"/>
  <c r="D329" i="20" s="1"/>
  <c r="E329" i="20" s="1"/>
  <c r="F329" i="20" s="1"/>
  <c r="U212" i="20"/>
  <c r="T212" i="20" s="1"/>
  <c r="S212" i="20" s="1"/>
  <c r="R212" i="20" s="1"/>
  <c r="P212" i="20" s="1"/>
  <c r="V212" i="20" s="1"/>
  <c r="B212" i="20" s="1"/>
  <c r="D212" i="20" s="1"/>
  <c r="E212" i="20" s="1"/>
  <c r="F212" i="20" s="1"/>
  <c r="U94" i="20"/>
  <c r="T94" i="20" s="1"/>
  <c r="S94" i="20" s="1"/>
  <c r="R94" i="20" s="1"/>
  <c r="P94" i="20" s="1"/>
  <c r="V94" i="20" s="1"/>
  <c r="B94" i="20" s="1"/>
  <c r="U345" i="20"/>
  <c r="T345" i="20" s="1"/>
  <c r="S345" i="20" s="1"/>
  <c r="R345" i="20" s="1"/>
  <c r="P345" i="20" s="1"/>
  <c r="V345" i="20" s="1"/>
  <c r="B345" i="20" s="1"/>
  <c r="W345" i="20" s="1"/>
  <c r="U17" i="20"/>
  <c r="T17" i="20" s="1"/>
  <c r="S17" i="20" s="1"/>
  <c r="R17" i="20" s="1"/>
  <c r="P17" i="20" s="1"/>
  <c r="V17" i="20" s="1"/>
  <c r="B17" i="20" s="1"/>
  <c r="W17" i="20" s="1"/>
  <c r="U235" i="20"/>
  <c r="T235" i="20" s="1"/>
  <c r="S235" i="20" s="1"/>
  <c r="R235" i="20" s="1"/>
  <c r="P235" i="20" s="1"/>
  <c r="V235" i="20" s="1"/>
  <c r="B235" i="20" s="1"/>
  <c r="D235" i="20" s="1"/>
  <c r="E235" i="20" s="1"/>
  <c r="F235" i="20" s="1"/>
  <c r="U26" i="20"/>
  <c r="T26" i="20" s="1"/>
  <c r="S26" i="20" s="1"/>
  <c r="R26" i="20" s="1"/>
  <c r="P26" i="20" s="1"/>
  <c r="V26" i="20" s="1"/>
  <c r="B26" i="20" s="1"/>
  <c r="W26" i="20" s="1"/>
  <c r="U336" i="20"/>
  <c r="T336" i="20" s="1"/>
  <c r="S336" i="20" s="1"/>
  <c r="R336" i="20" s="1"/>
  <c r="P336" i="20" s="1"/>
  <c r="V336" i="20" s="1"/>
  <c r="B336" i="20" s="1"/>
  <c r="W336" i="20" s="1"/>
  <c r="U55" i="20"/>
  <c r="T55" i="20" s="1"/>
  <c r="S55" i="20" s="1"/>
  <c r="R55" i="20" s="1"/>
  <c r="P55" i="20" s="1"/>
  <c r="V55" i="20" s="1"/>
  <c r="B55" i="20" s="1"/>
  <c r="U287" i="20"/>
  <c r="T287" i="20" s="1"/>
  <c r="S287" i="20" s="1"/>
  <c r="R287" i="20" s="1"/>
  <c r="P287" i="20" s="1"/>
  <c r="V287" i="20" s="1"/>
  <c r="B287" i="20" s="1"/>
  <c r="D287" i="20" s="1"/>
  <c r="E287" i="20" s="1"/>
  <c r="F287" i="20" s="1"/>
  <c r="U145" i="20"/>
  <c r="T145" i="20" s="1"/>
  <c r="S145" i="20" s="1"/>
  <c r="R145" i="20" s="1"/>
  <c r="P145" i="20" s="1"/>
  <c r="V145" i="20" s="1"/>
  <c r="B145" i="20" s="1"/>
  <c r="D145" i="20" s="1"/>
  <c r="E145" i="20" s="1"/>
  <c r="F145" i="20" s="1"/>
  <c r="U73" i="20"/>
  <c r="T73" i="20" s="1"/>
  <c r="S73" i="20" s="1"/>
  <c r="R73" i="20" s="1"/>
  <c r="P73" i="20" s="1"/>
  <c r="V73" i="20" s="1"/>
  <c r="B73" i="20" s="1"/>
  <c r="W73" i="20" s="1"/>
  <c r="U361" i="20"/>
  <c r="T361" i="20" s="1"/>
  <c r="S361" i="20" s="1"/>
  <c r="R361" i="20" s="1"/>
  <c r="P361" i="20" s="1"/>
  <c r="V361" i="20" s="1"/>
  <c r="B361" i="20" s="1"/>
  <c r="D361" i="20" s="1"/>
  <c r="E361" i="20" s="1"/>
  <c r="F361" i="20" s="1"/>
  <c r="Q160" i="22"/>
  <c r="AE382" i="20"/>
  <c r="G101" i="18"/>
  <c r="CA101" i="6" s="1"/>
  <c r="G108" i="18"/>
  <c r="CA108" i="6" s="1"/>
  <c r="G240" i="18"/>
  <c r="CA240" i="6" s="1"/>
  <c r="H262" i="18"/>
  <c r="I262" i="18" s="1"/>
  <c r="B262" i="6" s="1"/>
  <c r="BA262" i="6" s="1"/>
  <c r="D262" i="6" s="1"/>
  <c r="H236" i="18"/>
  <c r="J236" i="18" s="1"/>
  <c r="C236" i="6" s="1"/>
  <c r="G91" i="18"/>
  <c r="CA91" i="6" s="1"/>
  <c r="AE383" i="20"/>
  <c r="AA250" i="18"/>
  <c r="Z250" i="18" s="1"/>
  <c r="Y250" i="18" s="1"/>
  <c r="AH382" i="18"/>
  <c r="AC382" i="23"/>
  <c r="AC383" i="23"/>
  <c r="AC381" i="23"/>
  <c r="O381" i="23"/>
  <c r="O382" i="23"/>
  <c r="O383" i="23"/>
  <c r="L42" i="19" s="1"/>
  <c r="E7" i="24"/>
  <c r="E8" i="24"/>
  <c r="K19" i="19" s="1"/>
  <c r="K43" i="19" s="1"/>
  <c r="J36" i="19"/>
  <c r="Q15" i="22"/>
  <c r="Q374" i="22"/>
  <c r="Q165" i="22"/>
  <c r="Q211" i="22"/>
  <c r="Q175" i="22"/>
  <c r="Q187" i="22"/>
  <c r="Q147" i="22"/>
  <c r="Q358" i="22"/>
  <c r="Q59" i="22"/>
  <c r="Q108" i="22"/>
  <c r="W379" i="18"/>
  <c r="AG381" i="18"/>
  <c r="AG383" i="18"/>
  <c r="M65" i="19"/>
  <c r="D12" i="19"/>
  <c r="G36" i="19"/>
  <c r="Q354" i="22"/>
  <c r="Q291" i="22"/>
  <c r="Q38" i="22"/>
  <c r="Q109" i="22"/>
  <c r="I15" i="16"/>
  <c r="J15" i="16"/>
  <c r="J111" i="18"/>
  <c r="C111" i="6" s="1"/>
  <c r="I111" i="18"/>
  <c r="B111" i="6" s="1"/>
  <c r="BA111" i="6" s="1"/>
  <c r="D111" i="6" s="1"/>
  <c r="I202" i="18"/>
  <c r="B202" i="6" s="1"/>
  <c r="BA202" i="6" s="1"/>
  <c r="D202" i="6" s="1"/>
  <c r="J202" i="18"/>
  <c r="C202" i="6" s="1"/>
  <c r="I263" i="18"/>
  <c r="B263" i="6" s="1"/>
  <c r="BA263" i="6" s="1"/>
  <c r="D263" i="6" s="1"/>
  <c r="J263" i="18"/>
  <c r="C263" i="6" s="1"/>
  <c r="J179" i="18"/>
  <c r="C179" i="6" s="1"/>
  <c r="I179" i="18"/>
  <c r="B179" i="6" s="1"/>
  <c r="BA179" i="6" s="1"/>
  <c r="D179" i="6" s="1"/>
  <c r="W272" i="18"/>
  <c r="D272" i="18"/>
  <c r="E272" i="18" s="1"/>
  <c r="F272" i="18" s="1"/>
  <c r="I377" i="18"/>
  <c r="B377" i="6" s="1"/>
  <c r="BA377" i="6" s="1"/>
  <c r="D377" i="6" s="1"/>
  <c r="J377" i="18"/>
  <c r="C377" i="6" s="1"/>
  <c r="S383" i="18"/>
  <c r="S382" i="18"/>
  <c r="R15" i="18"/>
  <c r="S381" i="18"/>
  <c r="I237" i="18"/>
  <c r="B237" i="6" s="1"/>
  <c r="BA237" i="6" s="1"/>
  <c r="D237" i="6" s="1"/>
  <c r="J237" i="18"/>
  <c r="C237" i="6" s="1"/>
  <c r="I52" i="18"/>
  <c r="B52" i="6" s="1"/>
  <c r="BA52" i="6" s="1"/>
  <c r="D52" i="6" s="1"/>
  <c r="J52" i="18"/>
  <c r="C52" i="6" s="1"/>
  <c r="I364" i="18"/>
  <c r="B364" i="6" s="1"/>
  <c r="BA364" i="6" s="1"/>
  <c r="D364" i="6" s="1"/>
  <c r="J364" i="18"/>
  <c r="C364" i="6" s="1"/>
  <c r="I231" i="18"/>
  <c r="B231" i="6" s="1"/>
  <c r="BA231" i="6" s="1"/>
  <c r="D231" i="6" s="1"/>
  <c r="J231" i="18"/>
  <c r="C231" i="6" s="1"/>
  <c r="I351" i="18"/>
  <c r="B351" i="6" s="1"/>
  <c r="BA351" i="6" s="1"/>
  <c r="D351" i="6" s="1"/>
  <c r="J351" i="18"/>
  <c r="C351" i="6" s="1"/>
  <c r="J301" i="18"/>
  <c r="C301" i="6" s="1"/>
  <c r="I301" i="18"/>
  <c r="B301" i="6" s="1"/>
  <c r="BA301" i="6" s="1"/>
  <c r="D301" i="6" s="1"/>
  <c r="J120" i="18"/>
  <c r="C120" i="6" s="1"/>
  <c r="I120" i="18"/>
  <c r="B120" i="6" s="1"/>
  <c r="BA120" i="6" s="1"/>
  <c r="D120" i="6" s="1"/>
  <c r="J194" i="18"/>
  <c r="C194" i="6" s="1"/>
  <c r="I194" i="18"/>
  <c r="B194" i="6" s="1"/>
  <c r="BA194" i="6" s="1"/>
  <c r="D194" i="6" s="1"/>
  <c r="I133" i="18"/>
  <c r="B133" i="6" s="1"/>
  <c r="BA133" i="6" s="1"/>
  <c r="D133" i="6" s="1"/>
  <c r="J133" i="18"/>
  <c r="C133" i="6" s="1"/>
  <c r="J129" i="18"/>
  <c r="C129" i="6" s="1"/>
  <c r="I129" i="18"/>
  <c r="B129" i="6" s="1"/>
  <c r="BA129" i="6" s="1"/>
  <c r="D129" i="6" s="1"/>
  <c r="I181" i="18"/>
  <c r="B181" i="6" s="1"/>
  <c r="BA181" i="6" s="1"/>
  <c r="D181" i="6" s="1"/>
  <c r="J181" i="18"/>
  <c r="C181" i="6" s="1"/>
  <c r="I53" i="18"/>
  <c r="B53" i="6" s="1"/>
  <c r="BA53" i="6" s="1"/>
  <c r="D53" i="6" s="1"/>
  <c r="J53" i="18"/>
  <c r="C53" i="6" s="1"/>
  <c r="J65" i="18"/>
  <c r="C65" i="6" s="1"/>
  <c r="I65" i="18"/>
  <c r="B65" i="6" s="1"/>
  <c r="BA65" i="6" s="1"/>
  <c r="D65" i="6" s="1"/>
  <c r="I157" i="18"/>
  <c r="B157" i="6" s="1"/>
  <c r="BA157" i="6" s="1"/>
  <c r="D157" i="6" s="1"/>
  <c r="J157" i="18"/>
  <c r="C157" i="6" s="1"/>
  <c r="W333" i="18"/>
  <c r="D333" i="18"/>
  <c r="E333" i="18" s="1"/>
  <c r="F333" i="18" s="1"/>
  <c r="J251" i="18"/>
  <c r="C251" i="6" s="1"/>
  <c r="I251" i="18"/>
  <c r="B251" i="6" s="1"/>
  <c r="BA251" i="6" s="1"/>
  <c r="D251" i="6" s="1"/>
  <c r="I58" i="18"/>
  <c r="B58" i="6" s="1"/>
  <c r="BA58" i="6" s="1"/>
  <c r="D58" i="6" s="1"/>
  <c r="J58" i="18"/>
  <c r="C58" i="6" s="1"/>
  <c r="J313" i="18"/>
  <c r="C313" i="6" s="1"/>
  <c r="I313" i="18"/>
  <c r="B313" i="6" s="1"/>
  <c r="BA313" i="6" s="1"/>
  <c r="D313" i="6" s="1"/>
  <c r="J383" i="15"/>
  <c r="J382" i="15"/>
  <c r="J381" i="15"/>
  <c r="J137" i="18"/>
  <c r="C137" i="6" s="1"/>
  <c r="D156" i="20"/>
  <c r="E156" i="20" s="1"/>
  <c r="F156" i="20" s="1"/>
  <c r="W87" i="20"/>
  <c r="D130" i="20"/>
  <c r="E130" i="20" s="1"/>
  <c r="F130" i="20" s="1"/>
  <c r="W264" i="20"/>
  <c r="V88" i="20"/>
  <c r="AH22" i="7"/>
  <c r="W274" i="20"/>
  <c r="D203" i="20"/>
  <c r="E203" i="20" s="1"/>
  <c r="F203" i="20" s="1"/>
  <c r="D31" i="20"/>
  <c r="E31" i="20" s="1"/>
  <c r="F31" i="20" s="1"/>
  <c r="D62" i="20"/>
  <c r="E62" i="20" s="1"/>
  <c r="F62" i="20" s="1"/>
  <c r="D99" i="20"/>
  <c r="E99" i="20" s="1"/>
  <c r="F99" i="20" s="1"/>
  <c r="W99" i="20"/>
  <c r="D122" i="20"/>
  <c r="E122" i="20" s="1"/>
  <c r="F122" i="20" s="1"/>
  <c r="D369" i="20"/>
  <c r="E369" i="20" s="1"/>
  <c r="F369" i="20" s="1"/>
  <c r="W91" i="20"/>
  <c r="D377" i="20"/>
  <c r="E377" i="20" s="1"/>
  <c r="F377" i="20" s="1"/>
  <c r="W377" i="20"/>
  <c r="W86" i="20"/>
  <c r="W193" i="20"/>
  <c r="D204" i="20"/>
  <c r="E204" i="20" s="1"/>
  <c r="F204" i="20" s="1"/>
  <c r="W32" i="20"/>
  <c r="W27" i="20"/>
  <c r="W166" i="20"/>
  <c r="W310" i="20"/>
  <c r="D40" i="20"/>
  <c r="E40" i="20" s="1"/>
  <c r="F40" i="20" s="1"/>
  <c r="W96" i="20"/>
  <c r="W90" i="20"/>
  <c r="D90" i="20"/>
  <c r="E90" i="20" s="1"/>
  <c r="F90" i="20" s="1"/>
  <c r="W71" i="20"/>
  <c r="W307" i="20"/>
  <c r="D103" i="20"/>
  <c r="E103" i="20" s="1"/>
  <c r="F103" i="20" s="1"/>
  <c r="D301" i="20"/>
  <c r="E301" i="20" s="1"/>
  <c r="F301" i="20" s="1"/>
  <c r="W301" i="20"/>
  <c r="J286" i="18"/>
  <c r="C286" i="6" s="1"/>
  <c r="I286" i="18"/>
  <c r="B286" i="6" s="1"/>
  <c r="BA286" i="6" s="1"/>
  <c r="D286" i="6" s="1"/>
  <c r="I152" i="18"/>
  <c r="B152" i="6" s="1"/>
  <c r="BA152" i="6" s="1"/>
  <c r="D152" i="6" s="1"/>
  <c r="J152" i="18"/>
  <c r="C152" i="6" s="1"/>
  <c r="I67" i="18"/>
  <c r="B67" i="6" s="1"/>
  <c r="BA67" i="6" s="1"/>
  <c r="D67" i="6" s="1"/>
  <c r="J158" i="18"/>
  <c r="C158" i="6" s="1"/>
  <c r="I158" i="18"/>
  <c r="B158" i="6" s="1"/>
  <c r="BA158" i="6" s="1"/>
  <c r="D158" i="6" s="1"/>
  <c r="J324" i="18"/>
  <c r="C324" i="6" s="1"/>
  <c r="I324" i="18"/>
  <c r="B324" i="6" s="1"/>
  <c r="BA324" i="6" s="1"/>
  <c r="D324" i="6" s="1"/>
  <c r="I192" i="18"/>
  <c r="B192" i="6" s="1"/>
  <c r="BA192" i="6" s="1"/>
  <c r="D192" i="6" s="1"/>
  <c r="J192" i="18"/>
  <c r="C192" i="6" s="1"/>
  <c r="J128" i="18"/>
  <c r="C128" i="6" s="1"/>
  <c r="I128" i="18"/>
  <c r="B128" i="6" s="1"/>
  <c r="BA128" i="6" s="1"/>
  <c r="D128" i="6" s="1"/>
  <c r="J28" i="18"/>
  <c r="C28" i="6" s="1"/>
  <c r="I28" i="18"/>
  <c r="B28" i="6" s="1"/>
  <c r="BA28" i="6" s="1"/>
  <c r="D28" i="6" s="1"/>
  <c r="J103" i="18"/>
  <c r="C103" i="6" s="1"/>
  <c r="I103" i="18"/>
  <c r="B103" i="6" s="1"/>
  <c r="BA103" i="6" s="1"/>
  <c r="D103" i="6" s="1"/>
  <c r="J340" i="18"/>
  <c r="C340" i="6" s="1"/>
  <c r="I340" i="18"/>
  <c r="B340" i="6" s="1"/>
  <c r="BA340" i="6" s="1"/>
  <c r="D340" i="6" s="1"/>
  <c r="I155" i="18"/>
  <c r="B155" i="6" s="1"/>
  <c r="BA155" i="6" s="1"/>
  <c r="D155" i="6" s="1"/>
  <c r="J155" i="18"/>
  <c r="C155" i="6" s="1"/>
  <c r="I139" i="18"/>
  <c r="B139" i="6" s="1"/>
  <c r="BA139" i="6" s="1"/>
  <c r="D139" i="6" s="1"/>
  <c r="J139" i="18"/>
  <c r="C139" i="6" s="1"/>
  <c r="I134" i="18"/>
  <c r="B134" i="6" s="1"/>
  <c r="BA134" i="6" s="1"/>
  <c r="D134" i="6" s="1"/>
  <c r="J134" i="18"/>
  <c r="C134" i="6" s="1"/>
  <c r="W302" i="18"/>
  <c r="D302" i="18"/>
  <c r="E302" i="18" s="1"/>
  <c r="F302" i="18" s="1"/>
  <c r="I25" i="18"/>
  <c r="B25" i="6" s="1"/>
  <c r="BA25" i="6" s="1"/>
  <c r="D25" i="6" s="1"/>
  <c r="J25" i="18"/>
  <c r="C25" i="6" s="1"/>
  <c r="I372" i="18"/>
  <c r="B372" i="6" s="1"/>
  <c r="BA372" i="6" s="1"/>
  <c r="D372" i="6" s="1"/>
  <c r="J372" i="18"/>
  <c r="C372" i="6" s="1"/>
  <c r="J41" i="18"/>
  <c r="C41" i="6" s="1"/>
  <c r="I41" i="18"/>
  <c r="B41" i="6" s="1"/>
  <c r="BA41" i="6" s="1"/>
  <c r="D41" i="6" s="1"/>
  <c r="J125" i="18"/>
  <c r="C125" i="6" s="1"/>
  <c r="I125" i="18"/>
  <c r="B125" i="6" s="1"/>
  <c r="BA125" i="6" s="1"/>
  <c r="D125" i="6" s="1"/>
  <c r="I207" i="18"/>
  <c r="B207" i="6" s="1"/>
  <c r="BA207" i="6" s="1"/>
  <c r="D207" i="6" s="1"/>
  <c r="J207" i="18"/>
  <c r="C207" i="6" s="1"/>
  <c r="I321" i="18"/>
  <c r="B321" i="6" s="1"/>
  <c r="BA321" i="6" s="1"/>
  <c r="D321" i="6" s="1"/>
  <c r="J321" i="18"/>
  <c r="C321" i="6" s="1"/>
  <c r="AE11" i="22"/>
  <c r="AO15" i="7"/>
  <c r="AE42" i="22"/>
  <c r="AE134" i="22"/>
  <c r="AE356" i="22"/>
  <c r="AE278" i="22"/>
  <c r="AE242" i="22"/>
  <c r="AE147" i="22"/>
  <c r="AE116" i="22"/>
  <c r="AE342" i="22"/>
  <c r="AE44" i="22"/>
  <c r="AE126" i="22"/>
  <c r="AE217" i="22"/>
  <c r="AE149" i="22"/>
  <c r="AE353" i="22"/>
  <c r="AE314" i="22"/>
  <c r="AE259" i="22"/>
  <c r="AE228" i="22"/>
  <c r="AE64" i="22"/>
  <c r="AE257" i="22"/>
  <c r="AE66" i="22"/>
  <c r="AE99" i="22"/>
  <c r="AE251" i="22"/>
  <c r="AE304" i="22"/>
  <c r="AE136" i="22"/>
  <c r="AE333" i="22"/>
  <c r="AE94" i="22"/>
  <c r="AE161" i="22"/>
  <c r="AE372" i="22"/>
  <c r="AE36" i="22"/>
  <c r="AE131" i="22"/>
  <c r="AE158" i="22"/>
  <c r="AE154" i="22"/>
  <c r="AE305" i="22"/>
  <c r="AE25" i="22"/>
  <c r="AE174" i="22"/>
  <c r="AE203" i="22"/>
  <c r="AE327" i="22"/>
  <c r="AE113" i="22"/>
  <c r="AE76" i="22"/>
  <c r="AE239" i="22"/>
  <c r="AE107" i="22"/>
  <c r="AE292" i="22"/>
  <c r="I244" i="18"/>
  <c r="B244" i="6" s="1"/>
  <c r="BA244" i="6" s="1"/>
  <c r="D244" i="6" s="1"/>
  <c r="J244" i="18"/>
  <c r="C244" i="6" s="1"/>
  <c r="W363" i="18"/>
  <c r="D363" i="18"/>
  <c r="E363" i="18" s="1"/>
  <c r="F363" i="18" s="1"/>
  <c r="I150" i="18"/>
  <c r="B150" i="6" s="1"/>
  <c r="BA150" i="6" s="1"/>
  <c r="D150" i="6" s="1"/>
  <c r="J150" i="18"/>
  <c r="C150" i="6" s="1"/>
  <c r="J319" i="18"/>
  <c r="C319" i="6" s="1"/>
  <c r="I319" i="18"/>
  <c r="B319" i="6" s="1"/>
  <c r="BA319" i="6" s="1"/>
  <c r="D319" i="6" s="1"/>
  <c r="J360" i="18"/>
  <c r="C360" i="6" s="1"/>
  <c r="I360" i="18"/>
  <c r="B360" i="6" s="1"/>
  <c r="BA360" i="6" s="1"/>
  <c r="D360" i="6" s="1"/>
  <c r="I291" i="18"/>
  <c r="B291" i="6" s="1"/>
  <c r="BA291" i="6" s="1"/>
  <c r="D291" i="6" s="1"/>
  <c r="J291" i="18"/>
  <c r="C291" i="6" s="1"/>
  <c r="J253" i="18"/>
  <c r="C253" i="6" s="1"/>
  <c r="I253" i="18"/>
  <c r="B253" i="6" s="1"/>
  <c r="BA253" i="6" s="1"/>
  <c r="D253" i="6" s="1"/>
  <c r="J373" i="18"/>
  <c r="C373" i="6" s="1"/>
  <c r="I373" i="18"/>
  <c r="B373" i="6" s="1"/>
  <c r="BA373" i="6" s="1"/>
  <c r="D373" i="6" s="1"/>
  <c r="J317" i="18"/>
  <c r="C317" i="6" s="1"/>
  <c r="I317" i="18"/>
  <c r="B317" i="6" s="1"/>
  <c r="BA317" i="6" s="1"/>
  <c r="D317" i="6" s="1"/>
  <c r="G29" i="18"/>
  <c r="CA29" i="6" s="1"/>
  <c r="AA29" i="18"/>
  <c r="Z29" i="18" s="1"/>
  <c r="Y29" i="18" s="1"/>
  <c r="H29" i="18"/>
  <c r="I106" i="18"/>
  <c r="B106" i="6" s="1"/>
  <c r="BA106" i="6" s="1"/>
  <c r="D106" i="6" s="1"/>
  <c r="J106" i="18"/>
  <c r="C106" i="6" s="1"/>
  <c r="I214" i="18"/>
  <c r="B214" i="6" s="1"/>
  <c r="BA214" i="6" s="1"/>
  <c r="D214" i="6" s="1"/>
  <c r="J214" i="18"/>
  <c r="C214" i="6" s="1"/>
  <c r="J284" i="18"/>
  <c r="C284" i="6" s="1"/>
  <c r="I284" i="18"/>
  <c r="B284" i="6" s="1"/>
  <c r="BA284" i="6" s="1"/>
  <c r="D284" i="6" s="1"/>
  <c r="I331" i="18"/>
  <c r="B331" i="6" s="1"/>
  <c r="BA331" i="6" s="1"/>
  <c r="D331" i="6" s="1"/>
  <c r="J331" i="18"/>
  <c r="C331" i="6" s="1"/>
  <c r="I47" i="18"/>
  <c r="B47" i="6" s="1"/>
  <c r="BA47" i="6" s="1"/>
  <c r="D47" i="6" s="1"/>
  <c r="J47" i="18"/>
  <c r="C47" i="6" s="1"/>
  <c r="J275" i="18"/>
  <c r="C275" i="6" s="1"/>
  <c r="I275" i="18"/>
  <c r="B275" i="6" s="1"/>
  <c r="BA275" i="6" s="1"/>
  <c r="D275" i="6" s="1"/>
  <c r="I132" i="18"/>
  <c r="B132" i="6" s="1"/>
  <c r="BA132" i="6" s="1"/>
  <c r="D132" i="6" s="1"/>
  <c r="J132" i="18"/>
  <c r="C132" i="6" s="1"/>
  <c r="J376" i="18"/>
  <c r="C376" i="6" s="1"/>
  <c r="I376" i="18"/>
  <c r="B376" i="6" s="1"/>
  <c r="BA376" i="6" s="1"/>
  <c r="D376" i="6" s="1"/>
  <c r="AB9" i="16"/>
  <c r="G13" i="19"/>
  <c r="J37" i="19" s="1"/>
  <c r="F11" i="16"/>
  <c r="J329" i="18"/>
  <c r="C329" i="6" s="1"/>
  <c r="I329" i="18"/>
  <c r="B329" i="6" s="1"/>
  <c r="BA329" i="6" s="1"/>
  <c r="D329" i="6" s="1"/>
  <c r="I138" i="18"/>
  <c r="B138" i="6" s="1"/>
  <c r="BA138" i="6" s="1"/>
  <c r="D138" i="6" s="1"/>
  <c r="J138" i="18"/>
  <c r="C138" i="6" s="1"/>
  <c r="W210" i="18"/>
  <c r="D210" i="18"/>
  <c r="E210" i="18" s="1"/>
  <c r="F210" i="18" s="1"/>
  <c r="AI11" i="20"/>
  <c r="AI47" i="20"/>
  <c r="AH47" i="20" s="1"/>
  <c r="AG47" i="20" s="1"/>
  <c r="AF47" i="20" s="1"/>
  <c r="AD47" i="20" s="1"/>
  <c r="AI109" i="20"/>
  <c r="AH109" i="20" s="1"/>
  <c r="AG109" i="20" s="1"/>
  <c r="AF109" i="20" s="1"/>
  <c r="AD109" i="20" s="1"/>
  <c r="AI299" i="20"/>
  <c r="AH299" i="20" s="1"/>
  <c r="AG299" i="20" s="1"/>
  <c r="AF299" i="20" s="1"/>
  <c r="AD299" i="20" s="1"/>
  <c r="AI241" i="20"/>
  <c r="AH241" i="20" s="1"/>
  <c r="AG241" i="20" s="1"/>
  <c r="AF241" i="20" s="1"/>
  <c r="AD241" i="20" s="1"/>
  <c r="AI255" i="20"/>
  <c r="AH255" i="20" s="1"/>
  <c r="AG255" i="20" s="1"/>
  <c r="AF255" i="20" s="1"/>
  <c r="AD255" i="20" s="1"/>
  <c r="AI37" i="20"/>
  <c r="AH37" i="20" s="1"/>
  <c r="AG37" i="20" s="1"/>
  <c r="AF37" i="20" s="1"/>
  <c r="AD37" i="20" s="1"/>
  <c r="AI231" i="20"/>
  <c r="AH231" i="20" s="1"/>
  <c r="AG231" i="20" s="1"/>
  <c r="AF231" i="20" s="1"/>
  <c r="AD231" i="20" s="1"/>
  <c r="AI256" i="20"/>
  <c r="AH256" i="20" s="1"/>
  <c r="AG256" i="20" s="1"/>
  <c r="AF256" i="20" s="1"/>
  <c r="AD256" i="20" s="1"/>
  <c r="AI336" i="20"/>
  <c r="AH336" i="20" s="1"/>
  <c r="AG336" i="20" s="1"/>
  <c r="AF336" i="20" s="1"/>
  <c r="AD336" i="20" s="1"/>
  <c r="AI248" i="20"/>
  <c r="AH248" i="20" s="1"/>
  <c r="AG248" i="20" s="1"/>
  <c r="AF248" i="20" s="1"/>
  <c r="AD248" i="20" s="1"/>
  <c r="AI64" i="20"/>
  <c r="AH64" i="20" s="1"/>
  <c r="AG64" i="20" s="1"/>
  <c r="AF64" i="20" s="1"/>
  <c r="AD64" i="20" s="1"/>
  <c r="AI100" i="20"/>
  <c r="AH100" i="20" s="1"/>
  <c r="AG100" i="20" s="1"/>
  <c r="AF100" i="20" s="1"/>
  <c r="AD100" i="20" s="1"/>
  <c r="AI113" i="20"/>
  <c r="AH113" i="20" s="1"/>
  <c r="AG113" i="20" s="1"/>
  <c r="AF113" i="20" s="1"/>
  <c r="AD113" i="20" s="1"/>
  <c r="AI254" i="20"/>
  <c r="AH254" i="20" s="1"/>
  <c r="AG254" i="20" s="1"/>
  <c r="AF254" i="20" s="1"/>
  <c r="AD254" i="20" s="1"/>
  <c r="AI274" i="20"/>
  <c r="AH274" i="20" s="1"/>
  <c r="AG274" i="20" s="1"/>
  <c r="AF274" i="20" s="1"/>
  <c r="AD274" i="20" s="1"/>
  <c r="AI246" i="20"/>
  <c r="AH246" i="20" s="1"/>
  <c r="AG246" i="20" s="1"/>
  <c r="AF246" i="20" s="1"/>
  <c r="AD246" i="20" s="1"/>
  <c r="AI377" i="20"/>
  <c r="AH377" i="20" s="1"/>
  <c r="AG377" i="20" s="1"/>
  <c r="AF377" i="20" s="1"/>
  <c r="AD377" i="20" s="1"/>
  <c r="AI214" i="20"/>
  <c r="AH214" i="20" s="1"/>
  <c r="AG214" i="20" s="1"/>
  <c r="AF214" i="20" s="1"/>
  <c r="AD214" i="20" s="1"/>
  <c r="AI345" i="20"/>
  <c r="AH345" i="20" s="1"/>
  <c r="AG345" i="20" s="1"/>
  <c r="AF345" i="20" s="1"/>
  <c r="AD345" i="20" s="1"/>
  <c r="AI242" i="20"/>
  <c r="AH242" i="20" s="1"/>
  <c r="AG242" i="20" s="1"/>
  <c r="AF242" i="20" s="1"/>
  <c r="AD242" i="20" s="1"/>
  <c r="AI312" i="20"/>
  <c r="AH312" i="20" s="1"/>
  <c r="AG312" i="20" s="1"/>
  <c r="AF312" i="20" s="1"/>
  <c r="AD312" i="20" s="1"/>
  <c r="AI321" i="20"/>
  <c r="AH321" i="20" s="1"/>
  <c r="AG321" i="20" s="1"/>
  <c r="AF321" i="20" s="1"/>
  <c r="AD321" i="20" s="1"/>
  <c r="AI328" i="20"/>
  <c r="AH328" i="20" s="1"/>
  <c r="AG328" i="20" s="1"/>
  <c r="AF328" i="20" s="1"/>
  <c r="AD328" i="20" s="1"/>
  <c r="AI24" i="20"/>
  <c r="AH24" i="20" s="1"/>
  <c r="AG24" i="20" s="1"/>
  <c r="AF24" i="20" s="1"/>
  <c r="AD24" i="20" s="1"/>
  <c r="AI81" i="20"/>
  <c r="AH81" i="20" s="1"/>
  <c r="AG81" i="20" s="1"/>
  <c r="AF81" i="20" s="1"/>
  <c r="AD81" i="20" s="1"/>
  <c r="AI121" i="20"/>
  <c r="AH121" i="20" s="1"/>
  <c r="AG121" i="20" s="1"/>
  <c r="AF121" i="20" s="1"/>
  <c r="AD121" i="20" s="1"/>
  <c r="AI327" i="20"/>
  <c r="AH327" i="20" s="1"/>
  <c r="AG327" i="20" s="1"/>
  <c r="AF327" i="20" s="1"/>
  <c r="AD327" i="20" s="1"/>
  <c r="AI70" i="20"/>
  <c r="AH70" i="20" s="1"/>
  <c r="AG70" i="20" s="1"/>
  <c r="AF70" i="20" s="1"/>
  <c r="AD70" i="20" s="1"/>
  <c r="AI226" i="20"/>
  <c r="AH226" i="20" s="1"/>
  <c r="AG226" i="20" s="1"/>
  <c r="AF226" i="20" s="1"/>
  <c r="AD226" i="20" s="1"/>
  <c r="AI56" i="20"/>
  <c r="AH56" i="20" s="1"/>
  <c r="AG56" i="20" s="1"/>
  <c r="AF56" i="20" s="1"/>
  <c r="AD56" i="20" s="1"/>
  <c r="AI344" i="20"/>
  <c r="AH344" i="20" s="1"/>
  <c r="AG344" i="20" s="1"/>
  <c r="AF344" i="20" s="1"/>
  <c r="AD344" i="20" s="1"/>
  <c r="AI200" i="20"/>
  <c r="AH200" i="20" s="1"/>
  <c r="AG200" i="20" s="1"/>
  <c r="AF200" i="20" s="1"/>
  <c r="AD200" i="20" s="1"/>
  <c r="AI202" i="20"/>
  <c r="AH202" i="20" s="1"/>
  <c r="AG202" i="20" s="1"/>
  <c r="AF202" i="20" s="1"/>
  <c r="AD202" i="20" s="1"/>
  <c r="AI277" i="20"/>
  <c r="AH277" i="20" s="1"/>
  <c r="AG277" i="20" s="1"/>
  <c r="AF277" i="20" s="1"/>
  <c r="AD277" i="20" s="1"/>
  <c r="AI329" i="20"/>
  <c r="AH329" i="20" s="1"/>
  <c r="AG329" i="20" s="1"/>
  <c r="AF329" i="20" s="1"/>
  <c r="AD329" i="20" s="1"/>
  <c r="AI304" i="20"/>
  <c r="AH304" i="20" s="1"/>
  <c r="AG304" i="20" s="1"/>
  <c r="AF304" i="20" s="1"/>
  <c r="AD304" i="20" s="1"/>
  <c r="AI379" i="20"/>
  <c r="AI288" i="20"/>
  <c r="AH288" i="20" s="1"/>
  <c r="AG288" i="20" s="1"/>
  <c r="AF288" i="20" s="1"/>
  <c r="AD288" i="20" s="1"/>
  <c r="AI156" i="20"/>
  <c r="AH156" i="20" s="1"/>
  <c r="AG156" i="20" s="1"/>
  <c r="AF156" i="20" s="1"/>
  <c r="AD156" i="20" s="1"/>
  <c r="AI365" i="20"/>
  <c r="AH365" i="20" s="1"/>
  <c r="AG365" i="20" s="1"/>
  <c r="AF365" i="20" s="1"/>
  <c r="AD365" i="20" s="1"/>
  <c r="AI58" i="20"/>
  <c r="AH58" i="20" s="1"/>
  <c r="AG58" i="20" s="1"/>
  <c r="AF58" i="20" s="1"/>
  <c r="AD58" i="20" s="1"/>
  <c r="AI222" i="20"/>
  <c r="AH222" i="20" s="1"/>
  <c r="AG222" i="20" s="1"/>
  <c r="AF222" i="20" s="1"/>
  <c r="AD222" i="20" s="1"/>
  <c r="AI364" i="20"/>
  <c r="AH364" i="20" s="1"/>
  <c r="AG364" i="20" s="1"/>
  <c r="AF364" i="20" s="1"/>
  <c r="AD364" i="20" s="1"/>
  <c r="AI165" i="20"/>
  <c r="AH165" i="20" s="1"/>
  <c r="AG165" i="20" s="1"/>
  <c r="AF165" i="20" s="1"/>
  <c r="AD165" i="20" s="1"/>
  <c r="AI359" i="20"/>
  <c r="AH359" i="20" s="1"/>
  <c r="AG359" i="20" s="1"/>
  <c r="AF359" i="20" s="1"/>
  <c r="AD359" i="20" s="1"/>
  <c r="AI147" i="20"/>
  <c r="AH147" i="20" s="1"/>
  <c r="AG147" i="20" s="1"/>
  <c r="AF147" i="20" s="1"/>
  <c r="AD147" i="20" s="1"/>
  <c r="AI209" i="20"/>
  <c r="AH209" i="20" s="1"/>
  <c r="AG209" i="20" s="1"/>
  <c r="AF209" i="20" s="1"/>
  <c r="AD209" i="20" s="1"/>
  <c r="AI128" i="20"/>
  <c r="AH128" i="20" s="1"/>
  <c r="AG128" i="20" s="1"/>
  <c r="AF128" i="20" s="1"/>
  <c r="AD128" i="20" s="1"/>
  <c r="AI267" i="20"/>
  <c r="AH267" i="20" s="1"/>
  <c r="AG267" i="20" s="1"/>
  <c r="AF267" i="20" s="1"/>
  <c r="AD267" i="20" s="1"/>
  <c r="AI313" i="20"/>
  <c r="AH313" i="20" s="1"/>
  <c r="AG313" i="20" s="1"/>
  <c r="AF313" i="20" s="1"/>
  <c r="AD313" i="20" s="1"/>
  <c r="AI141" i="20"/>
  <c r="AH141" i="20" s="1"/>
  <c r="AG141" i="20" s="1"/>
  <c r="AF141" i="20" s="1"/>
  <c r="AD141" i="20" s="1"/>
  <c r="AI159" i="20"/>
  <c r="AH159" i="20" s="1"/>
  <c r="AG159" i="20" s="1"/>
  <c r="AF159" i="20" s="1"/>
  <c r="AD159" i="20" s="1"/>
  <c r="AI178" i="20"/>
  <c r="AH178" i="20" s="1"/>
  <c r="AG178" i="20" s="1"/>
  <c r="AF178" i="20" s="1"/>
  <c r="AD178" i="20" s="1"/>
  <c r="AI46" i="20"/>
  <c r="AH46" i="20" s="1"/>
  <c r="AG46" i="20" s="1"/>
  <c r="AF46" i="20" s="1"/>
  <c r="AD46" i="20" s="1"/>
  <c r="AI125" i="20"/>
  <c r="AH125" i="20" s="1"/>
  <c r="AG125" i="20" s="1"/>
  <c r="AF125" i="20" s="1"/>
  <c r="AD125" i="20" s="1"/>
  <c r="AI48" i="20"/>
  <c r="AH48" i="20" s="1"/>
  <c r="AG48" i="20" s="1"/>
  <c r="AF48" i="20" s="1"/>
  <c r="AD48" i="20" s="1"/>
  <c r="AI123" i="20"/>
  <c r="AH123" i="20" s="1"/>
  <c r="AG123" i="20" s="1"/>
  <c r="AF123" i="20" s="1"/>
  <c r="AD123" i="20" s="1"/>
  <c r="AI307" i="20"/>
  <c r="AH307" i="20" s="1"/>
  <c r="AG307" i="20" s="1"/>
  <c r="AF307" i="20" s="1"/>
  <c r="AD307" i="20" s="1"/>
  <c r="AI114" i="20"/>
  <c r="AH114" i="20" s="1"/>
  <c r="AG114" i="20" s="1"/>
  <c r="AF114" i="20" s="1"/>
  <c r="AD114" i="20" s="1"/>
  <c r="AI184" i="20"/>
  <c r="AH184" i="20" s="1"/>
  <c r="AG184" i="20" s="1"/>
  <c r="AF184" i="20" s="1"/>
  <c r="AD184" i="20" s="1"/>
  <c r="AI152" i="20"/>
  <c r="AH152" i="20" s="1"/>
  <c r="AG152" i="20" s="1"/>
  <c r="AF152" i="20" s="1"/>
  <c r="AD152" i="20" s="1"/>
  <c r="AI20" i="20"/>
  <c r="AH20" i="20" s="1"/>
  <c r="AG20" i="20" s="1"/>
  <c r="AF20" i="20" s="1"/>
  <c r="AD20" i="20" s="1"/>
  <c r="AI296" i="20"/>
  <c r="AH296" i="20" s="1"/>
  <c r="AG296" i="20" s="1"/>
  <c r="AF296" i="20" s="1"/>
  <c r="AD296" i="20" s="1"/>
  <c r="AI149" i="20"/>
  <c r="AH149" i="20" s="1"/>
  <c r="AG149" i="20" s="1"/>
  <c r="AF149" i="20" s="1"/>
  <c r="AD149" i="20" s="1"/>
  <c r="AI374" i="20"/>
  <c r="AH374" i="20" s="1"/>
  <c r="AG374" i="20" s="1"/>
  <c r="AF374" i="20" s="1"/>
  <c r="AD374" i="20" s="1"/>
  <c r="AI343" i="20"/>
  <c r="AH343" i="20" s="1"/>
  <c r="AG343" i="20" s="1"/>
  <c r="AF343" i="20" s="1"/>
  <c r="AD343" i="20" s="1"/>
  <c r="AI179" i="20"/>
  <c r="AH179" i="20" s="1"/>
  <c r="AG179" i="20" s="1"/>
  <c r="AF179" i="20" s="1"/>
  <c r="AD179" i="20" s="1"/>
  <c r="AI303" i="20"/>
  <c r="AH303" i="20" s="1"/>
  <c r="AG303" i="20" s="1"/>
  <c r="AF303" i="20" s="1"/>
  <c r="AD303" i="20" s="1"/>
  <c r="AI151" i="20"/>
  <c r="AH151" i="20" s="1"/>
  <c r="AG151" i="20" s="1"/>
  <c r="AF151" i="20" s="1"/>
  <c r="AD151" i="20" s="1"/>
  <c r="AI194" i="20"/>
  <c r="AH194" i="20" s="1"/>
  <c r="AG194" i="20" s="1"/>
  <c r="AF194" i="20" s="1"/>
  <c r="AD194" i="20" s="1"/>
  <c r="AI143" i="20"/>
  <c r="AH143" i="20" s="1"/>
  <c r="AG143" i="20" s="1"/>
  <c r="AF143" i="20" s="1"/>
  <c r="AD143" i="20" s="1"/>
  <c r="AI187" i="20"/>
  <c r="AH187" i="20" s="1"/>
  <c r="AG187" i="20" s="1"/>
  <c r="AF187" i="20" s="1"/>
  <c r="AD187" i="20" s="1"/>
  <c r="AI258" i="20"/>
  <c r="AH258" i="20" s="1"/>
  <c r="AG258" i="20" s="1"/>
  <c r="AF258" i="20" s="1"/>
  <c r="AD258" i="20" s="1"/>
  <c r="AI25" i="20"/>
  <c r="AH25" i="20" s="1"/>
  <c r="AG25" i="20" s="1"/>
  <c r="AF25" i="20" s="1"/>
  <c r="AD25" i="20" s="1"/>
  <c r="AI87" i="20"/>
  <c r="AH87" i="20" s="1"/>
  <c r="AG87" i="20" s="1"/>
  <c r="AF87" i="20" s="1"/>
  <c r="AD87" i="20" s="1"/>
  <c r="AI131" i="20"/>
  <c r="AH131" i="20" s="1"/>
  <c r="AG131" i="20" s="1"/>
  <c r="AF131" i="20" s="1"/>
  <c r="AD131" i="20" s="1"/>
  <c r="AI198" i="20"/>
  <c r="AH198" i="20" s="1"/>
  <c r="AG198" i="20" s="1"/>
  <c r="AF198" i="20" s="1"/>
  <c r="AD198" i="20" s="1"/>
  <c r="AI354" i="20"/>
  <c r="AH354" i="20" s="1"/>
  <c r="AG354" i="20" s="1"/>
  <c r="AF354" i="20" s="1"/>
  <c r="AD354" i="20" s="1"/>
  <c r="AI367" i="20"/>
  <c r="AH367" i="20" s="1"/>
  <c r="AG367" i="20" s="1"/>
  <c r="AF367" i="20" s="1"/>
  <c r="AD367" i="20" s="1"/>
  <c r="AI174" i="20"/>
  <c r="AH174" i="20" s="1"/>
  <c r="AG174" i="20" s="1"/>
  <c r="AF174" i="20" s="1"/>
  <c r="AD174" i="20" s="1"/>
  <c r="AI106" i="20"/>
  <c r="AH106" i="20" s="1"/>
  <c r="AG106" i="20" s="1"/>
  <c r="AF106" i="20" s="1"/>
  <c r="AD106" i="20" s="1"/>
  <c r="AI127" i="20"/>
  <c r="AH127" i="20" s="1"/>
  <c r="AG127" i="20" s="1"/>
  <c r="AF127" i="20" s="1"/>
  <c r="AD127" i="20" s="1"/>
  <c r="AI357" i="20"/>
  <c r="AH357" i="20" s="1"/>
  <c r="AG357" i="20" s="1"/>
  <c r="AF357" i="20" s="1"/>
  <c r="AD357" i="20" s="1"/>
  <c r="AI167" i="20"/>
  <c r="AH167" i="20" s="1"/>
  <c r="AG167" i="20" s="1"/>
  <c r="AF167" i="20" s="1"/>
  <c r="AD167" i="20" s="1"/>
  <c r="AI249" i="20"/>
  <c r="AH249" i="20" s="1"/>
  <c r="AG249" i="20" s="1"/>
  <c r="AF249" i="20" s="1"/>
  <c r="AD249" i="20" s="1"/>
  <c r="AI199" i="20"/>
  <c r="AH199" i="20" s="1"/>
  <c r="AG199" i="20" s="1"/>
  <c r="AF199" i="20" s="1"/>
  <c r="AD199" i="20" s="1"/>
  <c r="AI281" i="20"/>
  <c r="AH281" i="20" s="1"/>
  <c r="AG281" i="20" s="1"/>
  <c r="AF281" i="20" s="1"/>
  <c r="AD281" i="20" s="1"/>
  <c r="AI261" i="20"/>
  <c r="AH261" i="20" s="1"/>
  <c r="AG261" i="20" s="1"/>
  <c r="AF261" i="20" s="1"/>
  <c r="AD261" i="20" s="1"/>
  <c r="AI331" i="20"/>
  <c r="AH331" i="20" s="1"/>
  <c r="AG331" i="20" s="1"/>
  <c r="AF331" i="20" s="1"/>
  <c r="AD331" i="20" s="1"/>
  <c r="AI43" i="20"/>
  <c r="AH43" i="20" s="1"/>
  <c r="AG43" i="20" s="1"/>
  <c r="AF43" i="20" s="1"/>
  <c r="AD43" i="20" s="1"/>
  <c r="AI136" i="20"/>
  <c r="AH136" i="20" s="1"/>
  <c r="AG136" i="20" s="1"/>
  <c r="AF136" i="20" s="1"/>
  <c r="AD136" i="20" s="1"/>
  <c r="AI145" i="20"/>
  <c r="AH145" i="20" s="1"/>
  <c r="AG145" i="20" s="1"/>
  <c r="AF145" i="20" s="1"/>
  <c r="AD145" i="20" s="1"/>
  <c r="AI146" i="20"/>
  <c r="AH146" i="20" s="1"/>
  <c r="AG146" i="20" s="1"/>
  <c r="AF146" i="20" s="1"/>
  <c r="AD146" i="20" s="1"/>
  <c r="AI16" i="7"/>
  <c r="AI168" i="20"/>
  <c r="AH168" i="20" s="1"/>
  <c r="AG168" i="20" s="1"/>
  <c r="AF168" i="20" s="1"/>
  <c r="AD168" i="20" s="1"/>
  <c r="AI189" i="20"/>
  <c r="AH189" i="20" s="1"/>
  <c r="AG189" i="20" s="1"/>
  <c r="AF189" i="20" s="1"/>
  <c r="AD189" i="20" s="1"/>
  <c r="AI210" i="20"/>
  <c r="AH210" i="20" s="1"/>
  <c r="AG210" i="20" s="1"/>
  <c r="AF210" i="20" s="1"/>
  <c r="AD210" i="20" s="1"/>
  <c r="AI41" i="20"/>
  <c r="AH41" i="20" s="1"/>
  <c r="AG41" i="20" s="1"/>
  <c r="AF41" i="20" s="1"/>
  <c r="AD41" i="20" s="1"/>
  <c r="AI310" i="20"/>
  <c r="AH310" i="20" s="1"/>
  <c r="AG310" i="20" s="1"/>
  <c r="AF310" i="20" s="1"/>
  <c r="AD310" i="20" s="1"/>
  <c r="AI104" i="20"/>
  <c r="AH104" i="20" s="1"/>
  <c r="AG104" i="20" s="1"/>
  <c r="AF104" i="20" s="1"/>
  <c r="AD104" i="20" s="1"/>
  <c r="AI324" i="20"/>
  <c r="AH324" i="20" s="1"/>
  <c r="AG324" i="20" s="1"/>
  <c r="AF324" i="20" s="1"/>
  <c r="AD324" i="20" s="1"/>
  <c r="AI352" i="20"/>
  <c r="AH352" i="20" s="1"/>
  <c r="AG352" i="20" s="1"/>
  <c r="AF352" i="20" s="1"/>
  <c r="AD352" i="20" s="1"/>
  <c r="AI112" i="20"/>
  <c r="AH112" i="20" s="1"/>
  <c r="AG112" i="20" s="1"/>
  <c r="AF112" i="20" s="1"/>
  <c r="AD112" i="20" s="1"/>
  <c r="AI225" i="20"/>
  <c r="AH225" i="20" s="1"/>
  <c r="AG225" i="20" s="1"/>
  <c r="AF225" i="20" s="1"/>
  <c r="AD225" i="20" s="1"/>
  <c r="AI134" i="20"/>
  <c r="AH134" i="20" s="1"/>
  <c r="AG134" i="20" s="1"/>
  <c r="AF134" i="20" s="1"/>
  <c r="AD134" i="20" s="1"/>
  <c r="AI279" i="20"/>
  <c r="AH279" i="20" s="1"/>
  <c r="AG279" i="20" s="1"/>
  <c r="AF279" i="20" s="1"/>
  <c r="AD279" i="20" s="1"/>
  <c r="AI162" i="20"/>
  <c r="AH162" i="20" s="1"/>
  <c r="AG162" i="20" s="1"/>
  <c r="AF162" i="20" s="1"/>
  <c r="AD162" i="20" s="1"/>
  <c r="AI269" i="20"/>
  <c r="AH269" i="20" s="1"/>
  <c r="AG269" i="20" s="1"/>
  <c r="AF269" i="20" s="1"/>
  <c r="AD269" i="20" s="1"/>
  <c r="AI33" i="20"/>
  <c r="AH33" i="20" s="1"/>
  <c r="AG33" i="20" s="1"/>
  <c r="AF33" i="20" s="1"/>
  <c r="AD33" i="20" s="1"/>
  <c r="AI287" i="20"/>
  <c r="AH287" i="20" s="1"/>
  <c r="AG287" i="20" s="1"/>
  <c r="AF287" i="20" s="1"/>
  <c r="AD287" i="20" s="1"/>
  <c r="AI257" i="20"/>
  <c r="AH257" i="20" s="1"/>
  <c r="AG257" i="20" s="1"/>
  <c r="AF257" i="20" s="1"/>
  <c r="AD257" i="20" s="1"/>
  <c r="AI236" i="20"/>
  <c r="AH236" i="20" s="1"/>
  <c r="AG236" i="20" s="1"/>
  <c r="AF236" i="20" s="1"/>
  <c r="AD236" i="20" s="1"/>
  <c r="AI283" i="20"/>
  <c r="AH283" i="20" s="1"/>
  <c r="AG283" i="20" s="1"/>
  <c r="AF283" i="20" s="1"/>
  <c r="AD283" i="20" s="1"/>
  <c r="AI229" i="20"/>
  <c r="AH229" i="20" s="1"/>
  <c r="AG229" i="20" s="1"/>
  <c r="AF229" i="20" s="1"/>
  <c r="AD229" i="20" s="1"/>
  <c r="AI74" i="20"/>
  <c r="AH74" i="20" s="1"/>
  <c r="AG74" i="20" s="1"/>
  <c r="AF74" i="20" s="1"/>
  <c r="AD74" i="20" s="1"/>
  <c r="AI39" i="20"/>
  <c r="AH39" i="20" s="1"/>
  <c r="AG39" i="20" s="1"/>
  <c r="AF39" i="20" s="1"/>
  <c r="AD39" i="20" s="1"/>
  <c r="AI138" i="20"/>
  <c r="AH138" i="20" s="1"/>
  <c r="AG138" i="20" s="1"/>
  <c r="AF138" i="20" s="1"/>
  <c r="AD138" i="20" s="1"/>
  <c r="AI215" i="20"/>
  <c r="AH215" i="20" s="1"/>
  <c r="AG215" i="20" s="1"/>
  <c r="AF215" i="20" s="1"/>
  <c r="AD215" i="20" s="1"/>
  <c r="AI371" i="20"/>
  <c r="AH371" i="20" s="1"/>
  <c r="AG371" i="20" s="1"/>
  <c r="AF371" i="20" s="1"/>
  <c r="AD371" i="20" s="1"/>
  <c r="AI233" i="20"/>
  <c r="AH233" i="20" s="1"/>
  <c r="AG233" i="20" s="1"/>
  <c r="AF233" i="20" s="1"/>
  <c r="AD233" i="20" s="1"/>
  <c r="AI334" i="20"/>
  <c r="AH334" i="20" s="1"/>
  <c r="AG334" i="20" s="1"/>
  <c r="AF334" i="20" s="1"/>
  <c r="AD334" i="20" s="1"/>
  <c r="AI375" i="20"/>
  <c r="AH375" i="20" s="1"/>
  <c r="AG375" i="20" s="1"/>
  <c r="AF375" i="20" s="1"/>
  <c r="AD375" i="20" s="1"/>
  <c r="AI27" i="20"/>
  <c r="AH27" i="20" s="1"/>
  <c r="AG27" i="20" s="1"/>
  <c r="AF27" i="20" s="1"/>
  <c r="AD27" i="20" s="1"/>
  <c r="AI181" i="20"/>
  <c r="AH181" i="20" s="1"/>
  <c r="AG181" i="20" s="1"/>
  <c r="AF181" i="20" s="1"/>
  <c r="AD181" i="20" s="1"/>
  <c r="AI363" i="20"/>
  <c r="AH363" i="20" s="1"/>
  <c r="AG363" i="20" s="1"/>
  <c r="AF363" i="20" s="1"/>
  <c r="AD363" i="20" s="1"/>
  <c r="AI142" i="20"/>
  <c r="AH142" i="20" s="1"/>
  <c r="AG142" i="20" s="1"/>
  <c r="AF142" i="20" s="1"/>
  <c r="AD142" i="20" s="1"/>
  <c r="AI286" i="20"/>
  <c r="AH286" i="20" s="1"/>
  <c r="AG286" i="20" s="1"/>
  <c r="AF286" i="20" s="1"/>
  <c r="AD286" i="20" s="1"/>
  <c r="AI129" i="20"/>
  <c r="AH129" i="20" s="1"/>
  <c r="AG129" i="20" s="1"/>
  <c r="AF129" i="20" s="1"/>
  <c r="AD129" i="20" s="1"/>
  <c r="AI341" i="20"/>
  <c r="AH341" i="20" s="1"/>
  <c r="AG341" i="20" s="1"/>
  <c r="AF341" i="20" s="1"/>
  <c r="AD341" i="20" s="1"/>
  <c r="AI155" i="20"/>
  <c r="AH155" i="20" s="1"/>
  <c r="AG155" i="20" s="1"/>
  <c r="AF155" i="20" s="1"/>
  <c r="AD155" i="20" s="1"/>
  <c r="AI252" i="20"/>
  <c r="AH252" i="20" s="1"/>
  <c r="AG252" i="20" s="1"/>
  <c r="AF252" i="20" s="1"/>
  <c r="AD252" i="20" s="1"/>
  <c r="AI330" i="20"/>
  <c r="AH330" i="20" s="1"/>
  <c r="AG330" i="20" s="1"/>
  <c r="AF330" i="20" s="1"/>
  <c r="AD330" i="20" s="1"/>
  <c r="AI276" i="20"/>
  <c r="AH276" i="20" s="1"/>
  <c r="AG276" i="20" s="1"/>
  <c r="AF276" i="20" s="1"/>
  <c r="AD276" i="20" s="1"/>
  <c r="AI44" i="20"/>
  <c r="AH44" i="20" s="1"/>
  <c r="AG44" i="20" s="1"/>
  <c r="AF44" i="20" s="1"/>
  <c r="AD44" i="20" s="1"/>
  <c r="AI29" i="20"/>
  <c r="AH29" i="20" s="1"/>
  <c r="AG29" i="20" s="1"/>
  <c r="AF29" i="20" s="1"/>
  <c r="AD29" i="20" s="1"/>
  <c r="AI272" i="20"/>
  <c r="AH272" i="20" s="1"/>
  <c r="AG272" i="20" s="1"/>
  <c r="AF272" i="20" s="1"/>
  <c r="AD272" i="20" s="1"/>
  <c r="AI52" i="20"/>
  <c r="AH52" i="20" s="1"/>
  <c r="AG52" i="20" s="1"/>
  <c r="AF52" i="20" s="1"/>
  <c r="AD52" i="20" s="1"/>
  <c r="AI301" i="20"/>
  <c r="AH301" i="20" s="1"/>
  <c r="AG301" i="20" s="1"/>
  <c r="AF301" i="20" s="1"/>
  <c r="AD301" i="20" s="1"/>
  <c r="AI160" i="20"/>
  <c r="AH160" i="20" s="1"/>
  <c r="AG160" i="20" s="1"/>
  <c r="AF160" i="20" s="1"/>
  <c r="AD160" i="20" s="1"/>
  <c r="AI132" i="20"/>
  <c r="AH132" i="20" s="1"/>
  <c r="AG132" i="20" s="1"/>
  <c r="AF132" i="20" s="1"/>
  <c r="AD132" i="20" s="1"/>
  <c r="AI53" i="20"/>
  <c r="AH53" i="20" s="1"/>
  <c r="AG53" i="20" s="1"/>
  <c r="AF53" i="20" s="1"/>
  <c r="AD53" i="20" s="1"/>
  <c r="AI378" i="20"/>
  <c r="AH378" i="20" s="1"/>
  <c r="AG378" i="20" s="1"/>
  <c r="AF378" i="20" s="1"/>
  <c r="AD378" i="20" s="1"/>
  <c r="AI239" i="20"/>
  <c r="AH239" i="20" s="1"/>
  <c r="AG239" i="20" s="1"/>
  <c r="AF239" i="20" s="1"/>
  <c r="AD239" i="20" s="1"/>
  <c r="AI158" i="20"/>
  <c r="AH158" i="20" s="1"/>
  <c r="AG158" i="20" s="1"/>
  <c r="AF158" i="20" s="1"/>
  <c r="AD158" i="20" s="1"/>
  <c r="AI366" i="20"/>
  <c r="AH366" i="20" s="1"/>
  <c r="AG366" i="20" s="1"/>
  <c r="AF366" i="20" s="1"/>
  <c r="AD366" i="20" s="1"/>
  <c r="AI126" i="20"/>
  <c r="AH126" i="20" s="1"/>
  <c r="AG126" i="20" s="1"/>
  <c r="AF126" i="20" s="1"/>
  <c r="AD126" i="20" s="1"/>
  <c r="AI170" i="20"/>
  <c r="AH170" i="20" s="1"/>
  <c r="AG170" i="20" s="1"/>
  <c r="AF170" i="20" s="1"/>
  <c r="AD170" i="20" s="1"/>
  <c r="AI338" i="20"/>
  <c r="AH338" i="20" s="1"/>
  <c r="AG338" i="20" s="1"/>
  <c r="AF338" i="20" s="1"/>
  <c r="AD338" i="20" s="1"/>
  <c r="AI221" i="20"/>
  <c r="AH221" i="20" s="1"/>
  <c r="AG221" i="20" s="1"/>
  <c r="AF221" i="20" s="1"/>
  <c r="AD221" i="20" s="1"/>
  <c r="AI295" i="20"/>
  <c r="AH295" i="20" s="1"/>
  <c r="AG295" i="20" s="1"/>
  <c r="AF295" i="20" s="1"/>
  <c r="AD295" i="20" s="1"/>
  <c r="AI62" i="20"/>
  <c r="AH62" i="20" s="1"/>
  <c r="AG62" i="20" s="1"/>
  <c r="AF62" i="20" s="1"/>
  <c r="AD62" i="20" s="1"/>
  <c r="AI275" i="20"/>
  <c r="AH275" i="20" s="1"/>
  <c r="AG275" i="20" s="1"/>
  <c r="AF275" i="20" s="1"/>
  <c r="AD275" i="20" s="1"/>
  <c r="AI144" i="20"/>
  <c r="AH144" i="20" s="1"/>
  <c r="AG144" i="20" s="1"/>
  <c r="AF144" i="20" s="1"/>
  <c r="AD144" i="20" s="1"/>
  <c r="AI157" i="20"/>
  <c r="AH157" i="20" s="1"/>
  <c r="AG157" i="20" s="1"/>
  <c r="AF157" i="20" s="1"/>
  <c r="AD157" i="20" s="1"/>
  <c r="AI45" i="20"/>
  <c r="AH45" i="20" s="1"/>
  <c r="AG45" i="20" s="1"/>
  <c r="AF45" i="20" s="1"/>
  <c r="AD45" i="20" s="1"/>
  <c r="AI32" i="20"/>
  <c r="AH32" i="20" s="1"/>
  <c r="AG32" i="20" s="1"/>
  <c r="AF32" i="20" s="1"/>
  <c r="AD32" i="20" s="1"/>
  <c r="AI83" i="20"/>
  <c r="AH83" i="20" s="1"/>
  <c r="AG83" i="20" s="1"/>
  <c r="AF83" i="20" s="1"/>
  <c r="AD83" i="20" s="1"/>
  <c r="AI370" i="20"/>
  <c r="AH370" i="20" s="1"/>
  <c r="AG370" i="20" s="1"/>
  <c r="AF370" i="20" s="1"/>
  <c r="AD370" i="20" s="1"/>
  <c r="AI36" i="20"/>
  <c r="AH36" i="20" s="1"/>
  <c r="AG36" i="20" s="1"/>
  <c r="AF36" i="20" s="1"/>
  <c r="AD36" i="20" s="1"/>
  <c r="AI218" i="20"/>
  <c r="AH218" i="20" s="1"/>
  <c r="AG218" i="20" s="1"/>
  <c r="AF218" i="20" s="1"/>
  <c r="AD218" i="20" s="1"/>
  <c r="AI268" i="20"/>
  <c r="AH268" i="20" s="1"/>
  <c r="AG268" i="20" s="1"/>
  <c r="AF268" i="20" s="1"/>
  <c r="AD268" i="20" s="1"/>
  <c r="AI171" i="20"/>
  <c r="AH171" i="20" s="1"/>
  <c r="AG171" i="20" s="1"/>
  <c r="AF171" i="20" s="1"/>
  <c r="AD171" i="20" s="1"/>
  <c r="AI203" i="20"/>
  <c r="AH203" i="20" s="1"/>
  <c r="AG203" i="20" s="1"/>
  <c r="AF203" i="20" s="1"/>
  <c r="AD203" i="20" s="1"/>
  <c r="AI204" i="20"/>
  <c r="AH204" i="20" s="1"/>
  <c r="AG204" i="20" s="1"/>
  <c r="AF204" i="20" s="1"/>
  <c r="AD204" i="20" s="1"/>
  <c r="AI235" i="20"/>
  <c r="AH235" i="20" s="1"/>
  <c r="AG235" i="20" s="1"/>
  <c r="AF235" i="20" s="1"/>
  <c r="AD235" i="20" s="1"/>
  <c r="AI306" i="20"/>
  <c r="AH306" i="20" s="1"/>
  <c r="AG306" i="20" s="1"/>
  <c r="AF306" i="20" s="1"/>
  <c r="AD306" i="20" s="1"/>
  <c r="AI305" i="20"/>
  <c r="AH305" i="20" s="1"/>
  <c r="AG305" i="20" s="1"/>
  <c r="AF305" i="20" s="1"/>
  <c r="AD305" i="20" s="1"/>
  <c r="AI207" i="20"/>
  <c r="AH207" i="20" s="1"/>
  <c r="AG207" i="20" s="1"/>
  <c r="AF207" i="20" s="1"/>
  <c r="AD207" i="20" s="1"/>
  <c r="AI59" i="20"/>
  <c r="AH59" i="20" s="1"/>
  <c r="AG59" i="20" s="1"/>
  <c r="AF59" i="20" s="1"/>
  <c r="AD59" i="20" s="1"/>
  <c r="AI317" i="20"/>
  <c r="AH317" i="20" s="1"/>
  <c r="AG317" i="20" s="1"/>
  <c r="AF317" i="20" s="1"/>
  <c r="AD317" i="20" s="1"/>
  <c r="AI130" i="20"/>
  <c r="AH130" i="20" s="1"/>
  <c r="AG130" i="20" s="1"/>
  <c r="AF130" i="20" s="1"/>
  <c r="AD130" i="20" s="1"/>
  <c r="AI150" i="20"/>
  <c r="AH150" i="20" s="1"/>
  <c r="AG150" i="20" s="1"/>
  <c r="AF150" i="20" s="1"/>
  <c r="AD150" i="20" s="1"/>
  <c r="AI73" i="20"/>
  <c r="AH73" i="20" s="1"/>
  <c r="AG73" i="20" s="1"/>
  <c r="AF73" i="20" s="1"/>
  <c r="AD73" i="20" s="1"/>
  <c r="AI360" i="20"/>
  <c r="AH360" i="20" s="1"/>
  <c r="AG360" i="20" s="1"/>
  <c r="AF360" i="20" s="1"/>
  <c r="AD360" i="20" s="1"/>
  <c r="AI358" i="20"/>
  <c r="AH358" i="20" s="1"/>
  <c r="AG358" i="20" s="1"/>
  <c r="AF358" i="20" s="1"/>
  <c r="AD358" i="20" s="1"/>
  <c r="AI291" i="20"/>
  <c r="AH291" i="20" s="1"/>
  <c r="AG291" i="20" s="1"/>
  <c r="AF291" i="20" s="1"/>
  <c r="AD291" i="20" s="1"/>
  <c r="AI86" i="20"/>
  <c r="AH86" i="20" s="1"/>
  <c r="AG86" i="20" s="1"/>
  <c r="AF86" i="20" s="1"/>
  <c r="AD86" i="20" s="1"/>
  <c r="AI120" i="20"/>
  <c r="AH120" i="20" s="1"/>
  <c r="AG120" i="20" s="1"/>
  <c r="AF120" i="20" s="1"/>
  <c r="AD120" i="20" s="1"/>
  <c r="AI262" i="20"/>
  <c r="AH262" i="20" s="1"/>
  <c r="AG262" i="20" s="1"/>
  <c r="AF262" i="20" s="1"/>
  <c r="AD262" i="20" s="1"/>
  <c r="AI166" i="20"/>
  <c r="AH166" i="20" s="1"/>
  <c r="AG166" i="20" s="1"/>
  <c r="AF166" i="20" s="1"/>
  <c r="AD166" i="20" s="1"/>
  <c r="AI290" i="20"/>
  <c r="AH290" i="20" s="1"/>
  <c r="AG290" i="20" s="1"/>
  <c r="AF290" i="20" s="1"/>
  <c r="AD290" i="20" s="1"/>
  <c r="AI250" i="20"/>
  <c r="AH250" i="20" s="1"/>
  <c r="AG250" i="20" s="1"/>
  <c r="AF250" i="20" s="1"/>
  <c r="AD250" i="20" s="1"/>
  <c r="AI289" i="20"/>
  <c r="AH289" i="20" s="1"/>
  <c r="AG289" i="20" s="1"/>
  <c r="AF289" i="20" s="1"/>
  <c r="AD289" i="20" s="1"/>
  <c r="AI17" i="20"/>
  <c r="AH17" i="20" s="1"/>
  <c r="AG17" i="20" s="1"/>
  <c r="AF17" i="20" s="1"/>
  <c r="AD17" i="20" s="1"/>
  <c r="AI19" i="20"/>
  <c r="AH19" i="20" s="1"/>
  <c r="AG19" i="20" s="1"/>
  <c r="AF19" i="20" s="1"/>
  <c r="AD19" i="20" s="1"/>
  <c r="AI270" i="20"/>
  <c r="AH270" i="20" s="1"/>
  <c r="AG270" i="20" s="1"/>
  <c r="AF270" i="20" s="1"/>
  <c r="AD270" i="20" s="1"/>
  <c r="AI351" i="20"/>
  <c r="AH351" i="20" s="1"/>
  <c r="AG351" i="20" s="1"/>
  <c r="AF351" i="20" s="1"/>
  <c r="AD351" i="20" s="1"/>
  <c r="AI88" i="20"/>
  <c r="AH88" i="20" s="1"/>
  <c r="AG88" i="20" s="1"/>
  <c r="AF88" i="20" s="1"/>
  <c r="AD88" i="20" s="1"/>
  <c r="AI213" i="20"/>
  <c r="AH213" i="20" s="1"/>
  <c r="AG213" i="20" s="1"/>
  <c r="AF213" i="20" s="1"/>
  <c r="AD213" i="20" s="1"/>
  <c r="AI91" i="20"/>
  <c r="AH91" i="20" s="1"/>
  <c r="AG91" i="20" s="1"/>
  <c r="AF91" i="20" s="1"/>
  <c r="AD91" i="20" s="1"/>
  <c r="AI60" i="20"/>
  <c r="AH60" i="20" s="1"/>
  <c r="AG60" i="20" s="1"/>
  <c r="AF60" i="20" s="1"/>
  <c r="AD60" i="20" s="1"/>
  <c r="AI349" i="20"/>
  <c r="AH349" i="20" s="1"/>
  <c r="AG349" i="20" s="1"/>
  <c r="AF349" i="20" s="1"/>
  <c r="AD349" i="20" s="1"/>
  <c r="AI103" i="20"/>
  <c r="AH103" i="20" s="1"/>
  <c r="AG103" i="20" s="1"/>
  <c r="AF103" i="20" s="1"/>
  <c r="AD103" i="20" s="1"/>
  <c r="AI63" i="20"/>
  <c r="AH63" i="20" s="1"/>
  <c r="AG63" i="20" s="1"/>
  <c r="AF63" i="20" s="1"/>
  <c r="AD63" i="20" s="1"/>
  <c r="AI67" i="20"/>
  <c r="AH67" i="20" s="1"/>
  <c r="AG67" i="20" s="1"/>
  <c r="AF67" i="20" s="1"/>
  <c r="AD67" i="20" s="1"/>
  <c r="AI208" i="20"/>
  <c r="AH208" i="20" s="1"/>
  <c r="AG208" i="20" s="1"/>
  <c r="AF208" i="20" s="1"/>
  <c r="AD208" i="20" s="1"/>
  <c r="AI285" i="20"/>
  <c r="AH285" i="20" s="1"/>
  <c r="AG285" i="20" s="1"/>
  <c r="AF285" i="20" s="1"/>
  <c r="AD285" i="20" s="1"/>
  <c r="AI68" i="20"/>
  <c r="AH68" i="20" s="1"/>
  <c r="AG68" i="20" s="1"/>
  <c r="AF68" i="20" s="1"/>
  <c r="AD68" i="20" s="1"/>
  <c r="AI115" i="20"/>
  <c r="AH115" i="20" s="1"/>
  <c r="AG115" i="20" s="1"/>
  <c r="AF115" i="20" s="1"/>
  <c r="AD115" i="20" s="1"/>
  <c r="AI368" i="20"/>
  <c r="AH368" i="20" s="1"/>
  <c r="AG368" i="20" s="1"/>
  <c r="AF368" i="20" s="1"/>
  <c r="AD368" i="20" s="1"/>
  <c r="AI175" i="20"/>
  <c r="AH175" i="20" s="1"/>
  <c r="AG175" i="20" s="1"/>
  <c r="AF175" i="20" s="1"/>
  <c r="AD175" i="20" s="1"/>
  <c r="AI119" i="20"/>
  <c r="AH119" i="20" s="1"/>
  <c r="AG119" i="20" s="1"/>
  <c r="AF119" i="20" s="1"/>
  <c r="AD119" i="20" s="1"/>
  <c r="AI237" i="20"/>
  <c r="AH237" i="20" s="1"/>
  <c r="AG237" i="20" s="1"/>
  <c r="AF237" i="20" s="1"/>
  <c r="AD237" i="20" s="1"/>
  <c r="AI76" i="20"/>
  <c r="AH76" i="20" s="1"/>
  <c r="AG76" i="20" s="1"/>
  <c r="AF76" i="20" s="1"/>
  <c r="AD76" i="20" s="1"/>
  <c r="AI107" i="20"/>
  <c r="AH107" i="20" s="1"/>
  <c r="AG107" i="20" s="1"/>
  <c r="AF107" i="20" s="1"/>
  <c r="AD107" i="20" s="1"/>
  <c r="AI348" i="20"/>
  <c r="AH348" i="20" s="1"/>
  <c r="AG348" i="20" s="1"/>
  <c r="AF348" i="20" s="1"/>
  <c r="AD348" i="20" s="1"/>
  <c r="AI177" i="20"/>
  <c r="AH177" i="20" s="1"/>
  <c r="AG177" i="20" s="1"/>
  <c r="AF177" i="20" s="1"/>
  <c r="AD177" i="20" s="1"/>
  <c r="AI238" i="20"/>
  <c r="AH238" i="20" s="1"/>
  <c r="AG238" i="20" s="1"/>
  <c r="AF238" i="20" s="1"/>
  <c r="AD238" i="20" s="1"/>
  <c r="AI93" i="20"/>
  <c r="AH93" i="20" s="1"/>
  <c r="AG93" i="20" s="1"/>
  <c r="AF93" i="20" s="1"/>
  <c r="AD93" i="20" s="1"/>
  <c r="AI340" i="20"/>
  <c r="AH340" i="20" s="1"/>
  <c r="AG340" i="20" s="1"/>
  <c r="AF340" i="20" s="1"/>
  <c r="AD340" i="20" s="1"/>
  <c r="AI172" i="20"/>
  <c r="AH172" i="20" s="1"/>
  <c r="AG172" i="20" s="1"/>
  <c r="AF172" i="20" s="1"/>
  <c r="AD172" i="20" s="1"/>
  <c r="AI323" i="20"/>
  <c r="AH323" i="20" s="1"/>
  <c r="AG323" i="20" s="1"/>
  <c r="AF323" i="20" s="1"/>
  <c r="AD323" i="20" s="1"/>
  <c r="AI80" i="20"/>
  <c r="AH80" i="20" s="1"/>
  <c r="AG80" i="20" s="1"/>
  <c r="AF80" i="20" s="1"/>
  <c r="AD80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217" i="20"/>
  <c r="AH217" i="20" s="1"/>
  <c r="AG217" i="20" s="1"/>
  <c r="AF217" i="20" s="1"/>
  <c r="AD217" i="20" s="1"/>
  <c r="AI211" i="20"/>
  <c r="AH211" i="20" s="1"/>
  <c r="AG211" i="20" s="1"/>
  <c r="AF211" i="20" s="1"/>
  <c r="AD211" i="20" s="1"/>
  <c r="AI284" i="20"/>
  <c r="AH284" i="20" s="1"/>
  <c r="AG284" i="20" s="1"/>
  <c r="AF284" i="20" s="1"/>
  <c r="AD284" i="20" s="1"/>
  <c r="AI356" i="20"/>
  <c r="AH356" i="20" s="1"/>
  <c r="AG356" i="20" s="1"/>
  <c r="AF356" i="20" s="1"/>
  <c r="AD356" i="20" s="1"/>
  <c r="AI346" i="20"/>
  <c r="AH346" i="20" s="1"/>
  <c r="AG346" i="20" s="1"/>
  <c r="AF346" i="20" s="1"/>
  <c r="AD346" i="20" s="1"/>
  <c r="AI309" i="20"/>
  <c r="AH309" i="20" s="1"/>
  <c r="AG309" i="20" s="1"/>
  <c r="AF309" i="20" s="1"/>
  <c r="AD309" i="20" s="1"/>
  <c r="AI122" i="20"/>
  <c r="AH122" i="20" s="1"/>
  <c r="AG122" i="20" s="1"/>
  <c r="AF122" i="20" s="1"/>
  <c r="AD122" i="20" s="1"/>
  <c r="AI92" i="20"/>
  <c r="AH92" i="20" s="1"/>
  <c r="AG92" i="20" s="1"/>
  <c r="AF92" i="20" s="1"/>
  <c r="AD92" i="20" s="1"/>
  <c r="AI49" i="20"/>
  <c r="AH49" i="20" s="1"/>
  <c r="AG49" i="20" s="1"/>
  <c r="AF49" i="20" s="1"/>
  <c r="AD49" i="20" s="1"/>
  <c r="AI110" i="20"/>
  <c r="AH110" i="20" s="1"/>
  <c r="AG110" i="20" s="1"/>
  <c r="AF110" i="20" s="1"/>
  <c r="AD110" i="20" s="1"/>
  <c r="AI273" i="20"/>
  <c r="AH273" i="20" s="1"/>
  <c r="AG273" i="20" s="1"/>
  <c r="AF273" i="20" s="1"/>
  <c r="AD273" i="20" s="1"/>
  <c r="AI61" i="20"/>
  <c r="AH61" i="20" s="1"/>
  <c r="AG61" i="20" s="1"/>
  <c r="AF61" i="20" s="1"/>
  <c r="AD61" i="20" s="1"/>
  <c r="AI82" i="20"/>
  <c r="AH82" i="20" s="1"/>
  <c r="AG82" i="20" s="1"/>
  <c r="AF82" i="20" s="1"/>
  <c r="AD82" i="20" s="1"/>
  <c r="AI372" i="20"/>
  <c r="AH372" i="20" s="1"/>
  <c r="AG372" i="20" s="1"/>
  <c r="AF372" i="20" s="1"/>
  <c r="AD372" i="20" s="1"/>
  <c r="AI182" i="20"/>
  <c r="AH182" i="20" s="1"/>
  <c r="AG182" i="20" s="1"/>
  <c r="AF182" i="20" s="1"/>
  <c r="AD182" i="20" s="1"/>
  <c r="AI71" i="20"/>
  <c r="AH71" i="20" s="1"/>
  <c r="AG71" i="20" s="1"/>
  <c r="AF71" i="20" s="1"/>
  <c r="AD71" i="20" s="1"/>
  <c r="AI282" i="20"/>
  <c r="AH282" i="20" s="1"/>
  <c r="AG282" i="20" s="1"/>
  <c r="AF282" i="20" s="1"/>
  <c r="AD282" i="20" s="1"/>
  <c r="AI224" i="20"/>
  <c r="AH224" i="20" s="1"/>
  <c r="AG224" i="20" s="1"/>
  <c r="AF224" i="20" s="1"/>
  <c r="AD224" i="20" s="1"/>
  <c r="AI320" i="20"/>
  <c r="AH320" i="20" s="1"/>
  <c r="AG320" i="20" s="1"/>
  <c r="AF320" i="20" s="1"/>
  <c r="AD320" i="20" s="1"/>
  <c r="AI15" i="20"/>
  <c r="AI228" i="20"/>
  <c r="AH228" i="20" s="1"/>
  <c r="AG228" i="20" s="1"/>
  <c r="AF228" i="20" s="1"/>
  <c r="AD228" i="20" s="1"/>
  <c r="AI90" i="20"/>
  <c r="AH90" i="20" s="1"/>
  <c r="AG90" i="20" s="1"/>
  <c r="AF90" i="20" s="1"/>
  <c r="AD90" i="20" s="1"/>
  <c r="AI332" i="20"/>
  <c r="AH332" i="20" s="1"/>
  <c r="AG332" i="20" s="1"/>
  <c r="AF332" i="20" s="1"/>
  <c r="AD332" i="20" s="1"/>
  <c r="AI216" i="20"/>
  <c r="AH216" i="20" s="1"/>
  <c r="AG216" i="20" s="1"/>
  <c r="AF216" i="20" s="1"/>
  <c r="AD216" i="20" s="1"/>
  <c r="AI197" i="20"/>
  <c r="AH197" i="20" s="1"/>
  <c r="AG197" i="20" s="1"/>
  <c r="AF197" i="20" s="1"/>
  <c r="AD197" i="20" s="1"/>
  <c r="AI72" i="20"/>
  <c r="AH72" i="20" s="1"/>
  <c r="AG72" i="20" s="1"/>
  <c r="AF72" i="20" s="1"/>
  <c r="AD72" i="20" s="1"/>
  <c r="AI335" i="20"/>
  <c r="AH335" i="20" s="1"/>
  <c r="AG335" i="20" s="1"/>
  <c r="AF335" i="20" s="1"/>
  <c r="AD335" i="20" s="1"/>
  <c r="AI21" i="20"/>
  <c r="AH21" i="20" s="1"/>
  <c r="AG21" i="20" s="1"/>
  <c r="AF21" i="20" s="1"/>
  <c r="AD21" i="20" s="1"/>
  <c r="AI298" i="20"/>
  <c r="AH298" i="20" s="1"/>
  <c r="AG298" i="20" s="1"/>
  <c r="AF298" i="20" s="1"/>
  <c r="AD298" i="20" s="1"/>
  <c r="AI101" i="20"/>
  <c r="AH101" i="20" s="1"/>
  <c r="AG101" i="20" s="1"/>
  <c r="AF101" i="20" s="1"/>
  <c r="AD101" i="20" s="1"/>
  <c r="AI263" i="20"/>
  <c r="AH263" i="20" s="1"/>
  <c r="AG263" i="20" s="1"/>
  <c r="AF263" i="20" s="1"/>
  <c r="AD263" i="20" s="1"/>
  <c r="AI54" i="20"/>
  <c r="AH54" i="20" s="1"/>
  <c r="AG54" i="20" s="1"/>
  <c r="AF54" i="20" s="1"/>
  <c r="AD54" i="20" s="1"/>
  <c r="AI318" i="20"/>
  <c r="AH318" i="20" s="1"/>
  <c r="AG318" i="20" s="1"/>
  <c r="AF318" i="20" s="1"/>
  <c r="AD318" i="20" s="1"/>
  <c r="AI102" i="20"/>
  <c r="AH102" i="20" s="1"/>
  <c r="AG102" i="20" s="1"/>
  <c r="AF102" i="20" s="1"/>
  <c r="AD102" i="20" s="1"/>
  <c r="AI243" i="20"/>
  <c r="AH243" i="20" s="1"/>
  <c r="AG243" i="20" s="1"/>
  <c r="AF243" i="20" s="1"/>
  <c r="AD243" i="20" s="1"/>
  <c r="AI342" i="20"/>
  <c r="AH342" i="20" s="1"/>
  <c r="AG342" i="20" s="1"/>
  <c r="AF342" i="20" s="1"/>
  <c r="AD342" i="20" s="1"/>
  <c r="AI376" i="20"/>
  <c r="AH376" i="20" s="1"/>
  <c r="AG376" i="20" s="1"/>
  <c r="AF376" i="20" s="1"/>
  <c r="AD376" i="20" s="1"/>
  <c r="AI28" i="20"/>
  <c r="AH28" i="20" s="1"/>
  <c r="AG28" i="20" s="1"/>
  <c r="AF28" i="20" s="1"/>
  <c r="AD28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89" i="20"/>
  <c r="AH89" i="20" s="1"/>
  <c r="AG89" i="20" s="1"/>
  <c r="AF89" i="20" s="1"/>
  <c r="AD89" i="20" s="1"/>
  <c r="AI38" i="20"/>
  <c r="AH38" i="20" s="1"/>
  <c r="AG38" i="20" s="1"/>
  <c r="AF38" i="20" s="1"/>
  <c r="AD38" i="20" s="1"/>
  <c r="AI98" i="20"/>
  <c r="AH98" i="20" s="1"/>
  <c r="AG98" i="20" s="1"/>
  <c r="AF98" i="20" s="1"/>
  <c r="AD98" i="20" s="1"/>
  <c r="AI77" i="20"/>
  <c r="AH77" i="20" s="1"/>
  <c r="AG77" i="20" s="1"/>
  <c r="AF77" i="20" s="1"/>
  <c r="AD77" i="20" s="1"/>
  <c r="AI161" i="20"/>
  <c r="AH161" i="20" s="1"/>
  <c r="AG161" i="20" s="1"/>
  <c r="AF161" i="20" s="1"/>
  <c r="AD161" i="20" s="1"/>
  <c r="AI94" i="20"/>
  <c r="AH94" i="20" s="1"/>
  <c r="AG94" i="20" s="1"/>
  <c r="AF94" i="20" s="1"/>
  <c r="AD94" i="20" s="1"/>
  <c r="AI65" i="20"/>
  <c r="AH65" i="20" s="1"/>
  <c r="AG65" i="20" s="1"/>
  <c r="AF65" i="20" s="1"/>
  <c r="AD65" i="20" s="1"/>
  <c r="AI322" i="20"/>
  <c r="AH322" i="20" s="1"/>
  <c r="AG322" i="20" s="1"/>
  <c r="AF322" i="20" s="1"/>
  <c r="AD322" i="20" s="1"/>
  <c r="AI219" i="20"/>
  <c r="AH219" i="20" s="1"/>
  <c r="AG219" i="20" s="1"/>
  <c r="AF219" i="20" s="1"/>
  <c r="AD219" i="20" s="1"/>
  <c r="AI188" i="20"/>
  <c r="AH188" i="20" s="1"/>
  <c r="AG188" i="20" s="1"/>
  <c r="AF188" i="20" s="1"/>
  <c r="AD188" i="20" s="1"/>
  <c r="AI315" i="20"/>
  <c r="AH315" i="20" s="1"/>
  <c r="AG315" i="20" s="1"/>
  <c r="AF315" i="20" s="1"/>
  <c r="AD315" i="20" s="1"/>
  <c r="AI84" i="20"/>
  <c r="AH84" i="20" s="1"/>
  <c r="AG84" i="20" s="1"/>
  <c r="AF84" i="20" s="1"/>
  <c r="AD84" i="20" s="1"/>
  <c r="AI18" i="20"/>
  <c r="AH18" i="20" s="1"/>
  <c r="AG18" i="20" s="1"/>
  <c r="AF18" i="20" s="1"/>
  <c r="AD18" i="20" s="1"/>
  <c r="AI176" i="20"/>
  <c r="AH176" i="20" s="1"/>
  <c r="AG176" i="20" s="1"/>
  <c r="AF176" i="20" s="1"/>
  <c r="AD176" i="20" s="1"/>
  <c r="AI201" i="20"/>
  <c r="AH201" i="20" s="1"/>
  <c r="AG201" i="20" s="1"/>
  <c r="AF201" i="20" s="1"/>
  <c r="AD201" i="20" s="1"/>
  <c r="AI251" i="20"/>
  <c r="AH251" i="20" s="1"/>
  <c r="AG251" i="20" s="1"/>
  <c r="AF251" i="20" s="1"/>
  <c r="AD251" i="20" s="1"/>
  <c r="AI173" i="20"/>
  <c r="AH173" i="20" s="1"/>
  <c r="AG173" i="20" s="1"/>
  <c r="AF173" i="20" s="1"/>
  <c r="AD173" i="20" s="1"/>
  <c r="AI96" i="20"/>
  <c r="AH96" i="20" s="1"/>
  <c r="AG96" i="20" s="1"/>
  <c r="AF96" i="20" s="1"/>
  <c r="AD96" i="20" s="1"/>
  <c r="AI259" i="20"/>
  <c r="AH259" i="20" s="1"/>
  <c r="AG259" i="20" s="1"/>
  <c r="AF259" i="20" s="1"/>
  <c r="AD259" i="20" s="1"/>
  <c r="AI78" i="20"/>
  <c r="AH78" i="20" s="1"/>
  <c r="AG78" i="20" s="1"/>
  <c r="AF78" i="20" s="1"/>
  <c r="AD78" i="20" s="1"/>
  <c r="AI247" i="20"/>
  <c r="AH247" i="20" s="1"/>
  <c r="AG247" i="20" s="1"/>
  <c r="AF247" i="20" s="1"/>
  <c r="AD247" i="20" s="1"/>
  <c r="AI339" i="20"/>
  <c r="AH339" i="20" s="1"/>
  <c r="AG339" i="20" s="1"/>
  <c r="AF339" i="20" s="1"/>
  <c r="AD339" i="20" s="1"/>
  <c r="AI311" i="20"/>
  <c r="AH311" i="20" s="1"/>
  <c r="AG311" i="20" s="1"/>
  <c r="AF311" i="20" s="1"/>
  <c r="AD311" i="20" s="1"/>
  <c r="AI245" i="20"/>
  <c r="AH245" i="20" s="1"/>
  <c r="AG245" i="20" s="1"/>
  <c r="AF245" i="20" s="1"/>
  <c r="AD245" i="20" s="1"/>
  <c r="AI220" i="20"/>
  <c r="AH220" i="20" s="1"/>
  <c r="AG220" i="20" s="1"/>
  <c r="AF220" i="20" s="1"/>
  <c r="AD220" i="20" s="1"/>
  <c r="AI271" i="20"/>
  <c r="AH271" i="20" s="1"/>
  <c r="AG271" i="20" s="1"/>
  <c r="AF271" i="20" s="1"/>
  <c r="AD271" i="20" s="1"/>
  <c r="AI362" i="20"/>
  <c r="AH362" i="20" s="1"/>
  <c r="AG362" i="20" s="1"/>
  <c r="AF362" i="20" s="1"/>
  <c r="AD362" i="20" s="1"/>
  <c r="AI244" i="20"/>
  <c r="AH244" i="20" s="1"/>
  <c r="AG244" i="20" s="1"/>
  <c r="AF244" i="20" s="1"/>
  <c r="AD244" i="20" s="1"/>
  <c r="AI319" i="20"/>
  <c r="AH319" i="20" s="1"/>
  <c r="AG319" i="20" s="1"/>
  <c r="AF319" i="20" s="1"/>
  <c r="AD319" i="20" s="1"/>
  <c r="AI180" i="20"/>
  <c r="AH180" i="20" s="1"/>
  <c r="AG180" i="20" s="1"/>
  <c r="AF180" i="20" s="1"/>
  <c r="AD180" i="20" s="1"/>
  <c r="AI326" i="20"/>
  <c r="AH326" i="20" s="1"/>
  <c r="AG326" i="20" s="1"/>
  <c r="AF326" i="20" s="1"/>
  <c r="AD326" i="20" s="1"/>
  <c r="AI133" i="20"/>
  <c r="AH133" i="20" s="1"/>
  <c r="AG133" i="20" s="1"/>
  <c r="AF133" i="20" s="1"/>
  <c r="AD133" i="20" s="1"/>
  <c r="AI325" i="20"/>
  <c r="AH325" i="20" s="1"/>
  <c r="AG325" i="20" s="1"/>
  <c r="AF325" i="20" s="1"/>
  <c r="AD325" i="20" s="1"/>
  <c r="AI302" i="20"/>
  <c r="AH302" i="20" s="1"/>
  <c r="AG302" i="20" s="1"/>
  <c r="AF302" i="20" s="1"/>
  <c r="AD302" i="20" s="1"/>
  <c r="AI234" i="20"/>
  <c r="AH234" i="20" s="1"/>
  <c r="AG234" i="20" s="1"/>
  <c r="AF234" i="20" s="1"/>
  <c r="AD234" i="20" s="1"/>
  <c r="AI278" i="20"/>
  <c r="AH278" i="20" s="1"/>
  <c r="AG278" i="20" s="1"/>
  <c r="AF278" i="20" s="1"/>
  <c r="AD278" i="20" s="1"/>
  <c r="AI337" i="20"/>
  <c r="AH337" i="20" s="1"/>
  <c r="AG337" i="20" s="1"/>
  <c r="AF337" i="20" s="1"/>
  <c r="AD337" i="20" s="1"/>
  <c r="AI355" i="20"/>
  <c r="AH355" i="20" s="1"/>
  <c r="AG355" i="20" s="1"/>
  <c r="AF355" i="20" s="1"/>
  <c r="AD355" i="20" s="1"/>
  <c r="AI139" i="20"/>
  <c r="AH139" i="20" s="1"/>
  <c r="AG139" i="20" s="1"/>
  <c r="AF139" i="20" s="1"/>
  <c r="AD139" i="20" s="1"/>
  <c r="AI185" i="20"/>
  <c r="AH185" i="20" s="1"/>
  <c r="AG185" i="20" s="1"/>
  <c r="AF185" i="20" s="1"/>
  <c r="AD185" i="20" s="1"/>
  <c r="AI333" i="20"/>
  <c r="AH333" i="20" s="1"/>
  <c r="AG333" i="20" s="1"/>
  <c r="AF333" i="20" s="1"/>
  <c r="AD333" i="20" s="1"/>
  <c r="AI223" i="20"/>
  <c r="AH223" i="20" s="1"/>
  <c r="AG223" i="20" s="1"/>
  <c r="AF223" i="20" s="1"/>
  <c r="AD223" i="20" s="1"/>
  <c r="AI50" i="20"/>
  <c r="AH50" i="20" s="1"/>
  <c r="AG50" i="20" s="1"/>
  <c r="AF50" i="20" s="1"/>
  <c r="AD50" i="20" s="1"/>
  <c r="AI79" i="20"/>
  <c r="AH79" i="20" s="1"/>
  <c r="AG79" i="20" s="1"/>
  <c r="AF79" i="20" s="1"/>
  <c r="AD79" i="20" s="1"/>
  <c r="AI118" i="20"/>
  <c r="AH118" i="20" s="1"/>
  <c r="AG118" i="20" s="1"/>
  <c r="AF118" i="20" s="1"/>
  <c r="AD118" i="20" s="1"/>
  <c r="AI227" i="20"/>
  <c r="AH227" i="20" s="1"/>
  <c r="AG227" i="20" s="1"/>
  <c r="AF227" i="20" s="1"/>
  <c r="AD227" i="20" s="1"/>
  <c r="AI97" i="20"/>
  <c r="AH97" i="20" s="1"/>
  <c r="AG97" i="20" s="1"/>
  <c r="AF97" i="20" s="1"/>
  <c r="AD97" i="20" s="1"/>
  <c r="AI294" i="20"/>
  <c r="AH294" i="20" s="1"/>
  <c r="AG294" i="20" s="1"/>
  <c r="AF294" i="20" s="1"/>
  <c r="AD294" i="20" s="1"/>
  <c r="AI205" i="20"/>
  <c r="AH205" i="20" s="1"/>
  <c r="AG205" i="20" s="1"/>
  <c r="AF205" i="20" s="1"/>
  <c r="AD205" i="20" s="1"/>
  <c r="AI95" i="20"/>
  <c r="AH95" i="20" s="1"/>
  <c r="AG95" i="20" s="1"/>
  <c r="AF95" i="20" s="1"/>
  <c r="AD95" i="20" s="1"/>
  <c r="AI66" i="20"/>
  <c r="AH66" i="20" s="1"/>
  <c r="AG66" i="20" s="1"/>
  <c r="AF66" i="20" s="1"/>
  <c r="AD66" i="20" s="1"/>
  <c r="AI316" i="20"/>
  <c r="AH316" i="20" s="1"/>
  <c r="AG316" i="20" s="1"/>
  <c r="AF316" i="20" s="1"/>
  <c r="AD316" i="20" s="1"/>
  <c r="AI212" i="20"/>
  <c r="AH212" i="20" s="1"/>
  <c r="AG212" i="20" s="1"/>
  <c r="AF212" i="20" s="1"/>
  <c r="AD212" i="20" s="1"/>
  <c r="AI297" i="20"/>
  <c r="AH297" i="20" s="1"/>
  <c r="AG297" i="20" s="1"/>
  <c r="AF297" i="20" s="1"/>
  <c r="AD297" i="20" s="1"/>
  <c r="AI300" i="20"/>
  <c r="AH300" i="20" s="1"/>
  <c r="AG300" i="20" s="1"/>
  <c r="AF300" i="20" s="1"/>
  <c r="AD300" i="20" s="1"/>
  <c r="AI265" i="20"/>
  <c r="AH265" i="20" s="1"/>
  <c r="AG265" i="20" s="1"/>
  <c r="AF265" i="20" s="1"/>
  <c r="AD265" i="20" s="1"/>
  <c r="AI196" i="20"/>
  <c r="AH196" i="20" s="1"/>
  <c r="AG196" i="20" s="1"/>
  <c r="AF196" i="20" s="1"/>
  <c r="AD196" i="20" s="1"/>
  <c r="AI240" i="20"/>
  <c r="AH240" i="20" s="1"/>
  <c r="AG240" i="20" s="1"/>
  <c r="AF240" i="20" s="1"/>
  <c r="AD240" i="20" s="1"/>
  <c r="AI292" i="20"/>
  <c r="AH292" i="20" s="1"/>
  <c r="AG292" i="20" s="1"/>
  <c r="AF292" i="20" s="1"/>
  <c r="AD292" i="20" s="1"/>
  <c r="AI373" i="20"/>
  <c r="AH373" i="20" s="1"/>
  <c r="AG373" i="20" s="1"/>
  <c r="AF373" i="20" s="1"/>
  <c r="AD373" i="20" s="1"/>
  <c r="AI111" i="20"/>
  <c r="AH111" i="20" s="1"/>
  <c r="AG111" i="20" s="1"/>
  <c r="AF111" i="20" s="1"/>
  <c r="AD111" i="20" s="1"/>
  <c r="AI193" i="20"/>
  <c r="AH193" i="20" s="1"/>
  <c r="AG193" i="20" s="1"/>
  <c r="AF193" i="20" s="1"/>
  <c r="AD193" i="20" s="1"/>
  <c r="AI347" i="20"/>
  <c r="AH347" i="20" s="1"/>
  <c r="AG347" i="20" s="1"/>
  <c r="AF347" i="20" s="1"/>
  <c r="AD347" i="20" s="1"/>
  <c r="AI135" i="20"/>
  <c r="AH135" i="20" s="1"/>
  <c r="AG135" i="20" s="1"/>
  <c r="AF135" i="20" s="1"/>
  <c r="AD135" i="20" s="1"/>
  <c r="AI190" i="20"/>
  <c r="AH190" i="20" s="1"/>
  <c r="AG190" i="20" s="1"/>
  <c r="AF190" i="20" s="1"/>
  <c r="AD190" i="20" s="1"/>
  <c r="AI99" i="20"/>
  <c r="AH99" i="20" s="1"/>
  <c r="AG99" i="20" s="1"/>
  <c r="AF99" i="20" s="1"/>
  <c r="AD99" i="20" s="1"/>
  <c r="AI35" i="20"/>
  <c r="AH35" i="20" s="1"/>
  <c r="AG35" i="20" s="1"/>
  <c r="AF35" i="20" s="1"/>
  <c r="AD35" i="20" s="1"/>
  <c r="AI308" i="20"/>
  <c r="AH308" i="20" s="1"/>
  <c r="AG308" i="20" s="1"/>
  <c r="AF308" i="20" s="1"/>
  <c r="AD308" i="20" s="1"/>
  <c r="AI153" i="20"/>
  <c r="AH153" i="20" s="1"/>
  <c r="AG153" i="20" s="1"/>
  <c r="AF153" i="20" s="1"/>
  <c r="AD153" i="20" s="1"/>
  <c r="AI34" i="20"/>
  <c r="AH34" i="20" s="1"/>
  <c r="AG34" i="20" s="1"/>
  <c r="AF34" i="20" s="1"/>
  <c r="AD34" i="20" s="1"/>
  <c r="AI75" i="20"/>
  <c r="AH75" i="20" s="1"/>
  <c r="AG75" i="20" s="1"/>
  <c r="AF75" i="20" s="1"/>
  <c r="AD75" i="20" s="1"/>
  <c r="AI280" i="20"/>
  <c r="AH280" i="20" s="1"/>
  <c r="AG280" i="20" s="1"/>
  <c r="AF280" i="20" s="1"/>
  <c r="AD280" i="20" s="1"/>
  <c r="AI369" i="20"/>
  <c r="AH369" i="20" s="1"/>
  <c r="AG369" i="20" s="1"/>
  <c r="AF369" i="20" s="1"/>
  <c r="AD369" i="20" s="1"/>
  <c r="AI40" i="20"/>
  <c r="AH40" i="20" s="1"/>
  <c r="AG40" i="20" s="1"/>
  <c r="AF40" i="20" s="1"/>
  <c r="AD40" i="20" s="1"/>
  <c r="AI16" i="20"/>
  <c r="AH16" i="20" s="1"/>
  <c r="AG16" i="20" s="1"/>
  <c r="AF16" i="20" s="1"/>
  <c r="AD16" i="20" s="1"/>
  <c r="AI137" i="20"/>
  <c r="AH137" i="20" s="1"/>
  <c r="AG137" i="20" s="1"/>
  <c r="AF137" i="20" s="1"/>
  <c r="AD137" i="20" s="1"/>
  <c r="AI230" i="20"/>
  <c r="AH230" i="20" s="1"/>
  <c r="AG230" i="20" s="1"/>
  <c r="AF230" i="20" s="1"/>
  <c r="AD230" i="20" s="1"/>
  <c r="AI57" i="20"/>
  <c r="AH57" i="20" s="1"/>
  <c r="AG57" i="20" s="1"/>
  <c r="AF57" i="20" s="1"/>
  <c r="AD57" i="20" s="1"/>
  <c r="AI164" i="20"/>
  <c r="AH164" i="20" s="1"/>
  <c r="AG164" i="20" s="1"/>
  <c r="AF164" i="20" s="1"/>
  <c r="AD164" i="20" s="1"/>
  <c r="AI26" i="20"/>
  <c r="AH26" i="20" s="1"/>
  <c r="AG26" i="20" s="1"/>
  <c r="AF26" i="20" s="1"/>
  <c r="AD26" i="20" s="1"/>
  <c r="AI85" i="20"/>
  <c r="AH85" i="20" s="1"/>
  <c r="AG85" i="20" s="1"/>
  <c r="AF85" i="20" s="1"/>
  <c r="AD85" i="20" s="1"/>
  <c r="AI124" i="20"/>
  <c r="AH124" i="20" s="1"/>
  <c r="AG124" i="20" s="1"/>
  <c r="AF124" i="20" s="1"/>
  <c r="AD124" i="20" s="1"/>
  <c r="AI148" i="20"/>
  <c r="AH148" i="20" s="1"/>
  <c r="AG148" i="20" s="1"/>
  <c r="AF148" i="20" s="1"/>
  <c r="AD148" i="20" s="1"/>
  <c r="AI169" i="20"/>
  <c r="AH169" i="20" s="1"/>
  <c r="AG169" i="20" s="1"/>
  <c r="AF169" i="20" s="1"/>
  <c r="AD169" i="20" s="1"/>
  <c r="AI232" i="20"/>
  <c r="AH232" i="20" s="1"/>
  <c r="AG232" i="20" s="1"/>
  <c r="AF232" i="20" s="1"/>
  <c r="AD232" i="20" s="1"/>
  <c r="AI105" i="20"/>
  <c r="AH105" i="20" s="1"/>
  <c r="AG105" i="20" s="1"/>
  <c r="AF105" i="20" s="1"/>
  <c r="AD105" i="20" s="1"/>
  <c r="AI183" i="20"/>
  <c r="AH183" i="20" s="1"/>
  <c r="AG183" i="20" s="1"/>
  <c r="AF183" i="20" s="1"/>
  <c r="AD183" i="20" s="1"/>
  <c r="AI117" i="20"/>
  <c r="AH117" i="20" s="1"/>
  <c r="AG117" i="20" s="1"/>
  <c r="AF117" i="20" s="1"/>
  <c r="AD117" i="20" s="1"/>
  <c r="AI314" i="20"/>
  <c r="AH314" i="20" s="1"/>
  <c r="AG314" i="20" s="1"/>
  <c r="AF314" i="20" s="1"/>
  <c r="AD314" i="20" s="1"/>
  <c r="AI264" i="20"/>
  <c r="AH264" i="20" s="1"/>
  <c r="AG264" i="20" s="1"/>
  <c r="AF264" i="20" s="1"/>
  <c r="AD264" i="20" s="1"/>
  <c r="AI22" i="20"/>
  <c r="AH22" i="20" s="1"/>
  <c r="AG22" i="20" s="1"/>
  <c r="AF22" i="20" s="1"/>
  <c r="AD22" i="20" s="1"/>
  <c r="AI195" i="20"/>
  <c r="AH195" i="20" s="1"/>
  <c r="AG195" i="20" s="1"/>
  <c r="AF195" i="20" s="1"/>
  <c r="AD195" i="20" s="1"/>
  <c r="AI266" i="20"/>
  <c r="AH266" i="20" s="1"/>
  <c r="AG266" i="20" s="1"/>
  <c r="AF266" i="20" s="1"/>
  <c r="AD266" i="20" s="1"/>
  <c r="AI51" i="20"/>
  <c r="AH51" i="20" s="1"/>
  <c r="AG51" i="20" s="1"/>
  <c r="AF51" i="20" s="1"/>
  <c r="AD51" i="20" s="1"/>
  <c r="AI206" i="20"/>
  <c r="AH206" i="20" s="1"/>
  <c r="AG206" i="20" s="1"/>
  <c r="AF206" i="20" s="1"/>
  <c r="AD206" i="20" s="1"/>
  <c r="AI260" i="20"/>
  <c r="AH260" i="20" s="1"/>
  <c r="AG260" i="20" s="1"/>
  <c r="AF260" i="20" s="1"/>
  <c r="AD260" i="20" s="1"/>
  <c r="AI186" i="20"/>
  <c r="AH186" i="20" s="1"/>
  <c r="AG186" i="20" s="1"/>
  <c r="AF186" i="20" s="1"/>
  <c r="AD186" i="20" s="1"/>
  <c r="AI350" i="20"/>
  <c r="AH350" i="20" s="1"/>
  <c r="AG350" i="20" s="1"/>
  <c r="AF350" i="20" s="1"/>
  <c r="AD350" i="20" s="1"/>
  <c r="AI108" i="20"/>
  <c r="AH108" i="20" s="1"/>
  <c r="AG108" i="20" s="1"/>
  <c r="AF108" i="20" s="1"/>
  <c r="AD108" i="20" s="1"/>
  <c r="AI293" i="20"/>
  <c r="AH293" i="20" s="1"/>
  <c r="AG293" i="20" s="1"/>
  <c r="AF293" i="20" s="1"/>
  <c r="AD293" i="20" s="1"/>
  <c r="AI42" i="20"/>
  <c r="AH42" i="20" s="1"/>
  <c r="AG42" i="20" s="1"/>
  <c r="AF42" i="20" s="1"/>
  <c r="AD42" i="20" s="1"/>
  <c r="AI116" i="20"/>
  <c r="AH116" i="20" s="1"/>
  <c r="AG116" i="20" s="1"/>
  <c r="AF116" i="20" s="1"/>
  <c r="AD116" i="20" s="1"/>
  <c r="AI191" i="20"/>
  <c r="AH191" i="20" s="1"/>
  <c r="AG191" i="20" s="1"/>
  <c r="AF191" i="20" s="1"/>
  <c r="AD191" i="20" s="1"/>
  <c r="AI163" i="20"/>
  <c r="AH163" i="20" s="1"/>
  <c r="AG163" i="20" s="1"/>
  <c r="AF163" i="20" s="1"/>
  <c r="AD163" i="20" s="1"/>
  <c r="AI154" i="20"/>
  <c r="AH154" i="20" s="1"/>
  <c r="AG154" i="20" s="1"/>
  <c r="AF154" i="20" s="1"/>
  <c r="AD154" i="20" s="1"/>
  <c r="AI192" i="20"/>
  <c r="AH192" i="20" s="1"/>
  <c r="AG192" i="20" s="1"/>
  <c r="AF192" i="20" s="1"/>
  <c r="AD192" i="20" s="1"/>
  <c r="AI55" i="20"/>
  <c r="AH55" i="20" s="1"/>
  <c r="AG55" i="20" s="1"/>
  <c r="AF55" i="20" s="1"/>
  <c r="AD55" i="20" s="1"/>
  <c r="AI140" i="20"/>
  <c r="AH140" i="20" s="1"/>
  <c r="AG140" i="20" s="1"/>
  <c r="AF140" i="20" s="1"/>
  <c r="AD140" i="20" s="1"/>
  <c r="AI69" i="20"/>
  <c r="AH69" i="20" s="1"/>
  <c r="AG69" i="20" s="1"/>
  <c r="AF69" i="20" s="1"/>
  <c r="AD69" i="20" s="1"/>
  <c r="AI30" i="20"/>
  <c r="AH30" i="20" s="1"/>
  <c r="AG30" i="20" s="1"/>
  <c r="AF30" i="20" s="1"/>
  <c r="AD30" i="20" s="1"/>
  <c r="AI253" i="20"/>
  <c r="AH253" i="20" s="1"/>
  <c r="AG253" i="20" s="1"/>
  <c r="AF253" i="20" s="1"/>
  <c r="AD253" i="20" s="1"/>
  <c r="G379" i="18"/>
  <c r="CA379" i="6" s="1"/>
  <c r="AA379" i="18"/>
  <c r="Z379" i="18" s="1"/>
  <c r="Y379" i="18" s="1"/>
  <c r="J226" i="18"/>
  <c r="C226" i="6" s="1"/>
  <c r="I226" i="18"/>
  <c r="B226" i="6" s="1"/>
  <c r="BA226" i="6" s="1"/>
  <c r="D226" i="6" s="1"/>
  <c r="I175" i="18"/>
  <c r="B175" i="6" s="1"/>
  <c r="BA175" i="6" s="1"/>
  <c r="D175" i="6" s="1"/>
  <c r="J175" i="18"/>
  <c r="C175" i="6" s="1"/>
  <c r="J198" i="18"/>
  <c r="C198" i="6" s="1"/>
  <c r="I198" i="18"/>
  <c r="B198" i="6" s="1"/>
  <c r="BA198" i="6" s="1"/>
  <c r="D198" i="6" s="1"/>
  <c r="J221" i="18"/>
  <c r="C221" i="6" s="1"/>
  <c r="I221" i="18"/>
  <c r="B221" i="6" s="1"/>
  <c r="BA221" i="6" s="1"/>
  <c r="D221" i="6" s="1"/>
  <c r="I162" i="18"/>
  <c r="B162" i="6" s="1"/>
  <c r="BA162" i="6" s="1"/>
  <c r="D162" i="6" s="1"/>
  <c r="J162" i="18"/>
  <c r="C162" i="6" s="1"/>
  <c r="I94" i="18"/>
  <c r="B94" i="6" s="1"/>
  <c r="BA94" i="6" s="1"/>
  <c r="D94" i="6" s="1"/>
  <c r="J94" i="18"/>
  <c r="C94" i="6" s="1"/>
  <c r="I90" i="18"/>
  <c r="B90" i="6" s="1"/>
  <c r="BA90" i="6" s="1"/>
  <c r="D90" i="6" s="1"/>
  <c r="J90" i="18"/>
  <c r="C90" i="6" s="1"/>
  <c r="I126" i="18"/>
  <c r="B126" i="6" s="1"/>
  <c r="BA126" i="6" s="1"/>
  <c r="D126" i="6" s="1"/>
  <c r="J126" i="18"/>
  <c r="C126" i="6" s="1"/>
  <c r="D180" i="18"/>
  <c r="E180" i="18" s="1"/>
  <c r="F180" i="18" s="1"/>
  <c r="W180" i="18"/>
  <c r="J243" i="18"/>
  <c r="C243" i="6" s="1"/>
  <c r="I243" i="18"/>
  <c r="B243" i="6" s="1"/>
  <c r="BA243" i="6" s="1"/>
  <c r="D243" i="6" s="1"/>
  <c r="J98" i="18"/>
  <c r="C98" i="6" s="1"/>
  <c r="I98" i="18"/>
  <c r="B98" i="6" s="1"/>
  <c r="BA98" i="6" s="1"/>
  <c r="D98" i="6" s="1"/>
  <c r="W241" i="18"/>
  <c r="D241" i="18"/>
  <c r="E241" i="18" s="1"/>
  <c r="F241" i="18" s="1"/>
  <c r="J344" i="18"/>
  <c r="C344" i="6" s="1"/>
  <c r="I344" i="18"/>
  <c r="B344" i="6" s="1"/>
  <c r="BA344" i="6" s="1"/>
  <c r="D344" i="6" s="1"/>
  <c r="I168" i="18"/>
  <c r="B168" i="6" s="1"/>
  <c r="BA168" i="6" s="1"/>
  <c r="D168" i="6" s="1"/>
  <c r="J168" i="18"/>
  <c r="C168" i="6" s="1"/>
  <c r="I316" i="18"/>
  <c r="B316" i="6" s="1"/>
  <c r="BA316" i="6" s="1"/>
  <c r="D316" i="6" s="1"/>
  <c r="J316" i="18"/>
  <c r="C316" i="6" s="1"/>
  <c r="W149" i="18"/>
  <c r="D149" i="18"/>
  <c r="E149" i="18" s="1"/>
  <c r="F149" i="18" s="1"/>
  <c r="I312" i="18"/>
  <c r="B312" i="6" s="1"/>
  <c r="BA312" i="6" s="1"/>
  <c r="D312" i="6" s="1"/>
  <c r="J312" i="18"/>
  <c r="C312" i="6" s="1"/>
  <c r="I50" i="18"/>
  <c r="B50" i="6" s="1"/>
  <c r="BA50" i="6" s="1"/>
  <c r="D50" i="6" s="1"/>
  <c r="J50" i="18"/>
  <c r="C50" i="6" s="1"/>
  <c r="I89" i="18"/>
  <c r="B89" i="6" s="1"/>
  <c r="BA89" i="6" s="1"/>
  <c r="D89" i="6" s="1"/>
  <c r="J89" i="18"/>
  <c r="C89" i="6" s="1"/>
  <c r="I195" i="18"/>
  <c r="B195" i="6" s="1"/>
  <c r="BA195" i="6" s="1"/>
  <c r="D195" i="6" s="1"/>
  <c r="J195" i="18"/>
  <c r="C195" i="6" s="1"/>
  <c r="I79" i="18"/>
  <c r="B79" i="6" s="1"/>
  <c r="BA79" i="6" s="1"/>
  <c r="D79" i="6" s="1"/>
  <c r="J79" i="18"/>
  <c r="C79" i="6" s="1"/>
  <c r="I45" i="18"/>
  <c r="B45" i="6" s="1"/>
  <c r="BA45" i="6" s="1"/>
  <c r="D45" i="6" s="1"/>
  <c r="J45" i="18"/>
  <c r="C45" i="6" s="1"/>
  <c r="J212" i="18"/>
  <c r="C212" i="6" s="1"/>
  <c r="I212" i="18"/>
  <c r="B212" i="6" s="1"/>
  <c r="BA212" i="6" s="1"/>
  <c r="D212" i="6" s="1"/>
  <c r="J159" i="18"/>
  <c r="C159" i="6" s="1"/>
  <c r="I159" i="18"/>
  <c r="B159" i="6" s="1"/>
  <c r="BA159" i="6" s="1"/>
  <c r="D159" i="6" s="1"/>
  <c r="J35" i="18"/>
  <c r="C35" i="6" s="1"/>
  <c r="I35" i="18"/>
  <c r="B35" i="6" s="1"/>
  <c r="BA35" i="6" s="1"/>
  <c r="D35" i="6" s="1"/>
  <c r="I83" i="18"/>
  <c r="B83" i="6" s="1"/>
  <c r="BA83" i="6" s="1"/>
  <c r="D83" i="6" s="1"/>
  <c r="J83" i="18"/>
  <c r="C83" i="6" s="1"/>
  <c r="J375" i="18"/>
  <c r="C375" i="6" s="1"/>
  <c r="I375" i="18"/>
  <c r="B375" i="6" s="1"/>
  <c r="BA375" i="6" s="1"/>
  <c r="D375" i="6" s="1"/>
  <c r="J287" i="18"/>
  <c r="C287" i="6" s="1"/>
  <c r="I287" i="18"/>
  <c r="B287" i="6" s="1"/>
  <c r="BA287" i="6" s="1"/>
  <c r="D287" i="6" s="1"/>
  <c r="W60" i="18"/>
  <c r="D60" i="18"/>
  <c r="E60" i="18" s="1"/>
  <c r="F60" i="18" s="1"/>
  <c r="J208" i="18"/>
  <c r="C208" i="6" s="1"/>
  <c r="I208" i="18"/>
  <c r="B208" i="6" s="1"/>
  <c r="BA208" i="6" s="1"/>
  <c r="D208" i="6" s="1"/>
  <c r="I303" i="18"/>
  <c r="B303" i="6" s="1"/>
  <c r="BA303" i="6" s="1"/>
  <c r="D303" i="6" s="1"/>
  <c r="J303" i="18"/>
  <c r="C303" i="6" s="1"/>
  <c r="D88" i="18"/>
  <c r="E88" i="18" s="1"/>
  <c r="F88" i="18" s="1"/>
  <c r="W88" i="18"/>
  <c r="P383" i="17"/>
  <c r="V15" i="17"/>
  <c r="P382" i="17"/>
  <c r="P381" i="17"/>
  <c r="AL8" i="15"/>
  <c r="Z383" i="15"/>
  <c r="Z382" i="15"/>
  <c r="Z381" i="15"/>
  <c r="AL7" i="15"/>
  <c r="Y15" i="15"/>
  <c r="Z9" i="15"/>
  <c r="I381" i="15"/>
  <c r="I382" i="15"/>
  <c r="I383" i="15"/>
  <c r="I99" i="18"/>
  <c r="B99" i="6" s="1"/>
  <c r="BA99" i="6" s="1"/>
  <c r="J99" i="18"/>
  <c r="C99" i="6" s="1"/>
  <c r="I315" i="18"/>
  <c r="B315" i="6" s="1"/>
  <c r="BA315" i="6" s="1"/>
  <c r="D315" i="6" s="1"/>
  <c r="J315" i="18"/>
  <c r="C315" i="6" s="1"/>
  <c r="I266" i="18"/>
  <c r="B266" i="6" s="1"/>
  <c r="BA266" i="6" s="1"/>
  <c r="D266" i="6" s="1"/>
  <c r="J266" i="18"/>
  <c r="C266" i="6" s="1"/>
  <c r="J153" i="18"/>
  <c r="C153" i="6" s="1"/>
  <c r="I153" i="18"/>
  <c r="B153" i="6" s="1"/>
  <c r="BA153" i="6" s="1"/>
  <c r="D153" i="6" s="1"/>
  <c r="I290" i="18"/>
  <c r="B290" i="6" s="1"/>
  <c r="BA290" i="6" s="1"/>
  <c r="D290" i="6" s="1"/>
  <c r="J290" i="18"/>
  <c r="C290" i="6" s="1"/>
  <c r="J124" i="18"/>
  <c r="C124" i="6" s="1"/>
  <c r="I124" i="18"/>
  <c r="B124" i="6" s="1"/>
  <c r="BA124" i="6" s="1"/>
  <c r="D124" i="6" s="1"/>
  <c r="J213" i="18"/>
  <c r="C213" i="6" s="1"/>
  <c r="I213" i="18"/>
  <c r="B213" i="6" s="1"/>
  <c r="BA213" i="6" s="1"/>
  <c r="D213" i="6" s="1"/>
  <c r="I84" i="18"/>
  <c r="B84" i="6" s="1"/>
  <c r="BA84" i="6" s="1"/>
  <c r="D84" i="6" s="1"/>
  <c r="J84" i="18"/>
  <c r="C84" i="6" s="1"/>
  <c r="J225" i="18"/>
  <c r="C225" i="6" s="1"/>
  <c r="I225" i="18"/>
  <c r="B225" i="6" s="1"/>
  <c r="BA225" i="6" s="1"/>
  <c r="J193" i="18"/>
  <c r="C193" i="6" s="1"/>
  <c r="I239" i="18"/>
  <c r="B239" i="6" s="1"/>
  <c r="BA239" i="6" s="1"/>
  <c r="D239" i="6" s="1"/>
  <c r="J239" i="18"/>
  <c r="C239" i="6" s="1"/>
  <c r="J109" i="18"/>
  <c r="C109" i="6" s="1"/>
  <c r="I109" i="18"/>
  <c r="B109" i="6" s="1"/>
  <c r="BA109" i="6" s="1"/>
  <c r="D109" i="6" s="1"/>
  <c r="I117" i="18"/>
  <c r="B117" i="6" s="1"/>
  <c r="BA117" i="6" s="1"/>
  <c r="D117" i="6" s="1"/>
  <c r="J117" i="18"/>
  <c r="C117" i="6" s="1"/>
  <c r="J228" i="18"/>
  <c r="C228" i="6" s="1"/>
  <c r="I17" i="18"/>
  <c r="B17" i="6" s="1"/>
  <c r="BA17" i="6" s="1"/>
  <c r="D17" i="6" s="1"/>
  <c r="J17" i="18"/>
  <c r="C17" i="6" s="1"/>
  <c r="I171" i="18"/>
  <c r="B171" i="6" s="1"/>
  <c r="BA171" i="6" s="1"/>
  <c r="D171" i="6" s="1"/>
  <c r="J171" i="18"/>
  <c r="C171" i="6" s="1"/>
  <c r="J220" i="18"/>
  <c r="C220" i="6" s="1"/>
  <c r="I220" i="18"/>
  <c r="B220" i="6" s="1"/>
  <c r="BA220" i="6" s="1"/>
  <c r="D220" i="6" s="1"/>
  <c r="J222" i="18"/>
  <c r="C222" i="6" s="1"/>
  <c r="I222" i="18"/>
  <c r="B222" i="6" s="1"/>
  <c r="BA222" i="6" s="1"/>
  <c r="D222" i="6" s="1"/>
  <c r="J167" i="18"/>
  <c r="C167" i="6" s="1"/>
  <c r="I167" i="18"/>
  <c r="B167" i="6" s="1"/>
  <c r="BA167" i="6" s="1"/>
  <c r="D167" i="6" s="1"/>
  <c r="I224" i="18"/>
  <c r="B224" i="6" s="1"/>
  <c r="BA224" i="6" s="1"/>
  <c r="D224" i="6" s="1"/>
  <c r="J224" i="18"/>
  <c r="C224" i="6" s="1"/>
  <c r="J271" i="18"/>
  <c r="C271" i="6" s="1"/>
  <c r="I271" i="18"/>
  <c r="B271" i="6" s="1"/>
  <c r="BA271" i="6" s="1"/>
  <c r="D271" i="6" s="1"/>
  <c r="J288" i="18"/>
  <c r="C288" i="6" s="1"/>
  <c r="I288" i="18"/>
  <c r="B288" i="6" s="1"/>
  <c r="BA288" i="6" s="1"/>
  <c r="D288" i="6" s="1"/>
  <c r="J327" i="18"/>
  <c r="C327" i="6" s="1"/>
  <c r="I327" i="18"/>
  <c r="B327" i="6" s="1"/>
  <c r="BA327" i="6" s="1"/>
  <c r="D327" i="6" s="1"/>
  <c r="I51" i="18"/>
  <c r="B51" i="6" s="1"/>
  <c r="BA51" i="6" s="1"/>
  <c r="D51" i="6" s="1"/>
  <c r="J51" i="18"/>
  <c r="C51" i="6" s="1"/>
  <c r="J186" i="18"/>
  <c r="C186" i="6" s="1"/>
  <c r="I186" i="18"/>
  <c r="B186" i="6" s="1"/>
  <c r="BA186" i="6" s="1"/>
  <c r="D186" i="6" s="1"/>
  <c r="J104" i="18"/>
  <c r="C104" i="6" s="1"/>
  <c r="I104" i="18"/>
  <c r="B104" i="6" s="1"/>
  <c r="BA104" i="6" s="1"/>
  <c r="D104" i="6" s="1"/>
  <c r="J154" i="18"/>
  <c r="C154" i="6" s="1"/>
  <c r="I154" i="18"/>
  <c r="B154" i="6" s="1"/>
  <c r="BA154" i="6" s="1"/>
  <c r="D154" i="6" s="1"/>
  <c r="J114" i="18"/>
  <c r="C114" i="6" s="1"/>
  <c r="I114" i="18"/>
  <c r="B114" i="6" s="1"/>
  <c r="BA114" i="6" s="1"/>
  <c r="D114" i="6" s="1"/>
  <c r="I223" i="18"/>
  <c r="B223" i="6" s="1"/>
  <c r="BA223" i="6" s="1"/>
  <c r="D223" i="6" s="1"/>
  <c r="J223" i="18"/>
  <c r="C223" i="6" s="1"/>
  <c r="I61" i="18"/>
  <c r="B61" i="6" s="1"/>
  <c r="BA61" i="6" s="1"/>
  <c r="D61" i="6" s="1"/>
  <c r="J61" i="18"/>
  <c r="C61" i="6" s="1"/>
  <c r="J366" i="18"/>
  <c r="C366" i="6" s="1"/>
  <c r="I366" i="18"/>
  <c r="B366" i="6" s="1"/>
  <c r="BA366" i="6" s="1"/>
  <c r="D366" i="6" s="1"/>
  <c r="I107" i="18"/>
  <c r="B107" i="6" s="1"/>
  <c r="BA107" i="6" s="1"/>
  <c r="D107" i="6" s="1"/>
  <c r="J107" i="18"/>
  <c r="C107" i="6" s="1"/>
  <c r="J24" i="18"/>
  <c r="C24" i="6" s="1"/>
  <c r="I24" i="18"/>
  <c r="B24" i="6" s="1"/>
  <c r="BA24" i="6" s="1"/>
  <c r="D24" i="6" s="1"/>
  <c r="J46" i="18"/>
  <c r="C46" i="6" s="1"/>
  <c r="I46" i="18"/>
  <c r="B46" i="6" s="1"/>
  <c r="BA46" i="6" s="1"/>
  <c r="D46" i="6" s="1"/>
  <c r="J127" i="18"/>
  <c r="C127" i="6" s="1"/>
  <c r="I127" i="18"/>
  <c r="B127" i="6" s="1"/>
  <c r="BA127" i="6" s="1"/>
  <c r="D127" i="6" s="1"/>
  <c r="J354" i="18"/>
  <c r="C354" i="6" s="1"/>
  <c r="I354" i="18"/>
  <c r="B354" i="6" s="1"/>
  <c r="BA354" i="6" s="1"/>
  <c r="D354" i="6" s="1"/>
  <c r="J280" i="18"/>
  <c r="C280" i="6" s="1"/>
  <c r="I280" i="18"/>
  <c r="B280" i="6" s="1"/>
  <c r="BA280" i="6" s="1"/>
  <c r="D280" i="6" s="1"/>
  <c r="I115" i="18"/>
  <c r="B115" i="6" s="1"/>
  <c r="BA115" i="6" s="1"/>
  <c r="D115" i="6" s="1"/>
  <c r="J115" i="18"/>
  <c r="C115" i="6" s="1"/>
  <c r="I305" i="18"/>
  <c r="B305" i="6" s="1"/>
  <c r="BA305" i="6" s="1"/>
  <c r="D305" i="6" s="1"/>
  <c r="J305" i="18"/>
  <c r="C305" i="6" s="1"/>
  <c r="J297" i="18"/>
  <c r="C297" i="6" s="1"/>
  <c r="I297" i="18"/>
  <c r="B297" i="6" s="1"/>
  <c r="BA297" i="6" s="1"/>
  <c r="D297" i="6" s="1"/>
  <c r="I145" i="18"/>
  <c r="B145" i="6" s="1"/>
  <c r="BA145" i="6" s="1"/>
  <c r="D145" i="6" s="1"/>
  <c r="J145" i="18"/>
  <c r="C145" i="6" s="1"/>
  <c r="J345" i="18"/>
  <c r="C345" i="6" s="1"/>
  <c r="I345" i="18"/>
  <c r="B345" i="6" s="1"/>
  <c r="BA345" i="6" s="1"/>
  <c r="D345" i="6" s="1"/>
  <c r="I245" i="18"/>
  <c r="B245" i="6" s="1"/>
  <c r="BA245" i="6" s="1"/>
  <c r="D245" i="6" s="1"/>
  <c r="J245" i="18"/>
  <c r="C245" i="6" s="1"/>
  <c r="J147" i="18"/>
  <c r="C147" i="6" s="1"/>
  <c r="I147" i="18"/>
  <c r="B147" i="6" s="1"/>
  <c r="BA147" i="6" s="1"/>
  <c r="D147" i="6" s="1"/>
  <c r="J235" i="18"/>
  <c r="C235" i="6" s="1"/>
  <c r="I235" i="18"/>
  <c r="B235" i="6" s="1"/>
  <c r="BA235" i="6" s="1"/>
  <c r="D235" i="6" s="1"/>
  <c r="G383" i="16"/>
  <c r="G12" i="16" s="1"/>
  <c r="G381" i="16"/>
  <c r="G382" i="16"/>
  <c r="AL10" i="16"/>
  <c r="AA382" i="16"/>
  <c r="AA9" i="16"/>
  <c r="Z15" i="16"/>
  <c r="AA381" i="16"/>
  <c r="AA383" i="16"/>
  <c r="AM8" i="16"/>
  <c r="AD382" i="17"/>
  <c r="AD383" i="17"/>
  <c r="AD381" i="17"/>
  <c r="K7" i="7"/>
  <c r="B7" i="6"/>
  <c r="D119" i="18"/>
  <c r="E119" i="18" s="1"/>
  <c r="F119" i="18" s="1"/>
  <c r="W119" i="18"/>
  <c r="J336" i="18"/>
  <c r="C336" i="6" s="1"/>
  <c r="I336" i="18"/>
  <c r="B336" i="6" s="1"/>
  <c r="BA336" i="6" s="1"/>
  <c r="D336" i="6" s="1"/>
  <c r="J217" i="18"/>
  <c r="C217" i="6" s="1"/>
  <c r="I217" i="18"/>
  <c r="B217" i="6" s="1"/>
  <c r="BA217" i="6" s="1"/>
  <c r="D217" i="6" s="1"/>
  <c r="J69" i="18"/>
  <c r="C69" i="6" s="1"/>
  <c r="I69" i="18"/>
  <c r="B69" i="6" s="1"/>
  <c r="BA69" i="6" s="1"/>
  <c r="D69" i="6" s="1"/>
  <c r="I182" i="18"/>
  <c r="B182" i="6" s="1"/>
  <c r="BA182" i="6" s="1"/>
  <c r="D182" i="6" s="1"/>
  <c r="J182" i="18"/>
  <c r="C182" i="6" s="1"/>
  <c r="J299" i="18"/>
  <c r="C299" i="6" s="1"/>
  <c r="I299" i="18"/>
  <c r="B299" i="6" s="1"/>
  <c r="BA299" i="6" s="1"/>
  <c r="D299" i="6" s="1"/>
  <c r="J307" i="18"/>
  <c r="C307" i="6" s="1"/>
  <c r="I307" i="18"/>
  <c r="B307" i="6" s="1"/>
  <c r="BA307" i="6" s="1"/>
  <c r="D307" i="6" s="1"/>
  <c r="I113" i="18"/>
  <c r="B113" i="6" s="1"/>
  <c r="BA113" i="6" s="1"/>
  <c r="D113" i="6" s="1"/>
  <c r="J113" i="18"/>
  <c r="C113" i="6" s="1"/>
  <c r="I295" i="18"/>
  <c r="B295" i="6" s="1"/>
  <c r="BA295" i="6" s="1"/>
  <c r="D295" i="6" s="1"/>
  <c r="J295" i="18"/>
  <c r="C295" i="6" s="1"/>
  <c r="I68" i="18"/>
  <c r="B68" i="6" s="1"/>
  <c r="BA68" i="6" s="1"/>
  <c r="D68" i="6" s="1"/>
  <c r="J68" i="18"/>
  <c r="C68" i="6" s="1"/>
  <c r="J122" i="18"/>
  <c r="C122" i="6" s="1"/>
  <c r="I122" i="18"/>
  <c r="B122" i="6" s="1"/>
  <c r="BA122" i="6" s="1"/>
  <c r="D122" i="6" s="1"/>
  <c r="I215" i="18"/>
  <c r="B215" i="6" s="1"/>
  <c r="BA215" i="6" s="1"/>
  <c r="D215" i="6" s="1"/>
  <c r="J215" i="18"/>
  <c r="C215" i="6" s="1"/>
  <c r="H379" i="18"/>
  <c r="AI11" i="22"/>
  <c r="AD104" i="18"/>
  <c r="AF381" i="18"/>
  <c r="AF383" i="18"/>
  <c r="AF382" i="18"/>
  <c r="D166" i="6"/>
  <c r="B74" i="6"/>
  <c r="BA74" i="6" s="1"/>
  <c r="D74" i="6" s="1"/>
  <c r="AL5" i="16"/>
  <c r="AL11" i="16" s="1"/>
  <c r="I112" i="18" l="1"/>
  <c r="B112" i="6" s="1"/>
  <c r="BA112" i="6" s="1"/>
  <c r="D112" i="6" s="1"/>
  <c r="AE47" i="22"/>
  <c r="AE169" i="22"/>
  <c r="AE54" i="22"/>
  <c r="AE153" i="22"/>
  <c r="AE270" i="22"/>
  <c r="AE221" i="22"/>
  <c r="AE293" i="22"/>
  <c r="AE348" i="22"/>
  <c r="AE180" i="22"/>
  <c r="AE51" i="22"/>
  <c r="AE306" i="22"/>
  <c r="AE321" i="22"/>
  <c r="AE275" i="22"/>
  <c r="AE378" i="22"/>
  <c r="AE19" i="22"/>
  <c r="AE268" i="22"/>
  <c r="AE127" i="22"/>
  <c r="AE233" i="22"/>
  <c r="AE300" i="22"/>
  <c r="AE103" i="22"/>
  <c r="AE85" i="22"/>
  <c r="AE57" i="22"/>
  <c r="AE62" i="22"/>
  <c r="AE81" i="22"/>
  <c r="AE223" i="22"/>
  <c r="AE59" i="22"/>
  <c r="AE296" i="22"/>
  <c r="AE344" i="22"/>
  <c r="AE273" i="22"/>
  <c r="AE80" i="22"/>
  <c r="AE283" i="22"/>
  <c r="AE274" i="22"/>
  <c r="AE98" i="22"/>
  <c r="AE247" i="22"/>
  <c r="AE176" i="22"/>
  <c r="AE224" i="22"/>
  <c r="AE279" i="22"/>
  <c r="AE152" i="22"/>
  <c r="AE320" i="22"/>
  <c r="AE79" i="22"/>
  <c r="AE263" i="22"/>
  <c r="AE345" i="22"/>
  <c r="Q88" i="22"/>
  <c r="Q353" i="22"/>
  <c r="Q52" i="22"/>
  <c r="Q202" i="22"/>
  <c r="Q177" i="22"/>
  <c r="Q289" i="22"/>
  <c r="Q76" i="22"/>
  <c r="Q97" i="22"/>
  <c r="Q80" i="22"/>
  <c r="Q44" i="22"/>
  <c r="Q111" i="22"/>
  <c r="Q365" i="22"/>
  <c r="Q216" i="22"/>
  <c r="J97" i="18"/>
  <c r="C97" i="6" s="1"/>
  <c r="I300" i="18"/>
  <c r="B300" i="6" s="1"/>
  <c r="BA300" i="6" s="1"/>
  <c r="D300" i="6" s="1"/>
  <c r="I292" i="18"/>
  <c r="B292" i="6" s="1"/>
  <c r="BA292" i="6" s="1"/>
  <c r="D292" i="6" s="1"/>
  <c r="W114" i="20"/>
  <c r="D306" i="20"/>
  <c r="E306" i="20" s="1"/>
  <c r="F306" i="20" s="1"/>
  <c r="D44" i="20"/>
  <c r="E44" i="20" s="1"/>
  <c r="F44" i="20" s="1"/>
  <c r="G44" i="20" s="1"/>
  <c r="CB44" i="6" s="1"/>
  <c r="D206" i="20"/>
  <c r="E206" i="20" s="1"/>
  <c r="F206" i="20" s="1"/>
  <c r="W266" i="20"/>
  <c r="I70" i="18"/>
  <c r="B70" i="6" s="1"/>
  <c r="BA70" i="6" s="1"/>
  <c r="D70" i="6" s="1"/>
  <c r="I370" i="18"/>
  <c r="B370" i="6" s="1"/>
  <c r="BA370" i="6" s="1"/>
  <c r="D370" i="6" s="1"/>
  <c r="I249" i="18"/>
  <c r="B249" i="6" s="1"/>
  <c r="BA249" i="6" s="1"/>
  <c r="D249" i="6" s="1"/>
  <c r="J130" i="18"/>
  <c r="C130" i="6" s="1"/>
  <c r="U381" i="20"/>
  <c r="AE123" i="22"/>
  <c r="AE210" i="22"/>
  <c r="AE301" i="22"/>
  <c r="AE38" i="22"/>
  <c r="AE22" i="22"/>
  <c r="AE91" i="22"/>
  <c r="AE261" i="22"/>
  <c r="AE65" i="22"/>
  <c r="AE335" i="22"/>
  <c r="AE77" i="22"/>
  <c r="AE171" i="22"/>
  <c r="AE358" i="22"/>
  <c r="AE214" i="22"/>
  <c r="AE48" i="22"/>
  <c r="AE303" i="22"/>
  <c r="AE266" i="22"/>
  <c r="AE164" i="22"/>
  <c r="AE317" i="22"/>
  <c r="AE276" i="22"/>
  <c r="AE173" i="22"/>
  <c r="AE184" i="22"/>
  <c r="AE209" i="22"/>
  <c r="AE159" i="22"/>
  <c r="AE117" i="22"/>
  <c r="AE168" i="22"/>
  <c r="AE280" i="22"/>
  <c r="AE294" i="22"/>
  <c r="AE61" i="22"/>
  <c r="AE45" i="22"/>
  <c r="AE29" i="22"/>
  <c r="AE240" i="22"/>
  <c r="AE106" i="22"/>
  <c r="AE60" i="22"/>
  <c r="AE249" i="22"/>
  <c r="AE262" i="22"/>
  <c r="AE370" i="22"/>
  <c r="AE216" i="22"/>
  <c r="AE186" i="22"/>
  <c r="AE33" i="22"/>
  <c r="AE225" i="22"/>
  <c r="AE63" i="22"/>
  <c r="AE329" i="22"/>
  <c r="AE181" i="22"/>
  <c r="AE307" i="22"/>
  <c r="AE87" i="22"/>
  <c r="AE84" i="22"/>
  <c r="AE336" i="22"/>
  <c r="AE298" i="22"/>
  <c r="AE156" i="22"/>
  <c r="AE110" i="22"/>
  <c r="AE52" i="22"/>
  <c r="AE271" i="22"/>
  <c r="AE354" i="22"/>
  <c r="AE177" i="22"/>
  <c r="AE23" i="22"/>
  <c r="AE231" i="22"/>
  <c r="AE69" i="22"/>
  <c r="AE267" i="22"/>
  <c r="AE380" i="22"/>
  <c r="AE334" i="22"/>
  <c r="AE286" i="22"/>
  <c r="AE245" i="22"/>
  <c r="AE339" i="22"/>
  <c r="AE151" i="22"/>
  <c r="AE114" i="22"/>
  <c r="AE88" i="22"/>
  <c r="AE58" i="22"/>
  <c r="AE140" i="22"/>
  <c r="AE97" i="22"/>
  <c r="AE260" i="22"/>
  <c r="AE146" i="22"/>
  <c r="AE361" i="22"/>
  <c r="AE34" i="22"/>
  <c r="AE299" i="22"/>
  <c r="AE119" i="22"/>
  <c r="AE351" i="22"/>
  <c r="AE187" i="22"/>
  <c r="AE338" i="22"/>
  <c r="AE258" i="22"/>
  <c r="AE93" i="22"/>
  <c r="AE101" i="22"/>
  <c r="AE28" i="22"/>
  <c r="AE163" i="22"/>
  <c r="D58" i="20"/>
  <c r="E58" i="20" s="1"/>
  <c r="F58" i="20" s="1"/>
  <c r="W349" i="20"/>
  <c r="D364" i="20"/>
  <c r="E364" i="20" s="1"/>
  <c r="F364" i="20" s="1"/>
  <c r="D53" i="20"/>
  <c r="E53" i="20" s="1"/>
  <c r="F53" i="20" s="1"/>
  <c r="AA53" i="20" s="1"/>
  <c r="Z53" i="20" s="1"/>
  <c r="Y53" i="20" s="1"/>
  <c r="W167" i="20"/>
  <c r="Q136" i="22"/>
  <c r="Q75" i="22"/>
  <c r="Q131" i="22"/>
  <c r="Q22" i="22"/>
  <c r="Q146" i="22"/>
  <c r="Q377" i="22"/>
  <c r="Q280" i="22"/>
  <c r="Q122" i="22"/>
  <c r="Q208" i="22"/>
  <c r="Q153" i="22"/>
  <c r="Q87" i="22"/>
  <c r="Q41" i="22"/>
  <c r="Q158" i="22"/>
  <c r="Q277" i="22"/>
  <c r="Q244" i="22"/>
  <c r="Q329" i="22"/>
  <c r="Q154" i="22"/>
  <c r="Q346" i="22"/>
  <c r="Q217" i="22"/>
  <c r="Q112" i="22"/>
  <c r="Q18" i="22"/>
  <c r="Q123" i="22"/>
  <c r="Q245" i="22"/>
  <c r="Q180" i="22"/>
  <c r="Q54" i="22"/>
  <c r="Q164" i="22"/>
  <c r="Q362" i="22"/>
  <c r="Q148" i="22"/>
  <c r="Q293" i="22"/>
  <c r="Q371" i="22"/>
  <c r="I136" i="18"/>
  <c r="B136" i="6" s="1"/>
  <c r="BA136" i="6" s="1"/>
  <c r="D136" i="6" s="1"/>
  <c r="I64" i="18"/>
  <c r="B64" i="6" s="1"/>
  <c r="BA64" i="6" s="1"/>
  <c r="D64" i="6" s="1"/>
  <c r="V29" i="20"/>
  <c r="B29" i="20" s="1"/>
  <c r="D29" i="20" s="1"/>
  <c r="E29" i="20" s="1"/>
  <c r="F29" i="20" s="1"/>
  <c r="AH20" i="7"/>
  <c r="W323" i="20"/>
  <c r="D323" i="20"/>
  <c r="E323" i="20" s="1"/>
  <c r="F323" i="20" s="1"/>
  <c r="G323" i="20" s="1"/>
  <c r="CB323" i="6" s="1"/>
  <c r="Q266" i="22"/>
  <c r="Q273" i="22"/>
  <c r="Q85" i="22"/>
  <c r="Q26" i="22"/>
  <c r="Q254" i="22"/>
  <c r="Q378" i="22"/>
  <c r="Q179" i="22"/>
  <c r="Q248" i="22"/>
  <c r="Q31" i="22"/>
  <c r="Q223" i="22"/>
  <c r="Q292" i="22"/>
  <c r="Q284" i="22"/>
  <c r="Q86" i="22"/>
  <c r="Q92" i="22"/>
  <c r="Q257" i="22"/>
  <c r="Q240" i="22"/>
  <c r="Q263" i="22"/>
  <c r="Q236" i="22"/>
  <c r="Q218" i="22"/>
  <c r="Q282" i="22"/>
  <c r="Q99" i="22"/>
  <c r="Q369" i="22"/>
  <c r="Q212" i="22"/>
  <c r="Q227" i="22"/>
  <c r="Q260" i="22"/>
  <c r="Q138" i="22"/>
  <c r="Q29" i="22"/>
  <c r="Q61" i="22"/>
  <c r="Q258" i="22"/>
  <c r="Q325" i="22"/>
  <c r="Q251" i="22"/>
  <c r="Q21" i="22"/>
  <c r="Q121" i="22"/>
  <c r="Q144" i="22"/>
  <c r="Q225" i="22"/>
  <c r="Q206" i="22"/>
  <c r="Q271" i="22"/>
  <c r="Q117" i="22"/>
  <c r="Q368" i="22"/>
  <c r="Q127" i="22"/>
  <c r="Q255" i="22"/>
  <c r="Q40" i="22"/>
  <c r="Q77" i="22"/>
  <c r="Q246" i="22"/>
  <c r="Q191" i="22"/>
  <c r="Q172" i="22"/>
  <c r="Q286" i="22"/>
  <c r="Q305" i="22"/>
  <c r="Q82" i="22"/>
  <c r="Q324" i="22"/>
  <c r="Q182" i="22"/>
  <c r="Q103" i="22"/>
  <c r="Q188" i="22"/>
  <c r="Q214" i="22"/>
  <c r="Q152" i="22"/>
  <c r="Q90" i="22"/>
  <c r="Q30" i="22"/>
  <c r="Q149" i="22"/>
  <c r="Q184" i="22"/>
  <c r="Q60" i="22"/>
  <c r="Q314" i="22"/>
  <c r="Q142" i="22"/>
  <c r="Q197" i="22"/>
  <c r="Q102" i="22"/>
  <c r="Q130" i="22"/>
  <c r="Q55" i="22"/>
  <c r="Q276" i="22"/>
  <c r="Q356" i="22"/>
  <c r="Q315" i="22"/>
  <c r="Q380" i="22"/>
  <c r="Q125" i="22"/>
  <c r="Q230" i="22"/>
  <c r="Q69" i="22"/>
  <c r="Q296" i="22"/>
  <c r="Q58" i="22"/>
  <c r="Q167" i="22"/>
  <c r="Q124" i="22"/>
  <c r="Q213" i="22"/>
  <c r="Q301" i="22"/>
  <c r="Q116" i="22"/>
  <c r="Q316" i="22"/>
  <c r="Q299" i="22"/>
  <c r="Q162" i="22"/>
  <c r="Q134" i="22"/>
  <c r="Q178" i="22"/>
  <c r="Q242" i="22"/>
  <c r="Q278" i="22"/>
  <c r="Q243" i="22"/>
  <c r="Q272" i="22"/>
  <c r="Q17" i="22"/>
  <c r="Q221" i="22"/>
  <c r="Q297" i="22"/>
  <c r="Q93" i="22"/>
  <c r="Q35" i="22"/>
  <c r="Q185" i="22"/>
  <c r="Q247" i="22"/>
  <c r="Q317" i="22"/>
  <c r="Q342" i="22"/>
  <c r="Q166" i="22"/>
  <c r="Q150" i="22"/>
  <c r="Q28" i="22"/>
  <c r="Q94" i="22"/>
  <c r="Q120" i="22"/>
  <c r="Q174" i="22"/>
  <c r="Q264" i="22"/>
  <c r="Q132" i="22"/>
  <c r="Q232" i="22"/>
  <c r="Q16" i="22"/>
  <c r="Q268" i="22"/>
  <c r="Q373" i="22"/>
  <c r="Q235" i="22"/>
  <c r="Q226" i="22"/>
  <c r="Q171" i="22"/>
  <c r="Q287" i="22"/>
  <c r="Q25" i="22"/>
  <c r="Q311" i="22"/>
  <c r="Q155" i="22"/>
  <c r="Q360" i="22"/>
  <c r="Q106" i="22"/>
  <c r="Q183" i="22"/>
  <c r="Q36" i="22"/>
  <c r="Q118" i="22"/>
  <c r="Q285" i="22"/>
  <c r="Q196" i="22"/>
  <c r="Q345" i="22"/>
  <c r="Q231" i="22"/>
  <c r="Q337" i="22"/>
  <c r="Q341" i="22"/>
  <c r="Q250" i="22"/>
  <c r="Q170" i="22"/>
  <c r="Q72" i="22"/>
  <c r="Q318" i="22"/>
  <c r="Q192" i="22"/>
  <c r="Q239" i="22"/>
  <c r="Q68" i="22"/>
  <c r="Q110" i="22"/>
  <c r="Q161" i="22"/>
  <c r="Q96" i="22"/>
  <c r="Q137" i="22"/>
  <c r="Q288" i="22"/>
  <c r="Q370" i="22"/>
  <c r="Q228" i="22"/>
  <c r="Q252" i="22"/>
  <c r="Q207" i="22"/>
  <c r="Q98" i="22"/>
  <c r="Q33" i="22"/>
  <c r="Q310" i="22"/>
  <c r="Q351" i="22"/>
  <c r="Q300" i="22"/>
  <c r="Q56" i="22"/>
  <c r="Q333" i="22"/>
  <c r="Q233" i="22"/>
  <c r="Q45" i="22"/>
  <c r="Q71" i="22"/>
  <c r="Q151" i="22"/>
  <c r="Q168" i="22"/>
  <c r="Q355" i="22"/>
  <c r="Q241" i="22"/>
  <c r="Q84" i="22"/>
  <c r="Q338" i="22"/>
  <c r="Q323" i="22"/>
  <c r="Q23" i="22"/>
  <c r="Q203" i="22"/>
  <c r="Q24" i="22"/>
  <c r="Q107" i="22"/>
  <c r="Q304" i="22"/>
  <c r="Q141" i="22"/>
  <c r="Q298" i="22"/>
  <c r="Q253" i="22"/>
  <c r="Q114" i="22"/>
  <c r="Q66" i="22"/>
  <c r="Q309" i="22"/>
  <c r="Q344" i="22"/>
  <c r="Q156" i="22"/>
  <c r="Q135" i="22"/>
  <c r="Q115" i="22"/>
  <c r="Q343" i="22"/>
  <c r="Q229" i="22"/>
  <c r="Q53" i="22"/>
  <c r="Q219" i="22"/>
  <c r="Q43" i="22"/>
  <c r="Q319" i="22"/>
  <c r="Q79" i="22"/>
  <c r="Q348" i="22"/>
  <c r="Q307" i="22"/>
  <c r="Q215" i="22"/>
  <c r="Q78" i="22"/>
  <c r="Q101" i="22"/>
  <c r="Q361" i="22"/>
  <c r="Q256" i="22"/>
  <c r="Q81" i="22"/>
  <c r="Q20" i="22"/>
  <c r="Q70" i="22"/>
  <c r="Q367" i="22"/>
  <c r="Q326" i="22"/>
  <c r="Q194" i="22"/>
  <c r="Q303" i="22"/>
  <c r="Q32" i="22"/>
  <c r="Q262" i="22"/>
  <c r="Q275" i="22"/>
  <c r="Q119" i="22"/>
  <c r="AE246" i="22"/>
  <c r="AE325" i="22"/>
  <c r="AE55" i="22"/>
  <c r="AE120" i="22"/>
  <c r="AE108" i="22"/>
  <c r="AE178" i="22"/>
  <c r="AE237" i="22"/>
  <c r="AE326" i="22"/>
  <c r="AE41" i="22"/>
  <c r="AE243" i="22"/>
  <c r="AE82" i="22"/>
  <c r="AE53" i="22"/>
  <c r="AE121" i="22"/>
  <c r="AE201" i="22"/>
  <c r="AE315" i="22"/>
  <c r="AE366" i="22"/>
  <c r="AE213" i="22"/>
  <c r="AE16" i="22"/>
  <c r="AE112" i="22"/>
  <c r="AE331" i="22"/>
  <c r="AE150" i="22"/>
  <c r="AE229" i="22"/>
  <c r="AE230" i="22"/>
  <c r="AE135" i="22"/>
  <c r="AE218" i="22"/>
  <c r="AE200" i="22"/>
  <c r="AE376" i="22"/>
  <c r="AE241" i="22"/>
  <c r="AE323" i="22"/>
  <c r="AE130" i="22"/>
  <c r="AE104" i="22"/>
  <c r="AE190" i="22"/>
  <c r="AE132" i="22"/>
  <c r="AE227" i="22"/>
  <c r="J339" i="18"/>
  <c r="C339" i="6" s="1"/>
  <c r="I339" i="18"/>
  <c r="B339" i="6" s="1"/>
  <c r="BA339" i="6" s="1"/>
  <c r="D339" i="6" s="1"/>
  <c r="AE46" i="22"/>
  <c r="AE73" i="22"/>
  <c r="AE288" i="22"/>
  <c r="AE179" i="22"/>
  <c r="AE198" i="22"/>
  <c r="AE50" i="22"/>
  <c r="AE56" i="22"/>
  <c r="AE133" i="22"/>
  <c r="AE139" i="22"/>
  <c r="AE316" i="22"/>
  <c r="AE142" i="22"/>
  <c r="AE265" i="22"/>
  <c r="AE373" i="22"/>
  <c r="AE182" i="22"/>
  <c r="AE144" i="22"/>
  <c r="AE128" i="22"/>
  <c r="AE219" i="22"/>
  <c r="AE192" i="22"/>
  <c r="AE302" i="22"/>
  <c r="AE379" i="22"/>
  <c r="AE12" i="23" s="1"/>
  <c r="AE222" i="22"/>
  <c r="AE185" i="22"/>
  <c r="AE74" i="22"/>
  <c r="AE355" i="22"/>
  <c r="AE68" i="22"/>
  <c r="AE318" i="22"/>
  <c r="AE343" i="22"/>
  <c r="AE194" i="22"/>
  <c r="AE195" i="22"/>
  <c r="AE236" i="22"/>
  <c r="AE312" i="22"/>
  <c r="AE183" i="22"/>
  <c r="AE26" i="22"/>
  <c r="AE310" i="22"/>
  <c r="AE332" i="22"/>
  <c r="AE272" i="22"/>
  <c r="AE193" i="22"/>
  <c r="AE24" i="22"/>
  <c r="AE20" i="22"/>
  <c r="AE347" i="22"/>
  <c r="AE363" i="22"/>
  <c r="AE72" i="22"/>
  <c r="AE71" i="22"/>
  <c r="AE37" i="22"/>
  <c r="AE277" i="22"/>
  <c r="AE92" i="22"/>
  <c r="AE281" i="22"/>
  <c r="AE35" i="22"/>
  <c r="AE254" i="22"/>
  <c r="AE162" i="22"/>
  <c r="AE172" i="22"/>
  <c r="AE157" i="22"/>
  <c r="AE295" i="22"/>
  <c r="AE291" i="22"/>
  <c r="AE143" i="22"/>
  <c r="AE290" i="22"/>
  <c r="AE49" i="22"/>
  <c r="AE264" i="22"/>
  <c r="AE250" i="22"/>
  <c r="AE167" i="22"/>
  <c r="AE253" i="22"/>
  <c r="AE17" i="22"/>
  <c r="AE105" i="22"/>
  <c r="AE15" i="22"/>
  <c r="AE269" i="22"/>
  <c r="AE349" i="22"/>
  <c r="AE43" i="22"/>
  <c r="AE31" i="22"/>
  <c r="AE341" i="22"/>
  <c r="AE191" i="22"/>
  <c r="AE124" i="22"/>
  <c r="AE367" i="22"/>
  <c r="AE78" i="22"/>
  <c r="AE32" i="22"/>
  <c r="AE137" i="22"/>
  <c r="AE324" i="22"/>
  <c r="AE96" i="22"/>
  <c r="AE125" i="22"/>
  <c r="AE83" i="22"/>
  <c r="AE340" i="22"/>
  <c r="AE369" i="22"/>
  <c r="AE205" i="22"/>
  <c r="AE328" i="22"/>
  <c r="AE282" i="22"/>
  <c r="AE199" i="22"/>
  <c r="AE102" i="22"/>
  <c r="AE165" i="22"/>
  <c r="AE86" i="22"/>
  <c r="AE170" i="22"/>
  <c r="AE287" i="22"/>
  <c r="AE220" i="22"/>
  <c r="AE160" i="22"/>
  <c r="AE189" i="22"/>
  <c r="AE115" i="22"/>
  <c r="AE297" i="22"/>
  <c r="AE215" i="22"/>
  <c r="AE365" i="22"/>
  <c r="AE67" i="22"/>
  <c r="AE364" i="22"/>
  <c r="AE248" i="22"/>
  <c r="AE311" i="22"/>
  <c r="AE90" i="22"/>
  <c r="AE374" i="22"/>
  <c r="AE204" i="22"/>
  <c r="AE208" i="22"/>
  <c r="AE129" i="22"/>
  <c r="AE256" i="22"/>
  <c r="AE206" i="22"/>
  <c r="AE155" i="22"/>
  <c r="AE30" i="22"/>
  <c r="AE89" i="22"/>
  <c r="AE352" i="22"/>
  <c r="AE27" i="22"/>
  <c r="AE211" i="22"/>
  <c r="AE21" i="22"/>
  <c r="AE40" i="22"/>
  <c r="AE226" i="22"/>
  <c r="AE148" i="22"/>
  <c r="AE70" i="22"/>
  <c r="AE109" i="22"/>
  <c r="AE285" i="22"/>
  <c r="AE235" i="22"/>
  <c r="AE359" i="22"/>
  <c r="AE166" i="22"/>
  <c r="AE197" i="22"/>
  <c r="AE118" i="22"/>
  <c r="AE234" i="22"/>
  <c r="AE319" i="22"/>
  <c r="AE252" i="22"/>
  <c r="AE111" i="22"/>
  <c r="AE313" i="22"/>
  <c r="AE330" i="22"/>
  <c r="AE244" i="22"/>
  <c r="AE196" i="22"/>
  <c r="AE207" i="22"/>
  <c r="AE232" i="22"/>
  <c r="AE322" i="22"/>
  <c r="AE375" i="22"/>
  <c r="AE122" i="22"/>
  <c r="AE39" i="22"/>
  <c r="AE145" i="22"/>
  <c r="AE368" i="22"/>
  <c r="AE289" i="22"/>
  <c r="AE362" i="22"/>
  <c r="AE255" i="22"/>
  <c r="AE188" i="22"/>
  <c r="AE350" i="22"/>
  <c r="AE377" i="22"/>
  <c r="AE202" i="22"/>
  <c r="AE357" i="22"/>
  <c r="AE75" i="22"/>
  <c r="AE284" i="22"/>
  <c r="AE238" i="22"/>
  <c r="AE308" i="22"/>
  <c r="AE309" i="22"/>
  <c r="AE371" i="22"/>
  <c r="AE360" i="22"/>
  <c r="AE212" i="22"/>
  <c r="AE141" i="22"/>
  <c r="AE346" i="22"/>
  <c r="AE337" i="22"/>
  <c r="AE18" i="22"/>
  <c r="AE95" i="22"/>
  <c r="AE175" i="22"/>
  <c r="AE138" i="22"/>
  <c r="AE100" i="22"/>
  <c r="D375" i="20"/>
  <c r="E375" i="20" s="1"/>
  <c r="F375" i="20" s="1"/>
  <c r="AA375" i="20" s="1"/>
  <c r="Z375" i="20" s="1"/>
  <c r="Y375" i="20" s="1"/>
  <c r="D51" i="20"/>
  <c r="E51" i="20" s="1"/>
  <c r="F51" i="20" s="1"/>
  <c r="AA51" i="20" s="1"/>
  <c r="Z51" i="20" s="1"/>
  <c r="Y51" i="20" s="1"/>
  <c r="D318" i="20"/>
  <c r="E318" i="20" s="1"/>
  <c r="F318" i="20" s="1"/>
  <c r="G318" i="20" s="1"/>
  <c r="CB318" i="6" s="1"/>
  <c r="W207" i="20"/>
  <c r="AH27" i="7"/>
  <c r="W244" i="20"/>
  <c r="D173" i="20"/>
  <c r="E173" i="20" s="1"/>
  <c r="F173" i="20" s="1"/>
  <c r="G173" i="20" s="1"/>
  <c r="CB173" i="6" s="1"/>
  <c r="V333" i="20"/>
  <c r="L66" i="19" s="1"/>
  <c r="D259" i="20"/>
  <c r="E259" i="20" s="1"/>
  <c r="F259" i="20" s="1"/>
  <c r="AA259" i="20" s="1"/>
  <c r="Z259" i="20" s="1"/>
  <c r="Y259" i="20" s="1"/>
  <c r="I247" i="18"/>
  <c r="B247" i="6" s="1"/>
  <c r="BA247" i="6" s="1"/>
  <c r="D247" i="6" s="1"/>
  <c r="Q332" i="22"/>
  <c r="Q209" i="22"/>
  <c r="Q320" i="22"/>
  <c r="Q347" i="22"/>
  <c r="Q349" i="22"/>
  <c r="Q295" i="22"/>
  <c r="Q308" i="22"/>
  <c r="Q224" i="22"/>
  <c r="Q265" i="22"/>
  <c r="Q65" i="22"/>
  <c r="Q340" i="22"/>
  <c r="Q375" i="22"/>
  <c r="Q143" i="22"/>
  <c r="Q335" i="22"/>
  <c r="Q89" i="22"/>
  <c r="Q334" i="22"/>
  <c r="Q359" i="22"/>
  <c r="Q222" i="22"/>
  <c r="Q186" i="22"/>
  <c r="Q48" i="22"/>
  <c r="Q62" i="22"/>
  <c r="Q249" i="22"/>
  <c r="Q372" i="22"/>
  <c r="Q169" i="22"/>
  <c r="Q176" i="22"/>
  <c r="Q19" i="22"/>
  <c r="Q302" i="22"/>
  <c r="Q312" i="22"/>
  <c r="Q49" i="22"/>
  <c r="Q357" i="22"/>
  <c r="Q37" i="22"/>
  <c r="Q126" i="22"/>
  <c r="Q267" i="22"/>
  <c r="Q322" i="22"/>
  <c r="Q198" i="22"/>
  <c r="Q173" i="22"/>
  <c r="Q331" i="22"/>
  <c r="Q104" i="22"/>
  <c r="Q105" i="22"/>
  <c r="Q366" i="22"/>
  <c r="Q133" i="22"/>
  <c r="Q306" i="22"/>
  <c r="Q163" i="22"/>
  <c r="Q363" i="22"/>
  <c r="Q294" i="22"/>
  <c r="Q327" i="22"/>
  <c r="Q330" i="22"/>
  <c r="Q205" i="22"/>
  <c r="Q74" i="22"/>
  <c r="Q57" i="22"/>
  <c r="Q193" i="22"/>
  <c r="Q63" i="22"/>
  <c r="Q238" i="22"/>
  <c r="Q189" i="22"/>
  <c r="Q269" i="22"/>
  <c r="Q157" i="22"/>
  <c r="Q83" i="22"/>
  <c r="Q336" i="22"/>
  <c r="I277" i="18"/>
  <c r="B277" i="6" s="1"/>
  <c r="BA277" i="6" s="1"/>
  <c r="D277" i="6" s="1"/>
  <c r="I248" i="18"/>
  <c r="B248" i="6" s="1"/>
  <c r="BA248" i="6" s="1"/>
  <c r="D248" i="6" s="1"/>
  <c r="I23" i="18"/>
  <c r="B23" i="6" s="1"/>
  <c r="BA23" i="6" s="1"/>
  <c r="D23" i="6" s="1"/>
  <c r="J371" i="18"/>
  <c r="C371" i="6" s="1"/>
  <c r="J146" i="18"/>
  <c r="C146" i="6" s="1"/>
  <c r="V149" i="20"/>
  <c r="F66" i="19" s="1"/>
  <c r="AH31" i="7"/>
  <c r="AH28" i="7"/>
  <c r="T379" i="20"/>
  <c r="S379" i="20" s="1"/>
  <c r="R379" i="20" s="1"/>
  <c r="P379" i="20" s="1"/>
  <c r="D40" i="19" s="1"/>
  <c r="AH23" i="7"/>
  <c r="Q259" i="22"/>
  <c r="Q210" i="22"/>
  <c r="Q199" i="22"/>
  <c r="Q95" i="22"/>
  <c r="Q290" i="22"/>
  <c r="Q204" i="22"/>
  <c r="Q339" i="22"/>
  <c r="Q42" i="22"/>
  <c r="Q181" i="22"/>
  <c r="Q234" i="22"/>
  <c r="Q195" i="22"/>
  <c r="Q27" i="22"/>
  <c r="Q100" i="22"/>
  <c r="Q376" i="22"/>
  <c r="Q139" i="22"/>
  <c r="Q281" i="22"/>
  <c r="Q190" i="22"/>
  <c r="Q34" i="22"/>
  <c r="Q261" i="22"/>
  <c r="Q73" i="22"/>
  <c r="Q47" i="22"/>
  <c r="Q39" i="22"/>
  <c r="Q200" i="22"/>
  <c r="Q51" i="22"/>
  <c r="Q364" i="22"/>
  <c r="Q237" i="22"/>
  <c r="Q350" i="22"/>
  <c r="Q128" i="22"/>
  <c r="Q159" i="22"/>
  <c r="Q50" i="22"/>
  <c r="Q279" i="22"/>
  <c r="Q113" i="22"/>
  <c r="I229" i="18"/>
  <c r="B229" i="6" s="1"/>
  <c r="BA229" i="6" s="1"/>
  <c r="D229" i="6" s="1"/>
  <c r="J322" i="18"/>
  <c r="C322" i="6" s="1"/>
  <c r="J233" i="18"/>
  <c r="C233" i="6" s="1"/>
  <c r="I26" i="18"/>
  <c r="B26" i="6" s="1"/>
  <c r="BA26" i="6" s="1"/>
  <c r="D26" i="6" s="1"/>
  <c r="Q313" i="22"/>
  <c r="J165" i="18"/>
  <c r="C165" i="6" s="1"/>
  <c r="I342" i="18"/>
  <c r="B342" i="6" s="1"/>
  <c r="BA342" i="6" s="1"/>
  <c r="D342" i="6" s="1"/>
  <c r="I80" i="18"/>
  <c r="B80" i="6" s="1"/>
  <c r="BA80" i="6" s="1"/>
  <c r="D80" i="6" s="1"/>
  <c r="I260" i="18"/>
  <c r="B260" i="6" s="1"/>
  <c r="BA260" i="6" s="1"/>
  <c r="D260" i="6" s="1"/>
  <c r="J102" i="18"/>
  <c r="C102" i="6" s="1"/>
  <c r="I21" i="18"/>
  <c r="B21" i="6" s="1"/>
  <c r="BA21" i="6" s="1"/>
  <c r="D21" i="6" s="1"/>
  <c r="J73" i="18"/>
  <c r="C73" i="6" s="1"/>
  <c r="J358" i="18"/>
  <c r="C358" i="6" s="1"/>
  <c r="J206" i="18"/>
  <c r="C206" i="6" s="1"/>
  <c r="J200" i="18"/>
  <c r="C200" i="6" s="1"/>
  <c r="J184" i="18"/>
  <c r="C184" i="6" s="1"/>
  <c r="I178" i="18"/>
  <c r="B178" i="6" s="1"/>
  <c r="BA178" i="6" s="1"/>
  <c r="D178" i="6" s="1"/>
  <c r="J85" i="18"/>
  <c r="C85" i="6" s="1"/>
  <c r="I367" i="18"/>
  <c r="B367" i="6" s="1"/>
  <c r="BA367" i="6" s="1"/>
  <c r="D367" i="6" s="1"/>
  <c r="J269" i="18"/>
  <c r="C269" i="6" s="1"/>
  <c r="I289" i="18"/>
  <c r="B289" i="6" s="1"/>
  <c r="BA289" i="6" s="1"/>
  <c r="D289" i="6" s="1"/>
  <c r="J118" i="18"/>
  <c r="C118" i="6" s="1"/>
  <c r="J211" i="18"/>
  <c r="C211" i="6" s="1"/>
  <c r="I196" i="18"/>
  <c r="B196" i="6" s="1"/>
  <c r="BA196" i="6" s="1"/>
  <c r="D196" i="6" s="1"/>
  <c r="J71" i="18"/>
  <c r="C71" i="6" s="1"/>
  <c r="I156" i="18"/>
  <c r="B156" i="6" s="1"/>
  <c r="BA156" i="6" s="1"/>
  <c r="D156" i="6" s="1"/>
  <c r="J368" i="18"/>
  <c r="C368" i="6" s="1"/>
  <c r="I20" i="18"/>
  <c r="B20" i="6" s="1"/>
  <c r="BA20" i="6" s="1"/>
  <c r="D20" i="6" s="1"/>
  <c r="I242" i="18"/>
  <c r="B242" i="6" s="1"/>
  <c r="BA242" i="6" s="1"/>
  <c r="D242" i="6" s="1"/>
  <c r="J56" i="18"/>
  <c r="C56" i="6" s="1"/>
  <c r="J365" i="18"/>
  <c r="C365" i="6" s="1"/>
  <c r="J279" i="18"/>
  <c r="C279" i="6" s="1"/>
  <c r="I49" i="18"/>
  <c r="B49" i="6" s="1"/>
  <c r="BA49" i="6" s="1"/>
  <c r="D49" i="6" s="1"/>
  <c r="J172" i="18"/>
  <c r="C172" i="6" s="1"/>
  <c r="I352" i="18"/>
  <c r="B352" i="6" s="1"/>
  <c r="BA352" i="6" s="1"/>
  <c r="D352" i="6" s="1"/>
  <c r="I238" i="18"/>
  <c r="B238" i="6" s="1"/>
  <c r="BA238" i="6" s="1"/>
  <c r="D238" i="6" s="1"/>
  <c r="J141" i="18"/>
  <c r="C141" i="6" s="1"/>
  <c r="J100" i="18"/>
  <c r="C100" i="6" s="1"/>
  <c r="I218" i="18"/>
  <c r="B218" i="6" s="1"/>
  <c r="BA218" i="6" s="1"/>
  <c r="D218" i="6" s="1"/>
  <c r="I199" i="18"/>
  <c r="B199" i="6" s="1"/>
  <c r="BA199" i="6" s="1"/>
  <c r="D199" i="6" s="1"/>
  <c r="I378" i="18"/>
  <c r="B378" i="6" s="1"/>
  <c r="BA378" i="6" s="1"/>
  <c r="D378" i="6" s="1"/>
  <c r="I246" i="18"/>
  <c r="B246" i="6" s="1"/>
  <c r="BA246" i="6" s="1"/>
  <c r="D246" i="6" s="1"/>
  <c r="I296" i="18"/>
  <c r="B296" i="6" s="1"/>
  <c r="BA296" i="6" s="1"/>
  <c r="D296" i="6" s="1"/>
  <c r="J176" i="18"/>
  <c r="C176" i="6" s="1"/>
  <c r="J48" i="18"/>
  <c r="C48" i="6" s="1"/>
  <c r="J142" i="18"/>
  <c r="C142" i="6" s="1"/>
  <c r="I203" i="18"/>
  <c r="B203" i="6" s="1"/>
  <c r="BA203" i="6" s="1"/>
  <c r="D203" i="6" s="1"/>
  <c r="I294" i="18"/>
  <c r="B294" i="6" s="1"/>
  <c r="BA294" i="6" s="1"/>
  <c r="D294" i="6" s="1"/>
  <c r="J259" i="18"/>
  <c r="C259" i="6" s="1"/>
  <c r="I82" i="18"/>
  <c r="B82" i="6" s="1"/>
  <c r="BA82" i="6" s="1"/>
  <c r="D82" i="6" s="1"/>
  <c r="J42" i="18"/>
  <c r="C42" i="6" s="1"/>
  <c r="I173" i="18"/>
  <c r="B173" i="6" s="1"/>
  <c r="BA173" i="6" s="1"/>
  <c r="D173" i="6" s="1"/>
  <c r="J355" i="18"/>
  <c r="C355" i="6" s="1"/>
  <c r="I257" i="18"/>
  <c r="B257" i="6" s="1"/>
  <c r="BA257" i="6" s="1"/>
  <c r="D257" i="6" s="1"/>
  <c r="AH21" i="7"/>
  <c r="I283" i="18"/>
  <c r="B283" i="6" s="1"/>
  <c r="BA283" i="6" s="1"/>
  <c r="D283" i="6" s="1"/>
  <c r="J270" i="18"/>
  <c r="C270" i="6" s="1"/>
  <c r="I205" i="18"/>
  <c r="B205" i="6" s="1"/>
  <c r="BA205" i="6" s="1"/>
  <c r="D205" i="6" s="1"/>
  <c r="J110" i="18"/>
  <c r="C110" i="6" s="1"/>
  <c r="J92" i="18"/>
  <c r="C92" i="6" s="1"/>
  <c r="I204" i="18"/>
  <c r="B204" i="6" s="1"/>
  <c r="BA204" i="6" s="1"/>
  <c r="D204" i="6" s="1"/>
  <c r="J54" i="18"/>
  <c r="C54" i="6" s="1"/>
  <c r="J285" i="18"/>
  <c r="C285" i="6" s="1"/>
  <c r="J250" i="18"/>
  <c r="C250" i="6" s="1"/>
  <c r="I187" i="18"/>
  <c r="B187" i="6" s="1"/>
  <c r="BA187" i="6" s="1"/>
  <c r="D187" i="6" s="1"/>
  <c r="I255" i="18"/>
  <c r="B255" i="6" s="1"/>
  <c r="BA255" i="6" s="1"/>
  <c r="D255" i="6" s="1"/>
  <c r="I16" i="18"/>
  <c r="B16" i="6" s="1"/>
  <c r="BA16" i="6" s="1"/>
  <c r="D16" i="6" s="1"/>
  <c r="J334" i="18"/>
  <c r="C334" i="6" s="1"/>
  <c r="J169" i="18"/>
  <c r="C169" i="6" s="1"/>
  <c r="J121" i="18"/>
  <c r="C121" i="6" s="1"/>
  <c r="I188" i="18"/>
  <c r="B188" i="6" s="1"/>
  <c r="BA188" i="6" s="1"/>
  <c r="D188" i="6" s="1"/>
  <c r="Q46" i="22"/>
  <c r="Q91" i="22"/>
  <c r="J86" i="18"/>
  <c r="C86" i="6" s="1"/>
  <c r="J174" i="18"/>
  <c r="C174" i="6" s="1"/>
  <c r="J348" i="18"/>
  <c r="C348" i="6" s="1"/>
  <c r="I357" i="18"/>
  <c r="B357" i="6" s="1"/>
  <c r="BA357" i="6" s="1"/>
  <c r="D357" i="6" s="1"/>
  <c r="J191" i="18"/>
  <c r="C191" i="6" s="1"/>
  <c r="I311" i="18"/>
  <c r="B311" i="6" s="1"/>
  <c r="BA311" i="6" s="1"/>
  <c r="D311" i="6" s="1"/>
  <c r="I320" i="18"/>
  <c r="B320" i="6" s="1"/>
  <c r="BA320" i="6" s="1"/>
  <c r="D320" i="6" s="1"/>
  <c r="W150" i="20"/>
  <c r="J265" i="18"/>
  <c r="C265" i="6" s="1"/>
  <c r="J33" i="18"/>
  <c r="C33" i="6" s="1"/>
  <c r="W314" i="20"/>
  <c r="I91" i="18"/>
  <c r="B91" i="6" s="1"/>
  <c r="BA91" i="6" s="1"/>
  <c r="D91" i="6" s="1"/>
  <c r="J304" i="18"/>
  <c r="C304" i="6" s="1"/>
  <c r="J116" i="18"/>
  <c r="C116" i="6" s="1"/>
  <c r="I328" i="18"/>
  <c r="B328" i="6" s="1"/>
  <c r="BA328" i="6" s="1"/>
  <c r="D328" i="6" s="1"/>
  <c r="AH26" i="7"/>
  <c r="W298" i="20"/>
  <c r="I256" i="18"/>
  <c r="B256" i="6" s="1"/>
  <c r="BA256" i="6" s="1"/>
  <c r="D256" i="6" s="1"/>
  <c r="J347" i="18"/>
  <c r="C347" i="6" s="1"/>
  <c r="J72" i="18"/>
  <c r="C72" i="6" s="1"/>
  <c r="I274" i="18"/>
  <c r="B274" i="6" s="1"/>
  <c r="BA274" i="6" s="1"/>
  <c r="D274" i="6" s="1"/>
  <c r="J75" i="18"/>
  <c r="C75" i="6" s="1"/>
  <c r="J369" i="18"/>
  <c r="C369" i="6" s="1"/>
  <c r="I374" i="18"/>
  <c r="B374" i="6" s="1"/>
  <c r="BA374" i="6" s="1"/>
  <c r="D374" i="6" s="1"/>
  <c r="J267" i="18"/>
  <c r="C267" i="6" s="1"/>
  <c r="J38" i="18"/>
  <c r="C38" i="6" s="1"/>
  <c r="I346" i="18"/>
  <c r="B346" i="6" s="1"/>
  <c r="BA346" i="6" s="1"/>
  <c r="D346" i="6" s="1"/>
  <c r="AH29" i="7"/>
  <c r="V180" i="20"/>
  <c r="B180" i="20" s="1"/>
  <c r="J22" i="18"/>
  <c r="C22" i="6" s="1"/>
  <c r="I335" i="18"/>
  <c r="B335" i="6" s="1"/>
  <c r="BA335" i="6" s="1"/>
  <c r="D335" i="6" s="1"/>
  <c r="J273" i="18"/>
  <c r="C273" i="6" s="1"/>
  <c r="J308" i="18"/>
  <c r="C308" i="6" s="1"/>
  <c r="J27" i="18"/>
  <c r="C27" i="6" s="1"/>
  <c r="I101" i="18"/>
  <c r="B101" i="6" s="1"/>
  <c r="BA101" i="6" s="1"/>
  <c r="D101" i="6" s="1"/>
  <c r="I76" i="18"/>
  <c r="B76" i="6" s="1"/>
  <c r="BA76" i="6" s="1"/>
  <c r="D76" i="6" s="1"/>
  <c r="J131" i="18"/>
  <c r="C131" i="6" s="1"/>
  <c r="I140" i="18"/>
  <c r="B140" i="6" s="1"/>
  <c r="BA140" i="6" s="1"/>
  <c r="D140" i="6" s="1"/>
  <c r="J44" i="18"/>
  <c r="C44" i="6" s="1"/>
  <c r="D35" i="20"/>
  <c r="E35" i="20" s="1"/>
  <c r="F35" i="20" s="1"/>
  <c r="G35" i="20" s="1"/>
  <c r="CB35" i="6" s="1"/>
  <c r="I151" i="18"/>
  <c r="B151" i="6" s="1"/>
  <c r="BA151" i="6" s="1"/>
  <c r="D151" i="6" s="1"/>
  <c r="J254" i="18"/>
  <c r="C254" i="6" s="1"/>
  <c r="J32" i="18"/>
  <c r="C32" i="6" s="1"/>
  <c r="J148" i="18"/>
  <c r="C148" i="6" s="1"/>
  <c r="I81" i="18"/>
  <c r="B81" i="6" s="1"/>
  <c r="BA81" i="6" s="1"/>
  <c r="D81" i="6" s="1"/>
  <c r="J338" i="18"/>
  <c r="C338" i="6" s="1"/>
  <c r="I325" i="18"/>
  <c r="B325" i="6" s="1"/>
  <c r="BA325" i="6" s="1"/>
  <c r="D325" i="6" s="1"/>
  <c r="D277" i="20"/>
  <c r="E277" i="20" s="1"/>
  <c r="F277" i="20" s="1"/>
  <c r="G277" i="20" s="1"/>
  <c r="CB277" i="6" s="1"/>
  <c r="W236" i="20"/>
  <c r="D17" i="20"/>
  <c r="E17" i="20" s="1"/>
  <c r="F17" i="20" s="1"/>
  <c r="G17" i="20" s="1"/>
  <c r="CB17" i="6" s="1"/>
  <c r="D232" i="20"/>
  <c r="E232" i="20" s="1"/>
  <c r="F232" i="20" s="1"/>
  <c r="AA232" i="20" s="1"/>
  <c r="Z232" i="20" s="1"/>
  <c r="Y232" i="20" s="1"/>
  <c r="W98" i="20"/>
  <c r="D292" i="20"/>
  <c r="E292" i="20" s="1"/>
  <c r="F292" i="20" s="1"/>
  <c r="AA292" i="20" s="1"/>
  <c r="Z292" i="20" s="1"/>
  <c r="Y292" i="20" s="1"/>
  <c r="W39" i="20"/>
  <c r="D224" i="20"/>
  <c r="E224" i="20" s="1"/>
  <c r="F224" i="20" s="1"/>
  <c r="G224" i="20" s="1"/>
  <c r="CB224" i="6" s="1"/>
  <c r="W69" i="20"/>
  <c r="W54" i="20"/>
  <c r="D225" i="20"/>
  <c r="E225" i="20" s="1"/>
  <c r="F225" i="20" s="1"/>
  <c r="AA225" i="20" s="1"/>
  <c r="Z225" i="20" s="1"/>
  <c r="Y225" i="20" s="1"/>
  <c r="W283" i="20"/>
  <c r="D284" i="20"/>
  <c r="E284" i="20" s="1"/>
  <c r="F284" i="20" s="1"/>
  <c r="G284" i="20" s="1"/>
  <c r="CB284" i="6" s="1"/>
  <c r="W320" i="20"/>
  <c r="I36" i="18"/>
  <c r="B36" i="6" s="1"/>
  <c r="BA36" i="6" s="1"/>
  <c r="D36" i="6" s="1"/>
  <c r="W361" i="20"/>
  <c r="D268" i="20"/>
  <c r="E268" i="20" s="1"/>
  <c r="F268" i="20" s="1"/>
  <c r="H268" i="20" s="1"/>
  <c r="W47" i="20"/>
  <c r="W187" i="20"/>
  <c r="D339" i="20"/>
  <c r="E339" i="20" s="1"/>
  <c r="F339" i="20" s="1"/>
  <c r="H339" i="20" s="1"/>
  <c r="D169" i="20"/>
  <c r="E169" i="20" s="1"/>
  <c r="F169" i="20" s="1"/>
  <c r="G169" i="20" s="1"/>
  <c r="CB169" i="6" s="1"/>
  <c r="W158" i="20"/>
  <c r="W281" i="20"/>
  <c r="D247" i="20"/>
  <c r="E247" i="20" s="1"/>
  <c r="F247" i="20" s="1"/>
  <c r="G247" i="20" s="1"/>
  <c r="CB247" i="6" s="1"/>
  <c r="D358" i="20"/>
  <c r="E358" i="20" s="1"/>
  <c r="F358" i="20" s="1"/>
  <c r="G358" i="20" s="1"/>
  <c r="CB358" i="6" s="1"/>
  <c r="W182" i="20"/>
  <c r="J219" i="18"/>
  <c r="C219" i="6" s="1"/>
  <c r="J96" i="18"/>
  <c r="C96" i="6" s="1"/>
  <c r="J343" i="18"/>
  <c r="C343" i="6" s="1"/>
  <c r="D303" i="20"/>
  <c r="E303" i="20" s="1"/>
  <c r="F303" i="20" s="1"/>
  <c r="G303" i="20" s="1"/>
  <c r="CB303" i="6" s="1"/>
  <c r="W305" i="20"/>
  <c r="W198" i="20"/>
  <c r="D34" i="20"/>
  <c r="E34" i="20" s="1"/>
  <c r="F34" i="20" s="1"/>
  <c r="G34" i="20" s="1"/>
  <c r="CB34" i="6" s="1"/>
  <c r="J161" i="18"/>
  <c r="C161" i="6" s="1"/>
  <c r="J43" i="18"/>
  <c r="C43" i="6" s="1"/>
  <c r="I362" i="18"/>
  <c r="B362" i="6" s="1"/>
  <c r="BA362" i="6" s="1"/>
  <c r="D362" i="6" s="1"/>
  <c r="D107" i="20"/>
  <c r="E107" i="20" s="1"/>
  <c r="F107" i="20" s="1"/>
  <c r="AA107" i="20" s="1"/>
  <c r="Z107" i="20" s="1"/>
  <c r="Y107" i="20" s="1"/>
  <c r="D211" i="20"/>
  <c r="E211" i="20" s="1"/>
  <c r="F211" i="20" s="1"/>
  <c r="G211" i="20" s="1"/>
  <c r="CB211" i="6" s="1"/>
  <c r="W106" i="20"/>
  <c r="D237" i="20"/>
  <c r="E237" i="20" s="1"/>
  <c r="F237" i="20" s="1"/>
  <c r="G237" i="20" s="1"/>
  <c r="CB237" i="6" s="1"/>
  <c r="W20" i="20"/>
  <c r="W179" i="20"/>
  <c r="W78" i="20"/>
  <c r="D84" i="20"/>
  <c r="E84" i="20" s="1"/>
  <c r="F84" i="20" s="1"/>
  <c r="G84" i="20" s="1"/>
  <c r="CB84" i="6" s="1"/>
  <c r="D297" i="20"/>
  <c r="E297" i="20" s="1"/>
  <c r="F297" i="20" s="1"/>
  <c r="H297" i="20" s="1"/>
  <c r="W324" i="20"/>
  <c r="D57" i="20"/>
  <c r="E57" i="20" s="1"/>
  <c r="F57" i="20" s="1"/>
  <c r="AA57" i="20" s="1"/>
  <c r="Z57" i="20" s="1"/>
  <c r="Y57" i="20" s="1"/>
  <c r="W331" i="20"/>
  <c r="D328" i="20"/>
  <c r="E328" i="20" s="1"/>
  <c r="F328" i="20" s="1"/>
  <c r="G328" i="20" s="1"/>
  <c r="CB328" i="6" s="1"/>
  <c r="W251" i="20"/>
  <c r="D23" i="20"/>
  <c r="E23" i="20" s="1"/>
  <c r="F23" i="20" s="1"/>
  <c r="AA23" i="20" s="1"/>
  <c r="Z23" i="20" s="1"/>
  <c r="Y23" i="20" s="1"/>
  <c r="W348" i="20"/>
  <c r="W79" i="20"/>
  <c r="J164" i="18"/>
  <c r="C164" i="6" s="1"/>
  <c r="J160" i="18"/>
  <c r="C160" i="6" s="1"/>
  <c r="J87" i="18"/>
  <c r="C87" i="6" s="1"/>
  <c r="I183" i="18"/>
  <c r="B183" i="6" s="1"/>
  <c r="BA183" i="6" s="1"/>
  <c r="D183" i="6" s="1"/>
  <c r="I282" i="18"/>
  <c r="B282" i="6" s="1"/>
  <c r="BA282" i="6" s="1"/>
  <c r="D282" i="6" s="1"/>
  <c r="I143" i="18"/>
  <c r="B143" i="6" s="1"/>
  <c r="BA143" i="6" s="1"/>
  <c r="D143" i="6" s="1"/>
  <c r="D239" i="20"/>
  <c r="E239" i="20" s="1"/>
  <c r="F239" i="20" s="1"/>
  <c r="AA239" i="20" s="1"/>
  <c r="Z239" i="20" s="1"/>
  <c r="Y239" i="20" s="1"/>
  <c r="D217" i="20"/>
  <c r="E217" i="20" s="1"/>
  <c r="F217" i="20" s="1"/>
  <c r="G217" i="20" s="1"/>
  <c r="CB217" i="6" s="1"/>
  <c r="J310" i="18"/>
  <c r="C310" i="6" s="1"/>
  <c r="J170" i="18"/>
  <c r="C170" i="6" s="1"/>
  <c r="J318" i="18"/>
  <c r="C318" i="6" s="1"/>
  <c r="J276" i="18"/>
  <c r="C276" i="6" s="1"/>
  <c r="J209" i="18"/>
  <c r="C209" i="6" s="1"/>
  <c r="D26" i="20"/>
  <c r="E26" i="20" s="1"/>
  <c r="F26" i="20" s="1"/>
  <c r="D249" i="20"/>
  <c r="E249" i="20" s="1"/>
  <c r="F249" i="20" s="1"/>
  <c r="G249" i="20" s="1"/>
  <c r="CB249" i="6" s="1"/>
  <c r="I30" i="18"/>
  <c r="B30" i="6" s="1"/>
  <c r="BA30" i="6" s="1"/>
  <c r="D30" i="6" s="1"/>
  <c r="I353" i="18"/>
  <c r="B353" i="6" s="1"/>
  <c r="BA353" i="6" s="1"/>
  <c r="D353" i="6" s="1"/>
  <c r="I252" i="18"/>
  <c r="B252" i="6" s="1"/>
  <c r="BA252" i="6" s="1"/>
  <c r="D252" i="6" s="1"/>
  <c r="I197" i="18"/>
  <c r="B197" i="6" s="1"/>
  <c r="BA197" i="6" s="1"/>
  <c r="D197" i="6" s="1"/>
  <c r="D220" i="20"/>
  <c r="E220" i="20" s="1"/>
  <c r="F220" i="20" s="1"/>
  <c r="AA220" i="20" s="1"/>
  <c r="Z220" i="20" s="1"/>
  <c r="Y220" i="20" s="1"/>
  <c r="D125" i="20"/>
  <c r="E125" i="20" s="1"/>
  <c r="F125" i="20" s="1"/>
  <c r="G125" i="20" s="1"/>
  <c r="CB125" i="6" s="1"/>
  <c r="D45" i="20"/>
  <c r="E45" i="20" s="1"/>
  <c r="F45" i="20" s="1"/>
  <c r="H45" i="20" s="1"/>
  <c r="W255" i="20"/>
  <c r="W218" i="20"/>
  <c r="D352" i="20"/>
  <c r="E352" i="20" s="1"/>
  <c r="F352" i="20" s="1"/>
  <c r="AA352" i="20" s="1"/>
  <c r="Z352" i="20" s="1"/>
  <c r="Y352" i="20" s="1"/>
  <c r="W30" i="20"/>
  <c r="D240" i="20"/>
  <c r="E240" i="20" s="1"/>
  <c r="F240" i="20" s="1"/>
  <c r="G240" i="20" s="1"/>
  <c r="CB240" i="6" s="1"/>
  <c r="W285" i="20"/>
  <c r="D344" i="20"/>
  <c r="E344" i="20" s="1"/>
  <c r="F344" i="20" s="1"/>
  <c r="AA344" i="20" s="1"/>
  <c r="Z344" i="20" s="1"/>
  <c r="Y344" i="20" s="1"/>
  <c r="D327" i="20"/>
  <c r="E327" i="20" s="1"/>
  <c r="F327" i="20" s="1"/>
  <c r="G327" i="20" s="1"/>
  <c r="CB327" i="6" s="1"/>
  <c r="I298" i="18"/>
  <c r="B298" i="6" s="1"/>
  <c r="BA298" i="6" s="1"/>
  <c r="D298" i="6" s="1"/>
  <c r="J356" i="18"/>
  <c r="C356" i="6" s="1"/>
  <c r="J63" i="18"/>
  <c r="C63" i="6" s="1"/>
  <c r="I350" i="18"/>
  <c r="B350" i="6" s="1"/>
  <c r="BA350" i="6" s="1"/>
  <c r="D350" i="6" s="1"/>
  <c r="I144" i="18"/>
  <c r="B144" i="6" s="1"/>
  <c r="BA144" i="6" s="1"/>
  <c r="D144" i="6" s="1"/>
  <c r="J341" i="18"/>
  <c r="C341" i="6" s="1"/>
  <c r="I62" i="18"/>
  <c r="B62" i="6" s="1"/>
  <c r="BA62" i="6" s="1"/>
  <c r="D62" i="6" s="1"/>
  <c r="J201" i="18"/>
  <c r="C201" i="6" s="1"/>
  <c r="I177" i="18"/>
  <c r="B177" i="6" s="1"/>
  <c r="BA177" i="6" s="1"/>
  <c r="D177" i="6" s="1"/>
  <c r="J293" i="18"/>
  <c r="C293" i="6" s="1"/>
  <c r="I123" i="18"/>
  <c r="B123" i="6" s="1"/>
  <c r="BA123" i="6" s="1"/>
  <c r="D123" i="6" s="1"/>
  <c r="J326" i="18"/>
  <c r="C326" i="6" s="1"/>
  <c r="I230" i="18"/>
  <c r="B230" i="6" s="1"/>
  <c r="BA230" i="6" s="1"/>
  <c r="D230" i="6" s="1"/>
  <c r="I108" i="18"/>
  <c r="B108" i="6" s="1"/>
  <c r="BA108" i="6" s="1"/>
  <c r="D108" i="6" s="1"/>
  <c r="I18" i="18"/>
  <c r="B18" i="6" s="1"/>
  <c r="BA18" i="6" s="1"/>
  <c r="D18" i="6" s="1"/>
  <c r="I359" i="18"/>
  <c r="B359" i="6" s="1"/>
  <c r="BA359" i="6" s="1"/>
  <c r="D359" i="6" s="1"/>
  <c r="J264" i="18"/>
  <c r="C264" i="6" s="1"/>
  <c r="J31" i="18"/>
  <c r="C31" i="6" s="1"/>
  <c r="J93" i="18"/>
  <c r="C93" i="6" s="1"/>
  <c r="J234" i="18"/>
  <c r="C234" i="6" s="1"/>
  <c r="J323" i="18"/>
  <c r="C323" i="6" s="1"/>
  <c r="I37" i="18"/>
  <c r="B37" i="6" s="1"/>
  <c r="BA37" i="6" s="1"/>
  <c r="D37" i="6" s="1"/>
  <c r="I19" i="18"/>
  <c r="B19" i="6" s="1"/>
  <c r="BA19" i="6" s="1"/>
  <c r="D19" i="6" s="1"/>
  <c r="J78" i="18"/>
  <c r="C78" i="6" s="1"/>
  <c r="J185" i="18"/>
  <c r="C185" i="6" s="1"/>
  <c r="J59" i="18"/>
  <c r="C59" i="6" s="1"/>
  <c r="J268" i="18"/>
  <c r="C268" i="6" s="1"/>
  <c r="Q220" i="22"/>
  <c r="Q64" i="22"/>
  <c r="Q352" i="22"/>
  <c r="D82" i="20"/>
  <c r="E82" i="20" s="1"/>
  <c r="F82" i="20" s="1"/>
  <c r="AA82" i="20" s="1"/>
  <c r="Z82" i="20" s="1"/>
  <c r="Y82" i="20" s="1"/>
  <c r="I40" i="18"/>
  <c r="B40" i="6" s="1"/>
  <c r="BA40" i="6" s="1"/>
  <c r="D40" i="6" s="1"/>
  <c r="J95" i="18"/>
  <c r="C95" i="6" s="1"/>
  <c r="J39" i="18"/>
  <c r="C39" i="6" s="1"/>
  <c r="I261" i="18"/>
  <c r="B261" i="6" s="1"/>
  <c r="BA261" i="6" s="1"/>
  <c r="D261" i="6" s="1"/>
  <c r="I309" i="18"/>
  <c r="B309" i="6" s="1"/>
  <c r="BA309" i="6" s="1"/>
  <c r="J232" i="18"/>
  <c r="C232" i="6" s="1"/>
  <c r="J330" i="18"/>
  <c r="C330" i="6" s="1"/>
  <c r="J332" i="18"/>
  <c r="C332" i="6" s="1"/>
  <c r="I337" i="18"/>
  <c r="B337" i="6" s="1"/>
  <c r="BA337" i="6" s="1"/>
  <c r="D337" i="6" s="1"/>
  <c r="I189" i="18"/>
  <c r="B189" i="6" s="1"/>
  <c r="BA189" i="6" s="1"/>
  <c r="D189" i="6" s="1"/>
  <c r="I190" i="18"/>
  <c r="B190" i="6" s="1"/>
  <c r="BA190" i="6" s="1"/>
  <c r="D190" i="6" s="1"/>
  <c r="I281" i="18"/>
  <c r="B281" i="6" s="1"/>
  <c r="BA281" i="6" s="1"/>
  <c r="D281" i="6" s="1"/>
  <c r="W109" i="20"/>
  <c r="W294" i="20"/>
  <c r="W164" i="20"/>
  <c r="D208" i="20"/>
  <c r="E208" i="20" s="1"/>
  <c r="F208" i="20" s="1"/>
  <c r="AA208" i="20" s="1"/>
  <c r="Z208" i="20" s="1"/>
  <c r="Y208" i="20" s="1"/>
  <c r="D313" i="20"/>
  <c r="E313" i="20" s="1"/>
  <c r="F313" i="20" s="1"/>
  <c r="AA313" i="20" s="1"/>
  <c r="Z313" i="20" s="1"/>
  <c r="Y313" i="20" s="1"/>
  <c r="W221" i="20"/>
  <c r="I77" i="18"/>
  <c r="B77" i="6" s="1"/>
  <c r="BA77" i="6" s="1"/>
  <c r="D77" i="6" s="1"/>
  <c r="W370" i="20"/>
  <c r="W235" i="20"/>
  <c r="W321" i="20"/>
  <c r="W223" i="20"/>
  <c r="D136" i="20"/>
  <c r="E136" i="20" s="1"/>
  <c r="F136" i="20" s="1"/>
  <c r="AA136" i="20" s="1"/>
  <c r="Z136" i="20" s="1"/>
  <c r="Y136" i="20" s="1"/>
  <c r="D186" i="20"/>
  <c r="E186" i="20" s="1"/>
  <c r="F186" i="20" s="1"/>
  <c r="AA186" i="20" s="1"/>
  <c r="Z186" i="20" s="1"/>
  <c r="Y186" i="20" s="1"/>
  <c r="D143" i="20"/>
  <c r="E143" i="20" s="1"/>
  <c r="F143" i="20" s="1"/>
  <c r="AA143" i="20" s="1"/>
  <c r="Z143" i="20" s="1"/>
  <c r="Y143" i="20" s="1"/>
  <c r="W263" i="20"/>
  <c r="W356" i="20"/>
  <c r="W144" i="20"/>
  <c r="D93" i="20"/>
  <c r="E93" i="20" s="1"/>
  <c r="F93" i="20" s="1"/>
  <c r="G93" i="20" s="1"/>
  <c r="CB93" i="6" s="1"/>
  <c r="D36" i="20"/>
  <c r="E36" i="20" s="1"/>
  <c r="F36" i="20" s="1"/>
  <c r="H36" i="20" s="1"/>
  <c r="D42" i="20"/>
  <c r="E42" i="20" s="1"/>
  <c r="F42" i="20" s="1"/>
  <c r="AA42" i="20" s="1"/>
  <c r="Z42" i="20" s="1"/>
  <c r="Y42" i="20" s="1"/>
  <c r="D74" i="20"/>
  <c r="E74" i="20" s="1"/>
  <c r="F74" i="20" s="1"/>
  <c r="H74" i="20" s="1"/>
  <c r="J74" i="20" s="1"/>
  <c r="W104" i="20"/>
  <c r="W189" i="20"/>
  <c r="J66" i="19"/>
  <c r="I34" i="18"/>
  <c r="B34" i="6" s="1"/>
  <c r="BA34" i="6" s="1"/>
  <c r="D34" i="6" s="1"/>
  <c r="I306" i="18"/>
  <c r="B306" i="6" s="1"/>
  <c r="BA306" i="6" s="1"/>
  <c r="D306" i="6" s="1"/>
  <c r="I314" i="18"/>
  <c r="B314" i="6" s="1"/>
  <c r="BA314" i="6" s="1"/>
  <c r="D314" i="6" s="1"/>
  <c r="J262" i="18"/>
  <c r="C262" i="6" s="1"/>
  <c r="J55" i="18"/>
  <c r="C55" i="6" s="1"/>
  <c r="I240" i="18"/>
  <c r="B240" i="6" s="1"/>
  <c r="BA240" i="6" s="1"/>
  <c r="D240" i="6" s="1"/>
  <c r="I57" i="18"/>
  <c r="B57" i="6" s="1"/>
  <c r="BA57" i="6" s="1"/>
  <c r="D57" i="6" s="1"/>
  <c r="J66" i="18"/>
  <c r="C66" i="6" s="1"/>
  <c r="W145" i="20"/>
  <c r="W329" i="20"/>
  <c r="W75" i="20"/>
  <c r="D366" i="20"/>
  <c r="E366" i="20" s="1"/>
  <c r="F366" i="20" s="1"/>
  <c r="H366" i="20" s="1"/>
  <c r="W195" i="20"/>
  <c r="W340" i="20"/>
  <c r="D278" i="20"/>
  <c r="E278" i="20" s="1"/>
  <c r="F278" i="20" s="1"/>
  <c r="G278" i="20" s="1"/>
  <c r="CB278" i="6" s="1"/>
  <c r="D135" i="20"/>
  <c r="E135" i="20" s="1"/>
  <c r="F135" i="20" s="1"/>
  <c r="H135" i="20" s="1"/>
  <c r="I135" i="20" s="1"/>
  <c r="W216" i="20"/>
  <c r="D270" i="20"/>
  <c r="E270" i="20" s="1"/>
  <c r="F270" i="20" s="1"/>
  <c r="G270" i="20" s="1"/>
  <c r="CB270" i="6" s="1"/>
  <c r="D250" i="20"/>
  <c r="E250" i="20" s="1"/>
  <c r="F250" i="20" s="1"/>
  <c r="G250" i="20" s="1"/>
  <c r="CB250" i="6" s="1"/>
  <c r="D131" i="20"/>
  <c r="E131" i="20" s="1"/>
  <c r="F131" i="20" s="1"/>
  <c r="AA131" i="20" s="1"/>
  <c r="Z131" i="20" s="1"/>
  <c r="Y131" i="20" s="1"/>
  <c r="W121" i="20"/>
  <c r="W133" i="20"/>
  <c r="D347" i="20"/>
  <c r="E347" i="20" s="1"/>
  <c r="F347" i="20" s="1"/>
  <c r="G347" i="20" s="1"/>
  <c r="CB347" i="6" s="1"/>
  <c r="D162" i="20"/>
  <c r="E162" i="20" s="1"/>
  <c r="F162" i="20" s="1"/>
  <c r="G162" i="20" s="1"/>
  <c r="CB162" i="6" s="1"/>
  <c r="W38" i="20"/>
  <c r="D258" i="20"/>
  <c r="E258" i="20" s="1"/>
  <c r="F258" i="20" s="1"/>
  <c r="H258" i="20" s="1"/>
  <c r="I258" i="20" s="1"/>
  <c r="D76" i="20"/>
  <c r="E76" i="20" s="1"/>
  <c r="F76" i="20" s="1"/>
  <c r="AA76" i="20" s="1"/>
  <c r="Z76" i="20" s="1"/>
  <c r="Y76" i="20" s="1"/>
  <c r="D161" i="20"/>
  <c r="E161" i="20" s="1"/>
  <c r="F161" i="20" s="1"/>
  <c r="G161" i="20" s="1"/>
  <c r="CB161" i="6" s="1"/>
  <c r="D49" i="20"/>
  <c r="E49" i="20" s="1"/>
  <c r="F49" i="20" s="1"/>
  <c r="G49" i="20" s="1"/>
  <c r="CB49" i="6" s="1"/>
  <c r="D160" i="20"/>
  <c r="E160" i="20" s="1"/>
  <c r="F160" i="20" s="1"/>
  <c r="G160" i="20" s="1"/>
  <c r="CB160" i="6" s="1"/>
  <c r="J163" i="18"/>
  <c r="C163" i="6" s="1"/>
  <c r="I361" i="18"/>
  <c r="B361" i="6" s="1"/>
  <c r="BA361" i="6" s="1"/>
  <c r="D361" i="6" s="1"/>
  <c r="I216" i="18"/>
  <c r="B216" i="6" s="1"/>
  <c r="BA216" i="6" s="1"/>
  <c r="D216" i="6" s="1"/>
  <c r="I278" i="18"/>
  <c r="B278" i="6" s="1"/>
  <c r="BA278" i="6" s="1"/>
  <c r="D278" i="6" s="1"/>
  <c r="D41" i="20"/>
  <c r="E41" i="20" s="1"/>
  <c r="F41" i="20" s="1"/>
  <c r="AA41" i="20" s="1"/>
  <c r="Z41" i="20" s="1"/>
  <c r="Y41" i="20" s="1"/>
  <c r="W365" i="20"/>
  <c r="W357" i="20"/>
  <c r="W372" i="20"/>
  <c r="D354" i="20"/>
  <c r="E354" i="20" s="1"/>
  <c r="F354" i="20" s="1"/>
  <c r="G354" i="20" s="1"/>
  <c r="CB354" i="6" s="1"/>
  <c r="W353" i="20"/>
  <c r="D46" i="20"/>
  <c r="E46" i="20" s="1"/>
  <c r="F46" i="20" s="1"/>
  <c r="G46" i="20" s="1"/>
  <c r="CB46" i="6" s="1"/>
  <c r="D226" i="20"/>
  <c r="E226" i="20" s="1"/>
  <c r="F226" i="20" s="1"/>
  <c r="G226" i="20" s="1"/>
  <c r="CB226" i="6" s="1"/>
  <c r="D22" i="20"/>
  <c r="E22" i="20" s="1"/>
  <c r="F22" i="20" s="1"/>
  <c r="H22" i="20" s="1"/>
  <c r="W233" i="20"/>
  <c r="D174" i="20"/>
  <c r="E174" i="20" s="1"/>
  <c r="F174" i="20" s="1"/>
  <c r="G174" i="20" s="1"/>
  <c r="CB174" i="6" s="1"/>
  <c r="W209" i="20"/>
  <c r="D311" i="20"/>
  <c r="E311" i="20" s="1"/>
  <c r="F311" i="20" s="1"/>
  <c r="AA311" i="20" s="1"/>
  <c r="Z311" i="20" s="1"/>
  <c r="Y311" i="20" s="1"/>
  <c r="D152" i="20"/>
  <c r="E152" i="20" s="1"/>
  <c r="F152" i="20" s="1"/>
  <c r="G152" i="20" s="1"/>
  <c r="CB152" i="6" s="1"/>
  <c r="D28" i="20"/>
  <c r="E28" i="20" s="1"/>
  <c r="F28" i="20" s="1"/>
  <c r="AA28" i="20" s="1"/>
  <c r="Z28" i="20" s="1"/>
  <c r="Y28" i="20" s="1"/>
  <c r="D68" i="20"/>
  <c r="E68" i="20" s="1"/>
  <c r="F68" i="20" s="1"/>
  <c r="AA68" i="20" s="1"/>
  <c r="Z68" i="20" s="1"/>
  <c r="Y68" i="20" s="1"/>
  <c r="D362" i="20"/>
  <c r="E362" i="20" s="1"/>
  <c r="F362" i="20" s="1"/>
  <c r="G362" i="20" s="1"/>
  <c r="CB362" i="6" s="1"/>
  <c r="D129" i="20"/>
  <c r="E129" i="20" s="1"/>
  <c r="F129" i="20" s="1"/>
  <c r="H129" i="20" s="1"/>
  <c r="W101" i="20"/>
  <c r="D351" i="20"/>
  <c r="E351" i="20" s="1"/>
  <c r="F351" i="20" s="1"/>
  <c r="AA351" i="20" s="1"/>
  <c r="Z351" i="20" s="1"/>
  <c r="Y351" i="20" s="1"/>
  <c r="W304" i="20"/>
  <c r="D55" i="20"/>
  <c r="E55" i="20" s="1"/>
  <c r="F55" i="20" s="1"/>
  <c r="G55" i="20" s="1"/>
  <c r="CB55" i="6" s="1"/>
  <c r="W55" i="20"/>
  <c r="W94" i="20"/>
  <c r="D94" i="20"/>
  <c r="E94" i="20" s="1"/>
  <c r="F94" i="20" s="1"/>
  <c r="G94" i="20" s="1"/>
  <c r="CB94" i="6" s="1"/>
  <c r="W214" i="20"/>
  <c r="D214" i="20"/>
  <c r="E214" i="20" s="1"/>
  <c r="F214" i="20" s="1"/>
  <c r="G214" i="20" s="1"/>
  <c r="CB214" i="6" s="1"/>
  <c r="W92" i="20"/>
  <c r="D92" i="20"/>
  <c r="E92" i="20" s="1"/>
  <c r="F92" i="20" s="1"/>
  <c r="H92" i="20" s="1"/>
  <c r="W178" i="20"/>
  <c r="D178" i="20"/>
  <c r="E178" i="20" s="1"/>
  <c r="F178" i="20" s="1"/>
  <c r="H178" i="20" s="1"/>
  <c r="D213" i="20"/>
  <c r="E213" i="20" s="1"/>
  <c r="F213" i="20" s="1"/>
  <c r="H213" i="20" s="1"/>
  <c r="W213" i="20"/>
  <c r="D176" i="20"/>
  <c r="E176" i="20" s="1"/>
  <c r="F176" i="20" s="1"/>
  <c r="H176" i="20" s="1"/>
  <c r="W176" i="20"/>
  <c r="W231" i="20"/>
  <c r="D231" i="20"/>
  <c r="E231" i="20" s="1"/>
  <c r="F231" i="20" s="1"/>
  <c r="H231" i="20" s="1"/>
  <c r="W183" i="20"/>
  <c r="D183" i="20"/>
  <c r="E183" i="20" s="1"/>
  <c r="F183" i="20" s="1"/>
  <c r="H183" i="20" s="1"/>
  <c r="W215" i="20"/>
  <c r="D215" i="20"/>
  <c r="E215" i="20" s="1"/>
  <c r="F215" i="20" s="1"/>
  <c r="H215" i="20" s="1"/>
  <c r="D322" i="20"/>
  <c r="E322" i="20" s="1"/>
  <c r="F322" i="20" s="1"/>
  <c r="AA322" i="20" s="1"/>
  <c r="Z322" i="20" s="1"/>
  <c r="Y322" i="20" s="1"/>
  <c r="W322" i="20"/>
  <c r="D199" i="20"/>
  <c r="E199" i="20" s="1"/>
  <c r="F199" i="20" s="1"/>
  <c r="H199" i="20" s="1"/>
  <c r="W199" i="20"/>
  <c r="D260" i="20"/>
  <c r="E260" i="20" s="1"/>
  <c r="F260" i="20" s="1"/>
  <c r="W260" i="20"/>
  <c r="D24" i="20"/>
  <c r="E24" i="20" s="1"/>
  <c r="F24" i="20" s="1"/>
  <c r="G24" i="20" s="1"/>
  <c r="CB24" i="6" s="1"/>
  <c r="W24" i="20"/>
  <c r="D117" i="20"/>
  <c r="E117" i="20" s="1"/>
  <c r="F117" i="20" s="1"/>
  <c r="G117" i="20" s="1"/>
  <c r="CB117" i="6" s="1"/>
  <c r="W117" i="20"/>
  <c r="W286" i="20"/>
  <c r="D286" i="20"/>
  <c r="E286" i="20" s="1"/>
  <c r="F286" i="20" s="1"/>
  <c r="AA286" i="20" s="1"/>
  <c r="Z286" i="20" s="1"/>
  <c r="Y286" i="20" s="1"/>
  <c r="W141" i="20"/>
  <c r="D141" i="20"/>
  <c r="E141" i="20" s="1"/>
  <c r="F141" i="20" s="1"/>
  <c r="AA141" i="20" s="1"/>
  <c r="Z141" i="20" s="1"/>
  <c r="Y141" i="20" s="1"/>
  <c r="W100" i="20"/>
  <c r="D100" i="20"/>
  <c r="E100" i="20" s="1"/>
  <c r="F100" i="20" s="1"/>
  <c r="G100" i="20" s="1"/>
  <c r="CB100" i="6" s="1"/>
  <c r="D102" i="20"/>
  <c r="E102" i="20" s="1"/>
  <c r="F102" i="20" s="1"/>
  <c r="AA102" i="20" s="1"/>
  <c r="Z102" i="20" s="1"/>
  <c r="Y102" i="20" s="1"/>
  <c r="W102" i="20"/>
  <c r="W115" i="20"/>
  <c r="D115" i="20"/>
  <c r="E115" i="20" s="1"/>
  <c r="F115" i="20" s="1"/>
  <c r="AA115" i="20" s="1"/>
  <c r="Z115" i="20" s="1"/>
  <c r="Y115" i="20" s="1"/>
  <c r="D70" i="20"/>
  <c r="E70" i="20" s="1"/>
  <c r="F70" i="20" s="1"/>
  <c r="G70" i="20" s="1"/>
  <c r="CB70" i="6" s="1"/>
  <c r="W70" i="20"/>
  <c r="W175" i="20"/>
  <c r="D175" i="20"/>
  <c r="E175" i="20" s="1"/>
  <c r="F175" i="20" s="1"/>
  <c r="AA175" i="20" s="1"/>
  <c r="Z175" i="20" s="1"/>
  <c r="Y175" i="20" s="1"/>
  <c r="W326" i="20"/>
  <c r="D326" i="20"/>
  <c r="E326" i="20" s="1"/>
  <c r="F326" i="20" s="1"/>
  <c r="H326" i="20" s="1"/>
  <c r="D342" i="20"/>
  <c r="E342" i="20" s="1"/>
  <c r="F342" i="20" s="1"/>
  <c r="G342" i="20" s="1"/>
  <c r="CB342" i="6" s="1"/>
  <c r="W342" i="20"/>
  <c r="D190" i="20"/>
  <c r="E190" i="20" s="1"/>
  <c r="F190" i="20" s="1"/>
  <c r="G190" i="20" s="1"/>
  <c r="CB190" i="6" s="1"/>
  <c r="W190" i="20"/>
  <c r="D325" i="20"/>
  <c r="E325" i="20" s="1"/>
  <c r="F325" i="20" s="1"/>
  <c r="G325" i="20" s="1"/>
  <c r="CB325" i="6" s="1"/>
  <c r="W325" i="20"/>
  <c r="W350" i="20"/>
  <c r="D350" i="20"/>
  <c r="E350" i="20" s="1"/>
  <c r="F350" i="20" s="1"/>
  <c r="G350" i="20" s="1"/>
  <c r="CB350" i="6" s="1"/>
  <c r="W132" i="20"/>
  <c r="D132" i="20"/>
  <c r="E132" i="20" s="1"/>
  <c r="F132" i="20" s="1"/>
  <c r="G132" i="20" s="1"/>
  <c r="CB132" i="6" s="1"/>
  <c r="D242" i="20"/>
  <c r="E242" i="20" s="1"/>
  <c r="F242" i="20" s="1"/>
  <c r="G242" i="20" s="1"/>
  <c r="CB242" i="6" s="1"/>
  <c r="W242" i="20"/>
  <c r="W262" i="20"/>
  <c r="D262" i="20"/>
  <c r="E262" i="20" s="1"/>
  <c r="F262" i="20" s="1"/>
  <c r="G262" i="20" s="1"/>
  <c r="CB262" i="6" s="1"/>
  <c r="D295" i="20"/>
  <c r="E295" i="20" s="1"/>
  <c r="F295" i="20" s="1"/>
  <c r="H295" i="20" s="1"/>
  <c r="W295" i="20"/>
  <c r="D37" i="20"/>
  <c r="E37" i="20" s="1"/>
  <c r="F37" i="20" s="1"/>
  <c r="AA37" i="20" s="1"/>
  <c r="Z37" i="20" s="1"/>
  <c r="Y37" i="20" s="1"/>
  <c r="W37" i="20"/>
  <c r="W271" i="20"/>
  <c r="D271" i="20"/>
  <c r="E271" i="20" s="1"/>
  <c r="F271" i="20" s="1"/>
  <c r="G271" i="20" s="1"/>
  <c r="CB271" i="6" s="1"/>
  <c r="D289" i="20"/>
  <c r="E289" i="20" s="1"/>
  <c r="F289" i="20" s="1"/>
  <c r="W289" i="20"/>
  <c r="W142" i="20"/>
  <c r="D142" i="20"/>
  <c r="E142" i="20" s="1"/>
  <c r="F142" i="20" s="1"/>
  <c r="G142" i="20" s="1"/>
  <c r="CB142" i="6" s="1"/>
  <c r="D108" i="20"/>
  <c r="E108" i="20" s="1"/>
  <c r="F108" i="20" s="1"/>
  <c r="AA108" i="20" s="1"/>
  <c r="Z108" i="20" s="1"/>
  <c r="Y108" i="20" s="1"/>
  <c r="W108" i="20"/>
  <c r="D202" i="20"/>
  <c r="E202" i="20" s="1"/>
  <c r="F202" i="20" s="1"/>
  <c r="G202" i="20" s="1"/>
  <c r="CB202" i="6" s="1"/>
  <c r="W202" i="20"/>
  <c r="W52" i="20"/>
  <c r="D52" i="20"/>
  <c r="E52" i="20" s="1"/>
  <c r="F52" i="20" s="1"/>
  <c r="H52" i="20" s="1"/>
  <c r="W234" i="20"/>
  <c r="D234" i="20"/>
  <c r="E234" i="20" s="1"/>
  <c r="F234" i="20" s="1"/>
  <c r="G234" i="20" s="1"/>
  <c r="CB234" i="6" s="1"/>
  <c r="D282" i="20"/>
  <c r="E282" i="20" s="1"/>
  <c r="F282" i="20" s="1"/>
  <c r="AA282" i="20" s="1"/>
  <c r="Z282" i="20" s="1"/>
  <c r="Y282" i="20" s="1"/>
  <c r="W282" i="20"/>
  <c r="D140" i="20"/>
  <c r="E140" i="20" s="1"/>
  <c r="F140" i="20" s="1"/>
  <c r="G140" i="20" s="1"/>
  <c r="CB140" i="6" s="1"/>
  <c r="W140" i="20"/>
  <c r="D319" i="20"/>
  <c r="E319" i="20" s="1"/>
  <c r="F319" i="20" s="1"/>
  <c r="AA319" i="20" s="1"/>
  <c r="Z319" i="20" s="1"/>
  <c r="Y319" i="20" s="1"/>
  <c r="W319" i="20"/>
  <c r="D148" i="20"/>
  <c r="E148" i="20" s="1"/>
  <c r="F148" i="20" s="1"/>
  <c r="AA148" i="20" s="1"/>
  <c r="Z148" i="20" s="1"/>
  <c r="Y148" i="20" s="1"/>
  <c r="W148" i="20"/>
  <c r="W222" i="20"/>
  <c r="D222" i="20"/>
  <c r="E222" i="20" s="1"/>
  <c r="F222" i="20" s="1"/>
  <c r="AA222" i="20" s="1"/>
  <c r="Z222" i="20" s="1"/>
  <c r="Y222" i="20" s="1"/>
  <c r="W110" i="20"/>
  <c r="D110" i="20"/>
  <c r="E110" i="20" s="1"/>
  <c r="F110" i="20" s="1"/>
  <c r="AA110" i="20" s="1"/>
  <c r="Z110" i="20" s="1"/>
  <c r="Y110" i="20" s="1"/>
  <c r="W205" i="20"/>
  <c r="D205" i="20"/>
  <c r="E205" i="20" s="1"/>
  <c r="F205" i="20" s="1"/>
  <c r="D219" i="20"/>
  <c r="E219" i="20" s="1"/>
  <c r="F219" i="20" s="1"/>
  <c r="AA219" i="20" s="1"/>
  <c r="Z219" i="20" s="1"/>
  <c r="Y219" i="20" s="1"/>
  <c r="W219" i="20"/>
  <c r="D126" i="20"/>
  <c r="E126" i="20" s="1"/>
  <c r="F126" i="20" s="1"/>
  <c r="AA126" i="20" s="1"/>
  <c r="Z126" i="20" s="1"/>
  <c r="Y126" i="20" s="1"/>
  <c r="W126" i="20"/>
  <c r="D147" i="20"/>
  <c r="E147" i="20" s="1"/>
  <c r="F147" i="20" s="1"/>
  <c r="G147" i="20" s="1"/>
  <c r="CB147" i="6" s="1"/>
  <c r="W147" i="20"/>
  <c r="D120" i="20"/>
  <c r="E120" i="20" s="1"/>
  <c r="F120" i="20" s="1"/>
  <c r="H120" i="20" s="1"/>
  <c r="W120" i="20"/>
  <c r="W252" i="20"/>
  <c r="D252" i="20"/>
  <c r="E252" i="20" s="1"/>
  <c r="F252" i="20" s="1"/>
  <c r="G252" i="20" s="1"/>
  <c r="CB252" i="6" s="1"/>
  <c r="W248" i="20"/>
  <c r="D248" i="20"/>
  <c r="E248" i="20" s="1"/>
  <c r="F248" i="20" s="1"/>
  <c r="W172" i="20"/>
  <c r="D172" i="20"/>
  <c r="E172" i="20" s="1"/>
  <c r="F172" i="20" s="1"/>
  <c r="H172" i="20" s="1"/>
  <c r="D299" i="20"/>
  <c r="E299" i="20" s="1"/>
  <c r="F299" i="20" s="1"/>
  <c r="G299" i="20" s="1"/>
  <c r="CB299" i="6" s="1"/>
  <c r="W299" i="20"/>
  <c r="W359" i="20"/>
  <c r="D359" i="20"/>
  <c r="E359" i="20" s="1"/>
  <c r="F359" i="20" s="1"/>
  <c r="AA359" i="20" s="1"/>
  <c r="Z359" i="20" s="1"/>
  <c r="Y359" i="20" s="1"/>
  <c r="D238" i="20"/>
  <c r="E238" i="20" s="1"/>
  <c r="F238" i="20" s="1"/>
  <c r="AA238" i="20" s="1"/>
  <c r="Z238" i="20" s="1"/>
  <c r="Y238" i="20" s="1"/>
  <c r="W238" i="20"/>
  <c r="W95" i="20"/>
  <c r="D95" i="20"/>
  <c r="E95" i="20" s="1"/>
  <c r="F95" i="20" s="1"/>
  <c r="G95" i="20" s="1"/>
  <c r="CB95" i="6" s="1"/>
  <c r="W256" i="20"/>
  <c r="D256" i="20"/>
  <c r="E256" i="20" s="1"/>
  <c r="F256" i="20" s="1"/>
  <c r="G256" i="20" s="1"/>
  <c r="CB256" i="6" s="1"/>
  <c r="AA30" i="20"/>
  <c r="Z30" i="20" s="1"/>
  <c r="Y30" i="20" s="1"/>
  <c r="AA244" i="20"/>
  <c r="Z244" i="20" s="1"/>
  <c r="Y244" i="20" s="1"/>
  <c r="AA101" i="20"/>
  <c r="Z101" i="20" s="1"/>
  <c r="Y101" i="20" s="1"/>
  <c r="AA31" i="20"/>
  <c r="Z31" i="20" s="1"/>
  <c r="Y31" i="20" s="1"/>
  <c r="AA62" i="20"/>
  <c r="Z62" i="20" s="1"/>
  <c r="Y62" i="20" s="1"/>
  <c r="W287" i="20"/>
  <c r="W212" i="20"/>
  <c r="D275" i="20"/>
  <c r="E275" i="20" s="1"/>
  <c r="F275" i="20" s="1"/>
  <c r="G275" i="20" s="1"/>
  <c r="CB275" i="6" s="1"/>
  <c r="D317" i="20"/>
  <c r="E317" i="20" s="1"/>
  <c r="F317" i="20" s="1"/>
  <c r="AA317" i="20" s="1"/>
  <c r="Z317" i="20" s="1"/>
  <c r="Y317" i="20" s="1"/>
  <c r="W18" i="20"/>
  <c r="W273" i="20"/>
  <c r="W151" i="20"/>
  <c r="D243" i="20"/>
  <c r="E243" i="20" s="1"/>
  <c r="F243" i="20" s="1"/>
  <c r="G243" i="20" s="1"/>
  <c r="CB243" i="6" s="1"/>
  <c r="D355" i="20"/>
  <c r="E355" i="20" s="1"/>
  <c r="F355" i="20" s="1"/>
  <c r="G355" i="20" s="1"/>
  <c r="CB355" i="6" s="1"/>
  <c r="W113" i="20"/>
  <c r="D165" i="20"/>
  <c r="E165" i="20" s="1"/>
  <c r="F165" i="20" s="1"/>
  <c r="AA165" i="20" s="1"/>
  <c r="Z165" i="20" s="1"/>
  <c r="Y165" i="20" s="1"/>
  <c r="W254" i="20"/>
  <c r="D25" i="20"/>
  <c r="E25" i="20" s="1"/>
  <c r="F25" i="20" s="1"/>
  <c r="G25" i="20" s="1"/>
  <c r="CB25" i="6" s="1"/>
  <c r="W280" i="20"/>
  <c r="D146" i="20"/>
  <c r="E146" i="20" s="1"/>
  <c r="F146" i="20" s="1"/>
  <c r="G146" i="20" s="1"/>
  <c r="CB146" i="6" s="1"/>
  <c r="W56" i="20"/>
  <c r="W253" i="20"/>
  <c r="W72" i="20"/>
  <c r="D170" i="20"/>
  <c r="E170" i="20" s="1"/>
  <c r="F170" i="20" s="1"/>
  <c r="G170" i="20" s="1"/>
  <c r="CB170" i="6" s="1"/>
  <c r="W118" i="20"/>
  <c r="W346" i="20"/>
  <c r="D343" i="20"/>
  <c r="E343" i="20" s="1"/>
  <c r="F343" i="20" s="1"/>
  <c r="G343" i="20" s="1"/>
  <c r="CB343" i="6" s="1"/>
  <c r="AA54" i="20"/>
  <c r="Z54" i="20" s="1"/>
  <c r="Y54" i="20" s="1"/>
  <c r="AA130" i="20"/>
  <c r="Z130" i="20" s="1"/>
  <c r="Y130" i="20" s="1"/>
  <c r="AA357" i="20"/>
  <c r="Z357" i="20" s="1"/>
  <c r="Y357" i="20" s="1"/>
  <c r="AA87" i="20"/>
  <c r="Z87" i="20" s="1"/>
  <c r="Y87" i="20" s="1"/>
  <c r="AA156" i="20"/>
  <c r="Z156" i="20" s="1"/>
  <c r="Y156" i="20" s="1"/>
  <c r="AA274" i="20"/>
  <c r="Z274" i="20" s="1"/>
  <c r="Y274" i="20" s="1"/>
  <c r="D291" i="20"/>
  <c r="E291" i="20" s="1"/>
  <c r="F291" i="20" s="1"/>
  <c r="G291" i="20" s="1"/>
  <c r="CB291" i="6" s="1"/>
  <c r="W293" i="20"/>
  <c r="D19" i="20"/>
  <c r="E19" i="20" s="1"/>
  <c r="F19" i="20" s="1"/>
  <c r="AA19" i="20" s="1"/>
  <c r="Z19" i="20" s="1"/>
  <c r="Y19" i="20" s="1"/>
  <c r="W245" i="20"/>
  <c r="D159" i="20"/>
  <c r="E159" i="20" s="1"/>
  <c r="F159" i="20" s="1"/>
  <c r="H159" i="20" s="1"/>
  <c r="W267" i="20"/>
  <c r="W196" i="20"/>
  <c r="W163" i="20"/>
  <c r="W230" i="20"/>
  <c r="W300" i="20"/>
  <c r="W228" i="20"/>
  <c r="D171" i="20"/>
  <c r="E171" i="20" s="1"/>
  <c r="F171" i="20" s="1"/>
  <c r="AA171" i="20" s="1"/>
  <c r="Z171" i="20" s="1"/>
  <c r="Y171" i="20" s="1"/>
  <c r="W296" i="20"/>
  <c r="W288" i="20"/>
  <c r="W153" i="20"/>
  <c r="D83" i="20"/>
  <c r="E83" i="20" s="1"/>
  <c r="F83" i="20" s="1"/>
  <c r="AA83" i="20" s="1"/>
  <c r="Z83" i="20" s="1"/>
  <c r="Y83" i="20" s="1"/>
  <c r="D374" i="20"/>
  <c r="E374" i="20" s="1"/>
  <c r="F374" i="20" s="1"/>
  <c r="AA374" i="20" s="1"/>
  <c r="Z374" i="20" s="1"/>
  <c r="Y374" i="20" s="1"/>
  <c r="D257" i="20"/>
  <c r="E257" i="20" s="1"/>
  <c r="F257" i="20" s="1"/>
  <c r="AA257" i="20" s="1"/>
  <c r="Z257" i="20" s="1"/>
  <c r="Y257" i="20" s="1"/>
  <c r="W227" i="20"/>
  <c r="D185" i="20"/>
  <c r="E185" i="20" s="1"/>
  <c r="F185" i="20" s="1"/>
  <c r="AA185" i="20" s="1"/>
  <c r="Z185" i="20" s="1"/>
  <c r="Y185" i="20" s="1"/>
  <c r="D16" i="20"/>
  <c r="E16" i="20" s="1"/>
  <c r="F16" i="20" s="1"/>
  <c r="W123" i="20"/>
  <c r="D200" i="20"/>
  <c r="E200" i="20" s="1"/>
  <c r="F200" i="20" s="1"/>
  <c r="G200" i="20" s="1"/>
  <c r="CB200" i="6" s="1"/>
  <c r="W373" i="20"/>
  <c r="D192" i="20"/>
  <c r="E192" i="20" s="1"/>
  <c r="F192" i="20" s="1"/>
  <c r="G192" i="20" s="1"/>
  <c r="CB192" i="6" s="1"/>
  <c r="Q321" i="22"/>
  <c r="Q283" i="22"/>
  <c r="Q379" i="22"/>
  <c r="AN15" i="7" s="1"/>
  <c r="Q328" i="22"/>
  <c r="K66" i="19"/>
  <c r="B302" i="20"/>
  <c r="W302" i="20" s="1"/>
  <c r="AA198" i="20"/>
  <c r="Z198" i="20" s="1"/>
  <c r="Y198" i="20" s="1"/>
  <c r="AA221" i="20"/>
  <c r="Z221" i="20" s="1"/>
  <c r="Y221" i="20" s="1"/>
  <c r="AA209" i="20"/>
  <c r="Z209" i="20" s="1"/>
  <c r="Y209" i="20" s="1"/>
  <c r="AH16" i="7"/>
  <c r="AN11" i="7" s="1"/>
  <c r="U11" i="22" s="1"/>
  <c r="U10" i="22" s="1"/>
  <c r="AO16" i="7" s="1"/>
  <c r="AA233" i="20"/>
  <c r="Z233" i="20" s="1"/>
  <c r="Y233" i="20" s="1"/>
  <c r="D371" i="20"/>
  <c r="E371" i="20" s="1"/>
  <c r="F371" i="20" s="1"/>
  <c r="G371" i="20" s="1"/>
  <c r="CB371" i="6" s="1"/>
  <c r="Q129" i="22"/>
  <c r="Q140" i="22"/>
  <c r="Q67" i="22"/>
  <c r="Q201" i="22"/>
  <c r="Q270" i="22"/>
  <c r="Q274" i="22"/>
  <c r="AA163" i="20"/>
  <c r="Z163" i="20" s="1"/>
  <c r="Y163" i="20" s="1"/>
  <c r="AA293" i="20"/>
  <c r="Z293" i="20" s="1"/>
  <c r="Y293" i="20" s="1"/>
  <c r="AA40" i="20"/>
  <c r="Z40" i="20" s="1"/>
  <c r="Y40" i="20" s="1"/>
  <c r="AA245" i="20"/>
  <c r="Z245" i="20" s="1"/>
  <c r="Y245" i="20" s="1"/>
  <c r="AA353" i="20"/>
  <c r="Z353" i="20" s="1"/>
  <c r="Y353" i="20" s="1"/>
  <c r="AA71" i="20"/>
  <c r="Z71" i="20" s="1"/>
  <c r="Y71" i="20" s="1"/>
  <c r="AA372" i="20"/>
  <c r="Z372" i="20" s="1"/>
  <c r="Y372" i="20" s="1"/>
  <c r="AA283" i="20"/>
  <c r="Z283" i="20" s="1"/>
  <c r="Y283" i="20" s="1"/>
  <c r="AA296" i="20"/>
  <c r="Z296" i="20" s="1"/>
  <c r="Y296" i="20" s="1"/>
  <c r="AA267" i="20"/>
  <c r="Z267" i="20" s="1"/>
  <c r="Y267" i="20" s="1"/>
  <c r="W48" i="20"/>
  <c r="W138" i="20"/>
  <c r="I236" i="18"/>
  <c r="B236" i="6" s="1"/>
  <c r="BA236" i="6" s="1"/>
  <c r="D236" i="6" s="1"/>
  <c r="D73" i="20"/>
  <c r="E73" i="20" s="1"/>
  <c r="F73" i="20" s="1"/>
  <c r="H73" i="20" s="1"/>
  <c r="D336" i="20"/>
  <c r="E336" i="20" s="1"/>
  <c r="F336" i="20" s="1"/>
  <c r="AA336" i="20" s="1"/>
  <c r="Z336" i="20" s="1"/>
  <c r="Y336" i="20" s="1"/>
  <c r="D345" i="20"/>
  <c r="E345" i="20" s="1"/>
  <c r="F345" i="20" s="1"/>
  <c r="AA345" i="20" s="1"/>
  <c r="Z345" i="20" s="1"/>
  <c r="Y345" i="20" s="1"/>
  <c r="D65" i="20"/>
  <c r="E65" i="20" s="1"/>
  <c r="F65" i="20" s="1"/>
  <c r="AA65" i="20" s="1"/>
  <c r="Z65" i="20" s="1"/>
  <c r="Y65" i="20" s="1"/>
  <c r="W97" i="20"/>
  <c r="W337" i="20"/>
  <c r="D332" i="20"/>
  <c r="E332" i="20" s="1"/>
  <c r="F332" i="20" s="1"/>
  <c r="AA332" i="20" s="1"/>
  <c r="Z332" i="20" s="1"/>
  <c r="Y332" i="20" s="1"/>
  <c r="D330" i="20"/>
  <c r="E330" i="20" s="1"/>
  <c r="F330" i="20" s="1"/>
  <c r="H330" i="20" s="1"/>
  <c r="W229" i="20"/>
  <c r="D67" i="20"/>
  <c r="E67" i="20" s="1"/>
  <c r="F67" i="20" s="1"/>
  <c r="G67" i="20" s="1"/>
  <c r="CB67" i="6" s="1"/>
  <c r="W134" i="20"/>
  <c r="W261" i="20"/>
  <c r="D276" i="20"/>
  <c r="E276" i="20" s="1"/>
  <c r="F276" i="20" s="1"/>
  <c r="G276" i="20" s="1"/>
  <c r="CB276" i="6" s="1"/>
  <c r="D378" i="20"/>
  <c r="E378" i="20" s="1"/>
  <c r="F378" i="20" s="1"/>
  <c r="AA378" i="20" s="1"/>
  <c r="Z378" i="20" s="1"/>
  <c r="Y378" i="20" s="1"/>
  <c r="W50" i="20"/>
  <c r="D127" i="20"/>
  <c r="E127" i="20" s="1"/>
  <c r="F127" i="20" s="1"/>
  <c r="H127" i="20" s="1"/>
  <c r="W194" i="20"/>
  <c r="W376" i="20"/>
  <c r="W59" i="20"/>
  <c r="W177" i="20"/>
  <c r="W181" i="20"/>
  <c r="W367" i="20"/>
  <c r="W43" i="20"/>
  <c r="W335" i="20"/>
  <c r="D316" i="20"/>
  <c r="E316" i="20" s="1"/>
  <c r="F316" i="20" s="1"/>
  <c r="G316" i="20" s="1"/>
  <c r="CB316" i="6" s="1"/>
  <c r="D128" i="20"/>
  <c r="E128" i="20" s="1"/>
  <c r="F128" i="20" s="1"/>
  <c r="G128" i="20" s="1"/>
  <c r="CB128" i="6" s="1"/>
  <c r="D157" i="20"/>
  <c r="E157" i="20" s="1"/>
  <c r="F157" i="20" s="1"/>
  <c r="AA157" i="20" s="1"/>
  <c r="Z157" i="20" s="1"/>
  <c r="Y157" i="20" s="1"/>
  <c r="W77" i="20"/>
  <c r="D105" i="20"/>
  <c r="E105" i="20" s="1"/>
  <c r="F105" i="20" s="1"/>
  <c r="G105" i="20" s="1"/>
  <c r="CB105" i="6" s="1"/>
  <c r="W265" i="20"/>
  <c r="W315" i="20"/>
  <c r="D154" i="20"/>
  <c r="E154" i="20" s="1"/>
  <c r="F154" i="20" s="1"/>
  <c r="H154" i="20" s="1"/>
  <c r="D188" i="20"/>
  <c r="E188" i="20" s="1"/>
  <c r="F188" i="20" s="1"/>
  <c r="G188" i="20" s="1"/>
  <c r="CB188" i="6" s="1"/>
  <c r="W81" i="20"/>
  <c r="W309" i="20"/>
  <c r="W290" i="20"/>
  <c r="D63" i="20"/>
  <c r="E63" i="20" s="1"/>
  <c r="F63" i="20" s="1"/>
  <c r="AA63" i="20" s="1"/>
  <c r="Z63" i="20" s="1"/>
  <c r="Y63" i="20" s="1"/>
  <c r="D168" i="20"/>
  <c r="E168" i="20" s="1"/>
  <c r="F168" i="20" s="1"/>
  <c r="H168" i="20" s="1"/>
  <c r="W191" i="20"/>
  <c r="D246" i="20"/>
  <c r="E246" i="20" s="1"/>
  <c r="F246" i="20" s="1"/>
  <c r="AA246" i="20" s="1"/>
  <c r="Z246" i="20" s="1"/>
  <c r="Y246" i="20" s="1"/>
  <c r="D124" i="20"/>
  <c r="E124" i="20" s="1"/>
  <c r="F124" i="20" s="1"/>
  <c r="H124" i="20" s="1"/>
  <c r="W197" i="20"/>
  <c r="W155" i="20"/>
  <c r="AA228" i="20"/>
  <c r="Z228" i="20" s="1"/>
  <c r="Y228" i="20" s="1"/>
  <c r="W111" i="20"/>
  <c r="W61" i="20"/>
  <c r="D269" i="20"/>
  <c r="E269" i="20" s="1"/>
  <c r="F269" i="20" s="1"/>
  <c r="AA269" i="20" s="1"/>
  <c r="Z269" i="20" s="1"/>
  <c r="Y269" i="20" s="1"/>
  <c r="W116" i="20"/>
  <c r="W112" i="20"/>
  <c r="D368" i="20"/>
  <c r="E368" i="20" s="1"/>
  <c r="F368" i="20" s="1"/>
  <c r="G368" i="20" s="1"/>
  <c r="CB368" i="6" s="1"/>
  <c r="W360" i="20"/>
  <c r="W139" i="20"/>
  <c r="D279" i="20"/>
  <c r="E279" i="20" s="1"/>
  <c r="F279" i="20" s="1"/>
  <c r="G279" i="20" s="1"/>
  <c r="CB279" i="6" s="1"/>
  <c r="W308" i="20"/>
  <c r="W341" i="20"/>
  <c r="W137" i="20"/>
  <c r="I66" i="19"/>
  <c r="D21" i="20"/>
  <c r="E21" i="20" s="1"/>
  <c r="F21" i="20" s="1"/>
  <c r="W33" i="20"/>
  <c r="D89" i="20"/>
  <c r="E89" i="20" s="1"/>
  <c r="F89" i="20" s="1"/>
  <c r="H89" i="20" s="1"/>
  <c r="D312" i="20"/>
  <c r="E312" i="20" s="1"/>
  <c r="F312" i="20" s="1"/>
  <c r="AA312" i="20" s="1"/>
  <c r="Z312" i="20" s="1"/>
  <c r="Y312" i="20" s="1"/>
  <c r="D338" i="20"/>
  <c r="E338" i="20" s="1"/>
  <c r="F338" i="20" s="1"/>
  <c r="AA338" i="20" s="1"/>
  <c r="Z338" i="20" s="1"/>
  <c r="Y338" i="20" s="1"/>
  <c r="D201" i="20"/>
  <c r="E201" i="20" s="1"/>
  <c r="F201" i="20" s="1"/>
  <c r="AA201" i="20" s="1"/>
  <c r="Z201" i="20" s="1"/>
  <c r="Y201" i="20" s="1"/>
  <c r="D184" i="20"/>
  <c r="E184" i="20" s="1"/>
  <c r="F184" i="20" s="1"/>
  <c r="AA184" i="20" s="1"/>
  <c r="Z184" i="20" s="1"/>
  <c r="Y184" i="20" s="1"/>
  <c r="W85" i="20"/>
  <c r="D80" i="20"/>
  <c r="E80" i="20" s="1"/>
  <c r="F80" i="20" s="1"/>
  <c r="AA80" i="20" s="1"/>
  <c r="Z80" i="20" s="1"/>
  <c r="Y80" i="20" s="1"/>
  <c r="W66" i="20"/>
  <c r="D64" i="20"/>
  <c r="E64" i="20" s="1"/>
  <c r="F64" i="20" s="1"/>
  <c r="G64" i="20" s="1"/>
  <c r="CB64" i="6" s="1"/>
  <c r="C66" i="19"/>
  <c r="U382" i="20"/>
  <c r="U383" i="20"/>
  <c r="H66" i="19"/>
  <c r="AA66" i="20"/>
  <c r="Z66" i="20" s="1"/>
  <c r="Y66" i="20" s="1"/>
  <c r="AA263" i="20"/>
  <c r="Z263" i="20" s="1"/>
  <c r="Y263" i="20" s="1"/>
  <c r="AA104" i="20"/>
  <c r="Z104" i="20" s="1"/>
  <c r="Y104" i="20" s="1"/>
  <c r="D334" i="20"/>
  <c r="E334" i="20" s="1"/>
  <c r="F334" i="20" s="1"/>
  <c r="G334" i="20" s="1"/>
  <c r="CB334" i="6" s="1"/>
  <c r="O10" i="24"/>
  <c r="AC10" i="24"/>
  <c r="V379" i="20"/>
  <c r="B379" i="20" s="1"/>
  <c r="D379" i="20" s="1"/>
  <c r="E379" i="20" s="1"/>
  <c r="F379" i="20" s="1"/>
  <c r="D13" i="19"/>
  <c r="G37" i="19"/>
  <c r="E12" i="19"/>
  <c r="D272" i="20"/>
  <c r="E272" i="20" s="1"/>
  <c r="F272" i="20" s="1"/>
  <c r="G272" i="20" s="1"/>
  <c r="CB272" i="6" s="1"/>
  <c r="B60" i="20"/>
  <c r="D60" i="20" s="1"/>
  <c r="E60" i="20" s="1"/>
  <c r="F60" i="20" s="1"/>
  <c r="AA116" i="20"/>
  <c r="Z116" i="20" s="1"/>
  <c r="Y116" i="20" s="1"/>
  <c r="AA90" i="20"/>
  <c r="Z90" i="20" s="1"/>
  <c r="Y90" i="20" s="1"/>
  <c r="AA356" i="20"/>
  <c r="Z356" i="20" s="1"/>
  <c r="Y356" i="20" s="1"/>
  <c r="AA144" i="20"/>
  <c r="Z144" i="20" s="1"/>
  <c r="Y144" i="20" s="1"/>
  <c r="AA341" i="20"/>
  <c r="Z341" i="20" s="1"/>
  <c r="Y341" i="20" s="1"/>
  <c r="H66" i="20"/>
  <c r="B241" i="20"/>
  <c r="W241" i="20" s="1"/>
  <c r="AA69" i="20"/>
  <c r="Z69" i="20" s="1"/>
  <c r="Y69" i="20" s="1"/>
  <c r="AA230" i="20"/>
  <c r="Z230" i="20" s="1"/>
  <c r="Y230" i="20" s="1"/>
  <c r="AA318" i="20"/>
  <c r="Z318" i="20" s="1"/>
  <c r="Y318" i="20" s="1"/>
  <c r="AA207" i="20"/>
  <c r="Z207" i="20" s="1"/>
  <c r="Y207" i="20" s="1"/>
  <c r="AA306" i="20"/>
  <c r="Z306" i="20" s="1"/>
  <c r="Y306" i="20" s="1"/>
  <c r="AA204" i="20"/>
  <c r="Z204" i="20" s="1"/>
  <c r="Y204" i="20" s="1"/>
  <c r="AA301" i="20"/>
  <c r="Z301" i="20" s="1"/>
  <c r="Y301" i="20" s="1"/>
  <c r="AA236" i="20"/>
  <c r="Z236" i="20" s="1"/>
  <c r="Y236" i="20" s="1"/>
  <c r="AA365" i="20"/>
  <c r="Z365" i="20" s="1"/>
  <c r="Y365" i="20" s="1"/>
  <c r="AA304" i="20"/>
  <c r="Z304" i="20" s="1"/>
  <c r="Y304" i="20" s="1"/>
  <c r="G361" i="20"/>
  <c r="CB361" i="6" s="1"/>
  <c r="G145" i="20"/>
  <c r="CB145" i="6" s="1"/>
  <c r="H145" i="20"/>
  <c r="G287" i="20"/>
  <c r="CB287" i="6" s="1"/>
  <c r="H287" i="20"/>
  <c r="G235" i="20"/>
  <c r="CB235" i="6" s="1"/>
  <c r="H235" i="20"/>
  <c r="G212" i="20"/>
  <c r="CB212" i="6" s="1"/>
  <c r="H212" i="20"/>
  <c r="H321" i="20"/>
  <c r="G321" i="20"/>
  <c r="CB321" i="6" s="1"/>
  <c r="G97" i="20"/>
  <c r="CB97" i="6" s="1"/>
  <c r="H97" i="20"/>
  <c r="G75" i="20"/>
  <c r="CB75" i="6" s="1"/>
  <c r="AA75" i="20"/>
  <c r="Z75" i="20" s="1"/>
  <c r="Y75" i="20" s="1"/>
  <c r="H75" i="20"/>
  <c r="G337" i="20"/>
  <c r="CB337" i="6" s="1"/>
  <c r="G223" i="20"/>
  <c r="CB223" i="6" s="1"/>
  <c r="H223" i="20"/>
  <c r="G18" i="20"/>
  <c r="CB18" i="6" s="1"/>
  <c r="G229" i="20"/>
  <c r="CB229" i="6" s="1"/>
  <c r="G273" i="20"/>
  <c r="CB273" i="6" s="1"/>
  <c r="H273" i="20"/>
  <c r="G134" i="20"/>
  <c r="CB134" i="6" s="1"/>
  <c r="H134" i="20"/>
  <c r="G340" i="20"/>
  <c r="CB340" i="6" s="1"/>
  <c r="H340" i="20"/>
  <c r="G151" i="20"/>
  <c r="CB151" i="6" s="1"/>
  <c r="G261" i="20"/>
  <c r="CB261" i="6" s="1"/>
  <c r="G150" i="20"/>
  <c r="CB150" i="6" s="1"/>
  <c r="H150" i="20"/>
  <c r="G106" i="20"/>
  <c r="CB106" i="6" s="1"/>
  <c r="H106" i="20"/>
  <c r="G50" i="20"/>
  <c r="CB50" i="6" s="1"/>
  <c r="H50" i="20"/>
  <c r="AA50" i="20"/>
  <c r="Z50" i="20" s="1"/>
  <c r="Y50" i="20" s="1"/>
  <c r="G194" i="20"/>
  <c r="CB194" i="6" s="1"/>
  <c r="H194" i="20"/>
  <c r="AA194" i="20"/>
  <c r="Z194" i="20" s="1"/>
  <c r="Y194" i="20" s="1"/>
  <c r="G113" i="20"/>
  <c r="CB113" i="6" s="1"/>
  <c r="H113" i="20"/>
  <c r="G376" i="20"/>
  <c r="CB376" i="6" s="1"/>
  <c r="H376" i="20"/>
  <c r="H59" i="20"/>
  <c r="AA59" i="20"/>
  <c r="Z59" i="20" s="1"/>
  <c r="Y59" i="20" s="1"/>
  <c r="G59" i="20"/>
  <c r="CB59" i="6" s="1"/>
  <c r="G177" i="20"/>
  <c r="CB177" i="6" s="1"/>
  <c r="AA177" i="20"/>
  <c r="Z177" i="20" s="1"/>
  <c r="Y177" i="20" s="1"/>
  <c r="AA98" i="20"/>
  <c r="Z98" i="20" s="1"/>
  <c r="Y98" i="20" s="1"/>
  <c r="H98" i="20"/>
  <c r="G98" i="20"/>
  <c r="CB98" i="6" s="1"/>
  <c r="G20" i="20"/>
  <c r="CB20" i="6" s="1"/>
  <c r="G181" i="20"/>
  <c r="CB181" i="6" s="1"/>
  <c r="H181" i="20"/>
  <c r="AA181" i="20"/>
  <c r="Z181" i="20" s="1"/>
  <c r="Y181" i="20" s="1"/>
  <c r="G254" i="20"/>
  <c r="CB254" i="6" s="1"/>
  <c r="H254" i="20"/>
  <c r="G367" i="20"/>
  <c r="CB367" i="6" s="1"/>
  <c r="AA367" i="20"/>
  <c r="Z367" i="20" s="1"/>
  <c r="Y367" i="20" s="1"/>
  <c r="G179" i="20"/>
  <c r="CB179" i="6" s="1"/>
  <c r="H179" i="20"/>
  <c r="AA179" i="20"/>
  <c r="Z179" i="20" s="1"/>
  <c r="Y179" i="20" s="1"/>
  <c r="G78" i="20"/>
  <c r="CB78" i="6" s="1"/>
  <c r="AA78" i="20"/>
  <c r="Z78" i="20" s="1"/>
  <c r="Y78" i="20" s="1"/>
  <c r="H78" i="20"/>
  <c r="G43" i="20"/>
  <c r="CB43" i="6" s="1"/>
  <c r="H43" i="20"/>
  <c r="AA43" i="20"/>
  <c r="Z43" i="20" s="1"/>
  <c r="Y43" i="20" s="1"/>
  <c r="G335" i="20"/>
  <c r="CB335" i="6" s="1"/>
  <c r="G158" i="20"/>
  <c r="CB158" i="6" s="1"/>
  <c r="H158" i="20"/>
  <c r="G280" i="20"/>
  <c r="CB280" i="6" s="1"/>
  <c r="H280" i="20"/>
  <c r="G121" i="20"/>
  <c r="CB121" i="6" s="1"/>
  <c r="AA121" i="20"/>
  <c r="Z121" i="20" s="1"/>
  <c r="Y121" i="20" s="1"/>
  <c r="H121" i="20"/>
  <c r="G77" i="20"/>
  <c r="CB77" i="6" s="1"/>
  <c r="AA77" i="20"/>
  <c r="Z77" i="20" s="1"/>
  <c r="Y77" i="20" s="1"/>
  <c r="G281" i="20"/>
  <c r="CB281" i="6" s="1"/>
  <c r="AA281" i="20"/>
  <c r="Z281" i="20" s="1"/>
  <c r="Y281" i="20" s="1"/>
  <c r="G324" i="20"/>
  <c r="CB324" i="6" s="1"/>
  <c r="AA324" i="20"/>
  <c r="Z324" i="20" s="1"/>
  <c r="Y324" i="20" s="1"/>
  <c r="H324" i="20"/>
  <c r="G56" i="20"/>
  <c r="CB56" i="6" s="1"/>
  <c r="H56" i="20"/>
  <c r="AA56" i="20"/>
  <c r="Z56" i="20" s="1"/>
  <c r="Y56" i="20" s="1"/>
  <c r="G265" i="20"/>
  <c r="CB265" i="6" s="1"/>
  <c r="AA265" i="20"/>
  <c r="Z265" i="20" s="1"/>
  <c r="Y265" i="20" s="1"/>
  <c r="H265" i="20"/>
  <c r="G315" i="20"/>
  <c r="CB315" i="6" s="1"/>
  <c r="AA315" i="20"/>
  <c r="Z315" i="20" s="1"/>
  <c r="Y315" i="20" s="1"/>
  <c r="H315" i="20"/>
  <c r="G253" i="20"/>
  <c r="CB253" i="6" s="1"/>
  <c r="AA253" i="20"/>
  <c r="Z253" i="20" s="1"/>
  <c r="Y253" i="20" s="1"/>
  <c r="H253" i="20"/>
  <c r="G331" i="20"/>
  <c r="CB331" i="6" s="1"/>
  <c r="AA331" i="20"/>
  <c r="Z331" i="20" s="1"/>
  <c r="Y331" i="20" s="1"/>
  <c r="H331" i="20"/>
  <c r="G72" i="20"/>
  <c r="CB72" i="6" s="1"/>
  <c r="H72" i="20"/>
  <c r="G38" i="20"/>
  <c r="CB38" i="6" s="1"/>
  <c r="H38" i="20"/>
  <c r="AA38" i="20"/>
  <c r="Z38" i="20" s="1"/>
  <c r="Y38" i="20" s="1"/>
  <c r="G81" i="20"/>
  <c r="CB81" i="6" s="1"/>
  <c r="AA81" i="20"/>
  <c r="Z81" i="20" s="1"/>
  <c r="Y81" i="20" s="1"/>
  <c r="G309" i="20"/>
  <c r="CB309" i="6" s="1"/>
  <c r="G290" i="20"/>
  <c r="CB290" i="6" s="1"/>
  <c r="H290" i="20"/>
  <c r="G251" i="20"/>
  <c r="CB251" i="6" s="1"/>
  <c r="H251" i="20"/>
  <c r="G118" i="20"/>
  <c r="CB118" i="6" s="1"/>
  <c r="AA118" i="20"/>
  <c r="Z118" i="20" s="1"/>
  <c r="Y118" i="20" s="1"/>
  <c r="H118" i="20"/>
  <c r="G191" i="20"/>
  <c r="CB191" i="6" s="1"/>
  <c r="AA191" i="20"/>
  <c r="Z191" i="20" s="1"/>
  <c r="Y191" i="20" s="1"/>
  <c r="H191" i="20"/>
  <c r="G346" i="20"/>
  <c r="CB346" i="6" s="1"/>
  <c r="AA346" i="20"/>
  <c r="Z346" i="20" s="1"/>
  <c r="Y346" i="20" s="1"/>
  <c r="G182" i="20"/>
  <c r="CB182" i="6" s="1"/>
  <c r="H182" i="20"/>
  <c r="AA182" i="20"/>
  <c r="Z182" i="20" s="1"/>
  <c r="Y182" i="20" s="1"/>
  <c r="G348" i="20"/>
  <c r="CB348" i="6" s="1"/>
  <c r="AA348" i="20"/>
  <c r="Z348" i="20" s="1"/>
  <c r="Y348" i="20" s="1"/>
  <c r="H348" i="20"/>
  <c r="G197" i="20"/>
  <c r="CB197" i="6" s="1"/>
  <c r="AA197" i="20"/>
  <c r="Z197" i="20" s="1"/>
  <c r="Y197" i="20" s="1"/>
  <c r="G79" i="20"/>
  <c r="CB79" i="6" s="1"/>
  <c r="H79" i="20"/>
  <c r="AA79" i="20"/>
  <c r="Z79" i="20" s="1"/>
  <c r="Y79" i="20" s="1"/>
  <c r="AA155" i="20"/>
  <c r="Z155" i="20" s="1"/>
  <c r="Y155" i="20" s="1"/>
  <c r="H155" i="20"/>
  <c r="G155" i="20"/>
  <c r="CB155" i="6" s="1"/>
  <c r="AL6" i="15"/>
  <c r="AL12" i="15" s="1"/>
  <c r="AJ4" i="15" s="1"/>
  <c r="P12" i="19" s="1"/>
  <c r="AM6" i="15"/>
  <c r="AM12" i="15" s="1"/>
  <c r="X9" i="15"/>
  <c r="Y11" i="15" s="1"/>
  <c r="Y382" i="15"/>
  <c r="AL5" i="15"/>
  <c r="AL11" i="15" s="1"/>
  <c r="Y381" i="15"/>
  <c r="Y383" i="15"/>
  <c r="F15" i="17"/>
  <c r="V381" i="17"/>
  <c r="B64" i="19"/>
  <c r="N64" i="19" s="1"/>
  <c r="V383" i="17"/>
  <c r="V382" i="17"/>
  <c r="AA212" i="20"/>
  <c r="Z212" i="20" s="1"/>
  <c r="Y212" i="20" s="1"/>
  <c r="AA97" i="20"/>
  <c r="Z97" i="20" s="1"/>
  <c r="Y97" i="20" s="1"/>
  <c r="AA337" i="20"/>
  <c r="Z337" i="20" s="1"/>
  <c r="Y337" i="20" s="1"/>
  <c r="AA18" i="20"/>
  <c r="Z18" i="20" s="1"/>
  <c r="Y18" i="20" s="1"/>
  <c r="AA361" i="20"/>
  <c r="Z361" i="20" s="1"/>
  <c r="Y361" i="20" s="1"/>
  <c r="AA376" i="20"/>
  <c r="Z376" i="20" s="1"/>
  <c r="Y376" i="20" s="1"/>
  <c r="AA298" i="20"/>
  <c r="Z298" i="20" s="1"/>
  <c r="Y298" i="20" s="1"/>
  <c r="AA335" i="20"/>
  <c r="Z335" i="20" s="1"/>
  <c r="Y335" i="20" s="1"/>
  <c r="AA273" i="20"/>
  <c r="Z273" i="20" s="1"/>
  <c r="Y273" i="20" s="1"/>
  <c r="AA340" i="20"/>
  <c r="Z340" i="20" s="1"/>
  <c r="Y340" i="20" s="1"/>
  <c r="AA150" i="20"/>
  <c r="Z150" i="20" s="1"/>
  <c r="Y150" i="20" s="1"/>
  <c r="AA158" i="20"/>
  <c r="Z158" i="20" s="1"/>
  <c r="Y158" i="20" s="1"/>
  <c r="AA39" i="20"/>
  <c r="Z39" i="20" s="1"/>
  <c r="Y39" i="20" s="1"/>
  <c r="AA229" i="20"/>
  <c r="Z229" i="20" s="1"/>
  <c r="Y229" i="20" s="1"/>
  <c r="AA287" i="20"/>
  <c r="Z287" i="20" s="1"/>
  <c r="Y287" i="20" s="1"/>
  <c r="AA145" i="20"/>
  <c r="Z145" i="20" s="1"/>
  <c r="Y145" i="20" s="1"/>
  <c r="AA261" i="20"/>
  <c r="Z261" i="20" s="1"/>
  <c r="Y261" i="20" s="1"/>
  <c r="AA20" i="20"/>
  <c r="Z20" i="20" s="1"/>
  <c r="Y20" i="20" s="1"/>
  <c r="AA321" i="20"/>
  <c r="Z321" i="20" s="1"/>
  <c r="Y321" i="20" s="1"/>
  <c r="AA254" i="20"/>
  <c r="Z254" i="20" s="1"/>
  <c r="Y254" i="20" s="1"/>
  <c r="B210" i="20"/>
  <c r="AA363" i="18"/>
  <c r="Z363" i="18" s="1"/>
  <c r="Y363" i="18" s="1"/>
  <c r="H363" i="18"/>
  <c r="G363" i="18"/>
  <c r="CA363" i="6" s="1"/>
  <c r="G302" i="18"/>
  <c r="CA302" i="6" s="1"/>
  <c r="H302" i="18"/>
  <c r="AA302" i="18"/>
  <c r="Z302" i="18" s="1"/>
  <c r="Y302" i="18" s="1"/>
  <c r="G301" i="20"/>
  <c r="CB301" i="6" s="1"/>
  <c r="H301" i="20"/>
  <c r="H375" i="20"/>
  <c r="G69" i="20"/>
  <c r="CB69" i="6" s="1"/>
  <c r="H69" i="20"/>
  <c r="G307" i="20"/>
  <c r="CB307" i="6" s="1"/>
  <c r="AA307" i="20"/>
  <c r="Z307" i="20" s="1"/>
  <c r="Y307" i="20" s="1"/>
  <c r="H307" i="20"/>
  <c r="G293" i="20"/>
  <c r="CB293" i="6" s="1"/>
  <c r="H293" i="20"/>
  <c r="G365" i="20"/>
  <c r="CB365" i="6" s="1"/>
  <c r="H365" i="20"/>
  <c r="G71" i="20"/>
  <c r="CB71" i="6" s="1"/>
  <c r="H71" i="20"/>
  <c r="G58" i="20"/>
  <c r="CB58" i="6" s="1"/>
  <c r="AA58" i="20"/>
  <c r="Z58" i="20" s="1"/>
  <c r="Y58" i="20" s="1"/>
  <c r="H58" i="20"/>
  <c r="G51" i="20"/>
  <c r="CB51" i="6" s="1"/>
  <c r="G357" i="20"/>
  <c r="CB357" i="6" s="1"/>
  <c r="G245" i="20"/>
  <c r="CB245" i="6" s="1"/>
  <c r="H245" i="20"/>
  <c r="G40" i="20"/>
  <c r="CB40" i="6" s="1"/>
  <c r="G372" i="20"/>
  <c r="CB372" i="6" s="1"/>
  <c r="H372" i="20"/>
  <c r="G166" i="20"/>
  <c r="CB166" i="6" s="1"/>
  <c r="AA166" i="20"/>
  <c r="Z166" i="20" s="1"/>
  <c r="Y166" i="20" s="1"/>
  <c r="G54" i="20"/>
  <c r="CB54" i="6" s="1"/>
  <c r="H54" i="20"/>
  <c r="G267" i="20"/>
  <c r="CB267" i="6" s="1"/>
  <c r="H267" i="20"/>
  <c r="G306" i="20"/>
  <c r="CB306" i="6" s="1"/>
  <c r="G218" i="20"/>
  <c r="CB218" i="6" s="1"/>
  <c r="AA218" i="20"/>
  <c r="Z218" i="20" s="1"/>
  <c r="Y218" i="20" s="1"/>
  <c r="G204" i="20"/>
  <c r="CB204" i="6" s="1"/>
  <c r="G163" i="20"/>
  <c r="CB163" i="6" s="1"/>
  <c r="H163" i="20"/>
  <c r="G353" i="20"/>
  <c r="CB353" i="6" s="1"/>
  <c r="G230" i="20"/>
  <c r="CB230" i="6" s="1"/>
  <c r="H207" i="20"/>
  <c r="G207" i="20"/>
  <c r="CB207" i="6" s="1"/>
  <c r="AA349" i="20"/>
  <c r="Z349" i="20" s="1"/>
  <c r="Y349" i="20" s="1"/>
  <c r="G349" i="20"/>
  <c r="CB349" i="6" s="1"/>
  <c r="G283" i="20"/>
  <c r="CB283" i="6" s="1"/>
  <c r="AA377" i="20"/>
  <c r="Z377" i="20" s="1"/>
  <c r="Y377" i="20" s="1"/>
  <c r="G377" i="20"/>
  <c r="CB377" i="6" s="1"/>
  <c r="H377" i="20"/>
  <c r="G296" i="20"/>
  <c r="CB296" i="6" s="1"/>
  <c r="G91" i="20"/>
  <c r="CB91" i="6" s="1"/>
  <c r="AA91" i="20"/>
  <c r="Z91" i="20" s="1"/>
  <c r="Y91" i="20" s="1"/>
  <c r="G30" i="20"/>
  <c r="CB30" i="6" s="1"/>
  <c r="G209" i="20"/>
  <c r="CB209" i="6" s="1"/>
  <c r="H209" i="20"/>
  <c r="G244" i="20"/>
  <c r="CB244" i="6" s="1"/>
  <c r="H244" i="20"/>
  <c r="G99" i="20"/>
  <c r="CB99" i="6" s="1"/>
  <c r="AA99" i="20"/>
  <c r="Z99" i="20" s="1"/>
  <c r="Y99" i="20" s="1"/>
  <c r="H99" i="20"/>
  <c r="G62" i="20"/>
  <c r="CB62" i="6" s="1"/>
  <c r="G236" i="20"/>
  <c r="CB236" i="6" s="1"/>
  <c r="G31" i="20"/>
  <c r="CB31" i="6" s="1"/>
  <c r="H31" i="20"/>
  <c r="H221" i="20"/>
  <c r="G221" i="20"/>
  <c r="CB221" i="6" s="1"/>
  <c r="G274" i="20"/>
  <c r="CB274" i="6" s="1"/>
  <c r="G198" i="20"/>
  <c r="CB198" i="6" s="1"/>
  <c r="H198" i="20"/>
  <c r="B88" i="20"/>
  <c r="D66" i="19"/>
  <c r="G101" i="20"/>
  <c r="CB101" i="6" s="1"/>
  <c r="G130" i="20"/>
  <c r="CB130" i="6" s="1"/>
  <c r="H130" i="20"/>
  <c r="G87" i="20"/>
  <c r="CB87" i="6" s="1"/>
  <c r="H87" i="20"/>
  <c r="G156" i="20"/>
  <c r="CB156" i="6" s="1"/>
  <c r="G304" i="20"/>
  <c r="CB304" i="6" s="1"/>
  <c r="H304" i="20"/>
  <c r="G167" i="20"/>
  <c r="CB167" i="6" s="1"/>
  <c r="AA167" i="20"/>
  <c r="Z167" i="20" s="1"/>
  <c r="Y167" i="20" s="1"/>
  <c r="H167" i="20"/>
  <c r="AA272" i="18"/>
  <c r="Z272" i="18" s="1"/>
  <c r="Y272" i="18" s="1"/>
  <c r="G272" i="18"/>
  <c r="CA272" i="6" s="1"/>
  <c r="H272" i="18"/>
  <c r="J383" i="16"/>
  <c r="J382" i="16"/>
  <c r="J381" i="16"/>
  <c r="I379" i="18"/>
  <c r="B379" i="6" s="1"/>
  <c r="BA379" i="6" s="1"/>
  <c r="J379" i="18"/>
  <c r="C379" i="6" s="1"/>
  <c r="AA119" i="18"/>
  <c r="Z119" i="18" s="1"/>
  <c r="Y119" i="18" s="1"/>
  <c r="G119" i="18"/>
  <c r="CA119" i="6" s="1"/>
  <c r="H119" i="18"/>
  <c r="AL8" i="16"/>
  <c r="Y15" i="16"/>
  <c r="Z383" i="16"/>
  <c r="Z382" i="16"/>
  <c r="Z381" i="16"/>
  <c r="Z9" i="16"/>
  <c r="Q7" i="7"/>
  <c r="C7" i="6"/>
  <c r="Q10" i="23"/>
  <c r="D43" i="6"/>
  <c r="D225" i="6"/>
  <c r="G329" i="20"/>
  <c r="CB329" i="6" s="1"/>
  <c r="AA329" i="20"/>
  <c r="Z329" i="20" s="1"/>
  <c r="Y329" i="20" s="1"/>
  <c r="H329" i="20"/>
  <c r="S15" i="20"/>
  <c r="T383" i="20"/>
  <c r="T382" i="20"/>
  <c r="G195" i="20"/>
  <c r="CB195" i="6" s="1"/>
  <c r="AA195" i="20"/>
  <c r="Z195" i="20" s="1"/>
  <c r="Y195" i="20" s="1"/>
  <c r="H195" i="20"/>
  <c r="G47" i="20"/>
  <c r="CB47" i="6" s="1"/>
  <c r="H47" i="20"/>
  <c r="AA47" i="20"/>
  <c r="Z47" i="20" s="1"/>
  <c r="Y47" i="20" s="1"/>
  <c r="G187" i="20"/>
  <c r="CB187" i="6" s="1"/>
  <c r="AA187" i="20"/>
  <c r="Z187" i="20" s="1"/>
  <c r="Y187" i="20" s="1"/>
  <c r="G216" i="20"/>
  <c r="CB216" i="6" s="1"/>
  <c r="AA216" i="20"/>
  <c r="Z216" i="20" s="1"/>
  <c r="Y216" i="20" s="1"/>
  <c r="U170" i="22"/>
  <c r="T170" i="22" s="1"/>
  <c r="S170" i="22" s="1"/>
  <c r="R170" i="22" s="1"/>
  <c r="U321" i="22"/>
  <c r="T321" i="22" s="1"/>
  <c r="S321" i="22" s="1"/>
  <c r="R321" i="22" s="1"/>
  <c r="U195" i="22"/>
  <c r="T195" i="22" s="1"/>
  <c r="S195" i="22" s="1"/>
  <c r="R195" i="22" s="1"/>
  <c r="U166" i="22"/>
  <c r="T166" i="22" s="1"/>
  <c r="S166" i="22" s="1"/>
  <c r="R166" i="22" s="1"/>
  <c r="U231" i="22"/>
  <c r="T231" i="22" s="1"/>
  <c r="S231" i="22" s="1"/>
  <c r="R231" i="22" s="1"/>
  <c r="U48" i="22"/>
  <c r="T48" i="22" s="1"/>
  <c r="S48" i="22" s="1"/>
  <c r="R48" i="22" s="1"/>
  <c r="U65" i="22"/>
  <c r="T65" i="22" s="1"/>
  <c r="S65" i="22" s="1"/>
  <c r="R65" i="22" s="1"/>
  <c r="P65" i="22" s="1"/>
  <c r="V65" i="22" s="1"/>
  <c r="B65" i="22" s="1"/>
  <c r="U288" i="22"/>
  <c r="T288" i="22" s="1"/>
  <c r="S288" i="22" s="1"/>
  <c r="R288" i="22" s="1"/>
  <c r="P288" i="22" s="1"/>
  <c r="V288" i="22" s="1"/>
  <c r="U75" i="22"/>
  <c r="T75" i="22" s="1"/>
  <c r="S75" i="22" s="1"/>
  <c r="R75" i="22" s="1"/>
  <c r="P75" i="22" s="1"/>
  <c r="V75" i="22" s="1"/>
  <c r="B75" i="22" s="1"/>
  <c r="U180" i="22"/>
  <c r="T180" i="22" s="1"/>
  <c r="S180" i="22" s="1"/>
  <c r="R180" i="22" s="1"/>
  <c r="P180" i="22" s="1"/>
  <c r="U309" i="22"/>
  <c r="T309" i="22" s="1"/>
  <c r="S309" i="22" s="1"/>
  <c r="R309" i="22" s="1"/>
  <c r="U304" i="22"/>
  <c r="T304" i="22" s="1"/>
  <c r="S304" i="22" s="1"/>
  <c r="R304" i="22" s="1"/>
  <c r="P304" i="22" s="1"/>
  <c r="V304" i="22" s="1"/>
  <c r="B304" i="22" s="1"/>
  <c r="U181" i="22"/>
  <c r="T181" i="22" s="1"/>
  <c r="S181" i="22" s="1"/>
  <c r="R181" i="22" s="1"/>
  <c r="U311" i="22"/>
  <c r="T311" i="22" s="1"/>
  <c r="S311" i="22" s="1"/>
  <c r="R311" i="22" s="1"/>
  <c r="P311" i="22" s="1"/>
  <c r="V311" i="22" s="1"/>
  <c r="B311" i="22" s="1"/>
  <c r="U154" i="22"/>
  <c r="T154" i="22" s="1"/>
  <c r="S154" i="22" s="1"/>
  <c r="R154" i="22" s="1"/>
  <c r="P154" i="22" s="1"/>
  <c r="V154" i="22" s="1"/>
  <c r="B154" i="22" s="1"/>
  <c r="U50" i="22"/>
  <c r="T50" i="22" s="1"/>
  <c r="S50" i="22" s="1"/>
  <c r="R50" i="22" s="1"/>
  <c r="U356" i="22"/>
  <c r="T356" i="22" s="1"/>
  <c r="S356" i="22" s="1"/>
  <c r="R356" i="22" s="1"/>
  <c r="U364" i="22"/>
  <c r="T364" i="22" s="1"/>
  <c r="S364" i="22" s="1"/>
  <c r="R364" i="22" s="1"/>
  <c r="P364" i="22" s="1"/>
  <c r="V364" i="22" s="1"/>
  <c r="B364" i="22" s="1"/>
  <c r="U247" i="22"/>
  <c r="T247" i="22" s="1"/>
  <c r="S247" i="22" s="1"/>
  <c r="R247" i="22" s="1"/>
  <c r="U250" i="22"/>
  <c r="T250" i="22" s="1"/>
  <c r="S250" i="22" s="1"/>
  <c r="R250" i="22" s="1"/>
  <c r="U197" i="22"/>
  <c r="T197" i="22" s="1"/>
  <c r="S197" i="22" s="1"/>
  <c r="R197" i="22" s="1"/>
  <c r="P197" i="22" s="1"/>
  <c r="V197" i="22" s="1"/>
  <c r="B197" i="22" s="1"/>
  <c r="U106" i="22"/>
  <c r="T106" i="22" s="1"/>
  <c r="S106" i="22" s="1"/>
  <c r="R106" i="22" s="1"/>
  <c r="U178" i="22"/>
  <c r="T178" i="22" s="1"/>
  <c r="S178" i="22" s="1"/>
  <c r="R178" i="22" s="1"/>
  <c r="P178" i="22" s="1"/>
  <c r="V178" i="22" s="1"/>
  <c r="B178" i="22" s="1"/>
  <c r="U354" i="22"/>
  <c r="T354" i="22" s="1"/>
  <c r="S354" i="22" s="1"/>
  <c r="R354" i="22" s="1"/>
  <c r="P354" i="22" s="1"/>
  <c r="V354" i="22" s="1"/>
  <c r="B354" i="22" s="1"/>
  <c r="U179" i="22"/>
  <c r="T179" i="22" s="1"/>
  <c r="S179" i="22" s="1"/>
  <c r="R179" i="22" s="1"/>
  <c r="P179" i="22" s="1"/>
  <c r="V179" i="22" s="1"/>
  <c r="B179" i="22" s="1"/>
  <c r="U90" i="22"/>
  <c r="T90" i="22" s="1"/>
  <c r="S90" i="22" s="1"/>
  <c r="R90" i="22" s="1"/>
  <c r="P90" i="22" s="1"/>
  <c r="V90" i="22" s="1"/>
  <c r="B90" i="22" s="1"/>
  <c r="U351" i="22"/>
  <c r="T351" i="22" s="1"/>
  <c r="S351" i="22" s="1"/>
  <c r="R351" i="22" s="1"/>
  <c r="U270" i="22"/>
  <c r="T270" i="22" s="1"/>
  <c r="S270" i="22" s="1"/>
  <c r="R270" i="22" s="1"/>
  <c r="U193" i="22"/>
  <c r="T193" i="22" s="1"/>
  <c r="S193" i="22" s="1"/>
  <c r="R193" i="22" s="1"/>
  <c r="U155" i="22"/>
  <c r="T155" i="22" s="1"/>
  <c r="S155" i="22" s="1"/>
  <c r="R155" i="22" s="1"/>
  <c r="U97" i="22"/>
  <c r="T97" i="22" s="1"/>
  <c r="S97" i="22" s="1"/>
  <c r="R97" i="22" s="1"/>
  <c r="P97" i="22" s="1"/>
  <c r="V97" i="22" s="1"/>
  <c r="B97" i="22" s="1"/>
  <c r="U76" i="22"/>
  <c r="T76" i="22" s="1"/>
  <c r="S76" i="22" s="1"/>
  <c r="R76" i="22" s="1"/>
  <c r="U379" i="22"/>
  <c r="U286" i="22"/>
  <c r="T286" i="22" s="1"/>
  <c r="S286" i="22" s="1"/>
  <c r="R286" i="22" s="1"/>
  <c r="AM16" i="7"/>
  <c r="U371" i="22"/>
  <c r="T371" i="22" s="1"/>
  <c r="S371" i="22" s="1"/>
  <c r="R371" i="22" s="1"/>
  <c r="P371" i="22" s="1"/>
  <c r="V371" i="22" s="1"/>
  <c r="B371" i="22" s="1"/>
  <c r="U109" i="22"/>
  <c r="T109" i="22" s="1"/>
  <c r="S109" i="22" s="1"/>
  <c r="R109" i="22" s="1"/>
  <c r="P109" i="22" s="1"/>
  <c r="V109" i="22" s="1"/>
  <c r="B109" i="22" s="1"/>
  <c r="U366" i="22"/>
  <c r="T366" i="22" s="1"/>
  <c r="S366" i="22" s="1"/>
  <c r="R366" i="22" s="1"/>
  <c r="U199" i="22"/>
  <c r="T199" i="22" s="1"/>
  <c r="S199" i="22" s="1"/>
  <c r="R199" i="22" s="1"/>
  <c r="U182" i="22"/>
  <c r="T182" i="22" s="1"/>
  <c r="S182" i="22" s="1"/>
  <c r="R182" i="22" s="1"/>
  <c r="U152" i="22"/>
  <c r="T152" i="22" s="1"/>
  <c r="S152" i="22" s="1"/>
  <c r="R152" i="22" s="1"/>
  <c r="P152" i="22" s="1"/>
  <c r="V152" i="22" s="1"/>
  <c r="B152" i="22" s="1"/>
  <c r="U62" i="22"/>
  <c r="T62" i="22" s="1"/>
  <c r="S62" i="22" s="1"/>
  <c r="R62" i="22" s="1"/>
  <c r="P62" i="22" s="1"/>
  <c r="V62" i="22" s="1"/>
  <c r="B62" i="22" s="1"/>
  <c r="U251" i="22"/>
  <c r="T251" i="22" s="1"/>
  <c r="S251" i="22" s="1"/>
  <c r="R251" i="22" s="1"/>
  <c r="P251" i="22" s="1"/>
  <c r="V251" i="22" s="1"/>
  <c r="B251" i="22" s="1"/>
  <c r="U196" i="22"/>
  <c r="T196" i="22" s="1"/>
  <c r="S196" i="22" s="1"/>
  <c r="R196" i="22" s="1"/>
  <c r="P196" i="22" s="1"/>
  <c r="V196" i="22" s="1"/>
  <c r="B196" i="22" s="1"/>
  <c r="U233" i="22"/>
  <c r="T233" i="22" s="1"/>
  <c r="S233" i="22" s="1"/>
  <c r="R233" i="22" s="1"/>
  <c r="U67" i="22"/>
  <c r="T67" i="22" s="1"/>
  <c r="S67" i="22" s="1"/>
  <c r="R67" i="22" s="1"/>
  <c r="U260" i="22"/>
  <c r="T260" i="22" s="1"/>
  <c r="S260" i="22" s="1"/>
  <c r="R260" i="22" s="1"/>
  <c r="P260" i="22" s="1"/>
  <c r="V260" i="22" s="1"/>
  <c r="B260" i="22" s="1"/>
  <c r="U277" i="22"/>
  <c r="T277" i="22" s="1"/>
  <c r="S277" i="22" s="1"/>
  <c r="R277" i="22" s="1"/>
  <c r="P277" i="22" s="1"/>
  <c r="V277" i="22" s="1"/>
  <c r="B277" i="22" s="1"/>
  <c r="U291" i="22"/>
  <c r="T291" i="22" s="1"/>
  <c r="S291" i="22" s="1"/>
  <c r="R291" i="22" s="1"/>
  <c r="P291" i="22" s="1"/>
  <c r="V291" i="22" s="1"/>
  <c r="B291" i="22" s="1"/>
  <c r="U44" i="22"/>
  <c r="T44" i="22" s="1"/>
  <c r="S44" i="22" s="1"/>
  <c r="R44" i="22" s="1"/>
  <c r="P44" i="22" s="1"/>
  <c r="V44" i="22" s="1"/>
  <c r="B44" i="22" s="1"/>
  <c r="U244" i="22"/>
  <c r="T244" i="22" s="1"/>
  <c r="S244" i="22" s="1"/>
  <c r="R244" i="22" s="1"/>
  <c r="P244" i="22" s="1"/>
  <c r="V244" i="22" s="1"/>
  <c r="B244" i="22" s="1"/>
  <c r="U205" i="22"/>
  <c r="T205" i="22" s="1"/>
  <c r="S205" i="22" s="1"/>
  <c r="R205" i="22" s="1"/>
  <c r="U74" i="22"/>
  <c r="T74" i="22" s="1"/>
  <c r="S74" i="22" s="1"/>
  <c r="R74" i="22" s="1"/>
  <c r="U361" i="22"/>
  <c r="T361" i="22" s="1"/>
  <c r="S361" i="22" s="1"/>
  <c r="R361" i="22" s="1"/>
  <c r="U40" i="22"/>
  <c r="T40" i="22" s="1"/>
  <c r="S40" i="22" s="1"/>
  <c r="R40" i="22" s="1"/>
  <c r="U145" i="22"/>
  <c r="T145" i="22" s="1"/>
  <c r="S145" i="22" s="1"/>
  <c r="R145" i="22" s="1"/>
  <c r="P145" i="22" s="1"/>
  <c r="V145" i="22" s="1"/>
  <c r="B145" i="22" s="1"/>
  <c r="U273" i="22"/>
  <c r="T273" i="22" s="1"/>
  <c r="S273" i="22" s="1"/>
  <c r="R273" i="22" s="1"/>
  <c r="U245" i="22"/>
  <c r="T245" i="22" s="1"/>
  <c r="S245" i="22" s="1"/>
  <c r="R245" i="22" s="1"/>
  <c r="U249" i="22"/>
  <c r="T249" i="22" s="1"/>
  <c r="S249" i="22" s="1"/>
  <c r="R249" i="22" s="1"/>
  <c r="P249" i="22" s="1"/>
  <c r="V249" i="22" s="1"/>
  <c r="B249" i="22" s="1"/>
  <c r="U343" i="22"/>
  <c r="T343" i="22" s="1"/>
  <c r="S343" i="22" s="1"/>
  <c r="R343" i="22" s="1"/>
  <c r="U369" i="22"/>
  <c r="T369" i="22" s="1"/>
  <c r="S369" i="22" s="1"/>
  <c r="R369" i="22" s="1"/>
  <c r="U142" i="22"/>
  <c r="T142" i="22" s="1"/>
  <c r="S142" i="22" s="1"/>
  <c r="R142" i="22" s="1"/>
  <c r="P142" i="22" s="1"/>
  <c r="V142" i="22" s="1"/>
  <c r="B142" i="22" s="1"/>
  <c r="U174" i="22"/>
  <c r="T174" i="22" s="1"/>
  <c r="S174" i="22" s="1"/>
  <c r="R174" i="22" s="1"/>
  <c r="U198" i="22"/>
  <c r="T198" i="22" s="1"/>
  <c r="S198" i="22" s="1"/>
  <c r="R198" i="22" s="1"/>
  <c r="P198" i="22" s="1"/>
  <c r="V198" i="22" s="1"/>
  <c r="B198" i="22" s="1"/>
  <c r="U71" i="22"/>
  <c r="T71" i="22" s="1"/>
  <c r="S71" i="22" s="1"/>
  <c r="R71" i="22" s="1"/>
  <c r="U148" i="22"/>
  <c r="T148" i="22" s="1"/>
  <c r="S148" i="22" s="1"/>
  <c r="R148" i="22" s="1"/>
  <c r="P148" i="22" s="1"/>
  <c r="V148" i="22" s="1"/>
  <c r="B148" i="22" s="1"/>
  <c r="U315" i="22"/>
  <c r="T315" i="22" s="1"/>
  <c r="S315" i="22" s="1"/>
  <c r="R315" i="22" s="1"/>
  <c r="P315" i="22" s="1"/>
  <c r="V315" i="22" s="1"/>
  <c r="B315" i="22" s="1"/>
  <c r="U138" i="22"/>
  <c r="T138" i="22" s="1"/>
  <c r="S138" i="22" s="1"/>
  <c r="R138" i="22" s="1"/>
  <c r="P138" i="22" s="1"/>
  <c r="V138" i="22" s="1"/>
  <c r="B138" i="22" s="1"/>
  <c r="W138" i="22" s="1"/>
  <c r="U187" i="22"/>
  <c r="T187" i="22" s="1"/>
  <c r="S187" i="22" s="1"/>
  <c r="R187" i="22" s="1"/>
  <c r="P187" i="22" s="1"/>
  <c r="V187" i="22" s="1"/>
  <c r="B187" i="22" s="1"/>
  <c r="U51" i="22"/>
  <c r="T51" i="22" s="1"/>
  <c r="S51" i="22" s="1"/>
  <c r="R51" i="22" s="1"/>
  <c r="U116" i="22"/>
  <c r="T116" i="22" s="1"/>
  <c r="S116" i="22" s="1"/>
  <c r="R116" i="22" s="1"/>
  <c r="U146" i="22"/>
  <c r="T146" i="22" s="1"/>
  <c r="S146" i="22" s="1"/>
  <c r="R146" i="22" s="1"/>
  <c r="U206" i="22"/>
  <c r="T206" i="22" s="1"/>
  <c r="S206" i="22" s="1"/>
  <c r="R206" i="22" s="1"/>
  <c r="U15" i="22"/>
  <c r="U45" i="22"/>
  <c r="T45" i="22" s="1"/>
  <c r="S45" i="22" s="1"/>
  <c r="R45" i="22" s="1"/>
  <c r="P45" i="22" s="1"/>
  <c r="V45" i="22" s="1"/>
  <c r="B45" i="22" s="1"/>
  <c r="U224" i="22"/>
  <c r="T224" i="22" s="1"/>
  <c r="S224" i="22" s="1"/>
  <c r="R224" i="22" s="1"/>
  <c r="U380" i="22"/>
  <c r="T380" i="22" s="1"/>
  <c r="S380" i="22" s="1"/>
  <c r="R380" i="22" s="1"/>
  <c r="U188" i="22"/>
  <c r="T188" i="22" s="1"/>
  <c r="S188" i="22" s="1"/>
  <c r="R188" i="22" s="1"/>
  <c r="U72" i="22"/>
  <c r="T72" i="22" s="1"/>
  <c r="S72" i="22" s="1"/>
  <c r="R72" i="22" s="1"/>
  <c r="P72" i="22" s="1"/>
  <c r="V72" i="22" s="1"/>
  <c r="B72" i="22" s="1"/>
  <c r="U159" i="22"/>
  <c r="T159" i="22" s="1"/>
  <c r="S159" i="22" s="1"/>
  <c r="R159" i="22" s="1"/>
  <c r="P159" i="22" s="1"/>
  <c r="V159" i="22" s="1"/>
  <c r="B159" i="22" s="1"/>
  <c r="U326" i="22"/>
  <c r="T326" i="22" s="1"/>
  <c r="S326" i="22" s="1"/>
  <c r="R326" i="22" s="1"/>
  <c r="P326" i="22" s="1"/>
  <c r="V326" i="22" s="1"/>
  <c r="B326" i="22" s="1"/>
  <c r="U194" i="22"/>
  <c r="T194" i="22" s="1"/>
  <c r="S194" i="22" s="1"/>
  <c r="R194" i="22" s="1"/>
  <c r="P194" i="22" s="1"/>
  <c r="V194" i="22" s="1"/>
  <c r="B194" i="22" s="1"/>
  <c r="U370" i="22"/>
  <c r="T370" i="22" s="1"/>
  <c r="S370" i="22" s="1"/>
  <c r="R370" i="22" s="1"/>
  <c r="P370" i="22" s="1"/>
  <c r="V370" i="22" s="1"/>
  <c r="B370" i="22" s="1"/>
  <c r="D370" i="22" s="1"/>
  <c r="E370" i="22" s="1"/>
  <c r="F370" i="22" s="1"/>
  <c r="U119" i="22"/>
  <c r="T119" i="22" s="1"/>
  <c r="S119" i="22" s="1"/>
  <c r="R119" i="22" s="1"/>
  <c r="U61" i="22"/>
  <c r="T61" i="22" s="1"/>
  <c r="S61" i="22" s="1"/>
  <c r="R61" i="22" s="1"/>
  <c r="U372" i="22"/>
  <c r="T372" i="22" s="1"/>
  <c r="S372" i="22" s="1"/>
  <c r="R372" i="22" s="1"/>
  <c r="P372" i="22" s="1"/>
  <c r="V372" i="22" s="1"/>
  <c r="B372" i="22" s="1"/>
  <c r="U25" i="22"/>
  <c r="T25" i="22" s="1"/>
  <c r="S25" i="22" s="1"/>
  <c r="R25" i="22" s="1"/>
  <c r="P25" i="22" s="1"/>
  <c r="V25" i="22" s="1"/>
  <c r="B25" i="22" s="1"/>
  <c r="U104" i="22"/>
  <c r="T104" i="22" s="1"/>
  <c r="S104" i="22" s="1"/>
  <c r="R104" i="22" s="1"/>
  <c r="U341" i="22"/>
  <c r="T341" i="22" s="1"/>
  <c r="S341" i="22" s="1"/>
  <c r="R341" i="22" s="1"/>
  <c r="U117" i="22"/>
  <c r="T117" i="22" s="1"/>
  <c r="S117" i="22" s="1"/>
  <c r="R117" i="22" s="1"/>
  <c r="P117" i="22" s="1"/>
  <c r="V117" i="22" s="1"/>
  <c r="B117" i="22" s="1"/>
  <c r="U58" i="22"/>
  <c r="T58" i="22" s="1"/>
  <c r="S58" i="22" s="1"/>
  <c r="R58" i="22" s="1"/>
  <c r="P58" i="22" s="1"/>
  <c r="V58" i="22" s="1"/>
  <c r="B58" i="22" s="1"/>
  <c r="U19" i="22"/>
  <c r="T19" i="22" s="1"/>
  <c r="S19" i="22" s="1"/>
  <c r="R19" i="22" s="1"/>
  <c r="U190" i="22"/>
  <c r="T190" i="22" s="1"/>
  <c r="S190" i="22" s="1"/>
  <c r="R190" i="22" s="1"/>
  <c r="U219" i="22"/>
  <c r="T219" i="22" s="1"/>
  <c r="S219" i="22" s="1"/>
  <c r="R219" i="22" s="1"/>
  <c r="P219" i="22" s="1"/>
  <c r="V219" i="22" s="1"/>
  <c r="B219" i="22" s="1"/>
  <c r="U127" i="22"/>
  <c r="T127" i="22" s="1"/>
  <c r="S127" i="22" s="1"/>
  <c r="R127" i="22" s="1"/>
  <c r="U271" i="22"/>
  <c r="T271" i="22" s="1"/>
  <c r="S271" i="22" s="1"/>
  <c r="R271" i="22" s="1"/>
  <c r="U214" i="22"/>
  <c r="T214" i="22" s="1"/>
  <c r="S214" i="22" s="1"/>
  <c r="R214" i="22" s="1"/>
  <c r="U52" i="22"/>
  <c r="T52" i="22" s="1"/>
  <c r="S52" i="22" s="1"/>
  <c r="R52" i="22" s="1"/>
  <c r="U331" i="22"/>
  <c r="T331" i="22" s="1"/>
  <c r="S331" i="22" s="1"/>
  <c r="R331" i="22" s="1"/>
  <c r="U290" i="22"/>
  <c r="T290" i="22" s="1"/>
  <c r="S290" i="22" s="1"/>
  <c r="R290" i="22" s="1"/>
  <c r="P290" i="22" s="1"/>
  <c r="V290" i="22" s="1"/>
  <c r="B290" i="22" s="1"/>
  <c r="U165" i="22"/>
  <c r="T165" i="22" s="1"/>
  <c r="S165" i="22" s="1"/>
  <c r="R165" i="22" s="1"/>
  <c r="P165" i="22" s="1"/>
  <c r="V165" i="22" s="1"/>
  <c r="B165" i="22" s="1"/>
  <c r="U269" i="22"/>
  <c r="T269" i="22" s="1"/>
  <c r="S269" i="22" s="1"/>
  <c r="R269" i="22" s="1"/>
  <c r="P269" i="22" s="1"/>
  <c r="V269" i="22" s="1"/>
  <c r="B269" i="22" s="1"/>
  <c r="U32" i="22"/>
  <c r="T32" i="22" s="1"/>
  <c r="S32" i="22" s="1"/>
  <c r="R32" i="22" s="1"/>
  <c r="U120" i="22"/>
  <c r="T120" i="22" s="1"/>
  <c r="S120" i="22" s="1"/>
  <c r="R120" i="22" s="1"/>
  <c r="U257" i="22"/>
  <c r="T257" i="22" s="1"/>
  <c r="S257" i="22" s="1"/>
  <c r="R257" i="22" s="1"/>
  <c r="P257" i="22" s="1"/>
  <c r="V257" i="22" s="1"/>
  <c r="B257" i="22" s="1"/>
  <c r="U143" i="22"/>
  <c r="T143" i="22" s="1"/>
  <c r="S143" i="22" s="1"/>
  <c r="R143" i="22" s="1"/>
  <c r="P143" i="22" s="1"/>
  <c r="V143" i="22" s="1"/>
  <c r="B143" i="22" s="1"/>
  <c r="U348" i="22"/>
  <c r="T348" i="22" s="1"/>
  <c r="S348" i="22" s="1"/>
  <c r="R348" i="22" s="1"/>
  <c r="U147" i="22"/>
  <c r="T147" i="22" s="1"/>
  <c r="S147" i="22" s="1"/>
  <c r="R147" i="22" s="1"/>
  <c r="P147" i="22" s="1"/>
  <c r="V147" i="22" s="1"/>
  <c r="B147" i="22" s="1"/>
  <c r="U276" i="22"/>
  <c r="T276" i="22" s="1"/>
  <c r="S276" i="22" s="1"/>
  <c r="R276" i="22" s="1"/>
  <c r="P276" i="22" s="1"/>
  <c r="V276" i="22" s="1"/>
  <c r="B276" i="22" s="1"/>
  <c r="U43" i="22"/>
  <c r="T43" i="22" s="1"/>
  <c r="S43" i="22" s="1"/>
  <c r="R43" i="22" s="1"/>
  <c r="U360" i="22"/>
  <c r="T360" i="22" s="1"/>
  <c r="S360" i="22" s="1"/>
  <c r="R360" i="22" s="1"/>
  <c r="U163" i="22"/>
  <c r="T163" i="22" s="1"/>
  <c r="S163" i="22" s="1"/>
  <c r="R163" i="22" s="1"/>
  <c r="P163" i="22" s="1"/>
  <c r="V163" i="22" s="1"/>
  <c r="B163" i="22" s="1"/>
  <c r="U134" i="22"/>
  <c r="T134" i="22" s="1"/>
  <c r="S134" i="22" s="1"/>
  <c r="R134" i="22" s="1"/>
  <c r="U28" i="22"/>
  <c r="T28" i="22" s="1"/>
  <c r="S28" i="22" s="1"/>
  <c r="R28" i="22" s="1"/>
  <c r="U26" i="22"/>
  <c r="T26" i="22" s="1"/>
  <c r="S26" i="22" s="1"/>
  <c r="R26" i="22" s="1"/>
  <c r="U121" i="22"/>
  <c r="T121" i="22" s="1"/>
  <c r="S121" i="22" s="1"/>
  <c r="R121" i="22" s="1"/>
  <c r="U47" i="22"/>
  <c r="T47" i="22" s="1"/>
  <c r="S47" i="22" s="1"/>
  <c r="R47" i="22" s="1"/>
  <c r="U141" i="22"/>
  <c r="T141" i="22" s="1"/>
  <c r="S141" i="22" s="1"/>
  <c r="R141" i="22" s="1"/>
  <c r="U227" i="22"/>
  <c r="T227" i="22" s="1"/>
  <c r="S227" i="22" s="1"/>
  <c r="R227" i="22" s="1"/>
  <c r="P227" i="22" s="1"/>
  <c r="V227" i="22" s="1"/>
  <c r="U357" i="22"/>
  <c r="T357" i="22" s="1"/>
  <c r="S357" i="22" s="1"/>
  <c r="R357" i="22" s="1"/>
  <c r="U36" i="22"/>
  <c r="T36" i="22" s="1"/>
  <c r="S36" i="22" s="1"/>
  <c r="R36" i="22" s="1"/>
  <c r="P36" i="22" s="1"/>
  <c r="V36" i="22" s="1"/>
  <c r="B36" i="22" s="1"/>
  <c r="U267" i="22"/>
  <c r="T267" i="22" s="1"/>
  <c r="S267" i="22" s="1"/>
  <c r="R267" i="22" s="1"/>
  <c r="P267" i="22" s="1"/>
  <c r="V267" i="22" s="1"/>
  <c r="B267" i="22" s="1"/>
  <c r="U80" i="22"/>
  <c r="T80" i="22" s="1"/>
  <c r="S80" i="22" s="1"/>
  <c r="R80" i="22" s="1"/>
  <c r="P80" i="22" s="1"/>
  <c r="V80" i="22" s="1"/>
  <c r="B80" i="22" s="1"/>
  <c r="U222" i="22"/>
  <c r="T222" i="22" s="1"/>
  <c r="S222" i="22" s="1"/>
  <c r="R222" i="22" s="1"/>
  <c r="U345" i="22"/>
  <c r="T345" i="22" s="1"/>
  <c r="S345" i="22" s="1"/>
  <c r="R345" i="22" s="1"/>
  <c r="P345" i="22" s="1"/>
  <c r="V345" i="22" s="1"/>
  <c r="B345" i="22" s="1"/>
  <c r="U184" i="22"/>
  <c r="T184" i="22" s="1"/>
  <c r="S184" i="22" s="1"/>
  <c r="R184" i="22" s="1"/>
  <c r="U352" i="22"/>
  <c r="T352" i="22" s="1"/>
  <c r="S352" i="22" s="1"/>
  <c r="R352" i="22" s="1"/>
  <c r="U292" i="22"/>
  <c r="T292" i="22" s="1"/>
  <c r="S292" i="22" s="1"/>
  <c r="R292" i="22" s="1"/>
  <c r="U217" i="22"/>
  <c r="T217" i="22" s="1"/>
  <c r="S217" i="22" s="1"/>
  <c r="R217" i="22" s="1"/>
  <c r="P217" i="22" s="1"/>
  <c r="V217" i="22" s="1"/>
  <c r="B217" i="22" s="1"/>
  <c r="W217" i="22" s="1"/>
  <c r="U378" i="22"/>
  <c r="T378" i="22" s="1"/>
  <c r="S378" i="22" s="1"/>
  <c r="R378" i="22" s="1"/>
  <c r="P378" i="22" s="1"/>
  <c r="V378" i="22" s="1"/>
  <c r="B378" i="22" s="1"/>
  <c r="U264" i="22"/>
  <c r="T264" i="22" s="1"/>
  <c r="S264" i="22" s="1"/>
  <c r="R264" i="22" s="1"/>
  <c r="P264" i="22" s="1"/>
  <c r="V264" i="22" s="1"/>
  <c r="B264" i="22" s="1"/>
  <c r="U289" i="22"/>
  <c r="T289" i="22" s="1"/>
  <c r="S289" i="22" s="1"/>
  <c r="R289" i="22" s="1"/>
  <c r="P289" i="22" s="1"/>
  <c r="V289" i="22" s="1"/>
  <c r="B289" i="22" s="1"/>
  <c r="U128" i="22"/>
  <c r="T128" i="22" s="1"/>
  <c r="S128" i="22" s="1"/>
  <c r="R128" i="22" s="1"/>
  <c r="P128" i="22" s="1"/>
  <c r="V128" i="22" s="1"/>
  <c r="B128" i="22" s="1"/>
  <c r="U284" i="22"/>
  <c r="T284" i="22" s="1"/>
  <c r="S284" i="22" s="1"/>
  <c r="R284" i="22" s="1"/>
  <c r="P284" i="22" s="1"/>
  <c r="V284" i="22" s="1"/>
  <c r="B284" i="22" s="1"/>
  <c r="U216" i="22"/>
  <c r="T216" i="22" s="1"/>
  <c r="S216" i="22" s="1"/>
  <c r="R216" i="22" s="1"/>
  <c r="P216" i="22" s="1"/>
  <c r="V216" i="22" s="1"/>
  <c r="B216" i="22" s="1"/>
  <c r="U82" i="22"/>
  <c r="T82" i="22" s="1"/>
  <c r="S82" i="22" s="1"/>
  <c r="R82" i="22" s="1"/>
  <c r="U241" i="22"/>
  <c r="T241" i="22" s="1"/>
  <c r="S241" i="22" s="1"/>
  <c r="R241" i="22" s="1"/>
  <c r="P241" i="22" s="1"/>
  <c r="U39" i="22"/>
  <c r="T39" i="22" s="1"/>
  <c r="S39" i="22" s="1"/>
  <c r="R39" i="22" s="1"/>
  <c r="U66" i="22"/>
  <c r="T66" i="22" s="1"/>
  <c r="S66" i="22" s="1"/>
  <c r="R66" i="22" s="1"/>
  <c r="P66" i="22" s="1"/>
  <c r="V66" i="22" s="1"/>
  <c r="B66" i="22" s="1"/>
  <c r="U334" i="22"/>
  <c r="T334" i="22" s="1"/>
  <c r="S334" i="22" s="1"/>
  <c r="R334" i="22" s="1"/>
  <c r="U88" i="22"/>
  <c r="T88" i="22" s="1"/>
  <c r="S88" i="22" s="1"/>
  <c r="R88" i="22" s="1"/>
  <c r="P88" i="22" s="1"/>
  <c r="U346" i="22"/>
  <c r="T346" i="22" s="1"/>
  <c r="S346" i="22" s="1"/>
  <c r="R346" i="22" s="1"/>
  <c r="P346" i="22" s="1"/>
  <c r="V346" i="22" s="1"/>
  <c r="B346" i="22" s="1"/>
  <c r="U95" i="22"/>
  <c r="T95" i="22" s="1"/>
  <c r="S95" i="22" s="1"/>
  <c r="R95" i="22" s="1"/>
  <c r="P95" i="22" s="1"/>
  <c r="V95" i="22" s="1"/>
  <c r="B95" i="22" s="1"/>
  <c r="U358" i="22"/>
  <c r="T358" i="22" s="1"/>
  <c r="S358" i="22" s="1"/>
  <c r="R358" i="22" s="1"/>
  <c r="P358" i="22" s="1"/>
  <c r="V358" i="22" s="1"/>
  <c r="B358" i="22" s="1"/>
  <c r="U150" i="22"/>
  <c r="T150" i="22" s="1"/>
  <c r="S150" i="22" s="1"/>
  <c r="R150" i="22" s="1"/>
  <c r="P150" i="22" s="1"/>
  <c r="V150" i="22" s="1"/>
  <c r="B150" i="22" s="1"/>
  <c r="U149" i="22"/>
  <c r="T149" i="22" s="1"/>
  <c r="S149" i="22" s="1"/>
  <c r="R149" i="22" s="1"/>
  <c r="P149" i="22" s="1"/>
  <c r="U342" i="22"/>
  <c r="T342" i="22" s="1"/>
  <c r="S342" i="22" s="1"/>
  <c r="R342" i="22" s="1"/>
  <c r="P342" i="22" s="1"/>
  <c r="V342" i="22" s="1"/>
  <c r="B342" i="22" s="1"/>
  <c r="U79" i="22"/>
  <c r="T79" i="22" s="1"/>
  <c r="S79" i="22" s="1"/>
  <c r="R79" i="22" s="1"/>
  <c r="U237" i="22"/>
  <c r="T237" i="22" s="1"/>
  <c r="S237" i="22" s="1"/>
  <c r="R237" i="22" s="1"/>
  <c r="P237" i="22" s="1"/>
  <c r="V237" i="22" s="1"/>
  <c r="B237" i="22" s="1"/>
  <c r="U29" i="22"/>
  <c r="T29" i="22" s="1"/>
  <c r="S29" i="22" s="1"/>
  <c r="R29" i="22" s="1"/>
  <c r="U63" i="22"/>
  <c r="T63" i="22" s="1"/>
  <c r="S63" i="22" s="1"/>
  <c r="R63" i="22" s="1"/>
  <c r="P63" i="22" s="1"/>
  <c r="V63" i="22" s="1"/>
  <c r="B63" i="22" s="1"/>
  <c r="U340" i="22"/>
  <c r="T340" i="22" s="1"/>
  <c r="S340" i="22" s="1"/>
  <c r="R340" i="22" s="1"/>
  <c r="P340" i="22" s="1"/>
  <c r="V340" i="22" s="1"/>
  <c r="B340" i="22" s="1"/>
  <c r="U135" i="22"/>
  <c r="T135" i="22" s="1"/>
  <c r="S135" i="22" s="1"/>
  <c r="R135" i="22" s="1"/>
  <c r="P135" i="22" s="1"/>
  <c r="V135" i="22" s="1"/>
  <c r="U344" i="22"/>
  <c r="T344" i="22" s="1"/>
  <c r="S344" i="22" s="1"/>
  <c r="R344" i="22" s="1"/>
  <c r="U248" i="22"/>
  <c r="T248" i="22" s="1"/>
  <c r="S248" i="22" s="1"/>
  <c r="R248" i="22" s="1"/>
  <c r="P248" i="22" s="1"/>
  <c r="V248" i="22" s="1"/>
  <c r="B248" i="22" s="1"/>
  <c r="U232" i="22"/>
  <c r="T232" i="22" s="1"/>
  <c r="S232" i="22" s="1"/>
  <c r="R232" i="22" s="1"/>
  <c r="U42" i="22"/>
  <c r="T42" i="22" s="1"/>
  <c r="S42" i="22" s="1"/>
  <c r="R42" i="22" s="1"/>
  <c r="P42" i="22" s="1"/>
  <c r="V42" i="22" s="1"/>
  <c r="B42" i="22" s="1"/>
  <c r="U21" i="22"/>
  <c r="T21" i="22" s="1"/>
  <c r="S21" i="22" s="1"/>
  <c r="R21" i="22" s="1"/>
  <c r="P21" i="22" s="1"/>
  <c r="V21" i="22" s="1"/>
  <c r="B21" i="22" s="1"/>
  <c r="U332" i="22"/>
  <c r="T332" i="22" s="1"/>
  <c r="S332" i="22" s="1"/>
  <c r="R332" i="22" s="1"/>
  <c r="P332" i="22" s="1"/>
  <c r="V332" i="22" s="1"/>
  <c r="B332" i="22" s="1"/>
  <c r="U262" i="22"/>
  <c r="T262" i="22" s="1"/>
  <c r="S262" i="22" s="1"/>
  <c r="R262" i="22" s="1"/>
  <c r="U234" i="22"/>
  <c r="T234" i="22" s="1"/>
  <c r="S234" i="22" s="1"/>
  <c r="R234" i="22" s="1"/>
  <c r="P234" i="22" s="1"/>
  <c r="V234" i="22" s="1"/>
  <c r="B234" i="22" s="1"/>
  <c r="U37" i="22"/>
  <c r="T37" i="22" s="1"/>
  <c r="S37" i="22" s="1"/>
  <c r="R37" i="22" s="1"/>
  <c r="P37" i="22" s="1"/>
  <c r="V37" i="22" s="1"/>
  <c r="B37" i="22" s="1"/>
  <c r="U162" i="22"/>
  <c r="T162" i="22" s="1"/>
  <c r="S162" i="22" s="1"/>
  <c r="R162" i="22" s="1"/>
  <c r="P162" i="22" s="1"/>
  <c r="V162" i="22" s="1"/>
  <c r="B162" i="22" s="1"/>
  <c r="U308" i="22"/>
  <c r="T308" i="22" s="1"/>
  <c r="S308" i="22" s="1"/>
  <c r="R308" i="22" s="1"/>
  <c r="P308" i="22" s="1"/>
  <c r="V308" i="22" s="1"/>
  <c r="B308" i="22" s="1"/>
  <c r="U226" i="22"/>
  <c r="T226" i="22" s="1"/>
  <c r="S226" i="22" s="1"/>
  <c r="R226" i="22" s="1"/>
  <c r="P226" i="22" s="1"/>
  <c r="V226" i="22" s="1"/>
  <c r="B226" i="22" s="1"/>
  <c r="U35" i="22"/>
  <c r="T35" i="22" s="1"/>
  <c r="S35" i="22" s="1"/>
  <c r="R35" i="22" s="1"/>
  <c r="P35" i="22" s="1"/>
  <c r="V35" i="22" s="1"/>
  <c r="B35" i="22" s="1"/>
  <c r="U323" i="22"/>
  <c r="T323" i="22" s="1"/>
  <c r="S323" i="22" s="1"/>
  <c r="R323" i="22" s="1"/>
  <c r="P323" i="22" s="1"/>
  <c r="V323" i="22" s="1"/>
  <c r="B323" i="22" s="1"/>
  <c r="U77" i="22"/>
  <c r="T77" i="22" s="1"/>
  <c r="S77" i="22" s="1"/>
  <c r="R77" i="22" s="1"/>
  <c r="U350" i="22"/>
  <c r="T350" i="22" s="1"/>
  <c r="S350" i="22" s="1"/>
  <c r="R350" i="22" s="1"/>
  <c r="P350" i="22" s="1"/>
  <c r="V350" i="22" s="1"/>
  <c r="B350" i="22" s="1"/>
  <c r="U207" i="22"/>
  <c r="T207" i="22" s="1"/>
  <c r="S207" i="22" s="1"/>
  <c r="R207" i="22" s="1"/>
  <c r="P207" i="22" s="1"/>
  <c r="V207" i="22" s="1"/>
  <c r="B207" i="22" s="1"/>
  <c r="U368" i="22"/>
  <c r="T368" i="22" s="1"/>
  <c r="S368" i="22" s="1"/>
  <c r="R368" i="22" s="1"/>
  <c r="P368" i="22" s="1"/>
  <c r="V368" i="22" s="1"/>
  <c r="B368" i="22" s="1"/>
  <c r="U105" i="22"/>
  <c r="T105" i="22" s="1"/>
  <c r="S105" i="22" s="1"/>
  <c r="R105" i="22" s="1"/>
  <c r="P105" i="22" s="1"/>
  <c r="V105" i="22" s="1"/>
  <c r="B105" i="22" s="1"/>
  <c r="U78" i="22"/>
  <c r="T78" i="22" s="1"/>
  <c r="S78" i="22" s="1"/>
  <c r="R78" i="22" s="1"/>
  <c r="P78" i="22" s="1"/>
  <c r="V78" i="22" s="1"/>
  <c r="B78" i="22" s="1"/>
  <c r="U126" i="22"/>
  <c r="T126" i="22" s="1"/>
  <c r="S126" i="22" s="1"/>
  <c r="R126" i="22" s="1"/>
  <c r="U235" i="22"/>
  <c r="T235" i="22" s="1"/>
  <c r="S235" i="22" s="1"/>
  <c r="R235" i="22" s="1"/>
  <c r="P235" i="22" s="1"/>
  <c r="V235" i="22" s="1"/>
  <c r="B235" i="22" s="1"/>
  <c r="U186" i="22"/>
  <c r="T186" i="22" s="1"/>
  <c r="S186" i="22" s="1"/>
  <c r="R186" i="22" s="1"/>
  <c r="P186" i="22" s="1"/>
  <c r="V186" i="22" s="1"/>
  <c r="B186" i="22" s="1"/>
  <c r="U220" i="22"/>
  <c r="T220" i="22" s="1"/>
  <c r="S220" i="22" s="1"/>
  <c r="R220" i="22" s="1"/>
  <c r="U136" i="22"/>
  <c r="T136" i="22" s="1"/>
  <c r="S136" i="22" s="1"/>
  <c r="R136" i="22" s="1"/>
  <c r="U114" i="22"/>
  <c r="T114" i="22" s="1"/>
  <c r="S114" i="22" s="1"/>
  <c r="R114" i="22" s="1"/>
  <c r="P114" i="22" s="1"/>
  <c r="V114" i="22" s="1"/>
  <c r="B114" i="22" s="1"/>
  <c r="U338" i="22"/>
  <c r="T338" i="22" s="1"/>
  <c r="S338" i="22" s="1"/>
  <c r="R338" i="22" s="1"/>
  <c r="P338" i="22" s="1"/>
  <c r="V338" i="22" s="1"/>
  <c r="B338" i="22" s="1"/>
  <c r="U84" i="22"/>
  <c r="T84" i="22" s="1"/>
  <c r="S84" i="22" s="1"/>
  <c r="R84" i="22" s="1"/>
  <c r="P84" i="22" s="1"/>
  <c r="V84" i="22" s="1"/>
  <c r="B84" i="22" s="1"/>
  <c r="U101" i="22"/>
  <c r="T101" i="22" s="1"/>
  <c r="S101" i="22" s="1"/>
  <c r="R101" i="22" s="1"/>
  <c r="P101" i="22" s="1"/>
  <c r="V101" i="22" s="1"/>
  <c r="B101" i="22" s="1"/>
  <c r="U156" i="22"/>
  <c r="T156" i="22" s="1"/>
  <c r="S156" i="22" s="1"/>
  <c r="R156" i="22" s="1"/>
  <c r="P156" i="22" s="1"/>
  <c r="V156" i="22" s="1"/>
  <c r="B156" i="22" s="1"/>
  <c r="U130" i="22"/>
  <c r="T130" i="22" s="1"/>
  <c r="S130" i="22" s="1"/>
  <c r="R130" i="22" s="1"/>
  <c r="G133" i="20"/>
  <c r="CB133" i="6" s="1"/>
  <c r="H133" i="20"/>
  <c r="G39" i="20"/>
  <c r="CB39" i="6" s="1"/>
  <c r="H39" i="20"/>
  <c r="G298" i="20"/>
  <c r="CB298" i="6" s="1"/>
  <c r="D99" i="6"/>
  <c r="G88" i="18"/>
  <c r="CA88" i="6" s="1"/>
  <c r="AA88" i="18"/>
  <c r="Z88" i="18" s="1"/>
  <c r="Y88" i="18" s="1"/>
  <c r="H88" i="18"/>
  <c r="G60" i="18"/>
  <c r="CA60" i="6" s="1"/>
  <c r="H60" i="18"/>
  <c r="AA60" i="18"/>
  <c r="Z60" i="18" s="1"/>
  <c r="Y60" i="18" s="1"/>
  <c r="AA149" i="18"/>
  <c r="Z149" i="18" s="1"/>
  <c r="Y149" i="18" s="1"/>
  <c r="G149" i="18"/>
  <c r="CA149" i="6" s="1"/>
  <c r="H149" i="18"/>
  <c r="AA241" i="18"/>
  <c r="Z241" i="18" s="1"/>
  <c r="Y241" i="18" s="1"/>
  <c r="G241" i="18"/>
  <c r="CA241" i="6" s="1"/>
  <c r="H241" i="18"/>
  <c r="G180" i="18"/>
  <c r="CA180" i="6" s="1"/>
  <c r="AA180" i="18"/>
  <c r="Z180" i="18" s="1"/>
  <c r="Y180" i="18" s="1"/>
  <c r="H180" i="18"/>
  <c r="AA280" i="20"/>
  <c r="Z280" i="20" s="1"/>
  <c r="Y280" i="20" s="1"/>
  <c r="AA223" i="20"/>
  <c r="Z223" i="20" s="1"/>
  <c r="Y223" i="20" s="1"/>
  <c r="AA133" i="20"/>
  <c r="Z133" i="20" s="1"/>
  <c r="Y133" i="20" s="1"/>
  <c r="AA251" i="20"/>
  <c r="Z251" i="20" s="1"/>
  <c r="Y251" i="20" s="1"/>
  <c r="AA72" i="20"/>
  <c r="Z72" i="20" s="1"/>
  <c r="Y72" i="20" s="1"/>
  <c r="AI381" i="20"/>
  <c r="AH15" i="20"/>
  <c r="AI383" i="20"/>
  <c r="AI382" i="20"/>
  <c r="AA309" i="20"/>
  <c r="Z309" i="20" s="1"/>
  <c r="Y309" i="20" s="1"/>
  <c r="AA290" i="20"/>
  <c r="Z290" i="20" s="1"/>
  <c r="Y290" i="20" s="1"/>
  <c r="AA235" i="20"/>
  <c r="Z235" i="20" s="1"/>
  <c r="Y235" i="20" s="1"/>
  <c r="AA134" i="20"/>
  <c r="Z134" i="20" s="1"/>
  <c r="Y134" i="20" s="1"/>
  <c r="AA106" i="20"/>
  <c r="Z106" i="20" s="1"/>
  <c r="Y106" i="20" s="1"/>
  <c r="AA151" i="20"/>
  <c r="Z151" i="20" s="1"/>
  <c r="Y151" i="20" s="1"/>
  <c r="AI12" i="22"/>
  <c r="AH379" i="20"/>
  <c r="AG379" i="20" s="1"/>
  <c r="AF379" i="20" s="1"/>
  <c r="AD379" i="20" s="1"/>
  <c r="AA113" i="20"/>
  <c r="Z113" i="20" s="1"/>
  <c r="Y113" i="20" s="1"/>
  <c r="AA210" i="18"/>
  <c r="Z210" i="18" s="1"/>
  <c r="Y210" i="18" s="1"/>
  <c r="G210" i="18"/>
  <c r="CA210" i="6" s="1"/>
  <c r="H210" i="18"/>
  <c r="I29" i="18"/>
  <c r="B29" i="6" s="1"/>
  <c r="BA29" i="6" s="1"/>
  <c r="D29" i="6" s="1"/>
  <c r="J29" i="18"/>
  <c r="C29" i="6" s="1"/>
  <c r="AE383" i="22"/>
  <c r="G111" i="20"/>
  <c r="CB111" i="6" s="1"/>
  <c r="AA111" i="20"/>
  <c r="Z111" i="20" s="1"/>
  <c r="Y111" i="20" s="1"/>
  <c r="H111" i="20"/>
  <c r="G103" i="20"/>
  <c r="CB103" i="6" s="1"/>
  <c r="H103" i="20"/>
  <c r="AA103" i="20"/>
  <c r="Z103" i="20" s="1"/>
  <c r="Y103" i="20" s="1"/>
  <c r="G61" i="20"/>
  <c r="CB61" i="6" s="1"/>
  <c r="AA61" i="20"/>
  <c r="Z61" i="20" s="1"/>
  <c r="Y61" i="20" s="1"/>
  <c r="H61" i="20"/>
  <c r="G263" i="20"/>
  <c r="CB263" i="6" s="1"/>
  <c r="H263" i="20"/>
  <c r="E66" i="19"/>
  <c r="B119" i="20"/>
  <c r="G116" i="20"/>
  <c r="CB116" i="6" s="1"/>
  <c r="H116" i="20"/>
  <c r="G90" i="20"/>
  <c r="CB90" i="6" s="1"/>
  <c r="H90" i="20"/>
  <c r="G109" i="20"/>
  <c r="CB109" i="6" s="1"/>
  <c r="AA109" i="20"/>
  <c r="Z109" i="20" s="1"/>
  <c r="Y109" i="20" s="1"/>
  <c r="H109" i="20"/>
  <c r="G96" i="20"/>
  <c r="CB96" i="6" s="1"/>
  <c r="AA96" i="20"/>
  <c r="Z96" i="20" s="1"/>
  <c r="Y96" i="20" s="1"/>
  <c r="H96" i="20"/>
  <c r="G310" i="20"/>
  <c r="CB310" i="6" s="1"/>
  <c r="AA310" i="20"/>
  <c r="Z310" i="20" s="1"/>
  <c r="Y310" i="20" s="1"/>
  <c r="H310" i="20"/>
  <c r="G112" i="20"/>
  <c r="CB112" i="6" s="1"/>
  <c r="H112" i="20"/>
  <c r="AA112" i="20"/>
  <c r="Z112" i="20" s="1"/>
  <c r="Y112" i="20" s="1"/>
  <c r="G255" i="20"/>
  <c r="CB255" i="6" s="1"/>
  <c r="AA255" i="20"/>
  <c r="Z255" i="20" s="1"/>
  <c r="Y255" i="20" s="1"/>
  <c r="G114" i="20"/>
  <c r="CB114" i="6" s="1"/>
  <c r="H114" i="20"/>
  <c r="AA114" i="20"/>
  <c r="Z114" i="20" s="1"/>
  <c r="Y114" i="20" s="1"/>
  <c r="H356" i="20"/>
  <c r="G356" i="20"/>
  <c r="CB356" i="6" s="1"/>
  <c r="G144" i="20"/>
  <c r="CB144" i="6" s="1"/>
  <c r="G360" i="20"/>
  <c r="CB360" i="6" s="1"/>
  <c r="AA360" i="20"/>
  <c r="Z360" i="20" s="1"/>
  <c r="Y360" i="20" s="1"/>
  <c r="H360" i="20"/>
  <c r="AA27" i="20"/>
  <c r="Z27" i="20" s="1"/>
  <c r="Y27" i="20" s="1"/>
  <c r="G27" i="20"/>
  <c r="CB27" i="6" s="1"/>
  <c r="H27" i="20"/>
  <c r="G294" i="20"/>
  <c r="CB294" i="6" s="1"/>
  <c r="AA294" i="20"/>
  <c r="Z294" i="20" s="1"/>
  <c r="Y294" i="20" s="1"/>
  <c r="H294" i="20"/>
  <c r="G196" i="20"/>
  <c r="CB196" i="6" s="1"/>
  <c r="AA196" i="20"/>
  <c r="Z196" i="20" s="1"/>
  <c r="Y196" i="20" s="1"/>
  <c r="G32" i="20"/>
  <c r="CB32" i="6" s="1"/>
  <c r="AA32" i="20"/>
  <c r="Z32" i="20" s="1"/>
  <c r="Y32" i="20" s="1"/>
  <c r="H32" i="20"/>
  <c r="G139" i="20"/>
  <c r="CB139" i="6" s="1"/>
  <c r="H139" i="20"/>
  <c r="AA139" i="20"/>
  <c r="Z139" i="20" s="1"/>
  <c r="Y139" i="20" s="1"/>
  <c r="G193" i="20"/>
  <c r="CB193" i="6" s="1"/>
  <c r="H193" i="20"/>
  <c r="AA193" i="20"/>
  <c r="Z193" i="20" s="1"/>
  <c r="Y193" i="20" s="1"/>
  <c r="H86" i="20"/>
  <c r="AA86" i="20"/>
  <c r="Z86" i="20" s="1"/>
  <c r="Y86" i="20" s="1"/>
  <c r="G86" i="20"/>
  <c r="CB86" i="6" s="1"/>
  <c r="G300" i="20"/>
  <c r="CB300" i="6" s="1"/>
  <c r="AA300" i="20"/>
  <c r="Z300" i="20" s="1"/>
  <c r="Y300" i="20" s="1"/>
  <c r="G308" i="20"/>
  <c r="CB308" i="6" s="1"/>
  <c r="AA308" i="20"/>
  <c r="Z308" i="20" s="1"/>
  <c r="Y308" i="20" s="1"/>
  <c r="H308" i="20"/>
  <c r="G228" i="20"/>
  <c r="CB228" i="6" s="1"/>
  <c r="H228" i="20"/>
  <c r="G341" i="20"/>
  <c r="CB341" i="6" s="1"/>
  <c r="H341" i="20"/>
  <c r="H288" i="20"/>
  <c r="G288" i="20"/>
  <c r="CB288" i="6" s="1"/>
  <c r="AA288" i="20"/>
  <c r="Z288" i="20" s="1"/>
  <c r="Y288" i="20" s="1"/>
  <c r="G369" i="20"/>
  <c r="CB369" i="6" s="1"/>
  <c r="H369" i="20"/>
  <c r="AA369" i="20"/>
  <c r="Z369" i="20" s="1"/>
  <c r="Y369" i="20" s="1"/>
  <c r="G137" i="20"/>
  <c r="CB137" i="6" s="1"/>
  <c r="H137" i="20"/>
  <c r="AA137" i="20"/>
  <c r="Z137" i="20" s="1"/>
  <c r="Y137" i="20" s="1"/>
  <c r="G153" i="20"/>
  <c r="CB153" i="6" s="1"/>
  <c r="AA153" i="20"/>
  <c r="Z153" i="20" s="1"/>
  <c r="Y153" i="20" s="1"/>
  <c r="H153" i="20"/>
  <c r="G233" i="20"/>
  <c r="CB233" i="6" s="1"/>
  <c r="H233" i="20"/>
  <c r="AA44" i="20"/>
  <c r="Z44" i="20" s="1"/>
  <c r="Y44" i="20" s="1"/>
  <c r="W363" i="20"/>
  <c r="D363" i="20"/>
  <c r="E363" i="20" s="1"/>
  <c r="F363" i="20" s="1"/>
  <c r="G305" i="20"/>
  <c r="CB305" i="6" s="1"/>
  <c r="AA305" i="20"/>
  <c r="Z305" i="20" s="1"/>
  <c r="Y305" i="20" s="1"/>
  <c r="H305" i="20"/>
  <c r="G122" i="20"/>
  <c r="CB122" i="6" s="1"/>
  <c r="H122" i="20"/>
  <c r="AA122" i="20"/>
  <c r="Z122" i="20" s="1"/>
  <c r="Y122" i="20" s="1"/>
  <c r="H364" i="20"/>
  <c r="AA364" i="20"/>
  <c r="Z364" i="20" s="1"/>
  <c r="Y364" i="20" s="1"/>
  <c r="G364" i="20"/>
  <c r="CB364" i="6" s="1"/>
  <c r="G164" i="20"/>
  <c r="CB164" i="6" s="1"/>
  <c r="H164" i="20"/>
  <c r="AA164" i="20"/>
  <c r="Z164" i="20" s="1"/>
  <c r="Y164" i="20" s="1"/>
  <c r="G33" i="20"/>
  <c r="CB33" i="6" s="1"/>
  <c r="H33" i="20"/>
  <c r="AA33" i="20"/>
  <c r="Z33" i="20" s="1"/>
  <c r="Y33" i="20" s="1"/>
  <c r="G206" i="20"/>
  <c r="CB206" i="6" s="1"/>
  <c r="H206" i="20"/>
  <c r="AA206" i="20"/>
  <c r="Z206" i="20" s="1"/>
  <c r="Y206" i="20" s="1"/>
  <c r="G104" i="20"/>
  <c r="CB104" i="6" s="1"/>
  <c r="H104" i="20"/>
  <c r="G285" i="20"/>
  <c r="CB285" i="6" s="1"/>
  <c r="AA285" i="20"/>
  <c r="Z285" i="20" s="1"/>
  <c r="Y285" i="20" s="1"/>
  <c r="H285" i="20"/>
  <c r="G203" i="20"/>
  <c r="CB203" i="6" s="1"/>
  <c r="AA203" i="20"/>
  <c r="Z203" i="20" s="1"/>
  <c r="Y203" i="20" s="1"/>
  <c r="AA173" i="20"/>
  <c r="Z173" i="20" s="1"/>
  <c r="Y173" i="20" s="1"/>
  <c r="H53" i="20"/>
  <c r="AA227" i="20"/>
  <c r="Z227" i="20" s="1"/>
  <c r="Y227" i="20" s="1"/>
  <c r="G227" i="20"/>
  <c r="CB227" i="6" s="1"/>
  <c r="H227" i="20"/>
  <c r="G264" i="20"/>
  <c r="CB264" i="6" s="1"/>
  <c r="H264" i="20"/>
  <c r="AA264" i="20"/>
  <c r="Z264" i="20" s="1"/>
  <c r="Y264" i="20" s="1"/>
  <c r="G123" i="20"/>
  <c r="CB123" i="6" s="1"/>
  <c r="AA123" i="20"/>
  <c r="Z123" i="20" s="1"/>
  <c r="Y123" i="20" s="1"/>
  <c r="G85" i="20"/>
  <c r="CB85" i="6" s="1"/>
  <c r="H85" i="20"/>
  <c r="AA85" i="20"/>
  <c r="Z85" i="20" s="1"/>
  <c r="Y85" i="20" s="1"/>
  <c r="G373" i="20"/>
  <c r="CB373" i="6" s="1"/>
  <c r="AA373" i="20"/>
  <c r="Z373" i="20" s="1"/>
  <c r="Y373" i="20" s="1"/>
  <c r="H373" i="20"/>
  <c r="G259" i="20"/>
  <c r="CB259" i="6" s="1"/>
  <c r="H259" i="20"/>
  <c r="H333" i="18"/>
  <c r="AA333" i="18"/>
  <c r="Z333" i="18" s="1"/>
  <c r="Y333" i="18" s="1"/>
  <c r="G333" i="18"/>
  <c r="CA333" i="6" s="1"/>
  <c r="B333" i="20"/>
  <c r="R381" i="18"/>
  <c r="R383" i="18"/>
  <c r="R382" i="18"/>
  <c r="P15" i="18"/>
  <c r="D211" i="6"/>
  <c r="I383" i="16"/>
  <c r="I381" i="16"/>
  <c r="I382" i="16"/>
  <c r="AA104" i="18"/>
  <c r="Z104" i="18" s="1"/>
  <c r="Y104" i="18" s="1"/>
  <c r="AD381" i="18"/>
  <c r="AD382" i="18"/>
  <c r="AD383" i="18"/>
  <c r="J166" i="20"/>
  <c r="I349" i="20"/>
  <c r="J349" i="20"/>
  <c r="G48" i="20"/>
  <c r="CB48" i="6" s="1"/>
  <c r="AA48" i="20"/>
  <c r="Z48" i="20" s="1"/>
  <c r="Y48" i="20" s="1"/>
  <c r="H48" i="20"/>
  <c r="G189" i="20"/>
  <c r="CB189" i="6" s="1"/>
  <c r="AA189" i="20"/>
  <c r="Z189" i="20" s="1"/>
  <c r="Y189" i="20" s="1"/>
  <c r="G320" i="20"/>
  <c r="CB320" i="6" s="1"/>
  <c r="AA320" i="20"/>
  <c r="Z320" i="20" s="1"/>
  <c r="Y320" i="20" s="1"/>
  <c r="AA314" i="20"/>
  <c r="Z314" i="20" s="1"/>
  <c r="Y314" i="20" s="1"/>
  <c r="G314" i="20"/>
  <c r="CB314" i="6" s="1"/>
  <c r="G370" i="20"/>
  <c r="CB370" i="6" s="1"/>
  <c r="H370" i="20"/>
  <c r="AA370" i="20"/>
  <c r="Z370" i="20" s="1"/>
  <c r="Y370" i="20" s="1"/>
  <c r="AJ3" i="16"/>
  <c r="O13" i="19" s="1"/>
  <c r="G138" i="20"/>
  <c r="CB138" i="6" s="1"/>
  <c r="H138" i="20"/>
  <c r="AA138" i="20"/>
  <c r="Z138" i="20" s="1"/>
  <c r="Y138" i="20" s="1"/>
  <c r="H266" i="20"/>
  <c r="AA266" i="20"/>
  <c r="Z266" i="20" s="1"/>
  <c r="Y266" i="20" s="1"/>
  <c r="G266" i="20"/>
  <c r="CB266" i="6" s="1"/>
  <c r="G53" i="20" l="1"/>
  <c r="CB53" i="6" s="1"/>
  <c r="H300" i="20"/>
  <c r="W29" i="20"/>
  <c r="P130" i="22"/>
  <c r="V130" i="22" s="1"/>
  <c r="B130" i="22" s="1"/>
  <c r="P136" i="22"/>
  <c r="V136" i="22" s="1"/>
  <c r="B136" i="22" s="1"/>
  <c r="P126" i="22"/>
  <c r="V126" i="22" s="1"/>
  <c r="B126" i="22" s="1"/>
  <c r="P77" i="22"/>
  <c r="V77" i="22" s="1"/>
  <c r="B77" i="22" s="1"/>
  <c r="P262" i="22"/>
  <c r="V262" i="22" s="1"/>
  <c r="B262" i="22" s="1"/>
  <c r="P232" i="22"/>
  <c r="V232" i="22" s="1"/>
  <c r="B232" i="22" s="1"/>
  <c r="P344" i="22"/>
  <c r="V344" i="22" s="1"/>
  <c r="B344" i="22" s="1"/>
  <c r="P29" i="22"/>
  <c r="P79" i="22"/>
  <c r="V79" i="22" s="1"/>
  <c r="B79" i="22" s="1"/>
  <c r="P334" i="22"/>
  <c r="V334" i="22" s="1"/>
  <c r="B334" i="22" s="1"/>
  <c r="P39" i="22"/>
  <c r="V39" i="22" s="1"/>
  <c r="B39" i="22" s="1"/>
  <c r="P82" i="22"/>
  <c r="V82" i="22" s="1"/>
  <c r="B82" i="22" s="1"/>
  <c r="D82" i="22" s="1"/>
  <c r="E82" i="22" s="1"/>
  <c r="F82" i="22" s="1"/>
  <c r="P292" i="22"/>
  <c r="V292" i="22" s="1"/>
  <c r="B292" i="22" s="1"/>
  <c r="P184" i="22"/>
  <c r="V184" i="22" s="1"/>
  <c r="B184" i="22" s="1"/>
  <c r="P222" i="22"/>
  <c r="V222" i="22" s="1"/>
  <c r="B222" i="22" s="1"/>
  <c r="P357" i="22"/>
  <c r="V357" i="22" s="1"/>
  <c r="B357" i="22" s="1"/>
  <c r="P141" i="22"/>
  <c r="V141" i="22" s="1"/>
  <c r="B141" i="22" s="1"/>
  <c r="P121" i="22"/>
  <c r="V121" i="22" s="1"/>
  <c r="B121" i="22" s="1"/>
  <c r="P28" i="22"/>
  <c r="V28" i="22" s="1"/>
  <c r="B28" i="22" s="1"/>
  <c r="P43" i="22"/>
  <c r="V43" i="22" s="1"/>
  <c r="B43" i="22" s="1"/>
  <c r="P120" i="22"/>
  <c r="V120" i="22" s="1"/>
  <c r="B120" i="22" s="1"/>
  <c r="P52" i="22"/>
  <c r="V52" i="22" s="1"/>
  <c r="B52" i="22" s="1"/>
  <c r="P271" i="22"/>
  <c r="V271" i="22" s="1"/>
  <c r="B271" i="22" s="1"/>
  <c r="P19" i="22"/>
  <c r="V19" i="22" s="1"/>
  <c r="B19" i="22" s="1"/>
  <c r="P104" i="22"/>
  <c r="V104" i="22" s="1"/>
  <c r="B104" i="22" s="1"/>
  <c r="P119" i="22"/>
  <c r="P188" i="22"/>
  <c r="V188" i="22" s="1"/>
  <c r="B188" i="22" s="1"/>
  <c r="P224" i="22"/>
  <c r="V224" i="22" s="1"/>
  <c r="B224" i="22" s="1"/>
  <c r="P146" i="22"/>
  <c r="V146" i="22" s="1"/>
  <c r="B146" i="22" s="1"/>
  <c r="P51" i="22"/>
  <c r="V51" i="22" s="1"/>
  <c r="B51" i="22" s="1"/>
  <c r="P343" i="22"/>
  <c r="V343" i="22" s="1"/>
  <c r="B343" i="22" s="1"/>
  <c r="P245" i="22"/>
  <c r="V245" i="22" s="1"/>
  <c r="B245" i="22" s="1"/>
  <c r="P361" i="22"/>
  <c r="V361" i="22" s="1"/>
  <c r="B361" i="22" s="1"/>
  <c r="P205" i="22"/>
  <c r="V205" i="22" s="1"/>
  <c r="B205" i="22" s="1"/>
  <c r="P182" i="22"/>
  <c r="V182" i="22" s="1"/>
  <c r="B182" i="22" s="1"/>
  <c r="P366" i="22"/>
  <c r="V366" i="22" s="1"/>
  <c r="B366" i="22" s="1"/>
  <c r="P286" i="22"/>
  <c r="V286" i="22" s="1"/>
  <c r="B286" i="22" s="1"/>
  <c r="P76" i="22"/>
  <c r="V76" i="22" s="1"/>
  <c r="B76" i="22" s="1"/>
  <c r="P155" i="22"/>
  <c r="V155" i="22" s="1"/>
  <c r="B155" i="22" s="1"/>
  <c r="P106" i="22"/>
  <c r="V106" i="22" s="1"/>
  <c r="B106" i="22" s="1"/>
  <c r="P250" i="22"/>
  <c r="V250" i="22" s="1"/>
  <c r="B250" i="22" s="1"/>
  <c r="P50" i="22"/>
  <c r="V50" i="22" s="1"/>
  <c r="B50" i="22" s="1"/>
  <c r="P48" i="22"/>
  <c r="V48" i="22" s="1"/>
  <c r="B48" i="22" s="1"/>
  <c r="P166" i="22"/>
  <c r="V166" i="22" s="1"/>
  <c r="B166" i="22" s="1"/>
  <c r="H44" i="20"/>
  <c r="B149" i="20"/>
  <c r="W149" i="20" s="1"/>
  <c r="H51" i="20"/>
  <c r="AE382" i="22"/>
  <c r="AE381" i="22"/>
  <c r="H318" i="20"/>
  <c r="J318" i="20" s="1"/>
  <c r="H367" i="20"/>
  <c r="I367" i="20" s="1"/>
  <c r="AA323" i="20"/>
  <c r="Z323" i="20" s="1"/>
  <c r="Y323" i="20" s="1"/>
  <c r="P220" i="22"/>
  <c r="V220" i="22" s="1"/>
  <c r="B220" i="22" s="1"/>
  <c r="D220" i="22" s="1"/>
  <c r="E220" i="22" s="1"/>
  <c r="F220" i="22" s="1"/>
  <c r="G220" i="22" s="1"/>
  <c r="CC220" i="6" s="1"/>
  <c r="P352" i="22"/>
  <c r="V352" i="22" s="1"/>
  <c r="B352" i="22" s="1"/>
  <c r="D352" i="22" s="1"/>
  <c r="E352" i="22" s="1"/>
  <c r="F352" i="22" s="1"/>
  <c r="P47" i="22"/>
  <c r="V47" i="22" s="1"/>
  <c r="B47" i="22" s="1"/>
  <c r="W47" i="22" s="1"/>
  <c r="P26" i="22"/>
  <c r="V26" i="22" s="1"/>
  <c r="B26" i="22" s="1"/>
  <c r="W26" i="22" s="1"/>
  <c r="P134" i="22"/>
  <c r="V134" i="22" s="1"/>
  <c r="B134" i="22" s="1"/>
  <c r="D134" i="22" s="1"/>
  <c r="E134" i="22" s="1"/>
  <c r="F134" i="22" s="1"/>
  <c r="P360" i="22"/>
  <c r="V360" i="22" s="1"/>
  <c r="B360" i="22" s="1"/>
  <c r="D360" i="22" s="1"/>
  <c r="E360" i="22" s="1"/>
  <c r="F360" i="22" s="1"/>
  <c r="P348" i="22"/>
  <c r="V348" i="22" s="1"/>
  <c r="B348" i="22" s="1"/>
  <c r="D348" i="22" s="1"/>
  <c r="E348" i="22" s="1"/>
  <c r="F348" i="22" s="1"/>
  <c r="P32" i="22"/>
  <c r="V32" i="22" s="1"/>
  <c r="B32" i="22" s="1"/>
  <c r="D32" i="22" s="1"/>
  <c r="E32" i="22" s="1"/>
  <c r="F32" i="22" s="1"/>
  <c r="P331" i="22"/>
  <c r="V331" i="22" s="1"/>
  <c r="B331" i="22" s="1"/>
  <c r="D331" i="22" s="1"/>
  <c r="E331" i="22" s="1"/>
  <c r="F331" i="22" s="1"/>
  <c r="P214" i="22"/>
  <c r="V214" i="22" s="1"/>
  <c r="B214" i="22" s="1"/>
  <c r="D214" i="22" s="1"/>
  <c r="E214" i="22" s="1"/>
  <c r="F214" i="22" s="1"/>
  <c r="P127" i="22"/>
  <c r="V127" i="22" s="1"/>
  <c r="B127" i="22" s="1"/>
  <c r="D127" i="22" s="1"/>
  <c r="E127" i="22" s="1"/>
  <c r="F127" i="22" s="1"/>
  <c r="P190" i="22"/>
  <c r="V190" i="22" s="1"/>
  <c r="B190" i="22" s="1"/>
  <c r="D190" i="22" s="1"/>
  <c r="E190" i="22" s="1"/>
  <c r="F190" i="22" s="1"/>
  <c r="P341" i="22"/>
  <c r="V341" i="22" s="1"/>
  <c r="B341" i="22" s="1"/>
  <c r="W341" i="22" s="1"/>
  <c r="P61" i="22"/>
  <c r="V61" i="22" s="1"/>
  <c r="B61" i="22" s="1"/>
  <c r="D61" i="22" s="1"/>
  <c r="E61" i="22" s="1"/>
  <c r="F61" i="22" s="1"/>
  <c r="P380" i="22"/>
  <c r="V380" i="22" s="1"/>
  <c r="P206" i="22"/>
  <c r="V206" i="22" s="1"/>
  <c r="B206" i="22" s="1"/>
  <c r="D206" i="22" s="1"/>
  <c r="E206" i="22" s="1"/>
  <c r="F206" i="22" s="1"/>
  <c r="P116" i="22"/>
  <c r="V116" i="22" s="1"/>
  <c r="B116" i="22" s="1"/>
  <c r="W116" i="22" s="1"/>
  <c r="P71" i="22"/>
  <c r="V71" i="22" s="1"/>
  <c r="B71" i="22" s="1"/>
  <c r="W71" i="22" s="1"/>
  <c r="P174" i="22"/>
  <c r="V174" i="22" s="1"/>
  <c r="B174" i="22" s="1"/>
  <c r="W174" i="22" s="1"/>
  <c r="P369" i="22"/>
  <c r="V369" i="22" s="1"/>
  <c r="B369" i="22" s="1"/>
  <c r="D369" i="22" s="1"/>
  <c r="E369" i="22" s="1"/>
  <c r="F369" i="22" s="1"/>
  <c r="P273" i="22"/>
  <c r="V273" i="22" s="1"/>
  <c r="B273" i="22" s="1"/>
  <c r="D273" i="22" s="1"/>
  <c r="E273" i="22" s="1"/>
  <c r="F273" i="22" s="1"/>
  <c r="P40" i="22"/>
  <c r="V40" i="22" s="1"/>
  <c r="B40" i="22" s="1"/>
  <c r="D40" i="22" s="1"/>
  <c r="E40" i="22" s="1"/>
  <c r="F40" i="22" s="1"/>
  <c r="P74" i="22"/>
  <c r="V74" i="22" s="1"/>
  <c r="P233" i="22"/>
  <c r="V233" i="22" s="1"/>
  <c r="B233" i="22" s="1"/>
  <c r="D233" i="22" s="1"/>
  <c r="E233" i="22" s="1"/>
  <c r="F233" i="22" s="1"/>
  <c r="P199" i="22"/>
  <c r="V199" i="22" s="1"/>
  <c r="B199" i="22" s="1"/>
  <c r="D199" i="22" s="1"/>
  <c r="E199" i="22" s="1"/>
  <c r="F199" i="22" s="1"/>
  <c r="P193" i="22"/>
  <c r="V193" i="22" s="1"/>
  <c r="B193" i="22" s="1"/>
  <c r="W193" i="22" s="1"/>
  <c r="P351" i="22"/>
  <c r="V351" i="22" s="1"/>
  <c r="B351" i="22" s="1"/>
  <c r="W351" i="22" s="1"/>
  <c r="P247" i="22"/>
  <c r="V247" i="22" s="1"/>
  <c r="B247" i="22" s="1"/>
  <c r="W247" i="22" s="1"/>
  <c r="P356" i="22"/>
  <c r="V356" i="22" s="1"/>
  <c r="B356" i="22" s="1"/>
  <c r="D356" i="22" s="1"/>
  <c r="E356" i="22" s="1"/>
  <c r="F356" i="22" s="1"/>
  <c r="P181" i="22"/>
  <c r="V181" i="22" s="1"/>
  <c r="B181" i="22" s="1"/>
  <c r="W181" i="22" s="1"/>
  <c r="P309" i="22"/>
  <c r="V309" i="22" s="1"/>
  <c r="B309" i="22" s="1"/>
  <c r="D309" i="22" s="1"/>
  <c r="E309" i="22" s="1"/>
  <c r="F309" i="22" s="1"/>
  <c r="P231" i="22"/>
  <c r="V231" i="22" s="1"/>
  <c r="B231" i="22" s="1"/>
  <c r="D231" i="22" s="1"/>
  <c r="E231" i="22" s="1"/>
  <c r="F231" i="22" s="1"/>
  <c r="P195" i="22"/>
  <c r="V195" i="22" s="1"/>
  <c r="B195" i="22" s="1"/>
  <c r="D195" i="22" s="1"/>
  <c r="E195" i="22" s="1"/>
  <c r="F195" i="22" s="1"/>
  <c r="G195" i="22" s="1"/>
  <c r="CC195" i="6" s="1"/>
  <c r="P170" i="22"/>
  <c r="V170" i="22" s="1"/>
  <c r="B170" i="22" s="1"/>
  <c r="D170" i="22" s="1"/>
  <c r="E170" i="22" s="1"/>
  <c r="F170" i="22" s="1"/>
  <c r="T381" i="20"/>
  <c r="G375" i="20"/>
  <c r="CB375" i="6" s="1"/>
  <c r="H323" i="20"/>
  <c r="I323" i="20" s="1"/>
  <c r="H239" i="20"/>
  <c r="J239" i="20" s="1"/>
  <c r="G344" i="20"/>
  <c r="CB344" i="6" s="1"/>
  <c r="H283" i="20"/>
  <c r="J283" i="20" s="1"/>
  <c r="H248" i="20"/>
  <c r="I248" i="20" s="1"/>
  <c r="U124" i="22"/>
  <c r="T124" i="22" s="1"/>
  <c r="S124" i="22" s="1"/>
  <c r="R124" i="22" s="1"/>
  <c r="P124" i="22" s="1"/>
  <c r="V124" i="22" s="1"/>
  <c r="B124" i="22" s="1"/>
  <c r="D124" i="22" s="1"/>
  <c r="E124" i="22" s="1"/>
  <c r="F124" i="22" s="1"/>
  <c r="U327" i="22"/>
  <c r="T327" i="22" s="1"/>
  <c r="S327" i="22" s="1"/>
  <c r="R327" i="22" s="1"/>
  <c r="P327" i="22" s="1"/>
  <c r="V327" i="22" s="1"/>
  <c r="B327" i="22" s="1"/>
  <c r="W327" i="22" s="1"/>
  <c r="U298" i="22"/>
  <c r="T298" i="22" s="1"/>
  <c r="S298" i="22" s="1"/>
  <c r="R298" i="22" s="1"/>
  <c r="P298" i="22" s="1"/>
  <c r="V298" i="22" s="1"/>
  <c r="B298" i="22" s="1"/>
  <c r="D298" i="22" s="1"/>
  <c r="E298" i="22" s="1"/>
  <c r="F298" i="22" s="1"/>
  <c r="G298" i="22" s="1"/>
  <c r="CC298" i="6" s="1"/>
  <c r="U265" i="22"/>
  <c r="T265" i="22" s="1"/>
  <c r="S265" i="22" s="1"/>
  <c r="R265" i="22" s="1"/>
  <c r="P265" i="22" s="1"/>
  <c r="V265" i="22" s="1"/>
  <c r="B265" i="22" s="1"/>
  <c r="D265" i="22" s="1"/>
  <c r="E265" i="22" s="1"/>
  <c r="F265" i="22" s="1"/>
  <c r="U118" i="22"/>
  <c r="T118" i="22" s="1"/>
  <c r="S118" i="22" s="1"/>
  <c r="R118" i="22" s="1"/>
  <c r="P118" i="22" s="1"/>
  <c r="V118" i="22" s="1"/>
  <c r="B118" i="22" s="1"/>
  <c r="W118" i="22" s="1"/>
  <c r="U259" i="22"/>
  <c r="T259" i="22" s="1"/>
  <c r="S259" i="22" s="1"/>
  <c r="R259" i="22" s="1"/>
  <c r="P259" i="22" s="1"/>
  <c r="V259" i="22" s="1"/>
  <c r="B259" i="22" s="1"/>
  <c r="D259" i="22" s="1"/>
  <c r="E259" i="22" s="1"/>
  <c r="F259" i="22" s="1"/>
  <c r="U377" i="22"/>
  <c r="T377" i="22" s="1"/>
  <c r="S377" i="22" s="1"/>
  <c r="R377" i="22" s="1"/>
  <c r="P377" i="22" s="1"/>
  <c r="V377" i="22" s="1"/>
  <c r="B377" i="22" s="1"/>
  <c r="D377" i="22" s="1"/>
  <c r="E377" i="22" s="1"/>
  <c r="F377" i="22" s="1"/>
  <c r="U295" i="22"/>
  <c r="T295" i="22" s="1"/>
  <c r="S295" i="22" s="1"/>
  <c r="R295" i="22" s="1"/>
  <c r="P295" i="22" s="1"/>
  <c r="V295" i="22" s="1"/>
  <c r="B295" i="22" s="1"/>
  <c r="D295" i="22" s="1"/>
  <c r="E295" i="22" s="1"/>
  <c r="F295" i="22" s="1"/>
  <c r="U183" i="22"/>
  <c r="T183" i="22" s="1"/>
  <c r="S183" i="22" s="1"/>
  <c r="R183" i="22" s="1"/>
  <c r="P183" i="22" s="1"/>
  <c r="V183" i="22" s="1"/>
  <c r="B183" i="22" s="1"/>
  <c r="W183" i="22" s="1"/>
  <c r="U140" i="22"/>
  <c r="T140" i="22" s="1"/>
  <c r="S140" i="22" s="1"/>
  <c r="R140" i="22" s="1"/>
  <c r="P140" i="22" s="1"/>
  <c r="V140" i="22" s="1"/>
  <c r="B140" i="22" s="1"/>
  <c r="D140" i="22" s="1"/>
  <c r="E140" i="22" s="1"/>
  <c r="F140" i="22" s="1"/>
  <c r="U275" i="22"/>
  <c r="T275" i="22" s="1"/>
  <c r="S275" i="22" s="1"/>
  <c r="R275" i="22" s="1"/>
  <c r="P275" i="22" s="1"/>
  <c r="V275" i="22" s="1"/>
  <c r="B275" i="22" s="1"/>
  <c r="D275" i="22" s="1"/>
  <c r="E275" i="22" s="1"/>
  <c r="F275" i="22" s="1"/>
  <c r="U24" i="22"/>
  <c r="T24" i="22" s="1"/>
  <c r="S24" i="22" s="1"/>
  <c r="R24" i="22" s="1"/>
  <c r="P24" i="22" s="1"/>
  <c r="V24" i="22" s="1"/>
  <c r="B24" i="22" s="1"/>
  <c r="W24" i="22" s="1"/>
  <c r="U191" i="22"/>
  <c r="T191" i="22" s="1"/>
  <c r="S191" i="22" s="1"/>
  <c r="R191" i="22" s="1"/>
  <c r="P191" i="22" s="1"/>
  <c r="V191" i="22" s="1"/>
  <c r="B191" i="22" s="1"/>
  <c r="W191" i="22" s="1"/>
  <c r="U131" i="22"/>
  <c r="T131" i="22" s="1"/>
  <c r="S131" i="22" s="1"/>
  <c r="R131" i="22" s="1"/>
  <c r="P131" i="22" s="1"/>
  <c r="V131" i="22" s="1"/>
  <c r="B131" i="22" s="1"/>
  <c r="W131" i="22" s="1"/>
  <c r="U125" i="22"/>
  <c r="T125" i="22" s="1"/>
  <c r="S125" i="22" s="1"/>
  <c r="R125" i="22" s="1"/>
  <c r="P125" i="22" s="1"/>
  <c r="V125" i="22" s="1"/>
  <c r="B125" i="22" s="1"/>
  <c r="W125" i="22" s="1"/>
  <c r="U158" i="22"/>
  <c r="T158" i="22" s="1"/>
  <c r="S158" i="22" s="1"/>
  <c r="R158" i="22" s="1"/>
  <c r="P158" i="22" s="1"/>
  <c r="V158" i="22" s="1"/>
  <c r="B158" i="22" s="1"/>
  <c r="D158" i="22" s="1"/>
  <c r="E158" i="22" s="1"/>
  <c r="F158" i="22" s="1"/>
  <c r="U278" i="22"/>
  <c r="T278" i="22" s="1"/>
  <c r="S278" i="22" s="1"/>
  <c r="R278" i="22" s="1"/>
  <c r="P278" i="22" s="1"/>
  <c r="V278" i="22" s="1"/>
  <c r="B278" i="22" s="1"/>
  <c r="W278" i="22" s="1"/>
  <c r="U347" i="22"/>
  <c r="T347" i="22" s="1"/>
  <c r="S347" i="22" s="1"/>
  <c r="R347" i="22" s="1"/>
  <c r="P347" i="22" s="1"/>
  <c r="V347" i="22" s="1"/>
  <c r="B347" i="22" s="1"/>
  <c r="W347" i="22" s="1"/>
  <c r="U314" i="22"/>
  <c r="T314" i="22" s="1"/>
  <c r="S314" i="22" s="1"/>
  <c r="R314" i="22" s="1"/>
  <c r="P314" i="22" s="1"/>
  <c r="V314" i="22" s="1"/>
  <c r="B314" i="22" s="1"/>
  <c r="W314" i="22" s="1"/>
  <c r="U133" i="22"/>
  <c r="T133" i="22" s="1"/>
  <c r="S133" i="22" s="1"/>
  <c r="R133" i="22" s="1"/>
  <c r="P133" i="22" s="1"/>
  <c r="V133" i="22" s="1"/>
  <c r="B133" i="22" s="1"/>
  <c r="D133" i="22" s="1"/>
  <c r="E133" i="22" s="1"/>
  <c r="F133" i="22" s="1"/>
  <c r="U129" i="22"/>
  <c r="T129" i="22" s="1"/>
  <c r="S129" i="22" s="1"/>
  <c r="R129" i="22" s="1"/>
  <c r="P129" i="22" s="1"/>
  <c r="V129" i="22" s="1"/>
  <c r="B129" i="22" s="1"/>
  <c r="D129" i="22" s="1"/>
  <c r="E129" i="22" s="1"/>
  <c r="F129" i="22" s="1"/>
  <c r="U157" i="22"/>
  <c r="T157" i="22" s="1"/>
  <c r="S157" i="22" s="1"/>
  <c r="R157" i="22" s="1"/>
  <c r="P157" i="22" s="1"/>
  <c r="V157" i="22" s="1"/>
  <c r="B157" i="22" s="1"/>
  <c r="W157" i="22" s="1"/>
  <c r="U230" i="22"/>
  <c r="T230" i="22" s="1"/>
  <c r="S230" i="22" s="1"/>
  <c r="R230" i="22" s="1"/>
  <c r="P230" i="22" s="1"/>
  <c r="V230" i="22" s="1"/>
  <c r="B230" i="22" s="1"/>
  <c r="D230" i="22" s="1"/>
  <c r="E230" i="22" s="1"/>
  <c r="F230" i="22" s="1"/>
  <c r="U252" i="22"/>
  <c r="T252" i="22" s="1"/>
  <c r="S252" i="22" s="1"/>
  <c r="R252" i="22" s="1"/>
  <c r="P252" i="22" s="1"/>
  <c r="V252" i="22" s="1"/>
  <c r="B252" i="22" s="1"/>
  <c r="W252" i="22" s="1"/>
  <c r="U239" i="22"/>
  <c r="T239" i="22" s="1"/>
  <c r="S239" i="22" s="1"/>
  <c r="R239" i="22" s="1"/>
  <c r="P239" i="22" s="1"/>
  <c r="V239" i="22" s="1"/>
  <c r="B239" i="22" s="1"/>
  <c r="W239" i="22" s="1"/>
  <c r="U316" i="22"/>
  <c r="T316" i="22" s="1"/>
  <c r="S316" i="22" s="1"/>
  <c r="R316" i="22" s="1"/>
  <c r="P316" i="22" s="1"/>
  <c r="V316" i="22" s="1"/>
  <c r="B316" i="22" s="1"/>
  <c r="W316" i="22" s="1"/>
  <c r="U258" i="22"/>
  <c r="T258" i="22" s="1"/>
  <c r="S258" i="22" s="1"/>
  <c r="R258" i="22" s="1"/>
  <c r="P258" i="22" s="1"/>
  <c r="V258" i="22" s="1"/>
  <c r="U373" i="22"/>
  <c r="T373" i="22" s="1"/>
  <c r="S373" i="22" s="1"/>
  <c r="R373" i="22" s="1"/>
  <c r="P373" i="22" s="1"/>
  <c r="V373" i="22" s="1"/>
  <c r="B373" i="22" s="1"/>
  <c r="D373" i="22" s="1"/>
  <c r="E373" i="22" s="1"/>
  <c r="F373" i="22" s="1"/>
  <c r="U16" i="22"/>
  <c r="T16" i="22" s="1"/>
  <c r="S16" i="22" s="1"/>
  <c r="R16" i="22" s="1"/>
  <c r="P16" i="22" s="1"/>
  <c r="V16" i="22" s="1"/>
  <c r="B16" i="22" s="1"/>
  <c r="W16" i="22" s="1"/>
  <c r="U223" i="22"/>
  <c r="T223" i="22" s="1"/>
  <c r="S223" i="22" s="1"/>
  <c r="R223" i="22" s="1"/>
  <c r="P223" i="22" s="1"/>
  <c r="V223" i="22" s="1"/>
  <c r="B223" i="22" s="1"/>
  <c r="D223" i="22" s="1"/>
  <c r="E223" i="22" s="1"/>
  <c r="F223" i="22" s="1"/>
  <c r="U38" i="22"/>
  <c r="T38" i="22" s="1"/>
  <c r="S38" i="22" s="1"/>
  <c r="R38" i="22" s="1"/>
  <c r="P38" i="22" s="1"/>
  <c r="V38" i="22" s="1"/>
  <c r="B38" i="22" s="1"/>
  <c r="D38" i="22" s="1"/>
  <c r="E38" i="22" s="1"/>
  <c r="F38" i="22" s="1"/>
  <c r="U255" i="22"/>
  <c r="T255" i="22" s="1"/>
  <c r="S255" i="22" s="1"/>
  <c r="R255" i="22" s="1"/>
  <c r="P255" i="22" s="1"/>
  <c r="V255" i="22" s="1"/>
  <c r="B255" i="22" s="1"/>
  <c r="W255" i="22" s="1"/>
  <c r="U300" i="22"/>
  <c r="T300" i="22" s="1"/>
  <c r="S300" i="22" s="1"/>
  <c r="R300" i="22" s="1"/>
  <c r="P300" i="22" s="1"/>
  <c r="V300" i="22" s="1"/>
  <c r="B300" i="22" s="1"/>
  <c r="D300" i="22" s="1"/>
  <c r="E300" i="22" s="1"/>
  <c r="F300" i="22" s="1"/>
  <c r="U68" i="22"/>
  <c r="T68" i="22" s="1"/>
  <c r="S68" i="22" s="1"/>
  <c r="R68" i="22" s="1"/>
  <c r="P68" i="22" s="1"/>
  <c r="V68" i="22" s="1"/>
  <c r="B68" i="22" s="1"/>
  <c r="D68" i="22" s="1"/>
  <c r="E68" i="22" s="1"/>
  <c r="F68" i="22" s="1"/>
  <c r="G68" i="22" s="1"/>
  <c r="CC68" i="6" s="1"/>
  <c r="U202" i="22"/>
  <c r="T202" i="22" s="1"/>
  <c r="S202" i="22" s="1"/>
  <c r="R202" i="22" s="1"/>
  <c r="P202" i="22" s="1"/>
  <c r="V202" i="22" s="1"/>
  <c r="B202" i="22" s="1"/>
  <c r="W202" i="22" s="1"/>
  <c r="U56" i="22"/>
  <c r="T56" i="22" s="1"/>
  <c r="S56" i="22" s="1"/>
  <c r="R56" i="22" s="1"/>
  <c r="P56" i="22" s="1"/>
  <c r="V56" i="22" s="1"/>
  <c r="B56" i="22" s="1"/>
  <c r="D56" i="22" s="1"/>
  <c r="E56" i="22" s="1"/>
  <c r="F56" i="22" s="1"/>
  <c r="G56" i="22" s="1"/>
  <c r="CC56" i="6" s="1"/>
  <c r="U374" i="22"/>
  <c r="T374" i="22" s="1"/>
  <c r="S374" i="22" s="1"/>
  <c r="R374" i="22" s="1"/>
  <c r="P374" i="22" s="1"/>
  <c r="V374" i="22" s="1"/>
  <c r="B374" i="22" s="1"/>
  <c r="W374" i="22" s="1"/>
  <c r="U367" i="22"/>
  <c r="T367" i="22" s="1"/>
  <c r="S367" i="22" s="1"/>
  <c r="R367" i="22" s="1"/>
  <c r="P367" i="22" s="1"/>
  <c r="V367" i="22" s="1"/>
  <c r="B367" i="22" s="1"/>
  <c r="D367" i="22" s="1"/>
  <c r="E367" i="22" s="1"/>
  <c r="F367" i="22" s="1"/>
  <c r="G367" i="22" s="1"/>
  <c r="CC367" i="6" s="1"/>
  <c r="U312" i="22"/>
  <c r="T312" i="22" s="1"/>
  <c r="S312" i="22" s="1"/>
  <c r="R312" i="22" s="1"/>
  <c r="P312" i="22" s="1"/>
  <c r="V312" i="22" s="1"/>
  <c r="B312" i="22" s="1"/>
  <c r="D312" i="22" s="1"/>
  <c r="E312" i="22" s="1"/>
  <c r="F312" i="22" s="1"/>
  <c r="U225" i="22"/>
  <c r="T225" i="22" s="1"/>
  <c r="S225" i="22" s="1"/>
  <c r="R225" i="22" s="1"/>
  <c r="P225" i="22" s="1"/>
  <c r="V225" i="22" s="1"/>
  <c r="B225" i="22" s="1"/>
  <c r="W225" i="22" s="1"/>
  <c r="U17" i="22"/>
  <c r="T17" i="22" s="1"/>
  <c r="S17" i="22" s="1"/>
  <c r="R17" i="22" s="1"/>
  <c r="P17" i="22" s="1"/>
  <c r="V17" i="22" s="1"/>
  <c r="B17" i="22" s="1"/>
  <c r="W17" i="22" s="1"/>
  <c r="U137" i="22"/>
  <c r="T137" i="22" s="1"/>
  <c r="S137" i="22" s="1"/>
  <c r="R137" i="22" s="1"/>
  <c r="P137" i="22" s="1"/>
  <c r="V137" i="22" s="1"/>
  <c r="B137" i="22" s="1"/>
  <c r="W137" i="22" s="1"/>
  <c r="U376" i="22"/>
  <c r="T376" i="22" s="1"/>
  <c r="S376" i="22" s="1"/>
  <c r="R376" i="22" s="1"/>
  <c r="P376" i="22" s="1"/>
  <c r="V376" i="22" s="1"/>
  <c r="B376" i="22" s="1"/>
  <c r="D376" i="22" s="1"/>
  <c r="E376" i="22" s="1"/>
  <c r="F376" i="22" s="1"/>
  <c r="U317" i="22"/>
  <c r="T317" i="22" s="1"/>
  <c r="S317" i="22" s="1"/>
  <c r="R317" i="22" s="1"/>
  <c r="P317" i="22" s="1"/>
  <c r="V317" i="22" s="1"/>
  <c r="B317" i="22" s="1"/>
  <c r="D317" i="22" s="1"/>
  <c r="E317" i="22" s="1"/>
  <c r="F317" i="22" s="1"/>
  <c r="U306" i="22"/>
  <c r="T306" i="22" s="1"/>
  <c r="S306" i="22" s="1"/>
  <c r="R306" i="22" s="1"/>
  <c r="P306" i="22" s="1"/>
  <c r="V306" i="22" s="1"/>
  <c r="B306" i="22" s="1"/>
  <c r="D306" i="22" s="1"/>
  <c r="E306" i="22" s="1"/>
  <c r="F306" i="22" s="1"/>
  <c r="U228" i="22"/>
  <c r="T228" i="22" s="1"/>
  <c r="S228" i="22" s="1"/>
  <c r="R228" i="22" s="1"/>
  <c r="P228" i="22" s="1"/>
  <c r="V228" i="22" s="1"/>
  <c r="B228" i="22" s="1"/>
  <c r="W228" i="22" s="1"/>
  <c r="U93" i="22"/>
  <c r="T93" i="22" s="1"/>
  <c r="S93" i="22" s="1"/>
  <c r="R93" i="22" s="1"/>
  <c r="P93" i="22" s="1"/>
  <c r="V93" i="22" s="1"/>
  <c r="B93" i="22" s="1"/>
  <c r="D93" i="22" s="1"/>
  <c r="E93" i="22" s="1"/>
  <c r="F93" i="22" s="1"/>
  <c r="G93" i="22" s="1"/>
  <c r="CC93" i="6" s="1"/>
  <c r="U87" i="22"/>
  <c r="T87" i="22" s="1"/>
  <c r="S87" i="22" s="1"/>
  <c r="R87" i="22" s="1"/>
  <c r="P87" i="22" s="1"/>
  <c r="V87" i="22" s="1"/>
  <c r="B87" i="22" s="1"/>
  <c r="W87" i="22" s="1"/>
  <c r="U329" i="22"/>
  <c r="T329" i="22" s="1"/>
  <c r="S329" i="22" s="1"/>
  <c r="R329" i="22" s="1"/>
  <c r="P329" i="22" s="1"/>
  <c r="V329" i="22" s="1"/>
  <c r="B329" i="22" s="1"/>
  <c r="D329" i="22" s="1"/>
  <c r="E329" i="22" s="1"/>
  <c r="F329" i="22" s="1"/>
  <c r="U96" i="22"/>
  <c r="T96" i="22" s="1"/>
  <c r="S96" i="22" s="1"/>
  <c r="R96" i="22" s="1"/>
  <c r="P96" i="22" s="1"/>
  <c r="V96" i="22" s="1"/>
  <c r="B96" i="22" s="1"/>
  <c r="W96" i="22" s="1"/>
  <c r="U282" i="22"/>
  <c r="T282" i="22" s="1"/>
  <c r="S282" i="22" s="1"/>
  <c r="R282" i="22" s="1"/>
  <c r="P282" i="22" s="1"/>
  <c r="V282" i="22" s="1"/>
  <c r="B282" i="22" s="1"/>
  <c r="W282" i="22" s="1"/>
  <c r="U337" i="22"/>
  <c r="T337" i="22" s="1"/>
  <c r="S337" i="22" s="1"/>
  <c r="R337" i="22" s="1"/>
  <c r="P337" i="22" s="1"/>
  <c r="V337" i="22" s="1"/>
  <c r="B337" i="22" s="1"/>
  <c r="D337" i="22" s="1"/>
  <c r="E337" i="22" s="1"/>
  <c r="F337" i="22" s="1"/>
  <c r="G337" i="22" s="1"/>
  <c r="CC337" i="6" s="1"/>
  <c r="U153" i="22"/>
  <c r="T153" i="22" s="1"/>
  <c r="S153" i="22" s="1"/>
  <c r="R153" i="22" s="1"/>
  <c r="P153" i="22" s="1"/>
  <c r="V153" i="22" s="1"/>
  <c r="B153" i="22" s="1"/>
  <c r="D153" i="22" s="1"/>
  <c r="E153" i="22" s="1"/>
  <c r="F153" i="22" s="1"/>
  <c r="U132" i="22"/>
  <c r="T132" i="22" s="1"/>
  <c r="S132" i="22" s="1"/>
  <c r="R132" i="22" s="1"/>
  <c r="P132" i="22" s="1"/>
  <c r="V132" i="22" s="1"/>
  <c r="B132" i="22" s="1"/>
  <c r="W132" i="22" s="1"/>
  <c r="U123" i="22"/>
  <c r="T123" i="22" s="1"/>
  <c r="S123" i="22" s="1"/>
  <c r="R123" i="22" s="1"/>
  <c r="P123" i="22" s="1"/>
  <c r="V123" i="22" s="1"/>
  <c r="B123" i="22" s="1"/>
  <c r="D123" i="22" s="1"/>
  <c r="E123" i="22" s="1"/>
  <c r="F123" i="22" s="1"/>
  <c r="U279" i="22"/>
  <c r="T279" i="22" s="1"/>
  <c r="S279" i="22" s="1"/>
  <c r="R279" i="22" s="1"/>
  <c r="P279" i="22" s="1"/>
  <c r="V279" i="22" s="1"/>
  <c r="B279" i="22" s="1"/>
  <c r="D279" i="22" s="1"/>
  <c r="E279" i="22" s="1"/>
  <c r="F279" i="22" s="1"/>
  <c r="U285" i="22"/>
  <c r="T285" i="22" s="1"/>
  <c r="S285" i="22" s="1"/>
  <c r="R285" i="22" s="1"/>
  <c r="P285" i="22" s="1"/>
  <c r="V285" i="22" s="1"/>
  <c r="B285" i="22" s="1"/>
  <c r="D285" i="22" s="1"/>
  <c r="E285" i="22" s="1"/>
  <c r="F285" i="22" s="1"/>
  <c r="U297" i="22"/>
  <c r="T297" i="22" s="1"/>
  <c r="S297" i="22" s="1"/>
  <c r="R297" i="22" s="1"/>
  <c r="P297" i="22" s="1"/>
  <c r="V297" i="22" s="1"/>
  <c r="B297" i="22" s="1"/>
  <c r="W297" i="22" s="1"/>
  <c r="U151" i="22"/>
  <c r="T151" i="22" s="1"/>
  <c r="S151" i="22" s="1"/>
  <c r="R151" i="22" s="1"/>
  <c r="P151" i="22" s="1"/>
  <c r="V151" i="22" s="1"/>
  <c r="B151" i="22" s="1"/>
  <c r="W151" i="22" s="1"/>
  <c r="U83" i="22"/>
  <c r="T83" i="22" s="1"/>
  <c r="S83" i="22" s="1"/>
  <c r="R83" i="22" s="1"/>
  <c r="P83" i="22" s="1"/>
  <c r="V83" i="22" s="1"/>
  <c r="B83" i="22" s="1"/>
  <c r="W83" i="22" s="1"/>
  <c r="U30" i="22"/>
  <c r="T30" i="22" s="1"/>
  <c r="S30" i="22" s="1"/>
  <c r="R30" i="22" s="1"/>
  <c r="P30" i="22" s="1"/>
  <c r="V30" i="22" s="1"/>
  <c r="B30" i="22" s="1"/>
  <c r="D30" i="22" s="1"/>
  <c r="E30" i="22" s="1"/>
  <c r="F30" i="22" s="1"/>
  <c r="U81" i="22"/>
  <c r="T81" i="22" s="1"/>
  <c r="S81" i="22" s="1"/>
  <c r="R81" i="22" s="1"/>
  <c r="P81" i="22" s="1"/>
  <c r="V81" i="22" s="1"/>
  <c r="B81" i="22" s="1"/>
  <c r="W81" i="22" s="1"/>
  <c r="U243" i="22"/>
  <c r="T243" i="22" s="1"/>
  <c r="S243" i="22" s="1"/>
  <c r="R243" i="22" s="1"/>
  <c r="P243" i="22" s="1"/>
  <c r="V243" i="22" s="1"/>
  <c r="B243" i="22" s="1"/>
  <c r="D243" i="22" s="1"/>
  <c r="E243" i="22" s="1"/>
  <c r="F243" i="22" s="1"/>
  <c r="U172" i="22"/>
  <c r="T172" i="22" s="1"/>
  <c r="S172" i="22" s="1"/>
  <c r="R172" i="22" s="1"/>
  <c r="P172" i="22" s="1"/>
  <c r="V172" i="22" s="1"/>
  <c r="B172" i="22" s="1"/>
  <c r="W172" i="22" s="1"/>
  <c r="U53" i="22"/>
  <c r="T53" i="22" s="1"/>
  <c r="S53" i="22" s="1"/>
  <c r="R53" i="22" s="1"/>
  <c r="P53" i="22" s="1"/>
  <c r="V53" i="22" s="1"/>
  <c r="B53" i="22" s="1"/>
  <c r="D53" i="22" s="1"/>
  <c r="E53" i="22" s="1"/>
  <c r="F53" i="22" s="1"/>
  <c r="U246" i="22"/>
  <c r="T246" i="22" s="1"/>
  <c r="S246" i="22" s="1"/>
  <c r="R246" i="22" s="1"/>
  <c r="P246" i="22" s="1"/>
  <c r="V246" i="22" s="1"/>
  <c r="B246" i="22" s="1"/>
  <c r="W246" i="22" s="1"/>
  <c r="U362" i="22"/>
  <c r="T362" i="22" s="1"/>
  <c r="S362" i="22" s="1"/>
  <c r="R362" i="22" s="1"/>
  <c r="P362" i="22" s="1"/>
  <c r="V362" i="22" s="1"/>
  <c r="B362" i="22" s="1"/>
  <c r="W362" i="22" s="1"/>
  <c r="U281" i="22"/>
  <c r="T281" i="22" s="1"/>
  <c r="S281" i="22" s="1"/>
  <c r="R281" i="22" s="1"/>
  <c r="P281" i="22" s="1"/>
  <c r="V281" i="22" s="1"/>
  <c r="B281" i="22" s="1"/>
  <c r="D281" i="22" s="1"/>
  <c r="E281" i="22" s="1"/>
  <c r="F281" i="22" s="1"/>
  <c r="U20" i="22"/>
  <c r="T20" i="22" s="1"/>
  <c r="S20" i="22" s="1"/>
  <c r="R20" i="22" s="1"/>
  <c r="P20" i="22" s="1"/>
  <c r="V20" i="22" s="1"/>
  <c r="B20" i="22" s="1"/>
  <c r="W20" i="22" s="1"/>
  <c r="U57" i="22"/>
  <c r="T57" i="22" s="1"/>
  <c r="S57" i="22" s="1"/>
  <c r="R57" i="22" s="1"/>
  <c r="P57" i="22" s="1"/>
  <c r="V57" i="22" s="1"/>
  <c r="B57" i="22" s="1"/>
  <c r="W57" i="22" s="1"/>
  <c r="U238" i="22"/>
  <c r="T238" i="22" s="1"/>
  <c r="S238" i="22" s="1"/>
  <c r="R238" i="22" s="1"/>
  <c r="P238" i="22" s="1"/>
  <c r="V238" i="22" s="1"/>
  <c r="B238" i="22" s="1"/>
  <c r="D238" i="22" s="1"/>
  <c r="E238" i="22" s="1"/>
  <c r="F238" i="22" s="1"/>
  <c r="U54" i="22"/>
  <c r="T54" i="22" s="1"/>
  <c r="S54" i="22" s="1"/>
  <c r="R54" i="22" s="1"/>
  <c r="P54" i="22" s="1"/>
  <c r="V54" i="22" s="1"/>
  <c r="B54" i="22" s="1"/>
  <c r="W54" i="22" s="1"/>
  <c r="U144" i="22"/>
  <c r="T144" i="22" s="1"/>
  <c r="S144" i="22" s="1"/>
  <c r="R144" i="22" s="1"/>
  <c r="P144" i="22" s="1"/>
  <c r="V144" i="22" s="1"/>
  <c r="B144" i="22" s="1"/>
  <c r="W144" i="22" s="1"/>
  <c r="U211" i="22"/>
  <c r="T211" i="22" s="1"/>
  <c r="S211" i="22" s="1"/>
  <c r="R211" i="22" s="1"/>
  <c r="P211" i="22" s="1"/>
  <c r="V211" i="22" s="1"/>
  <c r="B211" i="22" s="1"/>
  <c r="D211" i="22" s="1"/>
  <c r="E211" i="22" s="1"/>
  <c r="F211" i="22" s="1"/>
  <c r="G211" i="22" s="1"/>
  <c r="CC211" i="6" s="1"/>
  <c r="U339" i="22"/>
  <c r="T339" i="22" s="1"/>
  <c r="S339" i="22" s="1"/>
  <c r="R339" i="22" s="1"/>
  <c r="P339" i="22" s="1"/>
  <c r="V339" i="22" s="1"/>
  <c r="B339" i="22" s="1"/>
  <c r="D339" i="22" s="1"/>
  <c r="E339" i="22" s="1"/>
  <c r="F339" i="22" s="1"/>
  <c r="U305" i="22"/>
  <c r="T305" i="22" s="1"/>
  <c r="S305" i="22" s="1"/>
  <c r="R305" i="22" s="1"/>
  <c r="P305" i="22" s="1"/>
  <c r="V305" i="22" s="1"/>
  <c r="B305" i="22" s="1"/>
  <c r="W305" i="22" s="1"/>
  <c r="U103" i="22"/>
  <c r="T103" i="22" s="1"/>
  <c r="S103" i="22" s="1"/>
  <c r="R103" i="22" s="1"/>
  <c r="P103" i="22" s="1"/>
  <c r="V103" i="22" s="1"/>
  <c r="B103" i="22" s="1"/>
  <c r="W103" i="22" s="1"/>
  <c r="U261" i="22"/>
  <c r="T261" i="22" s="1"/>
  <c r="S261" i="22" s="1"/>
  <c r="R261" i="22" s="1"/>
  <c r="P261" i="22" s="1"/>
  <c r="V261" i="22" s="1"/>
  <c r="B261" i="22" s="1"/>
  <c r="D261" i="22" s="1"/>
  <c r="E261" i="22" s="1"/>
  <c r="F261" i="22" s="1"/>
  <c r="U110" i="22"/>
  <c r="T110" i="22" s="1"/>
  <c r="S110" i="22" s="1"/>
  <c r="R110" i="22" s="1"/>
  <c r="P110" i="22" s="1"/>
  <c r="V110" i="22" s="1"/>
  <c r="B110" i="22" s="1"/>
  <c r="W110" i="22" s="1"/>
  <c r="U102" i="22"/>
  <c r="T102" i="22" s="1"/>
  <c r="S102" i="22" s="1"/>
  <c r="R102" i="22" s="1"/>
  <c r="P102" i="22" s="1"/>
  <c r="V102" i="22" s="1"/>
  <c r="B102" i="22" s="1"/>
  <c r="W102" i="22" s="1"/>
  <c r="U218" i="22"/>
  <c r="T218" i="22" s="1"/>
  <c r="S218" i="22" s="1"/>
  <c r="R218" i="22" s="1"/>
  <c r="P218" i="22" s="1"/>
  <c r="V218" i="22" s="1"/>
  <c r="B218" i="22" s="1"/>
  <c r="W218" i="22" s="1"/>
  <c r="U293" i="22"/>
  <c r="T293" i="22" s="1"/>
  <c r="S293" i="22" s="1"/>
  <c r="R293" i="22" s="1"/>
  <c r="P293" i="22" s="1"/>
  <c r="V293" i="22" s="1"/>
  <c r="B293" i="22" s="1"/>
  <c r="W293" i="22" s="1"/>
  <c r="U272" i="22"/>
  <c r="T272" i="22" s="1"/>
  <c r="S272" i="22" s="1"/>
  <c r="R272" i="22" s="1"/>
  <c r="P272" i="22" s="1"/>
  <c r="AH40" i="7" s="1"/>
  <c r="U185" i="22"/>
  <c r="T185" i="22" s="1"/>
  <c r="S185" i="22" s="1"/>
  <c r="R185" i="22" s="1"/>
  <c r="P185" i="22" s="1"/>
  <c r="V185" i="22" s="1"/>
  <c r="B185" i="22" s="1"/>
  <c r="W185" i="22" s="1"/>
  <c r="U160" i="22"/>
  <c r="T160" i="22" s="1"/>
  <c r="S160" i="22" s="1"/>
  <c r="R160" i="22" s="1"/>
  <c r="P160" i="22" s="1"/>
  <c r="V160" i="22" s="1"/>
  <c r="B160" i="22" s="1"/>
  <c r="W160" i="22" s="1"/>
  <c r="U86" i="22"/>
  <c r="T86" i="22" s="1"/>
  <c r="S86" i="22" s="1"/>
  <c r="R86" i="22" s="1"/>
  <c r="P86" i="22" s="1"/>
  <c r="V86" i="22" s="1"/>
  <c r="B86" i="22" s="1"/>
  <c r="D86" i="22" s="1"/>
  <c r="E86" i="22" s="1"/>
  <c r="F86" i="22" s="1"/>
  <c r="G86" i="22" s="1"/>
  <c r="CC86" i="6" s="1"/>
  <c r="U27" i="22"/>
  <c r="T27" i="22" s="1"/>
  <c r="S27" i="22" s="1"/>
  <c r="R27" i="22" s="1"/>
  <c r="P27" i="22" s="1"/>
  <c r="V27" i="22" s="1"/>
  <c r="B27" i="22" s="1"/>
  <c r="D27" i="22" s="1"/>
  <c r="E27" i="22" s="1"/>
  <c r="F27" i="22" s="1"/>
  <c r="U60" i="22"/>
  <c r="T60" i="22" s="1"/>
  <c r="S60" i="22" s="1"/>
  <c r="R60" i="22" s="1"/>
  <c r="P60" i="22" s="1"/>
  <c r="AH33" i="7" s="1"/>
  <c r="U91" i="22"/>
  <c r="T91" i="22" s="1"/>
  <c r="S91" i="22" s="1"/>
  <c r="R91" i="22" s="1"/>
  <c r="P91" i="22" s="1"/>
  <c r="V91" i="22" s="1"/>
  <c r="B91" i="22" s="1"/>
  <c r="D91" i="22" s="1"/>
  <c r="E91" i="22" s="1"/>
  <c r="F91" i="22" s="1"/>
  <c r="G91" i="22" s="1"/>
  <c r="CC91" i="6" s="1"/>
  <c r="U99" i="22"/>
  <c r="T99" i="22" s="1"/>
  <c r="S99" i="22" s="1"/>
  <c r="R99" i="22" s="1"/>
  <c r="P99" i="22" s="1"/>
  <c r="V99" i="22" s="1"/>
  <c r="B99" i="22" s="1"/>
  <c r="D99" i="22" s="1"/>
  <c r="E99" i="22" s="1"/>
  <c r="F99" i="22" s="1"/>
  <c r="U303" i="22"/>
  <c r="T303" i="22" s="1"/>
  <c r="S303" i="22" s="1"/>
  <c r="R303" i="22" s="1"/>
  <c r="P303" i="22" s="1"/>
  <c r="V303" i="22" s="1"/>
  <c r="B303" i="22" s="1"/>
  <c r="D303" i="22" s="1"/>
  <c r="E303" i="22" s="1"/>
  <c r="F303" i="22" s="1"/>
  <c r="U209" i="22"/>
  <c r="T209" i="22" s="1"/>
  <c r="S209" i="22" s="1"/>
  <c r="R209" i="22" s="1"/>
  <c r="P209" i="22" s="1"/>
  <c r="V209" i="22" s="1"/>
  <c r="B209" i="22" s="1"/>
  <c r="W209" i="22" s="1"/>
  <c r="U301" i="22"/>
  <c r="T301" i="22" s="1"/>
  <c r="S301" i="22" s="1"/>
  <c r="R301" i="22" s="1"/>
  <c r="P301" i="22" s="1"/>
  <c r="V301" i="22" s="1"/>
  <c r="B301" i="22" s="1"/>
  <c r="W301" i="22" s="1"/>
  <c r="U92" i="22"/>
  <c r="T92" i="22" s="1"/>
  <c r="S92" i="22" s="1"/>
  <c r="R92" i="22" s="1"/>
  <c r="P92" i="22" s="1"/>
  <c r="V92" i="22" s="1"/>
  <c r="B92" i="22" s="1"/>
  <c r="D92" i="22" s="1"/>
  <c r="E92" i="22" s="1"/>
  <c r="F92" i="22" s="1"/>
  <c r="U176" i="22"/>
  <c r="T176" i="22" s="1"/>
  <c r="S176" i="22" s="1"/>
  <c r="R176" i="22" s="1"/>
  <c r="P176" i="22" s="1"/>
  <c r="V176" i="22" s="1"/>
  <c r="B176" i="22" s="1"/>
  <c r="D176" i="22" s="1"/>
  <c r="E176" i="22" s="1"/>
  <c r="F176" i="22" s="1"/>
  <c r="G176" i="22" s="1"/>
  <c r="CC176" i="6" s="1"/>
  <c r="U69" i="22"/>
  <c r="T69" i="22" s="1"/>
  <c r="S69" i="22" s="1"/>
  <c r="R69" i="22" s="1"/>
  <c r="P69" i="22" s="1"/>
  <c r="V69" i="22" s="1"/>
  <c r="B69" i="22" s="1"/>
  <c r="D69" i="22" s="1"/>
  <c r="E69" i="22" s="1"/>
  <c r="F69" i="22" s="1"/>
  <c r="U221" i="22"/>
  <c r="T221" i="22" s="1"/>
  <c r="S221" i="22" s="1"/>
  <c r="R221" i="22" s="1"/>
  <c r="P221" i="22" s="1"/>
  <c r="V221" i="22" s="1"/>
  <c r="B221" i="22" s="1"/>
  <c r="W221" i="22" s="1"/>
  <c r="U89" i="22"/>
  <c r="T89" i="22" s="1"/>
  <c r="S89" i="22" s="1"/>
  <c r="R89" i="22" s="1"/>
  <c r="P89" i="22" s="1"/>
  <c r="V89" i="22" s="1"/>
  <c r="B89" i="22" s="1"/>
  <c r="W89" i="22" s="1"/>
  <c r="U325" i="22"/>
  <c r="T325" i="22" s="1"/>
  <c r="S325" i="22" s="1"/>
  <c r="R325" i="22" s="1"/>
  <c r="P325" i="22" s="1"/>
  <c r="V325" i="22" s="1"/>
  <c r="B325" i="22" s="1"/>
  <c r="W325" i="22" s="1"/>
  <c r="U299" i="22"/>
  <c r="T299" i="22" s="1"/>
  <c r="S299" i="22" s="1"/>
  <c r="R299" i="22" s="1"/>
  <c r="P299" i="22" s="1"/>
  <c r="V299" i="22" s="1"/>
  <c r="B299" i="22" s="1"/>
  <c r="D299" i="22" s="1"/>
  <c r="E299" i="22" s="1"/>
  <c r="F299" i="22" s="1"/>
  <c r="G292" i="20"/>
  <c r="CB292" i="6" s="1"/>
  <c r="U280" i="22"/>
  <c r="T280" i="22" s="1"/>
  <c r="S280" i="22" s="1"/>
  <c r="R280" i="22" s="1"/>
  <c r="P280" i="22" s="1"/>
  <c r="V280" i="22" s="1"/>
  <c r="B280" i="22" s="1"/>
  <c r="D280" i="22" s="1"/>
  <c r="E280" i="22" s="1"/>
  <c r="F280" i="22" s="1"/>
  <c r="U335" i="22"/>
  <c r="T335" i="22" s="1"/>
  <c r="S335" i="22" s="1"/>
  <c r="R335" i="22" s="1"/>
  <c r="P335" i="22" s="1"/>
  <c r="V335" i="22" s="1"/>
  <c r="B335" i="22" s="1"/>
  <c r="W335" i="22" s="1"/>
  <c r="U64" i="22"/>
  <c r="T64" i="22" s="1"/>
  <c r="S64" i="22" s="1"/>
  <c r="R64" i="22" s="1"/>
  <c r="P64" i="22" s="1"/>
  <c r="V64" i="22" s="1"/>
  <c r="B64" i="22" s="1"/>
  <c r="D64" i="22" s="1"/>
  <c r="E64" i="22" s="1"/>
  <c r="F64" i="22" s="1"/>
  <c r="U115" i="22"/>
  <c r="T115" i="22" s="1"/>
  <c r="S115" i="22" s="1"/>
  <c r="R115" i="22" s="1"/>
  <c r="P115" i="22" s="1"/>
  <c r="V115" i="22" s="1"/>
  <c r="B115" i="22" s="1"/>
  <c r="D115" i="22" s="1"/>
  <c r="E115" i="22" s="1"/>
  <c r="F115" i="22" s="1"/>
  <c r="U263" i="22"/>
  <c r="T263" i="22" s="1"/>
  <c r="S263" i="22" s="1"/>
  <c r="R263" i="22" s="1"/>
  <c r="P263" i="22" s="1"/>
  <c r="V263" i="22" s="1"/>
  <c r="B263" i="22" s="1"/>
  <c r="W263" i="22" s="1"/>
  <c r="U266" i="22"/>
  <c r="T266" i="22" s="1"/>
  <c r="S266" i="22" s="1"/>
  <c r="R266" i="22" s="1"/>
  <c r="P266" i="22" s="1"/>
  <c r="V266" i="22" s="1"/>
  <c r="B266" i="22" s="1"/>
  <c r="W266" i="22" s="1"/>
  <c r="U287" i="22"/>
  <c r="T287" i="22" s="1"/>
  <c r="S287" i="22" s="1"/>
  <c r="R287" i="22" s="1"/>
  <c r="P287" i="22" s="1"/>
  <c r="V287" i="22" s="1"/>
  <c r="B287" i="22" s="1"/>
  <c r="D287" i="22" s="1"/>
  <c r="E287" i="22" s="1"/>
  <c r="F287" i="22" s="1"/>
  <c r="U336" i="22"/>
  <c r="T336" i="22" s="1"/>
  <c r="S336" i="22" s="1"/>
  <c r="R336" i="22" s="1"/>
  <c r="P336" i="22" s="1"/>
  <c r="V336" i="22" s="1"/>
  <c r="B336" i="22" s="1"/>
  <c r="W336" i="22" s="1"/>
  <c r="U70" i="22"/>
  <c r="T70" i="22" s="1"/>
  <c r="S70" i="22" s="1"/>
  <c r="R70" i="22" s="1"/>
  <c r="P70" i="22" s="1"/>
  <c r="V70" i="22" s="1"/>
  <c r="B70" i="22" s="1"/>
  <c r="D70" i="22" s="1"/>
  <c r="E70" i="22" s="1"/>
  <c r="F70" i="22" s="1"/>
  <c r="U192" i="22"/>
  <c r="T192" i="22" s="1"/>
  <c r="S192" i="22" s="1"/>
  <c r="R192" i="22" s="1"/>
  <c r="P192" i="22" s="1"/>
  <c r="V192" i="22" s="1"/>
  <c r="B192" i="22" s="1"/>
  <c r="W192" i="22" s="1"/>
  <c r="U253" i="22"/>
  <c r="T253" i="22" s="1"/>
  <c r="S253" i="22" s="1"/>
  <c r="R253" i="22" s="1"/>
  <c r="P253" i="22" s="1"/>
  <c r="V253" i="22" s="1"/>
  <c r="B253" i="22" s="1"/>
  <c r="D253" i="22" s="1"/>
  <c r="E253" i="22" s="1"/>
  <c r="F253" i="22" s="1"/>
  <c r="U324" i="22"/>
  <c r="T324" i="22" s="1"/>
  <c r="S324" i="22" s="1"/>
  <c r="R324" i="22" s="1"/>
  <c r="P324" i="22" s="1"/>
  <c r="V324" i="22" s="1"/>
  <c r="B324" i="22" s="1"/>
  <c r="D324" i="22" s="1"/>
  <c r="E324" i="22" s="1"/>
  <c r="F324" i="22" s="1"/>
  <c r="U46" i="22"/>
  <c r="T46" i="22" s="1"/>
  <c r="S46" i="22" s="1"/>
  <c r="R46" i="22" s="1"/>
  <c r="P46" i="22" s="1"/>
  <c r="V46" i="22" s="1"/>
  <c r="B46" i="22" s="1"/>
  <c r="D46" i="22" s="1"/>
  <c r="E46" i="22" s="1"/>
  <c r="F46" i="22" s="1"/>
  <c r="U139" i="22"/>
  <c r="T139" i="22" s="1"/>
  <c r="S139" i="22" s="1"/>
  <c r="R139" i="22" s="1"/>
  <c r="P139" i="22" s="1"/>
  <c r="V139" i="22" s="1"/>
  <c r="B139" i="22" s="1"/>
  <c r="W139" i="22" s="1"/>
  <c r="U236" i="22"/>
  <c r="T236" i="22" s="1"/>
  <c r="S236" i="22" s="1"/>
  <c r="R236" i="22" s="1"/>
  <c r="P236" i="22" s="1"/>
  <c r="V236" i="22" s="1"/>
  <c r="B236" i="22" s="1"/>
  <c r="W236" i="22" s="1"/>
  <c r="U49" i="22"/>
  <c r="T49" i="22" s="1"/>
  <c r="S49" i="22" s="1"/>
  <c r="R49" i="22" s="1"/>
  <c r="P49" i="22" s="1"/>
  <c r="V49" i="22" s="1"/>
  <c r="B49" i="22" s="1"/>
  <c r="D49" i="22" s="1"/>
  <c r="E49" i="22" s="1"/>
  <c r="F49" i="22" s="1"/>
  <c r="U330" i="22"/>
  <c r="T330" i="22" s="1"/>
  <c r="S330" i="22" s="1"/>
  <c r="R330" i="22" s="1"/>
  <c r="P330" i="22" s="1"/>
  <c r="V330" i="22" s="1"/>
  <c r="B330" i="22" s="1"/>
  <c r="W330" i="22" s="1"/>
  <c r="U320" i="22"/>
  <c r="T320" i="22" s="1"/>
  <c r="S320" i="22" s="1"/>
  <c r="R320" i="22" s="1"/>
  <c r="P320" i="22" s="1"/>
  <c r="V320" i="22" s="1"/>
  <c r="B320" i="22" s="1"/>
  <c r="W320" i="22" s="1"/>
  <c r="U215" i="22"/>
  <c r="T215" i="22" s="1"/>
  <c r="S215" i="22" s="1"/>
  <c r="R215" i="22" s="1"/>
  <c r="P215" i="22" s="1"/>
  <c r="V215" i="22" s="1"/>
  <c r="B215" i="22" s="1"/>
  <c r="D215" i="22" s="1"/>
  <c r="E215" i="22" s="1"/>
  <c r="F215" i="22" s="1"/>
  <c r="U349" i="22"/>
  <c r="T349" i="22" s="1"/>
  <c r="S349" i="22" s="1"/>
  <c r="R349" i="22" s="1"/>
  <c r="P349" i="22" s="1"/>
  <c r="V349" i="22" s="1"/>
  <c r="B349" i="22" s="1"/>
  <c r="D349" i="22" s="1"/>
  <c r="E349" i="22" s="1"/>
  <c r="F349" i="22" s="1"/>
  <c r="U268" i="22"/>
  <c r="T268" i="22" s="1"/>
  <c r="S268" i="22" s="1"/>
  <c r="R268" i="22" s="1"/>
  <c r="P268" i="22" s="1"/>
  <c r="V268" i="22" s="1"/>
  <c r="B268" i="22" s="1"/>
  <c r="W268" i="22" s="1"/>
  <c r="U22" i="22"/>
  <c r="T22" i="22" s="1"/>
  <c r="S22" i="22" s="1"/>
  <c r="R22" i="22" s="1"/>
  <c r="P22" i="22" s="1"/>
  <c r="V22" i="22" s="1"/>
  <c r="B22" i="22" s="1"/>
  <c r="D22" i="22" s="1"/>
  <c r="E22" i="22" s="1"/>
  <c r="F22" i="22" s="1"/>
  <c r="G22" i="22" s="1"/>
  <c r="CC22" i="6" s="1"/>
  <c r="U328" i="22"/>
  <c r="T328" i="22" s="1"/>
  <c r="S328" i="22" s="1"/>
  <c r="R328" i="22" s="1"/>
  <c r="P328" i="22" s="1"/>
  <c r="V328" i="22" s="1"/>
  <c r="B328" i="22" s="1"/>
  <c r="D328" i="22" s="1"/>
  <c r="E328" i="22" s="1"/>
  <c r="F328" i="22" s="1"/>
  <c r="U294" i="22"/>
  <c r="T294" i="22" s="1"/>
  <c r="S294" i="22" s="1"/>
  <c r="R294" i="22" s="1"/>
  <c r="P294" i="22" s="1"/>
  <c r="V294" i="22" s="1"/>
  <c r="B294" i="22" s="1"/>
  <c r="W294" i="22" s="1"/>
  <c r="U212" i="22"/>
  <c r="T212" i="22" s="1"/>
  <c r="S212" i="22" s="1"/>
  <c r="R212" i="22" s="1"/>
  <c r="P212" i="22" s="1"/>
  <c r="V212" i="22" s="1"/>
  <c r="B212" i="22" s="1"/>
  <c r="D212" i="22" s="1"/>
  <c r="E212" i="22" s="1"/>
  <c r="F212" i="22" s="1"/>
  <c r="U171" i="22"/>
  <c r="T171" i="22" s="1"/>
  <c r="S171" i="22" s="1"/>
  <c r="R171" i="22" s="1"/>
  <c r="P171" i="22" s="1"/>
  <c r="V171" i="22" s="1"/>
  <c r="B171" i="22" s="1"/>
  <c r="W171" i="22" s="1"/>
  <c r="U175" i="22"/>
  <c r="T175" i="22" s="1"/>
  <c r="S175" i="22" s="1"/>
  <c r="R175" i="22" s="1"/>
  <c r="P175" i="22" s="1"/>
  <c r="V175" i="22" s="1"/>
  <c r="B175" i="22" s="1"/>
  <c r="W175" i="22" s="1"/>
  <c r="U208" i="22"/>
  <c r="T208" i="22" s="1"/>
  <c r="S208" i="22" s="1"/>
  <c r="R208" i="22" s="1"/>
  <c r="P208" i="22" s="1"/>
  <c r="V208" i="22" s="1"/>
  <c r="B208" i="22" s="1"/>
  <c r="D208" i="22" s="1"/>
  <c r="E208" i="22" s="1"/>
  <c r="F208" i="22" s="1"/>
  <c r="U242" i="22"/>
  <c r="T242" i="22" s="1"/>
  <c r="S242" i="22" s="1"/>
  <c r="R242" i="22" s="1"/>
  <c r="P242" i="22" s="1"/>
  <c r="V242" i="22" s="1"/>
  <c r="B242" i="22" s="1"/>
  <c r="D242" i="22" s="1"/>
  <c r="E242" i="22" s="1"/>
  <c r="F242" i="22" s="1"/>
  <c r="U307" i="22"/>
  <c r="T307" i="22" s="1"/>
  <c r="S307" i="22" s="1"/>
  <c r="R307" i="22" s="1"/>
  <c r="P307" i="22" s="1"/>
  <c r="V307" i="22" s="1"/>
  <c r="B307" i="22" s="1"/>
  <c r="D307" i="22" s="1"/>
  <c r="E307" i="22" s="1"/>
  <c r="F307" i="22" s="1"/>
  <c r="U213" i="22"/>
  <c r="T213" i="22" s="1"/>
  <c r="S213" i="22" s="1"/>
  <c r="R213" i="22" s="1"/>
  <c r="P213" i="22" s="1"/>
  <c r="V213" i="22" s="1"/>
  <c r="B213" i="22" s="1"/>
  <c r="W213" i="22" s="1"/>
  <c r="U169" i="22"/>
  <c r="T169" i="22" s="1"/>
  <c r="S169" i="22" s="1"/>
  <c r="R169" i="22" s="1"/>
  <c r="P169" i="22" s="1"/>
  <c r="V169" i="22" s="1"/>
  <c r="B169" i="22" s="1"/>
  <c r="W169" i="22" s="1"/>
  <c r="U23" i="22"/>
  <c r="T23" i="22" s="1"/>
  <c r="S23" i="22" s="1"/>
  <c r="R23" i="22" s="1"/>
  <c r="P23" i="22" s="1"/>
  <c r="V23" i="22" s="1"/>
  <c r="B23" i="22" s="1"/>
  <c r="W23" i="22" s="1"/>
  <c r="U296" i="22"/>
  <c r="T296" i="22" s="1"/>
  <c r="S296" i="22" s="1"/>
  <c r="R296" i="22" s="1"/>
  <c r="P296" i="22" s="1"/>
  <c r="V296" i="22" s="1"/>
  <c r="B296" i="22" s="1"/>
  <c r="W296" i="22" s="1"/>
  <c r="U107" i="22"/>
  <c r="T107" i="22" s="1"/>
  <c r="S107" i="22" s="1"/>
  <c r="R107" i="22" s="1"/>
  <c r="P107" i="22" s="1"/>
  <c r="V107" i="22" s="1"/>
  <c r="B107" i="22" s="1"/>
  <c r="D107" i="22" s="1"/>
  <c r="E107" i="22" s="1"/>
  <c r="F107" i="22" s="1"/>
  <c r="U322" i="22"/>
  <c r="T322" i="22" s="1"/>
  <c r="S322" i="22" s="1"/>
  <c r="R322" i="22" s="1"/>
  <c r="P322" i="22" s="1"/>
  <c r="V322" i="22" s="1"/>
  <c r="B322" i="22" s="1"/>
  <c r="W322" i="22" s="1"/>
  <c r="U59" i="22"/>
  <c r="T59" i="22" s="1"/>
  <c r="S59" i="22" s="1"/>
  <c r="R59" i="22" s="1"/>
  <c r="P59" i="22" s="1"/>
  <c r="V59" i="22" s="1"/>
  <c r="B59" i="22" s="1"/>
  <c r="D59" i="22" s="1"/>
  <c r="E59" i="22" s="1"/>
  <c r="F59" i="22" s="1"/>
  <c r="U168" i="22"/>
  <c r="T168" i="22" s="1"/>
  <c r="S168" i="22" s="1"/>
  <c r="R168" i="22" s="1"/>
  <c r="P168" i="22" s="1"/>
  <c r="V168" i="22" s="1"/>
  <c r="B168" i="22" s="1"/>
  <c r="W168" i="22" s="1"/>
  <c r="U164" i="22"/>
  <c r="T164" i="22" s="1"/>
  <c r="S164" i="22" s="1"/>
  <c r="R164" i="22" s="1"/>
  <c r="P164" i="22" s="1"/>
  <c r="V164" i="22" s="1"/>
  <c r="B164" i="22" s="1"/>
  <c r="W164" i="22" s="1"/>
  <c r="U313" i="22"/>
  <c r="T313" i="22" s="1"/>
  <c r="S313" i="22" s="1"/>
  <c r="R313" i="22" s="1"/>
  <c r="P313" i="22" s="1"/>
  <c r="V313" i="22" s="1"/>
  <c r="B313" i="22" s="1"/>
  <c r="D313" i="22" s="1"/>
  <c r="E313" i="22" s="1"/>
  <c r="F313" i="22" s="1"/>
  <c r="U122" i="22"/>
  <c r="T122" i="22" s="1"/>
  <c r="S122" i="22" s="1"/>
  <c r="R122" i="22" s="1"/>
  <c r="P122" i="22" s="1"/>
  <c r="V122" i="22" s="1"/>
  <c r="B122" i="22" s="1"/>
  <c r="D122" i="22" s="1"/>
  <c r="E122" i="22" s="1"/>
  <c r="F122" i="22" s="1"/>
  <c r="U365" i="22"/>
  <c r="T365" i="22" s="1"/>
  <c r="S365" i="22" s="1"/>
  <c r="R365" i="22" s="1"/>
  <c r="P365" i="22" s="1"/>
  <c r="V365" i="22" s="1"/>
  <c r="B365" i="22" s="1"/>
  <c r="W365" i="22" s="1"/>
  <c r="U240" i="22"/>
  <c r="T240" i="22" s="1"/>
  <c r="S240" i="22" s="1"/>
  <c r="R240" i="22" s="1"/>
  <c r="P240" i="22" s="1"/>
  <c r="V240" i="22" s="1"/>
  <c r="B240" i="22" s="1"/>
  <c r="W240" i="22" s="1"/>
  <c r="U229" i="22"/>
  <c r="T229" i="22" s="1"/>
  <c r="S229" i="22" s="1"/>
  <c r="R229" i="22" s="1"/>
  <c r="P229" i="22" s="1"/>
  <c r="V229" i="22" s="1"/>
  <c r="B229" i="22" s="1"/>
  <c r="D229" i="22" s="1"/>
  <c r="E229" i="22" s="1"/>
  <c r="F229" i="22" s="1"/>
  <c r="U167" i="22"/>
  <c r="T167" i="22" s="1"/>
  <c r="S167" i="22" s="1"/>
  <c r="R167" i="22" s="1"/>
  <c r="P167" i="22" s="1"/>
  <c r="V167" i="22" s="1"/>
  <c r="B167" i="22" s="1"/>
  <c r="D167" i="22" s="1"/>
  <c r="E167" i="22" s="1"/>
  <c r="F167" i="22" s="1"/>
  <c r="U310" i="22"/>
  <c r="T310" i="22" s="1"/>
  <c r="S310" i="22" s="1"/>
  <c r="R310" i="22" s="1"/>
  <c r="P310" i="22" s="1"/>
  <c r="V310" i="22" s="1"/>
  <c r="B310" i="22" s="1"/>
  <c r="D310" i="22" s="1"/>
  <c r="E310" i="22" s="1"/>
  <c r="F310" i="22" s="1"/>
  <c r="U98" i="22"/>
  <c r="T98" i="22" s="1"/>
  <c r="S98" i="22" s="1"/>
  <c r="R98" i="22" s="1"/>
  <c r="P98" i="22" s="1"/>
  <c r="V98" i="22" s="1"/>
  <c r="B98" i="22" s="1"/>
  <c r="D98" i="22" s="1"/>
  <c r="E98" i="22" s="1"/>
  <c r="F98" i="22" s="1"/>
  <c r="U318" i="22"/>
  <c r="T318" i="22" s="1"/>
  <c r="S318" i="22" s="1"/>
  <c r="R318" i="22" s="1"/>
  <c r="P318" i="22" s="1"/>
  <c r="V318" i="22" s="1"/>
  <c r="B318" i="22" s="1"/>
  <c r="D318" i="22" s="1"/>
  <c r="E318" i="22" s="1"/>
  <c r="F318" i="22" s="1"/>
  <c r="U355" i="22"/>
  <c r="T355" i="22" s="1"/>
  <c r="S355" i="22" s="1"/>
  <c r="R355" i="22" s="1"/>
  <c r="P355" i="22" s="1"/>
  <c r="V355" i="22" s="1"/>
  <c r="B355" i="22" s="1"/>
  <c r="D355" i="22" s="1"/>
  <c r="E355" i="22" s="1"/>
  <c r="F355" i="22" s="1"/>
  <c r="U359" i="22"/>
  <c r="T359" i="22" s="1"/>
  <c r="S359" i="22" s="1"/>
  <c r="R359" i="22" s="1"/>
  <c r="P359" i="22" s="1"/>
  <c r="V359" i="22" s="1"/>
  <c r="B359" i="22" s="1"/>
  <c r="W359" i="22" s="1"/>
  <c r="U18" i="22"/>
  <c r="T18" i="22" s="1"/>
  <c r="S18" i="22" s="1"/>
  <c r="R18" i="22" s="1"/>
  <c r="P18" i="22" s="1"/>
  <c r="V18" i="22" s="1"/>
  <c r="B18" i="22" s="1"/>
  <c r="D18" i="22" s="1"/>
  <c r="E18" i="22" s="1"/>
  <c r="F18" i="22" s="1"/>
  <c r="U73" i="22"/>
  <c r="T73" i="22" s="1"/>
  <c r="S73" i="22" s="1"/>
  <c r="R73" i="22" s="1"/>
  <c r="P73" i="22" s="1"/>
  <c r="V73" i="22" s="1"/>
  <c r="B73" i="22" s="1"/>
  <c r="D73" i="22" s="1"/>
  <c r="E73" i="22" s="1"/>
  <c r="F73" i="22" s="1"/>
  <c r="G73" i="22" s="1"/>
  <c r="CC73" i="6" s="1"/>
  <c r="U189" i="22"/>
  <c r="T189" i="22" s="1"/>
  <c r="S189" i="22" s="1"/>
  <c r="R189" i="22" s="1"/>
  <c r="P189" i="22" s="1"/>
  <c r="V189" i="22" s="1"/>
  <c r="B189" i="22" s="1"/>
  <c r="U319" i="22"/>
  <c r="T319" i="22" s="1"/>
  <c r="S319" i="22" s="1"/>
  <c r="R319" i="22" s="1"/>
  <c r="P319" i="22" s="1"/>
  <c r="V319" i="22" s="1"/>
  <c r="U353" i="22"/>
  <c r="T353" i="22" s="1"/>
  <c r="S353" i="22" s="1"/>
  <c r="R353" i="22" s="1"/>
  <c r="P353" i="22" s="1"/>
  <c r="V353" i="22" s="1"/>
  <c r="B353" i="22" s="1"/>
  <c r="D353" i="22" s="1"/>
  <c r="E353" i="22" s="1"/>
  <c r="F353" i="22" s="1"/>
  <c r="U94" i="22"/>
  <c r="T94" i="22" s="1"/>
  <c r="S94" i="22" s="1"/>
  <c r="R94" i="22" s="1"/>
  <c r="P94" i="22" s="1"/>
  <c r="V94" i="22" s="1"/>
  <c r="B94" i="22" s="1"/>
  <c r="D94" i="22" s="1"/>
  <c r="E94" i="22" s="1"/>
  <c r="F94" i="22" s="1"/>
  <c r="U100" i="22"/>
  <c r="T100" i="22" s="1"/>
  <c r="S100" i="22" s="1"/>
  <c r="R100" i="22" s="1"/>
  <c r="P100" i="22" s="1"/>
  <c r="V100" i="22" s="1"/>
  <c r="B100" i="22" s="1"/>
  <c r="W100" i="22" s="1"/>
  <c r="U274" i="22"/>
  <c r="T274" i="22" s="1"/>
  <c r="S274" i="22" s="1"/>
  <c r="R274" i="22" s="1"/>
  <c r="P274" i="22" s="1"/>
  <c r="V274" i="22" s="1"/>
  <c r="B274" i="22" s="1"/>
  <c r="D274" i="22" s="1"/>
  <c r="E274" i="22" s="1"/>
  <c r="F274" i="22" s="1"/>
  <c r="U161" i="22"/>
  <c r="T161" i="22" s="1"/>
  <c r="S161" i="22" s="1"/>
  <c r="R161" i="22" s="1"/>
  <c r="P161" i="22" s="1"/>
  <c r="V161" i="22" s="1"/>
  <c r="B161" i="22" s="1"/>
  <c r="W161" i="22" s="1"/>
  <c r="U333" i="22"/>
  <c r="T333" i="22" s="1"/>
  <c r="S333" i="22" s="1"/>
  <c r="R333" i="22" s="1"/>
  <c r="P333" i="22" s="1"/>
  <c r="V333" i="22" s="1"/>
  <c r="B333" i="22" s="1"/>
  <c r="U363" i="22"/>
  <c r="T363" i="22" s="1"/>
  <c r="S363" i="22" s="1"/>
  <c r="R363" i="22" s="1"/>
  <c r="P363" i="22" s="1"/>
  <c r="V363" i="22" s="1"/>
  <c r="U112" i="22"/>
  <c r="T112" i="22" s="1"/>
  <c r="S112" i="22" s="1"/>
  <c r="R112" i="22" s="1"/>
  <c r="P112" i="22" s="1"/>
  <c r="V112" i="22" s="1"/>
  <c r="B112" i="22" s="1"/>
  <c r="D112" i="22" s="1"/>
  <c r="E112" i="22" s="1"/>
  <c r="F112" i="22" s="1"/>
  <c r="G112" i="22" s="1"/>
  <c r="CC112" i="6" s="1"/>
  <c r="U113" i="22"/>
  <c r="T113" i="22" s="1"/>
  <c r="S113" i="22" s="1"/>
  <c r="R113" i="22" s="1"/>
  <c r="P113" i="22" s="1"/>
  <c r="V113" i="22" s="1"/>
  <c r="B113" i="22" s="1"/>
  <c r="W113" i="22" s="1"/>
  <c r="U283" i="22"/>
  <c r="T283" i="22" s="1"/>
  <c r="S283" i="22" s="1"/>
  <c r="R283" i="22" s="1"/>
  <c r="P283" i="22" s="1"/>
  <c r="V283" i="22" s="1"/>
  <c r="B283" i="22" s="1"/>
  <c r="W283" i="22" s="1"/>
  <c r="U203" i="22"/>
  <c r="T203" i="22" s="1"/>
  <c r="S203" i="22" s="1"/>
  <c r="R203" i="22" s="1"/>
  <c r="P203" i="22" s="1"/>
  <c r="V203" i="22" s="1"/>
  <c r="B203" i="22" s="1"/>
  <c r="D203" i="22" s="1"/>
  <c r="E203" i="22" s="1"/>
  <c r="F203" i="22" s="1"/>
  <c r="U375" i="22"/>
  <c r="T375" i="22" s="1"/>
  <c r="S375" i="22" s="1"/>
  <c r="R375" i="22" s="1"/>
  <c r="P375" i="22" s="1"/>
  <c r="V375" i="22" s="1"/>
  <c r="B375" i="22" s="1"/>
  <c r="W375" i="22" s="1"/>
  <c r="U55" i="22"/>
  <c r="T55" i="22" s="1"/>
  <c r="S55" i="22" s="1"/>
  <c r="R55" i="22" s="1"/>
  <c r="P55" i="22" s="1"/>
  <c r="V55" i="22" s="1"/>
  <c r="B55" i="22" s="1"/>
  <c r="W55" i="22" s="1"/>
  <c r="U34" i="22"/>
  <c r="T34" i="22" s="1"/>
  <c r="S34" i="22" s="1"/>
  <c r="R34" i="22" s="1"/>
  <c r="P34" i="22" s="1"/>
  <c r="V34" i="22" s="1"/>
  <c r="B34" i="22" s="1"/>
  <c r="D34" i="22" s="1"/>
  <c r="E34" i="22" s="1"/>
  <c r="F34" i="22" s="1"/>
  <c r="U111" i="22"/>
  <c r="T111" i="22" s="1"/>
  <c r="S111" i="22" s="1"/>
  <c r="R111" i="22" s="1"/>
  <c r="P111" i="22" s="1"/>
  <c r="V111" i="22" s="1"/>
  <c r="B111" i="22" s="1"/>
  <c r="D111" i="22" s="1"/>
  <c r="E111" i="22" s="1"/>
  <c r="F111" i="22" s="1"/>
  <c r="U256" i="22"/>
  <c r="T256" i="22" s="1"/>
  <c r="S256" i="22" s="1"/>
  <c r="R256" i="22" s="1"/>
  <c r="P256" i="22" s="1"/>
  <c r="V256" i="22" s="1"/>
  <c r="B256" i="22" s="1"/>
  <c r="D256" i="22" s="1"/>
  <c r="E256" i="22" s="1"/>
  <c r="F256" i="22" s="1"/>
  <c r="U200" i="22"/>
  <c r="T200" i="22" s="1"/>
  <c r="S200" i="22" s="1"/>
  <c r="R200" i="22" s="1"/>
  <c r="P200" i="22" s="1"/>
  <c r="V200" i="22" s="1"/>
  <c r="B200" i="22" s="1"/>
  <c r="W200" i="22" s="1"/>
  <c r="U33" i="22"/>
  <c r="T33" i="22" s="1"/>
  <c r="S33" i="22" s="1"/>
  <c r="R33" i="22" s="1"/>
  <c r="P33" i="22" s="1"/>
  <c r="V33" i="22" s="1"/>
  <c r="B33" i="22" s="1"/>
  <c r="W33" i="22" s="1"/>
  <c r="U41" i="22"/>
  <c r="T41" i="22" s="1"/>
  <c r="S41" i="22" s="1"/>
  <c r="R41" i="22" s="1"/>
  <c r="P41" i="22" s="1"/>
  <c r="V41" i="22" s="1"/>
  <c r="B41" i="22" s="1"/>
  <c r="D41" i="22" s="1"/>
  <c r="E41" i="22" s="1"/>
  <c r="F41" i="22" s="1"/>
  <c r="G41" i="22" s="1"/>
  <c r="CC41" i="6" s="1"/>
  <c r="U177" i="22"/>
  <c r="T177" i="22" s="1"/>
  <c r="S177" i="22" s="1"/>
  <c r="R177" i="22" s="1"/>
  <c r="P177" i="22" s="1"/>
  <c r="V177" i="22" s="1"/>
  <c r="B177" i="22" s="1"/>
  <c r="W177" i="22" s="1"/>
  <c r="U204" i="22"/>
  <c r="T204" i="22" s="1"/>
  <c r="S204" i="22" s="1"/>
  <c r="R204" i="22" s="1"/>
  <c r="P204" i="22" s="1"/>
  <c r="V204" i="22" s="1"/>
  <c r="B204" i="22" s="1"/>
  <c r="W204" i="22" s="1"/>
  <c r="U108" i="22"/>
  <c r="T108" i="22" s="1"/>
  <c r="S108" i="22" s="1"/>
  <c r="R108" i="22" s="1"/>
  <c r="P108" i="22" s="1"/>
  <c r="V108" i="22" s="1"/>
  <c r="B108" i="22" s="1"/>
  <c r="W108" i="22" s="1"/>
  <c r="U201" i="22"/>
  <c r="T201" i="22" s="1"/>
  <c r="S201" i="22" s="1"/>
  <c r="R201" i="22" s="1"/>
  <c r="P201" i="22" s="1"/>
  <c r="V201" i="22" s="1"/>
  <c r="B201" i="22" s="1"/>
  <c r="W201" i="22" s="1"/>
  <c r="U31" i="22"/>
  <c r="T31" i="22" s="1"/>
  <c r="S31" i="22" s="1"/>
  <c r="R31" i="22" s="1"/>
  <c r="P31" i="22" s="1"/>
  <c r="V31" i="22" s="1"/>
  <c r="B31" i="22" s="1"/>
  <c r="D31" i="22" s="1"/>
  <c r="E31" i="22" s="1"/>
  <c r="F31" i="22" s="1"/>
  <c r="G31" i="22" s="1"/>
  <c r="CC31" i="6" s="1"/>
  <c r="U173" i="22"/>
  <c r="T173" i="22" s="1"/>
  <c r="S173" i="22" s="1"/>
  <c r="R173" i="22" s="1"/>
  <c r="P173" i="22" s="1"/>
  <c r="V173" i="22" s="1"/>
  <c r="B173" i="22" s="1"/>
  <c r="W173" i="22" s="1"/>
  <c r="U254" i="22"/>
  <c r="T254" i="22" s="1"/>
  <c r="S254" i="22" s="1"/>
  <c r="R254" i="22" s="1"/>
  <c r="P254" i="22" s="1"/>
  <c r="V254" i="22" s="1"/>
  <c r="B254" i="22" s="1"/>
  <c r="W254" i="22" s="1"/>
  <c r="U85" i="22"/>
  <c r="T85" i="22" s="1"/>
  <c r="S85" i="22" s="1"/>
  <c r="R85" i="22" s="1"/>
  <c r="P85" i="22" s="1"/>
  <c r="V85" i="22" s="1"/>
  <c r="B85" i="22" s="1"/>
  <c r="D85" i="22" s="1"/>
  <c r="E85" i="22" s="1"/>
  <c r="F85" i="22" s="1"/>
  <c r="U302" i="22"/>
  <c r="T302" i="22" s="1"/>
  <c r="S302" i="22" s="1"/>
  <c r="R302" i="22" s="1"/>
  <c r="P302" i="22" s="1"/>
  <c r="V302" i="22" s="1"/>
  <c r="B302" i="22" s="1"/>
  <c r="U210" i="22"/>
  <c r="T210" i="22" s="1"/>
  <c r="S210" i="22" s="1"/>
  <c r="R210" i="22" s="1"/>
  <c r="P210" i="22" s="1"/>
  <c r="AH38" i="7" s="1"/>
  <c r="Q381" i="22"/>
  <c r="H26" i="20"/>
  <c r="I26" i="20" s="1"/>
  <c r="P67" i="22"/>
  <c r="V67" i="22" s="1"/>
  <c r="B67" i="22" s="1"/>
  <c r="D67" i="22" s="1"/>
  <c r="E67" i="22" s="1"/>
  <c r="F67" i="22" s="1"/>
  <c r="G67" i="22" s="1"/>
  <c r="CC67" i="6" s="1"/>
  <c r="P270" i="22"/>
  <c r="V270" i="22" s="1"/>
  <c r="B270" i="22" s="1"/>
  <c r="D270" i="22" s="1"/>
  <c r="E270" i="22" s="1"/>
  <c r="F270" i="22" s="1"/>
  <c r="G270" i="22" s="1"/>
  <c r="CC270" i="6" s="1"/>
  <c r="P321" i="22"/>
  <c r="V321" i="22" s="1"/>
  <c r="B321" i="22" s="1"/>
  <c r="W321" i="22" s="1"/>
  <c r="Q382" i="22"/>
  <c r="H229" i="20"/>
  <c r="J229" i="20" s="1"/>
  <c r="H211" i="20"/>
  <c r="J211" i="20" s="1"/>
  <c r="G339" i="20"/>
  <c r="CB339" i="6" s="1"/>
  <c r="H21" i="20"/>
  <c r="I21" i="20" s="1"/>
  <c r="H289" i="20"/>
  <c r="I289" i="20" s="1"/>
  <c r="H260" i="20"/>
  <c r="J260" i="20" s="1"/>
  <c r="H196" i="20"/>
  <c r="I196" i="20" s="1"/>
  <c r="H156" i="20"/>
  <c r="I156" i="20" s="1"/>
  <c r="H20" i="20"/>
  <c r="J20" i="20" s="1"/>
  <c r="X4" i="6"/>
  <c r="H203" i="20"/>
  <c r="J203" i="20" s="1"/>
  <c r="H173" i="20"/>
  <c r="I173" i="20" s="1"/>
  <c r="P4" i="6"/>
  <c r="H296" i="20"/>
  <c r="I296" i="20" s="1"/>
  <c r="H218" i="20"/>
  <c r="I218" i="20" s="1"/>
  <c r="AA34" i="20"/>
  <c r="Z34" i="20" s="1"/>
  <c r="Y34" i="20" s="1"/>
  <c r="G297" i="20"/>
  <c r="CB297" i="6" s="1"/>
  <c r="H187" i="20"/>
  <c r="J187" i="20" s="1"/>
  <c r="H91" i="20"/>
  <c r="J91" i="20" s="1"/>
  <c r="H204" i="20"/>
  <c r="I204" i="20" s="1"/>
  <c r="H16" i="20"/>
  <c r="I16" i="20" s="1"/>
  <c r="H352" i="20"/>
  <c r="J352" i="20" s="1"/>
  <c r="H255" i="20"/>
  <c r="J255" i="20" s="1"/>
  <c r="AA303" i="20"/>
  <c r="Z303" i="20" s="1"/>
  <c r="Y303" i="20" s="1"/>
  <c r="G232" i="20"/>
  <c r="CB232" i="6" s="1"/>
  <c r="H346" i="20"/>
  <c r="J346" i="20" s="1"/>
  <c r="H81" i="20"/>
  <c r="I81" i="20" s="1"/>
  <c r="G239" i="20"/>
  <c r="CB239" i="6" s="1"/>
  <c r="AA240" i="20"/>
  <c r="Z240" i="20" s="1"/>
  <c r="Y240" i="20" s="1"/>
  <c r="G352" i="20"/>
  <c r="CB352" i="6" s="1"/>
  <c r="H144" i="20"/>
  <c r="I144" i="20" s="1"/>
  <c r="AA84" i="20"/>
  <c r="Z84" i="20" s="1"/>
  <c r="Y84" i="20" s="1"/>
  <c r="H247" i="20"/>
  <c r="I247" i="20" s="1"/>
  <c r="H84" i="20"/>
  <c r="I84" i="20" s="1"/>
  <c r="H232" i="20"/>
  <c r="J232" i="20" s="1"/>
  <c r="AA237" i="20"/>
  <c r="Z237" i="20" s="1"/>
  <c r="Y237" i="20" s="1"/>
  <c r="H62" i="20"/>
  <c r="I62" i="20" s="1"/>
  <c r="G66" i="19"/>
  <c r="H125" i="20"/>
  <c r="J125" i="20" s="1"/>
  <c r="AA247" i="20"/>
  <c r="Z247" i="20" s="1"/>
  <c r="Y247" i="20" s="1"/>
  <c r="AA224" i="20"/>
  <c r="Z224" i="20" s="1"/>
  <c r="Y224" i="20" s="1"/>
  <c r="H292" i="20"/>
  <c r="J292" i="20" s="1"/>
  <c r="H177" i="20"/>
  <c r="J177" i="20" s="1"/>
  <c r="AA339" i="20"/>
  <c r="Z339" i="20" s="1"/>
  <c r="Y339" i="20" s="1"/>
  <c r="H249" i="20"/>
  <c r="J249" i="20" s="1"/>
  <c r="AA125" i="20"/>
  <c r="Z125" i="20" s="1"/>
  <c r="Y125" i="20" s="1"/>
  <c r="H205" i="20"/>
  <c r="I205" i="20" s="1"/>
  <c r="AA17" i="20"/>
  <c r="Z17" i="20" s="1"/>
  <c r="Y17" i="20" s="1"/>
  <c r="H317" i="20"/>
  <c r="J317" i="20" s="1"/>
  <c r="H102" i="20"/>
  <c r="J102" i="20" s="1"/>
  <c r="AA93" i="20"/>
  <c r="Z93" i="20" s="1"/>
  <c r="Y93" i="20" s="1"/>
  <c r="H320" i="20"/>
  <c r="I320" i="20" s="1"/>
  <c r="H303" i="20"/>
  <c r="J303" i="20" s="1"/>
  <c r="AA249" i="20"/>
  <c r="Z249" i="20" s="1"/>
  <c r="Y249" i="20" s="1"/>
  <c r="AA211" i="20"/>
  <c r="Z211" i="20" s="1"/>
  <c r="Y211" i="20" s="1"/>
  <c r="H237" i="20"/>
  <c r="I237" i="20" s="1"/>
  <c r="G136" i="20"/>
  <c r="CB136" i="6" s="1"/>
  <c r="H101" i="20"/>
  <c r="I101" i="20" s="1"/>
  <c r="H344" i="20"/>
  <c r="I344" i="20" s="1"/>
  <c r="H274" i="20"/>
  <c r="J274" i="20" s="1"/>
  <c r="G42" i="20"/>
  <c r="CB42" i="6" s="1"/>
  <c r="H230" i="20"/>
  <c r="J230" i="20" s="1"/>
  <c r="H353" i="20"/>
  <c r="I353" i="20" s="1"/>
  <c r="AG4" i="6"/>
  <c r="H197" i="20"/>
  <c r="J197" i="20" s="1"/>
  <c r="H224" i="20"/>
  <c r="I224" i="20" s="1"/>
  <c r="H281" i="20"/>
  <c r="J281" i="20" s="1"/>
  <c r="H335" i="20"/>
  <c r="I335" i="20" s="1"/>
  <c r="G131" i="20"/>
  <c r="CB131" i="6" s="1"/>
  <c r="H151" i="20"/>
  <c r="J151" i="20" s="1"/>
  <c r="AA371" i="20"/>
  <c r="Z371" i="20" s="1"/>
  <c r="Y371" i="20" s="1"/>
  <c r="AA284" i="20"/>
  <c r="Z284" i="20" s="1"/>
  <c r="Y284" i="20" s="1"/>
  <c r="AA328" i="20"/>
  <c r="Z328" i="20" s="1"/>
  <c r="Y328" i="20" s="1"/>
  <c r="AA358" i="20"/>
  <c r="Z358" i="20" s="1"/>
  <c r="Y358" i="20" s="1"/>
  <c r="AA92" i="20"/>
  <c r="Z92" i="20" s="1"/>
  <c r="Y92" i="20" s="1"/>
  <c r="AA188" i="20"/>
  <c r="Z188" i="20" s="1"/>
  <c r="Y188" i="20" s="1"/>
  <c r="AA234" i="20"/>
  <c r="Z234" i="20" s="1"/>
  <c r="Y234" i="20" s="1"/>
  <c r="H328" i="20"/>
  <c r="J328" i="20" s="1"/>
  <c r="G107" i="20"/>
  <c r="CB107" i="6" s="1"/>
  <c r="H357" i="20"/>
  <c r="J357" i="20" s="1"/>
  <c r="V4" i="6"/>
  <c r="AA217" i="20"/>
  <c r="Z217" i="20" s="1"/>
  <c r="Y217" i="20" s="1"/>
  <c r="H284" i="20"/>
  <c r="I284" i="20" s="1"/>
  <c r="G359" i="20"/>
  <c r="CB359" i="6" s="1"/>
  <c r="G23" i="20"/>
  <c r="CB23" i="6" s="1"/>
  <c r="H358" i="20"/>
  <c r="I358" i="20" s="1"/>
  <c r="G57" i="20"/>
  <c r="CB57" i="6" s="1"/>
  <c r="AA268" i="20"/>
  <c r="Z268" i="20" s="1"/>
  <c r="Y268" i="20" s="1"/>
  <c r="H17" i="20"/>
  <c r="I17" i="20" s="1"/>
  <c r="AA277" i="20"/>
  <c r="Z277" i="20" s="1"/>
  <c r="Y277" i="20" s="1"/>
  <c r="G225" i="20"/>
  <c r="CB225" i="6" s="1"/>
  <c r="AA35" i="20"/>
  <c r="Z35" i="20" s="1"/>
  <c r="Y35" i="20" s="1"/>
  <c r="H35" i="20"/>
  <c r="I35" i="20" s="1"/>
  <c r="AE4" i="6"/>
  <c r="G268" i="20"/>
  <c r="CB268" i="6" s="1"/>
  <c r="H277" i="20"/>
  <c r="I277" i="20" s="1"/>
  <c r="H30" i="20"/>
  <c r="I30" i="20" s="1"/>
  <c r="H279" i="20"/>
  <c r="J279" i="20" s="1"/>
  <c r="H225" i="20"/>
  <c r="I225" i="20" s="1"/>
  <c r="G220" i="20"/>
  <c r="CB220" i="6" s="1"/>
  <c r="AA169" i="20"/>
  <c r="Z169" i="20" s="1"/>
  <c r="Y169" i="20" s="1"/>
  <c r="AA140" i="20"/>
  <c r="Z140" i="20" s="1"/>
  <c r="Y140" i="20" s="1"/>
  <c r="H217" i="20"/>
  <c r="I217" i="20" s="1"/>
  <c r="AA252" i="20"/>
  <c r="Z252" i="20" s="1"/>
  <c r="Y252" i="20" s="1"/>
  <c r="AA297" i="20"/>
  <c r="Z297" i="20" s="1"/>
  <c r="Y297" i="20" s="1"/>
  <c r="H23" i="20"/>
  <c r="I23" i="20" s="1"/>
  <c r="G326" i="20"/>
  <c r="CB326" i="6" s="1"/>
  <c r="H107" i="20"/>
  <c r="I107" i="20" s="1"/>
  <c r="H201" i="20"/>
  <c r="I201" i="20" s="1"/>
  <c r="H77" i="20"/>
  <c r="J77" i="20" s="1"/>
  <c r="G175" i="20"/>
  <c r="CB175" i="6" s="1"/>
  <c r="G115" i="20"/>
  <c r="CB115" i="6" s="1"/>
  <c r="H169" i="20"/>
  <c r="I169" i="20" s="1"/>
  <c r="G178" i="20"/>
  <c r="CB178" i="6" s="1"/>
  <c r="H214" i="20"/>
  <c r="I214" i="20" s="1"/>
  <c r="AA36" i="20"/>
  <c r="Z36" i="20" s="1"/>
  <c r="Y36" i="20" s="1"/>
  <c r="G215" i="20"/>
  <c r="CB215" i="6" s="1"/>
  <c r="H327" i="20"/>
  <c r="I327" i="20" s="1"/>
  <c r="G248" i="20"/>
  <c r="CB248" i="6" s="1"/>
  <c r="G205" i="20"/>
  <c r="CB205" i="6" s="1"/>
  <c r="G45" i="20"/>
  <c r="CB45" i="6" s="1"/>
  <c r="AA26" i="20"/>
  <c r="Z26" i="20" s="1"/>
  <c r="Y26" i="20" s="1"/>
  <c r="AA327" i="20"/>
  <c r="Z327" i="20" s="1"/>
  <c r="Y327" i="20" s="1"/>
  <c r="AA45" i="20"/>
  <c r="Z45" i="20" s="1"/>
  <c r="Y45" i="20" s="1"/>
  <c r="H143" i="20"/>
  <c r="J143" i="20" s="1"/>
  <c r="H220" i="20"/>
  <c r="J220" i="20" s="1"/>
  <c r="G26" i="20"/>
  <c r="CB26" i="6" s="1"/>
  <c r="AA120" i="20"/>
  <c r="Z120" i="20" s="1"/>
  <c r="Y120" i="20" s="1"/>
  <c r="G126" i="20"/>
  <c r="CB126" i="6" s="1"/>
  <c r="AA289" i="20"/>
  <c r="Z289" i="20" s="1"/>
  <c r="Y289" i="20" s="1"/>
  <c r="G168" i="20"/>
  <c r="CB168" i="6" s="1"/>
  <c r="H37" i="20"/>
  <c r="I37" i="20" s="1"/>
  <c r="H325" i="20"/>
  <c r="I325" i="20" s="1"/>
  <c r="G82" i="20"/>
  <c r="CB82" i="6" s="1"/>
  <c r="G135" i="20"/>
  <c r="CB135" i="6" s="1"/>
  <c r="H351" i="20"/>
  <c r="I351" i="20" s="1"/>
  <c r="G374" i="20"/>
  <c r="CB374" i="6" s="1"/>
  <c r="H68" i="20"/>
  <c r="J68" i="20" s="1"/>
  <c r="AA260" i="20"/>
  <c r="Z260" i="20" s="1"/>
  <c r="Y260" i="20" s="1"/>
  <c r="H136" i="20"/>
  <c r="J136" i="20" s="1"/>
  <c r="G80" i="20"/>
  <c r="CB80" i="6" s="1"/>
  <c r="G208" i="20"/>
  <c r="CB208" i="6" s="1"/>
  <c r="H93" i="20"/>
  <c r="I93" i="20" s="1"/>
  <c r="G143" i="20"/>
  <c r="CB143" i="6" s="1"/>
  <c r="AA95" i="20"/>
  <c r="Z95" i="20" s="1"/>
  <c r="Y95" i="20" s="1"/>
  <c r="H28" i="20"/>
  <c r="J28" i="20" s="1"/>
  <c r="G311" i="20"/>
  <c r="CB311" i="6" s="1"/>
  <c r="AA74" i="20"/>
  <c r="Z74" i="20" s="1"/>
  <c r="Y74" i="20" s="1"/>
  <c r="H174" i="20"/>
  <c r="I174" i="20" s="1"/>
  <c r="G172" i="20"/>
  <c r="CB172" i="6" s="1"/>
  <c r="H110" i="20"/>
  <c r="J110" i="20" s="1"/>
  <c r="H222" i="20"/>
  <c r="I222" i="20" s="1"/>
  <c r="AA271" i="20"/>
  <c r="Z271" i="20" s="1"/>
  <c r="Y271" i="20" s="1"/>
  <c r="AA278" i="20"/>
  <c r="Z278" i="20" s="1"/>
  <c r="Y278" i="20" s="1"/>
  <c r="AA316" i="20"/>
  <c r="Z316" i="20" s="1"/>
  <c r="Y316" i="20" s="1"/>
  <c r="AA124" i="20"/>
  <c r="Z124" i="20" s="1"/>
  <c r="Y124" i="20" s="1"/>
  <c r="H343" i="20"/>
  <c r="J343" i="20" s="1"/>
  <c r="H298" i="20"/>
  <c r="J298" i="20" s="1"/>
  <c r="H271" i="20"/>
  <c r="I271" i="20" s="1"/>
  <c r="H57" i="20"/>
  <c r="I57" i="20" s="1"/>
  <c r="G141" i="20"/>
  <c r="CB141" i="6" s="1"/>
  <c r="H216" i="20"/>
  <c r="I216" i="20" s="1"/>
  <c r="H94" i="20"/>
  <c r="I94" i="20" s="1"/>
  <c r="H256" i="20"/>
  <c r="J256" i="20" s="1"/>
  <c r="G83" i="20"/>
  <c r="CB83" i="6" s="1"/>
  <c r="G313" i="20"/>
  <c r="CB313" i="6" s="1"/>
  <c r="G171" i="20"/>
  <c r="CB171" i="6" s="1"/>
  <c r="H186" i="20"/>
  <c r="J186" i="20" s="1"/>
  <c r="AA49" i="20"/>
  <c r="Z49" i="20" s="1"/>
  <c r="Y49" i="20" s="1"/>
  <c r="AA326" i="20"/>
  <c r="Z326" i="20" s="1"/>
  <c r="Y326" i="20" s="1"/>
  <c r="AA347" i="20"/>
  <c r="Z347" i="20" s="1"/>
  <c r="Y347" i="20" s="1"/>
  <c r="AA183" i="20"/>
  <c r="Z183" i="20" s="1"/>
  <c r="Y183" i="20" s="1"/>
  <c r="AA52" i="20"/>
  <c r="Z52" i="20" s="1"/>
  <c r="Y52" i="20" s="1"/>
  <c r="H286" i="20"/>
  <c r="J286" i="20" s="1"/>
  <c r="G231" i="20"/>
  <c r="CB231" i="6" s="1"/>
  <c r="AA354" i="20"/>
  <c r="Z354" i="20" s="1"/>
  <c r="Y354" i="20" s="1"/>
  <c r="H82" i="20"/>
  <c r="J82" i="20" s="1"/>
  <c r="H189" i="20"/>
  <c r="J189" i="20" s="1"/>
  <c r="J135" i="20"/>
  <c r="G351" i="20"/>
  <c r="CB351" i="6" s="1"/>
  <c r="G16" i="20"/>
  <c r="CB16" i="6" s="1"/>
  <c r="G129" i="20"/>
  <c r="CB129" i="6" s="1"/>
  <c r="AA152" i="20"/>
  <c r="Z152" i="20" s="1"/>
  <c r="Y152" i="20" s="1"/>
  <c r="H226" i="20"/>
  <c r="I226" i="20" s="1"/>
  <c r="AA176" i="20"/>
  <c r="Z176" i="20" s="1"/>
  <c r="Y176" i="20" s="1"/>
  <c r="T4" i="6"/>
  <c r="H246" i="20"/>
  <c r="J246" i="20" s="1"/>
  <c r="H350" i="20"/>
  <c r="I350" i="20" s="1"/>
  <c r="H165" i="20"/>
  <c r="J165" i="20" s="1"/>
  <c r="AA355" i="20"/>
  <c r="Z355" i="20" s="1"/>
  <c r="Y355" i="20" s="1"/>
  <c r="G322" i="20"/>
  <c r="CB322" i="6" s="1"/>
  <c r="H208" i="20"/>
  <c r="I208" i="20" s="1"/>
  <c r="H42" i="20"/>
  <c r="J42" i="20" s="1"/>
  <c r="AA128" i="20"/>
  <c r="Z128" i="20" s="1"/>
  <c r="Y128" i="20" s="1"/>
  <c r="G258" i="20"/>
  <c r="CB258" i="6" s="1"/>
  <c r="AI4" i="6"/>
  <c r="H314" i="20"/>
  <c r="J314" i="20" s="1"/>
  <c r="W370" i="22"/>
  <c r="AB4" i="6"/>
  <c r="H34" i="20"/>
  <c r="I34" i="20" s="1"/>
  <c r="H123" i="20"/>
  <c r="J123" i="20" s="1"/>
  <c r="H359" i="20"/>
  <c r="I359" i="20" s="1"/>
  <c r="AA362" i="20"/>
  <c r="Z362" i="20" s="1"/>
  <c r="Y362" i="20" s="1"/>
  <c r="H311" i="20"/>
  <c r="I311" i="20" s="1"/>
  <c r="H252" i="20"/>
  <c r="J252" i="20" s="1"/>
  <c r="G110" i="20"/>
  <c r="CB110" i="6" s="1"/>
  <c r="G222" i="20"/>
  <c r="CB222" i="6" s="1"/>
  <c r="AA178" i="20"/>
  <c r="Z178" i="20" s="1"/>
  <c r="Y178" i="20" s="1"/>
  <c r="H49" i="20"/>
  <c r="I49" i="20" s="1"/>
  <c r="G124" i="20"/>
  <c r="CB124" i="6" s="1"/>
  <c r="H142" i="20"/>
  <c r="J142" i="20" s="1"/>
  <c r="G76" i="20"/>
  <c r="CB76" i="6" s="1"/>
  <c r="H347" i="20"/>
  <c r="I347" i="20" s="1"/>
  <c r="H157" i="20"/>
  <c r="J157" i="20" s="1"/>
  <c r="H141" i="20"/>
  <c r="I141" i="20" s="1"/>
  <c r="AA250" i="20"/>
  <c r="Z250" i="20" s="1"/>
  <c r="Y250" i="20" s="1"/>
  <c r="H243" i="20"/>
  <c r="J243" i="20" s="1"/>
  <c r="AA215" i="20"/>
  <c r="Z215" i="20" s="1"/>
  <c r="Y215" i="20" s="1"/>
  <c r="G317" i="20"/>
  <c r="CB317" i="6" s="1"/>
  <c r="G92" i="20"/>
  <c r="CB92" i="6" s="1"/>
  <c r="AA94" i="20"/>
  <c r="Z94" i="20" s="1"/>
  <c r="Y94" i="20" s="1"/>
  <c r="G345" i="20"/>
  <c r="CB345" i="6" s="1"/>
  <c r="AA73" i="20"/>
  <c r="Z73" i="20" s="1"/>
  <c r="Y73" i="20" s="1"/>
  <c r="D309" i="6"/>
  <c r="AC4" i="6"/>
  <c r="H185" i="20"/>
  <c r="I185" i="20" s="1"/>
  <c r="G257" i="20"/>
  <c r="CB257" i="6" s="1"/>
  <c r="G36" i="20"/>
  <c r="CB36" i="6" s="1"/>
  <c r="G22" i="20"/>
  <c r="CB22" i="6" s="1"/>
  <c r="H46" i="20"/>
  <c r="I46" i="20" s="1"/>
  <c r="H354" i="20"/>
  <c r="I354" i="20" s="1"/>
  <c r="G269" i="20"/>
  <c r="CB269" i="6" s="1"/>
  <c r="H41" i="20"/>
  <c r="I41" i="20" s="1"/>
  <c r="Z4" i="6"/>
  <c r="AA214" i="20"/>
  <c r="Z214" i="20" s="1"/>
  <c r="Y214" i="20" s="1"/>
  <c r="AA343" i="20"/>
  <c r="Z343" i="20" s="1"/>
  <c r="Y343" i="20" s="1"/>
  <c r="AA142" i="20"/>
  <c r="Z142" i="20" s="1"/>
  <c r="Y142" i="20" s="1"/>
  <c r="G52" i="20"/>
  <c r="CB52" i="6" s="1"/>
  <c r="H309" i="20"/>
  <c r="I309" i="20" s="1"/>
  <c r="H262" i="20"/>
  <c r="I262" i="20" s="1"/>
  <c r="AA132" i="20"/>
  <c r="Z132" i="20" s="1"/>
  <c r="Y132" i="20" s="1"/>
  <c r="H175" i="20"/>
  <c r="I175" i="20" s="1"/>
  <c r="H115" i="20"/>
  <c r="I115" i="20" s="1"/>
  <c r="H100" i="20"/>
  <c r="J100" i="20" s="1"/>
  <c r="G286" i="20"/>
  <c r="CB286" i="6" s="1"/>
  <c r="G183" i="20"/>
  <c r="CB183" i="6" s="1"/>
  <c r="H18" i="20"/>
  <c r="J18" i="20" s="1"/>
  <c r="AA248" i="20"/>
  <c r="Z248" i="20" s="1"/>
  <c r="Y248" i="20" s="1"/>
  <c r="AA205" i="20"/>
  <c r="Z205" i="20" s="1"/>
  <c r="Y205" i="20" s="1"/>
  <c r="AA22" i="20"/>
  <c r="Z22" i="20" s="1"/>
  <c r="Y22" i="20" s="1"/>
  <c r="I74" i="20"/>
  <c r="R4" i="6"/>
  <c r="H95" i="20"/>
  <c r="J95" i="20" s="1"/>
  <c r="H362" i="20"/>
  <c r="I362" i="20" s="1"/>
  <c r="G28" i="20"/>
  <c r="CB28" i="6" s="1"/>
  <c r="G74" i="20"/>
  <c r="CB74" i="6" s="1"/>
  <c r="AA174" i="20"/>
  <c r="Z174" i="20" s="1"/>
  <c r="Y174" i="20" s="1"/>
  <c r="AA172" i="20"/>
  <c r="Z172" i="20" s="1"/>
  <c r="Y172" i="20" s="1"/>
  <c r="AA231" i="20"/>
  <c r="Z231" i="20" s="1"/>
  <c r="Y231" i="20" s="1"/>
  <c r="AA262" i="20"/>
  <c r="Z262" i="20" s="1"/>
  <c r="Y262" i="20" s="1"/>
  <c r="AA350" i="20"/>
  <c r="Z350" i="20" s="1"/>
  <c r="Y350" i="20" s="1"/>
  <c r="H234" i="20"/>
  <c r="I234" i="20" s="1"/>
  <c r="H76" i="20"/>
  <c r="I76" i="20" s="1"/>
  <c r="H63" i="20"/>
  <c r="J63" i="20" s="1"/>
  <c r="H188" i="20"/>
  <c r="I188" i="20" s="1"/>
  <c r="H105" i="20"/>
  <c r="I105" i="20" s="1"/>
  <c r="H316" i="20"/>
  <c r="I316" i="20" s="1"/>
  <c r="H250" i="20"/>
  <c r="I250" i="20" s="1"/>
  <c r="AA243" i="20"/>
  <c r="Z243" i="20" s="1"/>
  <c r="Y243" i="20" s="1"/>
  <c r="H276" i="20"/>
  <c r="J276" i="20" s="1"/>
  <c r="G332" i="20"/>
  <c r="CB332" i="6" s="1"/>
  <c r="H345" i="20"/>
  <c r="I345" i="20" s="1"/>
  <c r="G73" i="20"/>
  <c r="CB73" i="6" s="1"/>
  <c r="AA256" i="20"/>
  <c r="Z256" i="20" s="1"/>
  <c r="Y256" i="20" s="1"/>
  <c r="G185" i="20"/>
  <c r="CB185" i="6" s="1"/>
  <c r="H257" i="20"/>
  <c r="J257" i="20" s="1"/>
  <c r="H83" i="20"/>
  <c r="J83" i="20" s="1"/>
  <c r="G312" i="20"/>
  <c r="CB312" i="6" s="1"/>
  <c r="H313" i="20"/>
  <c r="J313" i="20" s="1"/>
  <c r="H171" i="20"/>
  <c r="J171" i="20" s="1"/>
  <c r="AA46" i="20"/>
  <c r="Z46" i="20" s="1"/>
  <c r="Y46" i="20" s="1"/>
  <c r="H40" i="20"/>
  <c r="J40" i="20" s="1"/>
  <c r="G41" i="20"/>
  <c r="CB41" i="6" s="1"/>
  <c r="G186" i="20"/>
  <c r="CB186" i="6" s="1"/>
  <c r="H132" i="20"/>
  <c r="J132" i="20" s="1"/>
  <c r="AA100" i="20"/>
  <c r="Z100" i="20" s="1"/>
  <c r="Y100" i="20" s="1"/>
  <c r="H337" i="20"/>
  <c r="J337" i="20" s="1"/>
  <c r="AA279" i="20"/>
  <c r="Z279" i="20" s="1"/>
  <c r="Y279" i="20" s="1"/>
  <c r="AK4" i="6"/>
  <c r="H334" i="20"/>
  <c r="J334" i="20" s="1"/>
  <c r="H371" i="20"/>
  <c r="I371" i="20" s="1"/>
  <c r="Q12" i="23"/>
  <c r="AS15" i="7" s="1"/>
  <c r="Q383" i="22"/>
  <c r="H236" i="20"/>
  <c r="I236" i="20" s="1"/>
  <c r="G21" i="20"/>
  <c r="CB21" i="6" s="1"/>
  <c r="H147" i="20"/>
  <c r="J147" i="20" s="1"/>
  <c r="G19" i="20"/>
  <c r="CB19" i="6" s="1"/>
  <c r="H148" i="20"/>
  <c r="I148" i="20" s="1"/>
  <c r="AA160" i="20"/>
  <c r="Z160" i="20" s="1"/>
  <c r="Y160" i="20" s="1"/>
  <c r="AA162" i="20"/>
  <c r="Z162" i="20" s="1"/>
  <c r="Y162" i="20" s="1"/>
  <c r="AA270" i="20"/>
  <c r="Z270" i="20" s="1"/>
  <c r="Y270" i="20" s="1"/>
  <c r="H261" i="20"/>
  <c r="I261" i="20" s="1"/>
  <c r="G366" i="20"/>
  <c r="CB366" i="6" s="1"/>
  <c r="H65" i="20"/>
  <c r="I65" i="20" s="1"/>
  <c r="G336" i="20"/>
  <c r="CB336" i="6" s="1"/>
  <c r="H184" i="20"/>
  <c r="J184" i="20" s="1"/>
  <c r="H306" i="20"/>
  <c r="J306" i="20" s="1"/>
  <c r="H368" i="20"/>
  <c r="I368" i="20" s="1"/>
  <c r="H140" i="20"/>
  <c r="I140" i="20" s="1"/>
  <c r="AA154" i="20"/>
  <c r="Z154" i="20" s="1"/>
  <c r="Y154" i="20" s="1"/>
  <c r="AA161" i="20"/>
  <c r="Z161" i="20" s="1"/>
  <c r="Y161" i="20" s="1"/>
  <c r="AA295" i="20"/>
  <c r="Z295" i="20" s="1"/>
  <c r="Y295" i="20" s="1"/>
  <c r="H131" i="20"/>
  <c r="I131" i="20" s="1"/>
  <c r="AA117" i="20"/>
  <c r="Z117" i="20" s="1"/>
  <c r="Y117" i="20" s="1"/>
  <c r="H278" i="20"/>
  <c r="I278" i="20" s="1"/>
  <c r="G176" i="20"/>
  <c r="CB176" i="6" s="1"/>
  <c r="H361" i="20"/>
  <c r="I361" i="20" s="1"/>
  <c r="AA129" i="20"/>
  <c r="Z129" i="20" s="1"/>
  <c r="Y129" i="20" s="1"/>
  <c r="O4" i="6"/>
  <c r="J258" i="20"/>
  <c r="AA16" i="20"/>
  <c r="Z16" i="20" s="1"/>
  <c r="Y16" i="20" s="1"/>
  <c r="G238" i="20"/>
  <c r="CB238" i="6" s="1"/>
  <c r="H374" i="20"/>
  <c r="J374" i="20" s="1"/>
  <c r="AA299" i="20"/>
  <c r="Z299" i="20" s="1"/>
  <c r="Y299" i="20" s="1"/>
  <c r="G68" i="20"/>
  <c r="CB68" i="6" s="1"/>
  <c r="H152" i="20"/>
  <c r="J152" i="20" s="1"/>
  <c r="H240" i="20"/>
  <c r="I240" i="20" s="1"/>
  <c r="AA226" i="20"/>
  <c r="Z226" i="20" s="1"/>
  <c r="Y226" i="20" s="1"/>
  <c r="G120" i="20"/>
  <c r="CB120" i="6" s="1"/>
  <c r="H126" i="20"/>
  <c r="J126" i="20" s="1"/>
  <c r="G319" i="20"/>
  <c r="CB319" i="6" s="1"/>
  <c r="AA168" i="20"/>
  <c r="Z168" i="20" s="1"/>
  <c r="Y168" i="20" s="1"/>
  <c r="AA366" i="20"/>
  <c r="Z366" i="20" s="1"/>
  <c r="Y366" i="20" s="1"/>
  <c r="AA67" i="20"/>
  <c r="Z67" i="20" s="1"/>
  <c r="Y67" i="20" s="1"/>
  <c r="H282" i="20"/>
  <c r="J282" i="20" s="1"/>
  <c r="H108" i="20"/>
  <c r="J108" i="20" s="1"/>
  <c r="G289" i="20"/>
  <c r="CB289" i="6" s="1"/>
  <c r="H170" i="20"/>
  <c r="J170" i="20" s="1"/>
  <c r="AA325" i="20"/>
  <c r="Z325" i="20" s="1"/>
  <c r="Y325" i="20" s="1"/>
  <c r="H146" i="20"/>
  <c r="J146" i="20" s="1"/>
  <c r="H342" i="20"/>
  <c r="I342" i="20" s="1"/>
  <c r="H25" i="20"/>
  <c r="J25" i="20" s="1"/>
  <c r="AA127" i="20"/>
  <c r="Z127" i="20" s="1"/>
  <c r="Y127" i="20" s="1"/>
  <c r="G260" i="20"/>
  <c r="CB260" i="6" s="1"/>
  <c r="AA135" i="20"/>
  <c r="Z135" i="20" s="1"/>
  <c r="Y135" i="20" s="1"/>
  <c r="H322" i="20"/>
  <c r="I322" i="20" s="1"/>
  <c r="G378" i="20"/>
  <c r="CB378" i="6" s="1"/>
  <c r="H67" i="20"/>
  <c r="J67" i="20" s="1"/>
  <c r="AA275" i="20"/>
  <c r="Z275" i="20" s="1"/>
  <c r="Y275" i="20" s="1"/>
  <c r="AA55" i="20"/>
  <c r="Z55" i="20" s="1"/>
  <c r="Y55" i="20" s="1"/>
  <c r="H200" i="20"/>
  <c r="I200" i="20" s="1"/>
  <c r="G184" i="20"/>
  <c r="CB184" i="6" s="1"/>
  <c r="G338" i="20"/>
  <c r="CB338" i="6" s="1"/>
  <c r="G89" i="20"/>
  <c r="CB89" i="6" s="1"/>
  <c r="H219" i="20"/>
  <c r="J219" i="20" s="1"/>
  <c r="G159" i="20"/>
  <c r="CB159" i="6" s="1"/>
  <c r="H291" i="20"/>
  <c r="J291" i="20" s="1"/>
  <c r="D302" i="20"/>
  <c r="E302" i="20" s="1"/>
  <c r="F302" i="20" s="1"/>
  <c r="G302" i="20" s="1"/>
  <c r="CB302" i="6" s="1"/>
  <c r="AA242" i="20"/>
  <c r="Z242" i="20" s="1"/>
  <c r="Y242" i="20" s="1"/>
  <c r="AA24" i="20"/>
  <c r="Z24" i="20" s="1"/>
  <c r="Y24" i="20" s="1"/>
  <c r="AA330" i="20"/>
  <c r="Z330" i="20" s="1"/>
  <c r="Y330" i="20" s="1"/>
  <c r="H160" i="20"/>
  <c r="J160" i="20" s="1"/>
  <c r="AA202" i="20"/>
  <c r="Z202" i="20" s="1"/>
  <c r="Y202" i="20" s="1"/>
  <c r="H161" i="20"/>
  <c r="I161" i="20" s="1"/>
  <c r="AA258" i="20"/>
  <c r="Z258" i="20" s="1"/>
  <c r="Y258" i="20" s="1"/>
  <c r="G295" i="20"/>
  <c r="CB295" i="6" s="1"/>
  <c r="H242" i="20"/>
  <c r="I242" i="20" s="1"/>
  <c r="H162" i="20"/>
  <c r="I162" i="20" s="1"/>
  <c r="AA190" i="20"/>
  <c r="Z190" i="20" s="1"/>
  <c r="Y190" i="20" s="1"/>
  <c r="AA70" i="20"/>
  <c r="Z70" i="20" s="1"/>
  <c r="Y70" i="20" s="1"/>
  <c r="G102" i="20"/>
  <c r="CB102" i="6" s="1"/>
  <c r="H270" i="20"/>
  <c r="J270" i="20" s="1"/>
  <c r="H24" i="20"/>
  <c r="I24" i="20" s="1"/>
  <c r="G199" i="20"/>
  <c r="CB199" i="6" s="1"/>
  <c r="G213" i="20"/>
  <c r="CB213" i="6" s="1"/>
  <c r="AA147" i="20"/>
  <c r="Z147" i="20" s="1"/>
  <c r="Y147" i="20" s="1"/>
  <c r="AA159" i="20"/>
  <c r="Z159" i="20" s="1"/>
  <c r="Y159" i="20" s="1"/>
  <c r="AA291" i="20"/>
  <c r="Z291" i="20" s="1"/>
  <c r="Y291" i="20" s="1"/>
  <c r="J66" i="20"/>
  <c r="H192" i="20"/>
  <c r="J192" i="20" s="1"/>
  <c r="AA192" i="20"/>
  <c r="Z192" i="20" s="1"/>
  <c r="Y192" i="20" s="1"/>
  <c r="H238" i="20"/>
  <c r="I238" i="20" s="1"/>
  <c r="H299" i="20"/>
  <c r="I299" i="20" s="1"/>
  <c r="H319" i="20"/>
  <c r="I319" i="20" s="1"/>
  <c r="AA146" i="20"/>
  <c r="Z146" i="20" s="1"/>
  <c r="Y146" i="20" s="1"/>
  <c r="AA170" i="20"/>
  <c r="Z170" i="20" s="1"/>
  <c r="Y170" i="20" s="1"/>
  <c r="AA213" i="20"/>
  <c r="Z213" i="20" s="1"/>
  <c r="Y213" i="20" s="1"/>
  <c r="AA342" i="20"/>
  <c r="Z342" i="20" s="1"/>
  <c r="Y342" i="20" s="1"/>
  <c r="G282" i="20"/>
  <c r="CB282" i="6" s="1"/>
  <c r="G246" i="20"/>
  <c r="CB246" i="6" s="1"/>
  <c r="G108" i="20"/>
  <c r="CB108" i="6" s="1"/>
  <c r="G37" i="20"/>
  <c r="CB37" i="6" s="1"/>
  <c r="G154" i="20"/>
  <c r="CB154" i="6" s="1"/>
  <c r="H128" i="20"/>
  <c r="I128" i="20" s="1"/>
  <c r="AA25" i="20"/>
  <c r="Z25" i="20" s="1"/>
  <c r="Y25" i="20" s="1"/>
  <c r="G165" i="20"/>
  <c r="CB165" i="6" s="1"/>
  <c r="G127" i="20"/>
  <c r="CB127" i="6" s="1"/>
  <c r="H355" i="20"/>
  <c r="I355" i="20" s="1"/>
  <c r="H378" i="20"/>
  <c r="I378" i="20" s="1"/>
  <c r="G330" i="20"/>
  <c r="CB330" i="6" s="1"/>
  <c r="H275" i="20"/>
  <c r="I275" i="20" s="1"/>
  <c r="G65" i="20"/>
  <c r="CB65" i="6" s="1"/>
  <c r="H336" i="20"/>
  <c r="J336" i="20" s="1"/>
  <c r="H55" i="20"/>
  <c r="I55" i="20" s="1"/>
  <c r="AA200" i="20"/>
  <c r="Z200" i="20" s="1"/>
  <c r="Y200" i="20" s="1"/>
  <c r="G219" i="20"/>
  <c r="CB219" i="6" s="1"/>
  <c r="H19" i="20"/>
  <c r="J19" i="20" s="1"/>
  <c r="G148" i="20"/>
  <c r="CB148" i="6" s="1"/>
  <c r="AA199" i="20"/>
  <c r="Z199" i="20" s="1"/>
  <c r="Y199" i="20" s="1"/>
  <c r="H202" i="20"/>
  <c r="I202" i="20" s="1"/>
  <c r="H190" i="20"/>
  <c r="J190" i="20" s="1"/>
  <c r="H70" i="20"/>
  <c r="J70" i="20" s="1"/>
  <c r="H117" i="20"/>
  <c r="I117" i="20" s="1"/>
  <c r="AA368" i="20"/>
  <c r="Z368" i="20" s="1"/>
  <c r="Y368" i="20" s="1"/>
  <c r="AA89" i="20"/>
  <c r="Z89" i="20" s="1"/>
  <c r="Y89" i="20" s="1"/>
  <c r="G201" i="20"/>
  <c r="CB201" i="6" s="1"/>
  <c r="H312" i="20"/>
  <c r="I312" i="20" s="1"/>
  <c r="H269" i="20"/>
  <c r="J269" i="20" s="1"/>
  <c r="AA334" i="20"/>
  <c r="Z334" i="20" s="1"/>
  <c r="Y334" i="20" s="1"/>
  <c r="AA21" i="20"/>
  <c r="Z21" i="20" s="1"/>
  <c r="Y21" i="20" s="1"/>
  <c r="AA276" i="20"/>
  <c r="Z276" i="20" s="1"/>
  <c r="Y276" i="20" s="1"/>
  <c r="G63" i="20"/>
  <c r="CB63" i="6" s="1"/>
  <c r="AA105" i="20"/>
  <c r="Z105" i="20" s="1"/>
  <c r="Y105" i="20" s="1"/>
  <c r="G157" i="20"/>
  <c r="CB157" i="6" s="1"/>
  <c r="H332" i="20"/>
  <c r="I332" i="20" s="1"/>
  <c r="H80" i="20"/>
  <c r="I80" i="20" s="1"/>
  <c r="H338" i="20"/>
  <c r="J338" i="20" s="1"/>
  <c r="H64" i="20"/>
  <c r="J64" i="20" s="1"/>
  <c r="AA64" i="20"/>
  <c r="Z64" i="20" s="1"/>
  <c r="Y64" i="20" s="1"/>
  <c r="AC375" i="24"/>
  <c r="AC310" i="24"/>
  <c r="AC284" i="24"/>
  <c r="AC300" i="24"/>
  <c r="AC317" i="24"/>
  <c r="AC361" i="24"/>
  <c r="AC148" i="24"/>
  <c r="AC303" i="24"/>
  <c r="AC337" i="24"/>
  <c r="AC243" i="24"/>
  <c r="AC264" i="24"/>
  <c r="AC135" i="24"/>
  <c r="AC247" i="24"/>
  <c r="AC263" i="24"/>
  <c r="AC214" i="24"/>
  <c r="AC190" i="24"/>
  <c r="AC161" i="24"/>
  <c r="AC229" i="24"/>
  <c r="AC226" i="24"/>
  <c r="AC368" i="24"/>
  <c r="AC181" i="24"/>
  <c r="AC276" i="24"/>
  <c r="AC353" i="24"/>
  <c r="AC228" i="24"/>
  <c r="AC266" i="24"/>
  <c r="AC355" i="24"/>
  <c r="AC362" i="24"/>
  <c r="AC357" i="24"/>
  <c r="AC257" i="24"/>
  <c r="AC173" i="24"/>
  <c r="AC350" i="24"/>
  <c r="AC376" i="24"/>
  <c r="AC286" i="24"/>
  <c r="AC205" i="24"/>
  <c r="AC364" i="24"/>
  <c r="AC267" i="24"/>
  <c r="AC369" i="24"/>
  <c r="AC338" i="24"/>
  <c r="AC166" i="24"/>
  <c r="AC240" i="24"/>
  <c r="AC184" i="24"/>
  <c r="AC216" i="24"/>
  <c r="AC208" i="24"/>
  <c r="AC168" i="24"/>
  <c r="AC348" i="24"/>
  <c r="AC293" i="24"/>
  <c r="AC336" i="24"/>
  <c r="AC185" i="24"/>
  <c r="AC239" i="24"/>
  <c r="AC334" i="24"/>
  <c r="AC347" i="24"/>
  <c r="AC370" i="24"/>
  <c r="AC196" i="24"/>
  <c r="AC379" i="24"/>
  <c r="AC271" i="24"/>
  <c r="AC254" i="24"/>
  <c r="AC178" i="24"/>
  <c r="AC319" i="24"/>
  <c r="AC315" i="24"/>
  <c r="AC260" i="24"/>
  <c r="AC162" i="24"/>
  <c r="AC249" i="24"/>
  <c r="AC206" i="24"/>
  <c r="AC377" i="24"/>
  <c r="AC186" i="24"/>
  <c r="AC159" i="24"/>
  <c r="AC308" i="24"/>
  <c r="AC153" i="24"/>
  <c r="AC316" i="24"/>
  <c r="AC156" i="24"/>
  <c r="AC209" i="24"/>
  <c r="AC211" i="24"/>
  <c r="AC302" i="24"/>
  <c r="AC280" i="24"/>
  <c r="AC172" i="24"/>
  <c r="AC285" i="24"/>
  <c r="AC358" i="24"/>
  <c r="AC373" i="24"/>
  <c r="AC298" i="24"/>
  <c r="AC290" i="24"/>
  <c r="AC144" i="24"/>
  <c r="AC332" i="24"/>
  <c r="AC241" i="24"/>
  <c r="AC340" i="24"/>
  <c r="AC321" i="24"/>
  <c r="AC268" i="24"/>
  <c r="AC326" i="24"/>
  <c r="AC150" i="24"/>
  <c r="AC231" i="24"/>
  <c r="AC142" i="24"/>
  <c r="AC311" i="24"/>
  <c r="AC259" i="24"/>
  <c r="AC238" i="24"/>
  <c r="AC171" i="24"/>
  <c r="AC143" i="24"/>
  <c r="AC194" i="24"/>
  <c r="AC147" i="24"/>
  <c r="AC201" i="24"/>
  <c r="AC149" i="24"/>
  <c r="AC218" i="24"/>
  <c r="AC230" i="24"/>
  <c r="AC291" i="24"/>
  <c r="AC215" i="24"/>
  <c r="AC269" i="24"/>
  <c r="AC275" i="24"/>
  <c r="AC183" i="24"/>
  <c r="AC265" i="24"/>
  <c r="AC306" i="24"/>
  <c r="AC138" i="24"/>
  <c r="AC217" i="24"/>
  <c r="AC177" i="24"/>
  <c r="AC307" i="24"/>
  <c r="AC360" i="24"/>
  <c r="AC322" i="24"/>
  <c r="AC327" i="24"/>
  <c r="AC314" i="24"/>
  <c r="AC134" i="24"/>
  <c r="AC272" i="24"/>
  <c r="AC288" i="24"/>
  <c r="AC188" i="24"/>
  <c r="AC251" i="24"/>
  <c r="AC145" i="24"/>
  <c r="AC305" i="24"/>
  <c r="AC160" i="24"/>
  <c r="AC237" i="24"/>
  <c r="AC331" i="24"/>
  <c r="AC281" i="24"/>
  <c r="AC313" i="24"/>
  <c r="AC320" i="24"/>
  <c r="AC203" i="24"/>
  <c r="AC182" i="24"/>
  <c r="AC139" i="24"/>
  <c r="AC154" i="24"/>
  <c r="AC366" i="24"/>
  <c r="AC155" i="24"/>
  <c r="AC158" i="24"/>
  <c r="AC292" i="24"/>
  <c r="AC180" i="24"/>
  <c r="AC219" i="24"/>
  <c r="AC187" i="24"/>
  <c r="AC301" i="24"/>
  <c r="AC234" i="24"/>
  <c r="AC346" i="24"/>
  <c r="AC174" i="24"/>
  <c r="AC374" i="24"/>
  <c r="AC222" i="24"/>
  <c r="AC328" i="24"/>
  <c r="AC289" i="24"/>
  <c r="AC170" i="24"/>
  <c r="AC297" i="24"/>
  <c r="AC140" i="24"/>
  <c r="AC146" i="24"/>
  <c r="AC207" i="24"/>
  <c r="AC193" i="24"/>
  <c r="AC371" i="24"/>
  <c r="AC224" i="24"/>
  <c r="AC330" i="24"/>
  <c r="AC372" i="24"/>
  <c r="AC352" i="24"/>
  <c r="AC242" i="24"/>
  <c r="AC279" i="24"/>
  <c r="AC189" i="24"/>
  <c r="AC256" i="24"/>
  <c r="AC333" i="24"/>
  <c r="AC341" i="24"/>
  <c r="AC277" i="24"/>
  <c r="AC210" i="24"/>
  <c r="AC197" i="24"/>
  <c r="AC343" i="24"/>
  <c r="AC258" i="24"/>
  <c r="AC152" i="24"/>
  <c r="AC221" i="24"/>
  <c r="AC225" i="24"/>
  <c r="AC165" i="24"/>
  <c r="AC195" i="24"/>
  <c r="AC212" i="24"/>
  <c r="AC312" i="24"/>
  <c r="AC198" i="24"/>
  <c r="AC246" i="24"/>
  <c r="AC253" i="24"/>
  <c r="AC356" i="24"/>
  <c r="AC324" i="24"/>
  <c r="AC354" i="24"/>
  <c r="AC365" i="24"/>
  <c r="AC344" i="24"/>
  <c r="AC169" i="24"/>
  <c r="AC223" i="24"/>
  <c r="AC232" i="24"/>
  <c r="AC282" i="24"/>
  <c r="AC351" i="24"/>
  <c r="AC296" i="24"/>
  <c r="AC227" i="24"/>
  <c r="AC349" i="24"/>
  <c r="AC213" i="24"/>
  <c r="AC244" i="24"/>
  <c r="AC278" i="24"/>
  <c r="AC200" i="24"/>
  <c r="AC202" i="24"/>
  <c r="AC335" i="24"/>
  <c r="AC233" i="24"/>
  <c r="AC136" i="24"/>
  <c r="AC325" i="24"/>
  <c r="AC270" i="24"/>
  <c r="AC299" i="24"/>
  <c r="AC261" i="24"/>
  <c r="AC151" i="24"/>
  <c r="AC236" i="24"/>
  <c r="AC248" i="24"/>
  <c r="AC329" i="24"/>
  <c r="AC309" i="24"/>
  <c r="AC283" i="24"/>
  <c r="AC164" i="24"/>
  <c r="AC141" i="24"/>
  <c r="AC176" i="24"/>
  <c r="AC235" i="24"/>
  <c r="AC157" i="24"/>
  <c r="AC245" i="24"/>
  <c r="AC191" i="24"/>
  <c r="AC220" i="24"/>
  <c r="AC363" i="24"/>
  <c r="AC359" i="24"/>
  <c r="AC250" i="24"/>
  <c r="AC192" i="24"/>
  <c r="AC342" i="24"/>
  <c r="AC199" i="24"/>
  <c r="AC262" i="24"/>
  <c r="AC137" i="24"/>
  <c r="AC204" i="24"/>
  <c r="AC367" i="24"/>
  <c r="AC175" i="24"/>
  <c r="AC255" i="24"/>
  <c r="AC273" i="24"/>
  <c r="AC274" i="24"/>
  <c r="AC179" i="24"/>
  <c r="AC252" i="24"/>
  <c r="AC295" i="24"/>
  <c r="AC304" i="24"/>
  <c r="AC294" i="24"/>
  <c r="AC378" i="24"/>
  <c r="AC323" i="24"/>
  <c r="AC345" i="24"/>
  <c r="AC339" i="24"/>
  <c r="AC167" i="24"/>
  <c r="AC318" i="24"/>
  <c r="AC287" i="24"/>
  <c r="AC163" i="24"/>
  <c r="AC74" i="25"/>
  <c r="AC113" i="25"/>
  <c r="AC80" i="25"/>
  <c r="AC92" i="25"/>
  <c r="AC127" i="25"/>
  <c r="AC121" i="25"/>
  <c r="AC79" i="25"/>
  <c r="AC62" i="25"/>
  <c r="AC31" i="25"/>
  <c r="AC117" i="25"/>
  <c r="AC22" i="25"/>
  <c r="AC95" i="25"/>
  <c r="AC45" i="25"/>
  <c r="AC133" i="25"/>
  <c r="AC59" i="25"/>
  <c r="AC98" i="25"/>
  <c r="AC101" i="25"/>
  <c r="AC94" i="25"/>
  <c r="AC125" i="25"/>
  <c r="AC118" i="25"/>
  <c r="AC20" i="25"/>
  <c r="AC87" i="25"/>
  <c r="AC23" i="25"/>
  <c r="AC57" i="25"/>
  <c r="AC47" i="25"/>
  <c r="AC18" i="25"/>
  <c r="AC32" i="25"/>
  <c r="AC84" i="25"/>
  <c r="AC71" i="25"/>
  <c r="AC112" i="25"/>
  <c r="AC64" i="25"/>
  <c r="AC93" i="25"/>
  <c r="AC111" i="25"/>
  <c r="AC27" i="25"/>
  <c r="AC103" i="25"/>
  <c r="AC70" i="25"/>
  <c r="AC120" i="25"/>
  <c r="AC39" i="25"/>
  <c r="AC15" i="25"/>
  <c r="AC56" i="25"/>
  <c r="AC90" i="25"/>
  <c r="AC119" i="25"/>
  <c r="AC53" i="25"/>
  <c r="AC42" i="25"/>
  <c r="AC61" i="25"/>
  <c r="AC105" i="25"/>
  <c r="AC33" i="25"/>
  <c r="AC66" i="25"/>
  <c r="AC51" i="25"/>
  <c r="AC29" i="25"/>
  <c r="AC28" i="25"/>
  <c r="AC115" i="25"/>
  <c r="AC52" i="25"/>
  <c r="AC97" i="25"/>
  <c r="AC44" i="25"/>
  <c r="AC86" i="25"/>
  <c r="AC100" i="25"/>
  <c r="AC34" i="25"/>
  <c r="AC50" i="25"/>
  <c r="AC16" i="25"/>
  <c r="AC65" i="25"/>
  <c r="AC17" i="25"/>
  <c r="AC129" i="25"/>
  <c r="AC124" i="25"/>
  <c r="AC104" i="25"/>
  <c r="AC24" i="25"/>
  <c r="AC67" i="25"/>
  <c r="AC76" i="25"/>
  <c r="AC68" i="25"/>
  <c r="AC72" i="25"/>
  <c r="AC21" i="25"/>
  <c r="AC82" i="25"/>
  <c r="AC38" i="25"/>
  <c r="AC130" i="25"/>
  <c r="AC35" i="25"/>
  <c r="AC102" i="25"/>
  <c r="AC91" i="25"/>
  <c r="AC69" i="25"/>
  <c r="AC77" i="25"/>
  <c r="AC122" i="25"/>
  <c r="AC126" i="25"/>
  <c r="AC58" i="25"/>
  <c r="AC30" i="25"/>
  <c r="AC123" i="25"/>
  <c r="AC26" i="25"/>
  <c r="AC43" i="25"/>
  <c r="AC78" i="25"/>
  <c r="AC109" i="25"/>
  <c r="AC128" i="25"/>
  <c r="AC63" i="25"/>
  <c r="AC81" i="25"/>
  <c r="AC36" i="25"/>
  <c r="AC99" i="25"/>
  <c r="AC85" i="25"/>
  <c r="AC41" i="25"/>
  <c r="AC88" i="25"/>
  <c r="AC96" i="25"/>
  <c r="AC73" i="25"/>
  <c r="AC131" i="25"/>
  <c r="AC106" i="25"/>
  <c r="AC116" i="25"/>
  <c r="AC37" i="25"/>
  <c r="AC108" i="25"/>
  <c r="AC25" i="25"/>
  <c r="AC40" i="25"/>
  <c r="AC48" i="25"/>
  <c r="AC46" i="25"/>
  <c r="AC49" i="25"/>
  <c r="AC19" i="25"/>
  <c r="AC83" i="25"/>
  <c r="AC132" i="25"/>
  <c r="AC75" i="25"/>
  <c r="AC60" i="25"/>
  <c r="AC55" i="25"/>
  <c r="AC114" i="25"/>
  <c r="AC107" i="25"/>
  <c r="AC54" i="25"/>
  <c r="AC110" i="25"/>
  <c r="AC89" i="25"/>
  <c r="AY13" i="7"/>
  <c r="BE10" i="7" s="1"/>
  <c r="O125" i="24"/>
  <c r="O213" i="24"/>
  <c r="O81" i="24"/>
  <c r="O217" i="24"/>
  <c r="O376" i="24"/>
  <c r="O216" i="24"/>
  <c r="O168" i="24"/>
  <c r="O289" i="24"/>
  <c r="O93" i="24"/>
  <c r="O87" i="24"/>
  <c r="O302" i="24"/>
  <c r="AG65" i="7" s="1"/>
  <c r="O44" i="24"/>
  <c r="O211" i="24"/>
  <c r="O375" i="24"/>
  <c r="O170" i="24"/>
  <c r="O136" i="24"/>
  <c r="O241" i="24"/>
  <c r="AG63" i="7" s="1"/>
  <c r="O345" i="24"/>
  <c r="O310" i="24"/>
  <c r="O127" i="24"/>
  <c r="O323" i="24"/>
  <c r="O274" i="24"/>
  <c r="O305" i="24"/>
  <c r="O97" i="24"/>
  <c r="O17" i="24"/>
  <c r="O326" i="24"/>
  <c r="O200" i="24"/>
  <c r="O171" i="24"/>
  <c r="O105" i="24"/>
  <c r="O202" i="24"/>
  <c r="O90" i="24"/>
  <c r="O225" i="24"/>
  <c r="O101" i="24"/>
  <c r="O276" i="24"/>
  <c r="O344" i="24"/>
  <c r="O301" i="24"/>
  <c r="O58" i="24"/>
  <c r="O273" i="24"/>
  <c r="O103" i="24"/>
  <c r="O147" i="24"/>
  <c r="O84" i="24"/>
  <c r="O339" i="24"/>
  <c r="O140" i="24"/>
  <c r="O355" i="24"/>
  <c r="O112" i="24"/>
  <c r="O24" i="24"/>
  <c r="O183" i="24"/>
  <c r="O361" i="24"/>
  <c r="O119" i="24"/>
  <c r="AG59" i="7" s="1"/>
  <c r="O325" i="24"/>
  <c r="O128" i="24"/>
  <c r="O328" i="24"/>
  <c r="O298" i="24"/>
  <c r="O297" i="24"/>
  <c r="O19" i="24"/>
  <c r="O149" i="24"/>
  <c r="AG60" i="7" s="1"/>
  <c r="O282" i="24"/>
  <c r="O131" i="24"/>
  <c r="O278" i="24"/>
  <c r="O30" i="24"/>
  <c r="O307" i="24"/>
  <c r="O290" i="24"/>
  <c r="O228" i="24"/>
  <c r="O188" i="24"/>
  <c r="O80" i="24"/>
  <c r="O231" i="24"/>
  <c r="O15" i="24"/>
  <c r="O362" i="24"/>
  <c r="O210" i="24"/>
  <c r="AG62" i="7" s="1"/>
  <c r="O354" i="24"/>
  <c r="O348" i="24"/>
  <c r="O68" i="24"/>
  <c r="O34" i="24"/>
  <c r="O251" i="24"/>
  <c r="O350" i="24"/>
  <c r="O257" i="24"/>
  <c r="O327" i="24"/>
  <c r="O56" i="24"/>
  <c r="O318" i="24"/>
  <c r="O285" i="24"/>
  <c r="O132" i="24"/>
  <c r="O64" i="24"/>
  <c r="O357" i="24"/>
  <c r="O74" i="24"/>
  <c r="O341" i="24"/>
  <c r="O187" i="24"/>
  <c r="O267" i="24"/>
  <c r="O79" i="24"/>
  <c r="O239" i="24"/>
  <c r="O370" i="24"/>
  <c r="O221" i="24"/>
  <c r="O130" i="24"/>
  <c r="O162" i="24"/>
  <c r="O321" i="24"/>
  <c r="O86" i="24"/>
  <c r="O313" i="24"/>
  <c r="O16" i="24"/>
  <c r="O196" i="24"/>
  <c r="O295" i="24"/>
  <c r="O198" i="24"/>
  <c r="O91" i="24"/>
  <c r="O115" i="24"/>
  <c r="O32" i="24"/>
  <c r="O330" i="24"/>
  <c r="O377" i="24"/>
  <c r="O315" i="24"/>
  <c r="O236" i="24"/>
  <c r="O43" i="24"/>
  <c r="O174" i="24"/>
  <c r="O63" i="24"/>
  <c r="O275" i="24"/>
  <c r="O235" i="24"/>
  <c r="O352" i="24"/>
  <c r="O166" i="24"/>
  <c r="O69" i="24"/>
  <c r="O250" i="24"/>
  <c r="O294" i="24"/>
  <c r="O116" i="24"/>
  <c r="O47" i="24"/>
  <c r="O38" i="24"/>
  <c r="O342" i="24"/>
  <c r="O150" i="24"/>
  <c r="O332" i="24"/>
  <c r="O144" i="24"/>
  <c r="O155" i="24"/>
  <c r="O96" i="24"/>
  <c r="O26" i="24"/>
  <c r="O110" i="24"/>
  <c r="O29" i="24"/>
  <c r="AG56" i="7" s="1"/>
  <c r="O185" i="24"/>
  <c r="O244" i="24"/>
  <c r="O99" i="24"/>
  <c r="O311" i="24"/>
  <c r="O39" i="24"/>
  <c r="O333" i="24"/>
  <c r="AG66" i="7" s="1"/>
  <c r="O246" i="24"/>
  <c r="O220" i="24"/>
  <c r="O120" i="24"/>
  <c r="O108" i="24"/>
  <c r="O299" i="24"/>
  <c r="O66" i="24"/>
  <c r="O240" i="24"/>
  <c r="O365" i="24"/>
  <c r="O243" i="24"/>
  <c r="O164" i="24"/>
  <c r="O181" i="24"/>
  <c r="O73" i="24"/>
  <c r="O113" i="24"/>
  <c r="O335" i="24"/>
  <c r="O346" i="24"/>
  <c r="O245" i="24"/>
  <c r="O309" i="24"/>
  <c r="O264" i="24"/>
  <c r="O317" i="24"/>
  <c r="O55" i="24"/>
  <c r="O293" i="24"/>
  <c r="O234" i="24"/>
  <c r="O159" i="24"/>
  <c r="O203" i="24"/>
  <c r="O22" i="24"/>
  <c r="O142" i="24"/>
  <c r="O292" i="24"/>
  <c r="O205" i="24"/>
  <c r="O23" i="24"/>
  <c r="O337" i="24"/>
  <c r="O329" i="24"/>
  <c r="O37" i="24"/>
  <c r="O334" i="24"/>
  <c r="O190" i="24"/>
  <c r="O369" i="24"/>
  <c r="O349" i="24"/>
  <c r="O98" i="24"/>
  <c r="O356" i="24"/>
  <c r="O172" i="24"/>
  <c r="O153" i="24"/>
  <c r="O70" i="24"/>
  <c r="O252" i="24"/>
  <c r="O193" i="24"/>
  <c r="O138" i="24"/>
  <c r="O27" i="24"/>
  <c r="O175" i="24"/>
  <c r="O262" i="24"/>
  <c r="O60" i="24"/>
  <c r="AG57" i="7" s="1"/>
  <c r="O94" i="24"/>
  <c r="O28" i="24"/>
  <c r="O253" i="24"/>
  <c r="O124" i="24"/>
  <c r="O331" i="24"/>
  <c r="O85" i="24"/>
  <c r="O215" i="24"/>
  <c r="O57" i="24"/>
  <c r="O254" i="24"/>
  <c r="O114" i="24"/>
  <c r="O33" i="24"/>
  <c r="O287" i="24"/>
  <c r="O62" i="24"/>
  <c r="O306" i="24"/>
  <c r="O192" i="24"/>
  <c r="O111" i="24"/>
  <c r="O123" i="24"/>
  <c r="O358" i="24"/>
  <c r="O258" i="24"/>
  <c r="O167" i="24"/>
  <c r="O102" i="24"/>
  <c r="O180" i="24"/>
  <c r="AG61" i="7" s="1"/>
  <c r="O156" i="24"/>
  <c r="O363" i="24"/>
  <c r="AG67" i="7" s="1"/>
  <c r="O182" i="24"/>
  <c r="O52" i="24"/>
  <c r="O280" i="24"/>
  <c r="O259" i="24"/>
  <c r="O238" i="24"/>
  <c r="O178" i="24"/>
  <c r="O218" i="24"/>
  <c r="O121" i="24"/>
  <c r="O88" i="24"/>
  <c r="AG58" i="7" s="1"/>
  <c r="O367" i="24"/>
  <c r="O286" i="24"/>
  <c r="O48" i="24"/>
  <c r="O359" i="24"/>
  <c r="O194" i="24"/>
  <c r="O154" i="24"/>
  <c r="O75" i="24"/>
  <c r="O177" i="24"/>
  <c r="O143" i="24"/>
  <c r="O319" i="24"/>
  <c r="O265" i="24"/>
  <c r="O54" i="24"/>
  <c r="O263" i="24"/>
  <c r="O163" i="24"/>
  <c r="O248" i="24"/>
  <c r="O373" i="24"/>
  <c r="O284" i="24"/>
  <c r="O304" i="24"/>
  <c r="O230" i="24"/>
  <c r="O134" i="24"/>
  <c r="O126" i="24"/>
  <c r="O173" i="24"/>
  <c r="O36" i="24"/>
  <c r="O338" i="24"/>
  <c r="O312" i="24"/>
  <c r="O343" i="24"/>
  <c r="O256" i="24"/>
  <c r="O77" i="24"/>
  <c r="O83" i="24"/>
  <c r="O229" i="24"/>
  <c r="O184" i="24"/>
  <c r="O40" i="24"/>
  <c r="O61" i="24"/>
  <c r="O133" i="24"/>
  <c r="O212" i="24"/>
  <c r="O157" i="24"/>
  <c r="O353" i="24"/>
  <c r="O300" i="24"/>
  <c r="O308" i="24"/>
  <c r="O247" i="24"/>
  <c r="O277" i="24"/>
  <c r="O266" i="24"/>
  <c r="O226" i="24"/>
  <c r="O71" i="24"/>
  <c r="O303" i="24"/>
  <c r="O360" i="24"/>
  <c r="O368" i="24"/>
  <c r="O141" i="24"/>
  <c r="O288" i="24"/>
  <c r="O222" i="24"/>
  <c r="O340" i="24"/>
  <c r="O232" i="24"/>
  <c r="O189" i="24"/>
  <c r="O129" i="24"/>
  <c r="O351" i="24"/>
  <c r="O320" i="24"/>
  <c r="O322" i="24"/>
  <c r="O269" i="24"/>
  <c r="O50" i="24"/>
  <c r="O223" i="24"/>
  <c r="O272" i="24"/>
  <c r="AG64" i="7" s="1"/>
  <c r="O118" i="24"/>
  <c r="O20" i="24"/>
  <c r="O51" i="24"/>
  <c r="O72" i="24"/>
  <c r="O314" i="24"/>
  <c r="O316" i="24"/>
  <c r="O371" i="24"/>
  <c r="O151" i="24"/>
  <c r="O107" i="24"/>
  <c r="O197" i="24"/>
  <c r="O270" i="24"/>
  <c r="O281" i="24"/>
  <c r="O296" i="24"/>
  <c r="O260" i="24"/>
  <c r="O261" i="24"/>
  <c r="O195" i="24"/>
  <c r="O137" i="24"/>
  <c r="O59" i="24"/>
  <c r="O35" i="24"/>
  <c r="O336" i="24"/>
  <c r="O207" i="24"/>
  <c r="O18" i="24"/>
  <c r="O291" i="24"/>
  <c r="O201" i="24"/>
  <c r="O158" i="24"/>
  <c r="O279" i="24"/>
  <c r="O160" i="24"/>
  <c r="O89" i="24"/>
  <c r="O199" i="24"/>
  <c r="O139" i="24"/>
  <c r="O224" i="24"/>
  <c r="O208" i="24"/>
  <c r="O135" i="24"/>
  <c r="O45" i="24"/>
  <c r="O347" i="24"/>
  <c r="O95" i="24"/>
  <c r="O378" i="24"/>
  <c r="O186" i="24"/>
  <c r="O191" i="24"/>
  <c r="O169" i="24"/>
  <c r="O31" i="24"/>
  <c r="O379" i="24"/>
  <c r="C43" i="19" s="1"/>
  <c r="O324" i="24"/>
  <c r="O146" i="24"/>
  <c r="O100" i="24"/>
  <c r="O206" i="24"/>
  <c r="O53" i="24"/>
  <c r="O104" i="24"/>
  <c r="O209" i="24"/>
  <c r="O366" i="24"/>
  <c r="O179" i="24"/>
  <c r="O204" i="24"/>
  <c r="O372" i="24"/>
  <c r="O283" i="24"/>
  <c r="O122" i="24"/>
  <c r="O49" i="24"/>
  <c r="O364" i="24"/>
  <c r="O271" i="24"/>
  <c r="O67" i="24"/>
  <c r="O255" i="24"/>
  <c r="O176" i="24"/>
  <c r="O117" i="24"/>
  <c r="O46" i="24"/>
  <c r="O152" i="24"/>
  <c r="O165" i="24"/>
  <c r="O106" i="24"/>
  <c r="O65" i="24"/>
  <c r="O145" i="24"/>
  <c r="O76" i="24"/>
  <c r="O219" i="24"/>
  <c r="O214" i="24"/>
  <c r="O25" i="24"/>
  <c r="O227" i="24"/>
  <c r="O161" i="24"/>
  <c r="O242" i="24"/>
  <c r="O92" i="24"/>
  <c r="O109" i="24"/>
  <c r="O41" i="24"/>
  <c r="O233" i="24"/>
  <c r="O21" i="24"/>
  <c r="O82" i="24"/>
  <c r="O42" i="24"/>
  <c r="O268" i="24"/>
  <c r="O237" i="24"/>
  <c r="O148" i="24"/>
  <c r="O78" i="24"/>
  <c r="O249" i="24"/>
  <c r="O374" i="24"/>
  <c r="F12" i="19"/>
  <c r="W379" i="20"/>
  <c r="M66" i="19"/>
  <c r="E13" i="19"/>
  <c r="F13" i="19" s="1"/>
  <c r="AA272" i="20"/>
  <c r="Z272" i="20" s="1"/>
  <c r="Y272" i="20" s="1"/>
  <c r="D241" i="20"/>
  <c r="E241" i="20" s="1"/>
  <c r="F241" i="20" s="1"/>
  <c r="G241" i="20" s="1"/>
  <c r="CB241" i="6" s="1"/>
  <c r="D314" i="22"/>
  <c r="E314" i="22" s="1"/>
  <c r="F314" i="22" s="1"/>
  <c r="G314" i="22" s="1"/>
  <c r="CC314" i="6" s="1"/>
  <c r="W82" i="22"/>
  <c r="I66" i="20"/>
  <c r="W60" i="20"/>
  <c r="D217" i="22"/>
  <c r="E217" i="22" s="1"/>
  <c r="F217" i="22" s="1"/>
  <c r="G217" i="22" s="1"/>
  <c r="CC217" i="6" s="1"/>
  <c r="D138" i="22"/>
  <c r="E138" i="22" s="1"/>
  <c r="F138" i="22" s="1"/>
  <c r="G138" i="22" s="1"/>
  <c r="CC138" i="6" s="1"/>
  <c r="P381" i="18"/>
  <c r="V15" i="18"/>
  <c r="P383" i="18"/>
  <c r="P382" i="18"/>
  <c r="D333" i="20"/>
  <c r="E333" i="20" s="1"/>
  <c r="F333" i="20" s="1"/>
  <c r="W333" i="20"/>
  <c r="J259" i="20"/>
  <c r="I259" i="20"/>
  <c r="J373" i="20"/>
  <c r="I373" i="20"/>
  <c r="I85" i="20"/>
  <c r="J85" i="20"/>
  <c r="J264" i="20"/>
  <c r="I264" i="20"/>
  <c r="J227" i="20"/>
  <c r="I227" i="20"/>
  <c r="J285" i="20"/>
  <c r="I285" i="20"/>
  <c r="J206" i="20"/>
  <c r="I206" i="20"/>
  <c r="J33" i="20"/>
  <c r="I33" i="20"/>
  <c r="J164" i="20"/>
  <c r="I164" i="20"/>
  <c r="J364" i="20"/>
  <c r="I364" i="20"/>
  <c r="J122" i="20"/>
  <c r="I122" i="20"/>
  <c r="J305" i="20"/>
  <c r="I305" i="20"/>
  <c r="I172" i="20"/>
  <c r="J172" i="20"/>
  <c r="I369" i="20"/>
  <c r="J369" i="20"/>
  <c r="J288" i="20"/>
  <c r="I288" i="20"/>
  <c r="I341" i="20"/>
  <c r="J341" i="20"/>
  <c r="I120" i="20"/>
  <c r="J120" i="20"/>
  <c r="I228" i="20"/>
  <c r="J228" i="20"/>
  <c r="J308" i="20"/>
  <c r="I308" i="20"/>
  <c r="AA29" i="20"/>
  <c r="Z29" i="20" s="1"/>
  <c r="Y29" i="20" s="1"/>
  <c r="G29" i="20"/>
  <c r="CB29" i="6" s="1"/>
  <c r="H29" i="20"/>
  <c r="J139" i="20"/>
  <c r="I139" i="20"/>
  <c r="I32" i="20"/>
  <c r="J32" i="20"/>
  <c r="I27" i="20"/>
  <c r="J27" i="20"/>
  <c r="J112" i="20"/>
  <c r="I112" i="20"/>
  <c r="J310" i="20"/>
  <c r="I310" i="20"/>
  <c r="I96" i="20"/>
  <c r="J96" i="20"/>
  <c r="J109" i="20"/>
  <c r="I109" i="20"/>
  <c r="J103" i="20"/>
  <c r="I103" i="20"/>
  <c r="J111" i="20"/>
  <c r="I111" i="20"/>
  <c r="I210" i="18"/>
  <c r="B210" i="6" s="1"/>
  <c r="BA210" i="6" s="1"/>
  <c r="AA4" i="6" s="1"/>
  <c r="J210" i="18"/>
  <c r="C210" i="6" s="1"/>
  <c r="AH381" i="20"/>
  <c r="AG15" i="20"/>
  <c r="AH383" i="20"/>
  <c r="AH382" i="20"/>
  <c r="I180" i="18"/>
  <c r="B180" i="6" s="1"/>
  <c r="BA180" i="6" s="1"/>
  <c r="J180" i="18"/>
  <c r="C180" i="6" s="1"/>
  <c r="J149" i="18"/>
  <c r="C149" i="6" s="1"/>
  <c r="I149" i="18"/>
  <c r="B149" i="6" s="1"/>
  <c r="BA149" i="6" s="1"/>
  <c r="I60" i="18"/>
  <c r="J60" i="18"/>
  <c r="C60" i="6" s="1"/>
  <c r="I88" i="18"/>
  <c r="B88" i="6" s="1"/>
  <c r="BA88" i="6" s="1"/>
  <c r="J88" i="18"/>
  <c r="C88" i="6" s="1"/>
  <c r="I124" i="20"/>
  <c r="J124" i="20"/>
  <c r="W130" i="22"/>
  <c r="D130" i="22"/>
  <c r="E130" i="22" s="1"/>
  <c r="F130" i="22" s="1"/>
  <c r="D101" i="22"/>
  <c r="E101" i="22" s="1"/>
  <c r="F101" i="22" s="1"/>
  <c r="G101" i="22" s="1"/>
  <c r="CC101" i="6" s="1"/>
  <c r="W101" i="22"/>
  <c r="W338" i="22"/>
  <c r="D338" i="22"/>
  <c r="E338" i="22" s="1"/>
  <c r="F338" i="22" s="1"/>
  <c r="W136" i="22"/>
  <c r="D136" i="22"/>
  <c r="E136" i="22" s="1"/>
  <c r="F136" i="22" s="1"/>
  <c r="D186" i="22"/>
  <c r="E186" i="22" s="1"/>
  <c r="F186" i="22" s="1"/>
  <c r="G186" i="22" s="1"/>
  <c r="CC186" i="6" s="1"/>
  <c r="W186" i="22"/>
  <c r="W126" i="22"/>
  <c r="D126" i="22"/>
  <c r="E126" i="22" s="1"/>
  <c r="F126" i="22" s="1"/>
  <c r="W105" i="22"/>
  <c r="D105" i="22"/>
  <c r="E105" i="22" s="1"/>
  <c r="F105" i="22" s="1"/>
  <c r="D207" i="22"/>
  <c r="E207" i="22" s="1"/>
  <c r="F207" i="22" s="1"/>
  <c r="W207" i="22"/>
  <c r="D77" i="22"/>
  <c r="E77" i="22" s="1"/>
  <c r="F77" i="22" s="1"/>
  <c r="W77" i="22"/>
  <c r="W35" i="22"/>
  <c r="D35" i="22"/>
  <c r="E35" i="22" s="1"/>
  <c r="F35" i="22" s="1"/>
  <c r="D308" i="22"/>
  <c r="E308" i="22" s="1"/>
  <c r="F308" i="22" s="1"/>
  <c r="W308" i="22"/>
  <c r="W37" i="22"/>
  <c r="D37" i="22"/>
  <c r="E37" i="22" s="1"/>
  <c r="F37" i="22" s="1"/>
  <c r="W262" i="22"/>
  <c r="D262" i="22"/>
  <c r="E262" i="22" s="1"/>
  <c r="F262" i="22" s="1"/>
  <c r="W21" i="22"/>
  <c r="D21" i="22"/>
  <c r="E21" i="22" s="1"/>
  <c r="F21" i="22" s="1"/>
  <c r="D232" i="22"/>
  <c r="E232" i="22" s="1"/>
  <c r="F232" i="22" s="1"/>
  <c r="G232" i="22" s="1"/>
  <c r="CC232" i="6" s="1"/>
  <c r="W232" i="22"/>
  <c r="D344" i="22"/>
  <c r="E344" i="22" s="1"/>
  <c r="F344" i="22" s="1"/>
  <c r="W344" i="22"/>
  <c r="D340" i="22"/>
  <c r="E340" i="22" s="1"/>
  <c r="F340" i="22" s="1"/>
  <c r="W340" i="22"/>
  <c r="V29" i="22"/>
  <c r="B29" i="22" s="1"/>
  <c r="AH32" i="7"/>
  <c r="D79" i="22"/>
  <c r="E79" i="22" s="1"/>
  <c r="F79" i="22" s="1"/>
  <c r="W79" i="22"/>
  <c r="V149" i="22"/>
  <c r="AH36" i="7"/>
  <c r="W358" i="22"/>
  <c r="D358" i="22"/>
  <c r="E358" i="22" s="1"/>
  <c r="F358" i="22" s="1"/>
  <c r="W346" i="22"/>
  <c r="D346" i="22"/>
  <c r="E346" i="22" s="1"/>
  <c r="F346" i="22" s="1"/>
  <c r="W334" i="22"/>
  <c r="D334" i="22"/>
  <c r="E334" i="22" s="1"/>
  <c r="F334" i="22" s="1"/>
  <c r="W39" i="22"/>
  <c r="D39" i="22"/>
  <c r="E39" i="22" s="1"/>
  <c r="F39" i="22" s="1"/>
  <c r="D284" i="22"/>
  <c r="E284" i="22" s="1"/>
  <c r="F284" i="22" s="1"/>
  <c r="W284" i="22"/>
  <c r="W289" i="22"/>
  <c r="D289" i="22"/>
  <c r="E289" i="22" s="1"/>
  <c r="F289" i="22" s="1"/>
  <c r="D378" i="22"/>
  <c r="E378" i="22" s="1"/>
  <c r="F378" i="22" s="1"/>
  <c r="G378" i="22" s="1"/>
  <c r="CC378" i="6" s="1"/>
  <c r="W378" i="22"/>
  <c r="W292" i="22"/>
  <c r="D292" i="22"/>
  <c r="E292" i="22" s="1"/>
  <c r="F292" i="22" s="1"/>
  <c r="D184" i="22"/>
  <c r="E184" i="22" s="1"/>
  <c r="F184" i="22" s="1"/>
  <c r="G184" i="22" s="1"/>
  <c r="CC184" i="6" s="1"/>
  <c r="W184" i="22"/>
  <c r="W222" i="22"/>
  <c r="D222" i="22"/>
  <c r="E222" i="22" s="1"/>
  <c r="F222" i="22" s="1"/>
  <c r="D267" i="22"/>
  <c r="E267" i="22" s="1"/>
  <c r="F267" i="22" s="1"/>
  <c r="W267" i="22"/>
  <c r="W357" i="22"/>
  <c r="D357" i="22"/>
  <c r="E357" i="22" s="1"/>
  <c r="F357" i="22" s="1"/>
  <c r="W141" i="22"/>
  <c r="D141" i="22"/>
  <c r="E141" i="22" s="1"/>
  <c r="F141" i="22" s="1"/>
  <c r="D121" i="22"/>
  <c r="E121" i="22" s="1"/>
  <c r="F121" i="22" s="1"/>
  <c r="W121" i="22"/>
  <c r="D28" i="22"/>
  <c r="E28" i="22" s="1"/>
  <c r="F28" i="22" s="1"/>
  <c r="G28" i="22" s="1"/>
  <c r="CC28" i="6" s="1"/>
  <c r="W28" i="22"/>
  <c r="D163" i="22"/>
  <c r="E163" i="22" s="1"/>
  <c r="F163" i="22" s="1"/>
  <c r="G163" i="22" s="1"/>
  <c r="CC163" i="6" s="1"/>
  <c r="W163" i="22"/>
  <c r="W43" i="22"/>
  <c r="D43" i="22"/>
  <c r="E43" i="22" s="1"/>
  <c r="F43" i="22" s="1"/>
  <c r="D147" i="22"/>
  <c r="E147" i="22" s="1"/>
  <c r="F147" i="22" s="1"/>
  <c r="W147" i="22"/>
  <c r="W143" i="22"/>
  <c r="D143" i="22"/>
  <c r="E143" i="22" s="1"/>
  <c r="F143" i="22" s="1"/>
  <c r="W120" i="22"/>
  <c r="D120" i="22"/>
  <c r="E120" i="22" s="1"/>
  <c r="F120" i="22" s="1"/>
  <c r="D269" i="22"/>
  <c r="E269" i="22" s="1"/>
  <c r="F269" i="22" s="1"/>
  <c r="W269" i="22"/>
  <c r="W298" i="22"/>
  <c r="W377" i="22"/>
  <c r="W275" i="22"/>
  <c r="D191" i="22"/>
  <c r="E191" i="22" s="1"/>
  <c r="F191" i="22" s="1"/>
  <c r="D278" i="22"/>
  <c r="E278" i="22" s="1"/>
  <c r="F278" i="22" s="1"/>
  <c r="W133" i="22"/>
  <c r="W129" i="22"/>
  <c r="B258" i="22"/>
  <c r="W38" i="22"/>
  <c r="D202" i="22"/>
  <c r="E202" i="22" s="1"/>
  <c r="F202" i="22" s="1"/>
  <c r="G202" i="22" s="1"/>
  <c r="CC202" i="6" s="1"/>
  <c r="W312" i="22"/>
  <c r="D137" i="22"/>
  <c r="E137" i="22" s="1"/>
  <c r="F137" i="22" s="1"/>
  <c r="W306" i="22"/>
  <c r="W329" i="22"/>
  <c r="W153" i="22"/>
  <c r="W285" i="22"/>
  <c r="D151" i="22"/>
  <c r="E151" i="22" s="1"/>
  <c r="F151" i="22" s="1"/>
  <c r="V210" i="22"/>
  <c r="AH41" i="7"/>
  <c r="D254" i="22"/>
  <c r="E254" i="22" s="1"/>
  <c r="F254" i="22" s="1"/>
  <c r="D108" i="22"/>
  <c r="E108" i="22" s="1"/>
  <c r="F108" i="22" s="1"/>
  <c r="D204" i="22"/>
  <c r="E204" i="22" s="1"/>
  <c r="F204" i="22" s="1"/>
  <c r="D177" i="22"/>
  <c r="E177" i="22" s="1"/>
  <c r="F177" i="22" s="1"/>
  <c r="W256" i="22"/>
  <c r="D375" i="22"/>
  <c r="E375" i="22" s="1"/>
  <c r="F375" i="22" s="1"/>
  <c r="W112" i="22"/>
  <c r="AH43" i="7"/>
  <c r="AH42" i="7"/>
  <c r="W274" i="22"/>
  <c r="B319" i="22"/>
  <c r="D359" i="22"/>
  <c r="E359" i="22" s="1"/>
  <c r="F359" i="22" s="1"/>
  <c r="W318" i="22"/>
  <c r="W229" i="22"/>
  <c r="W313" i="22"/>
  <c r="D322" i="22"/>
  <c r="E322" i="22" s="1"/>
  <c r="F322" i="22" s="1"/>
  <c r="D23" i="22"/>
  <c r="E23" i="22" s="1"/>
  <c r="F23" i="22" s="1"/>
  <c r="W307" i="22"/>
  <c r="D171" i="22"/>
  <c r="E171" i="22" s="1"/>
  <c r="F171" i="22" s="1"/>
  <c r="W22" i="22"/>
  <c r="W49" i="22"/>
  <c r="W324" i="22"/>
  <c r="W70" i="22"/>
  <c r="D266" i="22"/>
  <c r="E266" i="22" s="1"/>
  <c r="F266" i="22" s="1"/>
  <c r="D335" i="22"/>
  <c r="E335" i="22" s="1"/>
  <c r="F335" i="22" s="1"/>
  <c r="I47" i="20"/>
  <c r="J47" i="20"/>
  <c r="J195" i="20"/>
  <c r="I195" i="20"/>
  <c r="S381" i="20"/>
  <c r="R15" i="20"/>
  <c r="S383" i="20"/>
  <c r="S382" i="20"/>
  <c r="J330" i="20"/>
  <c r="I330" i="20"/>
  <c r="I92" i="20"/>
  <c r="J92" i="20"/>
  <c r="J73" i="20"/>
  <c r="I73" i="20"/>
  <c r="Q322" i="23"/>
  <c r="Q39" i="23"/>
  <c r="Q177" i="23"/>
  <c r="Q111" i="23"/>
  <c r="Q373" i="23"/>
  <c r="Q175" i="23"/>
  <c r="Q350" i="23"/>
  <c r="Q174" i="23"/>
  <c r="Q358" i="23"/>
  <c r="Q105" i="23"/>
  <c r="Q184" i="23"/>
  <c r="Q339" i="23"/>
  <c r="Q256" i="23"/>
  <c r="Q91" i="23"/>
  <c r="Q337" i="23"/>
  <c r="Q326" i="23"/>
  <c r="Q178" i="23"/>
  <c r="Q80" i="23"/>
  <c r="Q266" i="23"/>
  <c r="Q224" i="23"/>
  <c r="Q115" i="23"/>
  <c r="Q32" i="23"/>
  <c r="Q136" i="23"/>
  <c r="Q284" i="23"/>
  <c r="Q246" i="23"/>
  <c r="Q295" i="23"/>
  <c r="Q323" i="23"/>
  <c r="Q255" i="23"/>
  <c r="Q65" i="23"/>
  <c r="Q307" i="23"/>
  <c r="Q294" i="23"/>
  <c r="Q240" i="23"/>
  <c r="Q226" i="23"/>
  <c r="Q310" i="23"/>
  <c r="Q329" i="23"/>
  <c r="Q230" i="23"/>
  <c r="Q348" i="23"/>
  <c r="Q201" i="23"/>
  <c r="Q263" i="23"/>
  <c r="Q202" i="23"/>
  <c r="Q152" i="23"/>
  <c r="Q217" i="23"/>
  <c r="Q336" i="23"/>
  <c r="Q147" i="23"/>
  <c r="Q108" i="23"/>
  <c r="Q271" i="23"/>
  <c r="Q222" i="23"/>
  <c r="Q362" i="23"/>
  <c r="Q76" i="23"/>
  <c r="Q130" i="23"/>
  <c r="Q276" i="23"/>
  <c r="Q170" i="23"/>
  <c r="Q244" i="23"/>
  <c r="Q179" i="23"/>
  <c r="Q143" i="23"/>
  <c r="Q311" i="23"/>
  <c r="Q320" i="23"/>
  <c r="Q265" i="23"/>
  <c r="Q262" i="23"/>
  <c r="Q157" i="23"/>
  <c r="Q270" i="23"/>
  <c r="Q186" i="23"/>
  <c r="Q279" i="23"/>
  <c r="Q215" i="23"/>
  <c r="Q28" i="23"/>
  <c r="Q113" i="23"/>
  <c r="Q343" i="23"/>
  <c r="Q288" i="23"/>
  <c r="Q223" i="23"/>
  <c r="Q250" i="23"/>
  <c r="Q149" i="23"/>
  <c r="Q252" i="23"/>
  <c r="Q142" i="23"/>
  <c r="Q195" i="23"/>
  <c r="Q41" i="23"/>
  <c r="Q298" i="23"/>
  <c r="Q188" i="23"/>
  <c r="Q261" i="23"/>
  <c r="Q125" i="23"/>
  <c r="AE87" i="23"/>
  <c r="AE91" i="23"/>
  <c r="AE46" i="23"/>
  <c r="AE53" i="23"/>
  <c r="AE50" i="23"/>
  <c r="AE32" i="23"/>
  <c r="AE22" i="23"/>
  <c r="AE75" i="23"/>
  <c r="AE51" i="23"/>
  <c r="AE80" i="23"/>
  <c r="AE81" i="23"/>
  <c r="AE40" i="23"/>
  <c r="AE92" i="23"/>
  <c r="AE96" i="23"/>
  <c r="AE67" i="23"/>
  <c r="AE89" i="23"/>
  <c r="AE38" i="23"/>
  <c r="AE24" i="23"/>
  <c r="AE15" i="23"/>
  <c r="AE44" i="23"/>
  <c r="AE42" i="23"/>
  <c r="AE37" i="23"/>
  <c r="AE98" i="23"/>
  <c r="AE79" i="23"/>
  <c r="AE82" i="23"/>
  <c r="AE66" i="23"/>
  <c r="AE72" i="23"/>
  <c r="AE83" i="23"/>
  <c r="AE30" i="23"/>
  <c r="AE39" i="23"/>
  <c r="AE73" i="23"/>
  <c r="AE33" i="23"/>
  <c r="AE16" i="23"/>
  <c r="AE85" i="23"/>
  <c r="AE36" i="23"/>
  <c r="AE64" i="23"/>
  <c r="AE49" i="23"/>
  <c r="AE78" i="23"/>
  <c r="AE69" i="23"/>
  <c r="AE76" i="23"/>
  <c r="AE25" i="23"/>
  <c r="AE74" i="23"/>
  <c r="AE45" i="23"/>
  <c r="AE56" i="23"/>
  <c r="AE71" i="23"/>
  <c r="AE52" i="23"/>
  <c r="Q319" i="23"/>
  <c r="Q214" i="23"/>
  <c r="Q173" i="23"/>
  <c r="Q106" i="23"/>
  <c r="Q363" i="23"/>
  <c r="Q301" i="23"/>
  <c r="Q236" i="23"/>
  <c r="Q237" i="23"/>
  <c r="Q199" i="23"/>
  <c r="Q122" i="23"/>
  <c r="Q30" i="23"/>
  <c r="Q351" i="23"/>
  <c r="Q70" i="23"/>
  <c r="Q81" i="23"/>
  <c r="Q198" i="23"/>
  <c r="Q303" i="23"/>
  <c r="Q305" i="23"/>
  <c r="Q300" i="23"/>
  <c r="Q251" i="23"/>
  <c r="Q321" i="23"/>
  <c r="Q289" i="23"/>
  <c r="Q316" i="23"/>
  <c r="Q124" i="23"/>
  <c r="Q360" i="23"/>
  <c r="Q160" i="23"/>
  <c r="Q116" i="23"/>
  <c r="Q285" i="23"/>
  <c r="Q71" i="23"/>
  <c r="Q258" i="23"/>
  <c r="Q204" i="23"/>
  <c r="Q114" i="23"/>
  <c r="Q364" i="23"/>
  <c r="Q127" i="23"/>
  <c r="Q34" i="23"/>
  <c r="Q141" i="23"/>
  <c r="Q167" i="23"/>
  <c r="Q318" i="23"/>
  <c r="Q249" i="23"/>
  <c r="Q346" i="23"/>
  <c r="Q278" i="23"/>
  <c r="Q308" i="23"/>
  <c r="Q135" i="23"/>
  <c r="Q203" i="23"/>
  <c r="Q61" i="23"/>
  <c r="Q117" i="23"/>
  <c r="Q313" i="23"/>
  <c r="Q353" i="23"/>
  <c r="Q121" i="23"/>
  <c r="Q126" i="23"/>
  <c r="Q51" i="23"/>
  <c r="Q291" i="23"/>
  <c r="Q264" i="23"/>
  <c r="Q209" i="23"/>
  <c r="Q317" i="23"/>
  <c r="Q355" i="23"/>
  <c r="Q45" i="23"/>
  <c r="Q257" i="23"/>
  <c r="Q248" i="23"/>
  <c r="Q296" i="23"/>
  <c r="Q15" i="23"/>
  <c r="Q349" i="23"/>
  <c r="Q286" i="23"/>
  <c r="Q140" i="23"/>
  <c r="Q56" i="23"/>
  <c r="Q24" i="23"/>
  <c r="Q207" i="23"/>
  <c r="Q75" i="23"/>
  <c r="Q325" i="23"/>
  <c r="Q290" i="23"/>
  <c r="Q287" i="23"/>
  <c r="Q64" i="23"/>
  <c r="Q312" i="23"/>
  <c r="Q79" i="23"/>
  <c r="Q333" i="23"/>
  <c r="Q212" i="23"/>
  <c r="Q133" i="23"/>
  <c r="Q245" i="23"/>
  <c r="Q277" i="23"/>
  <c r="Q231" i="23"/>
  <c r="Q283" i="23"/>
  <c r="Q153" i="23"/>
  <c r="Q183" i="23"/>
  <c r="Q282" i="23"/>
  <c r="Q344" i="23"/>
  <c r="Q306" i="23"/>
  <c r="Q155" i="23"/>
  <c r="Q238" i="23"/>
  <c r="Q297" i="23"/>
  <c r="Q205" i="23"/>
  <c r="Q254" i="23"/>
  <c r="Q235" i="23"/>
  <c r="Q206" i="23"/>
  <c r="Q268" i="23"/>
  <c r="Q138" i="23"/>
  <c r="Q359" i="23"/>
  <c r="Q52" i="23"/>
  <c r="Q180" i="23"/>
  <c r="Q150" i="23"/>
  <c r="Q218" i="23"/>
  <c r="Q347" i="23"/>
  <c r="Q196" i="23"/>
  <c r="Q162" i="23"/>
  <c r="Q379" i="23"/>
  <c r="Q247" i="23"/>
  <c r="Q370" i="23"/>
  <c r="Q96" i="23"/>
  <c r="Q361" i="23"/>
  <c r="Q27" i="23"/>
  <c r="Q219" i="23"/>
  <c r="Q87" i="23"/>
  <c r="Q134" i="23"/>
  <c r="Q120" i="23"/>
  <c r="Q139" i="23"/>
  <c r="Q185" i="23"/>
  <c r="Q243" i="23"/>
  <c r="Q242" i="23"/>
  <c r="Q172" i="23"/>
  <c r="Q128" i="23"/>
  <c r="Q168" i="23"/>
  <c r="Q163" i="23"/>
  <c r="Q216" i="23"/>
  <c r="Q132" i="23"/>
  <c r="Q154" i="23"/>
  <c r="Q104" i="23"/>
  <c r="Q109" i="23"/>
  <c r="Q60" i="23"/>
  <c r="Q328" i="23"/>
  <c r="Q176" i="23"/>
  <c r="Q165" i="23"/>
  <c r="Q182" i="23"/>
  <c r="Q112" i="23"/>
  <c r="Q225" i="23"/>
  <c r="Q274" i="23"/>
  <c r="Q145" i="23"/>
  <c r="Q375" i="23"/>
  <c r="Q144" i="23"/>
  <c r="Q194" i="23"/>
  <c r="Q137" i="23"/>
  <c r="Q241" i="23"/>
  <c r="Q378" i="23"/>
  <c r="Q187" i="23"/>
  <c r="Q148" i="23"/>
  <c r="Q29" i="23"/>
  <c r="Q83" i="23"/>
  <c r="Q233" i="23"/>
  <c r="Q342" i="23"/>
  <c r="Q253" i="23"/>
  <c r="Q374" i="23"/>
  <c r="Q371" i="23"/>
  <c r="Q324" i="23"/>
  <c r="Q99" i="23"/>
  <c r="Q281" i="23"/>
  <c r="Q331" i="23"/>
  <c r="Q158" i="23"/>
  <c r="Q365" i="23"/>
  <c r="Q239" i="23"/>
  <c r="Q22" i="23"/>
  <c r="Q210" i="23"/>
  <c r="Q94" i="23"/>
  <c r="Q267" i="23"/>
  <c r="Q200" i="23"/>
  <c r="Q110" i="23"/>
  <c r="Q356" i="23"/>
  <c r="AU15" i="7"/>
  <c r="AE17" i="23"/>
  <c r="AE35" i="23"/>
  <c r="AE21" i="23"/>
  <c r="AE47" i="23"/>
  <c r="AE84" i="23"/>
  <c r="AE54" i="23"/>
  <c r="AE99" i="23"/>
  <c r="AE34" i="23"/>
  <c r="AE103" i="23"/>
  <c r="AE63" i="23"/>
  <c r="AE59" i="23"/>
  <c r="AE18" i="23"/>
  <c r="AE70" i="23"/>
  <c r="AE58" i="23"/>
  <c r="AE29" i="23"/>
  <c r="AE68" i="23"/>
  <c r="AE41" i="23"/>
  <c r="AE101" i="23"/>
  <c r="AE61" i="23"/>
  <c r="AE90" i="23"/>
  <c r="AE23" i="23"/>
  <c r="AE26" i="23"/>
  <c r="AE60" i="23"/>
  <c r="AE65" i="23"/>
  <c r="AE19" i="23"/>
  <c r="AE86" i="23"/>
  <c r="AE55" i="23"/>
  <c r="AE62" i="23"/>
  <c r="AE95" i="23"/>
  <c r="AE88" i="23"/>
  <c r="AE28" i="23"/>
  <c r="AE93" i="23"/>
  <c r="AE100" i="23"/>
  <c r="AE27" i="23"/>
  <c r="AE77" i="23"/>
  <c r="AE20" i="23"/>
  <c r="AE48" i="23"/>
  <c r="AE43" i="23"/>
  <c r="AE57" i="23"/>
  <c r="AE31" i="23"/>
  <c r="AE102" i="23"/>
  <c r="AE94" i="23"/>
  <c r="AE97" i="23"/>
  <c r="Q171" i="23"/>
  <c r="Q341" i="23"/>
  <c r="Q220" i="23"/>
  <c r="Q97" i="23"/>
  <c r="Q151" i="23"/>
  <c r="Q338" i="23"/>
  <c r="Q304" i="23"/>
  <c r="Q59" i="23"/>
  <c r="Q166" i="23"/>
  <c r="Q68" i="23"/>
  <c r="Q193" i="23"/>
  <c r="Q269" i="23"/>
  <c r="Q259" i="23"/>
  <c r="Q221" i="23"/>
  <c r="Q272" i="23"/>
  <c r="Q372" i="23"/>
  <c r="Q197" i="23"/>
  <c r="Q107" i="23"/>
  <c r="Q357" i="23"/>
  <c r="Q227" i="23"/>
  <c r="Q156" i="23"/>
  <c r="Q131" i="23"/>
  <c r="Q354" i="23"/>
  <c r="Q368" i="23"/>
  <c r="Q191" i="23"/>
  <c r="Q84" i="23"/>
  <c r="Q280" i="23"/>
  <c r="Q19" i="23"/>
  <c r="Q119" i="23"/>
  <c r="Q164" i="23"/>
  <c r="Q315" i="23"/>
  <c r="Q192" i="23"/>
  <c r="Q118" i="23"/>
  <c r="Q31" i="23"/>
  <c r="Q369" i="23"/>
  <c r="Q275" i="23"/>
  <c r="Q302" i="23"/>
  <c r="Q161" i="23"/>
  <c r="Q299" i="23"/>
  <c r="Q208" i="23"/>
  <c r="Q330" i="23"/>
  <c r="Q123" i="23"/>
  <c r="Q18" i="23"/>
  <c r="Q260" i="23"/>
  <c r="Q181" i="23"/>
  <c r="Q234" i="23"/>
  <c r="Q190" i="23"/>
  <c r="Q366" i="23"/>
  <c r="Q314" i="23"/>
  <c r="Q129" i="23"/>
  <c r="Q35" i="23"/>
  <c r="Q229" i="23"/>
  <c r="Q377" i="23"/>
  <c r="Q332" i="23"/>
  <c r="Q159" i="23"/>
  <c r="Q228" i="23"/>
  <c r="Q327" i="23"/>
  <c r="Q103" i="23"/>
  <c r="Q89" i="23"/>
  <c r="Q293" i="23"/>
  <c r="Q340" i="23"/>
  <c r="Q146" i="23"/>
  <c r="Q335" i="23"/>
  <c r="Q232" i="23"/>
  <c r="Q309" i="23"/>
  <c r="Q345" i="23"/>
  <c r="Q189" i="23"/>
  <c r="Q292" i="23"/>
  <c r="Q43" i="23"/>
  <c r="Q334" i="23"/>
  <c r="Q213" i="23"/>
  <c r="Q273" i="23"/>
  <c r="Q21" i="23"/>
  <c r="Q352" i="23"/>
  <c r="Q211" i="23"/>
  <c r="Q367" i="23"/>
  <c r="Q376" i="23"/>
  <c r="Q169" i="23"/>
  <c r="J272" i="18"/>
  <c r="C272" i="6" s="1"/>
  <c r="I272" i="18"/>
  <c r="I304" i="20"/>
  <c r="J304" i="20"/>
  <c r="I87" i="20"/>
  <c r="J87" i="20"/>
  <c r="W88" i="20"/>
  <c r="D88" i="20"/>
  <c r="E88" i="20" s="1"/>
  <c r="F88" i="20" s="1"/>
  <c r="I221" i="20"/>
  <c r="J221" i="20"/>
  <c r="D180" i="20"/>
  <c r="E180" i="20" s="1"/>
  <c r="F180" i="20" s="1"/>
  <c r="W180" i="20"/>
  <c r="I377" i="20"/>
  <c r="J377" i="20"/>
  <c r="J207" i="20"/>
  <c r="I207" i="20"/>
  <c r="J163" i="20"/>
  <c r="I163" i="20"/>
  <c r="I71" i="20"/>
  <c r="J71" i="20"/>
  <c r="I365" i="20"/>
  <c r="J365" i="20"/>
  <c r="J293" i="20"/>
  <c r="I293" i="20"/>
  <c r="I307" i="20"/>
  <c r="J307" i="20"/>
  <c r="J302" i="18"/>
  <c r="C302" i="6" s="1"/>
  <c r="I302" i="18"/>
  <c r="AA60" i="20"/>
  <c r="Z60" i="20" s="1"/>
  <c r="Y60" i="20" s="1"/>
  <c r="G60" i="20"/>
  <c r="CB60" i="6" s="1"/>
  <c r="AL13" i="15"/>
  <c r="AJ3" i="15"/>
  <c r="O12" i="19" s="1"/>
  <c r="M12" i="19" s="1"/>
  <c r="M13" i="19" s="1"/>
  <c r="J12" i="19"/>
  <c r="AA11" i="15"/>
  <c r="AA5" i="15" s="1"/>
  <c r="I12" i="19" s="1"/>
  <c r="J79" i="20"/>
  <c r="I79" i="20"/>
  <c r="I52" i="20"/>
  <c r="J52" i="20"/>
  <c r="I191" i="20"/>
  <c r="J191" i="20"/>
  <c r="I251" i="20"/>
  <c r="J251" i="20"/>
  <c r="J290" i="20"/>
  <c r="I290" i="20"/>
  <c r="J253" i="20"/>
  <c r="I253" i="20"/>
  <c r="J315" i="20"/>
  <c r="I315" i="20"/>
  <c r="I265" i="20"/>
  <c r="J265" i="20"/>
  <c r="J56" i="20"/>
  <c r="I56" i="20"/>
  <c r="J324" i="20"/>
  <c r="I324" i="20"/>
  <c r="J121" i="20"/>
  <c r="I121" i="20"/>
  <c r="J43" i="20"/>
  <c r="I43" i="20"/>
  <c r="I254" i="20"/>
  <c r="J254" i="20"/>
  <c r="I181" i="20"/>
  <c r="J181" i="20"/>
  <c r="J98" i="20"/>
  <c r="I98" i="20"/>
  <c r="J376" i="20"/>
  <c r="I376" i="20"/>
  <c r="I113" i="20"/>
  <c r="J113" i="20"/>
  <c r="I339" i="20"/>
  <c r="J339" i="20"/>
  <c r="I97" i="20"/>
  <c r="J97" i="20"/>
  <c r="I212" i="20"/>
  <c r="J212" i="20"/>
  <c r="J235" i="20"/>
  <c r="I235" i="20"/>
  <c r="I333" i="18"/>
  <c r="B333" i="6" s="1"/>
  <c r="BA333" i="6" s="1"/>
  <c r="D333" i="6" s="1"/>
  <c r="J333" i="18"/>
  <c r="C333" i="6" s="1"/>
  <c r="I129" i="20"/>
  <c r="J129" i="20"/>
  <c r="J53" i="20"/>
  <c r="I53" i="20"/>
  <c r="J104" i="20"/>
  <c r="I104" i="20"/>
  <c r="AA363" i="20"/>
  <c r="Z363" i="20" s="1"/>
  <c r="Y363" i="20" s="1"/>
  <c r="G363" i="20"/>
  <c r="CB363" i="6" s="1"/>
  <c r="J44" i="20"/>
  <c r="I44" i="20"/>
  <c r="I233" i="20"/>
  <c r="J233" i="20"/>
  <c r="I153" i="20"/>
  <c r="J153" i="20"/>
  <c r="J137" i="20"/>
  <c r="I137" i="20"/>
  <c r="J300" i="20"/>
  <c r="I300" i="20"/>
  <c r="I86" i="20"/>
  <c r="J86" i="20"/>
  <c r="I193" i="20"/>
  <c r="J193" i="20"/>
  <c r="J294" i="20"/>
  <c r="I294" i="20"/>
  <c r="I360" i="20"/>
  <c r="J360" i="20"/>
  <c r="J356" i="20"/>
  <c r="I356" i="20"/>
  <c r="J114" i="20"/>
  <c r="I114" i="20"/>
  <c r="J90" i="20"/>
  <c r="I90" i="20"/>
  <c r="I116" i="20"/>
  <c r="J116" i="20"/>
  <c r="W119" i="20"/>
  <c r="D119" i="20"/>
  <c r="E119" i="20" s="1"/>
  <c r="F119" i="20" s="1"/>
  <c r="J263" i="20"/>
  <c r="I263" i="20"/>
  <c r="I61" i="20"/>
  <c r="J61" i="20"/>
  <c r="AI377" i="22"/>
  <c r="AH377" i="22" s="1"/>
  <c r="AG377" i="22" s="1"/>
  <c r="AF377" i="22" s="1"/>
  <c r="AD377" i="22" s="1"/>
  <c r="AI24" i="22"/>
  <c r="AH24" i="22" s="1"/>
  <c r="AG24" i="22" s="1"/>
  <c r="AF24" i="22" s="1"/>
  <c r="AD24" i="22" s="1"/>
  <c r="AI276" i="22"/>
  <c r="AH276" i="22" s="1"/>
  <c r="AG276" i="22" s="1"/>
  <c r="AF276" i="22" s="1"/>
  <c r="AD276" i="22" s="1"/>
  <c r="AI293" i="22"/>
  <c r="AH293" i="22" s="1"/>
  <c r="AG293" i="22" s="1"/>
  <c r="AF293" i="22" s="1"/>
  <c r="AD293" i="22" s="1"/>
  <c r="AI46" i="22"/>
  <c r="AH46" i="22" s="1"/>
  <c r="AG46" i="22" s="1"/>
  <c r="AF46" i="22" s="1"/>
  <c r="AD46" i="22" s="1"/>
  <c r="AI49" i="22"/>
  <c r="AH49" i="22" s="1"/>
  <c r="AG49" i="22" s="1"/>
  <c r="AF49" i="22" s="1"/>
  <c r="AD49" i="22" s="1"/>
  <c r="AI75" i="22"/>
  <c r="AH75" i="22" s="1"/>
  <c r="AG75" i="22" s="1"/>
  <c r="AF75" i="22" s="1"/>
  <c r="AD75" i="22" s="1"/>
  <c r="AI344" i="22"/>
  <c r="AH344" i="22" s="1"/>
  <c r="AG344" i="22" s="1"/>
  <c r="AF344" i="22" s="1"/>
  <c r="AD344" i="22" s="1"/>
  <c r="AI117" i="22"/>
  <c r="AH117" i="22" s="1"/>
  <c r="AG117" i="22" s="1"/>
  <c r="AF117" i="22" s="1"/>
  <c r="AD117" i="22" s="1"/>
  <c r="AI59" i="22"/>
  <c r="AH59" i="22" s="1"/>
  <c r="AG59" i="22" s="1"/>
  <c r="AF59" i="22" s="1"/>
  <c r="AD59" i="22" s="1"/>
  <c r="AI137" i="22"/>
  <c r="AH137" i="22" s="1"/>
  <c r="AG137" i="22" s="1"/>
  <c r="AF137" i="22" s="1"/>
  <c r="AD137" i="22" s="1"/>
  <c r="AI95" i="22"/>
  <c r="AH95" i="22" s="1"/>
  <c r="AG95" i="22" s="1"/>
  <c r="AF95" i="22" s="1"/>
  <c r="AD95" i="22" s="1"/>
  <c r="AI64" i="22"/>
  <c r="AH64" i="22" s="1"/>
  <c r="AG64" i="22" s="1"/>
  <c r="AF64" i="22" s="1"/>
  <c r="AD64" i="22" s="1"/>
  <c r="AI327" i="22"/>
  <c r="AH327" i="22" s="1"/>
  <c r="AG327" i="22" s="1"/>
  <c r="AF327" i="22" s="1"/>
  <c r="AD327" i="22" s="1"/>
  <c r="AI236" i="22"/>
  <c r="AH236" i="22" s="1"/>
  <c r="AG236" i="22" s="1"/>
  <c r="AF236" i="22" s="1"/>
  <c r="AD236" i="22" s="1"/>
  <c r="AI321" i="22"/>
  <c r="AH321" i="22" s="1"/>
  <c r="AG321" i="22" s="1"/>
  <c r="AF321" i="22" s="1"/>
  <c r="AD321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284" i="22"/>
  <c r="AH284" i="22" s="1"/>
  <c r="AG284" i="22" s="1"/>
  <c r="AF284" i="22" s="1"/>
  <c r="AD284" i="22" s="1"/>
  <c r="AI242" i="22"/>
  <c r="AH242" i="22" s="1"/>
  <c r="AG242" i="22" s="1"/>
  <c r="AF242" i="22" s="1"/>
  <c r="AD242" i="22" s="1"/>
  <c r="AI162" i="22"/>
  <c r="AH162" i="22" s="1"/>
  <c r="AG162" i="22" s="1"/>
  <c r="AF162" i="22" s="1"/>
  <c r="AD162" i="22" s="1"/>
  <c r="AI357" i="22"/>
  <c r="AH357" i="22" s="1"/>
  <c r="AG357" i="22" s="1"/>
  <c r="AF357" i="22" s="1"/>
  <c r="AD357" i="22" s="1"/>
  <c r="AI131" i="22"/>
  <c r="AH131" i="22" s="1"/>
  <c r="AG131" i="22" s="1"/>
  <c r="AF131" i="22" s="1"/>
  <c r="AD131" i="22" s="1"/>
  <c r="AI98" i="22"/>
  <c r="AH98" i="22" s="1"/>
  <c r="AG98" i="22" s="1"/>
  <c r="AF98" i="22" s="1"/>
  <c r="AD98" i="22" s="1"/>
  <c r="AI67" i="22"/>
  <c r="AH67" i="22" s="1"/>
  <c r="AG67" i="22" s="1"/>
  <c r="AF67" i="22" s="1"/>
  <c r="AD67" i="22" s="1"/>
  <c r="AI330" i="22"/>
  <c r="AH330" i="22" s="1"/>
  <c r="AG330" i="22" s="1"/>
  <c r="AF330" i="22" s="1"/>
  <c r="AD330" i="22" s="1"/>
  <c r="AI233" i="22"/>
  <c r="AH233" i="22" s="1"/>
  <c r="AG233" i="22" s="1"/>
  <c r="AF233" i="22" s="1"/>
  <c r="AD233" i="22" s="1"/>
  <c r="AI318" i="22"/>
  <c r="AH318" i="22" s="1"/>
  <c r="AG318" i="22" s="1"/>
  <c r="AF318" i="22" s="1"/>
  <c r="AD318" i="22" s="1"/>
  <c r="AI190" i="22"/>
  <c r="AH190" i="22" s="1"/>
  <c r="AG190" i="22" s="1"/>
  <c r="AF190" i="22" s="1"/>
  <c r="AD190" i="22" s="1"/>
  <c r="AI125" i="22"/>
  <c r="AH125" i="22" s="1"/>
  <c r="AG125" i="22" s="1"/>
  <c r="AF125" i="22" s="1"/>
  <c r="AD125" i="22" s="1"/>
  <c r="AI370" i="22"/>
  <c r="AH370" i="22" s="1"/>
  <c r="AG370" i="22" s="1"/>
  <c r="AF370" i="22" s="1"/>
  <c r="AD370" i="22" s="1"/>
  <c r="AA370" i="22" s="1"/>
  <c r="Z370" i="22" s="1"/>
  <c r="Y370" i="22" s="1"/>
  <c r="AI161" i="22"/>
  <c r="AH161" i="22" s="1"/>
  <c r="AG161" i="22" s="1"/>
  <c r="AF161" i="22" s="1"/>
  <c r="AD161" i="22" s="1"/>
  <c r="AI250" i="22"/>
  <c r="AH250" i="22" s="1"/>
  <c r="AG250" i="22" s="1"/>
  <c r="AF250" i="22" s="1"/>
  <c r="AD250" i="22" s="1"/>
  <c r="AI76" i="22"/>
  <c r="AH76" i="22" s="1"/>
  <c r="AG76" i="22" s="1"/>
  <c r="AF76" i="22" s="1"/>
  <c r="AD76" i="22" s="1"/>
  <c r="AI297" i="22"/>
  <c r="AH297" i="22" s="1"/>
  <c r="AG297" i="22" s="1"/>
  <c r="AF297" i="22" s="1"/>
  <c r="AD297" i="22" s="1"/>
  <c r="AI110" i="22"/>
  <c r="AH110" i="22" s="1"/>
  <c r="AG110" i="22" s="1"/>
  <c r="AF110" i="22" s="1"/>
  <c r="AD110" i="22" s="1"/>
  <c r="AI29" i="22"/>
  <c r="AH29" i="22" s="1"/>
  <c r="AG29" i="22" s="1"/>
  <c r="AF29" i="22" s="1"/>
  <c r="AD29" i="22" s="1"/>
  <c r="AI281" i="22"/>
  <c r="AH281" i="22" s="1"/>
  <c r="AG281" i="22" s="1"/>
  <c r="AF281" i="22" s="1"/>
  <c r="AD281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154" i="22"/>
  <c r="AH154" i="22" s="1"/>
  <c r="AG154" i="22" s="1"/>
  <c r="AF154" i="22" s="1"/>
  <c r="AD154" i="22" s="1"/>
  <c r="AI56" i="22"/>
  <c r="AH56" i="22" s="1"/>
  <c r="AG56" i="22" s="1"/>
  <c r="AF56" i="22" s="1"/>
  <c r="AD56" i="22" s="1"/>
  <c r="AI132" i="22"/>
  <c r="AH132" i="22" s="1"/>
  <c r="AG132" i="22" s="1"/>
  <c r="AF132" i="22" s="1"/>
  <c r="AD132" i="22" s="1"/>
  <c r="AI203" i="22"/>
  <c r="AH203" i="22" s="1"/>
  <c r="AG203" i="22" s="1"/>
  <c r="AF203" i="22" s="1"/>
  <c r="AD203" i="22" s="1"/>
  <c r="AI262" i="22"/>
  <c r="AH262" i="22" s="1"/>
  <c r="AG262" i="22" s="1"/>
  <c r="AF262" i="22" s="1"/>
  <c r="AD262" i="22" s="1"/>
  <c r="AI322" i="22"/>
  <c r="AH322" i="22" s="1"/>
  <c r="AG322" i="22" s="1"/>
  <c r="AF322" i="22" s="1"/>
  <c r="AD322" i="22" s="1"/>
  <c r="AI172" i="22"/>
  <c r="AH172" i="22" s="1"/>
  <c r="AG172" i="22" s="1"/>
  <c r="AF172" i="22" s="1"/>
  <c r="AD172" i="22" s="1"/>
  <c r="AI333" i="22"/>
  <c r="AH333" i="22" s="1"/>
  <c r="AG333" i="22" s="1"/>
  <c r="AF333" i="22" s="1"/>
  <c r="AD333" i="22" s="1"/>
  <c r="AI18" i="22"/>
  <c r="AH18" i="22" s="1"/>
  <c r="AG18" i="22" s="1"/>
  <c r="AF18" i="22" s="1"/>
  <c r="AD18" i="22" s="1"/>
  <c r="AI15" i="22"/>
  <c r="AI239" i="22"/>
  <c r="AH239" i="22" s="1"/>
  <c r="AG239" i="22" s="1"/>
  <c r="AF239" i="22" s="1"/>
  <c r="AD239" i="22" s="1"/>
  <c r="AI301" i="22"/>
  <c r="AH301" i="22" s="1"/>
  <c r="AG301" i="22" s="1"/>
  <c r="AF301" i="22" s="1"/>
  <c r="AD301" i="22" s="1"/>
  <c r="AI352" i="22"/>
  <c r="AH352" i="22" s="1"/>
  <c r="AG352" i="22" s="1"/>
  <c r="AF352" i="22" s="1"/>
  <c r="AD352" i="22" s="1"/>
  <c r="AI155" i="22"/>
  <c r="AH155" i="22" s="1"/>
  <c r="AG155" i="22" s="1"/>
  <c r="AF155" i="22" s="1"/>
  <c r="AD155" i="22" s="1"/>
  <c r="AI146" i="22"/>
  <c r="AH146" i="22" s="1"/>
  <c r="AG146" i="22" s="1"/>
  <c r="AF146" i="22" s="1"/>
  <c r="AD146" i="22" s="1"/>
  <c r="AI44" i="22"/>
  <c r="AH44" i="22" s="1"/>
  <c r="AG44" i="22" s="1"/>
  <c r="AF44" i="22" s="1"/>
  <c r="AD44" i="22" s="1"/>
  <c r="AI147" i="22"/>
  <c r="AH147" i="22" s="1"/>
  <c r="AG147" i="22" s="1"/>
  <c r="AF147" i="22" s="1"/>
  <c r="AD147" i="22" s="1"/>
  <c r="AI265" i="22"/>
  <c r="AH265" i="22" s="1"/>
  <c r="AG265" i="22" s="1"/>
  <c r="AF265" i="22" s="1"/>
  <c r="AD265" i="22" s="1"/>
  <c r="AI260" i="22"/>
  <c r="AH260" i="22" s="1"/>
  <c r="AG260" i="22" s="1"/>
  <c r="AF260" i="22" s="1"/>
  <c r="AD260" i="22" s="1"/>
  <c r="AI187" i="22"/>
  <c r="AH187" i="22" s="1"/>
  <c r="AG187" i="22" s="1"/>
  <c r="AF187" i="22" s="1"/>
  <c r="AD187" i="22" s="1"/>
  <c r="AI111" i="22"/>
  <c r="AH111" i="22" s="1"/>
  <c r="AG111" i="22" s="1"/>
  <c r="AF111" i="22" s="1"/>
  <c r="AD111" i="22" s="1"/>
  <c r="AI367" i="22"/>
  <c r="AH367" i="22" s="1"/>
  <c r="AG367" i="22" s="1"/>
  <c r="AF367" i="22" s="1"/>
  <c r="AD367" i="22" s="1"/>
  <c r="AI74" i="22"/>
  <c r="AH74" i="22" s="1"/>
  <c r="AG74" i="22" s="1"/>
  <c r="AF74" i="22" s="1"/>
  <c r="AD74" i="22" s="1"/>
  <c r="AI115" i="22"/>
  <c r="AH115" i="22" s="1"/>
  <c r="AG115" i="22" s="1"/>
  <c r="AF115" i="22" s="1"/>
  <c r="AD115" i="22" s="1"/>
  <c r="AI171" i="22"/>
  <c r="AH171" i="22" s="1"/>
  <c r="AG171" i="22" s="1"/>
  <c r="AF171" i="22" s="1"/>
  <c r="AD171" i="22" s="1"/>
  <c r="AI207" i="22"/>
  <c r="AH207" i="22" s="1"/>
  <c r="AG207" i="22" s="1"/>
  <c r="AF207" i="22" s="1"/>
  <c r="AD207" i="22" s="1"/>
  <c r="AI378" i="22"/>
  <c r="AH378" i="22" s="1"/>
  <c r="AG378" i="22" s="1"/>
  <c r="AF378" i="22" s="1"/>
  <c r="AD378" i="22" s="1"/>
  <c r="AI38" i="22"/>
  <c r="AH38" i="22" s="1"/>
  <c r="AG38" i="22" s="1"/>
  <c r="AF38" i="22" s="1"/>
  <c r="AD38" i="22" s="1"/>
  <c r="AI182" i="22"/>
  <c r="AH182" i="22" s="1"/>
  <c r="AG182" i="22" s="1"/>
  <c r="AF182" i="22" s="1"/>
  <c r="AD182" i="22" s="1"/>
  <c r="AI362" i="22"/>
  <c r="AH362" i="22" s="1"/>
  <c r="AG362" i="22" s="1"/>
  <c r="AF362" i="22" s="1"/>
  <c r="AD362" i="22" s="1"/>
  <c r="AI60" i="22"/>
  <c r="AH60" i="22" s="1"/>
  <c r="AG60" i="22" s="1"/>
  <c r="AF60" i="22" s="1"/>
  <c r="AD60" i="22" s="1"/>
  <c r="AI246" i="22"/>
  <c r="AH246" i="22" s="1"/>
  <c r="AG246" i="22" s="1"/>
  <c r="AF246" i="22" s="1"/>
  <c r="AD246" i="22" s="1"/>
  <c r="AI374" i="22"/>
  <c r="AH374" i="22" s="1"/>
  <c r="AG374" i="22" s="1"/>
  <c r="AF374" i="22" s="1"/>
  <c r="AD374" i="22" s="1"/>
  <c r="AI200" i="22"/>
  <c r="AH200" i="22" s="1"/>
  <c r="AG200" i="22" s="1"/>
  <c r="AF200" i="22" s="1"/>
  <c r="AD200" i="22" s="1"/>
  <c r="AI127" i="22"/>
  <c r="AH127" i="22" s="1"/>
  <c r="AG127" i="22" s="1"/>
  <c r="AF127" i="22" s="1"/>
  <c r="AD127" i="22" s="1"/>
  <c r="AI339" i="22"/>
  <c r="AH339" i="22" s="1"/>
  <c r="AG339" i="22" s="1"/>
  <c r="AF339" i="22" s="1"/>
  <c r="AD339" i="22" s="1"/>
  <c r="AI166" i="22"/>
  <c r="AH166" i="22" s="1"/>
  <c r="AG166" i="22" s="1"/>
  <c r="AF166" i="22" s="1"/>
  <c r="AD166" i="22" s="1"/>
  <c r="AI238" i="22"/>
  <c r="AH238" i="22" s="1"/>
  <c r="AG238" i="22" s="1"/>
  <c r="AF238" i="22" s="1"/>
  <c r="AD238" i="22" s="1"/>
  <c r="AI288" i="22"/>
  <c r="AH288" i="22" s="1"/>
  <c r="AG288" i="22" s="1"/>
  <c r="AF288" i="22" s="1"/>
  <c r="AD288" i="22" s="1"/>
  <c r="AI20" i="22"/>
  <c r="AH20" i="22" s="1"/>
  <c r="AG20" i="22" s="1"/>
  <c r="AF20" i="22" s="1"/>
  <c r="AD20" i="22" s="1"/>
  <c r="AI48" i="22"/>
  <c r="AH48" i="22" s="1"/>
  <c r="AG48" i="22" s="1"/>
  <c r="AF48" i="22" s="1"/>
  <c r="AD48" i="22" s="1"/>
  <c r="AI45" i="22"/>
  <c r="AH45" i="22" s="1"/>
  <c r="AG45" i="22" s="1"/>
  <c r="AF45" i="22" s="1"/>
  <c r="AD45" i="22" s="1"/>
  <c r="AI292" i="22"/>
  <c r="AH292" i="22" s="1"/>
  <c r="AG292" i="22" s="1"/>
  <c r="AF292" i="22" s="1"/>
  <c r="AD292" i="22" s="1"/>
  <c r="AI145" i="22"/>
  <c r="AH145" i="22" s="1"/>
  <c r="AG145" i="22" s="1"/>
  <c r="AF145" i="22" s="1"/>
  <c r="AD145" i="22" s="1"/>
  <c r="AI219" i="22"/>
  <c r="AH219" i="22" s="1"/>
  <c r="AG219" i="22" s="1"/>
  <c r="AF219" i="22" s="1"/>
  <c r="AD219" i="22" s="1"/>
  <c r="AI179" i="22"/>
  <c r="AH179" i="22" s="1"/>
  <c r="AG179" i="22" s="1"/>
  <c r="AF179" i="22" s="1"/>
  <c r="AD179" i="22" s="1"/>
  <c r="AI356" i="22"/>
  <c r="AH356" i="22" s="1"/>
  <c r="AG356" i="22" s="1"/>
  <c r="AF356" i="22" s="1"/>
  <c r="AD356" i="22" s="1"/>
  <c r="AI63" i="22"/>
  <c r="AH63" i="22" s="1"/>
  <c r="AG63" i="22" s="1"/>
  <c r="AF63" i="22" s="1"/>
  <c r="AD63" i="22" s="1"/>
  <c r="AI113" i="22"/>
  <c r="AH113" i="22" s="1"/>
  <c r="AG113" i="22" s="1"/>
  <c r="AF113" i="22" s="1"/>
  <c r="AD113" i="22" s="1"/>
  <c r="AI335" i="22"/>
  <c r="AH335" i="22" s="1"/>
  <c r="AG335" i="22" s="1"/>
  <c r="AF335" i="22" s="1"/>
  <c r="AD335" i="22" s="1"/>
  <c r="AI87" i="22"/>
  <c r="AH87" i="22" s="1"/>
  <c r="AG87" i="22" s="1"/>
  <c r="AF87" i="22" s="1"/>
  <c r="AD87" i="22" s="1"/>
  <c r="AI151" i="22"/>
  <c r="AH151" i="22" s="1"/>
  <c r="AG151" i="22" s="1"/>
  <c r="AF151" i="22" s="1"/>
  <c r="AD151" i="22" s="1"/>
  <c r="AI57" i="22"/>
  <c r="AH57" i="22" s="1"/>
  <c r="AG57" i="22" s="1"/>
  <c r="AF57" i="22" s="1"/>
  <c r="AD57" i="22" s="1"/>
  <c r="AI51" i="22"/>
  <c r="AH51" i="22" s="1"/>
  <c r="AG51" i="22" s="1"/>
  <c r="AF51" i="22" s="1"/>
  <c r="AD51" i="22" s="1"/>
  <c r="AI202" i="22"/>
  <c r="AH202" i="22" s="1"/>
  <c r="AG202" i="22" s="1"/>
  <c r="AF202" i="22" s="1"/>
  <c r="AD202" i="22" s="1"/>
  <c r="AI274" i="22"/>
  <c r="AH274" i="22" s="1"/>
  <c r="AG274" i="22" s="1"/>
  <c r="AF274" i="22" s="1"/>
  <c r="AD274" i="22" s="1"/>
  <c r="AI380" i="22"/>
  <c r="AH380" i="22" s="1"/>
  <c r="AG380" i="22" s="1"/>
  <c r="AF380" i="22" s="1"/>
  <c r="AD380" i="22" s="1"/>
  <c r="AI278" i="22"/>
  <c r="AH278" i="22" s="1"/>
  <c r="AG278" i="22" s="1"/>
  <c r="AF278" i="22" s="1"/>
  <c r="AD278" i="22" s="1"/>
  <c r="AI140" i="22"/>
  <c r="AH140" i="22" s="1"/>
  <c r="AG140" i="22" s="1"/>
  <c r="AF140" i="22" s="1"/>
  <c r="AD140" i="22" s="1"/>
  <c r="AI279" i="22"/>
  <c r="AH279" i="22" s="1"/>
  <c r="AG279" i="22" s="1"/>
  <c r="AF279" i="22" s="1"/>
  <c r="AD279" i="22" s="1"/>
  <c r="AI234" i="22"/>
  <c r="AH234" i="22" s="1"/>
  <c r="AG234" i="22" s="1"/>
  <c r="AF234" i="22" s="1"/>
  <c r="AD234" i="22" s="1"/>
  <c r="AI268" i="22"/>
  <c r="AH268" i="22" s="1"/>
  <c r="AG268" i="22" s="1"/>
  <c r="AF268" i="22" s="1"/>
  <c r="AD268" i="22" s="1"/>
  <c r="AI73" i="22"/>
  <c r="AH73" i="22" s="1"/>
  <c r="AG73" i="22" s="1"/>
  <c r="AF73" i="22" s="1"/>
  <c r="AD73" i="22" s="1"/>
  <c r="AI174" i="22"/>
  <c r="AH174" i="22" s="1"/>
  <c r="AG174" i="22" s="1"/>
  <c r="AF174" i="22" s="1"/>
  <c r="AD174" i="22" s="1"/>
  <c r="AI91" i="22"/>
  <c r="AH91" i="22" s="1"/>
  <c r="AG91" i="22" s="1"/>
  <c r="AF91" i="22" s="1"/>
  <c r="AD91" i="22" s="1"/>
  <c r="AI351" i="22"/>
  <c r="AH351" i="22" s="1"/>
  <c r="AG351" i="22" s="1"/>
  <c r="AF351" i="22" s="1"/>
  <c r="AD351" i="22" s="1"/>
  <c r="AI198" i="22"/>
  <c r="AH198" i="22" s="1"/>
  <c r="AG198" i="22" s="1"/>
  <c r="AF198" i="22" s="1"/>
  <c r="AD198" i="22" s="1"/>
  <c r="AI302" i="22"/>
  <c r="AH302" i="22" s="1"/>
  <c r="AG302" i="22" s="1"/>
  <c r="AF302" i="22" s="1"/>
  <c r="AD302" i="22" s="1"/>
  <c r="AI303" i="22"/>
  <c r="AH303" i="22" s="1"/>
  <c r="AG303" i="22" s="1"/>
  <c r="AF303" i="22" s="1"/>
  <c r="AD303" i="22" s="1"/>
  <c r="AI118" i="22"/>
  <c r="AH118" i="22" s="1"/>
  <c r="AG118" i="22" s="1"/>
  <c r="AF118" i="22" s="1"/>
  <c r="AD118" i="22" s="1"/>
  <c r="AI360" i="22"/>
  <c r="AH360" i="22" s="1"/>
  <c r="AG360" i="22" s="1"/>
  <c r="AF360" i="22" s="1"/>
  <c r="AD360" i="22" s="1"/>
  <c r="AI369" i="22"/>
  <c r="AH369" i="22" s="1"/>
  <c r="AG369" i="22" s="1"/>
  <c r="AF369" i="22" s="1"/>
  <c r="AD369" i="22" s="1"/>
  <c r="AI259" i="22"/>
  <c r="AH259" i="22" s="1"/>
  <c r="AG259" i="22" s="1"/>
  <c r="AF259" i="22" s="1"/>
  <c r="AD259" i="22" s="1"/>
  <c r="AI266" i="22"/>
  <c r="AH266" i="22" s="1"/>
  <c r="AG266" i="22" s="1"/>
  <c r="AF266" i="22" s="1"/>
  <c r="AD266" i="22" s="1"/>
  <c r="AI223" i="22"/>
  <c r="AH223" i="22" s="1"/>
  <c r="AG223" i="22" s="1"/>
  <c r="AF223" i="22" s="1"/>
  <c r="AD223" i="22" s="1"/>
  <c r="AI177" i="22"/>
  <c r="AH177" i="22" s="1"/>
  <c r="AG177" i="22" s="1"/>
  <c r="AF177" i="22" s="1"/>
  <c r="AD177" i="22" s="1"/>
  <c r="AI94" i="22"/>
  <c r="AH94" i="22" s="1"/>
  <c r="AG94" i="22" s="1"/>
  <c r="AF94" i="22" s="1"/>
  <c r="AD94" i="22" s="1"/>
  <c r="AI114" i="22"/>
  <c r="AH114" i="22" s="1"/>
  <c r="AG114" i="22" s="1"/>
  <c r="AF114" i="22" s="1"/>
  <c r="AD114" i="22" s="1"/>
  <c r="AI195" i="22"/>
  <c r="AH195" i="22" s="1"/>
  <c r="AG195" i="22" s="1"/>
  <c r="AF195" i="22" s="1"/>
  <c r="AD195" i="22" s="1"/>
  <c r="AI283" i="22"/>
  <c r="AH283" i="22" s="1"/>
  <c r="AG283" i="22" s="1"/>
  <c r="AF283" i="22" s="1"/>
  <c r="AD283" i="22" s="1"/>
  <c r="AI218" i="22"/>
  <c r="AH218" i="22" s="1"/>
  <c r="AG218" i="22" s="1"/>
  <c r="AF218" i="22" s="1"/>
  <c r="AD218" i="22" s="1"/>
  <c r="AI144" i="22"/>
  <c r="AH144" i="22" s="1"/>
  <c r="AG144" i="22" s="1"/>
  <c r="AF144" i="22" s="1"/>
  <c r="AD144" i="22" s="1"/>
  <c r="AI31" i="22"/>
  <c r="AH31" i="22" s="1"/>
  <c r="AG31" i="22" s="1"/>
  <c r="AF31" i="22" s="1"/>
  <c r="AD31" i="22" s="1"/>
  <c r="AI142" i="22"/>
  <c r="AH142" i="22" s="1"/>
  <c r="AG142" i="22" s="1"/>
  <c r="AF142" i="22" s="1"/>
  <c r="AD142" i="22" s="1"/>
  <c r="AI216" i="22"/>
  <c r="AH216" i="22" s="1"/>
  <c r="AG216" i="22" s="1"/>
  <c r="AF216" i="22" s="1"/>
  <c r="AD216" i="22" s="1"/>
  <c r="AI185" i="22"/>
  <c r="AH185" i="22" s="1"/>
  <c r="AG185" i="22" s="1"/>
  <c r="AF185" i="22" s="1"/>
  <c r="AD185" i="22" s="1"/>
  <c r="AI244" i="22"/>
  <c r="AH244" i="22" s="1"/>
  <c r="AG244" i="22" s="1"/>
  <c r="AF244" i="22" s="1"/>
  <c r="AD244" i="22" s="1"/>
  <c r="AI54" i="22"/>
  <c r="AH54" i="22" s="1"/>
  <c r="AG54" i="22" s="1"/>
  <c r="AF54" i="22" s="1"/>
  <c r="AD54" i="22" s="1"/>
  <c r="AI119" i="22"/>
  <c r="AH119" i="22" s="1"/>
  <c r="AG119" i="22" s="1"/>
  <c r="AF119" i="22" s="1"/>
  <c r="AD119" i="22" s="1"/>
  <c r="AI363" i="22"/>
  <c r="AH363" i="22" s="1"/>
  <c r="AG363" i="22" s="1"/>
  <c r="AF363" i="22" s="1"/>
  <c r="AD363" i="22" s="1"/>
  <c r="AI183" i="22"/>
  <c r="AH183" i="22" s="1"/>
  <c r="AG183" i="22" s="1"/>
  <c r="AF183" i="22" s="1"/>
  <c r="AD183" i="22" s="1"/>
  <c r="AI270" i="22"/>
  <c r="AH270" i="22" s="1"/>
  <c r="AG270" i="22" s="1"/>
  <c r="AF270" i="22" s="1"/>
  <c r="AD270" i="22" s="1"/>
  <c r="AI194" i="22"/>
  <c r="AH194" i="22" s="1"/>
  <c r="AG194" i="22" s="1"/>
  <c r="AF194" i="22" s="1"/>
  <c r="AD194" i="22" s="1"/>
  <c r="AI355" i="22"/>
  <c r="AH355" i="22" s="1"/>
  <c r="AG355" i="22" s="1"/>
  <c r="AF355" i="22" s="1"/>
  <c r="AD355" i="22" s="1"/>
  <c r="AI102" i="22"/>
  <c r="AH102" i="22" s="1"/>
  <c r="AG102" i="22" s="1"/>
  <c r="AF102" i="22" s="1"/>
  <c r="AD102" i="22" s="1"/>
  <c r="AI178" i="22"/>
  <c r="AH178" i="22" s="1"/>
  <c r="AG178" i="22" s="1"/>
  <c r="AF178" i="22" s="1"/>
  <c r="AD178" i="22" s="1"/>
  <c r="AI159" i="22"/>
  <c r="AH159" i="22" s="1"/>
  <c r="AG159" i="22" s="1"/>
  <c r="AF159" i="22" s="1"/>
  <c r="AD159" i="22" s="1"/>
  <c r="AI62" i="22"/>
  <c r="AH62" i="22" s="1"/>
  <c r="AG62" i="22" s="1"/>
  <c r="AF62" i="22" s="1"/>
  <c r="AD62" i="22" s="1"/>
  <c r="AI134" i="22"/>
  <c r="AH134" i="22" s="1"/>
  <c r="AG134" i="22" s="1"/>
  <c r="AF134" i="22" s="1"/>
  <c r="AD134" i="22" s="1"/>
  <c r="AI306" i="22"/>
  <c r="AH306" i="22" s="1"/>
  <c r="AG306" i="22" s="1"/>
  <c r="AF306" i="22" s="1"/>
  <c r="AD306" i="22" s="1"/>
  <c r="AI228" i="22"/>
  <c r="AH228" i="22" s="1"/>
  <c r="AG228" i="22" s="1"/>
  <c r="AF228" i="22" s="1"/>
  <c r="AD228" i="22" s="1"/>
  <c r="AI354" i="22"/>
  <c r="AH354" i="22" s="1"/>
  <c r="AG354" i="22" s="1"/>
  <c r="AF354" i="22" s="1"/>
  <c r="AD354" i="22" s="1"/>
  <c r="AI138" i="22"/>
  <c r="AH138" i="22" s="1"/>
  <c r="AG138" i="22" s="1"/>
  <c r="AF138" i="22" s="1"/>
  <c r="AD138" i="22" s="1"/>
  <c r="AI148" i="22"/>
  <c r="AH148" i="22" s="1"/>
  <c r="AG148" i="22" s="1"/>
  <c r="AF148" i="22" s="1"/>
  <c r="AD148" i="22" s="1"/>
  <c r="AI30" i="22"/>
  <c r="AH30" i="22" s="1"/>
  <c r="AG30" i="22" s="1"/>
  <c r="AF30" i="22" s="1"/>
  <c r="AD30" i="22" s="1"/>
  <c r="AI350" i="22"/>
  <c r="AH350" i="22" s="1"/>
  <c r="AG350" i="22" s="1"/>
  <c r="AF350" i="22" s="1"/>
  <c r="AD350" i="22" s="1"/>
  <c r="AI224" i="22"/>
  <c r="AH224" i="22" s="1"/>
  <c r="AG224" i="22" s="1"/>
  <c r="AF224" i="22" s="1"/>
  <c r="AD224" i="22" s="1"/>
  <c r="AI310" i="22"/>
  <c r="AH310" i="22" s="1"/>
  <c r="AG310" i="22" s="1"/>
  <c r="AF310" i="22" s="1"/>
  <c r="AD310" i="22" s="1"/>
  <c r="AI130" i="22"/>
  <c r="AH130" i="22" s="1"/>
  <c r="AG130" i="22" s="1"/>
  <c r="AF130" i="22" s="1"/>
  <c r="AD130" i="22" s="1"/>
  <c r="AI66" i="22"/>
  <c r="AH66" i="22" s="1"/>
  <c r="AG66" i="22" s="1"/>
  <c r="AF66" i="22" s="1"/>
  <c r="AD66" i="22" s="1"/>
  <c r="AI163" i="22"/>
  <c r="AH163" i="22" s="1"/>
  <c r="AG163" i="22" s="1"/>
  <c r="AF163" i="22" s="1"/>
  <c r="AD163" i="22" s="1"/>
  <c r="AI215" i="22"/>
  <c r="AH215" i="22" s="1"/>
  <c r="AG215" i="22" s="1"/>
  <c r="AF215" i="22" s="1"/>
  <c r="AD215" i="22" s="1"/>
  <c r="AI141" i="22"/>
  <c r="AH141" i="22" s="1"/>
  <c r="AG141" i="22" s="1"/>
  <c r="AF141" i="22" s="1"/>
  <c r="AD141" i="22" s="1"/>
  <c r="AI296" i="22"/>
  <c r="AH296" i="22" s="1"/>
  <c r="AG296" i="22" s="1"/>
  <c r="AF296" i="22" s="1"/>
  <c r="AD296" i="22" s="1"/>
  <c r="AI52" i="22"/>
  <c r="AH52" i="22" s="1"/>
  <c r="AG52" i="22" s="1"/>
  <c r="AF52" i="22" s="1"/>
  <c r="AD52" i="22" s="1"/>
  <c r="AI58" i="22"/>
  <c r="AH58" i="22" s="1"/>
  <c r="AG58" i="22" s="1"/>
  <c r="AF58" i="22" s="1"/>
  <c r="AD58" i="22" s="1"/>
  <c r="AI69" i="22"/>
  <c r="AH69" i="22" s="1"/>
  <c r="AG69" i="22" s="1"/>
  <c r="AF69" i="22" s="1"/>
  <c r="AD69" i="22" s="1"/>
  <c r="AI264" i="22"/>
  <c r="AH264" i="22" s="1"/>
  <c r="AG264" i="22" s="1"/>
  <c r="AF264" i="22" s="1"/>
  <c r="AD264" i="22" s="1"/>
  <c r="AI173" i="22"/>
  <c r="AH173" i="22" s="1"/>
  <c r="AG173" i="22" s="1"/>
  <c r="AF173" i="22" s="1"/>
  <c r="AD173" i="22" s="1"/>
  <c r="AI50" i="22"/>
  <c r="AH50" i="22" s="1"/>
  <c r="AG50" i="22" s="1"/>
  <c r="AF50" i="22" s="1"/>
  <c r="AD50" i="22" s="1"/>
  <c r="AI240" i="22"/>
  <c r="AH240" i="22" s="1"/>
  <c r="AG240" i="22" s="1"/>
  <c r="AF240" i="22" s="1"/>
  <c r="AD240" i="22" s="1"/>
  <c r="AI189" i="22"/>
  <c r="AH189" i="22" s="1"/>
  <c r="AG189" i="22" s="1"/>
  <c r="AF189" i="22" s="1"/>
  <c r="AD189" i="22" s="1"/>
  <c r="AI108" i="22"/>
  <c r="AH108" i="22" s="1"/>
  <c r="AG108" i="22" s="1"/>
  <c r="AF108" i="22" s="1"/>
  <c r="AD108" i="22" s="1"/>
  <c r="AI316" i="22"/>
  <c r="AH316" i="22" s="1"/>
  <c r="AG316" i="22" s="1"/>
  <c r="AF316" i="22" s="1"/>
  <c r="AD316" i="22" s="1"/>
  <c r="AI328" i="22"/>
  <c r="AH328" i="22" s="1"/>
  <c r="AG328" i="22" s="1"/>
  <c r="AF328" i="22" s="1"/>
  <c r="AD328" i="22" s="1"/>
  <c r="AI175" i="22"/>
  <c r="AH175" i="22" s="1"/>
  <c r="AG175" i="22" s="1"/>
  <c r="AF175" i="22" s="1"/>
  <c r="AD175" i="22" s="1"/>
  <c r="AI165" i="22"/>
  <c r="AH165" i="22" s="1"/>
  <c r="AG165" i="22" s="1"/>
  <c r="AF165" i="22" s="1"/>
  <c r="AD165" i="22" s="1"/>
  <c r="AI358" i="22"/>
  <c r="AH358" i="22" s="1"/>
  <c r="AG358" i="22" s="1"/>
  <c r="AF358" i="22" s="1"/>
  <c r="AD358" i="22" s="1"/>
  <c r="AI93" i="22"/>
  <c r="AH93" i="22" s="1"/>
  <c r="AG93" i="22" s="1"/>
  <c r="AF93" i="22" s="1"/>
  <c r="AD93" i="22" s="1"/>
  <c r="AI308" i="22"/>
  <c r="AH308" i="22" s="1"/>
  <c r="AG308" i="22" s="1"/>
  <c r="AF308" i="22" s="1"/>
  <c r="AD308" i="22" s="1"/>
  <c r="AI222" i="22"/>
  <c r="AH222" i="22" s="1"/>
  <c r="AG222" i="22" s="1"/>
  <c r="AF222" i="22" s="1"/>
  <c r="AD222" i="22" s="1"/>
  <c r="AI167" i="22"/>
  <c r="AH167" i="22" s="1"/>
  <c r="AG167" i="22" s="1"/>
  <c r="AF167" i="22" s="1"/>
  <c r="AD167" i="22" s="1"/>
  <c r="AI101" i="22"/>
  <c r="AH101" i="22" s="1"/>
  <c r="AG101" i="22" s="1"/>
  <c r="AF101" i="22" s="1"/>
  <c r="AD101" i="22" s="1"/>
  <c r="AI70" i="22"/>
  <c r="AH70" i="22" s="1"/>
  <c r="AG70" i="22" s="1"/>
  <c r="AF70" i="22" s="1"/>
  <c r="AD70" i="22" s="1"/>
  <c r="AI371" i="22"/>
  <c r="AH371" i="22" s="1"/>
  <c r="AG371" i="22" s="1"/>
  <c r="AF371" i="22" s="1"/>
  <c r="AD371" i="22" s="1"/>
  <c r="AI126" i="22"/>
  <c r="AH126" i="22" s="1"/>
  <c r="AG126" i="22" s="1"/>
  <c r="AF126" i="22" s="1"/>
  <c r="AD126" i="22" s="1"/>
  <c r="AI191" i="22"/>
  <c r="AH191" i="22" s="1"/>
  <c r="AG191" i="22" s="1"/>
  <c r="AF191" i="22" s="1"/>
  <c r="AD191" i="22" s="1"/>
  <c r="AI241" i="22"/>
  <c r="AH241" i="22" s="1"/>
  <c r="AG241" i="22" s="1"/>
  <c r="AF241" i="22" s="1"/>
  <c r="AD241" i="22" s="1"/>
  <c r="AI188" i="22"/>
  <c r="AH188" i="22" s="1"/>
  <c r="AG188" i="22" s="1"/>
  <c r="AF188" i="22" s="1"/>
  <c r="AD188" i="22" s="1"/>
  <c r="AI338" i="22"/>
  <c r="AH338" i="22" s="1"/>
  <c r="AG338" i="22" s="1"/>
  <c r="AF338" i="22" s="1"/>
  <c r="AD338" i="22" s="1"/>
  <c r="AI210" i="22"/>
  <c r="AH210" i="22" s="1"/>
  <c r="AG210" i="22" s="1"/>
  <c r="AF210" i="22" s="1"/>
  <c r="AD210" i="22" s="1"/>
  <c r="AI213" i="22"/>
  <c r="AH213" i="22" s="1"/>
  <c r="AG213" i="22" s="1"/>
  <c r="AF213" i="22" s="1"/>
  <c r="AD213" i="22" s="1"/>
  <c r="AI35" i="22"/>
  <c r="AH35" i="22" s="1"/>
  <c r="AG35" i="22" s="1"/>
  <c r="AF35" i="22" s="1"/>
  <c r="AD35" i="22" s="1"/>
  <c r="AI267" i="22"/>
  <c r="AH267" i="22" s="1"/>
  <c r="AG267" i="22" s="1"/>
  <c r="AF267" i="22" s="1"/>
  <c r="AD267" i="22" s="1"/>
  <c r="AI170" i="22"/>
  <c r="AH170" i="22" s="1"/>
  <c r="AG170" i="22" s="1"/>
  <c r="AF170" i="22" s="1"/>
  <c r="AD170" i="22" s="1"/>
  <c r="AI100" i="22"/>
  <c r="AH100" i="22" s="1"/>
  <c r="AG100" i="22" s="1"/>
  <c r="AF100" i="22" s="1"/>
  <c r="AD100" i="22" s="1"/>
  <c r="AI105" i="22"/>
  <c r="AH105" i="22" s="1"/>
  <c r="AG105" i="22" s="1"/>
  <c r="AF105" i="22" s="1"/>
  <c r="AD105" i="22" s="1"/>
  <c r="AI181" i="22"/>
  <c r="AH181" i="22" s="1"/>
  <c r="AG181" i="22" s="1"/>
  <c r="AF181" i="22" s="1"/>
  <c r="AD181" i="22" s="1"/>
  <c r="AI227" i="22"/>
  <c r="AH227" i="22" s="1"/>
  <c r="AG227" i="22" s="1"/>
  <c r="AF227" i="22" s="1"/>
  <c r="AD227" i="22" s="1"/>
  <c r="AI116" i="22"/>
  <c r="AH116" i="22" s="1"/>
  <c r="AG116" i="22" s="1"/>
  <c r="AF116" i="22" s="1"/>
  <c r="AD116" i="22" s="1"/>
  <c r="AI343" i="22"/>
  <c r="AH343" i="22" s="1"/>
  <c r="AG343" i="22" s="1"/>
  <c r="AF343" i="22" s="1"/>
  <c r="AD343" i="22" s="1"/>
  <c r="AI84" i="22"/>
  <c r="AH84" i="22" s="1"/>
  <c r="AG84" i="22" s="1"/>
  <c r="AF84" i="22" s="1"/>
  <c r="AD84" i="22" s="1"/>
  <c r="AI79" i="22"/>
  <c r="AH79" i="22" s="1"/>
  <c r="AG79" i="22" s="1"/>
  <c r="AF79" i="22" s="1"/>
  <c r="AD79" i="22" s="1"/>
  <c r="AI300" i="22"/>
  <c r="AH300" i="22" s="1"/>
  <c r="AG300" i="22" s="1"/>
  <c r="AF300" i="22" s="1"/>
  <c r="AD300" i="22" s="1"/>
  <c r="AI211" i="22"/>
  <c r="AH211" i="22" s="1"/>
  <c r="AG211" i="22" s="1"/>
  <c r="AF211" i="22" s="1"/>
  <c r="AD211" i="22" s="1"/>
  <c r="AI258" i="22"/>
  <c r="AH258" i="22" s="1"/>
  <c r="AG258" i="22" s="1"/>
  <c r="AF258" i="22" s="1"/>
  <c r="AD258" i="22" s="1"/>
  <c r="AI193" i="22"/>
  <c r="AH193" i="22" s="1"/>
  <c r="AG193" i="22" s="1"/>
  <c r="AF193" i="22" s="1"/>
  <c r="AD193" i="22" s="1"/>
  <c r="AI128" i="22"/>
  <c r="AH128" i="22" s="1"/>
  <c r="AG128" i="22" s="1"/>
  <c r="AF128" i="22" s="1"/>
  <c r="AD128" i="22" s="1"/>
  <c r="AI77" i="22"/>
  <c r="AH77" i="22" s="1"/>
  <c r="AG77" i="22" s="1"/>
  <c r="AF77" i="22" s="1"/>
  <c r="AD77" i="22" s="1"/>
  <c r="AI158" i="22"/>
  <c r="AH158" i="22" s="1"/>
  <c r="AG158" i="22" s="1"/>
  <c r="AF158" i="22" s="1"/>
  <c r="AD158" i="22" s="1"/>
  <c r="AI247" i="22"/>
  <c r="AH247" i="22" s="1"/>
  <c r="AG247" i="22" s="1"/>
  <c r="AF247" i="22" s="1"/>
  <c r="AD247" i="22" s="1"/>
  <c r="AI37" i="22"/>
  <c r="AH37" i="22" s="1"/>
  <c r="AG37" i="22" s="1"/>
  <c r="AF37" i="22" s="1"/>
  <c r="AD37" i="22" s="1"/>
  <c r="AI153" i="22"/>
  <c r="AH153" i="22" s="1"/>
  <c r="AG153" i="22" s="1"/>
  <c r="AF153" i="22" s="1"/>
  <c r="AD153" i="22" s="1"/>
  <c r="AI251" i="22"/>
  <c r="AH251" i="22" s="1"/>
  <c r="AG251" i="22" s="1"/>
  <c r="AF251" i="22" s="1"/>
  <c r="AD251" i="22" s="1"/>
  <c r="AI81" i="22"/>
  <c r="AH81" i="22" s="1"/>
  <c r="AG81" i="22" s="1"/>
  <c r="AF81" i="22" s="1"/>
  <c r="AD81" i="22" s="1"/>
  <c r="AI376" i="22"/>
  <c r="AH376" i="22" s="1"/>
  <c r="AG376" i="22" s="1"/>
  <c r="AF376" i="22" s="1"/>
  <c r="AD376" i="22" s="1"/>
  <c r="AI342" i="22"/>
  <c r="AH342" i="22" s="1"/>
  <c r="AG342" i="22" s="1"/>
  <c r="AF342" i="22" s="1"/>
  <c r="AD342" i="22" s="1"/>
  <c r="AI261" i="22"/>
  <c r="AH261" i="22" s="1"/>
  <c r="AG261" i="22" s="1"/>
  <c r="AF261" i="22" s="1"/>
  <c r="AD261" i="22" s="1"/>
  <c r="AI192" i="22"/>
  <c r="AH192" i="22" s="1"/>
  <c r="AG192" i="22" s="1"/>
  <c r="AF192" i="22" s="1"/>
  <c r="AD192" i="22" s="1"/>
  <c r="AI55" i="22"/>
  <c r="AH55" i="22" s="1"/>
  <c r="AG55" i="22" s="1"/>
  <c r="AF55" i="22" s="1"/>
  <c r="AD55" i="22" s="1"/>
  <c r="AI78" i="22"/>
  <c r="AH78" i="22" s="1"/>
  <c r="AG78" i="22" s="1"/>
  <c r="AF78" i="22" s="1"/>
  <c r="AD78" i="22" s="1"/>
  <c r="AI61" i="22"/>
  <c r="AH61" i="22" s="1"/>
  <c r="AG61" i="22" s="1"/>
  <c r="AF61" i="22" s="1"/>
  <c r="AD61" i="22" s="1"/>
  <c r="AI324" i="22"/>
  <c r="AH324" i="22" s="1"/>
  <c r="AG324" i="22" s="1"/>
  <c r="AF324" i="22" s="1"/>
  <c r="AD324" i="22" s="1"/>
  <c r="AI248" i="22"/>
  <c r="AH248" i="22" s="1"/>
  <c r="AG248" i="22" s="1"/>
  <c r="AF248" i="22" s="1"/>
  <c r="AD248" i="22" s="1"/>
  <c r="AI320" i="22"/>
  <c r="AH320" i="22" s="1"/>
  <c r="AG320" i="22" s="1"/>
  <c r="AF320" i="22" s="1"/>
  <c r="AD320" i="22" s="1"/>
  <c r="AI368" i="22"/>
  <c r="AH368" i="22" s="1"/>
  <c r="AG368" i="22" s="1"/>
  <c r="AF368" i="22" s="1"/>
  <c r="AD368" i="22" s="1"/>
  <c r="AI123" i="22"/>
  <c r="AH123" i="22" s="1"/>
  <c r="AG123" i="22" s="1"/>
  <c r="AF123" i="22" s="1"/>
  <c r="AD123" i="22" s="1"/>
  <c r="AI53" i="22"/>
  <c r="AH53" i="22" s="1"/>
  <c r="AG53" i="22" s="1"/>
  <c r="AF53" i="22" s="1"/>
  <c r="AD53" i="22" s="1"/>
  <c r="AI366" i="22"/>
  <c r="AH366" i="22" s="1"/>
  <c r="AG366" i="22" s="1"/>
  <c r="AF366" i="22" s="1"/>
  <c r="AD366" i="22" s="1"/>
  <c r="AI186" i="22"/>
  <c r="AH186" i="22" s="1"/>
  <c r="AG186" i="22" s="1"/>
  <c r="AF186" i="22" s="1"/>
  <c r="AD186" i="22" s="1"/>
  <c r="AI34" i="22"/>
  <c r="AH34" i="22" s="1"/>
  <c r="AG34" i="22" s="1"/>
  <c r="AF34" i="22" s="1"/>
  <c r="AD34" i="22" s="1"/>
  <c r="AI156" i="22"/>
  <c r="AH156" i="22" s="1"/>
  <c r="AG156" i="22" s="1"/>
  <c r="AF156" i="22" s="1"/>
  <c r="AD156" i="22" s="1"/>
  <c r="AI295" i="22"/>
  <c r="AH295" i="22" s="1"/>
  <c r="AG295" i="22" s="1"/>
  <c r="AF295" i="22" s="1"/>
  <c r="AD295" i="22" s="1"/>
  <c r="AI361" i="22"/>
  <c r="AH361" i="22" s="1"/>
  <c r="AG361" i="22" s="1"/>
  <c r="AF361" i="22" s="1"/>
  <c r="AD361" i="22" s="1"/>
  <c r="AI317" i="22"/>
  <c r="AH317" i="22" s="1"/>
  <c r="AG317" i="22" s="1"/>
  <c r="AF317" i="22" s="1"/>
  <c r="AD317" i="22" s="1"/>
  <c r="AI232" i="22"/>
  <c r="AH232" i="22" s="1"/>
  <c r="AG232" i="22" s="1"/>
  <c r="AF232" i="22" s="1"/>
  <c r="AD232" i="22" s="1"/>
  <c r="AI331" i="22"/>
  <c r="AH331" i="22" s="1"/>
  <c r="AG331" i="22" s="1"/>
  <c r="AF331" i="22" s="1"/>
  <c r="AD331" i="22" s="1"/>
  <c r="AI68" i="22"/>
  <c r="AH68" i="22" s="1"/>
  <c r="AG68" i="22" s="1"/>
  <c r="AF68" i="22" s="1"/>
  <c r="AD68" i="22" s="1"/>
  <c r="AI99" i="22"/>
  <c r="AH99" i="22" s="1"/>
  <c r="AG99" i="22" s="1"/>
  <c r="AF99" i="22" s="1"/>
  <c r="AD99" i="22" s="1"/>
  <c r="AI256" i="22"/>
  <c r="AH256" i="22" s="1"/>
  <c r="AG256" i="22" s="1"/>
  <c r="AF256" i="22" s="1"/>
  <c r="AD256" i="22" s="1"/>
  <c r="AI269" i="22"/>
  <c r="AH269" i="22" s="1"/>
  <c r="AG269" i="22" s="1"/>
  <c r="AF269" i="22" s="1"/>
  <c r="AD269" i="22" s="1"/>
  <c r="AI143" i="22"/>
  <c r="AH143" i="22" s="1"/>
  <c r="AG143" i="22" s="1"/>
  <c r="AF143" i="22" s="1"/>
  <c r="AD143" i="22" s="1"/>
  <c r="AI40" i="22"/>
  <c r="AH40" i="22" s="1"/>
  <c r="AG40" i="22" s="1"/>
  <c r="AF40" i="22" s="1"/>
  <c r="AD40" i="22" s="1"/>
  <c r="AI150" i="22"/>
  <c r="AH150" i="22" s="1"/>
  <c r="AG150" i="22" s="1"/>
  <c r="AF150" i="22" s="1"/>
  <c r="AD150" i="22" s="1"/>
  <c r="AI337" i="22"/>
  <c r="AH337" i="22" s="1"/>
  <c r="AG337" i="22" s="1"/>
  <c r="AF337" i="22" s="1"/>
  <c r="AD337" i="22" s="1"/>
  <c r="AI197" i="22"/>
  <c r="AH197" i="22" s="1"/>
  <c r="AG197" i="22" s="1"/>
  <c r="AF197" i="22" s="1"/>
  <c r="AD197" i="22" s="1"/>
  <c r="AI92" i="22"/>
  <c r="AH92" i="22" s="1"/>
  <c r="AG92" i="22" s="1"/>
  <c r="AF92" i="22" s="1"/>
  <c r="AD92" i="22" s="1"/>
  <c r="AI220" i="22"/>
  <c r="AH220" i="22" s="1"/>
  <c r="AG220" i="22" s="1"/>
  <c r="AF220" i="22" s="1"/>
  <c r="AD220" i="22" s="1"/>
  <c r="AI21" i="22"/>
  <c r="AH21" i="22" s="1"/>
  <c r="AG21" i="22" s="1"/>
  <c r="AF21" i="22" s="1"/>
  <c r="AD21" i="22" s="1"/>
  <c r="AI47" i="22"/>
  <c r="AH47" i="22" s="1"/>
  <c r="AG47" i="22" s="1"/>
  <c r="AF47" i="22" s="1"/>
  <c r="AD47" i="22" s="1"/>
  <c r="AI329" i="22"/>
  <c r="AH329" i="22" s="1"/>
  <c r="AG329" i="22" s="1"/>
  <c r="AF329" i="22" s="1"/>
  <c r="AD329" i="22" s="1"/>
  <c r="AI168" i="22"/>
  <c r="AH168" i="22" s="1"/>
  <c r="AG168" i="22" s="1"/>
  <c r="AF168" i="22" s="1"/>
  <c r="AD168" i="22" s="1"/>
  <c r="AI341" i="22"/>
  <c r="AH341" i="22" s="1"/>
  <c r="AG341" i="22" s="1"/>
  <c r="AF341" i="22" s="1"/>
  <c r="AD341" i="22" s="1"/>
  <c r="AI299" i="22"/>
  <c r="AH299" i="22" s="1"/>
  <c r="AG299" i="22" s="1"/>
  <c r="AF299" i="22" s="1"/>
  <c r="AD299" i="22" s="1"/>
  <c r="AI249" i="22"/>
  <c r="AH249" i="22" s="1"/>
  <c r="AG249" i="22" s="1"/>
  <c r="AF249" i="22" s="1"/>
  <c r="AD249" i="22" s="1"/>
  <c r="AI160" i="22"/>
  <c r="AH160" i="22" s="1"/>
  <c r="AG160" i="22" s="1"/>
  <c r="AF160" i="22" s="1"/>
  <c r="AD160" i="22" s="1"/>
  <c r="AI277" i="22"/>
  <c r="AH277" i="22" s="1"/>
  <c r="AG277" i="22" s="1"/>
  <c r="AF277" i="22" s="1"/>
  <c r="AD277" i="22" s="1"/>
  <c r="AI27" i="22"/>
  <c r="AH27" i="22" s="1"/>
  <c r="AG27" i="22" s="1"/>
  <c r="AF27" i="22" s="1"/>
  <c r="AD27" i="22" s="1"/>
  <c r="AI26" i="22"/>
  <c r="AH26" i="22" s="1"/>
  <c r="AG26" i="22" s="1"/>
  <c r="AF26" i="22" s="1"/>
  <c r="AD26" i="22" s="1"/>
  <c r="AI133" i="22"/>
  <c r="AH133" i="22" s="1"/>
  <c r="AG133" i="22" s="1"/>
  <c r="AF133" i="22" s="1"/>
  <c r="AD133" i="22" s="1"/>
  <c r="AI285" i="22"/>
  <c r="AH285" i="22" s="1"/>
  <c r="AG285" i="22" s="1"/>
  <c r="AF285" i="22" s="1"/>
  <c r="AD285" i="22" s="1"/>
  <c r="AI16" i="22"/>
  <c r="AH16" i="22" s="1"/>
  <c r="AG16" i="22" s="1"/>
  <c r="AF16" i="22" s="1"/>
  <c r="AD16" i="22" s="1"/>
  <c r="AI106" i="22"/>
  <c r="AH106" i="22" s="1"/>
  <c r="AG106" i="22" s="1"/>
  <c r="AF106" i="22" s="1"/>
  <c r="AD106" i="22" s="1"/>
  <c r="AI323" i="22"/>
  <c r="AH323" i="22" s="1"/>
  <c r="AG323" i="22" s="1"/>
  <c r="AF323" i="22" s="1"/>
  <c r="AD323" i="22" s="1"/>
  <c r="AI80" i="22"/>
  <c r="AH80" i="22" s="1"/>
  <c r="AG80" i="22" s="1"/>
  <c r="AF80" i="22" s="1"/>
  <c r="AD80" i="22" s="1"/>
  <c r="AI157" i="22"/>
  <c r="AH157" i="22" s="1"/>
  <c r="AG157" i="22" s="1"/>
  <c r="AF157" i="22" s="1"/>
  <c r="AD157" i="22" s="1"/>
  <c r="AI129" i="22"/>
  <c r="AH129" i="22" s="1"/>
  <c r="AG129" i="22" s="1"/>
  <c r="AF129" i="22" s="1"/>
  <c r="AD129" i="22" s="1"/>
  <c r="AI65" i="22"/>
  <c r="AH65" i="22" s="1"/>
  <c r="AG65" i="22" s="1"/>
  <c r="AF65" i="22" s="1"/>
  <c r="AD65" i="22" s="1"/>
  <c r="AI372" i="22"/>
  <c r="AH372" i="22" s="1"/>
  <c r="AG372" i="22" s="1"/>
  <c r="AF372" i="22" s="1"/>
  <c r="AD372" i="22" s="1"/>
  <c r="AI96" i="22"/>
  <c r="AH96" i="22" s="1"/>
  <c r="AG96" i="22" s="1"/>
  <c r="AF96" i="22" s="1"/>
  <c r="AD96" i="22" s="1"/>
  <c r="AI255" i="22"/>
  <c r="AH255" i="22" s="1"/>
  <c r="AG255" i="22" s="1"/>
  <c r="AF255" i="22" s="1"/>
  <c r="AD255" i="22" s="1"/>
  <c r="AI149" i="22"/>
  <c r="AH149" i="22" s="1"/>
  <c r="AG149" i="22" s="1"/>
  <c r="AF149" i="22" s="1"/>
  <c r="AD149" i="22" s="1"/>
  <c r="AI41" i="22"/>
  <c r="AH41" i="22" s="1"/>
  <c r="AG41" i="22" s="1"/>
  <c r="AF41" i="22" s="1"/>
  <c r="AD41" i="22" s="1"/>
  <c r="AI311" i="22"/>
  <c r="AH311" i="22" s="1"/>
  <c r="AG311" i="22" s="1"/>
  <c r="AF311" i="22" s="1"/>
  <c r="AD311" i="22" s="1"/>
  <c r="AI226" i="22"/>
  <c r="AH226" i="22" s="1"/>
  <c r="AG226" i="22" s="1"/>
  <c r="AF226" i="22" s="1"/>
  <c r="AD226" i="22" s="1"/>
  <c r="AI176" i="22"/>
  <c r="AH176" i="22" s="1"/>
  <c r="AG176" i="22" s="1"/>
  <c r="AF176" i="22" s="1"/>
  <c r="AD176" i="22" s="1"/>
  <c r="AI304" i="22"/>
  <c r="AH304" i="22" s="1"/>
  <c r="AG304" i="22" s="1"/>
  <c r="AF304" i="22" s="1"/>
  <c r="AD304" i="22" s="1"/>
  <c r="AI349" i="22"/>
  <c r="AH349" i="22" s="1"/>
  <c r="AG349" i="22" s="1"/>
  <c r="AF349" i="22" s="1"/>
  <c r="AD349" i="22" s="1"/>
  <c r="AI89" i="22"/>
  <c r="AH89" i="22" s="1"/>
  <c r="AG89" i="22" s="1"/>
  <c r="AF89" i="22" s="1"/>
  <c r="AD89" i="22" s="1"/>
  <c r="AI103" i="22"/>
  <c r="AH103" i="22" s="1"/>
  <c r="AG103" i="22" s="1"/>
  <c r="AF103" i="22" s="1"/>
  <c r="AD103" i="22" s="1"/>
  <c r="AI326" i="22"/>
  <c r="AH326" i="22" s="1"/>
  <c r="AG326" i="22" s="1"/>
  <c r="AF326" i="22" s="1"/>
  <c r="AD326" i="22" s="1"/>
  <c r="AI83" i="22"/>
  <c r="AH83" i="22" s="1"/>
  <c r="AG83" i="22" s="1"/>
  <c r="AF83" i="22" s="1"/>
  <c r="AD83" i="22" s="1"/>
  <c r="AI72" i="22"/>
  <c r="AH72" i="22" s="1"/>
  <c r="AG72" i="22" s="1"/>
  <c r="AF72" i="22" s="1"/>
  <c r="AD72" i="22" s="1"/>
  <c r="AI347" i="22"/>
  <c r="AH347" i="22" s="1"/>
  <c r="AG347" i="22" s="1"/>
  <c r="AF347" i="22" s="1"/>
  <c r="AD347" i="22" s="1"/>
  <c r="AI120" i="22"/>
  <c r="AH120" i="22" s="1"/>
  <c r="AG120" i="22" s="1"/>
  <c r="AF120" i="22" s="1"/>
  <c r="AD120" i="22" s="1"/>
  <c r="AI314" i="22"/>
  <c r="AH314" i="22" s="1"/>
  <c r="AG314" i="22" s="1"/>
  <c r="AF314" i="22" s="1"/>
  <c r="AD314" i="22" s="1"/>
  <c r="AI229" i="22"/>
  <c r="AH229" i="22" s="1"/>
  <c r="AG229" i="22" s="1"/>
  <c r="AF229" i="22" s="1"/>
  <c r="AD229" i="22" s="1"/>
  <c r="AI334" i="22"/>
  <c r="AH334" i="22" s="1"/>
  <c r="AG334" i="22" s="1"/>
  <c r="AF334" i="22" s="1"/>
  <c r="AD334" i="22" s="1"/>
  <c r="AI71" i="22"/>
  <c r="AH71" i="22" s="1"/>
  <c r="AG71" i="22" s="1"/>
  <c r="AF71" i="22" s="1"/>
  <c r="AD71" i="22" s="1"/>
  <c r="AI112" i="22"/>
  <c r="AH112" i="22" s="1"/>
  <c r="AG112" i="22" s="1"/>
  <c r="AF112" i="22" s="1"/>
  <c r="AD112" i="22" s="1"/>
  <c r="AI23" i="22"/>
  <c r="AH23" i="22" s="1"/>
  <c r="AG23" i="22" s="1"/>
  <c r="AF23" i="22" s="1"/>
  <c r="AD23" i="22" s="1"/>
  <c r="AI209" i="22"/>
  <c r="AH209" i="22" s="1"/>
  <c r="AG209" i="22" s="1"/>
  <c r="AF209" i="22" s="1"/>
  <c r="AD209" i="22" s="1"/>
  <c r="AI214" i="22"/>
  <c r="AH214" i="22" s="1"/>
  <c r="AG214" i="22" s="1"/>
  <c r="AF214" i="22" s="1"/>
  <c r="AD214" i="22" s="1"/>
  <c r="AI319" i="22"/>
  <c r="AH319" i="22" s="1"/>
  <c r="AG319" i="22" s="1"/>
  <c r="AF319" i="22" s="1"/>
  <c r="AD319" i="22" s="1"/>
  <c r="AI184" i="22"/>
  <c r="AH184" i="22" s="1"/>
  <c r="AG184" i="22" s="1"/>
  <c r="AF184" i="22" s="1"/>
  <c r="AD184" i="22" s="1"/>
  <c r="AI336" i="22"/>
  <c r="AH336" i="22" s="1"/>
  <c r="AG336" i="22" s="1"/>
  <c r="AF336" i="22" s="1"/>
  <c r="AD336" i="22" s="1"/>
  <c r="AI39" i="22"/>
  <c r="AH39" i="22" s="1"/>
  <c r="AG39" i="22" s="1"/>
  <c r="AF39" i="22" s="1"/>
  <c r="AD39" i="22" s="1"/>
  <c r="AI286" i="22"/>
  <c r="AH286" i="22" s="1"/>
  <c r="AG286" i="22" s="1"/>
  <c r="AF286" i="22" s="1"/>
  <c r="AD286" i="22" s="1"/>
  <c r="AI217" i="22"/>
  <c r="AH217" i="22" s="1"/>
  <c r="AG217" i="22" s="1"/>
  <c r="AF217" i="22" s="1"/>
  <c r="AD217" i="22" s="1"/>
  <c r="AI36" i="22"/>
  <c r="AH36" i="22" s="1"/>
  <c r="AG36" i="22" s="1"/>
  <c r="AF36" i="22" s="1"/>
  <c r="AD36" i="22" s="1"/>
  <c r="AI28" i="22"/>
  <c r="AH28" i="22" s="1"/>
  <c r="AG28" i="22" s="1"/>
  <c r="AF28" i="22" s="1"/>
  <c r="AD28" i="22" s="1"/>
  <c r="AI139" i="22"/>
  <c r="AH139" i="22" s="1"/>
  <c r="AG139" i="22" s="1"/>
  <c r="AF139" i="22" s="1"/>
  <c r="AD139" i="22" s="1"/>
  <c r="AI199" i="22"/>
  <c r="AH199" i="22" s="1"/>
  <c r="AG199" i="22" s="1"/>
  <c r="AF199" i="22" s="1"/>
  <c r="AD199" i="22" s="1"/>
  <c r="AI312" i="22"/>
  <c r="AH312" i="22" s="1"/>
  <c r="AG312" i="22" s="1"/>
  <c r="AF312" i="22" s="1"/>
  <c r="AD312" i="22" s="1"/>
  <c r="AI104" i="22"/>
  <c r="AH104" i="22" s="1"/>
  <c r="AG104" i="22" s="1"/>
  <c r="AF104" i="22" s="1"/>
  <c r="AD104" i="22" s="1"/>
  <c r="AI340" i="22"/>
  <c r="AH340" i="22" s="1"/>
  <c r="AG340" i="22" s="1"/>
  <c r="AF340" i="22" s="1"/>
  <c r="AD340" i="22" s="1"/>
  <c r="AI169" i="22"/>
  <c r="AH169" i="22" s="1"/>
  <c r="AG169" i="22" s="1"/>
  <c r="AF169" i="22" s="1"/>
  <c r="AD169" i="22" s="1"/>
  <c r="AI25" i="22"/>
  <c r="AH25" i="22" s="1"/>
  <c r="AG25" i="22" s="1"/>
  <c r="AF25" i="22" s="1"/>
  <c r="AD25" i="22" s="1"/>
  <c r="AI42" i="22"/>
  <c r="AH42" i="22" s="1"/>
  <c r="AG42" i="22" s="1"/>
  <c r="AF42" i="22" s="1"/>
  <c r="AD42" i="22" s="1"/>
  <c r="AI289" i="22"/>
  <c r="AH289" i="22" s="1"/>
  <c r="AG289" i="22" s="1"/>
  <c r="AF289" i="22" s="1"/>
  <c r="AD289" i="22" s="1"/>
  <c r="AI280" i="22"/>
  <c r="AH280" i="22" s="1"/>
  <c r="AG280" i="22" s="1"/>
  <c r="AF280" i="22" s="1"/>
  <c r="AD280" i="22" s="1"/>
  <c r="AI33" i="22"/>
  <c r="AH33" i="22" s="1"/>
  <c r="AG33" i="22" s="1"/>
  <c r="AF33" i="22" s="1"/>
  <c r="AD33" i="22" s="1"/>
  <c r="AI121" i="22"/>
  <c r="AH121" i="22" s="1"/>
  <c r="AG121" i="22" s="1"/>
  <c r="AF121" i="22" s="1"/>
  <c r="AD121" i="22" s="1"/>
  <c r="AI88" i="22"/>
  <c r="AH88" i="22" s="1"/>
  <c r="AG88" i="22" s="1"/>
  <c r="AF88" i="22" s="1"/>
  <c r="AD88" i="22" s="1"/>
  <c r="AI348" i="22"/>
  <c r="AH348" i="22" s="1"/>
  <c r="AG348" i="22" s="1"/>
  <c r="AF348" i="22" s="1"/>
  <c r="AD348" i="22" s="1"/>
  <c r="AI205" i="22"/>
  <c r="AH205" i="22" s="1"/>
  <c r="AG205" i="22" s="1"/>
  <c r="AF205" i="22" s="1"/>
  <c r="AD205" i="22" s="1"/>
  <c r="AI305" i="22"/>
  <c r="AH305" i="22" s="1"/>
  <c r="AG305" i="22" s="1"/>
  <c r="AF305" i="22" s="1"/>
  <c r="AD305" i="22" s="1"/>
  <c r="AI346" i="22"/>
  <c r="AH346" i="22" s="1"/>
  <c r="AG346" i="22" s="1"/>
  <c r="AF346" i="22" s="1"/>
  <c r="AD346" i="22" s="1"/>
  <c r="AI231" i="22"/>
  <c r="AH231" i="22" s="1"/>
  <c r="AG231" i="22" s="1"/>
  <c r="AF231" i="22" s="1"/>
  <c r="AD231" i="22" s="1"/>
  <c r="AI109" i="22"/>
  <c r="AH109" i="22" s="1"/>
  <c r="AG109" i="22" s="1"/>
  <c r="AF109" i="22" s="1"/>
  <c r="AD109" i="22" s="1"/>
  <c r="AI298" i="22"/>
  <c r="AH298" i="22" s="1"/>
  <c r="AG298" i="22" s="1"/>
  <c r="AF298" i="22" s="1"/>
  <c r="AD298" i="22" s="1"/>
  <c r="AI196" i="22"/>
  <c r="AH196" i="22" s="1"/>
  <c r="AG196" i="22" s="1"/>
  <c r="AF196" i="22" s="1"/>
  <c r="AD196" i="22" s="1"/>
  <c r="AI86" i="22"/>
  <c r="AH86" i="22" s="1"/>
  <c r="AG86" i="22" s="1"/>
  <c r="AF86" i="22" s="1"/>
  <c r="AD86" i="22" s="1"/>
  <c r="AI107" i="22"/>
  <c r="AH107" i="22" s="1"/>
  <c r="AG107" i="22" s="1"/>
  <c r="AF107" i="22" s="1"/>
  <c r="AD107" i="22" s="1"/>
  <c r="AI135" i="22"/>
  <c r="AH135" i="22" s="1"/>
  <c r="AG135" i="22" s="1"/>
  <c r="AF135" i="22" s="1"/>
  <c r="AD135" i="22" s="1"/>
  <c r="AI22" i="22"/>
  <c r="AH22" i="22" s="1"/>
  <c r="AG22" i="22" s="1"/>
  <c r="AF22" i="22" s="1"/>
  <c r="AD22" i="22" s="1"/>
  <c r="AI32" i="22"/>
  <c r="AH32" i="22" s="1"/>
  <c r="AG32" i="22" s="1"/>
  <c r="AF32" i="22" s="1"/>
  <c r="AD32" i="22" s="1"/>
  <c r="AI221" i="22"/>
  <c r="AH221" i="22" s="1"/>
  <c r="AG221" i="22" s="1"/>
  <c r="AF221" i="22" s="1"/>
  <c r="AD221" i="22" s="1"/>
  <c r="AI290" i="22"/>
  <c r="AH290" i="22" s="1"/>
  <c r="AG290" i="22" s="1"/>
  <c r="AF290" i="22" s="1"/>
  <c r="AD290" i="22" s="1"/>
  <c r="AI43" i="22"/>
  <c r="AH43" i="22" s="1"/>
  <c r="AG43" i="22" s="1"/>
  <c r="AF43" i="22" s="1"/>
  <c r="AD43" i="22" s="1"/>
  <c r="AI82" i="22"/>
  <c r="AH82" i="22" s="1"/>
  <c r="AG82" i="22" s="1"/>
  <c r="AF82" i="22" s="1"/>
  <c r="AD82" i="22" s="1"/>
  <c r="AA82" i="22" s="1"/>
  <c r="Z82" i="22" s="1"/>
  <c r="Y82" i="22" s="1"/>
  <c r="AI379" i="22"/>
  <c r="AI208" i="22"/>
  <c r="AH208" i="22" s="1"/>
  <c r="AG208" i="22" s="1"/>
  <c r="AF208" i="22" s="1"/>
  <c r="AD208" i="22" s="1"/>
  <c r="AI206" i="22"/>
  <c r="AH206" i="22" s="1"/>
  <c r="AG206" i="22" s="1"/>
  <c r="AF206" i="22" s="1"/>
  <c r="AD206" i="22" s="1"/>
  <c r="AI313" i="22"/>
  <c r="AH313" i="22" s="1"/>
  <c r="AG313" i="22" s="1"/>
  <c r="AF313" i="22" s="1"/>
  <c r="AD313" i="22" s="1"/>
  <c r="AI212" i="22"/>
  <c r="AH212" i="22" s="1"/>
  <c r="AG212" i="22" s="1"/>
  <c r="AF212" i="22" s="1"/>
  <c r="AD212" i="22" s="1"/>
  <c r="AI17" i="22"/>
  <c r="AH17" i="22" s="1"/>
  <c r="AG17" i="22" s="1"/>
  <c r="AF17" i="22" s="1"/>
  <c r="AD17" i="22" s="1"/>
  <c r="AI237" i="22"/>
  <c r="AH237" i="22" s="1"/>
  <c r="AG237" i="22" s="1"/>
  <c r="AF237" i="22" s="1"/>
  <c r="AD237" i="22" s="1"/>
  <c r="AI271" i="22"/>
  <c r="AH271" i="22" s="1"/>
  <c r="AG271" i="22" s="1"/>
  <c r="AF271" i="22" s="1"/>
  <c r="AD271" i="22" s="1"/>
  <c r="AI309" i="22"/>
  <c r="AH309" i="22" s="1"/>
  <c r="AG309" i="22" s="1"/>
  <c r="AF309" i="22" s="1"/>
  <c r="AD309" i="22" s="1"/>
  <c r="AI225" i="22"/>
  <c r="AH225" i="22" s="1"/>
  <c r="AG225" i="22" s="1"/>
  <c r="AF225" i="22" s="1"/>
  <c r="AD225" i="22" s="1"/>
  <c r="AI201" i="22"/>
  <c r="AH201" i="22" s="1"/>
  <c r="AG201" i="22" s="1"/>
  <c r="AF201" i="22" s="1"/>
  <c r="AD201" i="22" s="1"/>
  <c r="AI375" i="22"/>
  <c r="AH375" i="22" s="1"/>
  <c r="AG375" i="22" s="1"/>
  <c r="AF375" i="22" s="1"/>
  <c r="AD375" i="22" s="1"/>
  <c r="AI97" i="22"/>
  <c r="AH97" i="22" s="1"/>
  <c r="AG97" i="22" s="1"/>
  <c r="AF97" i="22" s="1"/>
  <c r="AD97" i="22" s="1"/>
  <c r="AI85" i="22"/>
  <c r="AH85" i="22" s="1"/>
  <c r="AG85" i="22" s="1"/>
  <c r="AF85" i="22" s="1"/>
  <c r="AD85" i="22" s="1"/>
  <c r="AI345" i="22"/>
  <c r="AH345" i="22" s="1"/>
  <c r="AG345" i="22" s="1"/>
  <c r="AF345" i="22" s="1"/>
  <c r="AD345" i="22" s="1"/>
  <c r="AI272" i="22"/>
  <c r="AH272" i="22" s="1"/>
  <c r="AG272" i="22" s="1"/>
  <c r="AF272" i="22" s="1"/>
  <c r="AD272" i="22" s="1"/>
  <c r="AI180" i="22"/>
  <c r="AH180" i="22" s="1"/>
  <c r="AG180" i="22" s="1"/>
  <c r="AF180" i="22" s="1"/>
  <c r="AD180" i="22" s="1"/>
  <c r="AI230" i="22"/>
  <c r="AH230" i="22" s="1"/>
  <c r="AG230" i="22" s="1"/>
  <c r="AF230" i="22" s="1"/>
  <c r="AD230" i="22" s="1"/>
  <c r="AI315" i="22"/>
  <c r="AH315" i="22" s="1"/>
  <c r="AG315" i="22" s="1"/>
  <c r="AF315" i="22" s="1"/>
  <c r="AD315" i="22" s="1"/>
  <c r="AI332" i="22"/>
  <c r="AH332" i="22" s="1"/>
  <c r="AG332" i="22" s="1"/>
  <c r="AF332" i="22" s="1"/>
  <c r="AD332" i="22" s="1"/>
  <c r="AI90" i="22"/>
  <c r="AH90" i="22" s="1"/>
  <c r="AG90" i="22" s="1"/>
  <c r="AF90" i="22" s="1"/>
  <c r="AD90" i="22" s="1"/>
  <c r="AI204" i="22"/>
  <c r="AH204" i="22" s="1"/>
  <c r="AG204" i="22" s="1"/>
  <c r="AF204" i="22" s="1"/>
  <c r="AD204" i="22" s="1"/>
  <c r="AI294" i="22"/>
  <c r="AH294" i="22" s="1"/>
  <c r="AG294" i="22" s="1"/>
  <c r="AF294" i="22" s="1"/>
  <c r="AD294" i="22" s="1"/>
  <c r="AI124" i="22"/>
  <c r="AH124" i="22" s="1"/>
  <c r="AG124" i="22" s="1"/>
  <c r="AF124" i="22" s="1"/>
  <c r="AD124" i="22" s="1"/>
  <c r="AI235" i="22"/>
  <c r="AH235" i="22" s="1"/>
  <c r="AG235" i="22" s="1"/>
  <c r="AF235" i="22" s="1"/>
  <c r="AD235" i="22" s="1"/>
  <c r="AI364" i="22"/>
  <c r="AH364" i="22" s="1"/>
  <c r="AG364" i="22" s="1"/>
  <c r="AF364" i="22" s="1"/>
  <c r="AD364" i="22" s="1"/>
  <c r="AI252" i="22"/>
  <c r="AH252" i="22" s="1"/>
  <c r="AG252" i="22" s="1"/>
  <c r="AF252" i="22" s="1"/>
  <c r="AD252" i="22" s="1"/>
  <c r="AI287" i="22"/>
  <c r="AH287" i="22" s="1"/>
  <c r="AG287" i="22" s="1"/>
  <c r="AF287" i="22" s="1"/>
  <c r="AD287" i="22" s="1"/>
  <c r="AI254" i="22"/>
  <c r="AH254" i="22" s="1"/>
  <c r="AG254" i="22" s="1"/>
  <c r="AF254" i="22" s="1"/>
  <c r="AD254" i="22" s="1"/>
  <c r="AI263" i="22"/>
  <c r="AH263" i="22" s="1"/>
  <c r="AG263" i="22" s="1"/>
  <c r="AF263" i="22" s="1"/>
  <c r="AD263" i="22" s="1"/>
  <c r="AI373" i="22"/>
  <c r="AH373" i="22" s="1"/>
  <c r="AG373" i="22" s="1"/>
  <c r="AF373" i="22" s="1"/>
  <c r="AD373" i="22" s="1"/>
  <c r="AI353" i="22"/>
  <c r="AH353" i="22" s="1"/>
  <c r="AG353" i="22" s="1"/>
  <c r="AF353" i="22" s="1"/>
  <c r="AD353" i="22" s="1"/>
  <c r="AI122" i="22"/>
  <c r="AH122" i="22" s="1"/>
  <c r="AG122" i="22" s="1"/>
  <c r="AF122" i="22" s="1"/>
  <c r="AD122" i="22" s="1"/>
  <c r="AI307" i="22"/>
  <c r="AH307" i="22" s="1"/>
  <c r="AG307" i="22" s="1"/>
  <c r="AF307" i="22" s="1"/>
  <c r="AD307" i="22" s="1"/>
  <c r="AI359" i="22"/>
  <c r="AH359" i="22" s="1"/>
  <c r="AG359" i="22" s="1"/>
  <c r="AF359" i="22" s="1"/>
  <c r="AD359" i="22" s="1"/>
  <c r="AI273" i="22"/>
  <c r="AH273" i="22" s="1"/>
  <c r="AG273" i="22" s="1"/>
  <c r="AF273" i="22" s="1"/>
  <c r="AD273" i="22" s="1"/>
  <c r="AI164" i="22"/>
  <c r="AH164" i="22" s="1"/>
  <c r="AG164" i="22" s="1"/>
  <c r="AF164" i="22" s="1"/>
  <c r="AD164" i="22" s="1"/>
  <c r="AI253" i="22"/>
  <c r="AH253" i="22" s="1"/>
  <c r="AG253" i="22" s="1"/>
  <c r="AF253" i="22" s="1"/>
  <c r="AD253" i="22" s="1"/>
  <c r="AI325" i="22"/>
  <c r="AH325" i="22" s="1"/>
  <c r="AG325" i="22" s="1"/>
  <c r="AF325" i="22" s="1"/>
  <c r="AD325" i="22" s="1"/>
  <c r="AI291" i="22"/>
  <c r="AH291" i="22" s="1"/>
  <c r="AG291" i="22" s="1"/>
  <c r="AF291" i="22" s="1"/>
  <c r="AD291" i="22" s="1"/>
  <c r="AI152" i="22"/>
  <c r="AH152" i="22" s="1"/>
  <c r="AG152" i="22" s="1"/>
  <c r="AF152" i="22" s="1"/>
  <c r="AD152" i="22" s="1"/>
  <c r="AI257" i="22"/>
  <c r="AH257" i="22" s="1"/>
  <c r="AG257" i="22" s="1"/>
  <c r="AF257" i="22" s="1"/>
  <c r="AD257" i="22" s="1"/>
  <c r="AI275" i="22"/>
  <c r="AH275" i="22" s="1"/>
  <c r="AG275" i="22" s="1"/>
  <c r="AF275" i="22" s="1"/>
  <c r="AD275" i="22" s="1"/>
  <c r="AI136" i="22"/>
  <c r="AH136" i="22" s="1"/>
  <c r="AG136" i="22" s="1"/>
  <c r="AF136" i="22" s="1"/>
  <c r="AD136" i="22" s="1"/>
  <c r="AI282" i="22"/>
  <c r="AH282" i="22" s="1"/>
  <c r="AG282" i="22" s="1"/>
  <c r="AF282" i="22" s="1"/>
  <c r="AD282" i="22" s="1"/>
  <c r="I241" i="18"/>
  <c r="J241" i="18"/>
  <c r="C241" i="6" s="1"/>
  <c r="J168" i="20"/>
  <c r="I168" i="20"/>
  <c r="I39" i="20"/>
  <c r="J39" i="20"/>
  <c r="J154" i="20"/>
  <c r="I154" i="20"/>
  <c r="I133" i="20"/>
  <c r="J133" i="20"/>
  <c r="J297" i="20"/>
  <c r="I297" i="20"/>
  <c r="J326" i="20"/>
  <c r="I326" i="20"/>
  <c r="D149" i="20"/>
  <c r="E149" i="20" s="1"/>
  <c r="F149" i="20" s="1"/>
  <c r="D156" i="22"/>
  <c r="E156" i="22" s="1"/>
  <c r="F156" i="22" s="1"/>
  <c r="W156" i="22"/>
  <c r="D84" i="22"/>
  <c r="E84" i="22" s="1"/>
  <c r="F84" i="22" s="1"/>
  <c r="W84" i="22"/>
  <c r="W114" i="22"/>
  <c r="D114" i="22"/>
  <c r="E114" i="22" s="1"/>
  <c r="F114" i="22" s="1"/>
  <c r="W220" i="22"/>
  <c r="D235" i="22"/>
  <c r="E235" i="22" s="1"/>
  <c r="F235" i="22" s="1"/>
  <c r="G235" i="22" s="1"/>
  <c r="CC235" i="6" s="1"/>
  <c r="W235" i="22"/>
  <c r="W78" i="22"/>
  <c r="D78" i="22"/>
  <c r="E78" i="22" s="1"/>
  <c r="F78" i="22" s="1"/>
  <c r="W368" i="22"/>
  <c r="D368" i="22"/>
  <c r="E368" i="22" s="1"/>
  <c r="F368" i="22" s="1"/>
  <c r="W350" i="22"/>
  <c r="D350" i="22"/>
  <c r="E350" i="22" s="1"/>
  <c r="F350" i="22" s="1"/>
  <c r="W323" i="22"/>
  <c r="D323" i="22"/>
  <c r="E323" i="22" s="1"/>
  <c r="F323" i="22" s="1"/>
  <c r="D226" i="22"/>
  <c r="E226" i="22" s="1"/>
  <c r="F226" i="22" s="1"/>
  <c r="W226" i="22"/>
  <c r="W162" i="22"/>
  <c r="D162" i="22"/>
  <c r="E162" i="22" s="1"/>
  <c r="F162" i="22" s="1"/>
  <c r="W234" i="22"/>
  <c r="D234" i="22"/>
  <c r="E234" i="22" s="1"/>
  <c r="F234" i="22" s="1"/>
  <c r="D332" i="22"/>
  <c r="E332" i="22" s="1"/>
  <c r="F332" i="22" s="1"/>
  <c r="G332" i="22" s="1"/>
  <c r="CC332" i="6" s="1"/>
  <c r="W332" i="22"/>
  <c r="W42" i="22"/>
  <c r="D42" i="22"/>
  <c r="E42" i="22" s="1"/>
  <c r="F42" i="22" s="1"/>
  <c r="D248" i="22"/>
  <c r="E248" i="22" s="1"/>
  <c r="F248" i="22" s="1"/>
  <c r="W248" i="22"/>
  <c r="B135" i="22"/>
  <c r="W63" i="22"/>
  <c r="D63" i="22"/>
  <c r="E63" i="22" s="1"/>
  <c r="F63" i="22" s="1"/>
  <c r="D237" i="22"/>
  <c r="E237" i="22" s="1"/>
  <c r="F237" i="22" s="1"/>
  <c r="W237" i="22"/>
  <c r="W342" i="22"/>
  <c r="D342" i="22"/>
  <c r="E342" i="22" s="1"/>
  <c r="F342" i="22" s="1"/>
  <c r="W150" i="22"/>
  <c r="D150" i="22"/>
  <c r="E150" i="22" s="1"/>
  <c r="F150" i="22" s="1"/>
  <c r="D95" i="22"/>
  <c r="E95" i="22" s="1"/>
  <c r="F95" i="22" s="1"/>
  <c r="G95" i="22" s="1"/>
  <c r="CC95" i="6" s="1"/>
  <c r="W95" i="22"/>
  <c r="V88" i="22"/>
  <c r="B88" i="22" s="1"/>
  <c r="AH34" i="7"/>
  <c r="D66" i="22"/>
  <c r="E66" i="22" s="1"/>
  <c r="F66" i="22" s="1"/>
  <c r="G66" i="22" s="1"/>
  <c r="CC66" i="6" s="1"/>
  <c r="W66" i="22"/>
  <c r="V241" i="22"/>
  <c r="B241" i="22" s="1"/>
  <c r="AH39" i="7"/>
  <c r="W216" i="22"/>
  <c r="D216" i="22"/>
  <c r="E216" i="22" s="1"/>
  <c r="F216" i="22" s="1"/>
  <c r="D128" i="22"/>
  <c r="E128" i="22" s="1"/>
  <c r="F128" i="22" s="1"/>
  <c r="G128" i="22" s="1"/>
  <c r="CC128" i="6" s="1"/>
  <c r="W128" i="22"/>
  <c r="W264" i="22"/>
  <c r="D264" i="22"/>
  <c r="E264" i="22" s="1"/>
  <c r="F264" i="22" s="1"/>
  <c r="W352" i="22"/>
  <c r="W345" i="22"/>
  <c r="D345" i="22"/>
  <c r="E345" i="22" s="1"/>
  <c r="F345" i="22" s="1"/>
  <c r="W80" i="22"/>
  <c r="D80" i="22"/>
  <c r="E80" i="22" s="1"/>
  <c r="F80" i="22" s="1"/>
  <c r="D36" i="22"/>
  <c r="E36" i="22" s="1"/>
  <c r="F36" i="22" s="1"/>
  <c r="W36" i="22"/>
  <c r="B227" i="22"/>
  <c r="D47" i="22"/>
  <c r="E47" i="22" s="1"/>
  <c r="F47" i="22" s="1"/>
  <c r="W134" i="22"/>
  <c r="D276" i="22"/>
  <c r="E276" i="22" s="1"/>
  <c r="F276" i="22" s="1"/>
  <c r="W276" i="22"/>
  <c r="W348" i="22"/>
  <c r="W257" i="22"/>
  <c r="D257" i="22"/>
  <c r="E257" i="22" s="1"/>
  <c r="F257" i="22" s="1"/>
  <c r="D165" i="22"/>
  <c r="E165" i="22" s="1"/>
  <c r="F165" i="22" s="1"/>
  <c r="G165" i="22" s="1"/>
  <c r="CC165" i="6" s="1"/>
  <c r="W165" i="22"/>
  <c r="D290" i="22"/>
  <c r="E290" i="22" s="1"/>
  <c r="F290" i="22" s="1"/>
  <c r="G290" i="22" s="1"/>
  <c r="CC290" i="6" s="1"/>
  <c r="W290" i="22"/>
  <c r="W331" i="22"/>
  <c r="D52" i="22"/>
  <c r="E52" i="22" s="1"/>
  <c r="F52" i="22" s="1"/>
  <c r="W52" i="22"/>
  <c r="D271" i="22"/>
  <c r="E271" i="22" s="1"/>
  <c r="F271" i="22" s="1"/>
  <c r="W271" i="22"/>
  <c r="D219" i="22"/>
  <c r="E219" i="22" s="1"/>
  <c r="F219" i="22" s="1"/>
  <c r="W219" i="22"/>
  <c r="W19" i="22"/>
  <c r="D19" i="22"/>
  <c r="E19" i="22" s="1"/>
  <c r="F19" i="22" s="1"/>
  <c r="W58" i="22"/>
  <c r="D58" i="22"/>
  <c r="E58" i="22" s="1"/>
  <c r="F58" i="22" s="1"/>
  <c r="W117" i="22"/>
  <c r="D117" i="22"/>
  <c r="E117" i="22" s="1"/>
  <c r="F117" i="22" s="1"/>
  <c r="D341" i="22"/>
  <c r="E341" i="22" s="1"/>
  <c r="F341" i="22" s="1"/>
  <c r="D104" i="22"/>
  <c r="E104" i="22" s="1"/>
  <c r="F104" i="22" s="1"/>
  <c r="G104" i="22" s="1"/>
  <c r="CC104" i="6" s="1"/>
  <c r="W104" i="22"/>
  <c r="D25" i="22"/>
  <c r="E25" i="22" s="1"/>
  <c r="F25" i="22" s="1"/>
  <c r="G25" i="22" s="1"/>
  <c r="CC25" i="6" s="1"/>
  <c r="W25" i="22"/>
  <c r="W372" i="22"/>
  <c r="D372" i="22"/>
  <c r="E372" i="22" s="1"/>
  <c r="F372" i="22" s="1"/>
  <c r="AH35" i="7"/>
  <c r="V119" i="22"/>
  <c r="D194" i="22"/>
  <c r="E194" i="22" s="1"/>
  <c r="F194" i="22" s="1"/>
  <c r="W194" i="22"/>
  <c r="W326" i="22"/>
  <c r="D326" i="22"/>
  <c r="E326" i="22" s="1"/>
  <c r="F326" i="22" s="1"/>
  <c r="D159" i="22"/>
  <c r="E159" i="22" s="1"/>
  <c r="F159" i="22" s="1"/>
  <c r="G159" i="22" s="1"/>
  <c r="CC159" i="6" s="1"/>
  <c r="W159" i="22"/>
  <c r="D72" i="22"/>
  <c r="E72" i="22" s="1"/>
  <c r="F72" i="22" s="1"/>
  <c r="W72" i="22"/>
  <c r="D188" i="22"/>
  <c r="E188" i="22" s="1"/>
  <c r="F188" i="22" s="1"/>
  <c r="G188" i="22" s="1"/>
  <c r="CC188" i="6" s="1"/>
  <c r="W188" i="22"/>
  <c r="W224" i="22"/>
  <c r="D224" i="22"/>
  <c r="E224" i="22" s="1"/>
  <c r="F224" i="22" s="1"/>
  <c r="D45" i="22"/>
  <c r="E45" i="22" s="1"/>
  <c r="F45" i="22" s="1"/>
  <c r="W45" i="22"/>
  <c r="T15" i="22"/>
  <c r="U381" i="22"/>
  <c r="W206" i="22"/>
  <c r="W146" i="22"/>
  <c r="D146" i="22"/>
  <c r="E146" i="22" s="1"/>
  <c r="F146" i="22" s="1"/>
  <c r="D116" i="22"/>
  <c r="E116" i="22" s="1"/>
  <c r="F116" i="22" s="1"/>
  <c r="D51" i="22"/>
  <c r="E51" i="22" s="1"/>
  <c r="F51" i="22" s="1"/>
  <c r="W51" i="22"/>
  <c r="W187" i="22"/>
  <c r="D187" i="22"/>
  <c r="E187" i="22" s="1"/>
  <c r="F187" i="22" s="1"/>
  <c r="D315" i="22"/>
  <c r="E315" i="22" s="1"/>
  <c r="F315" i="22" s="1"/>
  <c r="W315" i="22"/>
  <c r="D148" i="22"/>
  <c r="E148" i="22" s="1"/>
  <c r="F148" i="22" s="1"/>
  <c r="W148" i="22"/>
  <c r="D71" i="22"/>
  <c r="E71" i="22" s="1"/>
  <c r="F71" i="22" s="1"/>
  <c r="D198" i="22"/>
  <c r="E198" i="22" s="1"/>
  <c r="F198" i="22" s="1"/>
  <c r="W198" i="22"/>
  <c r="D174" i="22"/>
  <c r="E174" i="22" s="1"/>
  <c r="F174" i="22" s="1"/>
  <c r="D142" i="22"/>
  <c r="E142" i="22" s="1"/>
  <c r="F142" i="22" s="1"/>
  <c r="W142" i="22"/>
  <c r="W369" i="22"/>
  <c r="D343" i="22"/>
  <c r="E343" i="22" s="1"/>
  <c r="F343" i="22" s="1"/>
  <c r="W343" i="22"/>
  <c r="W249" i="22"/>
  <c r="D249" i="22"/>
  <c r="E249" i="22" s="1"/>
  <c r="F249" i="22" s="1"/>
  <c r="W245" i="22"/>
  <c r="D245" i="22"/>
  <c r="E245" i="22" s="1"/>
  <c r="F245" i="22" s="1"/>
  <c r="W273" i="22"/>
  <c r="D145" i="22"/>
  <c r="E145" i="22" s="1"/>
  <c r="F145" i="22" s="1"/>
  <c r="W145" i="22"/>
  <c r="W40" i="22"/>
  <c r="D361" i="22"/>
  <c r="E361" i="22" s="1"/>
  <c r="F361" i="22" s="1"/>
  <c r="W361" i="22"/>
  <c r="B74" i="22"/>
  <c r="W205" i="22"/>
  <c r="D205" i="22"/>
  <c r="E205" i="22" s="1"/>
  <c r="F205" i="22" s="1"/>
  <c r="D244" i="22"/>
  <c r="E244" i="22" s="1"/>
  <c r="F244" i="22" s="1"/>
  <c r="W244" i="22"/>
  <c r="W44" i="22"/>
  <c r="D44" i="22"/>
  <c r="E44" i="22" s="1"/>
  <c r="F44" i="22" s="1"/>
  <c r="D291" i="22"/>
  <c r="E291" i="22" s="1"/>
  <c r="F291" i="22" s="1"/>
  <c r="W291" i="22"/>
  <c r="D277" i="22"/>
  <c r="E277" i="22" s="1"/>
  <c r="F277" i="22" s="1"/>
  <c r="G277" i="22" s="1"/>
  <c r="CC277" i="6" s="1"/>
  <c r="W277" i="22"/>
  <c r="D260" i="22"/>
  <c r="E260" i="22" s="1"/>
  <c r="F260" i="22" s="1"/>
  <c r="W260" i="22"/>
  <c r="W67" i="22"/>
  <c r="W196" i="22"/>
  <c r="D196" i="22"/>
  <c r="E196" i="22" s="1"/>
  <c r="F196" i="22" s="1"/>
  <c r="W251" i="22"/>
  <c r="D251" i="22"/>
  <c r="E251" i="22" s="1"/>
  <c r="F251" i="22" s="1"/>
  <c r="D62" i="22"/>
  <c r="E62" i="22" s="1"/>
  <c r="F62" i="22" s="1"/>
  <c r="W62" i="22"/>
  <c r="D152" i="22"/>
  <c r="E152" i="22" s="1"/>
  <c r="F152" i="22" s="1"/>
  <c r="G152" i="22" s="1"/>
  <c r="CC152" i="6" s="1"/>
  <c r="W152" i="22"/>
  <c r="W30" i="22"/>
  <c r="W182" i="22"/>
  <c r="D182" i="22"/>
  <c r="E182" i="22" s="1"/>
  <c r="F182" i="22" s="1"/>
  <c r="W243" i="22"/>
  <c r="D366" i="22"/>
  <c r="E366" i="22" s="1"/>
  <c r="F366" i="22" s="1"/>
  <c r="G366" i="22" s="1"/>
  <c r="CC366" i="6" s="1"/>
  <c r="W366" i="22"/>
  <c r="W109" i="22"/>
  <c r="D109" i="22"/>
  <c r="E109" i="22" s="1"/>
  <c r="F109" i="22" s="1"/>
  <c r="W371" i="22"/>
  <c r="D371" i="22"/>
  <c r="E371" i="22" s="1"/>
  <c r="F371" i="22" s="1"/>
  <c r="D362" i="22"/>
  <c r="E362" i="22" s="1"/>
  <c r="F362" i="22" s="1"/>
  <c r="W286" i="22"/>
  <c r="D286" i="22"/>
  <c r="E286" i="22" s="1"/>
  <c r="F286" i="22" s="1"/>
  <c r="W281" i="22"/>
  <c r="T379" i="22"/>
  <c r="S379" i="22" s="1"/>
  <c r="R379" i="22" s="1"/>
  <c r="P379" i="22" s="1"/>
  <c r="AN16" i="7"/>
  <c r="AT11" i="7" s="1"/>
  <c r="U11" i="23" s="1"/>
  <c r="U12" i="23"/>
  <c r="AS16" i="7" s="1"/>
  <c r="D76" i="22"/>
  <c r="E76" i="22" s="1"/>
  <c r="F76" i="22" s="1"/>
  <c r="W76" i="22"/>
  <c r="D97" i="22"/>
  <c r="E97" i="22" s="1"/>
  <c r="F97" i="22" s="1"/>
  <c r="G97" i="22" s="1"/>
  <c r="CC97" i="6" s="1"/>
  <c r="W97" i="22"/>
  <c r="W238" i="22"/>
  <c r="W155" i="22"/>
  <c r="D155" i="22"/>
  <c r="E155" i="22" s="1"/>
  <c r="F155" i="22" s="1"/>
  <c r="D144" i="22"/>
  <c r="E144" i="22" s="1"/>
  <c r="F144" i="22" s="1"/>
  <c r="D351" i="22"/>
  <c r="E351" i="22" s="1"/>
  <c r="F351" i="22" s="1"/>
  <c r="W339" i="22"/>
  <c r="W90" i="22"/>
  <c r="D90" i="22"/>
  <c r="E90" i="22" s="1"/>
  <c r="F90" i="22" s="1"/>
  <c r="D305" i="22"/>
  <c r="E305" i="22" s="1"/>
  <c r="F305" i="22" s="1"/>
  <c r="D179" i="22"/>
  <c r="E179" i="22" s="1"/>
  <c r="F179" i="22" s="1"/>
  <c r="W179" i="22"/>
  <c r="D103" i="22"/>
  <c r="E103" i="22" s="1"/>
  <c r="F103" i="22" s="1"/>
  <c r="G103" i="22" s="1"/>
  <c r="CC103" i="6" s="1"/>
  <c r="W354" i="22"/>
  <c r="D354" i="22"/>
  <c r="E354" i="22" s="1"/>
  <c r="F354" i="22" s="1"/>
  <c r="D178" i="22"/>
  <c r="E178" i="22" s="1"/>
  <c r="F178" i="22" s="1"/>
  <c r="G178" i="22" s="1"/>
  <c r="CC178" i="6" s="1"/>
  <c r="W178" i="22"/>
  <c r="D106" i="22"/>
  <c r="E106" i="22" s="1"/>
  <c r="F106" i="22" s="1"/>
  <c r="W106" i="22"/>
  <c r="D197" i="22"/>
  <c r="E197" i="22" s="1"/>
  <c r="F197" i="22" s="1"/>
  <c r="W197" i="22"/>
  <c r="D218" i="22"/>
  <c r="E218" i="22" s="1"/>
  <c r="F218" i="22" s="1"/>
  <c r="G218" i="22" s="1"/>
  <c r="CC218" i="6" s="1"/>
  <c r="W250" i="22"/>
  <c r="D250" i="22"/>
  <c r="E250" i="22" s="1"/>
  <c r="F250" i="22" s="1"/>
  <c r="V272" i="22"/>
  <c r="B272" i="22" s="1"/>
  <c r="D364" i="22"/>
  <c r="E364" i="22" s="1"/>
  <c r="F364" i="22" s="1"/>
  <c r="W364" i="22"/>
  <c r="D185" i="22"/>
  <c r="E185" i="22" s="1"/>
  <c r="F185" i="22" s="1"/>
  <c r="D50" i="22"/>
  <c r="E50" i="22" s="1"/>
  <c r="F50" i="22" s="1"/>
  <c r="W50" i="22"/>
  <c r="W154" i="22"/>
  <c r="D154" i="22"/>
  <c r="E154" i="22" s="1"/>
  <c r="F154" i="22" s="1"/>
  <c r="W27" i="22"/>
  <c r="W311" i="22"/>
  <c r="D311" i="22"/>
  <c r="E311" i="22" s="1"/>
  <c r="F311" i="22" s="1"/>
  <c r="V60" i="22"/>
  <c r="W91" i="22"/>
  <c r="D304" i="22"/>
  <c r="E304" i="22" s="1"/>
  <c r="F304" i="22" s="1"/>
  <c r="G304" i="22" s="1"/>
  <c r="CC304" i="6" s="1"/>
  <c r="W304" i="22"/>
  <c r="W309" i="22"/>
  <c r="W303" i="22"/>
  <c r="AH37" i="7"/>
  <c r="V180" i="22"/>
  <c r="W75" i="22"/>
  <c r="D75" i="22"/>
  <c r="E75" i="22" s="1"/>
  <c r="F75" i="22" s="1"/>
  <c r="B288" i="22"/>
  <c r="D65" i="22"/>
  <c r="E65" i="22" s="1"/>
  <c r="F65" i="22" s="1"/>
  <c r="G65" i="22" s="1"/>
  <c r="CC65" i="6" s="1"/>
  <c r="W65" i="22"/>
  <c r="D48" i="22"/>
  <c r="E48" i="22" s="1"/>
  <c r="F48" i="22" s="1"/>
  <c r="W48" i="22"/>
  <c r="D221" i="22"/>
  <c r="E221" i="22" s="1"/>
  <c r="F221" i="22" s="1"/>
  <c r="W166" i="22"/>
  <c r="D166" i="22"/>
  <c r="E166" i="22" s="1"/>
  <c r="F166" i="22" s="1"/>
  <c r="D325" i="22"/>
  <c r="E325" i="22" s="1"/>
  <c r="F325" i="22" s="1"/>
  <c r="W170" i="22"/>
  <c r="I127" i="20"/>
  <c r="J127" i="20"/>
  <c r="I215" i="20"/>
  <c r="J215" i="20"/>
  <c r="J268" i="20"/>
  <c r="I268" i="20"/>
  <c r="I329" i="20"/>
  <c r="J329" i="20"/>
  <c r="AL6" i="16"/>
  <c r="AL12" i="16" s="1"/>
  <c r="Y383" i="16"/>
  <c r="X9" i="16"/>
  <c r="AM6" i="16"/>
  <c r="AM12" i="16" s="1"/>
  <c r="Y381" i="16"/>
  <c r="Y382" i="16"/>
  <c r="I119" i="18"/>
  <c r="B119" i="6" s="1"/>
  <c r="BA119" i="6" s="1"/>
  <c r="D119" i="6" s="1"/>
  <c r="J119" i="18"/>
  <c r="C119" i="6" s="1"/>
  <c r="D379" i="6"/>
  <c r="AM4" i="6"/>
  <c r="J167" i="20"/>
  <c r="I167" i="20"/>
  <c r="J130" i="20"/>
  <c r="I130" i="20"/>
  <c r="I198" i="20"/>
  <c r="J198" i="20"/>
  <c r="I89" i="20"/>
  <c r="J89" i="20"/>
  <c r="J31" i="20"/>
  <c r="I31" i="20"/>
  <c r="J99" i="20"/>
  <c r="I99" i="20"/>
  <c r="I244" i="20"/>
  <c r="J244" i="20"/>
  <c r="I209" i="20"/>
  <c r="J209" i="20"/>
  <c r="I36" i="20"/>
  <c r="J36" i="20"/>
  <c r="J22" i="20"/>
  <c r="I22" i="20"/>
  <c r="J267" i="20"/>
  <c r="I267" i="20"/>
  <c r="I318" i="20"/>
  <c r="J54" i="20"/>
  <c r="I54" i="20"/>
  <c r="J159" i="20"/>
  <c r="I159" i="20"/>
  <c r="I372" i="20"/>
  <c r="J372" i="20"/>
  <c r="J245" i="20"/>
  <c r="I245" i="20"/>
  <c r="I45" i="20"/>
  <c r="J45" i="20"/>
  <c r="J51" i="20"/>
  <c r="I51" i="20"/>
  <c r="J58" i="20"/>
  <c r="I58" i="20"/>
  <c r="J69" i="20"/>
  <c r="I69" i="20"/>
  <c r="J375" i="20"/>
  <c r="I375" i="20"/>
  <c r="J301" i="20"/>
  <c r="I301" i="20"/>
  <c r="J363" i="18"/>
  <c r="C363" i="6" s="1"/>
  <c r="I363" i="18"/>
  <c r="B363" i="6" s="1"/>
  <c r="BA363" i="6" s="1"/>
  <c r="W210" i="20"/>
  <c r="D210" i="20"/>
  <c r="E210" i="20" s="1"/>
  <c r="F210" i="20" s="1"/>
  <c r="F383" i="17"/>
  <c r="AA15" i="17"/>
  <c r="H15" i="17"/>
  <c r="AM10" i="17"/>
  <c r="AK10" i="17"/>
  <c r="AK12" i="17" s="1"/>
  <c r="AK13" i="17" s="1"/>
  <c r="F9" i="17"/>
  <c r="F382" i="17"/>
  <c r="F381" i="17"/>
  <c r="G15" i="17"/>
  <c r="BZ15" i="6" s="1"/>
  <c r="AK4" i="15"/>
  <c r="R12" i="19" s="1"/>
  <c r="N13" i="19" s="1"/>
  <c r="AM13" i="15"/>
  <c r="J155" i="20"/>
  <c r="I155" i="20"/>
  <c r="I348" i="20"/>
  <c r="J348" i="20"/>
  <c r="J182" i="20"/>
  <c r="I182" i="20"/>
  <c r="J118" i="20"/>
  <c r="I118" i="20"/>
  <c r="I295" i="20"/>
  <c r="J295" i="20"/>
  <c r="I38" i="20"/>
  <c r="J38" i="20"/>
  <c r="J72" i="20"/>
  <c r="I72" i="20"/>
  <c r="I331" i="20"/>
  <c r="J331" i="20"/>
  <c r="J280" i="20"/>
  <c r="I280" i="20"/>
  <c r="I158" i="20"/>
  <c r="J158" i="20"/>
  <c r="I78" i="20"/>
  <c r="J78" i="20"/>
  <c r="I179" i="20"/>
  <c r="J179" i="20"/>
  <c r="J367" i="20"/>
  <c r="J59" i="20"/>
  <c r="I59" i="20"/>
  <c r="I194" i="20"/>
  <c r="J194" i="20"/>
  <c r="I50" i="20"/>
  <c r="J50" i="20"/>
  <c r="I199" i="20"/>
  <c r="J199" i="20"/>
  <c r="J106" i="20"/>
  <c r="I106" i="20"/>
  <c r="J150" i="20"/>
  <c r="I150" i="20"/>
  <c r="I183" i="20"/>
  <c r="J183" i="20"/>
  <c r="J340" i="20"/>
  <c r="I340" i="20"/>
  <c r="J134" i="20"/>
  <c r="I134" i="20"/>
  <c r="I231" i="20"/>
  <c r="J231" i="20"/>
  <c r="J273" i="20"/>
  <c r="I273" i="20"/>
  <c r="J176" i="20"/>
  <c r="I176" i="20"/>
  <c r="I229" i="20"/>
  <c r="J366" i="20"/>
  <c r="I366" i="20"/>
  <c r="I213" i="20"/>
  <c r="J213" i="20"/>
  <c r="I223" i="20"/>
  <c r="J223" i="20"/>
  <c r="J178" i="20"/>
  <c r="I178" i="20"/>
  <c r="I75" i="20"/>
  <c r="J75" i="20"/>
  <c r="J321" i="20"/>
  <c r="I321" i="20"/>
  <c r="J287" i="20"/>
  <c r="I287" i="20"/>
  <c r="I145" i="20"/>
  <c r="J145" i="20"/>
  <c r="Z11" i="15"/>
  <c r="Z5" i="15" s="1"/>
  <c r="H12" i="19" s="1"/>
  <c r="AK5" i="18"/>
  <c r="G82" i="22"/>
  <c r="CC82" i="6" s="1"/>
  <c r="G370" i="22"/>
  <c r="CC370" i="6" s="1"/>
  <c r="G379" i="20"/>
  <c r="CB379" i="6" s="1"/>
  <c r="H379" i="20"/>
  <c r="AA379" i="20"/>
  <c r="Z379" i="20" s="1"/>
  <c r="Y379" i="20" s="1"/>
  <c r="J370" i="20"/>
  <c r="I370" i="20"/>
  <c r="H370" i="22" s="1"/>
  <c r="J266" i="20"/>
  <c r="I266" i="20"/>
  <c r="J138" i="20"/>
  <c r="I138" i="20"/>
  <c r="I239" i="20"/>
  <c r="I48" i="20"/>
  <c r="J48" i="20"/>
  <c r="W195" i="22" l="1"/>
  <c r="W69" i="22"/>
  <c r="W356" i="22"/>
  <c r="W199" i="22"/>
  <c r="W127" i="22"/>
  <c r="Q72" i="23"/>
  <c r="Q48" i="23"/>
  <c r="Q49" i="23"/>
  <c r="Q55" i="23"/>
  <c r="Q102" i="23"/>
  <c r="Q20" i="23"/>
  <c r="Q77" i="23"/>
  <c r="Q44" i="23"/>
  <c r="Q73" i="23"/>
  <c r="Q67" i="23"/>
  <c r="Q93" i="23"/>
  <c r="Q101" i="23"/>
  <c r="Q54" i="23"/>
  <c r="Q47" i="23"/>
  <c r="Q57" i="23"/>
  <c r="Q85" i="23"/>
  <c r="Q100" i="23"/>
  <c r="Q82" i="23"/>
  <c r="Q50" i="23"/>
  <c r="Q17" i="23"/>
  <c r="Q36" i="23"/>
  <c r="Q62" i="23"/>
  <c r="Q90" i="23"/>
  <c r="Q53" i="23"/>
  <c r="Q25" i="23"/>
  <c r="Q78" i="23"/>
  <c r="Q38" i="23"/>
  <c r="Q46" i="23"/>
  <c r="Q26" i="23"/>
  <c r="Q88" i="23"/>
  <c r="Q16" i="23"/>
  <c r="Q92" i="23"/>
  <c r="Q37" i="23"/>
  <c r="Q69" i="23"/>
  <c r="Q58" i="23"/>
  <c r="Q66" i="23"/>
  <c r="Q42" i="23"/>
  <c r="Q95" i="23"/>
  <c r="Q98" i="23"/>
  <c r="Q63" i="23"/>
  <c r="Q86" i="23"/>
  <c r="Q40" i="23"/>
  <c r="Q33" i="23"/>
  <c r="Q74" i="23"/>
  <c r="Q23" i="23"/>
  <c r="W355" i="22"/>
  <c r="D297" i="22"/>
  <c r="E297" i="22" s="1"/>
  <c r="F297" i="22" s="1"/>
  <c r="D24" i="22"/>
  <c r="E24" i="22" s="1"/>
  <c r="F24" i="22" s="1"/>
  <c r="G24" i="22" s="1"/>
  <c r="CC24" i="6" s="1"/>
  <c r="I283" i="20"/>
  <c r="D321" i="22"/>
  <c r="E321" i="22" s="1"/>
  <c r="F321" i="22" s="1"/>
  <c r="G321" i="22" s="1"/>
  <c r="CC321" i="6" s="1"/>
  <c r="W231" i="22"/>
  <c r="W176" i="22"/>
  <c r="D301" i="22"/>
  <c r="E301" i="22" s="1"/>
  <c r="F301" i="22" s="1"/>
  <c r="G301" i="22" s="1"/>
  <c r="CC301" i="6" s="1"/>
  <c r="D181" i="22"/>
  <c r="E181" i="22" s="1"/>
  <c r="F181" i="22" s="1"/>
  <c r="G181" i="22" s="1"/>
  <c r="CC181" i="6" s="1"/>
  <c r="D160" i="22"/>
  <c r="E160" i="22" s="1"/>
  <c r="F160" i="22" s="1"/>
  <c r="D247" i="22"/>
  <c r="E247" i="22" s="1"/>
  <c r="F247" i="22" s="1"/>
  <c r="G247" i="22" s="1"/>
  <c r="CC247" i="6" s="1"/>
  <c r="D110" i="22"/>
  <c r="E110" i="22" s="1"/>
  <c r="F110" i="22" s="1"/>
  <c r="G110" i="22" s="1"/>
  <c r="CC110" i="6" s="1"/>
  <c r="D193" i="22"/>
  <c r="E193" i="22" s="1"/>
  <c r="F193" i="22" s="1"/>
  <c r="H193" i="22" s="1"/>
  <c r="D20" i="22"/>
  <c r="E20" i="22" s="1"/>
  <c r="F20" i="22" s="1"/>
  <c r="W53" i="22"/>
  <c r="W233" i="22"/>
  <c r="W61" i="22"/>
  <c r="W190" i="22"/>
  <c r="W214" i="22"/>
  <c r="W32" i="22"/>
  <c r="W360" i="22"/>
  <c r="D26" i="22"/>
  <c r="E26" i="22" s="1"/>
  <c r="F26" i="22" s="1"/>
  <c r="W115" i="22"/>
  <c r="D336" i="22"/>
  <c r="E336" i="22" s="1"/>
  <c r="F336" i="22" s="1"/>
  <c r="D192" i="22"/>
  <c r="E192" i="22" s="1"/>
  <c r="F192" i="22" s="1"/>
  <c r="G192" i="22" s="1"/>
  <c r="CC192" i="6" s="1"/>
  <c r="D139" i="22"/>
  <c r="E139" i="22" s="1"/>
  <c r="F139" i="22" s="1"/>
  <c r="G139" i="22" s="1"/>
  <c r="CC139" i="6" s="1"/>
  <c r="W349" i="22"/>
  <c r="D294" i="22"/>
  <c r="E294" i="22" s="1"/>
  <c r="F294" i="22" s="1"/>
  <c r="W208" i="22"/>
  <c r="D169" i="22"/>
  <c r="E169" i="22" s="1"/>
  <c r="F169" i="22" s="1"/>
  <c r="D296" i="22"/>
  <c r="E296" i="22" s="1"/>
  <c r="F296" i="22" s="1"/>
  <c r="G296" i="22" s="1"/>
  <c r="CC296" i="6" s="1"/>
  <c r="D168" i="22"/>
  <c r="E168" i="22" s="1"/>
  <c r="F168" i="22" s="1"/>
  <c r="D365" i="22"/>
  <c r="E365" i="22" s="1"/>
  <c r="F365" i="22" s="1"/>
  <c r="H365" i="22" s="1"/>
  <c r="W310" i="22"/>
  <c r="W73" i="22"/>
  <c r="W94" i="22"/>
  <c r="D283" i="22"/>
  <c r="E283" i="22" s="1"/>
  <c r="F283" i="22" s="1"/>
  <c r="W34" i="22"/>
  <c r="D33" i="22"/>
  <c r="E33" i="22" s="1"/>
  <c r="F33" i="22" s="1"/>
  <c r="H33" i="22" s="1"/>
  <c r="W31" i="22"/>
  <c r="W123" i="22"/>
  <c r="D282" i="22"/>
  <c r="E282" i="22" s="1"/>
  <c r="F282" i="22" s="1"/>
  <c r="W93" i="22"/>
  <c r="W376" i="22"/>
  <c r="D17" i="22"/>
  <c r="E17" i="22" s="1"/>
  <c r="F17" i="22" s="1"/>
  <c r="G17" i="22" s="1"/>
  <c r="CC17" i="6" s="1"/>
  <c r="D374" i="22"/>
  <c r="E374" i="22" s="1"/>
  <c r="F374" i="22" s="1"/>
  <c r="W300" i="22"/>
  <c r="D16" i="22"/>
  <c r="E16" i="22" s="1"/>
  <c r="F16" i="22" s="1"/>
  <c r="W230" i="22"/>
  <c r="D125" i="22"/>
  <c r="E125" i="22" s="1"/>
  <c r="F125" i="22" s="1"/>
  <c r="D183" i="22"/>
  <c r="E183" i="22" s="1"/>
  <c r="F183" i="22" s="1"/>
  <c r="AA183" i="22" s="1"/>
  <c r="Z183" i="22" s="1"/>
  <c r="Y183" i="22" s="1"/>
  <c r="D118" i="22"/>
  <c r="E118" i="22" s="1"/>
  <c r="F118" i="22" s="1"/>
  <c r="G118" i="22" s="1"/>
  <c r="CC118" i="6" s="1"/>
  <c r="W124" i="22"/>
  <c r="B149" i="22"/>
  <c r="J248" i="20"/>
  <c r="W299" i="22"/>
  <c r="W99" i="22"/>
  <c r="D57" i="22"/>
  <c r="E57" i="22" s="1"/>
  <c r="F57" i="22" s="1"/>
  <c r="H57" i="22" s="1"/>
  <c r="D83" i="22"/>
  <c r="E83" i="22" s="1"/>
  <c r="F83" i="22" s="1"/>
  <c r="G83" i="22" s="1"/>
  <c r="CC83" i="6" s="1"/>
  <c r="W280" i="22"/>
  <c r="D330" i="22"/>
  <c r="E330" i="22" s="1"/>
  <c r="F330" i="22" s="1"/>
  <c r="G330" i="22" s="1"/>
  <c r="CC330" i="6" s="1"/>
  <c r="W212" i="22"/>
  <c r="W122" i="22"/>
  <c r="D100" i="22"/>
  <c r="E100" i="22" s="1"/>
  <c r="F100" i="22" s="1"/>
  <c r="G100" i="22" s="1"/>
  <c r="CC100" i="6" s="1"/>
  <c r="D55" i="22"/>
  <c r="E55" i="22" s="1"/>
  <c r="F55" i="22" s="1"/>
  <c r="G55" i="22" s="1"/>
  <c r="CC55" i="6" s="1"/>
  <c r="D96" i="22"/>
  <c r="E96" i="22" s="1"/>
  <c r="F96" i="22" s="1"/>
  <c r="G96" i="22" s="1"/>
  <c r="CC96" i="6" s="1"/>
  <c r="W68" i="22"/>
  <c r="W265" i="22"/>
  <c r="J323" i="20"/>
  <c r="U382" i="22"/>
  <c r="U383" i="22"/>
  <c r="J289" i="20"/>
  <c r="J16" i="20"/>
  <c r="D239" i="22"/>
  <c r="E239" i="22" s="1"/>
  <c r="F239" i="22" s="1"/>
  <c r="G239" i="22" s="1"/>
  <c r="CC239" i="6" s="1"/>
  <c r="D320" i="22"/>
  <c r="E320" i="22" s="1"/>
  <c r="F320" i="22" s="1"/>
  <c r="G320" i="22" s="1"/>
  <c r="CC320" i="6" s="1"/>
  <c r="I211" i="20"/>
  <c r="H211" i="22" s="1"/>
  <c r="D89" i="22"/>
  <c r="E89" i="22" s="1"/>
  <c r="F89" i="22" s="1"/>
  <c r="AA89" i="22" s="1"/>
  <c r="Z89" i="22" s="1"/>
  <c r="Y89" i="22" s="1"/>
  <c r="W92" i="22"/>
  <c r="D209" i="22"/>
  <c r="E209" i="22" s="1"/>
  <c r="F209" i="22" s="1"/>
  <c r="AA209" i="22" s="1"/>
  <c r="Z209" i="22" s="1"/>
  <c r="Y209" i="22" s="1"/>
  <c r="W86" i="22"/>
  <c r="D102" i="22"/>
  <c r="E102" i="22" s="1"/>
  <c r="F102" i="22" s="1"/>
  <c r="AA102" i="22" s="1"/>
  <c r="Z102" i="22" s="1"/>
  <c r="Y102" i="22" s="1"/>
  <c r="W270" i="22"/>
  <c r="D172" i="22"/>
  <c r="E172" i="22" s="1"/>
  <c r="F172" i="22" s="1"/>
  <c r="H172" i="22" s="1"/>
  <c r="D263" i="22"/>
  <c r="E263" i="22" s="1"/>
  <c r="F263" i="22" s="1"/>
  <c r="G263" i="22" s="1"/>
  <c r="CC263" i="6" s="1"/>
  <c r="W46" i="22"/>
  <c r="D268" i="22"/>
  <c r="E268" i="22" s="1"/>
  <c r="F268" i="22" s="1"/>
  <c r="G268" i="22" s="1"/>
  <c r="CC268" i="6" s="1"/>
  <c r="W242" i="22"/>
  <c r="W59" i="22"/>
  <c r="W167" i="22"/>
  <c r="D113" i="22"/>
  <c r="E113" i="22" s="1"/>
  <c r="F113" i="22" s="1"/>
  <c r="H113" i="22" s="1"/>
  <c r="D200" i="22"/>
  <c r="E200" i="22" s="1"/>
  <c r="F200" i="22" s="1"/>
  <c r="G200" i="22" s="1"/>
  <c r="CC200" i="6" s="1"/>
  <c r="D173" i="22"/>
  <c r="E173" i="22" s="1"/>
  <c r="F173" i="22" s="1"/>
  <c r="AA173" i="22" s="1"/>
  <c r="Z173" i="22" s="1"/>
  <c r="Y173" i="22" s="1"/>
  <c r="D132" i="22"/>
  <c r="E132" i="22" s="1"/>
  <c r="F132" i="22" s="1"/>
  <c r="G132" i="22" s="1"/>
  <c r="CC132" i="6" s="1"/>
  <c r="D228" i="22"/>
  <c r="E228" i="22" s="1"/>
  <c r="F228" i="22" s="1"/>
  <c r="H228" i="22" s="1"/>
  <c r="W367" i="22"/>
  <c r="W223" i="22"/>
  <c r="D252" i="22"/>
  <c r="E252" i="22" s="1"/>
  <c r="F252" i="22" s="1"/>
  <c r="G252" i="22" s="1"/>
  <c r="CC252" i="6" s="1"/>
  <c r="W158" i="22"/>
  <c r="W295" i="22"/>
  <c r="D189" i="22"/>
  <c r="E189" i="22" s="1"/>
  <c r="F189" i="22" s="1"/>
  <c r="G189" i="22" s="1"/>
  <c r="CC189" i="6" s="1"/>
  <c r="W189" i="22"/>
  <c r="J21" i="20"/>
  <c r="D293" i="22"/>
  <c r="E293" i="22" s="1"/>
  <c r="F293" i="22" s="1"/>
  <c r="G293" i="22" s="1"/>
  <c r="CC293" i="6" s="1"/>
  <c r="W261" i="22"/>
  <c r="W211" i="22"/>
  <c r="D54" i="22"/>
  <c r="E54" i="22" s="1"/>
  <c r="F54" i="22" s="1"/>
  <c r="H54" i="22" s="1"/>
  <c r="D246" i="22"/>
  <c r="E246" i="22" s="1"/>
  <c r="F246" i="22" s="1"/>
  <c r="G246" i="22" s="1"/>
  <c r="CC246" i="6" s="1"/>
  <c r="D81" i="22"/>
  <c r="E81" i="22" s="1"/>
  <c r="F81" i="22" s="1"/>
  <c r="G81" i="22" s="1"/>
  <c r="CC81" i="6" s="1"/>
  <c r="J26" i="20"/>
  <c r="I260" i="20"/>
  <c r="W64" i="22"/>
  <c r="W287" i="22"/>
  <c r="W253" i="22"/>
  <c r="D236" i="22"/>
  <c r="E236" i="22" s="1"/>
  <c r="F236" i="22" s="1"/>
  <c r="H236" i="22" s="1"/>
  <c r="W215" i="22"/>
  <c r="W328" i="22"/>
  <c r="D175" i="22"/>
  <c r="E175" i="22" s="1"/>
  <c r="F175" i="22" s="1"/>
  <c r="G175" i="22" s="1"/>
  <c r="CC175" i="6" s="1"/>
  <c r="D213" i="22"/>
  <c r="E213" i="22" s="1"/>
  <c r="F213" i="22" s="1"/>
  <c r="H213" i="22" s="1"/>
  <c r="W107" i="22"/>
  <c r="D164" i="22"/>
  <c r="E164" i="22" s="1"/>
  <c r="F164" i="22" s="1"/>
  <c r="G164" i="22" s="1"/>
  <c r="CC164" i="6" s="1"/>
  <c r="D240" i="22"/>
  <c r="E240" i="22" s="1"/>
  <c r="F240" i="22" s="1"/>
  <c r="AA240" i="22" s="1"/>
  <c r="Z240" i="22" s="1"/>
  <c r="Y240" i="22" s="1"/>
  <c r="W98" i="22"/>
  <c r="W18" i="22"/>
  <c r="W353" i="22"/>
  <c r="D161" i="22"/>
  <c r="E161" i="22" s="1"/>
  <c r="F161" i="22" s="1"/>
  <c r="H161" i="22" s="1"/>
  <c r="W203" i="22"/>
  <c r="W111" i="22"/>
  <c r="W41" i="22"/>
  <c r="D201" i="22"/>
  <c r="E201" i="22" s="1"/>
  <c r="F201" i="22" s="1"/>
  <c r="AA201" i="22" s="1"/>
  <c r="Z201" i="22" s="1"/>
  <c r="Y201" i="22" s="1"/>
  <c r="W85" i="22"/>
  <c r="W279" i="22"/>
  <c r="W337" i="22"/>
  <c r="D87" i="22"/>
  <c r="E87" i="22" s="1"/>
  <c r="F87" i="22" s="1"/>
  <c r="AA87" i="22" s="1"/>
  <c r="Z87" i="22" s="1"/>
  <c r="Y87" i="22" s="1"/>
  <c r="W317" i="22"/>
  <c r="D225" i="22"/>
  <c r="E225" i="22" s="1"/>
  <c r="F225" i="22" s="1"/>
  <c r="G225" i="22" s="1"/>
  <c r="CC225" i="6" s="1"/>
  <c r="W56" i="22"/>
  <c r="D255" i="22"/>
  <c r="E255" i="22" s="1"/>
  <c r="F255" i="22" s="1"/>
  <c r="AA255" i="22" s="1"/>
  <c r="Z255" i="22" s="1"/>
  <c r="Y255" i="22" s="1"/>
  <c r="W373" i="22"/>
  <c r="D316" i="22"/>
  <c r="E316" i="22" s="1"/>
  <c r="F316" i="22" s="1"/>
  <c r="G316" i="22" s="1"/>
  <c r="CC316" i="6" s="1"/>
  <c r="D157" i="22"/>
  <c r="E157" i="22" s="1"/>
  <c r="F157" i="22" s="1"/>
  <c r="G157" i="22" s="1"/>
  <c r="CC157" i="6" s="1"/>
  <c r="D347" i="22"/>
  <c r="E347" i="22" s="1"/>
  <c r="F347" i="22" s="1"/>
  <c r="G347" i="22" s="1"/>
  <c r="CC347" i="6" s="1"/>
  <c r="D131" i="22"/>
  <c r="E131" i="22" s="1"/>
  <c r="F131" i="22" s="1"/>
  <c r="G131" i="22" s="1"/>
  <c r="CC131" i="6" s="1"/>
  <c r="W140" i="22"/>
  <c r="W259" i="22"/>
  <c r="D327" i="22"/>
  <c r="E327" i="22" s="1"/>
  <c r="F327" i="22" s="1"/>
  <c r="AA327" i="22" s="1"/>
  <c r="Z327" i="22" s="1"/>
  <c r="Y327" i="22" s="1"/>
  <c r="J173" i="20"/>
  <c r="J218" i="20"/>
  <c r="J156" i="20"/>
  <c r="I20" i="20"/>
  <c r="H20" i="22" s="1"/>
  <c r="J344" i="20"/>
  <c r="I203" i="20"/>
  <c r="H203" i="22" s="1"/>
  <c r="J196" i="20"/>
  <c r="I352" i="20"/>
  <c r="H352" i="22" s="1"/>
  <c r="I346" i="20"/>
  <c r="H346" i="22" s="1"/>
  <c r="J296" i="20"/>
  <c r="I187" i="20"/>
  <c r="H187" i="22" s="1"/>
  <c r="I151" i="20"/>
  <c r="H151" i="22" s="1"/>
  <c r="J350" i="20"/>
  <c r="I292" i="20"/>
  <c r="H292" i="22" s="1"/>
  <c r="J224" i="20"/>
  <c r="J204" i="20"/>
  <c r="J84" i="20"/>
  <c r="I249" i="20"/>
  <c r="H249" i="22" s="1"/>
  <c r="I177" i="20"/>
  <c r="H177" i="22" s="1"/>
  <c r="I91" i="20"/>
  <c r="H91" i="22" s="1"/>
  <c r="J91" i="22" s="1"/>
  <c r="I232" i="20"/>
  <c r="H232" i="22" s="1"/>
  <c r="I232" i="22" s="1"/>
  <c r="J216" i="20"/>
  <c r="I157" i="20"/>
  <c r="J222" i="20"/>
  <c r="I279" i="20"/>
  <c r="H279" i="22" s="1"/>
  <c r="J81" i="20"/>
  <c r="J205" i="20"/>
  <c r="J271" i="20"/>
  <c r="I255" i="20"/>
  <c r="J62" i="20"/>
  <c r="I317" i="20"/>
  <c r="H317" i="22" s="1"/>
  <c r="J325" i="20"/>
  <c r="J247" i="20"/>
  <c r="I125" i="20"/>
  <c r="H125" i="22" s="1"/>
  <c r="J144" i="20"/>
  <c r="I197" i="20"/>
  <c r="H197" i="22" s="1"/>
  <c r="I19" i="20"/>
  <c r="H19" i="22" s="1"/>
  <c r="J201" i="20"/>
  <c r="I303" i="20"/>
  <c r="H303" i="22" s="1"/>
  <c r="I281" i="20"/>
  <c r="H281" i="22" s="1"/>
  <c r="J353" i="20"/>
  <c r="J30" i="20"/>
  <c r="I143" i="20"/>
  <c r="H143" i="22" s="1"/>
  <c r="J262" i="20"/>
  <c r="I220" i="20"/>
  <c r="H220" i="22" s="1"/>
  <c r="I220" i="22" s="1"/>
  <c r="I357" i="20"/>
  <c r="H357" i="22" s="1"/>
  <c r="J208" i="20"/>
  <c r="J101" i="20"/>
  <c r="J37" i="20"/>
  <c r="J358" i="20"/>
  <c r="I102" i="20"/>
  <c r="J46" i="20"/>
  <c r="J320" i="20"/>
  <c r="J335" i="20"/>
  <c r="I274" i="20"/>
  <c r="H274" i="22" s="1"/>
  <c r="J185" i="20"/>
  <c r="J237" i="20"/>
  <c r="I328" i="20"/>
  <c r="H328" i="22" s="1"/>
  <c r="I298" i="20"/>
  <c r="H298" i="22" s="1"/>
  <c r="J298" i="22" s="1"/>
  <c r="I286" i="20"/>
  <c r="H286" i="22" s="1"/>
  <c r="I77" i="20"/>
  <c r="H77" i="22" s="1"/>
  <c r="I230" i="20"/>
  <c r="H230" i="22" s="1"/>
  <c r="J277" i="20"/>
  <c r="I136" i="20"/>
  <c r="H136" i="22" s="1"/>
  <c r="I28" i="20"/>
  <c r="H28" i="22" s="1"/>
  <c r="J175" i="20"/>
  <c r="I186" i="20"/>
  <c r="H186" i="22" s="1"/>
  <c r="I186" i="22" s="1"/>
  <c r="I256" i="20"/>
  <c r="H256" i="22" s="1"/>
  <c r="J57" i="20"/>
  <c r="J23" i="20"/>
  <c r="I68" i="20"/>
  <c r="H68" i="22" s="1"/>
  <c r="I68" i="22" s="1"/>
  <c r="I100" i="20"/>
  <c r="H100" i="22" s="1"/>
  <c r="J327" i="20"/>
  <c r="J107" i="20"/>
  <c r="J351" i="20"/>
  <c r="J225" i="20"/>
  <c r="J169" i="20"/>
  <c r="J35" i="20"/>
  <c r="J17" i="20"/>
  <c r="J284" i="20"/>
  <c r="J217" i="20"/>
  <c r="I190" i="20"/>
  <c r="H190" i="22" s="1"/>
  <c r="J214" i="20"/>
  <c r="I291" i="20"/>
  <c r="H291" i="22" s="1"/>
  <c r="I306" i="20"/>
  <c r="H306" i="22" s="1"/>
  <c r="I282" i="20"/>
  <c r="H282" i="22" s="1"/>
  <c r="J354" i="20"/>
  <c r="J49" i="20"/>
  <c r="J174" i="20"/>
  <c r="I95" i="20"/>
  <c r="H95" i="22" s="1"/>
  <c r="I189" i="20"/>
  <c r="I171" i="20"/>
  <c r="H171" i="22" s="1"/>
  <c r="I257" i="20"/>
  <c r="H257" i="22" s="1"/>
  <c r="J345" i="20"/>
  <c r="J250" i="20"/>
  <c r="J226" i="20"/>
  <c r="J311" i="20"/>
  <c r="J359" i="20"/>
  <c r="J34" i="20"/>
  <c r="I82" i="20"/>
  <c r="H82" i="22" s="1"/>
  <c r="J82" i="22" s="1"/>
  <c r="I165" i="20"/>
  <c r="H165" i="22" s="1"/>
  <c r="J261" i="20"/>
  <c r="I108" i="20"/>
  <c r="H108" i="22" s="1"/>
  <c r="J108" i="22" s="1"/>
  <c r="I110" i="20"/>
  <c r="H110" i="22" s="1"/>
  <c r="I270" i="20"/>
  <c r="H270" i="22" s="1"/>
  <c r="J115" i="20"/>
  <c r="J94" i="20"/>
  <c r="I246" i="20"/>
  <c r="I337" i="20"/>
  <c r="H337" i="22" s="1"/>
  <c r="I337" i="22" s="1"/>
  <c r="I132" i="20"/>
  <c r="J202" i="20"/>
  <c r="AA302" i="20"/>
  <c r="Z302" i="20" s="1"/>
  <c r="Y302" i="20" s="1"/>
  <c r="J41" i="20"/>
  <c r="I42" i="20"/>
  <c r="H42" i="22" s="1"/>
  <c r="J236" i="20"/>
  <c r="J322" i="20"/>
  <c r="J347" i="20"/>
  <c r="J188" i="20"/>
  <c r="J76" i="20"/>
  <c r="I126" i="20"/>
  <c r="H126" i="22" s="1"/>
  <c r="I252" i="20"/>
  <c r="J148" i="20"/>
  <c r="J93" i="20"/>
  <c r="J65" i="20"/>
  <c r="J141" i="20"/>
  <c r="I343" i="20"/>
  <c r="H343" i="22" s="1"/>
  <c r="I314" i="20"/>
  <c r="H314" i="22" s="1"/>
  <c r="I314" i="22" s="1"/>
  <c r="I18" i="20"/>
  <c r="H18" i="22" s="1"/>
  <c r="I70" i="20"/>
  <c r="H70" i="22" s="1"/>
  <c r="J162" i="20"/>
  <c r="J161" i="20"/>
  <c r="I160" i="20"/>
  <c r="H160" i="22" s="1"/>
  <c r="AA241" i="20"/>
  <c r="Z241" i="20" s="1"/>
  <c r="Y241" i="20" s="1"/>
  <c r="I313" i="20"/>
  <c r="H313" i="22" s="1"/>
  <c r="I83" i="20"/>
  <c r="I67" i="20"/>
  <c r="H67" i="22" s="1"/>
  <c r="J67" i="22" s="1"/>
  <c r="J316" i="20"/>
  <c r="I146" i="20"/>
  <c r="H146" i="22" s="1"/>
  <c r="I170" i="20"/>
  <c r="H170" i="22" s="1"/>
  <c r="I142" i="20"/>
  <c r="H142" i="22" s="1"/>
  <c r="I123" i="20"/>
  <c r="H123" i="22" s="1"/>
  <c r="J309" i="20"/>
  <c r="J368" i="20"/>
  <c r="I147" i="20"/>
  <c r="H147" i="22" s="1"/>
  <c r="I184" i="20"/>
  <c r="H184" i="22" s="1"/>
  <c r="I184" i="22" s="1"/>
  <c r="J55" i="20"/>
  <c r="I243" i="20"/>
  <c r="H243" i="22" s="1"/>
  <c r="I25" i="20"/>
  <c r="H25" i="22" s="1"/>
  <c r="I152" i="20"/>
  <c r="H152" i="22" s="1"/>
  <c r="J117" i="20"/>
  <c r="I374" i="20"/>
  <c r="H374" i="22" s="1"/>
  <c r="J24" i="20"/>
  <c r="J242" i="20"/>
  <c r="J342" i="20"/>
  <c r="J361" i="20"/>
  <c r="J278" i="20"/>
  <c r="J140" i="20"/>
  <c r="I40" i="20"/>
  <c r="H40" i="22" s="1"/>
  <c r="I219" i="20"/>
  <c r="H219" i="22" s="1"/>
  <c r="J312" i="20"/>
  <c r="I338" i="20"/>
  <c r="H338" i="22" s="1"/>
  <c r="I336" i="20"/>
  <c r="H336" i="22" s="1"/>
  <c r="J275" i="20"/>
  <c r="I276" i="20"/>
  <c r="H276" i="22" s="1"/>
  <c r="J105" i="20"/>
  <c r="I63" i="20"/>
  <c r="H63" i="22" s="1"/>
  <c r="J234" i="20"/>
  <c r="J362" i="20"/>
  <c r="J131" i="20"/>
  <c r="J200" i="20"/>
  <c r="J332" i="20"/>
  <c r="J378" i="20"/>
  <c r="J240" i="20"/>
  <c r="J299" i="20"/>
  <c r="H371" i="22"/>
  <c r="I371" i="22" s="1"/>
  <c r="J128" i="20"/>
  <c r="I269" i="20"/>
  <c r="H269" i="22" s="1"/>
  <c r="J355" i="20"/>
  <c r="J319" i="20"/>
  <c r="J238" i="20"/>
  <c r="J371" i="20"/>
  <c r="I192" i="20"/>
  <c r="H192" i="22" s="1"/>
  <c r="I334" i="20"/>
  <c r="H334" i="22" s="1"/>
  <c r="AE11" i="23"/>
  <c r="J80" i="20"/>
  <c r="H24" i="22"/>
  <c r="I24" i="22" s="1"/>
  <c r="H163" i="22"/>
  <c r="I163" i="22" s="1"/>
  <c r="I64" i="20"/>
  <c r="H64" i="22" s="1"/>
  <c r="H178" i="22"/>
  <c r="I178" i="22" s="1"/>
  <c r="E7" i="25"/>
  <c r="E8" i="25"/>
  <c r="K20" i="19" s="1"/>
  <c r="K44" i="19" s="1"/>
  <c r="O381" i="24"/>
  <c r="O383" i="24"/>
  <c r="O382" i="24"/>
  <c r="AC381" i="24"/>
  <c r="AC383" i="24"/>
  <c r="AC382" i="24"/>
  <c r="H36" i="19"/>
  <c r="I36" i="19"/>
  <c r="H320" i="22"/>
  <c r="I320" i="22" s="1"/>
  <c r="V379" i="22"/>
  <c r="B379" i="22" s="1"/>
  <c r="D379" i="22" s="1"/>
  <c r="E379" i="22" s="1"/>
  <c r="F379" i="22" s="1"/>
  <c r="G379" i="22" s="1"/>
  <c r="CC379" i="6" s="1"/>
  <c r="D41" i="19"/>
  <c r="U10" i="23"/>
  <c r="H138" i="22"/>
  <c r="I138" i="22" s="1"/>
  <c r="D210" i="6"/>
  <c r="H176" i="22"/>
  <c r="J176" i="22" s="1"/>
  <c r="AA263" i="22"/>
  <c r="Z263" i="22" s="1"/>
  <c r="Y263" i="22" s="1"/>
  <c r="AA124" i="22"/>
  <c r="Z124" i="22" s="1"/>
  <c r="Y124" i="22" s="1"/>
  <c r="AA313" i="22"/>
  <c r="Z313" i="22" s="1"/>
  <c r="Y313" i="22" s="1"/>
  <c r="AA298" i="22"/>
  <c r="Z298" i="22" s="1"/>
  <c r="Y298" i="22" s="1"/>
  <c r="AA169" i="22"/>
  <c r="Z169" i="22" s="1"/>
  <c r="Y169" i="22" s="1"/>
  <c r="AA28" i="22"/>
  <c r="Z28" i="22" s="1"/>
  <c r="Y28" i="22" s="1"/>
  <c r="AA184" i="22"/>
  <c r="Z184" i="22" s="1"/>
  <c r="Y184" i="22" s="1"/>
  <c r="AA23" i="22"/>
  <c r="Z23" i="22" s="1"/>
  <c r="Y23" i="22" s="1"/>
  <c r="AA269" i="22"/>
  <c r="Z269" i="22" s="1"/>
  <c r="Y269" i="22" s="1"/>
  <c r="AA79" i="22"/>
  <c r="Z79" i="22" s="1"/>
  <c r="Y79" i="22" s="1"/>
  <c r="AA101" i="22"/>
  <c r="Z101" i="22" s="1"/>
  <c r="Y101" i="22" s="1"/>
  <c r="AA163" i="22"/>
  <c r="Z163" i="22" s="1"/>
  <c r="Y163" i="22" s="1"/>
  <c r="AA73" i="22"/>
  <c r="Z73" i="22" s="1"/>
  <c r="Y73" i="22" s="1"/>
  <c r="AA378" i="22"/>
  <c r="Z378" i="22" s="1"/>
  <c r="Y378" i="22" s="1"/>
  <c r="AA171" i="22"/>
  <c r="Z171" i="22" s="1"/>
  <c r="Y171" i="22" s="1"/>
  <c r="AA284" i="22"/>
  <c r="Z284" i="22" s="1"/>
  <c r="Y284" i="22" s="1"/>
  <c r="AA365" i="22"/>
  <c r="Z365" i="22" s="1"/>
  <c r="Y365" i="22" s="1"/>
  <c r="AA236" i="22"/>
  <c r="Z236" i="22" s="1"/>
  <c r="Y236" i="22" s="1"/>
  <c r="AA314" i="22"/>
  <c r="Z314" i="22" s="1"/>
  <c r="Y314" i="22" s="1"/>
  <c r="H217" i="22"/>
  <c r="I217" i="22" s="1"/>
  <c r="H266" i="22"/>
  <c r="I266" i="22" s="1"/>
  <c r="AA217" i="22"/>
  <c r="Z217" i="22" s="1"/>
  <c r="Y217" i="22" s="1"/>
  <c r="H41" i="22"/>
  <c r="I41" i="22" s="1"/>
  <c r="H31" i="22"/>
  <c r="I31" i="22" s="1"/>
  <c r="K67" i="19"/>
  <c r="AA282" i="22"/>
  <c r="Z282" i="22" s="1"/>
  <c r="Y282" i="22" s="1"/>
  <c r="AA33" i="22"/>
  <c r="Z33" i="22" s="1"/>
  <c r="Y33" i="22" s="1"/>
  <c r="AA112" i="22"/>
  <c r="Z112" i="22" s="1"/>
  <c r="Y112" i="22" s="1"/>
  <c r="AA68" i="22"/>
  <c r="Z68" i="22" s="1"/>
  <c r="Y68" i="22" s="1"/>
  <c r="AA306" i="22"/>
  <c r="Z306" i="22" s="1"/>
  <c r="Y306" i="22" s="1"/>
  <c r="AA279" i="22"/>
  <c r="Z279" i="22" s="1"/>
  <c r="Y279" i="22" s="1"/>
  <c r="AA274" i="22"/>
  <c r="Z274" i="22" s="1"/>
  <c r="Y274" i="22" s="1"/>
  <c r="AA367" i="22"/>
  <c r="Z367" i="22" s="1"/>
  <c r="Y367" i="22" s="1"/>
  <c r="AA265" i="22"/>
  <c r="Z265" i="22" s="1"/>
  <c r="Y265" i="22" s="1"/>
  <c r="AA56" i="22"/>
  <c r="Z56" i="22" s="1"/>
  <c r="Y56" i="22" s="1"/>
  <c r="AA239" i="22"/>
  <c r="Z239" i="22" s="1"/>
  <c r="Y239" i="22" s="1"/>
  <c r="AA138" i="22"/>
  <c r="Z138" i="22" s="1"/>
  <c r="Y138" i="22" s="1"/>
  <c r="H367" i="22"/>
  <c r="J367" i="22" s="1"/>
  <c r="H280" i="22"/>
  <c r="J280" i="22" s="1"/>
  <c r="H202" i="22"/>
  <c r="I202" i="22" s="1"/>
  <c r="AA353" i="22"/>
  <c r="Z353" i="22" s="1"/>
  <c r="Y353" i="22" s="1"/>
  <c r="AA85" i="22"/>
  <c r="Z85" i="22" s="1"/>
  <c r="Y85" i="22" s="1"/>
  <c r="AA17" i="22"/>
  <c r="Z17" i="22" s="1"/>
  <c r="Y17" i="22" s="1"/>
  <c r="AA41" i="22"/>
  <c r="Z41" i="22" s="1"/>
  <c r="Y41" i="22" s="1"/>
  <c r="AA337" i="22"/>
  <c r="Z337" i="22" s="1"/>
  <c r="Y337" i="22" s="1"/>
  <c r="AA317" i="22"/>
  <c r="Z317" i="22" s="1"/>
  <c r="Y317" i="22" s="1"/>
  <c r="AA93" i="22"/>
  <c r="Z93" i="22" s="1"/>
  <c r="Y93" i="22" s="1"/>
  <c r="AA31" i="22"/>
  <c r="Z31" i="22" s="1"/>
  <c r="Y31" i="22" s="1"/>
  <c r="AA202" i="22"/>
  <c r="Z202" i="22" s="1"/>
  <c r="Y202" i="22" s="1"/>
  <c r="AA374" i="22"/>
  <c r="Z374" i="22" s="1"/>
  <c r="Y374" i="22" s="1"/>
  <c r="AA111" i="22"/>
  <c r="Z111" i="22" s="1"/>
  <c r="Y111" i="22" s="1"/>
  <c r="H56" i="22"/>
  <c r="J56" i="22" s="1"/>
  <c r="H93" i="22"/>
  <c r="I93" i="22" s="1"/>
  <c r="H239" i="22"/>
  <c r="I239" i="22" s="1"/>
  <c r="U4" i="6"/>
  <c r="H48" i="22"/>
  <c r="I48" i="22" s="1"/>
  <c r="AJ4" i="6"/>
  <c r="H301" i="22"/>
  <c r="J301" i="22" s="1"/>
  <c r="H51" i="22"/>
  <c r="J51" i="22" s="1"/>
  <c r="H159" i="22"/>
  <c r="J159" i="22" s="1"/>
  <c r="H22" i="22"/>
  <c r="J22" i="22" s="1"/>
  <c r="H101" i="22"/>
  <c r="I101" i="22" s="1"/>
  <c r="H268" i="22"/>
  <c r="I268" i="22" s="1"/>
  <c r="H366" i="22"/>
  <c r="I366" i="22" s="1"/>
  <c r="H118" i="22"/>
  <c r="J118" i="22" s="1"/>
  <c r="D67" i="19"/>
  <c r="I67" i="19"/>
  <c r="F67" i="19"/>
  <c r="H128" i="22"/>
  <c r="H188" i="22"/>
  <c r="AA164" i="22"/>
  <c r="Z164" i="22" s="1"/>
  <c r="Y164" i="22" s="1"/>
  <c r="AA235" i="22"/>
  <c r="Z235" i="22" s="1"/>
  <c r="Y235" i="22" s="1"/>
  <c r="AA22" i="22"/>
  <c r="Z22" i="22" s="1"/>
  <c r="Y22" i="22" s="1"/>
  <c r="AA139" i="22"/>
  <c r="Z139" i="22" s="1"/>
  <c r="Y139" i="22" s="1"/>
  <c r="AA157" i="22"/>
  <c r="Z157" i="22" s="1"/>
  <c r="Y157" i="22" s="1"/>
  <c r="AA232" i="22"/>
  <c r="Z232" i="22" s="1"/>
  <c r="Y232" i="22" s="1"/>
  <c r="AA186" i="22"/>
  <c r="Z186" i="22" s="1"/>
  <c r="Y186" i="22" s="1"/>
  <c r="AA267" i="22"/>
  <c r="Z267" i="22" s="1"/>
  <c r="Y267" i="22" s="1"/>
  <c r="AA213" i="22"/>
  <c r="Z213" i="22" s="1"/>
  <c r="Y213" i="22" s="1"/>
  <c r="AA118" i="22"/>
  <c r="Z118" i="22" s="1"/>
  <c r="Y118" i="22" s="1"/>
  <c r="AA115" i="22"/>
  <c r="Z115" i="22" s="1"/>
  <c r="Y115" i="22" s="1"/>
  <c r="AA330" i="22"/>
  <c r="Z330" i="22" s="1"/>
  <c r="Y330" i="22" s="1"/>
  <c r="AA344" i="22"/>
  <c r="Z344" i="22" s="1"/>
  <c r="Y344" i="22" s="1"/>
  <c r="AA24" i="22"/>
  <c r="Z24" i="22" s="1"/>
  <c r="Y24" i="22" s="1"/>
  <c r="H263" i="22"/>
  <c r="J263" i="22" s="1"/>
  <c r="H378" i="22"/>
  <c r="G14" i="19"/>
  <c r="AB9" i="17"/>
  <c r="F11" i="17"/>
  <c r="AM8" i="17"/>
  <c r="AA382" i="17"/>
  <c r="Z15" i="17"/>
  <c r="AL9" i="17"/>
  <c r="AA381" i="17"/>
  <c r="AA9" i="17"/>
  <c r="AA383" i="17"/>
  <c r="AA210" i="20"/>
  <c r="Z210" i="20" s="1"/>
  <c r="Y210" i="20" s="1"/>
  <c r="G210" i="20"/>
  <c r="CB210" i="6" s="1"/>
  <c r="H210" i="20"/>
  <c r="AL4" i="6"/>
  <c r="D363" i="6"/>
  <c r="AK4" i="16"/>
  <c r="R13" i="19" s="1"/>
  <c r="N14" i="19" s="1"/>
  <c r="AM13" i="16"/>
  <c r="H299" i="22"/>
  <c r="G299" i="22"/>
  <c r="CC299" i="6" s="1"/>
  <c r="AA299" i="22"/>
  <c r="Z299" i="22" s="1"/>
  <c r="Y299" i="22" s="1"/>
  <c r="G166" i="22"/>
  <c r="CC166" i="6" s="1"/>
  <c r="AA166" i="22"/>
  <c r="Z166" i="22" s="1"/>
  <c r="Y166" i="22" s="1"/>
  <c r="H166" i="22"/>
  <c r="H231" i="22"/>
  <c r="G231" i="22"/>
  <c r="CC231" i="6" s="1"/>
  <c r="AA231" i="22"/>
  <c r="Z231" i="22" s="1"/>
  <c r="Y231" i="22" s="1"/>
  <c r="AA69" i="22"/>
  <c r="Z69" i="22" s="1"/>
  <c r="Y69" i="22" s="1"/>
  <c r="H69" i="22"/>
  <c r="G69" i="22"/>
  <c r="CC69" i="6" s="1"/>
  <c r="G92" i="22"/>
  <c r="CC92" i="6" s="1"/>
  <c r="AA92" i="22"/>
  <c r="Z92" i="22" s="1"/>
  <c r="Y92" i="22" s="1"/>
  <c r="H92" i="22"/>
  <c r="G75" i="22"/>
  <c r="CC75" i="6" s="1"/>
  <c r="H75" i="22"/>
  <c r="AA75" i="22"/>
  <c r="Z75" i="22" s="1"/>
  <c r="Y75" i="22" s="1"/>
  <c r="H209" i="22"/>
  <c r="B180" i="22"/>
  <c r="G67" i="19"/>
  <c r="G303" i="22"/>
  <c r="CC303" i="6" s="1"/>
  <c r="AA303" i="22"/>
  <c r="Z303" i="22" s="1"/>
  <c r="Y303" i="22" s="1"/>
  <c r="AA309" i="22"/>
  <c r="Z309" i="22" s="1"/>
  <c r="Y309" i="22" s="1"/>
  <c r="G309" i="22"/>
  <c r="CC309" i="6" s="1"/>
  <c r="H309" i="22"/>
  <c r="AA181" i="22"/>
  <c r="Z181" i="22" s="1"/>
  <c r="Y181" i="22" s="1"/>
  <c r="B60" i="22"/>
  <c r="C67" i="19"/>
  <c r="H311" i="22"/>
  <c r="G311" i="22"/>
  <c r="CC311" i="6" s="1"/>
  <c r="AA311" i="22"/>
  <c r="Z311" i="22" s="1"/>
  <c r="Y311" i="22" s="1"/>
  <c r="AA154" i="22"/>
  <c r="Z154" i="22" s="1"/>
  <c r="Y154" i="22" s="1"/>
  <c r="G154" i="22"/>
  <c r="CC154" i="6" s="1"/>
  <c r="H154" i="22"/>
  <c r="G160" i="22"/>
  <c r="CC160" i="6" s="1"/>
  <c r="AA160" i="22"/>
  <c r="Z160" i="22" s="1"/>
  <c r="Y160" i="22" s="1"/>
  <c r="H185" i="22"/>
  <c r="AA185" i="22"/>
  <c r="Z185" i="22" s="1"/>
  <c r="Y185" i="22" s="1"/>
  <c r="G185" i="22"/>
  <c r="CC185" i="6" s="1"/>
  <c r="G250" i="22"/>
  <c r="CC250" i="6" s="1"/>
  <c r="AA250" i="22"/>
  <c r="Z250" i="22" s="1"/>
  <c r="Y250" i="22" s="1"/>
  <c r="H250" i="22"/>
  <c r="H354" i="22"/>
  <c r="AA354" i="22"/>
  <c r="Z354" i="22" s="1"/>
  <c r="Y354" i="22" s="1"/>
  <c r="G354" i="22"/>
  <c r="CC354" i="6" s="1"/>
  <c r="G305" i="22"/>
  <c r="CC305" i="6" s="1"/>
  <c r="AA305" i="22"/>
  <c r="Z305" i="22" s="1"/>
  <c r="Y305" i="22" s="1"/>
  <c r="H305" i="22"/>
  <c r="AA90" i="22"/>
  <c r="Z90" i="22" s="1"/>
  <c r="Y90" i="22" s="1"/>
  <c r="H90" i="22"/>
  <c r="G90" i="22"/>
  <c r="CC90" i="6" s="1"/>
  <c r="G351" i="22"/>
  <c r="CC351" i="6" s="1"/>
  <c r="H351" i="22"/>
  <c r="AA351" i="22"/>
  <c r="Z351" i="22" s="1"/>
  <c r="Y351" i="22" s="1"/>
  <c r="G144" i="22"/>
  <c r="CC144" i="6" s="1"/>
  <c r="AA144" i="22"/>
  <c r="Z144" i="22" s="1"/>
  <c r="Y144" i="22" s="1"/>
  <c r="H144" i="22"/>
  <c r="AA193" i="22"/>
  <c r="Z193" i="22" s="1"/>
  <c r="Y193" i="22" s="1"/>
  <c r="G54" i="22"/>
  <c r="CC54" i="6" s="1"/>
  <c r="AA54" i="22"/>
  <c r="Z54" i="22" s="1"/>
  <c r="Y54" i="22" s="1"/>
  <c r="AA155" i="22"/>
  <c r="Z155" i="22" s="1"/>
  <c r="Y155" i="22" s="1"/>
  <c r="G155" i="22"/>
  <c r="CC155" i="6" s="1"/>
  <c r="H155" i="22"/>
  <c r="G57" i="22"/>
  <c r="CC57" i="6" s="1"/>
  <c r="AA57" i="22"/>
  <c r="Z57" i="22" s="1"/>
  <c r="Y57" i="22" s="1"/>
  <c r="G362" i="22"/>
  <c r="CC362" i="6" s="1"/>
  <c r="H362" i="22"/>
  <c r="H199" i="22"/>
  <c r="G199" i="22"/>
  <c r="CC199" i="6" s="1"/>
  <c r="H81" i="22"/>
  <c r="G62" i="22"/>
  <c r="CC62" i="6" s="1"/>
  <c r="H62" i="22"/>
  <c r="G233" i="22"/>
  <c r="CC233" i="6" s="1"/>
  <c r="H233" i="22"/>
  <c r="G260" i="22"/>
  <c r="CC260" i="6" s="1"/>
  <c r="H260" i="22"/>
  <c r="G291" i="22"/>
  <c r="CC291" i="6" s="1"/>
  <c r="G244" i="22"/>
  <c r="CC244" i="6" s="1"/>
  <c r="H244" i="22"/>
  <c r="D74" i="22"/>
  <c r="E74" i="22" s="1"/>
  <c r="F74" i="22" s="1"/>
  <c r="W74" i="22"/>
  <c r="H361" i="22"/>
  <c r="G361" i="22"/>
  <c r="CC361" i="6" s="1"/>
  <c r="G145" i="22"/>
  <c r="CC145" i="6" s="1"/>
  <c r="H145" i="22"/>
  <c r="G273" i="22"/>
  <c r="CC273" i="6" s="1"/>
  <c r="H273" i="22"/>
  <c r="G343" i="22"/>
  <c r="CC343" i="6" s="1"/>
  <c r="AA142" i="22"/>
  <c r="Z142" i="22" s="1"/>
  <c r="Y142" i="22" s="1"/>
  <c r="G142" i="22"/>
  <c r="CC142" i="6" s="1"/>
  <c r="H174" i="22"/>
  <c r="G174" i="22"/>
  <c r="CC174" i="6" s="1"/>
  <c r="AA174" i="22"/>
  <c r="Z174" i="22" s="1"/>
  <c r="Y174" i="22" s="1"/>
  <c r="AA198" i="22"/>
  <c r="Z198" i="22" s="1"/>
  <c r="Y198" i="22" s="1"/>
  <c r="G198" i="22"/>
  <c r="CC198" i="6" s="1"/>
  <c r="H198" i="22"/>
  <c r="G71" i="22"/>
  <c r="CC71" i="6" s="1"/>
  <c r="H71" i="22"/>
  <c r="AA71" i="22"/>
  <c r="Z71" i="22" s="1"/>
  <c r="Y71" i="22" s="1"/>
  <c r="AA148" i="22"/>
  <c r="Z148" i="22" s="1"/>
  <c r="Y148" i="22" s="1"/>
  <c r="G148" i="22"/>
  <c r="CC148" i="6" s="1"/>
  <c r="H148" i="22"/>
  <c r="G315" i="22"/>
  <c r="CC315" i="6" s="1"/>
  <c r="AA315" i="22"/>
  <c r="Z315" i="22" s="1"/>
  <c r="Y315" i="22" s="1"/>
  <c r="H315" i="22"/>
  <c r="AA51" i="22"/>
  <c r="Z51" i="22" s="1"/>
  <c r="Y51" i="22" s="1"/>
  <c r="G51" i="22"/>
  <c r="CC51" i="6" s="1"/>
  <c r="T382" i="22"/>
  <c r="T381" i="22"/>
  <c r="S15" i="22"/>
  <c r="T383" i="22"/>
  <c r="H45" i="22"/>
  <c r="AA45" i="22"/>
  <c r="Z45" i="22" s="1"/>
  <c r="Y45" i="22" s="1"/>
  <c r="G45" i="22"/>
  <c r="CC45" i="6" s="1"/>
  <c r="H72" i="22"/>
  <c r="G72" i="22"/>
  <c r="CC72" i="6" s="1"/>
  <c r="H194" i="22"/>
  <c r="G194" i="22"/>
  <c r="CC194" i="6" s="1"/>
  <c r="G219" i="22"/>
  <c r="CC219" i="6" s="1"/>
  <c r="H271" i="22"/>
  <c r="G271" i="22"/>
  <c r="CC271" i="6" s="1"/>
  <c r="G52" i="22"/>
  <c r="CC52" i="6" s="1"/>
  <c r="H52" i="22"/>
  <c r="H331" i="22"/>
  <c r="G331" i="22"/>
  <c r="CC331" i="6" s="1"/>
  <c r="G276" i="22"/>
  <c r="CC276" i="6" s="1"/>
  <c r="G134" i="22"/>
  <c r="CC134" i="6" s="1"/>
  <c r="H134" i="22"/>
  <c r="AA134" i="22"/>
  <c r="Z134" i="22" s="1"/>
  <c r="Y134" i="22" s="1"/>
  <c r="G26" i="22"/>
  <c r="CC26" i="6" s="1"/>
  <c r="H26" i="22"/>
  <c r="AA26" i="22"/>
  <c r="Z26" i="22" s="1"/>
  <c r="Y26" i="22" s="1"/>
  <c r="G47" i="22"/>
  <c r="CC47" i="6" s="1"/>
  <c r="H47" i="22"/>
  <c r="AA47" i="22"/>
  <c r="Z47" i="22" s="1"/>
  <c r="Y47" i="22" s="1"/>
  <c r="W227" i="22"/>
  <c r="D227" i="22"/>
  <c r="E227" i="22" s="1"/>
  <c r="F227" i="22" s="1"/>
  <c r="AA36" i="22"/>
  <c r="Z36" i="22" s="1"/>
  <c r="Y36" i="22" s="1"/>
  <c r="G36" i="22"/>
  <c r="CC36" i="6" s="1"/>
  <c r="H36" i="22"/>
  <c r="G352" i="22"/>
  <c r="CC352" i="6" s="1"/>
  <c r="D241" i="22"/>
  <c r="E241" i="22" s="1"/>
  <c r="F241" i="22" s="1"/>
  <c r="W241" i="22"/>
  <c r="W88" i="22"/>
  <c r="D88" i="22"/>
  <c r="E88" i="22" s="1"/>
  <c r="F88" i="22" s="1"/>
  <c r="H237" i="22"/>
  <c r="AA237" i="22"/>
  <c r="Z237" i="22" s="1"/>
  <c r="Y237" i="22" s="1"/>
  <c r="G237" i="22"/>
  <c r="CC237" i="6" s="1"/>
  <c r="W135" i="22"/>
  <c r="D135" i="22"/>
  <c r="E135" i="22" s="1"/>
  <c r="F135" i="22" s="1"/>
  <c r="H248" i="22"/>
  <c r="G248" i="22"/>
  <c r="CC248" i="6" s="1"/>
  <c r="H226" i="22"/>
  <c r="G226" i="22"/>
  <c r="CC226" i="6" s="1"/>
  <c r="H84" i="22"/>
  <c r="G84" i="22"/>
  <c r="CC84" i="6" s="1"/>
  <c r="G156" i="22"/>
  <c r="CC156" i="6" s="1"/>
  <c r="H156" i="22"/>
  <c r="AA149" i="20"/>
  <c r="Z149" i="20" s="1"/>
  <c r="Y149" i="20" s="1"/>
  <c r="G149" i="20"/>
  <c r="CB149" i="6" s="1"/>
  <c r="H149" i="20"/>
  <c r="H241" i="20"/>
  <c r="B241" i="6"/>
  <c r="BA241" i="6" s="1"/>
  <c r="AA291" i="22"/>
  <c r="Z291" i="22" s="1"/>
  <c r="Y291" i="22" s="1"/>
  <c r="AA273" i="22"/>
  <c r="Z273" i="22" s="1"/>
  <c r="Y273" i="22" s="1"/>
  <c r="AA364" i="22"/>
  <c r="Z364" i="22" s="1"/>
  <c r="Y364" i="22" s="1"/>
  <c r="AA332" i="22"/>
  <c r="Z332" i="22" s="1"/>
  <c r="Y332" i="22" s="1"/>
  <c r="AA271" i="22"/>
  <c r="Z271" i="22" s="1"/>
  <c r="Y271" i="22" s="1"/>
  <c r="AA290" i="22"/>
  <c r="Z290" i="22" s="1"/>
  <c r="Y290" i="22" s="1"/>
  <c r="AA86" i="22"/>
  <c r="Z86" i="22" s="1"/>
  <c r="Y86" i="22" s="1"/>
  <c r="AA104" i="22"/>
  <c r="Z104" i="22" s="1"/>
  <c r="Y104" i="22" s="1"/>
  <c r="AA199" i="22"/>
  <c r="Z199" i="22" s="1"/>
  <c r="Y199" i="22" s="1"/>
  <c r="AA72" i="22"/>
  <c r="Z72" i="22" s="1"/>
  <c r="Y72" i="22" s="1"/>
  <c r="AA304" i="22"/>
  <c r="Z304" i="22" s="1"/>
  <c r="Y304" i="22" s="1"/>
  <c r="AA226" i="22"/>
  <c r="Z226" i="22" s="1"/>
  <c r="Y226" i="22" s="1"/>
  <c r="AA106" i="22"/>
  <c r="Z106" i="22" s="1"/>
  <c r="Y106" i="22" s="1"/>
  <c r="AA277" i="22"/>
  <c r="Z277" i="22" s="1"/>
  <c r="Y277" i="22" s="1"/>
  <c r="AA99" i="22"/>
  <c r="Z99" i="22" s="1"/>
  <c r="Y99" i="22" s="1"/>
  <c r="AA331" i="22"/>
  <c r="Z331" i="22" s="1"/>
  <c r="Y331" i="22" s="1"/>
  <c r="AA366" i="22"/>
  <c r="Z366" i="22" s="1"/>
  <c r="Y366" i="22" s="1"/>
  <c r="AA247" i="22"/>
  <c r="Z247" i="22" s="1"/>
  <c r="Y247" i="22" s="1"/>
  <c r="AA211" i="22"/>
  <c r="Z211" i="22" s="1"/>
  <c r="Y211" i="22" s="1"/>
  <c r="AA343" i="22"/>
  <c r="Z343" i="22" s="1"/>
  <c r="Y343" i="22" s="1"/>
  <c r="AA170" i="22"/>
  <c r="Z170" i="22" s="1"/>
  <c r="Y170" i="22" s="1"/>
  <c r="AA188" i="22"/>
  <c r="Z188" i="22" s="1"/>
  <c r="Y188" i="22" s="1"/>
  <c r="AA165" i="22"/>
  <c r="Z165" i="22" s="1"/>
  <c r="Y165" i="22" s="1"/>
  <c r="AA52" i="22"/>
  <c r="Z52" i="22" s="1"/>
  <c r="Y52" i="22" s="1"/>
  <c r="AA224" i="22"/>
  <c r="Z224" i="22" s="1"/>
  <c r="Y224" i="22" s="1"/>
  <c r="AA159" i="22"/>
  <c r="Z159" i="22" s="1"/>
  <c r="Y159" i="22" s="1"/>
  <c r="AA194" i="22"/>
  <c r="Z194" i="22" s="1"/>
  <c r="Y194" i="22" s="1"/>
  <c r="AA244" i="22"/>
  <c r="Z244" i="22" s="1"/>
  <c r="Y244" i="22" s="1"/>
  <c r="AA218" i="22"/>
  <c r="Z218" i="22" s="1"/>
  <c r="Y218" i="22" s="1"/>
  <c r="AA195" i="22"/>
  <c r="Z195" i="22" s="1"/>
  <c r="Y195" i="22" s="1"/>
  <c r="AA91" i="22"/>
  <c r="Z91" i="22" s="1"/>
  <c r="Y91" i="22" s="1"/>
  <c r="AA356" i="22"/>
  <c r="Z356" i="22" s="1"/>
  <c r="Y356" i="22" s="1"/>
  <c r="AA219" i="22"/>
  <c r="Z219" i="22" s="1"/>
  <c r="Y219" i="22" s="1"/>
  <c r="AA260" i="22"/>
  <c r="Z260" i="22" s="1"/>
  <c r="Y260" i="22" s="1"/>
  <c r="AA352" i="22"/>
  <c r="Z352" i="22" s="1"/>
  <c r="Y352" i="22" s="1"/>
  <c r="AA172" i="22"/>
  <c r="Z172" i="22" s="1"/>
  <c r="Y172" i="22" s="1"/>
  <c r="AA233" i="22"/>
  <c r="Z233" i="22" s="1"/>
  <c r="Y233" i="22" s="1"/>
  <c r="AA67" i="22"/>
  <c r="Z67" i="22" s="1"/>
  <c r="Y67" i="22" s="1"/>
  <c r="AA276" i="22"/>
  <c r="Z276" i="22" s="1"/>
  <c r="Y276" i="22" s="1"/>
  <c r="H86" i="22"/>
  <c r="H104" i="22"/>
  <c r="H97" i="22"/>
  <c r="AA180" i="20"/>
  <c r="Z180" i="20" s="1"/>
  <c r="Y180" i="20" s="1"/>
  <c r="G180" i="20"/>
  <c r="CB180" i="6" s="1"/>
  <c r="H180" i="20"/>
  <c r="H304" i="22"/>
  <c r="Q12" i="24"/>
  <c r="AT15" i="7"/>
  <c r="H73" i="22"/>
  <c r="H17" i="22"/>
  <c r="H65" i="22"/>
  <c r="P15" i="20"/>
  <c r="R383" i="20"/>
  <c r="R381" i="20"/>
  <c r="R382" i="20"/>
  <c r="H195" i="22"/>
  <c r="G280" i="22"/>
  <c r="CC280" i="6" s="1"/>
  <c r="AA280" i="22"/>
  <c r="Z280" i="22" s="1"/>
  <c r="Y280" i="22" s="1"/>
  <c r="G335" i="22"/>
  <c r="CC335" i="6" s="1"/>
  <c r="AA335" i="22"/>
  <c r="Z335" i="22" s="1"/>
  <c r="Y335" i="22" s="1"/>
  <c r="H335" i="22"/>
  <c r="G64" i="22"/>
  <c r="CC64" i="6" s="1"/>
  <c r="AA64" i="22"/>
  <c r="Z64" i="22" s="1"/>
  <c r="Y64" i="22" s="1"/>
  <c r="G266" i="22"/>
  <c r="CC266" i="6" s="1"/>
  <c r="AA266" i="22"/>
  <c r="Z266" i="22" s="1"/>
  <c r="Y266" i="22" s="1"/>
  <c r="G287" i="22"/>
  <c r="CC287" i="6" s="1"/>
  <c r="H287" i="22"/>
  <c r="AA287" i="22"/>
  <c r="Z287" i="22" s="1"/>
  <c r="Y287" i="22" s="1"/>
  <c r="AA336" i="22"/>
  <c r="Z336" i="22" s="1"/>
  <c r="Y336" i="22" s="1"/>
  <c r="G336" i="22"/>
  <c r="CC336" i="6" s="1"/>
  <c r="G70" i="22"/>
  <c r="CC70" i="6" s="1"/>
  <c r="AA70" i="22"/>
  <c r="Z70" i="22" s="1"/>
  <c r="Y70" i="22" s="1"/>
  <c r="AA253" i="22"/>
  <c r="Z253" i="22" s="1"/>
  <c r="Y253" i="22" s="1"/>
  <c r="H253" i="22"/>
  <c r="G253" i="22"/>
  <c r="CC253" i="6" s="1"/>
  <c r="AA324" i="22"/>
  <c r="Z324" i="22" s="1"/>
  <c r="Y324" i="22" s="1"/>
  <c r="H324" i="22"/>
  <c r="G324" i="22"/>
  <c r="CC324" i="6" s="1"/>
  <c r="H46" i="22"/>
  <c r="AA46" i="22"/>
  <c r="Z46" i="22" s="1"/>
  <c r="Y46" i="22" s="1"/>
  <c r="G46" i="22"/>
  <c r="CC46" i="6" s="1"/>
  <c r="H49" i="22"/>
  <c r="AA49" i="22"/>
  <c r="Z49" i="22" s="1"/>
  <c r="Y49" i="22" s="1"/>
  <c r="G49" i="22"/>
  <c r="CC49" i="6" s="1"/>
  <c r="G215" i="22"/>
  <c r="CC215" i="6" s="1"/>
  <c r="H215" i="22"/>
  <c r="AA215" i="22"/>
  <c r="Z215" i="22" s="1"/>
  <c r="Y215" i="22" s="1"/>
  <c r="AA328" i="22"/>
  <c r="Z328" i="22" s="1"/>
  <c r="Y328" i="22" s="1"/>
  <c r="G328" i="22"/>
  <c r="CC328" i="6" s="1"/>
  <c r="G294" i="22"/>
  <c r="CC294" i="6" s="1"/>
  <c r="H294" i="22"/>
  <c r="AA294" i="22"/>
  <c r="Z294" i="22" s="1"/>
  <c r="Y294" i="22" s="1"/>
  <c r="AA212" i="22"/>
  <c r="Z212" i="22" s="1"/>
  <c r="Y212" i="22" s="1"/>
  <c r="G212" i="22"/>
  <c r="CC212" i="6" s="1"/>
  <c r="H212" i="22"/>
  <c r="H208" i="22"/>
  <c r="AA208" i="22"/>
  <c r="Z208" i="22" s="1"/>
  <c r="Y208" i="22" s="1"/>
  <c r="G208" i="22"/>
  <c r="CC208" i="6" s="1"/>
  <c r="G242" i="22"/>
  <c r="CC242" i="6" s="1"/>
  <c r="H242" i="22"/>
  <c r="AA242" i="22"/>
  <c r="Z242" i="22" s="1"/>
  <c r="Y242" i="22" s="1"/>
  <c r="G307" i="22"/>
  <c r="CC307" i="6" s="1"/>
  <c r="AA307" i="22"/>
  <c r="Z307" i="22" s="1"/>
  <c r="Y307" i="22" s="1"/>
  <c r="H307" i="22"/>
  <c r="AA296" i="22"/>
  <c r="Z296" i="22" s="1"/>
  <c r="Y296" i="22" s="1"/>
  <c r="G107" i="22"/>
  <c r="CC107" i="6" s="1"/>
  <c r="AA107" i="22"/>
  <c r="Z107" i="22" s="1"/>
  <c r="Y107" i="22" s="1"/>
  <c r="H107" i="22"/>
  <c r="AA322" i="22"/>
  <c r="Z322" i="22" s="1"/>
  <c r="Y322" i="22" s="1"/>
  <c r="H322" i="22"/>
  <c r="G322" i="22"/>
  <c r="CC322" i="6" s="1"/>
  <c r="H59" i="22"/>
  <c r="AA59" i="22"/>
  <c r="Z59" i="22" s="1"/>
  <c r="Y59" i="22" s="1"/>
  <c r="G59" i="22"/>
  <c r="CC59" i="6" s="1"/>
  <c r="G168" i="22"/>
  <c r="CC168" i="6" s="1"/>
  <c r="AA168" i="22"/>
  <c r="Z168" i="22" s="1"/>
  <c r="Y168" i="22" s="1"/>
  <c r="H168" i="22"/>
  <c r="H122" i="22"/>
  <c r="G122" i="22"/>
  <c r="CC122" i="6" s="1"/>
  <c r="AA122" i="22"/>
  <c r="Z122" i="22" s="1"/>
  <c r="Y122" i="22" s="1"/>
  <c r="G229" i="22"/>
  <c r="CC229" i="6" s="1"/>
  <c r="AA229" i="22"/>
  <c r="Z229" i="22" s="1"/>
  <c r="Y229" i="22" s="1"/>
  <c r="H229" i="22"/>
  <c r="G167" i="22"/>
  <c r="CC167" i="6" s="1"/>
  <c r="H167" i="22"/>
  <c r="AA167" i="22"/>
  <c r="Z167" i="22" s="1"/>
  <c r="Y167" i="22" s="1"/>
  <c r="G310" i="22"/>
  <c r="CC310" i="6" s="1"/>
  <c r="H310" i="22"/>
  <c r="AA310" i="22"/>
  <c r="Z310" i="22" s="1"/>
  <c r="Y310" i="22" s="1"/>
  <c r="H98" i="22"/>
  <c r="G98" i="22"/>
  <c r="CC98" i="6" s="1"/>
  <c r="AA98" i="22"/>
  <c r="Z98" i="22" s="1"/>
  <c r="Y98" i="22" s="1"/>
  <c r="G318" i="22"/>
  <c r="CC318" i="6" s="1"/>
  <c r="H318" i="22"/>
  <c r="AA318" i="22"/>
  <c r="Z318" i="22" s="1"/>
  <c r="Y318" i="22" s="1"/>
  <c r="G355" i="22"/>
  <c r="CC355" i="6" s="1"/>
  <c r="AA355" i="22"/>
  <c r="Z355" i="22" s="1"/>
  <c r="Y355" i="22" s="1"/>
  <c r="H355" i="22"/>
  <c r="G359" i="22"/>
  <c r="CC359" i="6" s="1"/>
  <c r="AA359" i="22"/>
  <c r="Z359" i="22" s="1"/>
  <c r="Y359" i="22" s="1"/>
  <c r="H359" i="22"/>
  <c r="G18" i="22"/>
  <c r="CC18" i="6" s="1"/>
  <c r="AA18" i="22"/>
  <c r="Z18" i="22" s="1"/>
  <c r="Y18" i="22" s="1"/>
  <c r="L67" i="19"/>
  <c r="H94" i="22"/>
  <c r="AA94" i="22"/>
  <c r="Z94" i="22" s="1"/>
  <c r="Y94" i="22" s="1"/>
  <c r="G94" i="22"/>
  <c r="CC94" i="6" s="1"/>
  <c r="AA100" i="22"/>
  <c r="Z100" i="22" s="1"/>
  <c r="Y100" i="22" s="1"/>
  <c r="AA113" i="22"/>
  <c r="Z113" i="22" s="1"/>
  <c r="Y113" i="22" s="1"/>
  <c r="AA283" i="22"/>
  <c r="Z283" i="22" s="1"/>
  <c r="Y283" i="22" s="1"/>
  <c r="G375" i="22"/>
  <c r="CC375" i="6" s="1"/>
  <c r="H375" i="22"/>
  <c r="AA375" i="22"/>
  <c r="Z375" i="22" s="1"/>
  <c r="Y375" i="22" s="1"/>
  <c r="AA55" i="22"/>
  <c r="Z55" i="22" s="1"/>
  <c r="Y55" i="22" s="1"/>
  <c r="G34" i="22"/>
  <c r="CC34" i="6" s="1"/>
  <c r="H34" i="22"/>
  <c r="AA34" i="22"/>
  <c r="Z34" i="22" s="1"/>
  <c r="Y34" i="22" s="1"/>
  <c r="G256" i="22"/>
  <c r="CC256" i="6" s="1"/>
  <c r="AA256" i="22"/>
  <c r="Z256" i="22" s="1"/>
  <c r="Y256" i="22" s="1"/>
  <c r="AA200" i="22"/>
  <c r="Z200" i="22" s="1"/>
  <c r="Y200" i="22" s="1"/>
  <c r="AA204" i="22"/>
  <c r="Z204" i="22" s="1"/>
  <c r="Y204" i="22" s="1"/>
  <c r="H204" i="22"/>
  <c r="G204" i="22"/>
  <c r="CC204" i="6" s="1"/>
  <c r="G108" i="22"/>
  <c r="CC108" i="6" s="1"/>
  <c r="AA108" i="22"/>
  <c r="Z108" i="22" s="1"/>
  <c r="Y108" i="22" s="1"/>
  <c r="G201" i="22"/>
  <c r="CC201" i="6" s="1"/>
  <c r="H173" i="22"/>
  <c r="G173" i="22"/>
  <c r="CC173" i="6" s="1"/>
  <c r="H254" i="22"/>
  <c r="AA254" i="22"/>
  <c r="Z254" i="22" s="1"/>
  <c r="Y254" i="22" s="1"/>
  <c r="G254" i="22"/>
  <c r="CC254" i="6" s="1"/>
  <c r="B210" i="22"/>
  <c r="H67" i="19"/>
  <c r="G151" i="22"/>
  <c r="CC151" i="6" s="1"/>
  <c r="AA151" i="22"/>
  <c r="Z151" i="22" s="1"/>
  <c r="Y151" i="22" s="1"/>
  <c r="G297" i="22"/>
  <c r="CC297" i="6" s="1"/>
  <c r="AA297" i="22"/>
  <c r="Z297" i="22" s="1"/>
  <c r="Y297" i="22" s="1"/>
  <c r="H297" i="22"/>
  <c r="G285" i="22"/>
  <c r="CC285" i="6" s="1"/>
  <c r="H285" i="22"/>
  <c r="AA285" i="22"/>
  <c r="Z285" i="22" s="1"/>
  <c r="Y285" i="22" s="1"/>
  <c r="AA123" i="22"/>
  <c r="Z123" i="22" s="1"/>
  <c r="Y123" i="22" s="1"/>
  <c r="G123" i="22"/>
  <c r="CC123" i="6" s="1"/>
  <c r="AA132" i="22"/>
  <c r="Z132" i="22" s="1"/>
  <c r="Y132" i="22" s="1"/>
  <c r="G153" i="22"/>
  <c r="CC153" i="6" s="1"/>
  <c r="AA153" i="22"/>
  <c r="Z153" i="22" s="1"/>
  <c r="Y153" i="22" s="1"/>
  <c r="H153" i="22"/>
  <c r="H96" i="22"/>
  <c r="AA96" i="22"/>
  <c r="Z96" i="22" s="1"/>
  <c r="Y96" i="22" s="1"/>
  <c r="H87" i="22"/>
  <c r="G228" i="22"/>
  <c r="CC228" i="6" s="1"/>
  <c r="AA228" i="22"/>
  <c r="Z228" i="22" s="1"/>
  <c r="Y228" i="22" s="1"/>
  <c r="G137" i="22"/>
  <c r="CC137" i="6" s="1"/>
  <c r="AA137" i="22"/>
  <c r="Z137" i="22" s="1"/>
  <c r="Y137" i="22" s="1"/>
  <c r="H137" i="22"/>
  <c r="G312" i="22"/>
  <c r="CC312" i="6" s="1"/>
  <c r="AA312" i="22"/>
  <c r="Z312" i="22" s="1"/>
  <c r="Y312" i="22" s="1"/>
  <c r="H312" i="22"/>
  <c r="G16" i="22"/>
  <c r="CC16" i="6" s="1"/>
  <c r="H16" i="22"/>
  <c r="AA16" i="22"/>
  <c r="Z16" i="22" s="1"/>
  <c r="Y16" i="22" s="1"/>
  <c r="J67" i="19"/>
  <c r="G230" i="22"/>
  <c r="CC230" i="6" s="1"/>
  <c r="AA230" i="22"/>
  <c r="Z230" i="22" s="1"/>
  <c r="Y230" i="22" s="1"/>
  <c r="H129" i="22"/>
  <c r="G129" i="22"/>
  <c r="CC129" i="6" s="1"/>
  <c r="AA129" i="22"/>
  <c r="Z129" i="22" s="1"/>
  <c r="Y129" i="22" s="1"/>
  <c r="H133" i="22"/>
  <c r="AA133" i="22"/>
  <c r="Z133" i="22" s="1"/>
  <c r="Y133" i="22" s="1"/>
  <c r="G133" i="22"/>
  <c r="CC133" i="6" s="1"/>
  <c r="G278" i="22"/>
  <c r="CC278" i="6" s="1"/>
  <c r="AA278" i="22"/>
  <c r="Z278" i="22" s="1"/>
  <c r="Y278" i="22" s="1"/>
  <c r="H278" i="22"/>
  <c r="H158" i="22"/>
  <c r="AA158" i="22"/>
  <c r="Z158" i="22" s="1"/>
  <c r="Y158" i="22" s="1"/>
  <c r="G158" i="22"/>
  <c r="CC158" i="6" s="1"/>
  <c r="G125" i="22"/>
  <c r="CC125" i="6" s="1"/>
  <c r="AA125" i="22"/>
  <c r="Z125" i="22" s="1"/>
  <c r="Y125" i="22" s="1"/>
  <c r="G191" i="22"/>
  <c r="CC191" i="6" s="1"/>
  <c r="AA191" i="22"/>
  <c r="Z191" i="22" s="1"/>
  <c r="Y191" i="22" s="1"/>
  <c r="H191" i="22"/>
  <c r="H275" i="22"/>
  <c r="AA275" i="22"/>
  <c r="Z275" i="22" s="1"/>
  <c r="Y275" i="22" s="1"/>
  <c r="G275" i="22"/>
  <c r="CC275" i="6" s="1"/>
  <c r="G140" i="22"/>
  <c r="CC140" i="6" s="1"/>
  <c r="H140" i="22"/>
  <c r="AA140" i="22"/>
  <c r="Z140" i="22" s="1"/>
  <c r="Y140" i="22" s="1"/>
  <c r="G295" i="22"/>
  <c r="CC295" i="6" s="1"/>
  <c r="H295" i="22"/>
  <c r="AA295" i="22"/>
  <c r="Z295" i="22" s="1"/>
  <c r="Y295" i="22" s="1"/>
  <c r="H377" i="22"/>
  <c r="AA377" i="22"/>
  <c r="Z377" i="22" s="1"/>
  <c r="Y377" i="22" s="1"/>
  <c r="G377" i="22"/>
  <c r="CC377" i="6" s="1"/>
  <c r="G259" i="22"/>
  <c r="CC259" i="6" s="1"/>
  <c r="H259" i="22"/>
  <c r="AA259" i="22"/>
  <c r="Z259" i="22" s="1"/>
  <c r="Y259" i="22" s="1"/>
  <c r="H265" i="22"/>
  <c r="G265" i="22"/>
  <c r="CC265" i="6" s="1"/>
  <c r="G120" i="22"/>
  <c r="CC120" i="6" s="1"/>
  <c r="AA120" i="22"/>
  <c r="Z120" i="22" s="1"/>
  <c r="Y120" i="22" s="1"/>
  <c r="H120" i="22"/>
  <c r="G143" i="22"/>
  <c r="CC143" i="6" s="1"/>
  <c r="AA143" i="22"/>
  <c r="Z143" i="22" s="1"/>
  <c r="Y143" i="22" s="1"/>
  <c r="G43" i="22"/>
  <c r="CC43" i="6" s="1"/>
  <c r="H43" i="22"/>
  <c r="AA43" i="22"/>
  <c r="Z43" i="22" s="1"/>
  <c r="Y43" i="22" s="1"/>
  <c r="H141" i="22"/>
  <c r="G141" i="22"/>
  <c r="CC141" i="6" s="1"/>
  <c r="AA141" i="22"/>
  <c r="Z141" i="22" s="1"/>
  <c r="Y141" i="22" s="1"/>
  <c r="G357" i="22"/>
  <c r="CC357" i="6" s="1"/>
  <c r="AA357" i="22"/>
  <c r="Z357" i="22" s="1"/>
  <c r="Y357" i="22" s="1"/>
  <c r="G222" i="22"/>
  <c r="CC222" i="6" s="1"/>
  <c r="AA222" i="22"/>
  <c r="Z222" i="22" s="1"/>
  <c r="Y222" i="22" s="1"/>
  <c r="H222" i="22"/>
  <c r="G292" i="22"/>
  <c r="CC292" i="6" s="1"/>
  <c r="AA292" i="22"/>
  <c r="Z292" i="22" s="1"/>
  <c r="Y292" i="22" s="1"/>
  <c r="AA289" i="22"/>
  <c r="Z289" i="22" s="1"/>
  <c r="Y289" i="22" s="1"/>
  <c r="G289" i="22"/>
  <c r="CC289" i="6" s="1"/>
  <c r="H289" i="22"/>
  <c r="G39" i="22"/>
  <c r="CC39" i="6" s="1"/>
  <c r="AA39" i="22"/>
  <c r="Z39" i="22" s="1"/>
  <c r="Y39" i="22" s="1"/>
  <c r="H39" i="22"/>
  <c r="G334" i="22"/>
  <c r="CC334" i="6" s="1"/>
  <c r="AA334" i="22"/>
  <c r="Z334" i="22" s="1"/>
  <c r="Y334" i="22" s="1"/>
  <c r="AA346" i="22"/>
  <c r="Z346" i="22" s="1"/>
  <c r="Y346" i="22" s="1"/>
  <c r="G346" i="22"/>
  <c r="CC346" i="6" s="1"/>
  <c r="AA358" i="22"/>
  <c r="Z358" i="22" s="1"/>
  <c r="Y358" i="22" s="1"/>
  <c r="G358" i="22"/>
  <c r="CC358" i="6" s="1"/>
  <c r="H358" i="22"/>
  <c r="G21" i="22"/>
  <c r="CC21" i="6" s="1"/>
  <c r="AA21" i="22"/>
  <c r="Z21" i="22" s="1"/>
  <c r="Y21" i="22" s="1"/>
  <c r="H21" i="22"/>
  <c r="G262" i="22"/>
  <c r="CC262" i="6" s="1"/>
  <c r="H262" i="22"/>
  <c r="AA262" i="22"/>
  <c r="Z262" i="22" s="1"/>
  <c r="Y262" i="22" s="1"/>
  <c r="H37" i="22"/>
  <c r="AA37" i="22"/>
  <c r="Z37" i="22" s="1"/>
  <c r="Y37" i="22" s="1"/>
  <c r="G37" i="22"/>
  <c r="CC37" i="6" s="1"/>
  <c r="H35" i="22"/>
  <c r="AA35" i="22"/>
  <c r="Z35" i="22" s="1"/>
  <c r="Y35" i="22" s="1"/>
  <c r="G35" i="22"/>
  <c r="CC35" i="6" s="1"/>
  <c r="G105" i="22"/>
  <c r="CC105" i="6" s="1"/>
  <c r="AA105" i="22"/>
  <c r="Z105" i="22" s="1"/>
  <c r="Y105" i="22" s="1"/>
  <c r="H105" i="22"/>
  <c r="G126" i="22"/>
  <c r="CC126" i="6" s="1"/>
  <c r="AA126" i="22"/>
  <c r="Z126" i="22" s="1"/>
  <c r="Y126" i="22" s="1"/>
  <c r="G136" i="22"/>
  <c r="CC136" i="6" s="1"/>
  <c r="AA136" i="22"/>
  <c r="Z136" i="22" s="1"/>
  <c r="Y136" i="22" s="1"/>
  <c r="G338" i="22"/>
  <c r="CC338" i="6" s="1"/>
  <c r="AA338" i="22"/>
  <c r="Z338" i="22" s="1"/>
  <c r="Y338" i="22" s="1"/>
  <c r="G130" i="22"/>
  <c r="CC130" i="6" s="1"/>
  <c r="AA130" i="22"/>
  <c r="Z130" i="22" s="1"/>
  <c r="Y130" i="22" s="1"/>
  <c r="H130" i="22"/>
  <c r="W4" i="6"/>
  <c r="D149" i="6"/>
  <c r="AG382" i="20"/>
  <c r="AF15" i="20"/>
  <c r="AG383" i="20"/>
  <c r="AG381" i="20"/>
  <c r="H103" i="22"/>
  <c r="H112" i="22"/>
  <c r="H139" i="22"/>
  <c r="I29" i="20"/>
  <c r="J29" i="20"/>
  <c r="G333" i="20"/>
  <c r="CB333" i="6" s="1"/>
  <c r="AA333" i="20"/>
  <c r="Z333" i="20" s="1"/>
  <c r="Y333" i="20" s="1"/>
  <c r="H333" i="20"/>
  <c r="H66" i="22"/>
  <c r="G383" i="17"/>
  <c r="G12" i="17" s="1"/>
  <c r="G381" i="17"/>
  <c r="G382" i="17"/>
  <c r="I15" i="17"/>
  <c r="J15" i="17"/>
  <c r="Y11" i="16"/>
  <c r="AA11" i="16"/>
  <c r="AA5" i="16" s="1"/>
  <c r="I13" i="19" s="1"/>
  <c r="I37" i="19" s="1"/>
  <c r="J13" i="19"/>
  <c r="Z11" i="16"/>
  <c r="Z5" i="16" s="1"/>
  <c r="H13" i="19" s="1"/>
  <c r="H37" i="19" s="1"/>
  <c r="AJ4" i="16"/>
  <c r="P13" i="19" s="1"/>
  <c r="AL13" i="16"/>
  <c r="G170" i="22"/>
  <c r="CC170" i="6" s="1"/>
  <c r="H321" i="22"/>
  <c r="H325" i="22"/>
  <c r="G325" i="22"/>
  <c r="CC325" i="6" s="1"/>
  <c r="G221" i="22"/>
  <c r="CC221" i="6" s="1"/>
  <c r="H221" i="22"/>
  <c r="G48" i="22"/>
  <c r="CC48" i="6" s="1"/>
  <c r="AA48" i="22"/>
  <c r="Z48" i="22" s="1"/>
  <c r="Y48" i="22" s="1"/>
  <c r="W288" i="22"/>
  <c r="D288" i="22"/>
  <c r="E288" i="22" s="1"/>
  <c r="F288" i="22" s="1"/>
  <c r="G99" i="22"/>
  <c r="CC99" i="6" s="1"/>
  <c r="H99" i="22"/>
  <c r="H27" i="22"/>
  <c r="G27" i="22"/>
  <c r="CC27" i="6" s="1"/>
  <c r="H50" i="22"/>
  <c r="G50" i="22"/>
  <c r="CC50" i="6" s="1"/>
  <c r="G356" i="22"/>
  <c r="CC356" i="6" s="1"/>
  <c r="H356" i="22"/>
  <c r="H364" i="22"/>
  <c r="G364" i="22"/>
  <c r="CC364" i="6" s="1"/>
  <c r="D272" i="22"/>
  <c r="E272" i="22" s="1"/>
  <c r="F272" i="22" s="1"/>
  <c r="W272" i="22"/>
  <c r="H247" i="22"/>
  <c r="G197" i="22"/>
  <c r="CC197" i="6" s="1"/>
  <c r="H106" i="22"/>
  <c r="G106" i="22"/>
  <c r="CC106" i="6" s="1"/>
  <c r="G261" i="22"/>
  <c r="CC261" i="6" s="1"/>
  <c r="H261" i="22"/>
  <c r="H179" i="22"/>
  <c r="G179" i="22"/>
  <c r="CC179" i="6" s="1"/>
  <c r="G339" i="22"/>
  <c r="CC339" i="6" s="1"/>
  <c r="H339" i="22"/>
  <c r="H238" i="22"/>
  <c r="G238" i="22"/>
  <c r="CC238" i="6" s="1"/>
  <c r="G76" i="22"/>
  <c r="CC76" i="6" s="1"/>
  <c r="H76" i="22"/>
  <c r="G20" i="22"/>
  <c r="CC20" i="6" s="1"/>
  <c r="G281" i="22"/>
  <c r="CC281" i="6" s="1"/>
  <c r="AA281" i="22"/>
  <c r="Z281" i="22" s="1"/>
  <c r="Y281" i="22" s="1"/>
  <c r="AA286" i="22"/>
  <c r="Z286" i="22" s="1"/>
  <c r="Y286" i="22" s="1"/>
  <c r="G286" i="22"/>
  <c r="CC286" i="6" s="1"/>
  <c r="G371" i="22"/>
  <c r="CC371" i="6" s="1"/>
  <c r="AA371" i="22"/>
  <c r="Z371" i="22" s="1"/>
  <c r="Y371" i="22" s="1"/>
  <c r="H53" i="22"/>
  <c r="AA53" i="22"/>
  <c r="Z53" i="22" s="1"/>
  <c r="Y53" i="22" s="1"/>
  <c r="G53" i="22"/>
  <c r="CC53" i="6" s="1"/>
  <c r="G109" i="22"/>
  <c r="CC109" i="6" s="1"/>
  <c r="H109" i="22"/>
  <c r="AA109" i="22"/>
  <c r="Z109" i="22" s="1"/>
  <c r="Y109" i="22" s="1"/>
  <c r="G243" i="22"/>
  <c r="CC243" i="6" s="1"/>
  <c r="AA243" i="22"/>
  <c r="Z243" i="22" s="1"/>
  <c r="Y243" i="22" s="1"/>
  <c r="H182" i="22"/>
  <c r="AA182" i="22"/>
  <c r="Z182" i="22" s="1"/>
  <c r="Y182" i="22" s="1"/>
  <c r="G182" i="22"/>
  <c r="CC182" i="6" s="1"/>
  <c r="G30" i="22"/>
  <c r="CC30" i="6" s="1"/>
  <c r="AA30" i="22"/>
  <c r="Z30" i="22" s="1"/>
  <c r="Y30" i="22" s="1"/>
  <c r="H30" i="22"/>
  <c r="H251" i="22"/>
  <c r="AA251" i="22"/>
  <c r="Z251" i="22" s="1"/>
  <c r="Y251" i="22" s="1"/>
  <c r="G251" i="22"/>
  <c r="CC251" i="6" s="1"/>
  <c r="AA196" i="22"/>
  <c r="Z196" i="22" s="1"/>
  <c r="Y196" i="22" s="1"/>
  <c r="G196" i="22"/>
  <c r="CC196" i="6" s="1"/>
  <c r="H196" i="22"/>
  <c r="AA44" i="22"/>
  <c r="Z44" i="22" s="1"/>
  <c r="Y44" i="22" s="1"/>
  <c r="H44" i="22"/>
  <c r="G44" i="22"/>
  <c r="CC44" i="6" s="1"/>
  <c r="H205" i="22"/>
  <c r="G205" i="22"/>
  <c r="CC205" i="6" s="1"/>
  <c r="AA205" i="22"/>
  <c r="Z205" i="22" s="1"/>
  <c r="Y205" i="22" s="1"/>
  <c r="G40" i="22"/>
  <c r="CC40" i="6" s="1"/>
  <c r="AA40" i="22"/>
  <c r="Z40" i="22" s="1"/>
  <c r="Y40" i="22" s="1"/>
  <c r="H245" i="22"/>
  <c r="G245" i="22"/>
  <c r="CC245" i="6" s="1"/>
  <c r="AA245" i="22"/>
  <c r="Z245" i="22" s="1"/>
  <c r="Y245" i="22" s="1"/>
  <c r="G249" i="22"/>
  <c r="CC249" i="6" s="1"/>
  <c r="AA249" i="22"/>
  <c r="Z249" i="22" s="1"/>
  <c r="Y249" i="22" s="1"/>
  <c r="G369" i="22"/>
  <c r="CC369" i="6" s="1"/>
  <c r="AA369" i="22"/>
  <c r="Z369" i="22" s="1"/>
  <c r="Y369" i="22" s="1"/>
  <c r="H369" i="22"/>
  <c r="G187" i="22"/>
  <c r="CC187" i="6" s="1"/>
  <c r="AA187" i="22"/>
  <c r="Z187" i="22" s="1"/>
  <c r="Y187" i="22" s="1"/>
  <c r="AA116" i="22"/>
  <c r="Z116" i="22" s="1"/>
  <c r="Y116" i="22" s="1"/>
  <c r="H116" i="22"/>
  <c r="G116" i="22"/>
  <c r="CC116" i="6" s="1"/>
  <c r="G146" i="22"/>
  <c r="CC146" i="6" s="1"/>
  <c r="AA146" i="22"/>
  <c r="Z146" i="22" s="1"/>
  <c r="Y146" i="22" s="1"/>
  <c r="G206" i="22"/>
  <c r="CC206" i="6" s="1"/>
  <c r="AA206" i="22"/>
  <c r="Z206" i="22" s="1"/>
  <c r="Y206" i="22" s="1"/>
  <c r="G224" i="22"/>
  <c r="CC224" i="6" s="1"/>
  <c r="H224" i="22"/>
  <c r="AA326" i="22"/>
  <c r="Z326" i="22" s="1"/>
  <c r="Y326" i="22" s="1"/>
  <c r="H326" i="22"/>
  <c r="G326" i="22"/>
  <c r="CC326" i="6" s="1"/>
  <c r="B119" i="22"/>
  <c r="E67" i="19"/>
  <c r="G61" i="22"/>
  <c r="CC61" i="6" s="1"/>
  <c r="H61" i="22"/>
  <c r="AA61" i="22"/>
  <c r="Z61" i="22" s="1"/>
  <c r="Y61" i="22" s="1"/>
  <c r="H372" i="22"/>
  <c r="G372" i="22"/>
  <c r="CC372" i="6" s="1"/>
  <c r="AA372" i="22"/>
  <c r="Z372" i="22" s="1"/>
  <c r="Y372" i="22" s="1"/>
  <c r="G341" i="22"/>
  <c r="CC341" i="6" s="1"/>
  <c r="AA341" i="22"/>
  <c r="Z341" i="22" s="1"/>
  <c r="Y341" i="22" s="1"/>
  <c r="H341" i="22"/>
  <c r="AA117" i="22"/>
  <c r="Z117" i="22" s="1"/>
  <c r="Y117" i="22" s="1"/>
  <c r="H117" i="22"/>
  <c r="G117" i="22"/>
  <c r="CC117" i="6" s="1"/>
  <c r="G58" i="22"/>
  <c r="CC58" i="6" s="1"/>
  <c r="H58" i="22"/>
  <c r="AA58" i="22"/>
  <c r="Z58" i="22" s="1"/>
  <c r="Y58" i="22" s="1"/>
  <c r="G19" i="22"/>
  <c r="CC19" i="6" s="1"/>
  <c r="AA19" i="22"/>
  <c r="Z19" i="22" s="1"/>
  <c r="Y19" i="22" s="1"/>
  <c r="G190" i="22"/>
  <c r="CC190" i="6" s="1"/>
  <c r="AA190" i="22"/>
  <c r="Z190" i="22" s="1"/>
  <c r="Y190" i="22" s="1"/>
  <c r="H127" i="22"/>
  <c r="G127" i="22"/>
  <c r="CC127" i="6" s="1"/>
  <c r="AA127" i="22"/>
  <c r="Z127" i="22" s="1"/>
  <c r="Y127" i="22" s="1"/>
  <c r="H214" i="22"/>
  <c r="G214" i="22"/>
  <c r="CC214" i="6" s="1"/>
  <c r="AA214" i="22"/>
  <c r="Z214" i="22" s="1"/>
  <c r="Y214" i="22" s="1"/>
  <c r="G32" i="22"/>
  <c r="CC32" i="6" s="1"/>
  <c r="AA32" i="22"/>
  <c r="Z32" i="22" s="1"/>
  <c r="Y32" i="22" s="1"/>
  <c r="H32" i="22"/>
  <c r="G257" i="22"/>
  <c r="CC257" i="6" s="1"/>
  <c r="AA257" i="22"/>
  <c r="Z257" i="22" s="1"/>
  <c r="Y257" i="22" s="1"/>
  <c r="AA348" i="22"/>
  <c r="Z348" i="22" s="1"/>
  <c r="Y348" i="22" s="1"/>
  <c r="G348" i="22"/>
  <c r="CC348" i="6" s="1"/>
  <c r="H348" i="22"/>
  <c r="G360" i="22"/>
  <c r="CC360" i="6" s="1"/>
  <c r="H360" i="22"/>
  <c r="AA360" i="22"/>
  <c r="Z360" i="22" s="1"/>
  <c r="Y360" i="22" s="1"/>
  <c r="H80" i="22"/>
  <c r="AA80" i="22"/>
  <c r="Z80" i="22" s="1"/>
  <c r="Y80" i="22" s="1"/>
  <c r="G80" i="22"/>
  <c r="CC80" i="6" s="1"/>
  <c r="AA345" i="22"/>
  <c r="Z345" i="22" s="1"/>
  <c r="Y345" i="22" s="1"/>
  <c r="G345" i="22"/>
  <c r="CC345" i="6" s="1"/>
  <c r="H345" i="22"/>
  <c r="AA264" i="22"/>
  <c r="Z264" i="22" s="1"/>
  <c r="Y264" i="22" s="1"/>
  <c r="H264" i="22"/>
  <c r="G264" i="22"/>
  <c r="CC264" i="6" s="1"/>
  <c r="H216" i="22"/>
  <c r="G216" i="22"/>
  <c r="CC216" i="6" s="1"/>
  <c r="AA216" i="22"/>
  <c r="Z216" i="22" s="1"/>
  <c r="Y216" i="22" s="1"/>
  <c r="G150" i="22"/>
  <c r="CC150" i="6" s="1"/>
  <c r="AA150" i="22"/>
  <c r="Z150" i="22" s="1"/>
  <c r="Y150" i="22" s="1"/>
  <c r="H150" i="22"/>
  <c r="H342" i="22"/>
  <c r="G342" i="22"/>
  <c r="CC342" i="6" s="1"/>
  <c r="AA342" i="22"/>
  <c r="Z342" i="22" s="1"/>
  <c r="Y342" i="22" s="1"/>
  <c r="G63" i="22"/>
  <c r="CC63" i="6" s="1"/>
  <c r="AA63" i="22"/>
  <c r="Z63" i="22" s="1"/>
  <c r="Y63" i="22" s="1"/>
  <c r="AA42" i="22"/>
  <c r="Z42" i="22" s="1"/>
  <c r="Y42" i="22" s="1"/>
  <c r="G42" i="22"/>
  <c r="CC42" i="6" s="1"/>
  <c r="AA234" i="22"/>
  <c r="Z234" i="22" s="1"/>
  <c r="Y234" i="22" s="1"/>
  <c r="H234" i="22"/>
  <c r="G234" i="22"/>
  <c r="CC234" i="6" s="1"/>
  <c r="H162" i="22"/>
  <c r="AA162" i="22"/>
  <c r="Z162" i="22" s="1"/>
  <c r="Y162" i="22" s="1"/>
  <c r="G162" i="22"/>
  <c r="CC162" i="6" s="1"/>
  <c r="G323" i="22"/>
  <c r="CC323" i="6" s="1"/>
  <c r="AA323" i="22"/>
  <c r="Z323" i="22" s="1"/>
  <c r="Y323" i="22" s="1"/>
  <c r="H350" i="22"/>
  <c r="G350" i="22"/>
  <c r="CC350" i="6" s="1"/>
  <c r="AA350" i="22"/>
  <c r="Z350" i="22" s="1"/>
  <c r="Y350" i="22" s="1"/>
  <c r="H368" i="22"/>
  <c r="G368" i="22"/>
  <c r="CC368" i="6" s="1"/>
  <c r="AA368" i="22"/>
  <c r="Z368" i="22" s="1"/>
  <c r="Y368" i="22" s="1"/>
  <c r="H78" i="22"/>
  <c r="G78" i="22"/>
  <c r="CC78" i="6" s="1"/>
  <c r="AA78" i="22"/>
  <c r="Z78" i="22" s="1"/>
  <c r="Y78" i="22" s="1"/>
  <c r="H114" i="22"/>
  <c r="G114" i="22"/>
  <c r="CC114" i="6" s="1"/>
  <c r="AA114" i="22"/>
  <c r="Z114" i="22" s="1"/>
  <c r="Y114" i="22" s="1"/>
  <c r="AA152" i="22"/>
  <c r="Z152" i="22" s="1"/>
  <c r="Y152" i="22" s="1"/>
  <c r="AA325" i="22"/>
  <c r="Z325" i="22" s="1"/>
  <c r="Y325" i="22" s="1"/>
  <c r="AA97" i="22"/>
  <c r="Z97" i="22" s="1"/>
  <c r="Y97" i="22" s="1"/>
  <c r="AH379" i="22"/>
  <c r="AG379" i="22" s="1"/>
  <c r="AF379" i="22" s="1"/>
  <c r="AD379" i="22" s="1"/>
  <c r="AI12" i="23"/>
  <c r="AA221" i="22"/>
  <c r="Z221" i="22" s="1"/>
  <c r="Y221" i="22" s="1"/>
  <c r="AA25" i="22"/>
  <c r="Z25" i="22" s="1"/>
  <c r="Y25" i="22" s="1"/>
  <c r="AA103" i="22"/>
  <c r="Z103" i="22" s="1"/>
  <c r="Y103" i="22" s="1"/>
  <c r="AA176" i="22"/>
  <c r="Z176" i="22" s="1"/>
  <c r="Y176" i="22" s="1"/>
  <c r="AA65" i="22"/>
  <c r="Z65" i="22" s="1"/>
  <c r="Y65" i="22" s="1"/>
  <c r="AA27" i="22"/>
  <c r="Z27" i="22" s="1"/>
  <c r="Y27" i="22" s="1"/>
  <c r="AA220" i="22"/>
  <c r="Z220" i="22" s="1"/>
  <c r="Y220" i="22" s="1"/>
  <c r="AA197" i="22"/>
  <c r="Z197" i="22" s="1"/>
  <c r="Y197" i="22" s="1"/>
  <c r="AA361" i="22"/>
  <c r="Z361" i="22" s="1"/>
  <c r="Y361" i="22" s="1"/>
  <c r="AA156" i="22"/>
  <c r="Z156" i="22" s="1"/>
  <c r="Y156" i="22" s="1"/>
  <c r="AA248" i="22"/>
  <c r="Z248" i="22" s="1"/>
  <c r="Y248" i="22" s="1"/>
  <c r="AA261" i="22"/>
  <c r="Z261" i="22" s="1"/>
  <c r="Y261" i="22" s="1"/>
  <c r="AA128" i="22"/>
  <c r="Z128" i="22" s="1"/>
  <c r="Y128" i="22" s="1"/>
  <c r="AA84" i="22"/>
  <c r="Z84" i="22" s="1"/>
  <c r="Y84" i="22" s="1"/>
  <c r="AA50" i="22"/>
  <c r="Z50" i="22" s="1"/>
  <c r="Y50" i="22" s="1"/>
  <c r="AA66" i="22"/>
  <c r="Z66" i="22" s="1"/>
  <c r="Y66" i="22" s="1"/>
  <c r="AA62" i="22"/>
  <c r="Z62" i="22" s="1"/>
  <c r="Y62" i="22" s="1"/>
  <c r="AA178" i="22"/>
  <c r="Z178" i="22" s="1"/>
  <c r="Y178" i="22" s="1"/>
  <c r="AA270" i="22"/>
  <c r="Z270" i="22" s="1"/>
  <c r="Y270" i="22" s="1"/>
  <c r="AA179" i="22"/>
  <c r="Z179" i="22" s="1"/>
  <c r="Y179" i="22" s="1"/>
  <c r="AA145" i="22"/>
  <c r="Z145" i="22" s="1"/>
  <c r="Y145" i="22" s="1"/>
  <c r="AA20" i="22"/>
  <c r="Z20" i="22" s="1"/>
  <c r="Y20" i="22" s="1"/>
  <c r="AA238" i="22"/>
  <c r="Z238" i="22" s="1"/>
  <c r="Y238" i="22" s="1"/>
  <c r="AA339" i="22"/>
  <c r="Z339" i="22" s="1"/>
  <c r="Y339" i="22" s="1"/>
  <c r="AA362" i="22"/>
  <c r="Z362" i="22" s="1"/>
  <c r="Y362" i="22" s="1"/>
  <c r="AA301" i="22"/>
  <c r="Z301" i="22" s="1"/>
  <c r="Y301" i="22" s="1"/>
  <c r="AI383" i="22"/>
  <c r="AH15" i="22"/>
  <c r="AI382" i="22"/>
  <c r="AI381" i="22"/>
  <c r="AA110" i="22"/>
  <c r="Z110" i="22" s="1"/>
  <c r="Y110" i="22" s="1"/>
  <c r="AA76" i="22"/>
  <c r="Z76" i="22" s="1"/>
  <c r="Y76" i="22" s="1"/>
  <c r="AA321" i="22"/>
  <c r="Z321" i="22" s="1"/>
  <c r="Y321" i="22" s="1"/>
  <c r="AA95" i="22"/>
  <c r="Z95" i="22" s="1"/>
  <c r="Y95" i="22" s="1"/>
  <c r="AA119" i="20"/>
  <c r="Z119" i="20" s="1"/>
  <c r="Y119" i="20" s="1"/>
  <c r="G119" i="20"/>
  <c r="CB119" i="6" s="1"/>
  <c r="H119" i="20"/>
  <c r="H363" i="20"/>
  <c r="H235" i="22"/>
  <c r="H290" i="22"/>
  <c r="B302" i="6"/>
  <c r="BA302" i="6" s="1"/>
  <c r="H302" i="20"/>
  <c r="H218" i="22"/>
  <c r="H277" i="22"/>
  <c r="AA88" i="20"/>
  <c r="Z88" i="20" s="1"/>
  <c r="Y88" i="20" s="1"/>
  <c r="G88" i="20"/>
  <c r="CB88" i="6" s="1"/>
  <c r="H88" i="20"/>
  <c r="B272" i="6"/>
  <c r="BA272" i="6" s="1"/>
  <c r="H272" i="20"/>
  <c r="Q383" i="23"/>
  <c r="Q381" i="23"/>
  <c r="Q382" i="23"/>
  <c r="H332" i="22"/>
  <c r="H115" i="22"/>
  <c r="G115" i="22"/>
  <c r="CC115" i="6" s="1"/>
  <c r="G236" i="22"/>
  <c r="CC236" i="6" s="1"/>
  <c r="H330" i="22"/>
  <c r="G349" i="22"/>
  <c r="CC349" i="6" s="1"/>
  <c r="AA349" i="22"/>
  <c r="Z349" i="22" s="1"/>
  <c r="Y349" i="22" s="1"/>
  <c r="G171" i="22"/>
  <c r="CC171" i="6" s="1"/>
  <c r="G213" i="22"/>
  <c r="CC213" i="6" s="1"/>
  <c r="H169" i="22"/>
  <c r="G169" i="22"/>
  <c r="CC169" i="6" s="1"/>
  <c r="H23" i="22"/>
  <c r="G23" i="22"/>
  <c r="CC23" i="6" s="1"/>
  <c r="G313" i="22"/>
  <c r="CC313" i="6" s="1"/>
  <c r="G365" i="22"/>
  <c r="CC365" i="6" s="1"/>
  <c r="H240" i="22"/>
  <c r="W319" i="22"/>
  <c r="D319" i="22"/>
  <c r="E319" i="22" s="1"/>
  <c r="F319" i="22" s="1"/>
  <c r="H353" i="22"/>
  <c r="G353" i="22"/>
  <c r="CC353" i="6" s="1"/>
  <c r="G274" i="22"/>
  <c r="CC274" i="6" s="1"/>
  <c r="D333" i="22"/>
  <c r="E333" i="22" s="1"/>
  <c r="F333" i="22" s="1"/>
  <c r="W333" i="22"/>
  <c r="B363" i="22"/>
  <c r="AA203" i="22"/>
  <c r="Z203" i="22" s="1"/>
  <c r="Y203" i="22" s="1"/>
  <c r="G203" i="22"/>
  <c r="CC203" i="6" s="1"/>
  <c r="H111" i="22"/>
  <c r="G111" i="22"/>
  <c r="CC111" i="6" s="1"/>
  <c r="G33" i="22"/>
  <c r="CC33" i="6" s="1"/>
  <c r="AA177" i="22"/>
  <c r="Z177" i="22" s="1"/>
  <c r="Y177" i="22" s="1"/>
  <c r="G177" i="22"/>
  <c r="CC177" i="6" s="1"/>
  <c r="H85" i="22"/>
  <c r="G85" i="22"/>
  <c r="CC85" i="6" s="1"/>
  <c r="D302" i="22"/>
  <c r="E302" i="22" s="1"/>
  <c r="F302" i="22" s="1"/>
  <c r="W302" i="22"/>
  <c r="G279" i="22"/>
  <c r="CC279" i="6" s="1"/>
  <c r="G282" i="22"/>
  <c r="CC282" i="6" s="1"/>
  <c r="H329" i="22"/>
  <c r="G329" i="22"/>
  <c r="CC329" i="6" s="1"/>
  <c r="AA329" i="22"/>
  <c r="Z329" i="22" s="1"/>
  <c r="Y329" i="22" s="1"/>
  <c r="G306" i="22"/>
  <c r="CC306" i="6" s="1"/>
  <c r="G317" i="22"/>
  <c r="CC317" i="6" s="1"/>
  <c r="H376" i="22"/>
  <c r="AA376" i="22"/>
  <c r="Z376" i="22" s="1"/>
  <c r="Y376" i="22" s="1"/>
  <c r="G376" i="22"/>
  <c r="CC376" i="6" s="1"/>
  <c r="G374" i="22"/>
  <c r="CC374" i="6" s="1"/>
  <c r="G300" i="22"/>
  <c r="CC300" i="6" s="1"/>
  <c r="AA300" i="22"/>
  <c r="Z300" i="22" s="1"/>
  <c r="Y300" i="22" s="1"/>
  <c r="H300" i="22"/>
  <c r="G38" i="22"/>
  <c r="CC38" i="6" s="1"/>
  <c r="H38" i="22"/>
  <c r="AA38" i="22"/>
  <c r="Z38" i="22" s="1"/>
  <c r="Y38" i="22" s="1"/>
  <c r="AA223" i="22"/>
  <c r="Z223" i="22" s="1"/>
  <c r="Y223" i="22" s="1"/>
  <c r="H223" i="22"/>
  <c r="G223" i="22"/>
  <c r="CC223" i="6" s="1"/>
  <c r="G373" i="22"/>
  <c r="CC373" i="6" s="1"/>
  <c r="AA373" i="22"/>
  <c r="Z373" i="22" s="1"/>
  <c r="Y373" i="22" s="1"/>
  <c r="H373" i="22"/>
  <c r="D258" i="22"/>
  <c r="E258" i="22" s="1"/>
  <c r="F258" i="22" s="1"/>
  <c r="W258" i="22"/>
  <c r="G183" i="22"/>
  <c r="CC183" i="6" s="1"/>
  <c r="H124" i="22"/>
  <c r="G124" i="22"/>
  <c r="CC124" i="6" s="1"/>
  <c r="G269" i="22"/>
  <c r="CC269" i="6" s="1"/>
  <c r="AA147" i="22"/>
  <c r="Z147" i="22" s="1"/>
  <c r="Y147" i="22" s="1"/>
  <c r="G147" i="22"/>
  <c r="CC147" i="6" s="1"/>
  <c r="H121" i="22"/>
  <c r="G121" i="22"/>
  <c r="CC121" i="6" s="1"/>
  <c r="AA121" i="22"/>
  <c r="Z121" i="22" s="1"/>
  <c r="Y121" i="22" s="1"/>
  <c r="H267" i="22"/>
  <c r="G267" i="22"/>
  <c r="CC267" i="6" s="1"/>
  <c r="G284" i="22"/>
  <c r="CC284" i="6" s="1"/>
  <c r="H284" i="22"/>
  <c r="D149" i="22"/>
  <c r="E149" i="22" s="1"/>
  <c r="F149" i="22" s="1"/>
  <c r="W149" i="22"/>
  <c r="H79" i="22"/>
  <c r="G79" i="22"/>
  <c r="CC79" i="6" s="1"/>
  <c r="D29" i="22"/>
  <c r="E29" i="22" s="1"/>
  <c r="F29" i="22" s="1"/>
  <c r="W29" i="22"/>
  <c r="H340" i="22"/>
  <c r="AA340" i="22"/>
  <c r="Z340" i="22" s="1"/>
  <c r="Y340" i="22" s="1"/>
  <c r="G340" i="22"/>
  <c r="CC340" i="6" s="1"/>
  <c r="G344" i="22"/>
  <c r="CC344" i="6" s="1"/>
  <c r="H344" i="22"/>
  <c r="AA308" i="22"/>
  <c r="Z308" i="22" s="1"/>
  <c r="Y308" i="22" s="1"/>
  <c r="H308" i="22"/>
  <c r="G308" i="22"/>
  <c r="CC308" i="6" s="1"/>
  <c r="AA77" i="22"/>
  <c r="Z77" i="22" s="1"/>
  <c r="Y77" i="22" s="1"/>
  <c r="G77" i="22"/>
  <c r="CC77" i="6" s="1"/>
  <c r="AA207" i="22"/>
  <c r="Z207" i="22" s="1"/>
  <c r="Y207" i="22" s="1"/>
  <c r="G207" i="22"/>
  <c r="CC207" i="6" s="1"/>
  <c r="H207" i="22"/>
  <c r="D88" i="6"/>
  <c r="S4" i="6"/>
  <c r="B60" i="6"/>
  <c r="BA60" i="6" s="1"/>
  <c r="H60" i="20"/>
  <c r="Y4" i="6"/>
  <c r="D180" i="6"/>
  <c r="H164" i="22"/>
  <c r="H206" i="22"/>
  <c r="V381" i="18"/>
  <c r="V382" i="18"/>
  <c r="AJ5" i="18"/>
  <c r="V383" i="18"/>
  <c r="B65" i="19"/>
  <c r="N65" i="19" s="1"/>
  <c r="H349" i="22"/>
  <c r="H323" i="22"/>
  <c r="AE11" i="24"/>
  <c r="J379" i="20"/>
  <c r="I379" i="20"/>
  <c r="J370" i="22"/>
  <c r="I370" i="22"/>
  <c r="H283" i="22" l="1"/>
  <c r="G327" i="22"/>
  <c r="CC327" i="6" s="1"/>
  <c r="H183" i="22"/>
  <c r="J183" i="22" s="1"/>
  <c r="H175" i="22"/>
  <c r="AA83" i="22"/>
  <c r="Z83" i="22" s="1"/>
  <c r="Y83" i="22" s="1"/>
  <c r="H89" i="22"/>
  <c r="H200" i="22"/>
  <c r="J200" i="22" s="1"/>
  <c r="H55" i="22"/>
  <c r="G283" i="22"/>
  <c r="CC283" i="6" s="1"/>
  <c r="AA161" i="22"/>
  <c r="Z161" i="22" s="1"/>
  <c r="Y161" i="22" s="1"/>
  <c r="H296" i="22"/>
  <c r="I296" i="22" s="1"/>
  <c r="G172" i="22"/>
  <c r="CC172" i="6" s="1"/>
  <c r="G193" i="22"/>
  <c r="CC193" i="6" s="1"/>
  <c r="G102" i="22"/>
  <c r="CC102" i="6" s="1"/>
  <c r="AA293" i="22"/>
  <c r="Z293" i="22" s="1"/>
  <c r="Y293" i="22" s="1"/>
  <c r="H181" i="22"/>
  <c r="G209" i="22"/>
  <c r="CC209" i="6" s="1"/>
  <c r="AA175" i="22"/>
  <c r="Z175" i="22" s="1"/>
  <c r="Y175" i="22" s="1"/>
  <c r="AA347" i="22"/>
  <c r="Z347" i="22" s="1"/>
  <c r="Y347" i="22" s="1"/>
  <c r="AA252" i="22"/>
  <c r="Z252" i="22" s="1"/>
  <c r="Y252" i="22" s="1"/>
  <c r="AA192" i="22"/>
  <c r="Z192" i="22" s="1"/>
  <c r="Y192" i="22" s="1"/>
  <c r="AA320" i="22"/>
  <c r="Z320" i="22" s="1"/>
  <c r="Y320" i="22" s="1"/>
  <c r="H83" i="22"/>
  <c r="I83" i="22" s="1"/>
  <c r="H252" i="22"/>
  <c r="H102" i="22"/>
  <c r="J102" i="22" s="1"/>
  <c r="H255" i="22"/>
  <c r="G113" i="22"/>
  <c r="CC113" i="6" s="1"/>
  <c r="AA81" i="22"/>
  <c r="Z81" i="22" s="1"/>
  <c r="Y81" i="22" s="1"/>
  <c r="AA268" i="22"/>
  <c r="Z268" i="22" s="1"/>
  <c r="Y268" i="22" s="1"/>
  <c r="AA131" i="22"/>
  <c r="Z131" i="22" s="1"/>
  <c r="Y131" i="22" s="1"/>
  <c r="H131" i="22"/>
  <c r="J131" i="22" s="1"/>
  <c r="H189" i="22"/>
  <c r="I189" i="22" s="1"/>
  <c r="H157" i="22"/>
  <c r="J157" i="22" s="1"/>
  <c r="AA189" i="22"/>
  <c r="Z189" i="22" s="1"/>
  <c r="Y189" i="22" s="1"/>
  <c r="H327" i="22"/>
  <c r="J327" i="22" s="1"/>
  <c r="G240" i="22"/>
  <c r="CC240" i="6" s="1"/>
  <c r="AA246" i="22"/>
  <c r="Z246" i="22" s="1"/>
  <c r="Y246" i="22" s="1"/>
  <c r="G89" i="22"/>
  <c r="CC89" i="6" s="1"/>
  <c r="G255" i="22"/>
  <c r="CC255" i="6" s="1"/>
  <c r="H225" i="22"/>
  <c r="I225" i="22" s="1"/>
  <c r="G87" i="22"/>
  <c r="CC87" i="6" s="1"/>
  <c r="H316" i="22"/>
  <c r="I316" i="22" s="1"/>
  <c r="H132" i="22"/>
  <c r="I132" i="22" s="1"/>
  <c r="AA225" i="22"/>
  <c r="Z225" i="22" s="1"/>
  <c r="Y225" i="22" s="1"/>
  <c r="H201" i="22"/>
  <c r="J201" i="22" s="1"/>
  <c r="G161" i="22"/>
  <c r="CC161" i="6" s="1"/>
  <c r="H293" i="22"/>
  <c r="J293" i="22" s="1"/>
  <c r="AA316" i="22"/>
  <c r="Z316" i="22" s="1"/>
  <c r="Y316" i="22" s="1"/>
  <c r="H347" i="22"/>
  <c r="I347" i="22" s="1"/>
  <c r="H246" i="22"/>
  <c r="I246" i="22" s="1"/>
  <c r="J184" i="22"/>
  <c r="I82" i="22"/>
  <c r="I131" i="22"/>
  <c r="J178" i="22"/>
  <c r="J24" i="22"/>
  <c r="J378" i="22"/>
  <c r="J188" i="22"/>
  <c r="J320" i="22"/>
  <c r="J371" i="22"/>
  <c r="J366" i="22"/>
  <c r="J163" i="22"/>
  <c r="J128" i="22"/>
  <c r="AE257" i="23"/>
  <c r="AE339" i="23"/>
  <c r="AE118" i="23"/>
  <c r="AE327" i="23"/>
  <c r="AE308" i="23"/>
  <c r="AE132" i="23"/>
  <c r="AE294" i="23"/>
  <c r="AE368" i="23"/>
  <c r="AE291" i="23"/>
  <c r="AE143" i="23"/>
  <c r="AE278" i="23"/>
  <c r="AE247" i="23"/>
  <c r="AE238" i="23"/>
  <c r="AE292" i="23"/>
  <c r="AE165" i="23"/>
  <c r="AE137" i="23"/>
  <c r="AE148" i="23"/>
  <c r="AE117" i="23"/>
  <c r="AE325" i="23"/>
  <c r="AE210" i="23"/>
  <c r="AE235" i="23"/>
  <c r="AE198" i="23"/>
  <c r="AE200" i="23"/>
  <c r="AE124" i="23"/>
  <c r="AE126" i="23"/>
  <c r="AE295" i="23"/>
  <c r="AE370" i="23"/>
  <c r="AE160" i="23"/>
  <c r="AE360" i="23"/>
  <c r="AE159" i="23"/>
  <c r="AE249" i="23"/>
  <c r="AE284" i="23"/>
  <c r="AE269" i="23"/>
  <c r="AE233" i="23"/>
  <c r="AE286" i="23"/>
  <c r="AE248" i="23"/>
  <c r="AE319" i="23"/>
  <c r="AE334" i="23"/>
  <c r="AE204" i="23"/>
  <c r="AE219" i="23"/>
  <c r="AE157" i="23"/>
  <c r="AE276" i="23"/>
  <c r="AE202" i="23"/>
  <c r="AE364" i="23"/>
  <c r="AE312" i="23"/>
  <c r="AE186" i="23"/>
  <c r="AE163" i="23"/>
  <c r="AE256" i="23"/>
  <c r="AE243" i="23"/>
  <c r="AE317" i="23"/>
  <c r="AE112" i="23"/>
  <c r="AE161" i="23"/>
  <c r="AE369" i="23"/>
  <c r="AE250" i="23"/>
  <c r="AE362" i="23"/>
  <c r="AE182" i="23"/>
  <c r="AE272" i="23"/>
  <c r="AE355" i="23"/>
  <c r="AE315" i="23"/>
  <c r="AE151" i="23"/>
  <c r="AE321" i="23"/>
  <c r="AE322" i="23"/>
  <c r="AE342" i="23"/>
  <c r="AE311" i="23"/>
  <c r="AE277" i="23"/>
  <c r="AE196" i="23"/>
  <c r="AE273" i="23"/>
  <c r="AE367" i="23"/>
  <c r="AE115" i="23"/>
  <c r="AE189" i="23"/>
  <c r="AE351" i="23"/>
  <c r="AE113" i="23"/>
  <c r="AE349" i="23"/>
  <c r="AE361" i="23"/>
  <c r="AE234" i="23"/>
  <c r="AE275" i="23"/>
  <c r="AE144" i="23"/>
  <c r="AE320" i="23"/>
  <c r="AE305" i="23"/>
  <c r="AE304" i="23"/>
  <c r="AE193" i="23"/>
  <c r="AE207" i="23"/>
  <c r="AE214" i="23"/>
  <c r="AE152" i="23"/>
  <c r="AE183" i="23"/>
  <c r="AE251" i="23"/>
  <c r="AE265" i="23"/>
  <c r="AE353" i="23"/>
  <c r="AE130" i="23"/>
  <c r="AE379" i="23"/>
  <c r="AE12" i="24" s="1"/>
  <c r="AE199" i="23"/>
  <c r="AE343" i="23"/>
  <c r="AE146" i="23"/>
  <c r="AE228" i="23"/>
  <c r="AE374" i="23"/>
  <c r="AE109" i="23"/>
  <c r="AE195" i="23"/>
  <c r="AE261" i="23"/>
  <c r="AE359" i="23"/>
  <c r="AE306" i="23"/>
  <c r="AE288" i="23"/>
  <c r="AE171" i="23"/>
  <c r="AE173" i="23"/>
  <c r="AE136" i="23"/>
  <c r="AE185" i="23"/>
  <c r="AE331" i="23"/>
  <c r="AE282" i="23"/>
  <c r="AE366" i="23"/>
  <c r="AE335" i="23"/>
  <c r="AE226" i="23"/>
  <c r="AE222" i="23"/>
  <c r="AE296" i="23"/>
  <c r="AE245" i="23"/>
  <c r="AE140" i="23"/>
  <c r="AE347" i="23"/>
  <c r="AE212" i="23"/>
  <c r="AE345" i="23"/>
  <c r="AE192" i="23"/>
  <c r="AE255" i="23"/>
  <c r="AE309" i="23"/>
  <c r="AE175" i="23"/>
  <c r="AE156" i="23"/>
  <c r="AE253" i="23"/>
  <c r="AE138" i="23"/>
  <c r="AE300" i="23"/>
  <c r="AE155" i="23"/>
  <c r="AE120" i="23"/>
  <c r="AE378" i="23"/>
  <c r="AE298" i="23"/>
  <c r="AE239" i="23"/>
  <c r="AE179" i="23"/>
  <c r="AE208" i="23"/>
  <c r="AE116" i="23"/>
  <c r="AE348" i="23"/>
  <c r="AE230" i="23"/>
  <c r="AE344" i="23"/>
  <c r="AE363" i="23"/>
  <c r="AE328" i="23"/>
  <c r="AE323" i="23"/>
  <c r="AE217" i="23"/>
  <c r="AE162" i="23"/>
  <c r="AE254" i="23"/>
  <c r="AE184" i="23"/>
  <c r="AE127" i="23"/>
  <c r="AE145" i="23"/>
  <c r="AE134" i="23"/>
  <c r="AE125" i="23"/>
  <c r="AE287" i="23"/>
  <c r="AE377" i="23"/>
  <c r="AE172" i="23"/>
  <c r="AE376" i="23"/>
  <c r="AE122" i="23"/>
  <c r="AE170" i="23"/>
  <c r="AE354" i="23"/>
  <c r="AE358" i="23"/>
  <c r="AE227" i="23"/>
  <c r="AE332" i="23"/>
  <c r="AE285" i="23"/>
  <c r="AE314" i="23"/>
  <c r="AE330" i="23"/>
  <c r="AE129" i="23"/>
  <c r="AE211" i="23"/>
  <c r="AE205" i="23"/>
  <c r="AE297" i="23"/>
  <c r="AE270" i="23"/>
  <c r="AE149" i="23"/>
  <c r="AE371" i="23"/>
  <c r="AE240" i="23"/>
  <c r="AE180" i="23"/>
  <c r="AE289" i="23"/>
  <c r="AE258" i="23"/>
  <c r="AE150" i="23"/>
  <c r="AE135" i="23"/>
  <c r="AE119" i="23"/>
  <c r="AE131" i="23"/>
  <c r="AE164" i="23"/>
  <c r="AE310" i="23"/>
  <c r="AE244" i="23"/>
  <c r="AE110" i="23"/>
  <c r="AE188" i="23"/>
  <c r="AE197" i="23"/>
  <c r="AE279" i="23"/>
  <c r="AE107" i="23"/>
  <c r="AE301" i="23"/>
  <c r="AE174" i="23"/>
  <c r="AE324" i="23"/>
  <c r="AE357" i="23"/>
  <c r="AE242" i="23"/>
  <c r="AE271" i="23"/>
  <c r="AE290" i="23"/>
  <c r="AE283" i="23"/>
  <c r="AE232" i="23"/>
  <c r="AE121" i="23"/>
  <c r="AE267" i="23"/>
  <c r="AE262" i="23"/>
  <c r="AE231" i="23"/>
  <c r="AE340" i="23"/>
  <c r="AE281" i="23"/>
  <c r="AE209" i="23"/>
  <c r="AE158" i="23"/>
  <c r="AE218" i="23"/>
  <c r="AE191" i="23"/>
  <c r="AE326" i="23"/>
  <c r="AE169" i="23"/>
  <c r="AE236" i="23"/>
  <c r="AE318" i="23"/>
  <c r="AE229" i="23"/>
  <c r="AE154" i="23"/>
  <c r="AE114" i="23"/>
  <c r="AE252" i="23"/>
  <c r="AE237" i="23"/>
  <c r="AE104" i="23"/>
  <c r="AE274" i="23"/>
  <c r="AE356" i="23"/>
  <c r="AE139" i="23"/>
  <c r="AE216" i="23"/>
  <c r="AE201" i="23"/>
  <c r="AE153" i="23"/>
  <c r="AE316" i="23"/>
  <c r="AE181" i="23"/>
  <c r="AE299" i="23"/>
  <c r="AE264" i="23"/>
  <c r="AE313" i="23"/>
  <c r="AE108" i="23"/>
  <c r="AE190" i="23"/>
  <c r="AE167" i="23"/>
  <c r="AE373" i="23"/>
  <c r="AE111" i="23"/>
  <c r="AE350" i="23"/>
  <c r="AE223" i="23"/>
  <c r="AE352" i="23"/>
  <c r="AE268" i="23"/>
  <c r="AE220" i="23"/>
  <c r="AE221" i="23"/>
  <c r="AE105" i="23"/>
  <c r="AE106" i="23"/>
  <c r="AE303" i="23"/>
  <c r="AE147" i="23"/>
  <c r="AE333" i="23"/>
  <c r="AE206" i="23"/>
  <c r="AE213" i="23"/>
  <c r="AE194" i="23"/>
  <c r="AE166" i="23"/>
  <c r="AE176" i="23"/>
  <c r="AE266" i="23"/>
  <c r="AE177" i="23"/>
  <c r="AE263" i="23"/>
  <c r="AE128" i="23"/>
  <c r="AE307" i="23"/>
  <c r="AE141" i="23"/>
  <c r="AE336" i="23"/>
  <c r="AE372" i="23"/>
  <c r="AE225" i="23"/>
  <c r="AE241" i="23"/>
  <c r="AE123" i="23"/>
  <c r="AE215" i="23"/>
  <c r="AE246" i="23"/>
  <c r="AE365" i="23"/>
  <c r="AE346" i="23"/>
  <c r="AE302" i="23"/>
  <c r="AE260" i="23"/>
  <c r="AE187" i="23"/>
  <c r="AE133" i="23"/>
  <c r="AE329" i="23"/>
  <c r="AE178" i="23"/>
  <c r="AE280" i="23"/>
  <c r="AE375" i="23"/>
  <c r="AE341" i="23"/>
  <c r="AE203" i="23"/>
  <c r="AE293" i="23"/>
  <c r="AE259" i="23"/>
  <c r="AE224" i="23"/>
  <c r="AE337" i="23"/>
  <c r="AE168" i="23"/>
  <c r="AE338" i="23"/>
  <c r="AE142" i="23"/>
  <c r="AI11" i="23"/>
  <c r="AI277" i="23" s="1"/>
  <c r="AH277" i="23" s="1"/>
  <c r="AG277" i="23" s="1"/>
  <c r="AF277" i="23" s="1"/>
  <c r="AD277" i="23" s="1"/>
  <c r="O10" i="25"/>
  <c r="AC10" i="25"/>
  <c r="L43" i="19"/>
  <c r="J38" i="19"/>
  <c r="AA379" i="22"/>
  <c r="Z379" i="22" s="1"/>
  <c r="Y379" i="22" s="1"/>
  <c r="I108" i="22"/>
  <c r="H379" i="22"/>
  <c r="I379" i="22" s="1"/>
  <c r="I188" i="22"/>
  <c r="I118" i="22"/>
  <c r="I298" i="22"/>
  <c r="J347" i="22"/>
  <c r="I128" i="22"/>
  <c r="M67" i="19"/>
  <c r="I280" i="22"/>
  <c r="J337" i="22"/>
  <c r="J220" i="22"/>
  <c r="J68" i="22"/>
  <c r="J31" i="22"/>
  <c r="B380" i="22"/>
  <c r="D380" i="22" s="1"/>
  <c r="E380" i="22" s="1"/>
  <c r="F380" i="22" s="1"/>
  <c r="W379" i="22"/>
  <c r="D14" i="19"/>
  <c r="G38" i="19"/>
  <c r="J314" i="22"/>
  <c r="J48" i="22"/>
  <c r="J266" i="22"/>
  <c r="J93" i="22"/>
  <c r="I378" i="22"/>
  <c r="J186" i="22"/>
  <c r="I301" i="22"/>
  <c r="J268" i="22"/>
  <c r="AU16" i="7"/>
  <c r="U334" i="23"/>
  <c r="T334" i="23" s="1"/>
  <c r="S334" i="23" s="1"/>
  <c r="R334" i="23" s="1"/>
  <c r="P334" i="23" s="1"/>
  <c r="V334" i="23" s="1"/>
  <c r="B334" i="23" s="1"/>
  <c r="U167" i="23"/>
  <c r="T167" i="23" s="1"/>
  <c r="S167" i="23" s="1"/>
  <c r="R167" i="23" s="1"/>
  <c r="P167" i="23" s="1"/>
  <c r="V167" i="23" s="1"/>
  <c r="B167" i="23" s="1"/>
  <c r="U45" i="23"/>
  <c r="T45" i="23" s="1"/>
  <c r="S45" i="23" s="1"/>
  <c r="R45" i="23" s="1"/>
  <c r="P45" i="23" s="1"/>
  <c r="V45" i="23" s="1"/>
  <c r="B45" i="23" s="1"/>
  <c r="U362" i="23"/>
  <c r="T362" i="23" s="1"/>
  <c r="S362" i="23" s="1"/>
  <c r="R362" i="23" s="1"/>
  <c r="P362" i="23" s="1"/>
  <c r="V362" i="23" s="1"/>
  <c r="B362" i="23" s="1"/>
  <c r="U207" i="23"/>
  <c r="T207" i="23" s="1"/>
  <c r="S207" i="23" s="1"/>
  <c r="R207" i="23" s="1"/>
  <c r="P207" i="23" s="1"/>
  <c r="V207" i="23" s="1"/>
  <c r="B207" i="23" s="1"/>
  <c r="U255" i="23"/>
  <c r="T255" i="23" s="1"/>
  <c r="S255" i="23" s="1"/>
  <c r="R255" i="23" s="1"/>
  <c r="P255" i="23" s="1"/>
  <c r="V255" i="23" s="1"/>
  <c r="B255" i="23" s="1"/>
  <c r="D255" i="23" s="1"/>
  <c r="E255" i="23" s="1"/>
  <c r="F255" i="23" s="1"/>
  <c r="U26" i="23"/>
  <c r="T26" i="23" s="1"/>
  <c r="S26" i="23" s="1"/>
  <c r="R26" i="23" s="1"/>
  <c r="P26" i="23" s="1"/>
  <c r="V26" i="23" s="1"/>
  <c r="B26" i="23" s="1"/>
  <c r="W26" i="23" s="1"/>
  <c r="U243" i="23"/>
  <c r="T243" i="23" s="1"/>
  <c r="S243" i="23" s="1"/>
  <c r="R243" i="23" s="1"/>
  <c r="P243" i="23" s="1"/>
  <c r="V243" i="23" s="1"/>
  <c r="B243" i="23" s="1"/>
  <c r="U103" i="23"/>
  <c r="T103" i="23" s="1"/>
  <c r="S103" i="23" s="1"/>
  <c r="R103" i="23" s="1"/>
  <c r="P103" i="23" s="1"/>
  <c r="V103" i="23" s="1"/>
  <c r="B103" i="23" s="1"/>
  <c r="U38" i="23"/>
  <c r="T38" i="23" s="1"/>
  <c r="S38" i="23" s="1"/>
  <c r="R38" i="23" s="1"/>
  <c r="P38" i="23" s="1"/>
  <c r="V38" i="23" s="1"/>
  <c r="B38" i="23" s="1"/>
  <c r="U171" i="23"/>
  <c r="T171" i="23" s="1"/>
  <c r="S171" i="23" s="1"/>
  <c r="R171" i="23" s="1"/>
  <c r="P171" i="23" s="1"/>
  <c r="V171" i="23" s="1"/>
  <c r="B171" i="23" s="1"/>
  <c r="U115" i="23"/>
  <c r="T115" i="23" s="1"/>
  <c r="S115" i="23" s="1"/>
  <c r="R115" i="23" s="1"/>
  <c r="P115" i="23" s="1"/>
  <c r="V115" i="23" s="1"/>
  <c r="B115" i="23" s="1"/>
  <c r="W115" i="23" s="1"/>
  <c r="U40" i="23"/>
  <c r="T40" i="23" s="1"/>
  <c r="S40" i="23" s="1"/>
  <c r="R40" i="23" s="1"/>
  <c r="P40" i="23" s="1"/>
  <c r="V40" i="23" s="1"/>
  <c r="B40" i="23" s="1"/>
  <c r="W40" i="23" s="1"/>
  <c r="U196" i="23"/>
  <c r="T196" i="23" s="1"/>
  <c r="S196" i="23" s="1"/>
  <c r="R196" i="23" s="1"/>
  <c r="P196" i="23" s="1"/>
  <c r="V196" i="23" s="1"/>
  <c r="B196" i="23" s="1"/>
  <c r="U162" i="23"/>
  <c r="T162" i="23" s="1"/>
  <c r="S162" i="23" s="1"/>
  <c r="R162" i="23" s="1"/>
  <c r="P162" i="23" s="1"/>
  <c r="V162" i="23" s="1"/>
  <c r="B162" i="23" s="1"/>
  <c r="D162" i="23" s="1"/>
  <c r="E162" i="23" s="1"/>
  <c r="F162" i="23" s="1"/>
  <c r="U267" i="23"/>
  <c r="T267" i="23" s="1"/>
  <c r="S267" i="23" s="1"/>
  <c r="R267" i="23" s="1"/>
  <c r="P267" i="23" s="1"/>
  <c r="V267" i="23" s="1"/>
  <c r="B267" i="23" s="1"/>
  <c r="D267" i="23" s="1"/>
  <c r="E267" i="23" s="1"/>
  <c r="F267" i="23" s="1"/>
  <c r="U199" i="23"/>
  <c r="T199" i="23" s="1"/>
  <c r="S199" i="23" s="1"/>
  <c r="R199" i="23" s="1"/>
  <c r="P199" i="23" s="1"/>
  <c r="V199" i="23" s="1"/>
  <c r="B199" i="23" s="1"/>
  <c r="D199" i="23" s="1"/>
  <c r="E199" i="23" s="1"/>
  <c r="F199" i="23" s="1"/>
  <c r="U248" i="23"/>
  <c r="T248" i="23" s="1"/>
  <c r="S248" i="23" s="1"/>
  <c r="R248" i="23" s="1"/>
  <c r="P248" i="23" s="1"/>
  <c r="V248" i="23" s="1"/>
  <c r="B248" i="23" s="1"/>
  <c r="D248" i="23" s="1"/>
  <c r="E248" i="23" s="1"/>
  <c r="F248" i="23" s="1"/>
  <c r="U327" i="23"/>
  <c r="T327" i="23" s="1"/>
  <c r="S327" i="23" s="1"/>
  <c r="R327" i="23" s="1"/>
  <c r="P327" i="23" s="1"/>
  <c r="V327" i="23" s="1"/>
  <c r="B327" i="23" s="1"/>
  <c r="W327" i="23" s="1"/>
  <c r="U34" i="23"/>
  <c r="T34" i="23" s="1"/>
  <c r="S34" i="23" s="1"/>
  <c r="R34" i="23" s="1"/>
  <c r="P34" i="23" s="1"/>
  <c r="V34" i="23" s="1"/>
  <c r="B34" i="23" s="1"/>
  <c r="W34" i="23" s="1"/>
  <c r="U263" i="23"/>
  <c r="T263" i="23" s="1"/>
  <c r="S263" i="23" s="1"/>
  <c r="R263" i="23" s="1"/>
  <c r="P263" i="23" s="1"/>
  <c r="V263" i="23" s="1"/>
  <c r="B263" i="23" s="1"/>
  <c r="U190" i="23"/>
  <c r="T190" i="23" s="1"/>
  <c r="S190" i="23" s="1"/>
  <c r="R190" i="23" s="1"/>
  <c r="P190" i="23" s="1"/>
  <c r="V190" i="23" s="1"/>
  <c r="B190" i="23" s="1"/>
  <c r="U191" i="23"/>
  <c r="T191" i="23" s="1"/>
  <c r="S191" i="23" s="1"/>
  <c r="R191" i="23" s="1"/>
  <c r="P191" i="23" s="1"/>
  <c r="V191" i="23" s="1"/>
  <c r="B191" i="23" s="1"/>
  <c r="D191" i="23" s="1"/>
  <c r="E191" i="23" s="1"/>
  <c r="F191" i="23" s="1"/>
  <c r="U56" i="23"/>
  <c r="T56" i="23" s="1"/>
  <c r="S56" i="23" s="1"/>
  <c r="R56" i="23" s="1"/>
  <c r="P56" i="23" s="1"/>
  <c r="V56" i="23" s="1"/>
  <c r="B56" i="23" s="1"/>
  <c r="W56" i="23" s="1"/>
  <c r="U148" i="23"/>
  <c r="T148" i="23" s="1"/>
  <c r="S148" i="23" s="1"/>
  <c r="R148" i="23" s="1"/>
  <c r="P148" i="23" s="1"/>
  <c r="V148" i="23" s="1"/>
  <c r="B148" i="23" s="1"/>
  <c r="U58" i="23"/>
  <c r="T58" i="23" s="1"/>
  <c r="S58" i="23" s="1"/>
  <c r="R58" i="23" s="1"/>
  <c r="P58" i="23" s="1"/>
  <c r="V58" i="23" s="1"/>
  <c r="B58" i="23" s="1"/>
  <c r="U361" i="23"/>
  <c r="T361" i="23" s="1"/>
  <c r="S361" i="23" s="1"/>
  <c r="R361" i="23" s="1"/>
  <c r="P361" i="23" s="1"/>
  <c r="V361" i="23" s="1"/>
  <c r="B361" i="23" s="1"/>
  <c r="U298" i="23"/>
  <c r="T298" i="23" s="1"/>
  <c r="S298" i="23" s="1"/>
  <c r="R298" i="23" s="1"/>
  <c r="P298" i="23" s="1"/>
  <c r="V298" i="23" s="1"/>
  <c r="B298" i="23" s="1"/>
  <c r="U222" i="23"/>
  <c r="T222" i="23" s="1"/>
  <c r="S222" i="23" s="1"/>
  <c r="R222" i="23" s="1"/>
  <c r="P222" i="23" s="1"/>
  <c r="V222" i="23" s="1"/>
  <c r="B222" i="23" s="1"/>
  <c r="U170" i="23"/>
  <c r="T170" i="23" s="1"/>
  <c r="S170" i="23" s="1"/>
  <c r="R170" i="23" s="1"/>
  <c r="P170" i="23" s="1"/>
  <c r="V170" i="23" s="1"/>
  <c r="B170" i="23" s="1"/>
  <c r="U29" i="23"/>
  <c r="T29" i="23" s="1"/>
  <c r="S29" i="23" s="1"/>
  <c r="R29" i="23" s="1"/>
  <c r="P29" i="23" s="1"/>
  <c r="V29" i="23" s="1"/>
  <c r="B29" i="23" s="1"/>
  <c r="U376" i="23"/>
  <c r="T376" i="23" s="1"/>
  <c r="S376" i="23" s="1"/>
  <c r="R376" i="23" s="1"/>
  <c r="P376" i="23" s="1"/>
  <c r="V376" i="23" s="1"/>
  <c r="B376" i="23" s="1"/>
  <c r="W376" i="23" s="1"/>
  <c r="U62" i="23"/>
  <c r="T62" i="23" s="1"/>
  <c r="S62" i="23" s="1"/>
  <c r="R62" i="23" s="1"/>
  <c r="P62" i="23" s="1"/>
  <c r="V62" i="23" s="1"/>
  <c r="B62" i="23" s="1"/>
  <c r="W62" i="23" s="1"/>
  <c r="U236" i="23"/>
  <c r="T236" i="23" s="1"/>
  <c r="S236" i="23" s="1"/>
  <c r="R236" i="23" s="1"/>
  <c r="P236" i="23" s="1"/>
  <c r="V236" i="23" s="1"/>
  <c r="B236" i="23" s="1"/>
  <c r="W236" i="23" s="1"/>
  <c r="U51" i="23"/>
  <c r="T51" i="23" s="1"/>
  <c r="S51" i="23" s="1"/>
  <c r="R51" i="23" s="1"/>
  <c r="P51" i="23" s="1"/>
  <c r="V51" i="23" s="1"/>
  <c r="B51" i="23" s="1"/>
  <c r="U109" i="23"/>
  <c r="T109" i="23" s="1"/>
  <c r="S109" i="23" s="1"/>
  <c r="R109" i="23" s="1"/>
  <c r="P109" i="23" s="1"/>
  <c r="V109" i="23" s="1"/>
  <c r="B109" i="23" s="1"/>
  <c r="U279" i="23"/>
  <c r="T279" i="23" s="1"/>
  <c r="S279" i="23" s="1"/>
  <c r="R279" i="23" s="1"/>
  <c r="P279" i="23" s="1"/>
  <c r="V279" i="23" s="1"/>
  <c r="B279" i="23" s="1"/>
  <c r="W279" i="23" s="1"/>
  <c r="U280" i="23"/>
  <c r="T280" i="23" s="1"/>
  <c r="S280" i="23" s="1"/>
  <c r="R280" i="23" s="1"/>
  <c r="P280" i="23" s="1"/>
  <c r="V280" i="23" s="1"/>
  <c r="B280" i="23" s="1"/>
  <c r="W280" i="23" s="1"/>
  <c r="U206" i="23"/>
  <c r="T206" i="23" s="1"/>
  <c r="S206" i="23" s="1"/>
  <c r="R206" i="23" s="1"/>
  <c r="P206" i="23" s="1"/>
  <c r="V206" i="23" s="1"/>
  <c r="B206" i="23" s="1"/>
  <c r="D206" i="23" s="1"/>
  <c r="E206" i="23" s="1"/>
  <c r="F206" i="23" s="1"/>
  <c r="U326" i="23"/>
  <c r="T326" i="23" s="1"/>
  <c r="S326" i="23" s="1"/>
  <c r="R326" i="23" s="1"/>
  <c r="P326" i="23" s="1"/>
  <c r="V326" i="23" s="1"/>
  <c r="B326" i="23" s="1"/>
  <c r="U81" i="23"/>
  <c r="T81" i="23" s="1"/>
  <c r="S81" i="23" s="1"/>
  <c r="R81" i="23" s="1"/>
  <c r="P81" i="23" s="1"/>
  <c r="V81" i="23" s="1"/>
  <c r="B81" i="23" s="1"/>
  <c r="U268" i="23"/>
  <c r="T268" i="23" s="1"/>
  <c r="S268" i="23" s="1"/>
  <c r="R268" i="23" s="1"/>
  <c r="P268" i="23" s="1"/>
  <c r="V268" i="23" s="1"/>
  <c r="B268" i="23" s="1"/>
  <c r="D268" i="23" s="1"/>
  <c r="E268" i="23" s="1"/>
  <c r="F268" i="23" s="1"/>
  <c r="U193" i="23"/>
  <c r="T193" i="23" s="1"/>
  <c r="S193" i="23" s="1"/>
  <c r="R193" i="23" s="1"/>
  <c r="P193" i="23" s="1"/>
  <c r="V193" i="23" s="1"/>
  <c r="B193" i="23" s="1"/>
  <c r="U323" i="23"/>
  <c r="T323" i="23" s="1"/>
  <c r="S323" i="23" s="1"/>
  <c r="R323" i="23" s="1"/>
  <c r="P323" i="23" s="1"/>
  <c r="V323" i="23" s="1"/>
  <c r="B323" i="23" s="1"/>
  <c r="U359" i="23"/>
  <c r="T359" i="23" s="1"/>
  <c r="S359" i="23" s="1"/>
  <c r="R359" i="23" s="1"/>
  <c r="P359" i="23" s="1"/>
  <c r="V359" i="23" s="1"/>
  <c r="B359" i="23" s="1"/>
  <c r="U256" i="23"/>
  <c r="T256" i="23" s="1"/>
  <c r="S256" i="23" s="1"/>
  <c r="R256" i="23" s="1"/>
  <c r="P256" i="23" s="1"/>
  <c r="V256" i="23" s="1"/>
  <c r="B256" i="23" s="1"/>
  <c r="U377" i="23"/>
  <c r="T377" i="23" s="1"/>
  <c r="S377" i="23" s="1"/>
  <c r="R377" i="23" s="1"/>
  <c r="P377" i="23" s="1"/>
  <c r="V377" i="23" s="1"/>
  <c r="B377" i="23" s="1"/>
  <c r="U173" i="23"/>
  <c r="T173" i="23" s="1"/>
  <c r="S173" i="23" s="1"/>
  <c r="R173" i="23" s="1"/>
  <c r="P173" i="23" s="1"/>
  <c r="V173" i="23" s="1"/>
  <c r="B173" i="23" s="1"/>
  <c r="U345" i="23"/>
  <c r="T345" i="23" s="1"/>
  <c r="S345" i="23" s="1"/>
  <c r="R345" i="23" s="1"/>
  <c r="P345" i="23" s="1"/>
  <c r="V345" i="23" s="1"/>
  <c r="B345" i="23" s="1"/>
  <c r="U108" i="23"/>
  <c r="T108" i="23" s="1"/>
  <c r="S108" i="23" s="1"/>
  <c r="R108" i="23" s="1"/>
  <c r="P108" i="23" s="1"/>
  <c r="V108" i="23" s="1"/>
  <c r="B108" i="23" s="1"/>
  <c r="U189" i="23"/>
  <c r="T189" i="23" s="1"/>
  <c r="S189" i="23" s="1"/>
  <c r="R189" i="23" s="1"/>
  <c r="P189" i="23" s="1"/>
  <c r="V189" i="23" s="1"/>
  <c r="B189" i="23" s="1"/>
  <c r="U379" i="23"/>
  <c r="U66" i="23"/>
  <c r="T66" i="23" s="1"/>
  <c r="S66" i="23" s="1"/>
  <c r="R66" i="23" s="1"/>
  <c r="P66" i="23" s="1"/>
  <c r="V66" i="23" s="1"/>
  <c r="B66" i="23" s="1"/>
  <c r="U177" i="23"/>
  <c r="T177" i="23" s="1"/>
  <c r="S177" i="23" s="1"/>
  <c r="R177" i="23" s="1"/>
  <c r="P177" i="23" s="1"/>
  <c r="V177" i="23" s="1"/>
  <c r="B177" i="23" s="1"/>
  <c r="U104" i="23"/>
  <c r="T104" i="23" s="1"/>
  <c r="S104" i="23" s="1"/>
  <c r="R104" i="23" s="1"/>
  <c r="P104" i="23" s="1"/>
  <c r="V104" i="23" s="1"/>
  <c r="B104" i="23" s="1"/>
  <c r="U133" i="23"/>
  <c r="T133" i="23" s="1"/>
  <c r="S133" i="23" s="1"/>
  <c r="R133" i="23" s="1"/>
  <c r="P133" i="23" s="1"/>
  <c r="V133" i="23" s="1"/>
  <c r="B133" i="23" s="1"/>
  <c r="U36" i="23"/>
  <c r="T36" i="23" s="1"/>
  <c r="S36" i="23" s="1"/>
  <c r="R36" i="23" s="1"/>
  <c r="P36" i="23" s="1"/>
  <c r="V36" i="23" s="1"/>
  <c r="B36" i="23" s="1"/>
  <c r="U57" i="23"/>
  <c r="T57" i="23" s="1"/>
  <c r="S57" i="23" s="1"/>
  <c r="R57" i="23" s="1"/>
  <c r="P57" i="23" s="1"/>
  <c r="V57" i="23" s="1"/>
  <c r="B57" i="23" s="1"/>
  <c r="U253" i="23"/>
  <c r="T253" i="23" s="1"/>
  <c r="S253" i="23" s="1"/>
  <c r="R253" i="23" s="1"/>
  <c r="P253" i="23" s="1"/>
  <c r="V253" i="23" s="1"/>
  <c r="B253" i="23" s="1"/>
  <c r="U254" i="23"/>
  <c r="T254" i="23" s="1"/>
  <c r="S254" i="23" s="1"/>
  <c r="R254" i="23" s="1"/>
  <c r="P254" i="23" s="1"/>
  <c r="V254" i="23" s="1"/>
  <c r="B254" i="23" s="1"/>
  <c r="U368" i="23"/>
  <c r="T368" i="23" s="1"/>
  <c r="S368" i="23" s="1"/>
  <c r="R368" i="23" s="1"/>
  <c r="P368" i="23" s="1"/>
  <c r="V368" i="23" s="1"/>
  <c r="B368" i="23" s="1"/>
  <c r="U168" i="23"/>
  <c r="T168" i="23" s="1"/>
  <c r="S168" i="23" s="1"/>
  <c r="R168" i="23" s="1"/>
  <c r="P168" i="23" s="1"/>
  <c r="V168" i="23" s="1"/>
  <c r="B168" i="23" s="1"/>
  <c r="U78" i="23"/>
  <c r="T78" i="23" s="1"/>
  <c r="S78" i="23" s="1"/>
  <c r="R78" i="23" s="1"/>
  <c r="P78" i="23" s="1"/>
  <c r="V78" i="23" s="1"/>
  <c r="B78" i="23" s="1"/>
  <c r="U239" i="23"/>
  <c r="T239" i="23" s="1"/>
  <c r="S239" i="23" s="1"/>
  <c r="R239" i="23" s="1"/>
  <c r="P239" i="23" s="1"/>
  <c r="V239" i="23" s="1"/>
  <c r="B239" i="23" s="1"/>
  <c r="U354" i="23"/>
  <c r="T354" i="23" s="1"/>
  <c r="S354" i="23" s="1"/>
  <c r="R354" i="23" s="1"/>
  <c r="P354" i="23" s="1"/>
  <c r="V354" i="23" s="1"/>
  <c r="B354" i="23" s="1"/>
  <c r="U296" i="23"/>
  <c r="T296" i="23" s="1"/>
  <c r="S296" i="23" s="1"/>
  <c r="R296" i="23" s="1"/>
  <c r="P296" i="23" s="1"/>
  <c r="V296" i="23" s="1"/>
  <c r="B296" i="23" s="1"/>
  <c r="U322" i="23"/>
  <c r="T322" i="23" s="1"/>
  <c r="S322" i="23" s="1"/>
  <c r="R322" i="23" s="1"/>
  <c r="P322" i="23" s="1"/>
  <c r="V322" i="23" s="1"/>
  <c r="B322" i="23" s="1"/>
  <c r="U126" i="23"/>
  <c r="T126" i="23" s="1"/>
  <c r="S126" i="23" s="1"/>
  <c r="R126" i="23" s="1"/>
  <c r="P126" i="23" s="1"/>
  <c r="V126" i="23" s="1"/>
  <c r="B126" i="23" s="1"/>
  <c r="U39" i="23"/>
  <c r="T39" i="23" s="1"/>
  <c r="S39" i="23" s="1"/>
  <c r="R39" i="23" s="1"/>
  <c r="P39" i="23" s="1"/>
  <c r="V39" i="23" s="1"/>
  <c r="B39" i="23" s="1"/>
  <c r="U246" i="23"/>
  <c r="T246" i="23" s="1"/>
  <c r="S246" i="23" s="1"/>
  <c r="R246" i="23" s="1"/>
  <c r="P246" i="23" s="1"/>
  <c r="V246" i="23" s="1"/>
  <c r="B246" i="23" s="1"/>
  <c r="U176" i="23"/>
  <c r="T176" i="23" s="1"/>
  <c r="S176" i="23" s="1"/>
  <c r="R176" i="23" s="1"/>
  <c r="P176" i="23" s="1"/>
  <c r="V176" i="23" s="1"/>
  <c r="B176" i="23" s="1"/>
  <c r="U219" i="23"/>
  <c r="T219" i="23" s="1"/>
  <c r="S219" i="23" s="1"/>
  <c r="R219" i="23" s="1"/>
  <c r="P219" i="23" s="1"/>
  <c r="V219" i="23" s="1"/>
  <c r="B219" i="23" s="1"/>
  <c r="U336" i="23"/>
  <c r="T336" i="23" s="1"/>
  <c r="S336" i="23" s="1"/>
  <c r="R336" i="23" s="1"/>
  <c r="P336" i="23" s="1"/>
  <c r="V336" i="23" s="1"/>
  <c r="B336" i="23" s="1"/>
  <c r="U72" i="23"/>
  <c r="T72" i="23" s="1"/>
  <c r="S72" i="23" s="1"/>
  <c r="R72" i="23" s="1"/>
  <c r="P72" i="23" s="1"/>
  <c r="V72" i="23" s="1"/>
  <c r="B72" i="23" s="1"/>
  <c r="U313" i="23"/>
  <c r="T313" i="23" s="1"/>
  <c r="S313" i="23" s="1"/>
  <c r="R313" i="23" s="1"/>
  <c r="P313" i="23" s="1"/>
  <c r="V313" i="23" s="1"/>
  <c r="B313" i="23" s="1"/>
  <c r="U144" i="23"/>
  <c r="T144" i="23" s="1"/>
  <c r="S144" i="23" s="1"/>
  <c r="R144" i="23" s="1"/>
  <c r="P144" i="23" s="1"/>
  <c r="V144" i="23" s="1"/>
  <c r="B144" i="23" s="1"/>
  <c r="U47" i="23"/>
  <c r="T47" i="23" s="1"/>
  <c r="S47" i="23" s="1"/>
  <c r="R47" i="23" s="1"/>
  <c r="P47" i="23" s="1"/>
  <c r="V47" i="23" s="1"/>
  <c r="B47" i="23" s="1"/>
  <c r="U339" i="23"/>
  <c r="T339" i="23" s="1"/>
  <c r="S339" i="23" s="1"/>
  <c r="R339" i="23" s="1"/>
  <c r="P339" i="23" s="1"/>
  <c r="V339" i="23" s="1"/>
  <c r="B339" i="23" s="1"/>
  <c r="U114" i="23"/>
  <c r="T114" i="23" s="1"/>
  <c r="S114" i="23" s="1"/>
  <c r="R114" i="23" s="1"/>
  <c r="P114" i="23" s="1"/>
  <c r="V114" i="23" s="1"/>
  <c r="B114" i="23" s="1"/>
  <c r="U369" i="23"/>
  <c r="T369" i="23" s="1"/>
  <c r="S369" i="23" s="1"/>
  <c r="R369" i="23" s="1"/>
  <c r="P369" i="23" s="1"/>
  <c r="V369" i="23" s="1"/>
  <c r="B369" i="23" s="1"/>
  <c r="U90" i="23"/>
  <c r="T90" i="23" s="1"/>
  <c r="S90" i="23" s="1"/>
  <c r="R90" i="23" s="1"/>
  <c r="P90" i="23" s="1"/>
  <c r="V90" i="23" s="1"/>
  <c r="B90" i="23" s="1"/>
  <c r="U157" i="23"/>
  <c r="T157" i="23" s="1"/>
  <c r="S157" i="23" s="1"/>
  <c r="R157" i="23" s="1"/>
  <c r="P157" i="23" s="1"/>
  <c r="V157" i="23" s="1"/>
  <c r="B157" i="23" s="1"/>
  <c r="U163" i="23"/>
  <c r="T163" i="23" s="1"/>
  <c r="S163" i="23" s="1"/>
  <c r="R163" i="23" s="1"/>
  <c r="P163" i="23" s="1"/>
  <c r="V163" i="23" s="1"/>
  <c r="B163" i="23" s="1"/>
  <c r="U306" i="23"/>
  <c r="T306" i="23" s="1"/>
  <c r="S306" i="23" s="1"/>
  <c r="R306" i="23" s="1"/>
  <c r="P306" i="23" s="1"/>
  <c r="V306" i="23" s="1"/>
  <c r="B306" i="23" s="1"/>
  <c r="U342" i="23"/>
  <c r="T342" i="23" s="1"/>
  <c r="S342" i="23" s="1"/>
  <c r="R342" i="23" s="1"/>
  <c r="P342" i="23" s="1"/>
  <c r="V342" i="23" s="1"/>
  <c r="B342" i="23" s="1"/>
  <c r="U287" i="23"/>
  <c r="T287" i="23" s="1"/>
  <c r="S287" i="23" s="1"/>
  <c r="R287" i="23" s="1"/>
  <c r="P287" i="23" s="1"/>
  <c r="V287" i="23" s="1"/>
  <c r="B287" i="23" s="1"/>
  <c r="U166" i="23"/>
  <c r="T166" i="23" s="1"/>
  <c r="S166" i="23" s="1"/>
  <c r="R166" i="23" s="1"/>
  <c r="P166" i="23" s="1"/>
  <c r="V166" i="23" s="1"/>
  <c r="B166" i="23" s="1"/>
  <c r="U228" i="23"/>
  <c r="T228" i="23" s="1"/>
  <c r="S228" i="23" s="1"/>
  <c r="R228" i="23" s="1"/>
  <c r="P228" i="23" s="1"/>
  <c r="V228" i="23" s="1"/>
  <c r="B228" i="23" s="1"/>
  <c r="U233" i="23"/>
  <c r="T233" i="23" s="1"/>
  <c r="S233" i="23" s="1"/>
  <c r="R233" i="23" s="1"/>
  <c r="P233" i="23" s="1"/>
  <c r="V233" i="23" s="1"/>
  <c r="B233" i="23" s="1"/>
  <c r="U258" i="23"/>
  <c r="T258" i="23" s="1"/>
  <c r="S258" i="23" s="1"/>
  <c r="R258" i="23" s="1"/>
  <c r="P258" i="23" s="1"/>
  <c r="V258" i="23" s="1"/>
  <c r="B258" i="23" s="1"/>
  <c r="D258" i="23" s="1"/>
  <c r="E258" i="23" s="1"/>
  <c r="F258" i="23" s="1"/>
  <c r="U372" i="23"/>
  <c r="T372" i="23" s="1"/>
  <c r="S372" i="23" s="1"/>
  <c r="R372" i="23" s="1"/>
  <c r="P372" i="23" s="1"/>
  <c r="V372" i="23" s="1"/>
  <c r="B372" i="23" s="1"/>
  <c r="U338" i="23"/>
  <c r="T338" i="23" s="1"/>
  <c r="S338" i="23" s="1"/>
  <c r="R338" i="23" s="1"/>
  <c r="P338" i="23" s="1"/>
  <c r="V338" i="23" s="1"/>
  <c r="B338" i="23" s="1"/>
  <c r="U308" i="23"/>
  <c r="T308" i="23" s="1"/>
  <c r="S308" i="23" s="1"/>
  <c r="R308" i="23" s="1"/>
  <c r="P308" i="23" s="1"/>
  <c r="V308" i="23" s="1"/>
  <c r="B308" i="23" s="1"/>
  <c r="U285" i="23"/>
  <c r="T285" i="23" s="1"/>
  <c r="S285" i="23" s="1"/>
  <c r="R285" i="23" s="1"/>
  <c r="P285" i="23" s="1"/>
  <c r="V285" i="23" s="1"/>
  <c r="B285" i="23" s="1"/>
  <c r="U143" i="23"/>
  <c r="T143" i="23" s="1"/>
  <c r="S143" i="23" s="1"/>
  <c r="R143" i="23" s="1"/>
  <c r="P143" i="23" s="1"/>
  <c r="V143" i="23" s="1"/>
  <c r="B143" i="23" s="1"/>
  <c r="U209" i="23"/>
  <c r="T209" i="23" s="1"/>
  <c r="S209" i="23" s="1"/>
  <c r="R209" i="23" s="1"/>
  <c r="P209" i="23" s="1"/>
  <c r="V209" i="23" s="1"/>
  <c r="B209" i="23" s="1"/>
  <c r="U181" i="23"/>
  <c r="T181" i="23" s="1"/>
  <c r="S181" i="23" s="1"/>
  <c r="R181" i="23" s="1"/>
  <c r="P181" i="23" s="1"/>
  <c r="V181" i="23" s="1"/>
  <c r="B181" i="23" s="1"/>
  <c r="U341" i="23"/>
  <c r="T341" i="23" s="1"/>
  <c r="S341" i="23" s="1"/>
  <c r="R341" i="23" s="1"/>
  <c r="P341" i="23" s="1"/>
  <c r="V341" i="23" s="1"/>
  <c r="B341" i="23" s="1"/>
  <c r="D341" i="23" s="1"/>
  <c r="E341" i="23" s="1"/>
  <c r="F341" i="23" s="1"/>
  <c r="U112" i="23"/>
  <c r="T112" i="23" s="1"/>
  <c r="S112" i="23" s="1"/>
  <c r="R112" i="23" s="1"/>
  <c r="P112" i="23" s="1"/>
  <c r="V112" i="23" s="1"/>
  <c r="B112" i="23" s="1"/>
  <c r="U277" i="23"/>
  <c r="T277" i="23" s="1"/>
  <c r="S277" i="23" s="1"/>
  <c r="R277" i="23" s="1"/>
  <c r="P277" i="23" s="1"/>
  <c r="V277" i="23" s="1"/>
  <c r="B277" i="23" s="1"/>
  <c r="U269" i="23"/>
  <c r="T269" i="23" s="1"/>
  <c r="S269" i="23" s="1"/>
  <c r="R269" i="23" s="1"/>
  <c r="P269" i="23" s="1"/>
  <c r="V269" i="23" s="1"/>
  <c r="B269" i="23" s="1"/>
  <c r="U74" i="23"/>
  <c r="T74" i="23" s="1"/>
  <c r="S74" i="23" s="1"/>
  <c r="R74" i="23" s="1"/>
  <c r="P74" i="23" s="1"/>
  <c r="V74" i="23" s="1"/>
  <c r="B74" i="23" s="1"/>
  <c r="U284" i="23"/>
  <c r="T284" i="23" s="1"/>
  <c r="S284" i="23" s="1"/>
  <c r="R284" i="23" s="1"/>
  <c r="P284" i="23" s="1"/>
  <c r="V284" i="23" s="1"/>
  <c r="B284" i="23" s="1"/>
  <c r="D284" i="23" s="1"/>
  <c r="E284" i="23" s="1"/>
  <c r="F284" i="23" s="1"/>
  <c r="U63" i="23"/>
  <c r="T63" i="23" s="1"/>
  <c r="S63" i="23" s="1"/>
  <c r="R63" i="23" s="1"/>
  <c r="P63" i="23" s="1"/>
  <c r="V63" i="23" s="1"/>
  <c r="B63" i="23" s="1"/>
  <c r="W63" i="23" s="1"/>
  <c r="U172" i="23"/>
  <c r="T172" i="23" s="1"/>
  <c r="S172" i="23" s="1"/>
  <c r="R172" i="23" s="1"/>
  <c r="P172" i="23" s="1"/>
  <c r="V172" i="23" s="1"/>
  <c r="B172" i="23" s="1"/>
  <c r="W172" i="23" s="1"/>
  <c r="U20" i="23"/>
  <c r="T20" i="23" s="1"/>
  <c r="S20" i="23" s="1"/>
  <c r="R20" i="23" s="1"/>
  <c r="P20" i="23" s="1"/>
  <c r="V20" i="23" s="1"/>
  <c r="B20" i="23" s="1"/>
  <c r="D20" i="23" s="1"/>
  <c r="E20" i="23" s="1"/>
  <c r="F20" i="23" s="1"/>
  <c r="U218" i="23"/>
  <c r="T218" i="23" s="1"/>
  <c r="S218" i="23" s="1"/>
  <c r="R218" i="23" s="1"/>
  <c r="P218" i="23" s="1"/>
  <c r="V218" i="23" s="1"/>
  <c r="B218" i="23" s="1"/>
  <c r="D218" i="23" s="1"/>
  <c r="E218" i="23" s="1"/>
  <c r="F218" i="23" s="1"/>
  <c r="U234" i="23"/>
  <c r="T234" i="23" s="1"/>
  <c r="S234" i="23" s="1"/>
  <c r="R234" i="23" s="1"/>
  <c r="P234" i="23" s="1"/>
  <c r="V234" i="23" s="1"/>
  <c r="B234" i="23" s="1"/>
  <c r="U200" i="23"/>
  <c r="T200" i="23" s="1"/>
  <c r="S200" i="23" s="1"/>
  <c r="R200" i="23" s="1"/>
  <c r="P200" i="23" s="1"/>
  <c r="V200" i="23" s="1"/>
  <c r="B200" i="23" s="1"/>
  <c r="W200" i="23" s="1"/>
  <c r="U289" i="23"/>
  <c r="T289" i="23" s="1"/>
  <c r="S289" i="23" s="1"/>
  <c r="R289" i="23" s="1"/>
  <c r="P289" i="23" s="1"/>
  <c r="V289" i="23" s="1"/>
  <c r="B289" i="23" s="1"/>
  <c r="U367" i="23"/>
  <c r="T367" i="23" s="1"/>
  <c r="S367" i="23" s="1"/>
  <c r="R367" i="23" s="1"/>
  <c r="P367" i="23" s="1"/>
  <c r="V367" i="23" s="1"/>
  <c r="B367" i="23" s="1"/>
  <c r="U105" i="23"/>
  <c r="T105" i="23" s="1"/>
  <c r="S105" i="23" s="1"/>
  <c r="R105" i="23" s="1"/>
  <c r="P105" i="23" s="1"/>
  <c r="V105" i="23" s="1"/>
  <c r="B105" i="23" s="1"/>
  <c r="U282" i="23"/>
  <c r="T282" i="23" s="1"/>
  <c r="S282" i="23" s="1"/>
  <c r="R282" i="23" s="1"/>
  <c r="P282" i="23" s="1"/>
  <c r="V282" i="23" s="1"/>
  <c r="B282" i="23" s="1"/>
  <c r="U142" i="23"/>
  <c r="T142" i="23" s="1"/>
  <c r="S142" i="23" s="1"/>
  <c r="R142" i="23" s="1"/>
  <c r="P142" i="23" s="1"/>
  <c r="V142" i="23" s="1"/>
  <c r="B142" i="23" s="1"/>
  <c r="W142" i="23" s="1"/>
  <c r="U135" i="23"/>
  <c r="T135" i="23" s="1"/>
  <c r="S135" i="23" s="1"/>
  <c r="R135" i="23" s="1"/>
  <c r="P135" i="23" s="1"/>
  <c r="V135" i="23" s="1"/>
  <c r="B135" i="23" s="1"/>
  <c r="W135" i="23" s="1"/>
  <c r="U232" i="23"/>
  <c r="T232" i="23" s="1"/>
  <c r="S232" i="23" s="1"/>
  <c r="R232" i="23" s="1"/>
  <c r="P232" i="23" s="1"/>
  <c r="V232" i="23" s="1"/>
  <c r="B232" i="23" s="1"/>
  <c r="U188" i="23"/>
  <c r="T188" i="23" s="1"/>
  <c r="S188" i="23" s="1"/>
  <c r="R188" i="23" s="1"/>
  <c r="P188" i="23" s="1"/>
  <c r="V188" i="23" s="1"/>
  <c r="B188" i="23" s="1"/>
  <c r="U325" i="23"/>
  <c r="T325" i="23" s="1"/>
  <c r="S325" i="23" s="1"/>
  <c r="R325" i="23" s="1"/>
  <c r="P325" i="23" s="1"/>
  <c r="V325" i="23" s="1"/>
  <c r="B325" i="23" s="1"/>
  <c r="U147" i="23"/>
  <c r="T147" i="23" s="1"/>
  <c r="S147" i="23" s="1"/>
  <c r="R147" i="23" s="1"/>
  <c r="P147" i="23" s="1"/>
  <c r="V147" i="23" s="1"/>
  <c r="B147" i="23" s="1"/>
  <c r="U223" i="23"/>
  <c r="T223" i="23" s="1"/>
  <c r="S223" i="23" s="1"/>
  <c r="R223" i="23" s="1"/>
  <c r="P223" i="23" s="1"/>
  <c r="V223" i="23" s="1"/>
  <c r="B223" i="23" s="1"/>
  <c r="D223" i="23" s="1"/>
  <c r="E223" i="23" s="1"/>
  <c r="F223" i="23" s="1"/>
  <c r="U337" i="23"/>
  <c r="T337" i="23" s="1"/>
  <c r="S337" i="23" s="1"/>
  <c r="R337" i="23" s="1"/>
  <c r="P337" i="23" s="1"/>
  <c r="V337" i="23" s="1"/>
  <c r="B337" i="23" s="1"/>
  <c r="U375" i="23"/>
  <c r="T375" i="23" s="1"/>
  <c r="S375" i="23" s="1"/>
  <c r="R375" i="23" s="1"/>
  <c r="P375" i="23" s="1"/>
  <c r="V375" i="23" s="1"/>
  <c r="B375" i="23" s="1"/>
  <c r="U101" i="23"/>
  <c r="T101" i="23" s="1"/>
  <c r="S101" i="23" s="1"/>
  <c r="R101" i="23" s="1"/>
  <c r="P101" i="23" s="1"/>
  <c r="V101" i="23" s="1"/>
  <c r="B101" i="23" s="1"/>
  <c r="U302" i="23"/>
  <c r="T302" i="23" s="1"/>
  <c r="S302" i="23" s="1"/>
  <c r="R302" i="23" s="1"/>
  <c r="P302" i="23" s="1"/>
  <c r="U152" i="23"/>
  <c r="T152" i="23" s="1"/>
  <c r="S152" i="23" s="1"/>
  <c r="R152" i="23" s="1"/>
  <c r="P152" i="23" s="1"/>
  <c r="V152" i="23" s="1"/>
  <c r="B152" i="23" s="1"/>
  <c r="U210" i="23"/>
  <c r="T210" i="23" s="1"/>
  <c r="S210" i="23" s="1"/>
  <c r="R210" i="23" s="1"/>
  <c r="P210" i="23" s="1"/>
  <c r="U76" i="23"/>
  <c r="T76" i="23" s="1"/>
  <c r="S76" i="23" s="1"/>
  <c r="R76" i="23" s="1"/>
  <c r="P76" i="23" s="1"/>
  <c r="V76" i="23" s="1"/>
  <c r="B76" i="23" s="1"/>
  <c r="U49" i="23"/>
  <c r="T49" i="23" s="1"/>
  <c r="S49" i="23" s="1"/>
  <c r="R49" i="23" s="1"/>
  <c r="P49" i="23" s="1"/>
  <c r="V49" i="23" s="1"/>
  <c r="B49" i="23" s="1"/>
  <c r="U215" i="23"/>
  <c r="T215" i="23" s="1"/>
  <c r="S215" i="23" s="1"/>
  <c r="R215" i="23" s="1"/>
  <c r="P215" i="23" s="1"/>
  <c r="V215" i="23" s="1"/>
  <c r="B215" i="23" s="1"/>
  <c r="U242" i="23"/>
  <c r="T242" i="23" s="1"/>
  <c r="S242" i="23" s="1"/>
  <c r="R242" i="23" s="1"/>
  <c r="P242" i="23" s="1"/>
  <c r="V242" i="23" s="1"/>
  <c r="B242" i="23" s="1"/>
  <c r="U356" i="23"/>
  <c r="T356" i="23" s="1"/>
  <c r="S356" i="23" s="1"/>
  <c r="R356" i="23" s="1"/>
  <c r="P356" i="23" s="1"/>
  <c r="V356" i="23" s="1"/>
  <c r="B356" i="23" s="1"/>
  <c r="U250" i="23"/>
  <c r="T250" i="23" s="1"/>
  <c r="S250" i="23" s="1"/>
  <c r="R250" i="23" s="1"/>
  <c r="P250" i="23" s="1"/>
  <c r="V250" i="23" s="1"/>
  <c r="B250" i="23" s="1"/>
  <c r="W250" i="23" s="1"/>
  <c r="U371" i="23"/>
  <c r="T371" i="23" s="1"/>
  <c r="S371" i="23" s="1"/>
  <c r="R371" i="23" s="1"/>
  <c r="P371" i="23" s="1"/>
  <c r="V371" i="23" s="1"/>
  <c r="B371" i="23" s="1"/>
  <c r="U161" i="23"/>
  <c r="T161" i="23" s="1"/>
  <c r="S161" i="23" s="1"/>
  <c r="R161" i="23" s="1"/>
  <c r="P161" i="23" s="1"/>
  <c r="V161" i="23" s="1"/>
  <c r="B161" i="23" s="1"/>
  <c r="U119" i="23"/>
  <c r="T119" i="23" s="1"/>
  <c r="S119" i="23" s="1"/>
  <c r="R119" i="23" s="1"/>
  <c r="P119" i="23" s="1"/>
  <c r="U286" i="23"/>
  <c r="T286" i="23" s="1"/>
  <c r="S286" i="23" s="1"/>
  <c r="R286" i="23" s="1"/>
  <c r="P286" i="23" s="1"/>
  <c r="V286" i="23" s="1"/>
  <c r="B286" i="23" s="1"/>
  <c r="U124" i="23"/>
  <c r="T124" i="23" s="1"/>
  <c r="S124" i="23" s="1"/>
  <c r="R124" i="23" s="1"/>
  <c r="P124" i="23" s="1"/>
  <c r="V124" i="23" s="1"/>
  <c r="B124" i="23" s="1"/>
  <c r="U159" i="23"/>
  <c r="T159" i="23" s="1"/>
  <c r="S159" i="23" s="1"/>
  <c r="R159" i="23" s="1"/>
  <c r="P159" i="23" s="1"/>
  <c r="V159" i="23" s="1"/>
  <c r="B159" i="23" s="1"/>
  <c r="U299" i="23"/>
  <c r="T299" i="23" s="1"/>
  <c r="S299" i="23" s="1"/>
  <c r="R299" i="23" s="1"/>
  <c r="P299" i="23" s="1"/>
  <c r="V299" i="23" s="1"/>
  <c r="B299" i="23" s="1"/>
  <c r="U37" i="23"/>
  <c r="T37" i="23" s="1"/>
  <c r="S37" i="23" s="1"/>
  <c r="R37" i="23" s="1"/>
  <c r="P37" i="23" s="1"/>
  <c r="V37" i="23" s="1"/>
  <c r="B37" i="23" s="1"/>
  <c r="U272" i="23"/>
  <c r="T272" i="23" s="1"/>
  <c r="S272" i="23" s="1"/>
  <c r="R272" i="23" s="1"/>
  <c r="P272" i="23" s="1"/>
  <c r="U165" i="23"/>
  <c r="T165" i="23" s="1"/>
  <c r="S165" i="23" s="1"/>
  <c r="R165" i="23" s="1"/>
  <c r="P165" i="23" s="1"/>
  <c r="V165" i="23" s="1"/>
  <c r="B165" i="23" s="1"/>
  <c r="U120" i="23"/>
  <c r="T120" i="23" s="1"/>
  <c r="S120" i="23" s="1"/>
  <c r="R120" i="23" s="1"/>
  <c r="P120" i="23" s="1"/>
  <c r="V120" i="23" s="1"/>
  <c r="B120" i="23" s="1"/>
  <c r="U311" i="23"/>
  <c r="T311" i="23" s="1"/>
  <c r="S311" i="23" s="1"/>
  <c r="R311" i="23" s="1"/>
  <c r="P311" i="23" s="1"/>
  <c r="V311" i="23" s="1"/>
  <c r="B311" i="23" s="1"/>
  <c r="U149" i="23"/>
  <c r="T149" i="23" s="1"/>
  <c r="S149" i="23" s="1"/>
  <c r="R149" i="23" s="1"/>
  <c r="P149" i="23" s="1"/>
  <c r="U182" i="23"/>
  <c r="T182" i="23" s="1"/>
  <c r="S182" i="23" s="1"/>
  <c r="R182" i="23" s="1"/>
  <c r="P182" i="23" s="1"/>
  <c r="V182" i="23" s="1"/>
  <c r="B182" i="23" s="1"/>
  <c r="U330" i="23"/>
  <c r="T330" i="23" s="1"/>
  <c r="S330" i="23" s="1"/>
  <c r="R330" i="23" s="1"/>
  <c r="P330" i="23" s="1"/>
  <c r="V330" i="23" s="1"/>
  <c r="B330" i="23" s="1"/>
  <c r="U154" i="23"/>
  <c r="T154" i="23" s="1"/>
  <c r="S154" i="23" s="1"/>
  <c r="R154" i="23" s="1"/>
  <c r="P154" i="23" s="1"/>
  <c r="V154" i="23" s="1"/>
  <c r="B154" i="23" s="1"/>
  <c r="U35" i="23"/>
  <c r="T35" i="23" s="1"/>
  <c r="S35" i="23" s="1"/>
  <c r="R35" i="23" s="1"/>
  <c r="P35" i="23" s="1"/>
  <c r="V35" i="23" s="1"/>
  <c r="B35" i="23" s="1"/>
  <c r="D35" i="23" s="1"/>
  <c r="E35" i="23" s="1"/>
  <c r="F35" i="23" s="1"/>
  <c r="U275" i="23"/>
  <c r="T275" i="23" s="1"/>
  <c r="S275" i="23" s="1"/>
  <c r="R275" i="23" s="1"/>
  <c r="P275" i="23" s="1"/>
  <c r="V275" i="23" s="1"/>
  <c r="B275" i="23" s="1"/>
  <c r="U278" i="23"/>
  <c r="T278" i="23" s="1"/>
  <c r="S278" i="23" s="1"/>
  <c r="R278" i="23" s="1"/>
  <c r="P278" i="23" s="1"/>
  <c r="V278" i="23" s="1"/>
  <c r="B278" i="23" s="1"/>
  <c r="U117" i="23"/>
  <c r="T117" i="23" s="1"/>
  <c r="S117" i="23" s="1"/>
  <c r="R117" i="23" s="1"/>
  <c r="P117" i="23" s="1"/>
  <c r="V117" i="23" s="1"/>
  <c r="B117" i="23" s="1"/>
  <c r="U113" i="23"/>
  <c r="T113" i="23" s="1"/>
  <c r="S113" i="23" s="1"/>
  <c r="R113" i="23" s="1"/>
  <c r="P113" i="23" s="1"/>
  <c r="V113" i="23" s="1"/>
  <c r="B113" i="23" s="1"/>
  <c r="U317" i="23"/>
  <c r="T317" i="23" s="1"/>
  <c r="S317" i="23" s="1"/>
  <c r="R317" i="23" s="1"/>
  <c r="P317" i="23" s="1"/>
  <c r="V317" i="23" s="1"/>
  <c r="B317" i="23" s="1"/>
  <c r="D317" i="23" s="1"/>
  <c r="E317" i="23" s="1"/>
  <c r="F317" i="23" s="1"/>
  <c r="U257" i="23"/>
  <c r="T257" i="23" s="1"/>
  <c r="S257" i="23" s="1"/>
  <c r="R257" i="23" s="1"/>
  <c r="P257" i="23" s="1"/>
  <c r="V257" i="23" s="1"/>
  <c r="B257" i="23" s="1"/>
  <c r="D257" i="23" s="1"/>
  <c r="E257" i="23" s="1"/>
  <c r="F257" i="23" s="1"/>
  <c r="U374" i="23"/>
  <c r="T374" i="23" s="1"/>
  <c r="S374" i="23" s="1"/>
  <c r="R374" i="23" s="1"/>
  <c r="P374" i="23" s="1"/>
  <c r="V374" i="23" s="1"/>
  <c r="B374" i="23" s="1"/>
  <c r="W374" i="23" s="1"/>
  <c r="U16" i="23"/>
  <c r="T16" i="23" s="1"/>
  <c r="S16" i="23" s="1"/>
  <c r="R16" i="23" s="1"/>
  <c r="P16" i="23" s="1"/>
  <c r="V16" i="23" s="1"/>
  <c r="B16" i="23" s="1"/>
  <c r="W16" i="23" s="1"/>
  <c r="U84" i="23"/>
  <c r="T84" i="23" s="1"/>
  <c r="S84" i="23" s="1"/>
  <c r="R84" i="23" s="1"/>
  <c r="P84" i="23" s="1"/>
  <c r="V84" i="23" s="1"/>
  <c r="B84" i="23" s="1"/>
  <c r="W84" i="23" s="1"/>
  <c r="U349" i="23"/>
  <c r="T349" i="23" s="1"/>
  <c r="S349" i="23" s="1"/>
  <c r="R349" i="23" s="1"/>
  <c r="P349" i="23" s="1"/>
  <c r="V349" i="23" s="1"/>
  <c r="B349" i="23" s="1"/>
  <c r="U201" i="23"/>
  <c r="T201" i="23" s="1"/>
  <c r="S201" i="23" s="1"/>
  <c r="R201" i="23" s="1"/>
  <c r="P201" i="23" s="1"/>
  <c r="V201" i="23" s="1"/>
  <c r="B201" i="23" s="1"/>
  <c r="W201" i="23" s="1"/>
  <c r="U314" i="23"/>
  <c r="T314" i="23" s="1"/>
  <c r="S314" i="23" s="1"/>
  <c r="R314" i="23" s="1"/>
  <c r="P314" i="23" s="1"/>
  <c r="V314" i="23" s="1"/>
  <c r="B314" i="23" s="1"/>
  <c r="D314" i="23" s="1"/>
  <c r="E314" i="23" s="1"/>
  <c r="F314" i="23" s="1"/>
  <c r="U303" i="23"/>
  <c r="T303" i="23" s="1"/>
  <c r="S303" i="23" s="1"/>
  <c r="R303" i="23" s="1"/>
  <c r="P303" i="23" s="1"/>
  <c r="V303" i="23" s="1"/>
  <c r="B303" i="23" s="1"/>
  <c r="U378" i="23"/>
  <c r="T378" i="23" s="1"/>
  <c r="S378" i="23" s="1"/>
  <c r="R378" i="23" s="1"/>
  <c r="P378" i="23" s="1"/>
  <c r="V378" i="23" s="1"/>
  <c r="B378" i="23" s="1"/>
  <c r="U60" i="23"/>
  <c r="T60" i="23" s="1"/>
  <c r="S60" i="23" s="1"/>
  <c r="R60" i="23" s="1"/>
  <c r="P60" i="23" s="1"/>
  <c r="V60" i="23" s="1"/>
  <c r="B60" i="23" s="1"/>
  <c r="U350" i="23"/>
  <c r="T350" i="23" s="1"/>
  <c r="S350" i="23" s="1"/>
  <c r="R350" i="23" s="1"/>
  <c r="P350" i="23" s="1"/>
  <c r="V350" i="23" s="1"/>
  <c r="B350" i="23" s="1"/>
  <c r="W350" i="23" s="1"/>
  <c r="U185" i="23"/>
  <c r="T185" i="23" s="1"/>
  <c r="S185" i="23" s="1"/>
  <c r="R185" i="23" s="1"/>
  <c r="P185" i="23" s="1"/>
  <c r="V185" i="23" s="1"/>
  <c r="B185" i="23" s="1"/>
  <c r="U41" i="23"/>
  <c r="T41" i="23" s="1"/>
  <c r="S41" i="23" s="1"/>
  <c r="R41" i="23" s="1"/>
  <c r="P41" i="23" s="1"/>
  <c r="V41" i="23" s="1"/>
  <c r="B41" i="23" s="1"/>
  <c r="U197" i="23"/>
  <c r="T197" i="23" s="1"/>
  <c r="S197" i="23" s="1"/>
  <c r="R197" i="23" s="1"/>
  <c r="P197" i="23" s="1"/>
  <c r="V197" i="23" s="1"/>
  <c r="B197" i="23" s="1"/>
  <c r="U141" i="23"/>
  <c r="T141" i="23" s="1"/>
  <c r="S141" i="23" s="1"/>
  <c r="R141" i="23" s="1"/>
  <c r="P141" i="23" s="1"/>
  <c r="V141" i="23" s="1"/>
  <c r="B141" i="23" s="1"/>
  <c r="U333" i="23"/>
  <c r="T333" i="23" s="1"/>
  <c r="S333" i="23" s="1"/>
  <c r="R333" i="23" s="1"/>
  <c r="P333" i="23" s="1"/>
  <c r="U151" i="23"/>
  <c r="T151" i="23" s="1"/>
  <c r="S151" i="23" s="1"/>
  <c r="R151" i="23" s="1"/>
  <c r="P151" i="23" s="1"/>
  <c r="V151" i="23" s="1"/>
  <c r="B151" i="23" s="1"/>
  <c r="D151" i="23" s="1"/>
  <c r="E151" i="23" s="1"/>
  <c r="F151" i="23" s="1"/>
  <c r="U300" i="23"/>
  <c r="T300" i="23" s="1"/>
  <c r="S300" i="23" s="1"/>
  <c r="R300" i="23" s="1"/>
  <c r="P300" i="23" s="1"/>
  <c r="V300" i="23" s="1"/>
  <c r="B300" i="23" s="1"/>
  <c r="D300" i="23" s="1"/>
  <c r="E300" i="23" s="1"/>
  <c r="F300" i="23" s="1"/>
  <c r="U261" i="23"/>
  <c r="T261" i="23" s="1"/>
  <c r="S261" i="23" s="1"/>
  <c r="R261" i="23" s="1"/>
  <c r="P261" i="23" s="1"/>
  <c r="V261" i="23" s="1"/>
  <c r="B261" i="23" s="1"/>
  <c r="W261" i="23" s="1"/>
  <c r="U82" i="23"/>
  <c r="T82" i="23" s="1"/>
  <c r="S82" i="23" s="1"/>
  <c r="R82" i="23" s="1"/>
  <c r="P82" i="23" s="1"/>
  <c r="V82" i="23" s="1"/>
  <c r="B82" i="23" s="1"/>
  <c r="D82" i="23" s="1"/>
  <c r="E82" i="23" s="1"/>
  <c r="F82" i="23" s="1"/>
  <c r="U187" i="23"/>
  <c r="T187" i="23" s="1"/>
  <c r="S187" i="23" s="1"/>
  <c r="R187" i="23" s="1"/>
  <c r="P187" i="23" s="1"/>
  <c r="V187" i="23" s="1"/>
  <c r="B187" i="23" s="1"/>
  <c r="W187" i="23" s="1"/>
  <c r="U238" i="23"/>
  <c r="T238" i="23" s="1"/>
  <c r="S238" i="23" s="1"/>
  <c r="R238" i="23" s="1"/>
  <c r="P238" i="23" s="1"/>
  <c r="V238" i="23" s="1"/>
  <c r="B238" i="23" s="1"/>
  <c r="W238" i="23" s="1"/>
  <c r="U352" i="23"/>
  <c r="T352" i="23" s="1"/>
  <c r="S352" i="23" s="1"/>
  <c r="R352" i="23" s="1"/>
  <c r="P352" i="23" s="1"/>
  <c r="V352" i="23" s="1"/>
  <c r="B352" i="23" s="1"/>
  <c r="D352" i="23" s="1"/>
  <c r="E352" i="23" s="1"/>
  <c r="F352" i="23" s="1"/>
  <c r="U184" i="23"/>
  <c r="T184" i="23" s="1"/>
  <c r="S184" i="23" s="1"/>
  <c r="R184" i="23" s="1"/>
  <c r="P184" i="23" s="1"/>
  <c r="V184" i="23" s="1"/>
  <c r="B184" i="23" s="1"/>
  <c r="W184" i="23" s="1"/>
  <c r="U100" i="23"/>
  <c r="T100" i="23" s="1"/>
  <c r="S100" i="23" s="1"/>
  <c r="R100" i="23" s="1"/>
  <c r="P100" i="23" s="1"/>
  <c r="V100" i="23" s="1"/>
  <c r="B100" i="23" s="1"/>
  <c r="D100" i="23" s="1"/>
  <c r="E100" i="23" s="1"/>
  <c r="F100" i="23" s="1"/>
  <c r="U137" i="23"/>
  <c r="T137" i="23" s="1"/>
  <c r="S137" i="23" s="1"/>
  <c r="R137" i="23" s="1"/>
  <c r="P137" i="23" s="1"/>
  <c r="V137" i="23" s="1"/>
  <c r="B137" i="23" s="1"/>
  <c r="U205" i="23"/>
  <c r="T205" i="23" s="1"/>
  <c r="S205" i="23" s="1"/>
  <c r="R205" i="23" s="1"/>
  <c r="P205" i="23" s="1"/>
  <c r="V205" i="23" s="1"/>
  <c r="B205" i="23" s="1"/>
  <c r="W205" i="23" s="1"/>
  <c r="U130" i="23"/>
  <c r="T130" i="23" s="1"/>
  <c r="S130" i="23" s="1"/>
  <c r="R130" i="23" s="1"/>
  <c r="P130" i="23" s="1"/>
  <c r="V130" i="23" s="1"/>
  <c r="B130" i="23" s="1"/>
  <c r="U79" i="23"/>
  <c r="T79" i="23" s="1"/>
  <c r="S79" i="23" s="1"/>
  <c r="R79" i="23" s="1"/>
  <c r="P79" i="23" s="1"/>
  <c r="V79" i="23" s="1"/>
  <c r="B79" i="23" s="1"/>
  <c r="D79" i="23" s="1"/>
  <c r="E79" i="23" s="1"/>
  <c r="F79" i="23" s="1"/>
  <c r="U301" i="23"/>
  <c r="T301" i="23" s="1"/>
  <c r="S301" i="23" s="1"/>
  <c r="R301" i="23" s="1"/>
  <c r="P301" i="23" s="1"/>
  <c r="V301" i="23" s="1"/>
  <c r="B301" i="23" s="1"/>
  <c r="D301" i="23" s="1"/>
  <c r="E301" i="23" s="1"/>
  <c r="F301" i="23" s="1"/>
  <c r="U42" i="23"/>
  <c r="T42" i="23" s="1"/>
  <c r="S42" i="23" s="1"/>
  <c r="R42" i="23" s="1"/>
  <c r="P42" i="23" s="1"/>
  <c r="V42" i="23" s="1"/>
  <c r="B42" i="23" s="1"/>
  <c r="U43" i="23"/>
  <c r="T43" i="23" s="1"/>
  <c r="S43" i="23" s="1"/>
  <c r="R43" i="23" s="1"/>
  <c r="P43" i="23" s="1"/>
  <c r="V43" i="23" s="1"/>
  <c r="B43" i="23" s="1"/>
  <c r="U247" i="23"/>
  <c r="T247" i="23" s="1"/>
  <c r="S247" i="23" s="1"/>
  <c r="R247" i="23" s="1"/>
  <c r="P247" i="23" s="1"/>
  <c r="V247" i="23" s="1"/>
  <c r="B247" i="23" s="1"/>
  <c r="U370" i="23"/>
  <c r="T370" i="23" s="1"/>
  <c r="S370" i="23" s="1"/>
  <c r="R370" i="23" s="1"/>
  <c r="P370" i="23" s="1"/>
  <c r="V370" i="23" s="1"/>
  <c r="B370" i="23" s="1"/>
  <c r="U68" i="23"/>
  <c r="T68" i="23" s="1"/>
  <c r="S68" i="23" s="1"/>
  <c r="R68" i="23" s="1"/>
  <c r="P68" i="23" s="1"/>
  <c r="V68" i="23" s="1"/>
  <c r="B68" i="23" s="1"/>
  <c r="U231" i="23"/>
  <c r="T231" i="23" s="1"/>
  <c r="S231" i="23" s="1"/>
  <c r="R231" i="23" s="1"/>
  <c r="P231" i="23" s="1"/>
  <c r="V231" i="23" s="1"/>
  <c r="B231" i="23" s="1"/>
  <c r="U192" i="23"/>
  <c r="T192" i="23" s="1"/>
  <c r="S192" i="23" s="1"/>
  <c r="R192" i="23" s="1"/>
  <c r="P192" i="23" s="1"/>
  <c r="V192" i="23" s="1"/>
  <c r="B192" i="23" s="1"/>
  <c r="U121" i="23"/>
  <c r="T121" i="23" s="1"/>
  <c r="S121" i="23" s="1"/>
  <c r="R121" i="23" s="1"/>
  <c r="P121" i="23" s="1"/>
  <c r="V121" i="23" s="1"/>
  <c r="B121" i="23" s="1"/>
  <c r="U99" i="23"/>
  <c r="T99" i="23" s="1"/>
  <c r="S99" i="23" s="1"/>
  <c r="R99" i="23" s="1"/>
  <c r="P99" i="23" s="1"/>
  <c r="V99" i="23" s="1"/>
  <c r="B99" i="23" s="1"/>
  <c r="U276" i="23"/>
  <c r="T276" i="23" s="1"/>
  <c r="S276" i="23" s="1"/>
  <c r="R276" i="23" s="1"/>
  <c r="P276" i="23" s="1"/>
  <c r="V276" i="23" s="1"/>
  <c r="B276" i="23" s="1"/>
  <c r="U309" i="23"/>
  <c r="T309" i="23" s="1"/>
  <c r="S309" i="23" s="1"/>
  <c r="R309" i="23" s="1"/>
  <c r="P309" i="23" s="1"/>
  <c r="V309" i="23" s="1"/>
  <c r="B309" i="23" s="1"/>
  <c r="U355" i="23"/>
  <c r="T355" i="23" s="1"/>
  <c r="S355" i="23" s="1"/>
  <c r="R355" i="23" s="1"/>
  <c r="P355" i="23" s="1"/>
  <c r="V355" i="23" s="1"/>
  <c r="B355" i="23" s="1"/>
  <c r="U129" i="23"/>
  <c r="T129" i="23" s="1"/>
  <c r="S129" i="23" s="1"/>
  <c r="R129" i="23" s="1"/>
  <c r="P129" i="23" s="1"/>
  <c r="V129" i="23" s="1"/>
  <c r="B129" i="23" s="1"/>
  <c r="U293" i="23"/>
  <c r="T293" i="23" s="1"/>
  <c r="S293" i="23" s="1"/>
  <c r="R293" i="23" s="1"/>
  <c r="P293" i="23" s="1"/>
  <c r="V293" i="23" s="1"/>
  <c r="B293" i="23" s="1"/>
  <c r="U329" i="23"/>
  <c r="T329" i="23" s="1"/>
  <c r="S329" i="23" s="1"/>
  <c r="R329" i="23" s="1"/>
  <c r="P329" i="23" s="1"/>
  <c r="V329" i="23" s="1"/>
  <c r="B329" i="23" s="1"/>
  <c r="U357" i="23"/>
  <c r="T357" i="23" s="1"/>
  <c r="S357" i="23" s="1"/>
  <c r="R357" i="23" s="1"/>
  <c r="P357" i="23" s="1"/>
  <c r="V357" i="23" s="1"/>
  <c r="B357" i="23" s="1"/>
  <c r="U94" i="23"/>
  <c r="T94" i="23" s="1"/>
  <c r="S94" i="23" s="1"/>
  <c r="R94" i="23" s="1"/>
  <c r="P94" i="23" s="1"/>
  <c r="V94" i="23" s="1"/>
  <c r="B94" i="23" s="1"/>
  <c r="U89" i="23"/>
  <c r="T89" i="23" s="1"/>
  <c r="S89" i="23" s="1"/>
  <c r="R89" i="23" s="1"/>
  <c r="P89" i="23" s="1"/>
  <c r="V89" i="23" s="1"/>
  <c r="B89" i="23" s="1"/>
  <c r="U139" i="23"/>
  <c r="T139" i="23" s="1"/>
  <c r="S139" i="23" s="1"/>
  <c r="R139" i="23" s="1"/>
  <c r="P139" i="23" s="1"/>
  <c r="V139" i="23" s="1"/>
  <c r="B139" i="23" s="1"/>
  <c r="U294" i="23"/>
  <c r="T294" i="23" s="1"/>
  <c r="S294" i="23" s="1"/>
  <c r="R294" i="23" s="1"/>
  <c r="P294" i="23" s="1"/>
  <c r="V294" i="23" s="1"/>
  <c r="B294" i="23" s="1"/>
  <c r="U23" i="23"/>
  <c r="T23" i="23" s="1"/>
  <c r="S23" i="23" s="1"/>
  <c r="R23" i="23" s="1"/>
  <c r="P23" i="23" s="1"/>
  <c r="V23" i="23" s="1"/>
  <c r="B23" i="23" s="1"/>
  <c r="U240" i="23"/>
  <c r="T240" i="23" s="1"/>
  <c r="S240" i="23" s="1"/>
  <c r="R240" i="23" s="1"/>
  <c r="P240" i="23" s="1"/>
  <c r="V240" i="23" s="1"/>
  <c r="B240" i="23" s="1"/>
  <c r="U174" i="23"/>
  <c r="T174" i="23" s="1"/>
  <c r="S174" i="23" s="1"/>
  <c r="R174" i="23" s="1"/>
  <c r="P174" i="23" s="1"/>
  <c r="V174" i="23" s="1"/>
  <c r="B174" i="23" s="1"/>
  <c r="U17" i="23"/>
  <c r="T17" i="23" s="1"/>
  <c r="S17" i="23" s="1"/>
  <c r="R17" i="23" s="1"/>
  <c r="P17" i="23" s="1"/>
  <c r="V17" i="23" s="1"/>
  <c r="B17" i="23" s="1"/>
  <c r="U221" i="23"/>
  <c r="T221" i="23" s="1"/>
  <c r="S221" i="23" s="1"/>
  <c r="R221" i="23" s="1"/>
  <c r="P221" i="23" s="1"/>
  <c r="V221" i="23" s="1"/>
  <c r="B221" i="23" s="1"/>
  <c r="U44" i="23"/>
  <c r="T44" i="23" s="1"/>
  <c r="S44" i="23" s="1"/>
  <c r="R44" i="23" s="1"/>
  <c r="P44" i="23" s="1"/>
  <c r="V44" i="23" s="1"/>
  <c r="B44" i="23" s="1"/>
  <c r="U245" i="23"/>
  <c r="T245" i="23" s="1"/>
  <c r="S245" i="23" s="1"/>
  <c r="R245" i="23" s="1"/>
  <c r="P245" i="23" s="1"/>
  <c r="V245" i="23" s="1"/>
  <c r="B245" i="23" s="1"/>
  <c r="U360" i="23"/>
  <c r="T360" i="23" s="1"/>
  <c r="S360" i="23" s="1"/>
  <c r="R360" i="23" s="1"/>
  <c r="P360" i="23" s="1"/>
  <c r="V360" i="23" s="1"/>
  <c r="B360" i="23" s="1"/>
  <c r="U46" i="23"/>
  <c r="T46" i="23" s="1"/>
  <c r="S46" i="23" s="1"/>
  <c r="R46" i="23" s="1"/>
  <c r="P46" i="23" s="1"/>
  <c r="V46" i="23" s="1"/>
  <c r="B46" i="23" s="1"/>
  <c r="U252" i="23"/>
  <c r="T252" i="23" s="1"/>
  <c r="S252" i="23" s="1"/>
  <c r="R252" i="23" s="1"/>
  <c r="P252" i="23" s="1"/>
  <c r="V252" i="23" s="1"/>
  <c r="B252" i="23" s="1"/>
  <c r="U365" i="23"/>
  <c r="T365" i="23" s="1"/>
  <c r="S365" i="23" s="1"/>
  <c r="R365" i="23" s="1"/>
  <c r="P365" i="23" s="1"/>
  <c r="V365" i="23" s="1"/>
  <c r="B365" i="23" s="1"/>
  <c r="U54" i="23"/>
  <c r="T54" i="23" s="1"/>
  <c r="S54" i="23" s="1"/>
  <c r="R54" i="23" s="1"/>
  <c r="P54" i="23" s="1"/>
  <c r="V54" i="23" s="1"/>
  <c r="B54" i="23" s="1"/>
  <c r="U203" i="23"/>
  <c r="T203" i="23" s="1"/>
  <c r="S203" i="23" s="1"/>
  <c r="R203" i="23" s="1"/>
  <c r="P203" i="23" s="1"/>
  <c r="V203" i="23" s="1"/>
  <c r="B203" i="23" s="1"/>
  <c r="U244" i="23"/>
  <c r="T244" i="23" s="1"/>
  <c r="S244" i="23" s="1"/>
  <c r="R244" i="23" s="1"/>
  <c r="P244" i="23" s="1"/>
  <c r="V244" i="23" s="1"/>
  <c r="B244" i="23" s="1"/>
  <c r="U224" i="23"/>
  <c r="T224" i="23" s="1"/>
  <c r="S224" i="23" s="1"/>
  <c r="R224" i="23" s="1"/>
  <c r="P224" i="23" s="1"/>
  <c r="V224" i="23" s="1"/>
  <c r="B224" i="23" s="1"/>
  <c r="U344" i="23"/>
  <c r="T344" i="23" s="1"/>
  <c r="S344" i="23" s="1"/>
  <c r="R344" i="23" s="1"/>
  <c r="P344" i="23" s="1"/>
  <c r="V344" i="23" s="1"/>
  <c r="B344" i="23" s="1"/>
  <c r="U107" i="23"/>
  <c r="T107" i="23" s="1"/>
  <c r="S107" i="23" s="1"/>
  <c r="R107" i="23" s="1"/>
  <c r="P107" i="23" s="1"/>
  <c r="V107" i="23" s="1"/>
  <c r="B107" i="23" s="1"/>
  <c r="U266" i="23"/>
  <c r="T266" i="23" s="1"/>
  <c r="S266" i="23" s="1"/>
  <c r="R266" i="23" s="1"/>
  <c r="P266" i="23" s="1"/>
  <c r="V266" i="23" s="1"/>
  <c r="B266" i="23" s="1"/>
  <c r="U290" i="23"/>
  <c r="T290" i="23" s="1"/>
  <c r="S290" i="23" s="1"/>
  <c r="R290" i="23" s="1"/>
  <c r="P290" i="23" s="1"/>
  <c r="V290" i="23" s="1"/>
  <c r="B290" i="23" s="1"/>
  <c r="U158" i="23"/>
  <c r="T158" i="23" s="1"/>
  <c r="S158" i="23" s="1"/>
  <c r="R158" i="23" s="1"/>
  <c r="P158" i="23" s="1"/>
  <c r="V158" i="23" s="1"/>
  <c r="B158" i="23" s="1"/>
  <c r="U86" i="23"/>
  <c r="T86" i="23" s="1"/>
  <c r="S86" i="23" s="1"/>
  <c r="R86" i="23" s="1"/>
  <c r="P86" i="23" s="1"/>
  <c r="V86" i="23" s="1"/>
  <c r="B86" i="23" s="1"/>
  <c r="U19" i="23"/>
  <c r="T19" i="23" s="1"/>
  <c r="S19" i="23" s="1"/>
  <c r="R19" i="23" s="1"/>
  <c r="P19" i="23" s="1"/>
  <c r="V19" i="23" s="1"/>
  <c r="B19" i="23" s="1"/>
  <c r="U230" i="23"/>
  <c r="T230" i="23" s="1"/>
  <c r="S230" i="23" s="1"/>
  <c r="R230" i="23" s="1"/>
  <c r="P230" i="23" s="1"/>
  <c r="V230" i="23" s="1"/>
  <c r="B230" i="23" s="1"/>
  <c r="U198" i="23"/>
  <c r="T198" i="23" s="1"/>
  <c r="S198" i="23" s="1"/>
  <c r="R198" i="23" s="1"/>
  <c r="P198" i="23" s="1"/>
  <c r="V198" i="23" s="1"/>
  <c r="B198" i="23" s="1"/>
  <c r="U30" i="23"/>
  <c r="T30" i="23" s="1"/>
  <c r="S30" i="23" s="1"/>
  <c r="R30" i="23" s="1"/>
  <c r="P30" i="23" s="1"/>
  <c r="V30" i="23" s="1"/>
  <c r="B30" i="23" s="1"/>
  <c r="U335" i="23"/>
  <c r="T335" i="23" s="1"/>
  <c r="S335" i="23" s="1"/>
  <c r="R335" i="23" s="1"/>
  <c r="P335" i="23" s="1"/>
  <c r="V335" i="23" s="1"/>
  <c r="B335" i="23" s="1"/>
  <c r="U122" i="23"/>
  <c r="T122" i="23" s="1"/>
  <c r="S122" i="23" s="1"/>
  <c r="R122" i="23" s="1"/>
  <c r="P122" i="23" s="1"/>
  <c r="V122" i="23" s="1"/>
  <c r="B122" i="23" s="1"/>
  <c r="U93" i="23"/>
  <c r="T93" i="23" s="1"/>
  <c r="S93" i="23" s="1"/>
  <c r="R93" i="23" s="1"/>
  <c r="P93" i="23" s="1"/>
  <c r="V93" i="23" s="1"/>
  <c r="B93" i="23" s="1"/>
  <c r="U217" i="23"/>
  <c r="T217" i="23" s="1"/>
  <c r="S217" i="23" s="1"/>
  <c r="R217" i="23" s="1"/>
  <c r="P217" i="23" s="1"/>
  <c r="V217" i="23" s="1"/>
  <c r="B217" i="23" s="1"/>
  <c r="U97" i="23"/>
  <c r="T97" i="23" s="1"/>
  <c r="S97" i="23" s="1"/>
  <c r="R97" i="23" s="1"/>
  <c r="P97" i="23" s="1"/>
  <c r="V97" i="23" s="1"/>
  <c r="B97" i="23" s="1"/>
  <c r="U146" i="23"/>
  <c r="T146" i="23" s="1"/>
  <c r="S146" i="23" s="1"/>
  <c r="R146" i="23" s="1"/>
  <c r="P146" i="23" s="1"/>
  <c r="V146" i="23" s="1"/>
  <c r="B146" i="23" s="1"/>
  <c r="U77" i="23"/>
  <c r="T77" i="23" s="1"/>
  <c r="S77" i="23" s="1"/>
  <c r="R77" i="23" s="1"/>
  <c r="P77" i="23" s="1"/>
  <c r="V77" i="23" s="1"/>
  <c r="B77" i="23" s="1"/>
  <c r="U52" i="23"/>
  <c r="T52" i="23" s="1"/>
  <c r="S52" i="23" s="1"/>
  <c r="R52" i="23" s="1"/>
  <c r="P52" i="23" s="1"/>
  <c r="V52" i="23" s="1"/>
  <c r="B52" i="23" s="1"/>
  <c r="U61" i="23"/>
  <c r="T61" i="23" s="1"/>
  <c r="S61" i="23" s="1"/>
  <c r="R61" i="23" s="1"/>
  <c r="P61" i="23" s="1"/>
  <c r="V61" i="23" s="1"/>
  <c r="B61" i="23" s="1"/>
  <c r="D61" i="23" s="1"/>
  <c r="E61" i="23" s="1"/>
  <c r="F61" i="23" s="1"/>
  <c r="U226" i="23"/>
  <c r="T226" i="23" s="1"/>
  <c r="S226" i="23" s="1"/>
  <c r="R226" i="23" s="1"/>
  <c r="P226" i="23" s="1"/>
  <c r="V226" i="23" s="1"/>
  <c r="B226" i="23" s="1"/>
  <c r="W226" i="23" s="1"/>
  <c r="U346" i="23"/>
  <c r="T346" i="23" s="1"/>
  <c r="S346" i="23" s="1"/>
  <c r="R346" i="23" s="1"/>
  <c r="P346" i="23" s="1"/>
  <c r="V346" i="23" s="1"/>
  <c r="B346" i="23" s="1"/>
  <c r="W346" i="23" s="1"/>
  <c r="U111" i="23"/>
  <c r="T111" i="23" s="1"/>
  <c r="S111" i="23" s="1"/>
  <c r="R111" i="23" s="1"/>
  <c r="P111" i="23" s="1"/>
  <c r="V111" i="23" s="1"/>
  <c r="B111" i="23" s="1"/>
  <c r="U208" i="23"/>
  <c r="T208" i="23" s="1"/>
  <c r="S208" i="23" s="1"/>
  <c r="R208" i="23" s="1"/>
  <c r="P208" i="23" s="1"/>
  <c r="V208" i="23" s="1"/>
  <c r="B208" i="23" s="1"/>
  <c r="U216" i="23"/>
  <c r="T216" i="23" s="1"/>
  <c r="S216" i="23" s="1"/>
  <c r="R216" i="23" s="1"/>
  <c r="P216" i="23" s="1"/>
  <c r="V216" i="23" s="1"/>
  <c r="B216" i="23" s="1"/>
  <c r="U310" i="23"/>
  <c r="T310" i="23" s="1"/>
  <c r="S310" i="23" s="1"/>
  <c r="R310" i="23" s="1"/>
  <c r="P310" i="23" s="1"/>
  <c r="V310" i="23" s="1"/>
  <c r="B310" i="23" s="1"/>
  <c r="W310" i="23" s="1"/>
  <c r="U202" i="23"/>
  <c r="T202" i="23" s="1"/>
  <c r="S202" i="23" s="1"/>
  <c r="R202" i="23" s="1"/>
  <c r="P202" i="23" s="1"/>
  <c r="V202" i="23" s="1"/>
  <c r="B202" i="23" s="1"/>
  <c r="D202" i="23" s="1"/>
  <c r="E202" i="23" s="1"/>
  <c r="F202" i="23" s="1"/>
  <c r="U281" i="23"/>
  <c r="T281" i="23" s="1"/>
  <c r="S281" i="23" s="1"/>
  <c r="R281" i="23" s="1"/>
  <c r="P281" i="23" s="1"/>
  <c r="V281" i="23" s="1"/>
  <c r="B281" i="23" s="1"/>
  <c r="W281" i="23" s="1"/>
  <c r="U295" i="23"/>
  <c r="T295" i="23" s="1"/>
  <c r="S295" i="23" s="1"/>
  <c r="R295" i="23" s="1"/>
  <c r="P295" i="23" s="1"/>
  <c r="V295" i="23" s="1"/>
  <c r="B295" i="23" s="1"/>
  <c r="D295" i="23" s="1"/>
  <c r="E295" i="23" s="1"/>
  <c r="F295" i="23" s="1"/>
  <c r="U235" i="23"/>
  <c r="T235" i="23" s="1"/>
  <c r="S235" i="23" s="1"/>
  <c r="R235" i="23" s="1"/>
  <c r="P235" i="23" s="1"/>
  <c r="V235" i="23" s="1"/>
  <c r="B235" i="23" s="1"/>
  <c r="W235" i="23" s="1"/>
  <c r="U31" i="23"/>
  <c r="T31" i="23" s="1"/>
  <c r="S31" i="23" s="1"/>
  <c r="R31" i="23" s="1"/>
  <c r="P31" i="23" s="1"/>
  <c r="V31" i="23" s="1"/>
  <c r="B31" i="23" s="1"/>
  <c r="D31" i="23" s="1"/>
  <c r="E31" i="23" s="1"/>
  <c r="F31" i="23" s="1"/>
  <c r="U132" i="23"/>
  <c r="T132" i="23" s="1"/>
  <c r="S132" i="23" s="1"/>
  <c r="R132" i="23" s="1"/>
  <c r="P132" i="23" s="1"/>
  <c r="V132" i="23" s="1"/>
  <c r="B132" i="23" s="1"/>
  <c r="W132" i="23" s="1"/>
  <c r="U27" i="23"/>
  <c r="T27" i="23" s="1"/>
  <c r="S27" i="23" s="1"/>
  <c r="R27" i="23" s="1"/>
  <c r="P27" i="23" s="1"/>
  <c r="V27" i="23" s="1"/>
  <c r="B27" i="23" s="1"/>
  <c r="D27" i="23" s="1"/>
  <c r="E27" i="23" s="1"/>
  <c r="F27" i="23" s="1"/>
  <c r="U134" i="23"/>
  <c r="T134" i="23" s="1"/>
  <c r="S134" i="23" s="1"/>
  <c r="R134" i="23" s="1"/>
  <c r="P134" i="23" s="1"/>
  <c r="V134" i="23" s="1"/>
  <c r="B134" i="23" s="1"/>
  <c r="D134" i="23" s="1"/>
  <c r="E134" i="23" s="1"/>
  <c r="F134" i="23" s="1"/>
  <c r="U116" i="23"/>
  <c r="T116" i="23" s="1"/>
  <c r="S116" i="23" s="1"/>
  <c r="R116" i="23" s="1"/>
  <c r="P116" i="23" s="1"/>
  <c r="V116" i="23" s="1"/>
  <c r="B116" i="23" s="1"/>
  <c r="W116" i="23" s="1"/>
  <c r="U175" i="23"/>
  <c r="T175" i="23" s="1"/>
  <c r="S175" i="23" s="1"/>
  <c r="R175" i="23" s="1"/>
  <c r="P175" i="23" s="1"/>
  <c r="V175" i="23" s="1"/>
  <c r="B175" i="23" s="1"/>
  <c r="U307" i="23"/>
  <c r="T307" i="23" s="1"/>
  <c r="S307" i="23" s="1"/>
  <c r="R307" i="23" s="1"/>
  <c r="P307" i="23" s="1"/>
  <c r="V307" i="23" s="1"/>
  <c r="B307" i="23" s="1"/>
  <c r="D307" i="23" s="1"/>
  <c r="E307" i="23" s="1"/>
  <c r="F307" i="23" s="1"/>
  <c r="U194" i="23"/>
  <c r="T194" i="23" s="1"/>
  <c r="S194" i="23" s="1"/>
  <c r="R194" i="23" s="1"/>
  <c r="P194" i="23" s="1"/>
  <c r="V194" i="23" s="1"/>
  <c r="B194" i="23" s="1"/>
  <c r="D194" i="23" s="1"/>
  <c r="E194" i="23" s="1"/>
  <c r="F194" i="23" s="1"/>
  <c r="U318" i="23"/>
  <c r="T318" i="23" s="1"/>
  <c r="S318" i="23" s="1"/>
  <c r="R318" i="23" s="1"/>
  <c r="P318" i="23" s="1"/>
  <c r="V318" i="23" s="1"/>
  <c r="B318" i="23" s="1"/>
  <c r="U347" i="23"/>
  <c r="T347" i="23" s="1"/>
  <c r="S347" i="23" s="1"/>
  <c r="R347" i="23" s="1"/>
  <c r="P347" i="23" s="1"/>
  <c r="V347" i="23" s="1"/>
  <c r="B347" i="23" s="1"/>
  <c r="U195" i="23"/>
  <c r="T195" i="23" s="1"/>
  <c r="S195" i="23" s="1"/>
  <c r="R195" i="23" s="1"/>
  <c r="P195" i="23" s="1"/>
  <c r="V195" i="23" s="1"/>
  <c r="B195" i="23" s="1"/>
  <c r="U98" i="23"/>
  <c r="T98" i="23" s="1"/>
  <c r="S98" i="23" s="1"/>
  <c r="R98" i="23" s="1"/>
  <c r="P98" i="23" s="1"/>
  <c r="V98" i="23" s="1"/>
  <c r="B98" i="23" s="1"/>
  <c r="U25" i="23"/>
  <c r="T25" i="23" s="1"/>
  <c r="S25" i="23" s="1"/>
  <c r="R25" i="23" s="1"/>
  <c r="P25" i="23" s="1"/>
  <c r="V25" i="23" s="1"/>
  <c r="B25" i="23" s="1"/>
  <c r="W25" i="23" s="1"/>
  <c r="U24" i="23"/>
  <c r="T24" i="23" s="1"/>
  <c r="S24" i="23" s="1"/>
  <c r="R24" i="23" s="1"/>
  <c r="P24" i="23" s="1"/>
  <c r="V24" i="23" s="1"/>
  <c r="B24" i="23" s="1"/>
  <c r="U71" i="23"/>
  <c r="T71" i="23" s="1"/>
  <c r="S71" i="23" s="1"/>
  <c r="R71" i="23" s="1"/>
  <c r="P71" i="23" s="1"/>
  <c r="V71" i="23" s="1"/>
  <c r="B71" i="23" s="1"/>
  <c r="U264" i="23"/>
  <c r="T264" i="23" s="1"/>
  <c r="S264" i="23" s="1"/>
  <c r="R264" i="23" s="1"/>
  <c r="P264" i="23" s="1"/>
  <c r="V264" i="23" s="1"/>
  <c r="B264" i="23" s="1"/>
  <c r="U155" i="23"/>
  <c r="T155" i="23" s="1"/>
  <c r="S155" i="23" s="1"/>
  <c r="R155" i="23" s="1"/>
  <c r="P155" i="23" s="1"/>
  <c r="V155" i="23" s="1"/>
  <c r="B155" i="23" s="1"/>
  <c r="U305" i="23"/>
  <c r="T305" i="23" s="1"/>
  <c r="S305" i="23" s="1"/>
  <c r="R305" i="23" s="1"/>
  <c r="P305" i="23" s="1"/>
  <c r="V305" i="23" s="1"/>
  <c r="B305" i="23" s="1"/>
  <c r="U33" i="23"/>
  <c r="T33" i="23" s="1"/>
  <c r="S33" i="23" s="1"/>
  <c r="R33" i="23" s="1"/>
  <c r="P33" i="23" s="1"/>
  <c r="V33" i="23" s="1"/>
  <c r="B33" i="23" s="1"/>
  <c r="U183" i="23"/>
  <c r="T183" i="23" s="1"/>
  <c r="S183" i="23" s="1"/>
  <c r="R183" i="23" s="1"/>
  <c r="P183" i="23" s="1"/>
  <c r="V183" i="23" s="1"/>
  <c r="B183" i="23" s="1"/>
  <c r="U316" i="23"/>
  <c r="T316" i="23" s="1"/>
  <c r="S316" i="23" s="1"/>
  <c r="R316" i="23" s="1"/>
  <c r="P316" i="23" s="1"/>
  <c r="V316" i="23" s="1"/>
  <c r="B316" i="23" s="1"/>
  <c r="U319" i="23"/>
  <c r="T319" i="23" s="1"/>
  <c r="S319" i="23" s="1"/>
  <c r="R319" i="23" s="1"/>
  <c r="P319" i="23" s="1"/>
  <c r="V319" i="23" s="1"/>
  <c r="B319" i="23" s="1"/>
  <c r="W319" i="23" s="1"/>
  <c r="U138" i="23"/>
  <c r="T138" i="23" s="1"/>
  <c r="S138" i="23" s="1"/>
  <c r="R138" i="23" s="1"/>
  <c r="P138" i="23" s="1"/>
  <c r="V138" i="23" s="1"/>
  <c r="B138" i="23" s="1"/>
  <c r="U59" i="23"/>
  <c r="T59" i="23" s="1"/>
  <c r="S59" i="23" s="1"/>
  <c r="R59" i="23" s="1"/>
  <c r="P59" i="23" s="1"/>
  <c r="V59" i="23" s="1"/>
  <c r="B59" i="23" s="1"/>
  <c r="U225" i="23"/>
  <c r="T225" i="23" s="1"/>
  <c r="S225" i="23" s="1"/>
  <c r="R225" i="23" s="1"/>
  <c r="P225" i="23" s="1"/>
  <c r="V225" i="23" s="1"/>
  <c r="B225" i="23" s="1"/>
  <c r="D225" i="23" s="1"/>
  <c r="E225" i="23" s="1"/>
  <c r="F225" i="23" s="1"/>
  <c r="U364" i="23"/>
  <c r="T364" i="23" s="1"/>
  <c r="S364" i="23" s="1"/>
  <c r="R364" i="23" s="1"/>
  <c r="P364" i="23" s="1"/>
  <c r="V364" i="23" s="1"/>
  <c r="B364" i="23" s="1"/>
  <c r="U88" i="23"/>
  <c r="T88" i="23" s="1"/>
  <c r="S88" i="23" s="1"/>
  <c r="R88" i="23" s="1"/>
  <c r="P88" i="23" s="1"/>
  <c r="U358" i="23"/>
  <c r="T358" i="23" s="1"/>
  <c r="S358" i="23" s="1"/>
  <c r="R358" i="23" s="1"/>
  <c r="P358" i="23" s="1"/>
  <c r="V358" i="23" s="1"/>
  <c r="B358" i="23" s="1"/>
  <c r="U186" i="23"/>
  <c r="T186" i="23" s="1"/>
  <c r="S186" i="23" s="1"/>
  <c r="R186" i="23" s="1"/>
  <c r="P186" i="23" s="1"/>
  <c r="V186" i="23" s="1"/>
  <c r="B186" i="23" s="1"/>
  <c r="U48" i="23"/>
  <c r="T48" i="23" s="1"/>
  <c r="S48" i="23" s="1"/>
  <c r="R48" i="23" s="1"/>
  <c r="P48" i="23" s="1"/>
  <c r="V48" i="23" s="1"/>
  <c r="B48" i="23" s="1"/>
  <c r="U91" i="23"/>
  <c r="T91" i="23" s="1"/>
  <c r="S91" i="23" s="1"/>
  <c r="R91" i="23" s="1"/>
  <c r="P91" i="23" s="1"/>
  <c r="V91" i="23" s="1"/>
  <c r="B91" i="23" s="1"/>
  <c r="U274" i="23"/>
  <c r="T274" i="23" s="1"/>
  <c r="S274" i="23" s="1"/>
  <c r="R274" i="23" s="1"/>
  <c r="P274" i="23" s="1"/>
  <c r="V274" i="23" s="1"/>
  <c r="B274" i="23" s="1"/>
  <c r="U150" i="23"/>
  <c r="T150" i="23" s="1"/>
  <c r="S150" i="23" s="1"/>
  <c r="R150" i="23" s="1"/>
  <c r="P150" i="23" s="1"/>
  <c r="V150" i="23" s="1"/>
  <c r="B150" i="23" s="1"/>
  <c r="U87" i="23"/>
  <c r="T87" i="23" s="1"/>
  <c r="S87" i="23" s="1"/>
  <c r="R87" i="23" s="1"/>
  <c r="P87" i="23" s="1"/>
  <c r="V87" i="23" s="1"/>
  <c r="B87" i="23" s="1"/>
  <c r="U271" i="23"/>
  <c r="T271" i="23" s="1"/>
  <c r="S271" i="23" s="1"/>
  <c r="R271" i="23" s="1"/>
  <c r="P271" i="23" s="1"/>
  <c r="V271" i="23" s="1"/>
  <c r="B271" i="23" s="1"/>
  <c r="U80" i="23"/>
  <c r="T80" i="23" s="1"/>
  <c r="S80" i="23" s="1"/>
  <c r="R80" i="23" s="1"/>
  <c r="P80" i="23" s="1"/>
  <c r="V80" i="23" s="1"/>
  <c r="B80" i="23" s="1"/>
  <c r="U22" i="23"/>
  <c r="T22" i="23" s="1"/>
  <c r="S22" i="23" s="1"/>
  <c r="R22" i="23" s="1"/>
  <c r="P22" i="23" s="1"/>
  <c r="V22" i="23" s="1"/>
  <c r="B22" i="23" s="1"/>
  <c r="U237" i="23"/>
  <c r="T237" i="23" s="1"/>
  <c r="S237" i="23" s="1"/>
  <c r="R237" i="23" s="1"/>
  <c r="P237" i="23" s="1"/>
  <c r="V237" i="23" s="1"/>
  <c r="B237" i="23" s="1"/>
  <c r="U53" i="23"/>
  <c r="T53" i="23" s="1"/>
  <c r="S53" i="23" s="1"/>
  <c r="R53" i="23" s="1"/>
  <c r="P53" i="23" s="1"/>
  <c r="V53" i="23" s="1"/>
  <c r="B53" i="23" s="1"/>
  <c r="U283" i="23"/>
  <c r="T283" i="23" s="1"/>
  <c r="S283" i="23" s="1"/>
  <c r="R283" i="23" s="1"/>
  <c r="P283" i="23" s="1"/>
  <c r="V283" i="23" s="1"/>
  <c r="B283" i="23" s="1"/>
  <c r="U178" i="23"/>
  <c r="T178" i="23" s="1"/>
  <c r="S178" i="23" s="1"/>
  <c r="R178" i="23" s="1"/>
  <c r="P178" i="23" s="1"/>
  <c r="V178" i="23" s="1"/>
  <c r="B178" i="23" s="1"/>
  <c r="U131" i="23"/>
  <c r="T131" i="23" s="1"/>
  <c r="S131" i="23" s="1"/>
  <c r="R131" i="23" s="1"/>
  <c r="P131" i="23" s="1"/>
  <c r="V131" i="23" s="1"/>
  <c r="B131" i="23" s="1"/>
  <c r="U291" i="23"/>
  <c r="T291" i="23" s="1"/>
  <c r="S291" i="23" s="1"/>
  <c r="R291" i="23" s="1"/>
  <c r="P291" i="23" s="1"/>
  <c r="V291" i="23" s="1"/>
  <c r="B291" i="23" s="1"/>
  <c r="U324" i="23"/>
  <c r="T324" i="23" s="1"/>
  <c r="S324" i="23" s="1"/>
  <c r="R324" i="23" s="1"/>
  <c r="P324" i="23" s="1"/>
  <c r="V324" i="23" s="1"/>
  <c r="B324" i="23" s="1"/>
  <c r="U164" i="23"/>
  <c r="T164" i="23" s="1"/>
  <c r="S164" i="23" s="1"/>
  <c r="R164" i="23" s="1"/>
  <c r="P164" i="23" s="1"/>
  <c r="V164" i="23" s="1"/>
  <c r="B164" i="23" s="1"/>
  <c r="U15" i="23"/>
  <c r="U75" i="23"/>
  <c r="T75" i="23" s="1"/>
  <c r="S75" i="23" s="1"/>
  <c r="R75" i="23" s="1"/>
  <c r="P75" i="23" s="1"/>
  <c r="V75" i="23" s="1"/>
  <c r="B75" i="23" s="1"/>
  <c r="U315" i="23"/>
  <c r="T315" i="23" s="1"/>
  <c r="S315" i="23" s="1"/>
  <c r="R315" i="23" s="1"/>
  <c r="P315" i="23" s="1"/>
  <c r="V315" i="23" s="1"/>
  <c r="B315" i="23" s="1"/>
  <c r="U140" i="23"/>
  <c r="T140" i="23" s="1"/>
  <c r="S140" i="23" s="1"/>
  <c r="R140" i="23" s="1"/>
  <c r="P140" i="23" s="1"/>
  <c r="V140" i="23" s="1"/>
  <c r="B140" i="23" s="1"/>
  <c r="U127" i="23"/>
  <c r="T127" i="23" s="1"/>
  <c r="S127" i="23" s="1"/>
  <c r="R127" i="23" s="1"/>
  <c r="P127" i="23" s="1"/>
  <c r="V127" i="23" s="1"/>
  <c r="B127" i="23" s="1"/>
  <c r="U363" i="23"/>
  <c r="T363" i="23" s="1"/>
  <c r="S363" i="23" s="1"/>
  <c r="R363" i="23" s="1"/>
  <c r="P363" i="23" s="1"/>
  <c r="U96" i="23"/>
  <c r="T96" i="23" s="1"/>
  <c r="S96" i="23" s="1"/>
  <c r="R96" i="23" s="1"/>
  <c r="P96" i="23" s="1"/>
  <c r="V96" i="23" s="1"/>
  <c r="B96" i="23" s="1"/>
  <c r="U145" i="23"/>
  <c r="T145" i="23" s="1"/>
  <c r="S145" i="23" s="1"/>
  <c r="R145" i="23" s="1"/>
  <c r="P145" i="23" s="1"/>
  <c r="V145" i="23" s="1"/>
  <c r="B145" i="23" s="1"/>
  <c r="U348" i="23"/>
  <c r="T348" i="23" s="1"/>
  <c r="S348" i="23" s="1"/>
  <c r="R348" i="23" s="1"/>
  <c r="P348" i="23" s="1"/>
  <c r="V348" i="23" s="1"/>
  <c r="B348" i="23" s="1"/>
  <c r="U73" i="23"/>
  <c r="T73" i="23" s="1"/>
  <c r="S73" i="23" s="1"/>
  <c r="R73" i="23" s="1"/>
  <c r="P73" i="23" s="1"/>
  <c r="V73" i="23" s="1"/>
  <c r="B73" i="23" s="1"/>
  <c r="U288" i="23"/>
  <c r="T288" i="23" s="1"/>
  <c r="S288" i="23" s="1"/>
  <c r="R288" i="23" s="1"/>
  <c r="P288" i="23" s="1"/>
  <c r="V288" i="23" s="1"/>
  <c r="B288" i="23" s="1"/>
  <c r="D288" i="23" s="1"/>
  <c r="E288" i="23" s="1"/>
  <c r="F288" i="23" s="1"/>
  <c r="G288" i="23" s="1"/>
  <c r="CD288" i="6" s="1"/>
  <c r="U136" i="23"/>
  <c r="T136" i="23" s="1"/>
  <c r="S136" i="23" s="1"/>
  <c r="R136" i="23" s="1"/>
  <c r="P136" i="23" s="1"/>
  <c r="V136" i="23" s="1"/>
  <c r="B136" i="23" s="1"/>
  <c r="U69" i="23"/>
  <c r="T69" i="23" s="1"/>
  <c r="S69" i="23" s="1"/>
  <c r="R69" i="23" s="1"/>
  <c r="P69" i="23" s="1"/>
  <c r="V69" i="23" s="1"/>
  <c r="B69" i="23" s="1"/>
  <c r="U353" i="23"/>
  <c r="T353" i="23" s="1"/>
  <c r="S353" i="23" s="1"/>
  <c r="R353" i="23" s="1"/>
  <c r="P353" i="23" s="1"/>
  <c r="V353" i="23" s="1"/>
  <c r="B353" i="23" s="1"/>
  <c r="U106" i="23"/>
  <c r="T106" i="23" s="1"/>
  <c r="S106" i="23" s="1"/>
  <c r="R106" i="23" s="1"/>
  <c r="P106" i="23" s="1"/>
  <c r="V106" i="23" s="1"/>
  <c r="B106" i="23" s="1"/>
  <c r="U125" i="23"/>
  <c r="T125" i="23" s="1"/>
  <c r="S125" i="23" s="1"/>
  <c r="R125" i="23" s="1"/>
  <c r="P125" i="23" s="1"/>
  <c r="V125" i="23" s="1"/>
  <c r="B125" i="23" s="1"/>
  <c r="U156" i="23"/>
  <c r="T156" i="23" s="1"/>
  <c r="S156" i="23" s="1"/>
  <c r="R156" i="23" s="1"/>
  <c r="P156" i="23" s="1"/>
  <c r="V156" i="23" s="1"/>
  <c r="B156" i="23" s="1"/>
  <c r="U95" i="23"/>
  <c r="T95" i="23" s="1"/>
  <c r="S95" i="23" s="1"/>
  <c r="R95" i="23" s="1"/>
  <c r="P95" i="23" s="1"/>
  <c r="V95" i="23" s="1"/>
  <c r="B95" i="23" s="1"/>
  <c r="U312" i="23"/>
  <c r="T312" i="23" s="1"/>
  <c r="S312" i="23" s="1"/>
  <c r="R312" i="23" s="1"/>
  <c r="P312" i="23" s="1"/>
  <c r="V312" i="23" s="1"/>
  <c r="B312" i="23" s="1"/>
  <c r="U110" i="23"/>
  <c r="T110" i="23" s="1"/>
  <c r="S110" i="23" s="1"/>
  <c r="R110" i="23" s="1"/>
  <c r="P110" i="23" s="1"/>
  <c r="V110" i="23" s="1"/>
  <c r="B110" i="23" s="1"/>
  <c r="U366" i="23"/>
  <c r="T366" i="23" s="1"/>
  <c r="S366" i="23" s="1"/>
  <c r="R366" i="23" s="1"/>
  <c r="P366" i="23" s="1"/>
  <c r="V366" i="23" s="1"/>
  <c r="B366" i="23" s="1"/>
  <c r="U180" i="23"/>
  <c r="T180" i="23" s="1"/>
  <c r="S180" i="23" s="1"/>
  <c r="R180" i="23" s="1"/>
  <c r="P180" i="23" s="1"/>
  <c r="U211" i="23"/>
  <c r="T211" i="23" s="1"/>
  <c r="S211" i="23" s="1"/>
  <c r="R211" i="23" s="1"/>
  <c r="P211" i="23" s="1"/>
  <c r="V211" i="23" s="1"/>
  <c r="B211" i="23" s="1"/>
  <c r="U332" i="23"/>
  <c r="T332" i="23" s="1"/>
  <c r="S332" i="23" s="1"/>
  <c r="R332" i="23" s="1"/>
  <c r="P332" i="23" s="1"/>
  <c r="V332" i="23" s="1"/>
  <c r="B332" i="23" s="1"/>
  <c r="U351" i="23"/>
  <c r="T351" i="23" s="1"/>
  <c r="S351" i="23" s="1"/>
  <c r="R351" i="23" s="1"/>
  <c r="P351" i="23" s="1"/>
  <c r="V351" i="23" s="1"/>
  <c r="B351" i="23" s="1"/>
  <c r="U65" i="23"/>
  <c r="T65" i="23" s="1"/>
  <c r="S65" i="23" s="1"/>
  <c r="R65" i="23" s="1"/>
  <c r="P65" i="23" s="1"/>
  <c r="V65" i="23" s="1"/>
  <c r="B65" i="23" s="1"/>
  <c r="U292" i="23"/>
  <c r="T292" i="23" s="1"/>
  <c r="S292" i="23" s="1"/>
  <c r="R292" i="23" s="1"/>
  <c r="P292" i="23" s="1"/>
  <c r="V292" i="23" s="1"/>
  <c r="B292" i="23" s="1"/>
  <c r="U102" i="23"/>
  <c r="T102" i="23" s="1"/>
  <c r="S102" i="23" s="1"/>
  <c r="R102" i="23" s="1"/>
  <c r="P102" i="23" s="1"/>
  <c r="V102" i="23" s="1"/>
  <c r="B102" i="23" s="1"/>
  <c r="U320" i="23"/>
  <c r="T320" i="23" s="1"/>
  <c r="S320" i="23" s="1"/>
  <c r="R320" i="23" s="1"/>
  <c r="P320" i="23" s="1"/>
  <c r="V320" i="23" s="1"/>
  <c r="B320" i="23" s="1"/>
  <c r="U262" i="23"/>
  <c r="T262" i="23" s="1"/>
  <c r="S262" i="23" s="1"/>
  <c r="R262" i="23" s="1"/>
  <c r="P262" i="23" s="1"/>
  <c r="V262" i="23" s="1"/>
  <c r="B262" i="23" s="1"/>
  <c r="U273" i="23"/>
  <c r="T273" i="23" s="1"/>
  <c r="S273" i="23" s="1"/>
  <c r="R273" i="23" s="1"/>
  <c r="P273" i="23" s="1"/>
  <c r="V273" i="23" s="1"/>
  <c r="B273" i="23" s="1"/>
  <c r="U28" i="23"/>
  <c r="T28" i="23" s="1"/>
  <c r="S28" i="23" s="1"/>
  <c r="R28" i="23" s="1"/>
  <c r="P28" i="23" s="1"/>
  <c r="V28" i="23" s="1"/>
  <c r="B28" i="23" s="1"/>
  <c r="U265" i="23"/>
  <c r="T265" i="23" s="1"/>
  <c r="S265" i="23" s="1"/>
  <c r="R265" i="23" s="1"/>
  <c r="P265" i="23" s="1"/>
  <c r="V265" i="23" s="1"/>
  <c r="B265" i="23" s="1"/>
  <c r="U32" i="23"/>
  <c r="T32" i="23" s="1"/>
  <c r="S32" i="23" s="1"/>
  <c r="R32" i="23" s="1"/>
  <c r="P32" i="23" s="1"/>
  <c r="V32" i="23" s="1"/>
  <c r="B32" i="23" s="1"/>
  <c r="U227" i="23"/>
  <c r="T227" i="23" s="1"/>
  <c r="S227" i="23" s="1"/>
  <c r="R227" i="23" s="1"/>
  <c r="P227" i="23" s="1"/>
  <c r="V227" i="23" s="1"/>
  <c r="B227" i="23" s="1"/>
  <c r="W227" i="23" s="1"/>
  <c r="U259" i="23"/>
  <c r="T259" i="23" s="1"/>
  <c r="S259" i="23" s="1"/>
  <c r="R259" i="23" s="1"/>
  <c r="P259" i="23" s="1"/>
  <c r="V259" i="23" s="1"/>
  <c r="B259" i="23" s="1"/>
  <c r="U343" i="23"/>
  <c r="T343" i="23" s="1"/>
  <c r="S343" i="23" s="1"/>
  <c r="R343" i="23" s="1"/>
  <c r="P343" i="23" s="1"/>
  <c r="V343" i="23" s="1"/>
  <c r="B343" i="23" s="1"/>
  <c r="U373" i="23"/>
  <c r="T373" i="23" s="1"/>
  <c r="S373" i="23" s="1"/>
  <c r="R373" i="23" s="1"/>
  <c r="P373" i="23" s="1"/>
  <c r="V373" i="23" s="1"/>
  <c r="B373" i="23" s="1"/>
  <c r="U64" i="23"/>
  <c r="T64" i="23" s="1"/>
  <c r="S64" i="23" s="1"/>
  <c r="R64" i="23" s="1"/>
  <c r="P64" i="23" s="1"/>
  <c r="V64" i="23" s="1"/>
  <c r="B64" i="23" s="1"/>
  <c r="U153" i="23"/>
  <c r="T153" i="23" s="1"/>
  <c r="S153" i="23" s="1"/>
  <c r="R153" i="23" s="1"/>
  <c r="P153" i="23" s="1"/>
  <c r="V153" i="23" s="1"/>
  <c r="B153" i="23" s="1"/>
  <c r="U304" i="23"/>
  <c r="T304" i="23" s="1"/>
  <c r="S304" i="23" s="1"/>
  <c r="R304" i="23" s="1"/>
  <c r="P304" i="23" s="1"/>
  <c r="V304" i="23" s="1"/>
  <c r="B304" i="23" s="1"/>
  <c r="U118" i="23"/>
  <c r="T118" i="23" s="1"/>
  <c r="S118" i="23" s="1"/>
  <c r="R118" i="23" s="1"/>
  <c r="P118" i="23" s="1"/>
  <c r="V118" i="23" s="1"/>
  <c r="B118" i="23" s="1"/>
  <c r="U297" i="23"/>
  <c r="T297" i="23" s="1"/>
  <c r="S297" i="23" s="1"/>
  <c r="R297" i="23" s="1"/>
  <c r="P297" i="23" s="1"/>
  <c r="V297" i="23" s="1"/>
  <c r="B297" i="23" s="1"/>
  <c r="U160" i="23"/>
  <c r="T160" i="23" s="1"/>
  <c r="S160" i="23" s="1"/>
  <c r="R160" i="23" s="1"/>
  <c r="P160" i="23" s="1"/>
  <c r="V160" i="23" s="1"/>
  <c r="B160" i="23" s="1"/>
  <c r="U21" i="23"/>
  <c r="T21" i="23" s="1"/>
  <c r="S21" i="23" s="1"/>
  <c r="R21" i="23" s="1"/>
  <c r="P21" i="23" s="1"/>
  <c r="V21" i="23" s="1"/>
  <c r="B21" i="23" s="1"/>
  <c r="U214" i="23"/>
  <c r="T214" i="23" s="1"/>
  <c r="S214" i="23" s="1"/>
  <c r="R214" i="23" s="1"/>
  <c r="P214" i="23" s="1"/>
  <c r="V214" i="23" s="1"/>
  <c r="B214" i="23" s="1"/>
  <c r="U340" i="23"/>
  <c r="T340" i="23" s="1"/>
  <c r="S340" i="23" s="1"/>
  <c r="R340" i="23" s="1"/>
  <c r="P340" i="23" s="1"/>
  <c r="V340" i="23" s="1"/>
  <c r="B340" i="23" s="1"/>
  <c r="U251" i="23"/>
  <c r="T251" i="23" s="1"/>
  <c r="S251" i="23" s="1"/>
  <c r="R251" i="23" s="1"/>
  <c r="P251" i="23" s="1"/>
  <c r="V251" i="23" s="1"/>
  <c r="B251" i="23" s="1"/>
  <c r="U18" i="23"/>
  <c r="T18" i="23" s="1"/>
  <c r="S18" i="23" s="1"/>
  <c r="R18" i="23" s="1"/>
  <c r="P18" i="23" s="1"/>
  <c r="V18" i="23" s="1"/>
  <c r="B18" i="23" s="1"/>
  <c r="U50" i="23"/>
  <c r="T50" i="23" s="1"/>
  <c r="S50" i="23" s="1"/>
  <c r="R50" i="23" s="1"/>
  <c r="P50" i="23" s="1"/>
  <c r="V50" i="23" s="1"/>
  <c r="B50" i="23" s="1"/>
  <c r="U213" i="23"/>
  <c r="T213" i="23" s="1"/>
  <c r="S213" i="23" s="1"/>
  <c r="R213" i="23" s="1"/>
  <c r="P213" i="23" s="1"/>
  <c r="V213" i="23" s="1"/>
  <c r="B213" i="23" s="1"/>
  <c r="U179" i="23"/>
  <c r="T179" i="23" s="1"/>
  <c r="S179" i="23" s="1"/>
  <c r="R179" i="23" s="1"/>
  <c r="P179" i="23" s="1"/>
  <c r="V179" i="23" s="1"/>
  <c r="B179" i="23" s="1"/>
  <c r="U55" i="23"/>
  <c r="T55" i="23" s="1"/>
  <c r="S55" i="23" s="1"/>
  <c r="R55" i="23" s="1"/>
  <c r="P55" i="23" s="1"/>
  <c r="V55" i="23" s="1"/>
  <c r="B55" i="23" s="1"/>
  <c r="U260" i="23"/>
  <c r="T260" i="23" s="1"/>
  <c r="S260" i="23" s="1"/>
  <c r="R260" i="23" s="1"/>
  <c r="P260" i="23" s="1"/>
  <c r="V260" i="23" s="1"/>
  <c r="B260" i="23" s="1"/>
  <c r="U123" i="23"/>
  <c r="T123" i="23" s="1"/>
  <c r="S123" i="23" s="1"/>
  <c r="R123" i="23" s="1"/>
  <c r="P123" i="23" s="1"/>
  <c r="V123" i="23" s="1"/>
  <c r="B123" i="23" s="1"/>
  <c r="U67" i="23"/>
  <c r="T67" i="23" s="1"/>
  <c r="S67" i="23" s="1"/>
  <c r="R67" i="23" s="1"/>
  <c r="P67" i="23" s="1"/>
  <c r="V67" i="23" s="1"/>
  <c r="B67" i="23" s="1"/>
  <c r="U249" i="23"/>
  <c r="T249" i="23" s="1"/>
  <c r="S249" i="23" s="1"/>
  <c r="R249" i="23" s="1"/>
  <c r="P249" i="23" s="1"/>
  <c r="V249" i="23" s="1"/>
  <c r="B249" i="23" s="1"/>
  <c r="U204" i="23"/>
  <c r="T204" i="23" s="1"/>
  <c r="S204" i="23" s="1"/>
  <c r="R204" i="23" s="1"/>
  <c r="P204" i="23" s="1"/>
  <c r="V204" i="23" s="1"/>
  <c r="B204" i="23" s="1"/>
  <c r="U241" i="23"/>
  <c r="T241" i="23" s="1"/>
  <c r="S241" i="23" s="1"/>
  <c r="R241" i="23" s="1"/>
  <c r="P241" i="23" s="1"/>
  <c r="U212" i="23"/>
  <c r="T212" i="23" s="1"/>
  <c r="S212" i="23" s="1"/>
  <c r="R212" i="23" s="1"/>
  <c r="P212" i="23" s="1"/>
  <c r="V212" i="23" s="1"/>
  <c r="B212" i="23" s="1"/>
  <c r="U128" i="23"/>
  <c r="T128" i="23" s="1"/>
  <c r="S128" i="23" s="1"/>
  <c r="R128" i="23" s="1"/>
  <c r="P128" i="23" s="1"/>
  <c r="V128" i="23" s="1"/>
  <c r="B128" i="23" s="1"/>
  <c r="U83" i="23"/>
  <c r="T83" i="23" s="1"/>
  <c r="S83" i="23" s="1"/>
  <c r="R83" i="23" s="1"/>
  <c r="P83" i="23" s="1"/>
  <c r="V83" i="23" s="1"/>
  <c r="B83" i="23" s="1"/>
  <c r="U92" i="23"/>
  <c r="T92" i="23" s="1"/>
  <c r="S92" i="23" s="1"/>
  <c r="R92" i="23" s="1"/>
  <c r="P92" i="23" s="1"/>
  <c r="V92" i="23" s="1"/>
  <c r="B92" i="23" s="1"/>
  <c r="U331" i="23"/>
  <c r="T331" i="23" s="1"/>
  <c r="S331" i="23" s="1"/>
  <c r="R331" i="23" s="1"/>
  <c r="P331" i="23" s="1"/>
  <c r="V331" i="23" s="1"/>
  <c r="B331" i="23" s="1"/>
  <c r="U169" i="23"/>
  <c r="T169" i="23" s="1"/>
  <c r="S169" i="23" s="1"/>
  <c r="R169" i="23" s="1"/>
  <c r="P169" i="23" s="1"/>
  <c r="V169" i="23" s="1"/>
  <c r="B169" i="23" s="1"/>
  <c r="U321" i="23"/>
  <c r="T321" i="23" s="1"/>
  <c r="S321" i="23" s="1"/>
  <c r="R321" i="23" s="1"/>
  <c r="P321" i="23" s="1"/>
  <c r="V321" i="23" s="1"/>
  <c r="B321" i="23" s="1"/>
  <c r="U328" i="23"/>
  <c r="T328" i="23" s="1"/>
  <c r="S328" i="23" s="1"/>
  <c r="R328" i="23" s="1"/>
  <c r="P328" i="23" s="1"/>
  <c r="V328" i="23" s="1"/>
  <c r="B328" i="23" s="1"/>
  <c r="U85" i="23"/>
  <c r="T85" i="23" s="1"/>
  <c r="S85" i="23" s="1"/>
  <c r="R85" i="23" s="1"/>
  <c r="P85" i="23" s="1"/>
  <c r="V85" i="23" s="1"/>
  <c r="B85" i="23" s="1"/>
  <c r="U270" i="23"/>
  <c r="T270" i="23" s="1"/>
  <c r="S270" i="23" s="1"/>
  <c r="R270" i="23" s="1"/>
  <c r="P270" i="23" s="1"/>
  <c r="V270" i="23" s="1"/>
  <c r="B270" i="23" s="1"/>
  <c r="U220" i="23"/>
  <c r="T220" i="23" s="1"/>
  <c r="S220" i="23" s="1"/>
  <c r="R220" i="23" s="1"/>
  <c r="P220" i="23" s="1"/>
  <c r="V220" i="23" s="1"/>
  <c r="B220" i="23" s="1"/>
  <c r="U70" i="23"/>
  <c r="T70" i="23" s="1"/>
  <c r="S70" i="23" s="1"/>
  <c r="R70" i="23" s="1"/>
  <c r="P70" i="23" s="1"/>
  <c r="V70" i="23" s="1"/>
  <c r="B70" i="23" s="1"/>
  <c r="U229" i="23"/>
  <c r="T229" i="23" s="1"/>
  <c r="S229" i="23" s="1"/>
  <c r="R229" i="23" s="1"/>
  <c r="P229" i="23" s="1"/>
  <c r="V229" i="23" s="1"/>
  <c r="B229" i="23" s="1"/>
  <c r="J138" i="22"/>
  <c r="I176" i="22"/>
  <c r="I159" i="22"/>
  <c r="J217" i="22"/>
  <c r="W288" i="23"/>
  <c r="I67" i="22"/>
  <c r="I22" i="22"/>
  <c r="J41" i="22"/>
  <c r="J101" i="22"/>
  <c r="I91" i="22"/>
  <c r="I51" i="22"/>
  <c r="J239" i="22"/>
  <c r="I56" i="22"/>
  <c r="J202" i="22"/>
  <c r="J132" i="22"/>
  <c r="I367" i="22"/>
  <c r="D319" i="23"/>
  <c r="E319" i="23" s="1"/>
  <c r="F319" i="23" s="1"/>
  <c r="G319" i="23" s="1"/>
  <c r="CD319" i="6" s="1"/>
  <c r="I263" i="22"/>
  <c r="J232" i="22"/>
  <c r="I192" i="22"/>
  <c r="J192" i="22"/>
  <c r="I349" i="22"/>
  <c r="J349" i="22"/>
  <c r="J95" i="22"/>
  <c r="I95" i="22"/>
  <c r="I28" i="22"/>
  <c r="J28" i="22"/>
  <c r="I164" i="22"/>
  <c r="J164" i="22"/>
  <c r="Q4" i="6"/>
  <c r="D60" i="6"/>
  <c r="I77" i="22"/>
  <c r="J77" i="22"/>
  <c r="I308" i="22"/>
  <c r="J308" i="22"/>
  <c r="J344" i="22"/>
  <c r="I344" i="22"/>
  <c r="J340" i="22"/>
  <c r="I340" i="22"/>
  <c r="AA29" i="22"/>
  <c r="Z29" i="22" s="1"/>
  <c r="Y29" i="22" s="1"/>
  <c r="H29" i="22"/>
  <c r="G29" i="22"/>
  <c r="CC29" i="6" s="1"/>
  <c r="J79" i="22"/>
  <c r="I79" i="22"/>
  <c r="G149" i="22"/>
  <c r="CC149" i="6" s="1"/>
  <c r="AA149" i="22"/>
  <c r="Z149" i="22" s="1"/>
  <c r="Y149" i="22" s="1"/>
  <c r="J267" i="22"/>
  <c r="I267" i="22"/>
  <c r="J147" i="22"/>
  <c r="I147" i="22"/>
  <c r="J269" i="22"/>
  <c r="I269" i="22"/>
  <c r="J124" i="22"/>
  <c r="I124" i="22"/>
  <c r="I183" i="22"/>
  <c r="G258" i="22"/>
  <c r="CC258" i="6" s="1"/>
  <c r="H258" i="22"/>
  <c r="I38" i="22"/>
  <c r="J38" i="22"/>
  <c r="I300" i="22"/>
  <c r="J300" i="22"/>
  <c r="J374" i="22"/>
  <c r="I374" i="22"/>
  <c r="I317" i="22"/>
  <c r="J317" i="22"/>
  <c r="J329" i="22"/>
  <c r="I329" i="22"/>
  <c r="G302" i="22"/>
  <c r="CC302" i="6" s="1"/>
  <c r="AA302" i="22"/>
  <c r="Z302" i="22" s="1"/>
  <c r="Y302" i="22" s="1"/>
  <c r="I85" i="22"/>
  <c r="J85" i="22"/>
  <c r="J33" i="22"/>
  <c r="I33" i="22"/>
  <c r="I203" i="22"/>
  <c r="J203" i="22"/>
  <c r="D363" i="22"/>
  <c r="E363" i="22" s="1"/>
  <c r="F363" i="22" s="1"/>
  <c r="W363" i="22"/>
  <c r="G333" i="22"/>
  <c r="CC333" i="6" s="1"/>
  <c r="AA333" i="22"/>
  <c r="Z333" i="22" s="1"/>
  <c r="Y333" i="22" s="1"/>
  <c r="I274" i="22"/>
  <c r="J274" i="22"/>
  <c r="I353" i="22"/>
  <c r="J353" i="22"/>
  <c r="J23" i="22"/>
  <c r="I23" i="22"/>
  <c r="J169" i="22"/>
  <c r="I169" i="22"/>
  <c r="J175" i="22"/>
  <c r="I175" i="22"/>
  <c r="I330" i="22"/>
  <c r="J330" i="22"/>
  <c r="I115" i="22"/>
  <c r="J115" i="22"/>
  <c r="D272" i="6"/>
  <c r="AF4" i="6"/>
  <c r="I277" i="22"/>
  <c r="J277" i="22"/>
  <c r="J302" i="20"/>
  <c r="I302" i="20"/>
  <c r="H302" i="22" s="1"/>
  <c r="I290" i="22"/>
  <c r="J290" i="22"/>
  <c r="J363" i="20"/>
  <c r="I363" i="20"/>
  <c r="J119" i="20"/>
  <c r="I119" i="20"/>
  <c r="AI96" i="23"/>
  <c r="AH96" i="23" s="1"/>
  <c r="AG96" i="23" s="1"/>
  <c r="AF96" i="23" s="1"/>
  <c r="AD96" i="23" s="1"/>
  <c r="AI32" i="23"/>
  <c r="AH32" i="23" s="1"/>
  <c r="AG32" i="23" s="1"/>
  <c r="AF32" i="23" s="1"/>
  <c r="AD32" i="23" s="1"/>
  <c r="AI64" i="23"/>
  <c r="AH64" i="23" s="1"/>
  <c r="AG64" i="23" s="1"/>
  <c r="AF64" i="23" s="1"/>
  <c r="AD64" i="23" s="1"/>
  <c r="AI85" i="23"/>
  <c r="AH85" i="23" s="1"/>
  <c r="AG85" i="23" s="1"/>
  <c r="AF85" i="23" s="1"/>
  <c r="AD85" i="23" s="1"/>
  <c r="AI58" i="23"/>
  <c r="AH58" i="23" s="1"/>
  <c r="AG58" i="23" s="1"/>
  <c r="AF58" i="23" s="1"/>
  <c r="AD58" i="23" s="1"/>
  <c r="AI16" i="23"/>
  <c r="AH16" i="23" s="1"/>
  <c r="AG16" i="23" s="1"/>
  <c r="AF16" i="23" s="1"/>
  <c r="AD16" i="23" s="1"/>
  <c r="AI27" i="23"/>
  <c r="AH27" i="23" s="1"/>
  <c r="AG27" i="23" s="1"/>
  <c r="AF27" i="23" s="1"/>
  <c r="AD27" i="23" s="1"/>
  <c r="AI77" i="23"/>
  <c r="AH77" i="23" s="1"/>
  <c r="AG77" i="23" s="1"/>
  <c r="AF77" i="23" s="1"/>
  <c r="AD77" i="23" s="1"/>
  <c r="AI17" i="23"/>
  <c r="AH17" i="23" s="1"/>
  <c r="AG17" i="23" s="1"/>
  <c r="AF17" i="23" s="1"/>
  <c r="AD17" i="23" s="1"/>
  <c r="AI29" i="23"/>
  <c r="AH29" i="23" s="1"/>
  <c r="AG29" i="23" s="1"/>
  <c r="AF29" i="23" s="1"/>
  <c r="AD29" i="23" s="1"/>
  <c r="AI83" i="23"/>
  <c r="AH83" i="23" s="1"/>
  <c r="AG83" i="23" s="1"/>
  <c r="AF83" i="23" s="1"/>
  <c r="AD83" i="23" s="1"/>
  <c r="AI344" i="23"/>
  <c r="AH344" i="23" s="1"/>
  <c r="AG344" i="23" s="1"/>
  <c r="AF344" i="23" s="1"/>
  <c r="AD344" i="23" s="1"/>
  <c r="AI65" i="23"/>
  <c r="AH65" i="23" s="1"/>
  <c r="AG65" i="23" s="1"/>
  <c r="AF65" i="23" s="1"/>
  <c r="AD65" i="23" s="1"/>
  <c r="AI128" i="23"/>
  <c r="AH128" i="23" s="1"/>
  <c r="AG128" i="23" s="1"/>
  <c r="AF128" i="23" s="1"/>
  <c r="AD128" i="23" s="1"/>
  <c r="AI50" i="23"/>
  <c r="AH50" i="23" s="1"/>
  <c r="AG50" i="23" s="1"/>
  <c r="AF50" i="23" s="1"/>
  <c r="AD50" i="23" s="1"/>
  <c r="AI346" i="23"/>
  <c r="AH346" i="23" s="1"/>
  <c r="AG346" i="23" s="1"/>
  <c r="AF346" i="23" s="1"/>
  <c r="AD346" i="23" s="1"/>
  <c r="AI59" i="23"/>
  <c r="AH59" i="23" s="1"/>
  <c r="AG59" i="23" s="1"/>
  <c r="AF59" i="23" s="1"/>
  <c r="AD59" i="23" s="1"/>
  <c r="AI124" i="23"/>
  <c r="AH124" i="23" s="1"/>
  <c r="AG124" i="23" s="1"/>
  <c r="AF124" i="23" s="1"/>
  <c r="AD124" i="23" s="1"/>
  <c r="AI36" i="23"/>
  <c r="AH36" i="23" s="1"/>
  <c r="AG36" i="23" s="1"/>
  <c r="AF36" i="23" s="1"/>
  <c r="AD36" i="23" s="1"/>
  <c r="AI340" i="23"/>
  <c r="AH340" i="23" s="1"/>
  <c r="AG340" i="23" s="1"/>
  <c r="AF340" i="23" s="1"/>
  <c r="AD340" i="23" s="1"/>
  <c r="AI144" i="23"/>
  <c r="AH144" i="23" s="1"/>
  <c r="AG144" i="23" s="1"/>
  <c r="AF144" i="23" s="1"/>
  <c r="AD144" i="23" s="1"/>
  <c r="AI81" i="23"/>
  <c r="AH81" i="23" s="1"/>
  <c r="AG81" i="23" s="1"/>
  <c r="AF81" i="23" s="1"/>
  <c r="AD81" i="23" s="1"/>
  <c r="AI351" i="23"/>
  <c r="AH351" i="23" s="1"/>
  <c r="AG351" i="23" s="1"/>
  <c r="AF351" i="23" s="1"/>
  <c r="AD351" i="23" s="1"/>
  <c r="AI63" i="23"/>
  <c r="AH63" i="23" s="1"/>
  <c r="AG63" i="23" s="1"/>
  <c r="AF63" i="23" s="1"/>
  <c r="AD63" i="23" s="1"/>
  <c r="AI125" i="23"/>
  <c r="AH125" i="23" s="1"/>
  <c r="AG125" i="23" s="1"/>
  <c r="AF125" i="23" s="1"/>
  <c r="AD125" i="23" s="1"/>
  <c r="AI78" i="23"/>
  <c r="AH78" i="23" s="1"/>
  <c r="AG78" i="23" s="1"/>
  <c r="AF78" i="23" s="1"/>
  <c r="AD78" i="23" s="1"/>
  <c r="AI362" i="23"/>
  <c r="AH362" i="23" s="1"/>
  <c r="AG362" i="23" s="1"/>
  <c r="AF362" i="23" s="1"/>
  <c r="AD362" i="23" s="1"/>
  <c r="AI279" i="23"/>
  <c r="AH279" i="23" s="1"/>
  <c r="AG279" i="23" s="1"/>
  <c r="AF279" i="23" s="1"/>
  <c r="AD279" i="23" s="1"/>
  <c r="AI55" i="23"/>
  <c r="AH55" i="23" s="1"/>
  <c r="AG55" i="23" s="1"/>
  <c r="AF55" i="23" s="1"/>
  <c r="AD55" i="23" s="1"/>
  <c r="AI190" i="23"/>
  <c r="AH190" i="23" s="1"/>
  <c r="AG190" i="23" s="1"/>
  <c r="AF190" i="23" s="1"/>
  <c r="AD190" i="23" s="1"/>
  <c r="AI26" i="23"/>
  <c r="AH26" i="23" s="1"/>
  <c r="AG26" i="23" s="1"/>
  <c r="AF26" i="23" s="1"/>
  <c r="AD26" i="23" s="1"/>
  <c r="AI187" i="23"/>
  <c r="AH187" i="23" s="1"/>
  <c r="AG187" i="23" s="1"/>
  <c r="AF187" i="23" s="1"/>
  <c r="AD187" i="23" s="1"/>
  <c r="AI97" i="23"/>
  <c r="AH97" i="23" s="1"/>
  <c r="AG97" i="23" s="1"/>
  <c r="AF97" i="23" s="1"/>
  <c r="AD97" i="23" s="1"/>
  <c r="AI20" i="23"/>
  <c r="AH20" i="23" s="1"/>
  <c r="AG20" i="23" s="1"/>
  <c r="AF20" i="23" s="1"/>
  <c r="AD20" i="23" s="1"/>
  <c r="AI229" i="23"/>
  <c r="AH229" i="23" s="1"/>
  <c r="AG229" i="23" s="1"/>
  <c r="AF229" i="23" s="1"/>
  <c r="AD229" i="23" s="1"/>
  <c r="AI21" i="23"/>
  <c r="AH21" i="23" s="1"/>
  <c r="AG21" i="23" s="1"/>
  <c r="AF21" i="23" s="1"/>
  <c r="AD21" i="23" s="1"/>
  <c r="AI178" i="23"/>
  <c r="AH178" i="23" s="1"/>
  <c r="AG178" i="23" s="1"/>
  <c r="AF178" i="23" s="1"/>
  <c r="AD178" i="23" s="1"/>
  <c r="AI87" i="23"/>
  <c r="AH87" i="23" s="1"/>
  <c r="AG87" i="23" s="1"/>
  <c r="AF87" i="23" s="1"/>
  <c r="AD87" i="23" s="1"/>
  <c r="AI28" i="23"/>
  <c r="AH28" i="23" s="1"/>
  <c r="AG28" i="23" s="1"/>
  <c r="AF28" i="23" s="1"/>
  <c r="AD28" i="23" s="1"/>
  <c r="AI98" i="23"/>
  <c r="AH98" i="23" s="1"/>
  <c r="AG98" i="23" s="1"/>
  <c r="AF98" i="23" s="1"/>
  <c r="AD98" i="23" s="1"/>
  <c r="AI30" i="23"/>
  <c r="AH30" i="23" s="1"/>
  <c r="AG30" i="23" s="1"/>
  <c r="AF30" i="23" s="1"/>
  <c r="AD30" i="23" s="1"/>
  <c r="AI37" i="23"/>
  <c r="AH37" i="23" s="1"/>
  <c r="AG37" i="23" s="1"/>
  <c r="AF37" i="23" s="1"/>
  <c r="AD37" i="23" s="1"/>
  <c r="AI278" i="23"/>
  <c r="AH278" i="23" s="1"/>
  <c r="AG278" i="23" s="1"/>
  <c r="AF278" i="23" s="1"/>
  <c r="AD278" i="23" s="1"/>
  <c r="AI35" i="23"/>
  <c r="AH35" i="23" s="1"/>
  <c r="AG35" i="23" s="1"/>
  <c r="AF35" i="23" s="1"/>
  <c r="AD35" i="23" s="1"/>
  <c r="AI170" i="23"/>
  <c r="AH170" i="23" s="1"/>
  <c r="AG170" i="23" s="1"/>
  <c r="AF170" i="23" s="1"/>
  <c r="AD170" i="23" s="1"/>
  <c r="AI40" i="23"/>
  <c r="AH40" i="23" s="1"/>
  <c r="AG40" i="23" s="1"/>
  <c r="AF40" i="23" s="1"/>
  <c r="AD40" i="23" s="1"/>
  <c r="AI99" i="23"/>
  <c r="AH99" i="23" s="1"/>
  <c r="AG99" i="23" s="1"/>
  <c r="AF99" i="23" s="1"/>
  <c r="AD99" i="23" s="1"/>
  <c r="AI44" i="23"/>
  <c r="AH44" i="23" s="1"/>
  <c r="AG44" i="23" s="1"/>
  <c r="AF44" i="23" s="1"/>
  <c r="AD44" i="23" s="1"/>
  <c r="AI19" i="23"/>
  <c r="AH19" i="23" s="1"/>
  <c r="AG19" i="23" s="1"/>
  <c r="AF19" i="23" s="1"/>
  <c r="AD19" i="23" s="1"/>
  <c r="AI91" i="23"/>
  <c r="AH91" i="23" s="1"/>
  <c r="AG91" i="23" s="1"/>
  <c r="AF91" i="23" s="1"/>
  <c r="AD91" i="23" s="1"/>
  <c r="AI80" i="23"/>
  <c r="AH80" i="23" s="1"/>
  <c r="AG80" i="23" s="1"/>
  <c r="AF80" i="23" s="1"/>
  <c r="AD80" i="23" s="1"/>
  <c r="AI367" i="23"/>
  <c r="AH367" i="23" s="1"/>
  <c r="AG367" i="23" s="1"/>
  <c r="AF367" i="23" s="1"/>
  <c r="AD367" i="23" s="1"/>
  <c r="AI73" i="23"/>
  <c r="AH73" i="23" s="1"/>
  <c r="AG73" i="23" s="1"/>
  <c r="AF73" i="23" s="1"/>
  <c r="AD73" i="23" s="1"/>
  <c r="AI122" i="23"/>
  <c r="AH122" i="23" s="1"/>
  <c r="AG122" i="23" s="1"/>
  <c r="AF122" i="23" s="1"/>
  <c r="AD122" i="23" s="1"/>
  <c r="AI76" i="23"/>
  <c r="AH76" i="23" s="1"/>
  <c r="AG76" i="23" s="1"/>
  <c r="AF76" i="23" s="1"/>
  <c r="AD76" i="23" s="1"/>
  <c r="AI359" i="23"/>
  <c r="AH359" i="23" s="1"/>
  <c r="AG359" i="23" s="1"/>
  <c r="AF359" i="23" s="1"/>
  <c r="AD359" i="23" s="1"/>
  <c r="AI69" i="23"/>
  <c r="AH69" i="23" s="1"/>
  <c r="AG69" i="23" s="1"/>
  <c r="AF69" i="23" s="1"/>
  <c r="AD69" i="23" s="1"/>
  <c r="AI116" i="23"/>
  <c r="AH116" i="23" s="1"/>
  <c r="AG116" i="23" s="1"/>
  <c r="AF116" i="23" s="1"/>
  <c r="AD116" i="23" s="1"/>
  <c r="AI67" i="23"/>
  <c r="AH67" i="23" s="1"/>
  <c r="AG67" i="23" s="1"/>
  <c r="AF67" i="23" s="1"/>
  <c r="AD67" i="23" s="1"/>
  <c r="AI353" i="23"/>
  <c r="AH353" i="23" s="1"/>
  <c r="AG353" i="23" s="1"/>
  <c r="AF353" i="23" s="1"/>
  <c r="AD353" i="23" s="1"/>
  <c r="AI103" i="23"/>
  <c r="AH103" i="23" s="1"/>
  <c r="AG103" i="23" s="1"/>
  <c r="AF103" i="23" s="1"/>
  <c r="AD103" i="23" s="1"/>
  <c r="AI218" i="23"/>
  <c r="AH218" i="23" s="1"/>
  <c r="AG218" i="23" s="1"/>
  <c r="AF218" i="23" s="1"/>
  <c r="AD218" i="23" s="1"/>
  <c r="AI25" i="23"/>
  <c r="AH25" i="23" s="1"/>
  <c r="AG25" i="23" s="1"/>
  <c r="AF25" i="23" s="1"/>
  <c r="AD25" i="23" s="1"/>
  <c r="AI171" i="23"/>
  <c r="AH171" i="23" s="1"/>
  <c r="AG171" i="23" s="1"/>
  <c r="AF171" i="23" s="1"/>
  <c r="AD171" i="23" s="1"/>
  <c r="AI90" i="23"/>
  <c r="AH90" i="23" s="1"/>
  <c r="AG90" i="23" s="1"/>
  <c r="AF90" i="23" s="1"/>
  <c r="AD90" i="23" s="1"/>
  <c r="AI368" i="23"/>
  <c r="AH368" i="23" s="1"/>
  <c r="AG368" i="23" s="1"/>
  <c r="AF368" i="23" s="1"/>
  <c r="AD368" i="23" s="1"/>
  <c r="AI94" i="23"/>
  <c r="AH94" i="23" s="1"/>
  <c r="AG94" i="23" s="1"/>
  <c r="AF94" i="23" s="1"/>
  <c r="AD94" i="23" s="1"/>
  <c r="AI164" i="23"/>
  <c r="AH164" i="23" s="1"/>
  <c r="AG164" i="23" s="1"/>
  <c r="AF164" i="23" s="1"/>
  <c r="AD164" i="23" s="1"/>
  <c r="AI86" i="23"/>
  <c r="AH86" i="23" s="1"/>
  <c r="AG86" i="23" s="1"/>
  <c r="AF86" i="23" s="1"/>
  <c r="AD86" i="23" s="1"/>
  <c r="AI74" i="23"/>
  <c r="AH74" i="23" s="1"/>
  <c r="AG74" i="23" s="1"/>
  <c r="AF74" i="23" s="1"/>
  <c r="AD74" i="23" s="1"/>
  <c r="AI285" i="23"/>
  <c r="AH285" i="23" s="1"/>
  <c r="AG285" i="23" s="1"/>
  <c r="AF285" i="23" s="1"/>
  <c r="AD285" i="23" s="1"/>
  <c r="AI68" i="23"/>
  <c r="AH68" i="23" s="1"/>
  <c r="AG68" i="23" s="1"/>
  <c r="AF68" i="23" s="1"/>
  <c r="AD68" i="23" s="1"/>
  <c r="AI276" i="23"/>
  <c r="AH276" i="23" s="1"/>
  <c r="AG276" i="23" s="1"/>
  <c r="AF276" i="23" s="1"/>
  <c r="AD276" i="23" s="1"/>
  <c r="AI48" i="23"/>
  <c r="AH48" i="23" s="1"/>
  <c r="AG48" i="23" s="1"/>
  <c r="AF48" i="23" s="1"/>
  <c r="AD48" i="23" s="1"/>
  <c r="AI181" i="23"/>
  <c r="AH181" i="23" s="1"/>
  <c r="AG181" i="23" s="1"/>
  <c r="AF181" i="23" s="1"/>
  <c r="AD181" i="23" s="1"/>
  <c r="AI23" i="23"/>
  <c r="AH23" i="23" s="1"/>
  <c r="AG23" i="23" s="1"/>
  <c r="AF23" i="23" s="1"/>
  <c r="AD23" i="23" s="1"/>
  <c r="AI102" i="23"/>
  <c r="AH102" i="23" s="1"/>
  <c r="AG102" i="23" s="1"/>
  <c r="AF102" i="23" s="1"/>
  <c r="AD102" i="23" s="1"/>
  <c r="AI43" i="23"/>
  <c r="AH43" i="23" s="1"/>
  <c r="AG43" i="23" s="1"/>
  <c r="AF43" i="23" s="1"/>
  <c r="AD43" i="23" s="1"/>
  <c r="AI127" i="23"/>
  <c r="AH127" i="23" s="1"/>
  <c r="AG127" i="23" s="1"/>
  <c r="AF127" i="23" s="1"/>
  <c r="AD127" i="23" s="1"/>
  <c r="AI49" i="23"/>
  <c r="AH49" i="23" s="1"/>
  <c r="AG49" i="23" s="1"/>
  <c r="AF49" i="23" s="1"/>
  <c r="AD49" i="23" s="1"/>
  <c r="AI319" i="23"/>
  <c r="AH319" i="23" s="1"/>
  <c r="AG319" i="23" s="1"/>
  <c r="AF319" i="23" s="1"/>
  <c r="AD319" i="23" s="1"/>
  <c r="AI92" i="23"/>
  <c r="AH92" i="23" s="1"/>
  <c r="AG92" i="23" s="1"/>
  <c r="AF92" i="23" s="1"/>
  <c r="AD92" i="23" s="1"/>
  <c r="AI263" i="23"/>
  <c r="AH263" i="23" s="1"/>
  <c r="AG263" i="23" s="1"/>
  <c r="AF263" i="23" s="1"/>
  <c r="AD263" i="23" s="1"/>
  <c r="AI38" i="23"/>
  <c r="AH38" i="23" s="1"/>
  <c r="AG38" i="23" s="1"/>
  <c r="AF38" i="23" s="1"/>
  <c r="AD38" i="23" s="1"/>
  <c r="AI177" i="23"/>
  <c r="AH177" i="23" s="1"/>
  <c r="AG177" i="23" s="1"/>
  <c r="AF177" i="23" s="1"/>
  <c r="AD177" i="23" s="1"/>
  <c r="AI72" i="23"/>
  <c r="AH72" i="23" s="1"/>
  <c r="AG72" i="23" s="1"/>
  <c r="AF72" i="23" s="1"/>
  <c r="AD72" i="23" s="1"/>
  <c r="AI355" i="23"/>
  <c r="AH355" i="23" s="1"/>
  <c r="AG355" i="23" s="1"/>
  <c r="AF355" i="23" s="1"/>
  <c r="AD355" i="23" s="1"/>
  <c r="AI47" i="23"/>
  <c r="AH47" i="23" s="1"/>
  <c r="AG47" i="23" s="1"/>
  <c r="AF47" i="23" s="1"/>
  <c r="AD47" i="23" s="1"/>
  <c r="AI120" i="23"/>
  <c r="AH120" i="23" s="1"/>
  <c r="AG120" i="23" s="1"/>
  <c r="AF120" i="23" s="1"/>
  <c r="AD120" i="23" s="1"/>
  <c r="AI62" i="23"/>
  <c r="AH62" i="23" s="1"/>
  <c r="AG62" i="23" s="1"/>
  <c r="AF62" i="23" s="1"/>
  <c r="AD62" i="23" s="1"/>
  <c r="AI350" i="23"/>
  <c r="AH350" i="23" s="1"/>
  <c r="AG350" i="23" s="1"/>
  <c r="AF350" i="23" s="1"/>
  <c r="AD350" i="23" s="1"/>
  <c r="AI60" i="23"/>
  <c r="AH60" i="23" s="1"/>
  <c r="AG60" i="23" s="1"/>
  <c r="AF60" i="23" s="1"/>
  <c r="AD60" i="23" s="1"/>
  <c r="AI42" i="23"/>
  <c r="AH42" i="23" s="1"/>
  <c r="AG42" i="23" s="1"/>
  <c r="AF42" i="23" s="1"/>
  <c r="AD42" i="23" s="1"/>
  <c r="AI126" i="23"/>
  <c r="AH126" i="23" s="1"/>
  <c r="AG126" i="23" s="1"/>
  <c r="AF126" i="23" s="1"/>
  <c r="AD126" i="23" s="1"/>
  <c r="AI82" i="23"/>
  <c r="AH82" i="23" s="1"/>
  <c r="AG82" i="23" s="1"/>
  <c r="AF82" i="23" s="1"/>
  <c r="AD82" i="23" s="1"/>
  <c r="AI31" i="23"/>
  <c r="AH31" i="23" s="1"/>
  <c r="AG31" i="23" s="1"/>
  <c r="AF31" i="23" s="1"/>
  <c r="AD31" i="23" s="1"/>
  <c r="AI317" i="23"/>
  <c r="AH317" i="23" s="1"/>
  <c r="AG317" i="23" s="1"/>
  <c r="AF317" i="23" s="1"/>
  <c r="AD317" i="23" s="1"/>
  <c r="AI89" i="23"/>
  <c r="AH89" i="23" s="1"/>
  <c r="AG89" i="23" s="1"/>
  <c r="AF89" i="23" s="1"/>
  <c r="AD89" i="23" s="1"/>
  <c r="AI208" i="23"/>
  <c r="AH208" i="23" s="1"/>
  <c r="AG208" i="23" s="1"/>
  <c r="AF208" i="23" s="1"/>
  <c r="AD208" i="23" s="1"/>
  <c r="AI161" i="23"/>
  <c r="AH161" i="23" s="1"/>
  <c r="AG161" i="23" s="1"/>
  <c r="AF161" i="23" s="1"/>
  <c r="AD161" i="23" s="1"/>
  <c r="AI84" i="23"/>
  <c r="AH84" i="23" s="1"/>
  <c r="AG84" i="23" s="1"/>
  <c r="AF84" i="23" s="1"/>
  <c r="AD84" i="23" s="1"/>
  <c r="AI375" i="23"/>
  <c r="AH375" i="23" s="1"/>
  <c r="AG375" i="23" s="1"/>
  <c r="AF375" i="23" s="1"/>
  <c r="AD375" i="23" s="1"/>
  <c r="AI313" i="23"/>
  <c r="AH313" i="23" s="1"/>
  <c r="AG313" i="23" s="1"/>
  <c r="AF313" i="23" s="1"/>
  <c r="AD313" i="23" s="1"/>
  <c r="AI228" i="23"/>
  <c r="AH228" i="23" s="1"/>
  <c r="AG228" i="23" s="1"/>
  <c r="AF228" i="23" s="1"/>
  <c r="AD228" i="23" s="1"/>
  <c r="AI150" i="23"/>
  <c r="AH150" i="23" s="1"/>
  <c r="AG150" i="23" s="1"/>
  <c r="AF150" i="23" s="1"/>
  <c r="AD150" i="23" s="1"/>
  <c r="AI75" i="23"/>
  <c r="AH75" i="23" s="1"/>
  <c r="AG75" i="23" s="1"/>
  <c r="AF75" i="23" s="1"/>
  <c r="AD75" i="23" s="1"/>
  <c r="AI377" i="23"/>
  <c r="AH377" i="23" s="1"/>
  <c r="AG377" i="23" s="1"/>
  <c r="AF377" i="23" s="1"/>
  <c r="AD377" i="23" s="1"/>
  <c r="AI93" i="23"/>
  <c r="AH93" i="23" s="1"/>
  <c r="AG93" i="23" s="1"/>
  <c r="AF93" i="23" s="1"/>
  <c r="AD93" i="23" s="1"/>
  <c r="AI266" i="23"/>
  <c r="AH266" i="23" s="1"/>
  <c r="AG266" i="23" s="1"/>
  <c r="AF266" i="23" s="1"/>
  <c r="AD266" i="23" s="1"/>
  <c r="AI39" i="23"/>
  <c r="AH39" i="23" s="1"/>
  <c r="AG39" i="23" s="1"/>
  <c r="AF39" i="23" s="1"/>
  <c r="AD39" i="23" s="1"/>
  <c r="AI179" i="23"/>
  <c r="AH179" i="23" s="1"/>
  <c r="AG179" i="23" s="1"/>
  <c r="AF179" i="23" s="1"/>
  <c r="AD179" i="23" s="1"/>
  <c r="AI108" i="23"/>
  <c r="AH108" i="23" s="1"/>
  <c r="AG108" i="23" s="1"/>
  <c r="AF108" i="23" s="1"/>
  <c r="AD108" i="23" s="1"/>
  <c r="AI22" i="23"/>
  <c r="AH22" i="23" s="1"/>
  <c r="AG22" i="23" s="1"/>
  <c r="AF22" i="23" s="1"/>
  <c r="AD22" i="23" s="1"/>
  <c r="AI322" i="23"/>
  <c r="AH322" i="23" s="1"/>
  <c r="AG322" i="23" s="1"/>
  <c r="AF322" i="23" s="1"/>
  <c r="AD322" i="23" s="1"/>
  <c r="AI95" i="23"/>
  <c r="AH95" i="23" s="1"/>
  <c r="AG95" i="23" s="1"/>
  <c r="AF95" i="23" s="1"/>
  <c r="AD95" i="23" s="1"/>
  <c r="AI260" i="23"/>
  <c r="AH260" i="23" s="1"/>
  <c r="AG260" i="23" s="1"/>
  <c r="AF260" i="23" s="1"/>
  <c r="AD260" i="23" s="1"/>
  <c r="AI34" i="23"/>
  <c r="AH34" i="23" s="1"/>
  <c r="AG34" i="23" s="1"/>
  <c r="AF34" i="23" s="1"/>
  <c r="AD34" i="23" s="1"/>
  <c r="AI168" i="23"/>
  <c r="AH168" i="23" s="1"/>
  <c r="AG168" i="23" s="1"/>
  <c r="AF168" i="23" s="1"/>
  <c r="AD168" i="23" s="1"/>
  <c r="AI119" i="23"/>
  <c r="AH119" i="23" s="1"/>
  <c r="AG119" i="23" s="1"/>
  <c r="AF119" i="23" s="1"/>
  <c r="AD119" i="23" s="1"/>
  <c r="AI71" i="23"/>
  <c r="AH71" i="23" s="1"/>
  <c r="AG71" i="23" s="1"/>
  <c r="AF71" i="23" s="1"/>
  <c r="AD71" i="23" s="1"/>
  <c r="AI373" i="23"/>
  <c r="AH373" i="23" s="1"/>
  <c r="AG373" i="23" s="1"/>
  <c r="AF373" i="23" s="1"/>
  <c r="AD373" i="23" s="1"/>
  <c r="AI312" i="23"/>
  <c r="AH312" i="23" s="1"/>
  <c r="AG312" i="23" s="1"/>
  <c r="AF312" i="23" s="1"/>
  <c r="AD312" i="23" s="1"/>
  <c r="AI268" i="23"/>
  <c r="AH268" i="23" s="1"/>
  <c r="AG268" i="23" s="1"/>
  <c r="AF268" i="23" s="1"/>
  <c r="AD268" i="23" s="1"/>
  <c r="AI57" i="23"/>
  <c r="AH57" i="23" s="1"/>
  <c r="AG57" i="23" s="1"/>
  <c r="AF57" i="23" s="1"/>
  <c r="AD57" i="23" s="1"/>
  <c r="AI226" i="23"/>
  <c r="AH226" i="23" s="1"/>
  <c r="AG226" i="23" s="1"/>
  <c r="AF226" i="23" s="1"/>
  <c r="AD226" i="23" s="1"/>
  <c r="AI147" i="23"/>
  <c r="AH147" i="23" s="1"/>
  <c r="AG147" i="23" s="1"/>
  <c r="AF147" i="23" s="1"/>
  <c r="AD147" i="23" s="1"/>
  <c r="AI61" i="23"/>
  <c r="AH61" i="23" s="1"/>
  <c r="AG61" i="23" s="1"/>
  <c r="AF61" i="23" s="1"/>
  <c r="AD61" i="23" s="1"/>
  <c r="AI349" i="23"/>
  <c r="AH349" i="23" s="1"/>
  <c r="AG349" i="23" s="1"/>
  <c r="AF349" i="23" s="1"/>
  <c r="AD349" i="23" s="1"/>
  <c r="AI269" i="23"/>
  <c r="AH269" i="23" s="1"/>
  <c r="AG269" i="23" s="1"/>
  <c r="AF269" i="23" s="1"/>
  <c r="AD269" i="23" s="1"/>
  <c r="AI53" i="23"/>
  <c r="AH53" i="23" s="1"/>
  <c r="AG53" i="23" s="1"/>
  <c r="AF53" i="23" s="1"/>
  <c r="AD53" i="23" s="1"/>
  <c r="AI221" i="23"/>
  <c r="AH221" i="23" s="1"/>
  <c r="AG221" i="23" s="1"/>
  <c r="AF221" i="23" s="1"/>
  <c r="AD221" i="23" s="1"/>
  <c r="AI134" i="23"/>
  <c r="AH134" i="23" s="1"/>
  <c r="AG134" i="23" s="1"/>
  <c r="AF134" i="23" s="1"/>
  <c r="AD134" i="23" s="1"/>
  <c r="AI51" i="23"/>
  <c r="AH51" i="23" s="1"/>
  <c r="AG51" i="23" s="1"/>
  <c r="AF51" i="23" s="1"/>
  <c r="AD51" i="23" s="1"/>
  <c r="AI343" i="23"/>
  <c r="AH343" i="23" s="1"/>
  <c r="AG343" i="23" s="1"/>
  <c r="AF343" i="23" s="1"/>
  <c r="AD343" i="23" s="1"/>
  <c r="AI265" i="23"/>
  <c r="AH265" i="23" s="1"/>
  <c r="AG265" i="23" s="1"/>
  <c r="AF265" i="23" s="1"/>
  <c r="AD265" i="23" s="1"/>
  <c r="AI54" i="23"/>
  <c r="AH54" i="23" s="1"/>
  <c r="AG54" i="23" s="1"/>
  <c r="AF54" i="23" s="1"/>
  <c r="AD54" i="23" s="1"/>
  <c r="AI152" i="23"/>
  <c r="AH152" i="23" s="1"/>
  <c r="AG152" i="23" s="1"/>
  <c r="AF152" i="23" s="1"/>
  <c r="AD152" i="23" s="1"/>
  <c r="AI70" i="23"/>
  <c r="AH70" i="23" s="1"/>
  <c r="AG70" i="23" s="1"/>
  <c r="AF70" i="23" s="1"/>
  <c r="AD70" i="23" s="1"/>
  <c r="AI379" i="23"/>
  <c r="AI295" i="23"/>
  <c r="AH295" i="23" s="1"/>
  <c r="AG295" i="23" s="1"/>
  <c r="AF295" i="23" s="1"/>
  <c r="AD295" i="23" s="1"/>
  <c r="AI79" i="23"/>
  <c r="AH79" i="23" s="1"/>
  <c r="AG79" i="23" s="1"/>
  <c r="AF79" i="23" s="1"/>
  <c r="AD79" i="23" s="1"/>
  <c r="AI199" i="23"/>
  <c r="AH199" i="23" s="1"/>
  <c r="AG199" i="23" s="1"/>
  <c r="AF199" i="23" s="1"/>
  <c r="AD199" i="23" s="1"/>
  <c r="AI146" i="23"/>
  <c r="AH146" i="23" s="1"/>
  <c r="AG146" i="23" s="1"/>
  <c r="AF146" i="23" s="1"/>
  <c r="AD146" i="23" s="1"/>
  <c r="AI66" i="23"/>
  <c r="AH66" i="23" s="1"/>
  <c r="AG66" i="23" s="1"/>
  <c r="AF66" i="23" s="1"/>
  <c r="AD66" i="23" s="1"/>
  <c r="AI366" i="23"/>
  <c r="AH366" i="23" s="1"/>
  <c r="AG366" i="23" s="1"/>
  <c r="AF366" i="23" s="1"/>
  <c r="AD366" i="23" s="1"/>
  <c r="AI305" i="23"/>
  <c r="AH305" i="23" s="1"/>
  <c r="AG305" i="23" s="1"/>
  <c r="AF305" i="23" s="1"/>
  <c r="AD305" i="23" s="1"/>
  <c r="AI261" i="23"/>
  <c r="AH261" i="23" s="1"/>
  <c r="AG261" i="23" s="1"/>
  <c r="AF261" i="23" s="1"/>
  <c r="AD261" i="23" s="1"/>
  <c r="AI52" i="23"/>
  <c r="AH52" i="23" s="1"/>
  <c r="AG52" i="23" s="1"/>
  <c r="AF52" i="23" s="1"/>
  <c r="AD52" i="23" s="1"/>
  <c r="AI219" i="23"/>
  <c r="AH219" i="23" s="1"/>
  <c r="AG219" i="23" s="1"/>
  <c r="AF219" i="23" s="1"/>
  <c r="AD219" i="23" s="1"/>
  <c r="AI130" i="23"/>
  <c r="AH130" i="23" s="1"/>
  <c r="AG130" i="23" s="1"/>
  <c r="AF130" i="23" s="1"/>
  <c r="AD130" i="23" s="1"/>
  <c r="AI123" i="23"/>
  <c r="AH123" i="23" s="1"/>
  <c r="AG123" i="23" s="1"/>
  <c r="AF123" i="23" s="1"/>
  <c r="AD123" i="23" s="1"/>
  <c r="AI41" i="23"/>
  <c r="AH41" i="23" s="1"/>
  <c r="AG41" i="23" s="1"/>
  <c r="AF41" i="23" s="1"/>
  <c r="AD41" i="23" s="1"/>
  <c r="AI339" i="23"/>
  <c r="AH339" i="23" s="1"/>
  <c r="AG339" i="23" s="1"/>
  <c r="AF339" i="23" s="1"/>
  <c r="AD339" i="23" s="1"/>
  <c r="AI88" i="23"/>
  <c r="AH88" i="23" s="1"/>
  <c r="AG88" i="23" s="1"/>
  <c r="AF88" i="23" s="1"/>
  <c r="AD88" i="23" s="1"/>
  <c r="AI259" i="23"/>
  <c r="AH259" i="23" s="1"/>
  <c r="AG259" i="23" s="1"/>
  <c r="AF259" i="23" s="1"/>
  <c r="AD259" i="23" s="1"/>
  <c r="AI24" i="23"/>
  <c r="AH24" i="23" s="1"/>
  <c r="AG24" i="23" s="1"/>
  <c r="AF24" i="23" s="1"/>
  <c r="AD24" i="23" s="1"/>
  <c r="AI174" i="23"/>
  <c r="AH174" i="23" s="1"/>
  <c r="AG174" i="23" s="1"/>
  <c r="AF174" i="23" s="1"/>
  <c r="AD174" i="23" s="1"/>
  <c r="AI117" i="23"/>
  <c r="AH117" i="23" s="1"/>
  <c r="AG117" i="23" s="1"/>
  <c r="AF117" i="23" s="1"/>
  <c r="AD117" i="23" s="1"/>
  <c r="AI15" i="23"/>
  <c r="AI333" i="23"/>
  <c r="AH333" i="23" s="1"/>
  <c r="AG333" i="23" s="1"/>
  <c r="AF333" i="23" s="1"/>
  <c r="AD333" i="23" s="1"/>
  <c r="AI101" i="23"/>
  <c r="AH101" i="23" s="1"/>
  <c r="AG101" i="23" s="1"/>
  <c r="AF101" i="23" s="1"/>
  <c r="AD101" i="23" s="1"/>
  <c r="AI254" i="23"/>
  <c r="AH254" i="23" s="1"/>
  <c r="AG254" i="23" s="1"/>
  <c r="AF254" i="23" s="1"/>
  <c r="AD254" i="23" s="1"/>
  <c r="AI18" i="23"/>
  <c r="AH18" i="23" s="1"/>
  <c r="AG18" i="23" s="1"/>
  <c r="AF18" i="23" s="1"/>
  <c r="AD18" i="23" s="1"/>
  <c r="AI162" i="23"/>
  <c r="AH162" i="23" s="1"/>
  <c r="AG162" i="23" s="1"/>
  <c r="AF162" i="23" s="1"/>
  <c r="AD162" i="23" s="1"/>
  <c r="AI110" i="23"/>
  <c r="AH110" i="23" s="1"/>
  <c r="AG110" i="23" s="1"/>
  <c r="AF110" i="23" s="1"/>
  <c r="AD110" i="23" s="1"/>
  <c r="AI345" i="23"/>
  <c r="AH345" i="23" s="1"/>
  <c r="AG345" i="23" s="1"/>
  <c r="AF345" i="23" s="1"/>
  <c r="AD345" i="23" s="1"/>
  <c r="AI258" i="23"/>
  <c r="AH258" i="23" s="1"/>
  <c r="AG258" i="23" s="1"/>
  <c r="AF258" i="23" s="1"/>
  <c r="AD258" i="23" s="1"/>
  <c r="AI56" i="23"/>
  <c r="AH56" i="23" s="1"/>
  <c r="AG56" i="23" s="1"/>
  <c r="AF56" i="23" s="1"/>
  <c r="AD56" i="23" s="1"/>
  <c r="AI217" i="23"/>
  <c r="AH217" i="23" s="1"/>
  <c r="AG217" i="23" s="1"/>
  <c r="AF217" i="23" s="1"/>
  <c r="AD217" i="23" s="1"/>
  <c r="AI100" i="23"/>
  <c r="AH100" i="23" s="1"/>
  <c r="AG100" i="23" s="1"/>
  <c r="AF100" i="23" s="1"/>
  <c r="AD100" i="23" s="1"/>
  <c r="AI46" i="23"/>
  <c r="AH46" i="23" s="1"/>
  <c r="AG46" i="23" s="1"/>
  <c r="AF46" i="23" s="1"/>
  <c r="AD46" i="23" s="1"/>
  <c r="AI185" i="23"/>
  <c r="AH185" i="23" s="1"/>
  <c r="AG185" i="23" s="1"/>
  <c r="AF185" i="23" s="1"/>
  <c r="AD185" i="23" s="1"/>
  <c r="AI338" i="23"/>
  <c r="AH338" i="23" s="1"/>
  <c r="AG338" i="23" s="1"/>
  <c r="AF338" i="23" s="1"/>
  <c r="AD338" i="23" s="1"/>
  <c r="AI129" i="23"/>
  <c r="AH129" i="23" s="1"/>
  <c r="AG129" i="23" s="1"/>
  <c r="AF129" i="23" s="1"/>
  <c r="AD129" i="23" s="1"/>
  <c r="AI251" i="23"/>
  <c r="AH251" i="23" s="1"/>
  <c r="AG251" i="23" s="1"/>
  <c r="AF251" i="23" s="1"/>
  <c r="AD251" i="23" s="1"/>
  <c r="AI45" i="23"/>
  <c r="AH45" i="23" s="1"/>
  <c r="AG45" i="23" s="1"/>
  <c r="AF45" i="23" s="1"/>
  <c r="AD45" i="23" s="1"/>
  <c r="AI212" i="23"/>
  <c r="AH212" i="23" s="1"/>
  <c r="AG212" i="23" s="1"/>
  <c r="AF212" i="23" s="1"/>
  <c r="AD212" i="23" s="1"/>
  <c r="AI348" i="23"/>
  <c r="AH348" i="23" s="1"/>
  <c r="AG348" i="23" s="1"/>
  <c r="AF348" i="23" s="1"/>
  <c r="AD348" i="23" s="1"/>
  <c r="AI118" i="23"/>
  <c r="AH118" i="23" s="1"/>
  <c r="AG118" i="23" s="1"/>
  <c r="AF118" i="23" s="1"/>
  <c r="AD118" i="23" s="1"/>
  <c r="AI324" i="23"/>
  <c r="AH324" i="23" s="1"/>
  <c r="AG324" i="23" s="1"/>
  <c r="AF324" i="23" s="1"/>
  <c r="AD324" i="23" s="1"/>
  <c r="AI115" i="23"/>
  <c r="AH115" i="23" s="1"/>
  <c r="AG115" i="23" s="1"/>
  <c r="AF115" i="23" s="1"/>
  <c r="AD115" i="23" s="1"/>
  <c r="AI232" i="23"/>
  <c r="AH232" i="23" s="1"/>
  <c r="AG232" i="23" s="1"/>
  <c r="AF232" i="23" s="1"/>
  <c r="AD232" i="23" s="1"/>
  <c r="AI33" i="23"/>
  <c r="AH33" i="23" s="1"/>
  <c r="AG33" i="23" s="1"/>
  <c r="AF33" i="23" s="1"/>
  <c r="AD33" i="23" s="1"/>
  <c r="AI191" i="23"/>
  <c r="AH191" i="23" s="1"/>
  <c r="AG191" i="23" s="1"/>
  <c r="AF191" i="23" s="1"/>
  <c r="AD191" i="23" s="1"/>
  <c r="AI329" i="23"/>
  <c r="AH329" i="23" s="1"/>
  <c r="AG329" i="23" s="1"/>
  <c r="AF329" i="23" s="1"/>
  <c r="AD329" i="23" s="1"/>
  <c r="J78" i="22"/>
  <c r="I78" i="22"/>
  <c r="J350" i="22"/>
  <c r="I350" i="22"/>
  <c r="J63" i="22"/>
  <c r="I63" i="22"/>
  <c r="J150" i="22"/>
  <c r="I150" i="22"/>
  <c r="I80" i="22"/>
  <c r="J80" i="22"/>
  <c r="J360" i="22"/>
  <c r="I360" i="22"/>
  <c r="J348" i="22"/>
  <c r="I348" i="22"/>
  <c r="I257" i="22"/>
  <c r="J257" i="22"/>
  <c r="J32" i="22"/>
  <c r="I32" i="22"/>
  <c r="J127" i="22"/>
  <c r="I127" i="22"/>
  <c r="J58" i="22"/>
  <c r="I58" i="22"/>
  <c r="J372" i="22"/>
  <c r="I372" i="22"/>
  <c r="I61" i="22"/>
  <c r="J61" i="22"/>
  <c r="J187" i="22"/>
  <c r="I187" i="22"/>
  <c r="I369" i="22"/>
  <c r="J369" i="22"/>
  <c r="J245" i="22"/>
  <c r="I245" i="22"/>
  <c r="J205" i="22"/>
  <c r="I205" i="22"/>
  <c r="J44" i="22"/>
  <c r="I44" i="22"/>
  <c r="J196" i="22"/>
  <c r="I196" i="22"/>
  <c r="I30" i="22"/>
  <c r="J30" i="22"/>
  <c r="I243" i="22"/>
  <c r="J243" i="22"/>
  <c r="I109" i="22"/>
  <c r="J109" i="22"/>
  <c r="J53" i="22"/>
  <c r="I53" i="22"/>
  <c r="I281" i="22"/>
  <c r="J281" i="22"/>
  <c r="J20" i="22"/>
  <c r="I20" i="22"/>
  <c r="I238" i="22"/>
  <c r="J238" i="22"/>
  <c r="J179" i="22"/>
  <c r="I179" i="22"/>
  <c r="J106" i="22"/>
  <c r="I106" i="22"/>
  <c r="J197" i="22"/>
  <c r="I197" i="22"/>
  <c r="I247" i="22"/>
  <c r="J247" i="22"/>
  <c r="AA272" i="22"/>
  <c r="Z272" i="22" s="1"/>
  <c r="Y272" i="22" s="1"/>
  <c r="G272" i="22"/>
  <c r="CC272" i="6" s="1"/>
  <c r="J364" i="22"/>
  <c r="I364" i="22"/>
  <c r="I50" i="22"/>
  <c r="J50" i="22"/>
  <c r="J27" i="22"/>
  <c r="I27" i="22"/>
  <c r="J325" i="22"/>
  <c r="I325" i="22"/>
  <c r="I382" i="17"/>
  <c r="I383" i="17"/>
  <c r="I381" i="17"/>
  <c r="I334" i="22"/>
  <c r="J334" i="22"/>
  <c r="I333" i="20"/>
  <c r="H333" i="22" s="1"/>
  <c r="J333" i="20"/>
  <c r="J112" i="22"/>
  <c r="I112" i="22"/>
  <c r="AF382" i="20"/>
  <c r="AD15" i="20"/>
  <c r="AF383" i="20"/>
  <c r="AF381" i="20"/>
  <c r="J246" i="22"/>
  <c r="J165" i="22"/>
  <c r="I165" i="22"/>
  <c r="J126" i="22"/>
  <c r="I126" i="22"/>
  <c r="I35" i="22"/>
  <c r="J35" i="22"/>
  <c r="J358" i="22"/>
  <c r="I358" i="22"/>
  <c r="I346" i="22"/>
  <c r="J346" i="22"/>
  <c r="J39" i="22"/>
  <c r="I39" i="22"/>
  <c r="J292" i="22"/>
  <c r="I292" i="22"/>
  <c r="I143" i="22"/>
  <c r="J143" i="22"/>
  <c r="J120" i="22"/>
  <c r="I120" i="22"/>
  <c r="I265" i="22"/>
  <c r="J265" i="22"/>
  <c r="I259" i="22"/>
  <c r="J259" i="22"/>
  <c r="I377" i="22"/>
  <c r="J377" i="22"/>
  <c r="J295" i="22"/>
  <c r="I295" i="22"/>
  <c r="J191" i="22"/>
  <c r="I191" i="22"/>
  <c r="J158" i="22"/>
  <c r="I158" i="22"/>
  <c r="J133" i="22"/>
  <c r="I133" i="22"/>
  <c r="I312" i="22"/>
  <c r="J312" i="22"/>
  <c r="J137" i="22"/>
  <c r="I137" i="22"/>
  <c r="I228" i="22"/>
  <c r="J228" i="22"/>
  <c r="J87" i="22"/>
  <c r="I87" i="22"/>
  <c r="J153" i="22"/>
  <c r="I153" i="22"/>
  <c r="J123" i="22"/>
  <c r="I123" i="22"/>
  <c r="J151" i="22"/>
  <c r="I151" i="22"/>
  <c r="D210" i="22"/>
  <c r="E210" i="22" s="1"/>
  <c r="F210" i="22" s="1"/>
  <c r="W210" i="22"/>
  <c r="I173" i="22"/>
  <c r="J173" i="22"/>
  <c r="J256" i="22"/>
  <c r="I256" i="22"/>
  <c r="J34" i="22"/>
  <c r="I34" i="22"/>
  <c r="I55" i="22"/>
  <c r="J55" i="22"/>
  <c r="I375" i="22"/>
  <c r="J375" i="22"/>
  <c r="J283" i="22"/>
  <c r="I283" i="22"/>
  <c r="I161" i="22"/>
  <c r="J161" i="22"/>
  <c r="I94" i="22"/>
  <c r="J94" i="22"/>
  <c r="J355" i="22"/>
  <c r="I355" i="22"/>
  <c r="J318" i="22"/>
  <c r="I318" i="22"/>
  <c r="J98" i="22"/>
  <c r="I98" i="22"/>
  <c r="I310" i="22"/>
  <c r="J310" i="22"/>
  <c r="J122" i="22"/>
  <c r="I122" i="22"/>
  <c r="I59" i="22"/>
  <c r="J59" i="22"/>
  <c r="I322" i="22"/>
  <c r="J322" i="22"/>
  <c r="I107" i="22"/>
  <c r="J107" i="22"/>
  <c r="J307" i="22"/>
  <c r="I307" i="22"/>
  <c r="J242" i="22"/>
  <c r="I242" i="22"/>
  <c r="I208" i="22"/>
  <c r="J208" i="22"/>
  <c r="I46" i="22"/>
  <c r="J46" i="22"/>
  <c r="I324" i="22"/>
  <c r="J324" i="22"/>
  <c r="I287" i="22"/>
  <c r="J287" i="22"/>
  <c r="I335" i="22"/>
  <c r="J335" i="22"/>
  <c r="I65" i="22"/>
  <c r="J65" i="22"/>
  <c r="J73" i="22"/>
  <c r="I73" i="22"/>
  <c r="I304" i="22"/>
  <c r="J304" i="22"/>
  <c r="J270" i="22"/>
  <c r="I270" i="22"/>
  <c r="I104" i="22"/>
  <c r="J104" i="22"/>
  <c r="J241" i="20"/>
  <c r="I241" i="20"/>
  <c r="H241" i="22" s="1"/>
  <c r="I156" i="22"/>
  <c r="J156" i="22"/>
  <c r="G135" i="22"/>
  <c r="CC135" i="6" s="1"/>
  <c r="H135" i="22"/>
  <c r="AA135" i="22"/>
  <c r="Z135" i="22" s="1"/>
  <c r="Y135" i="22" s="1"/>
  <c r="I237" i="22"/>
  <c r="J237" i="22"/>
  <c r="G241" i="22"/>
  <c r="CC241" i="6" s="1"/>
  <c r="AA241" i="22"/>
  <c r="Z241" i="22" s="1"/>
  <c r="Y241" i="22" s="1"/>
  <c r="G227" i="22"/>
  <c r="CC227" i="6" s="1"/>
  <c r="H227" i="22"/>
  <c r="AA227" i="22"/>
  <c r="Z227" i="22" s="1"/>
  <c r="Y227" i="22" s="1"/>
  <c r="I26" i="22"/>
  <c r="J26" i="22"/>
  <c r="I331" i="22"/>
  <c r="J331" i="22"/>
  <c r="J271" i="22"/>
  <c r="I271" i="22"/>
  <c r="J194" i="22"/>
  <c r="I194" i="22"/>
  <c r="I72" i="22"/>
  <c r="J72" i="22"/>
  <c r="I315" i="22"/>
  <c r="J315" i="22"/>
  <c r="J174" i="22"/>
  <c r="I174" i="22"/>
  <c r="I142" i="22"/>
  <c r="J142" i="22"/>
  <c r="J273" i="22"/>
  <c r="I273" i="22"/>
  <c r="J145" i="22"/>
  <c r="I145" i="22"/>
  <c r="I244" i="22"/>
  <c r="J244" i="22"/>
  <c r="J291" i="22"/>
  <c r="I291" i="22"/>
  <c r="I260" i="22"/>
  <c r="J260" i="22"/>
  <c r="J233" i="22"/>
  <c r="I233" i="22"/>
  <c r="I62" i="22"/>
  <c r="J62" i="22"/>
  <c r="J83" i="22"/>
  <c r="I362" i="22"/>
  <c r="J362" i="22"/>
  <c r="J144" i="22"/>
  <c r="I144" i="22"/>
  <c r="I351" i="22"/>
  <c r="J351" i="22"/>
  <c r="I354" i="22"/>
  <c r="J354" i="22"/>
  <c r="I102" i="22"/>
  <c r="I250" i="22"/>
  <c r="J250" i="22"/>
  <c r="J185" i="22"/>
  <c r="I185" i="22"/>
  <c r="J160" i="22"/>
  <c r="I160" i="22"/>
  <c r="J154" i="22"/>
  <c r="I154" i="22"/>
  <c r="I181" i="22"/>
  <c r="J181" i="22"/>
  <c r="I303" i="22"/>
  <c r="J303" i="22"/>
  <c r="W180" i="22"/>
  <c r="D180" i="22"/>
  <c r="E180" i="22" s="1"/>
  <c r="F180" i="22" s="1"/>
  <c r="I166" i="22"/>
  <c r="J166" i="22"/>
  <c r="I211" i="22"/>
  <c r="J211" i="22"/>
  <c r="Y15" i="17"/>
  <c r="Z382" i="17"/>
  <c r="Z383" i="17"/>
  <c r="AL7" i="17"/>
  <c r="Z381" i="17"/>
  <c r="Z9" i="17"/>
  <c r="I64" i="22"/>
  <c r="J64" i="22"/>
  <c r="I323" i="22"/>
  <c r="J323" i="22"/>
  <c r="W15" i="18"/>
  <c r="AK6" i="18"/>
  <c r="B381" i="18"/>
  <c r="B383" i="18"/>
  <c r="D15" i="18"/>
  <c r="H9" i="18"/>
  <c r="B15" i="19" s="1"/>
  <c r="B31" i="19" s="1"/>
  <c r="AJ6" i="18"/>
  <c r="B382" i="18"/>
  <c r="J206" i="22"/>
  <c r="I206" i="22"/>
  <c r="J152" i="22"/>
  <c r="I152" i="22"/>
  <c r="J60" i="20"/>
  <c r="I60" i="20"/>
  <c r="I207" i="22"/>
  <c r="J207" i="22"/>
  <c r="I284" i="22"/>
  <c r="J284" i="22"/>
  <c r="I121" i="22"/>
  <c r="J121" i="22"/>
  <c r="J252" i="22"/>
  <c r="I252" i="22"/>
  <c r="J373" i="22"/>
  <c r="I373" i="22"/>
  <c r="J223" i="22"/>
  <c r="I223" i="22"/>
  <c r="I376" i="22"/>
  <c r="J376" i="22"/>
  <c r="I306" i="22"/>
  <c r="J306" i="22"/>
  <c r="J282" i="22"/>
  <c r="I282" i="22"/>
  <c r="J279" i="22"/>
  <c r="I279" i="22"/>
  <c r="J177" i="22"/>
  <c r="I177" i="22"/>
  <c r="J111" i="22"/>
  <c r="I111" i="22"/>
  <c r="H319" i="22"/>
  <c r="AA319" i="22"/>
  <c r="Z319" i="22" s="1"/>
  <c r="Y319" i="22" s="1"/>
  <c r="G319" i="22"/>
  <c r="CC319" i="6" s="1"/>
  <c r="J240" i="22"/>
  <c r="I240" i="22"/>
  <c r="I365" i="22"/>
  <c r="J365" i="22"/>
  <c r="I313" i="22"/>
  <c r="J313" i="22"/>
  <c r="I213" i="22"/>
  <c r="J213" i="22"/>
  <c r="I171" i="22"/>
  <c r="J171" i="22"/>
  <c r="J236" i="22"/>
  <c r="I236" i="22"/>
  <c r="J332" i="22"/>
  <c r="I332" i="22"/>
  <c r="I272" i="20"/>
  <c r="H272" i="22" s="1"/>
  <c r="J272" i="20"/>
  <c r="I88" i="20"/>
  <c r="H88" i="22" s="1"/>
  <c r="J88" i="20"/>
  <c r="J218" i="22"/>
  <c r="I218" i="22"/>
  <c r="AH4" i="6"/>
  <c r="D302" i="6"/>
  <c r="I235" i="22"/>
  <c r="J235" i="22"/>
  <c r="J110" i="22"/>
  <c r="I110" i="22"/>
  <c r="AH381" i="22"/>
  <c r="AH382" i="22"/>
  <c r="AG15" i="22"/>
  <c r="AH383" i="22"/>
  <c r="AA258" i="22"/>
  <c r="Z258" i="22" s="1"/>
  <c r="Y258" i="22" s="1"/>
  <c r="I114" i="22"/>
  <c r="J114" i="22"/>
  <c r="J368" i="22"/>
  <c r="I368" i="22"/>
  <c r="I162" i="22"/>
  <c r="J162" i="22"/>
  <c r="I234" i="22"/>
  <c r="J234" i="22"/>
  <c r="I42" i="22"/>
  <c r="J42" i="22"/>
  <c r="J342" i="22"/>
  <c r="I342" i="22"/>
  <c r="J216" i="22"/>
  <c r="I216" i="22"/>
  <c r="I264" i="22"/>
  <c r="J264" i="22"/>
  <c r="I345" i="22"/>
  <c r="J345" i="22"/>
  <c r="I214" i="22"/>
  <c r="J214" i="22"/>
  <c r="J190" i="22"/>
  <c r="I190" i="22"/>
  <c r="I19" i="22"/>
  <c r="J19" i="22"/>
  <c r="J117" i="22"/>
  <c r="I117" i="22"/>
  <c r="J341" i="22"/>
  <c r="I341" i="22"/>
  <c r="D119" i="22"/>
  <c r="E119" i="22" s="1"/>
  <c r="F119" i="22" s="1"/>
  <c r="W119" i="22"/>
  <c r="J326" i="22"/>
  <c r="I326" i="22"/>
  <c r="I224" i="22"/>
  <c r="J224" i="22"/>
  <c r="I146" i="22"/>
  <c r="J146" i="22"/>
  <c r="J116" i="22"/>
  <c r="I116" i="22"/>
  <c r="J249" i="22"/>
  <c r="I249" i="22"/>
  <c r="I40" i="22"/>
  <c r="J40" i="22"/>
  <c r="I251" i="22"/>
  <c r="J251" i="22"/>
  <c r="J182" i="22"/>
  <c r="I182" i="22"/>
  <c r="I286" i="22"/>
  <c r="J286" i="22"/>
  <c r="J76" i="22"/>
  <c r="I76" i="22"/>
  <c r="I339" i="22"/>
  <c r="J339" i="22"/>
  <c r="I261" i="22"/>
  <c r="J261" i="22"/>
  <c r="J356" i="22"/>
  <c r="I356" i="22"/>
  <c r="I99" i="22"/>
  <c r="J99" i="22"/>
  <c r="H288" i="22"/>
  <c r="G288" i="22"/>
  <c r="CC288" i="6" s="1"/>
  <c r="AA288" i="22"/>
  <c r="Z288" i="22" s="1"/>
  <c r="Y288" i="22" s="1"/>
  <c r="J221" i="22"/>
  <c r="I221" i="22"/>
  <c r="I89" i="22"/>
  <c r="J89" i="22"/>
  <c r="J321" i="22"/>
  <c r="I321" i="22"/>
  <c r="J170" i="22"/>
  <c r="I170" i="22"/>
  <c r="J383" i="17"/>
  <c r="J381" i="17"/>
  <c r="J382" i="17"/>
  <c r="D7" i="6"/>
  <c r="W7" i="7"/>
  <c r="J66" i="22"/>
  <c r="I66" i="22"/>
  <c r="I139" i="22"/>
  <c r="J139" i="22"/>
  <c r="I103" i="22"/>
  <c r="J103" i="22"/>
  <c r="I25" i="22"/>
  <c r="J25" i="22"/>
  <c r="I130" i="22"/>
  <c r="J130" i="22"/>
  <c r="I338" i="22"/>
  <c r="J338" i="22"/>
  <c r="J136" i="22"/>
  <c r="I136" i="22"/>
  <c r="J105" i="22"/>
  <c r="I105" i="22"/>
  <c r="I37" i="22"/>
  <c r="J37" i="22"/>
  <c r="I262" i="22"/>
  <c r="J262" i="22"/>
  <c r="J21" i="22"/>
  <c r="I21" i="22"/>
  <c r="I289" i="22"/>
  <c r="J289" i="22"/>
  <c r="J222" i="22"/>
  <c r="I222" i="22"/>
  <c r="I357" i="22"/>
  <c r="J357" i="22"/>
  <c r="I141" i="22"/>
  <c r="J141" i="22"/>
  <c r="I43" i="22"/>
  <c r="J43" i="22"/>
  <c r="I140" i="22"/>
  <c r="J140" i="22"/>
  <c r="I275" i="22"/>
  <c r="J275" i="22"/>
  <c r="J125" i="22"/>
  <c r="I125" i="22"/>
  <c r="I278" i="22"/>
  <c r="J278" i="22"/>
  <c r="J129" i="22"/>
  <c r="I129" i="22"/>
  <c r="I230" i="22"/>
  <c r="J230" i="22"/>
  <c r="J16" i="22"/>
  <c r="I16" i="22"/>
  <c r="I255" i="22"/>
  <c r="J255" i="22"/>
  <c r="J96" i="22"/>
  <c r="I96" i="22"/>
  <c r="I285" i="22"/>
  <c r="J285" i="22"/>
  <c r="I297" i="22"/>
  <c r="J297" i="22"/>
  <c r="J254" i="22"/>
  <c r="I254" i="22"/>
  <c r="I204" i="22"/>
  <c r="J204" i="22"/>
  <c r="I200" i="22"/>
  <c r="J113" i="22"/>
  <c r="I113" i="22"/>
  <c r="J100" i="22"/>
  <c r="I100" i="22"/>
  <c r="J18" i="22"/>
  <c r="I18" i="22"/>
  <c r="J359" i="22"/>
  <c r="I359" i="22"/>
  <c r="I167" i="22"/>
  <c r="J167" i="22"/>
  <c r="I229" i="22"/>
  <c r="J229" i="22"/>
  <c r="I168" i="22"/>
  <c r="J168" i="22"/>
  <c r="J296" i="22"/>
  <c r="I212" i="22"/>
  <c r="J212" i="22"/>
  <c r="I294" i="22"/>
  <c r="J294" i="22"/>
  <c r="J328" i="22"/>
  <c r="I328" i="22"/>
  <c r="J215" i="22"/>
  <c r="I215" i="22"/>
  <c r="J49" i="22"/>
  <c r="I49" i="22"/>
  <c r="J253" i="22"/>
  <c r="I253" i="22"/>
  <c r="I70" i="22"/>
  <c r="J70" i="22"/>
  <c r="J336" i="22"/>
  <c r="I336" i="22"/>
  <c r="I195" i="22"/>
  <c r="J195" i="22"/>
  <c r="P382" i="20"/>
  <c r="V15" i="20"/>
  <c r="P381" i="20"/>
  <c r="P383" i="20"/>
  <c r="I17" i="22"/>
  <c r="J17" i="22"/>
  <c r="Q10" i="24"/>
  <c r="AY15" i="7"/>
  <c r="I180" i="20"/>
  <c r="J180" i="20"/>
  <c r="I97" i="22"/>
  <c r="J97" i="22"/>
  <c r="I86" i="22"/>
  <c r="J86" i="22"/>
  <c r="AD4" i="6"/>
  <c r="D241" i="6"/>
  <c r="J149" i="20"/>
  <c r="I149" i="20"/>
  <c r="H149" i="22" s="1"/>
  <c r="J84" i="22"/>
  <c r="I84" i="22"/>
  <c r="I226" i="22"/>
  <c r="J226" i="22"/>
  <c r="I248" i="22"/>
  <c r="J248" i="22"/>
  <c r="G88" i="22"/>
  <c r="CC88" i="6" s="1"/>
  <c r="AA88" i="22"/>
  <c r="Z88" i="22" s="1"/>
  <c r="Y88" i="22" s="1"/>
  <c r="I352" i="22"/>
  <c r="J352" i="22"/>
  <c r="I36" i="22"/>
  <c r="J36" i="22"/>
  <c r="J47" i="22"/>
  <c r="I47" i="22"/>
  <c r="I134" i="22"/>
  <c r="J134" i="22"/>
  <c r="I276" i="22"/>
  <c r="J276" i="22"/>
  <c r="I52" i="22"/>
  <c r="J52" i="22"/>
  <c r="J219" i="22"/>
  <c r="I219" i="22"/>
  <c r="J45" i="22"/>
  <c r="I45" i="22"/>
  <c r="S383" i="22"/>
  <c r="S381" i="22"/>
  <c r="S382" i="22"/>
  <c r="R15" i="22"/>
  <c r="J148" i="22"/>
  <c r="I148" i="22"/>
  <c r="J71" i="22"/>
  <c r="I71" i="22"/>
  <c r="J198" i="22"/>
  <c r="I198" i="22"/>
  <c r="J343" i="22"/>
  <c r="I343" i="22"/>
  <c r="J361" i="22"/>
  <c r="I361" i="22"/>
  <c r="G74" i="22"/>
  <c r="CC74" i="6" s="1"/>
  <c r="AA74" i="22"/>
  <c r="Z74" i="22" s="1"/>
  <c r="Y74" i="22" s="1"/>
  <c r="H74" i="22"/>
  <c r="J81" i="22"/>
  <c r="I81" i="22"/>
  <c r="J199" i="22"/>
  <c r="I199" i="22"/>
  <c r="J172" i="22"/>
  <c r="I172" i="22"/>
  <c r="J57" i="22"/>
  <c r="I57" i="22"/>
  <c r="I155" i="22"/>
  <c r="J155" i="22"/>
  <c r="J54" i="22"/>
  <c r="I54" i="22"/>
  <c r="I193" i="22"/>
  <c r="J193" i="22"/>
  <c r="J90" i="22"/>
  <c r="I90" i="22"/>
  <c r="I305" i="22"/>
  <c r="J305" i="22"/>
  <c r="J311" i="22"/>
  <c r="I311" i="22"/>
  <c r="D60" i="22"/>
  <c r="E60" i="22" s="1"/>
  <c r="F60" i="22" s="1"/>
  <c r="W60" i="22"/>
  <c r="I309" i="22"/>
  <c r="J309" i="22"/>
  <c r="J209" i="22"/>
  <c r="I209" i="22"/>
  <c r="J75" i="22"/>
  <c r="I75" i="22"/>
  <c r="I92" i="22"/>
  <c r="J92" i="22"/>
  <c r="J69" i="22"/>
  <c r="I69" i="22"/>
  <c r="I231" i="22"/>
  <c r="J231" i="22"/>
  <c r="J299" i="22"/>
  <c r="I299" i="22"/>
  <c r="J210" i="20"/>
  <c r="I210" i="20"/>
  <c r="AK7" i="18"/>
  <c r="I327" i="22" l="1"/>
  <c r="I157" i="22"/>
  <c r="AI275" i="23"/>
  <c r="AH275" i="23" s="1"/>
  <c r="AG275" i="23" s="1"/>
  <c r="AF275" i="23" s="1"/>
  <c r="AD275" i="23" s="1"/>
  <c r="AI356" i="23"/>
  <c r="AH356" i="23" s="1"/>
  <c r="AG356" i="23" s="1"/>
  <c r="AF356" i="23" s="1"/>
  <c r="AD356" i="23" s="1"/>
  <c r="AI133" i="23"/>
  <c r="AH133" i="23" s="1"/>
  <c r="AG133" i="23" s="1"/>
  <c r="AF133" i="23" s="1"/>
  <c r="AD133" i="23" s="1"/>
  <c r="AI237" i="23"/>
  <c r="AH237" i="23" s="1"/>
  <c r="AG237" i="23" s="1"/>
  <c r="AF237" i="23" s="1"/>
  <c r="AD237" i="23" s="1"/>
  <c r="AI318" i="23"/>
  <c r="AH318" i="23" s="1"/>
  <c r="AG318" i="23" s="1"/>
  <c r="AF318" i="23" s="1"/>
  <c r="AD318" i="23" s="1"/>
  <c r="AI193" i="23"/>
  <c r="AH193" i="23" s="1"/>
  <c r="AG193" i="23" s="1"/>
  <c r="AF193" i="23" s="1"/>
  <c r="AD193" i="23" s="1"/>
  <c r="AI235" i="23"/>
  <c r="AH235" i="23" s="1"/>
  <c r="AG235" i="23" s="1"/>
  <c r="AF235" i="23" s="1"/>
  <c r="AD235" i="23" s="1"/>
  <c r="AI326" i="23"/>
  <c r="AH326" i="23" s="1"/>
  <c r="AG326" i="23" s="1"/>
  <c r="AF326" i="23" s="1"/>
  <c r="AD326" i="23" s="1"/>
  <c r="AI201" i="23"/>
  <c r="AH201" i="23" s="1"/>
  <c r="AG201" i="23" s="1"/>
  <c r="AF201" i="23" s="1"/>
  <c r="AD201" i="23" s="1"/>
  <c r="AI239" i="23"/>
  <c r="AH239" i="23" s="1"/>
  <c r="AG239" i="23" s="1"/>
  <c r="AF239" i="23" s="1"/>
  <c r="AD239" i="23" s="1"/>
  <c r="AI330" i="23"/>
  <c r="AH330" i="23" s="1"/>
  <c r="AG330" i="23" s="1"/>
  <c r="AF330" i="23" s="1"/>
  <c r="AD330" i="23" s="1"/>
  <c r="AI358" i="23"/>
  <c r="AH358" i="23" s="1"/>
  <c r="AG358" i="23" s="1"/>
  <c r="AF358" i="23" s="1"/>
  <c r="AD358" i="23" s="1"/>
  <c r="AI135" i="23"/>
  <c r="AH135" i="23" s="1"/>
  <c r="AG135" i="23" s="1"/>
  <c r="AF135" i="23" s="1"/>
  <c r="AD135" i="23" s="1"/>
  <c r="AI155" i="23"/>
  <c r="AH155" i="23" s="1"/>
  <c r="AG155" i="23" s="1"/>
  <c r="AF155" i="23" s="1"/>
  <c r="AD155" i="23" s="1"/>
  <c r="AI236" i="23"/>
  <c r="AH236" i="23" s="1"/>
  <c r="AG236" i="23" s="1"/>
  <c r="AF236" i="23" s="1"/>
  <c r="AD236" i="23" s="1"/>
  <c r="AI290" i="23"/>
  <c r="AH290" i="23" s="1"/>
  <c r="AG290" i="23" s="1"/>
  <c r="AF290" i="23" s="1"/>
  <c r="AD290" i="23" s="1"/>
  <c r="AI365" i="23"/>
  <c r="AH365" i="23" s="1"/>
  <c r="AG365" i="23" s="1"/>
  <c r="AF365" i="23" s="1"/>
  <c r="AD365" i="23" s="1"/>
  <c r="AI159" i="23"/>
  <c r="AH159" i="23" s="1"/>
  <c r="AG159" i="23" s="1"/>
  <c r="AF159" i="23" s="1"/>
  <c r="AD159" i="23" s="1"/>
  <c r="AI243" i="23"/>
  <c r="AH243" i="23" s="1"/>
  <c r="AG243" i="23" s="1"/>
  <c r="AF243" i="23" s="1"/>
  <c r="AD243" i="23" s="1"/>
  <c r="AI288" i="23"/>
  <c r="AH288" i="23" s="1"/>
  <c r="AG288" i="23" s="1"/>
  <c r="AF288" i="23" s="1"/>
  <c r="AD288" i="23" s="1"/>
  <c r="AA288" i="23" s="1"/>
  <c r="Z288" i="23" s="1"/>
  <c r="Y288" i="23" s="1"/>
  <c r="AI132" i="23"/>
  <c r="AH132" i="23" s="1"/>
  <c r="AG132" i="23" s="1"/>
  <c r="AF132" i="23" s="1"/>
  <c r="AD132" i="23" s="1"/>
  <c r="AI182" i="23"/>
  <c r="AH182" i="23" s="1"/>
  <c r="AG182" i="23" s="1"/>
  <c r="AF182" i="23" s="1"/>
  <c r="AD182" i="23" s="1"/>
  <c r="AI291" i="23"/>
  <c r="AH291" i="23" s="1"/>
  <c r="AG291" i="23" s="1"/>
  <c r="AF291" i="23" s="1"/>
  <c r="AD291" i="23" s="1"/>
  <c r="AI352" i="23"/>
  <c r="AH352" i="23" s="1"/>
  <c r="AG352" i="23" s="1"/>
  <c r="AF352" i="23" s="1"/>
  <c r="AD352" i="23" s="1"/>
  <c r="AA352" i="23" s="1"/>
  <c r="Z352" i="23" s="1"/>
  <c r="Y352" i="23" s="1"/>
  <c r="AI136" i="23"/>
  <c r="AH136" i="23" s="1"/>
  <c r="AG136" i="23" s="1"/>
  <c r="AF136" i="23" s="1"/>
  <c r="AD136" i="23" s="1"/>
  <c r="AI186" i="23"/>
  <c r="AH186" i="23" s="1"/>
  <c r="AG186" i="23" s="1"/>
  <c r="AF186" i="23" s="1"/>
  <c r="AD186" i="23" s="1"/>
  <c r="AI281" i="23"/>
  <c r="AH281" i="23" s="1"/>
  <c r="AG281" i="23" s="1"/>
  <c r="AF281" i="23" s="1"/>
  <c r="AD281" i="23" s="1"/>
  <c r="AI364" i="23"/>
  <c r="AH364" i="23" s="1"/>
  <c r="AG364" i="23" s="1"/>
  <c r="AF364" i="23" s="1"/>
  <c r="AD364" i="23" s="1"/>
  <c r="AI139" i="23"/>
  <c r="AH139" i="23" s="1"/>
  <c r="AG139" i="23" s="1"/>
  <c r="AF139" i="23" s="1"/>
  <c r="AD139" i="23" s="1"/>
  <c r="AI160" i="23"/>
  <c r="AH160" i="23" s="1"/>
  <c r="AG160" i="23" s="1"/>
  <c r="AF160" i="23" s="1"/>
  <c r="AD160" i="23" s="1"/>
  <c r="AI245" i="23"/>
  <c r="AH245" i="23" s="1"/>
  <c r="AG245" i="23" s="1"/>
  <c r="AF245" i="23" s="1"/>
  <c r="AD245" i="23" s="1"/>
  <c r="AI244" i="23"/>
  <c r="AH244" i="23" s="1"/>
  <c r="AG244" i="23" s="1"/>
  <c r="AF244" i="23" s="1"/>
  <c r="AD244" i="23" s="1"/>
  <c r="AI327" i="23"/>
  <c r="AH327" i="23" s="1"/>
  <c r="AG327" i="23" s="1"/>
  <c r="AF327" i="23" s="1"/>
  <c r="AD327" i="23" s="1"/>
  <c r="AI183" i="23"/>
  <c r="AH183" i="23" s="1"/>
  <c r="AG183" i="23" s="1"/>
  <c r="AF183" i="23" s="1"/>
  <c r="AD183" i="23" s="1"/>
  <c r="AI227" i="23"/>
  <c r="AH227" i="23" s="1"/>
  <c r="AG227" i="23" s="1"/>
  <c r="AF227" i="23" s="1"/>
  <c r="AD227" i="23" s="1"/>
  <c r="AI331" i="23"/>
  <c r="AH331" i="23" s="1"/>
  <c r="AG331" i="23" s="1"/>
  <c r="AF331" i="23" s="1"/>
  <c r="AD331" i="23" s="1"/>
  <c r="AI242" i="23"/>
  <c r="AH242" i="23" s="1"/>
  <c r="AG242" i="23" s="1"/>
  <c r="AF242" i="23" s="1"/>
  <c r="AD242" i="23" s="1"/>
  <c r="AI287" i="23"/>
  <c r="AH287" i="23" s="1"/>
  <c r="AG287" i="23" s="1"/>
  <c r="AF287" i="23" s="1"/>
  <c r="AD287" i="23" s="1"/>
  <c r="AI369" i="23"/>
  <c r="AH369" i="23" s="1"/>
  <c r="AG369" i="23" s="1"/>
  <c r="AF369" i="23" s="1"/>
  <c r="AD369" i="23" s="1"/>
  <c r="AI104" i="23"/>
  <c r="AH104" i="23" s="1"/>
  <c r="AG104" i="23" s="1"/>
  <c r="AF104" i="23" s="1"/>
  <c r="AD104" i="23" s="1"/>
  <c r="AI157" i="23"/>
  <c r="AH157" i="23" s="1"/>
  <c r="AG157" i="23" s="1"/>
  <c r="AF157" i="23" s="1"/>
  <c r="AD157" i="23" s="1"/>
  <c r="AI246" i="23"/>
  <c r="AH246" i="23" s="1"/>
  <c r="AG246" i="23" s="1"/>
  <c r="AF246" i="23" s="1"/>
  <c r="AD246" i="23" s="1"/>
  <c r="AI300" i="23"/>
  <c r="AH300" i="23" s="1"/>
  <c r="AG300" i="23" s="1"/>
  <c r="AF300" i="23" s="1"/>
  <c r="AD300" i="23" s="1"/>
  <c r="AI376" i="23"/>
  <c r="AH376" i="23" s="1"/>
  <c r="AG376" i="23" s="1"/>
  <c r="AF376" i="23" s="1"/>
  <c r="AD376" i="23" s="1"/>
  <c r="AI167" i="23"/>
  <c r="AH167" i="23" s="1"/>
  <c r="AG167" i="23" s="1"/>
  <c r="AF167" i="23" s="1"/>
  <c r="AD167" i="23" s="1"/>
  <c r="AI175" i="23"/>
  <c r="AH175" i="23" s="1"/>
  <c r="AG175" i="23" s="1"/>
  <c r="AF175" i="23" s="1"/>
  <c r="AD175" i="23" s="1"/>
  <c r="AI271" i="23"/>
  <c r="AH271" i="23" s="1"/>
  <c r="AG271" i="23" s="1"/>
  <c r="AF271" i="23" s="1"/>
  <c r="AD271" i="23" s="1"/>
  <c r="AI270" i="23"/>
  <c r="AH270" i="23" s="1"/>
  <c r="AG270" i="23" s="1"/>
  <c r="AF270" i="23" s="1"/>
  <c r="AD270" i="23" s="1"/>
  <c r="AI214" i="23"/>
  <c r="AH214" i="23" s="1"/>
  <c r="AG214" i="23" s="1"/>
  <c r="AF214" i="23" s="1"/>
  <c r="AD214" i="23" s="1"/>
  <c r="AI283" i="23"/>
  <c r="AH283" i="23" s="1"/>
  <c r="AG283" i="23" s="1"/>
  <c r="AF283" i="23" s="1"/>
  <c r="AD283" i="23" s="1"/>
  <c r="AA283" i="23" s="1"/>
  <c r="Z283" i="23" s="1"/>
  <c r="Y283" i="23" s="1"/>
  <c r="AI176" i="23"/>
  <c r="AH176" i="23" s="1"/>
  <c r="AG176" i="23" s="1"/>
  <c r="AF176" i="23" s="1"/>
  <c r="AD176" i="23" s="1"/>
  <c r="AI272" i="23"/>
  <c r="AH272" i="23" s="1"/>
  <c r="AG272" i="23" s="1"/>
  <c r="AF272" i="23" s="1"/>
  <c r="AD272" i="23" s="1"/>
  <c r="AI323" i="23"/>
  <c r="AH323" i="23" s="1"/>
  <c r="AG323" i="23" s="1"/>
  <c r="AF323" i="23" s="1"/>
  <c r="AD323" i="23" s="1"/>
  <c r="AI131" i="23"/>
  <c r="AH131" i="23" s="1"/>
  <c r="AG131" i="23" s="1"/>
  <c r="AF131" i="23" s="1"/>
  <c r="AD131" i="23" s="1"/>
  <c r="AI357" i="23"/>
  <c r="AH357" i="23" s="1"/>
  <c r="AG357" i="23" s="1"/>
  <c r="AF357" i="23" s="1"/>
  <c r="AD357" i="23" s="1"/>
  <c r="AI220" i="23"/>
  <c r="AH220" i="23" s="1"/>
  <c r="AG220" i="23" s="1"/>
  <c r="AF220" i="23" s="1"/>
  <c r="AD220" i="23" s="1"/>
  <c r="AI307" i="23"/>
  <c r="AH307" i="23" s="1"/>
  <c r="AG307" i="23" s="1"/>
  <c r="AF307" i="23" s="1"/>
  <c r="AD307" i="23" s="1"/>
  <c r="AI233" i="23"/>
  <c r="AH233" i="23" s="1"/>
  <c r="AG233" i="23" s="1"/>
  <c r="AF233" i="23" s="1"/>
  <c r="AD233" i="23" s="1"/>
  <c r="AI273" i="23"/>
  <c r="AH273" i="23" s="1"/>
  <c r="AG273" i="23" s="1"/>
  <c r="AF273" i="23" s="1"/>
  <c r="AD273" i="23" s="1"/>
  <c r="AI222" i="23"/>
  <c r="AH222" i="23" s="1"/>
  <c r="AG222" i="23" s="1"/>
  <c r="AF222" i="23" s="1"/>
  <c r="AD222" i="23" s="1"/>
  <c r="AI294" i="23"/>
  <c r="AH294" i="23" s="1"/>
  <c r="AG294" i="23" s="1"/>
  <c r="AF294" i="23" s="1"/>
  <c r="AD294" i="23" s="1"/>
  <c r="AI173" i="23"/>
  <c r="AH173" i="23" s="1"/>
  <c r="AG173" i="23" s="1"/>
  <c r="AF173" i="23" s="1"/>
  <c r="AD173" i="23" s="1"/>
  <c r="AI184" i="23"/>
  <c r="AH184" i="23" s="1"/>
  <c r="AG184" i="23" s="1"/>
  <c r="AF184" i="23" s="1"/>
  <c r="AD184" i="23" s="1"/>
  <c r="AI274" i="23"/>
  <c r="AH274" i="23" s="1"/>
  <c r="AG274" i="23" s="1"/>
  <c r="AF274" i="23" s="1"/>
  <c r="AD274" i="23" s="1"/>
  <c r="AI325" i="23"/>
  <c r="AH325" i="23" s="1"/>
  <c r="AG325" i="23" s="1"/>
  <c r="AF325" i="23" s="1"/>
  <c r="AD325" i="23" s="1"/>
  <c r="AI121" i="23"/>
  <c r="AH121" i="23" s="1"/>
  <c r="AG121" i="23" s="1"/>
  <c r="AF121" i="23" s="1"/>
  <c r="AD121" i="23" s="1"/>
  <c r="AI335" i="23"/>
  <c r="AH335" i="23" s="1"/>
  <c r="AG335" i="23" s="1"/>
  <c r="AF335" i="23" s="1"/>
  <c r="AD335" i="23" s="1"/>
  <c r="AI169" i="23"/>
  <c r="AH169" i="23" s="1"/>
  <c r="AG169" i="23" s="1"/>
  <c r="AF169" i="23" s="1"/>
  <c r="AD169" i="23" s="1"/>
  <c r="AI216" i="23"/>
  <c r="AH216" i="23" s="1"/>
  <c r="AG216" i="23" s="1"/>
  <c r="AF216" i="23" s="1"/>
  <c r="AD21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37" i="23"/>
  <c r="AH337" i="23" s="1"/>
  <c r="AG337" i="23" s="1"/>
  <c r="AF337" i="23" s="1"/>
  <c r="AD337" i="23" s="1"/>
  <c r="AI225" i="23"/>
  <c r="AH225" i="23" s="1"/>
  <c r="AG225" i="23" s="1"/>
  <c r="AF225" i="23" s="1"/>
  <c r="AD225" i="23" s="1"/>
  <c r="AI267" i="23"/>
  <c r="AH267" i="23" s="1"/>
  <c r="AG267" i="23" s="1"/>
  <c r="AF267" i="23" s="1"/>
  <c r="AD267" i="23" s="1"/>
  <c r="AA267" i="23" s="1"/>
  <c r="Z267" i="23" s="1"/>
  <c r="Y267" i="23" s="1"/>
  <c r="AI231" i="23"/>
  <c r="AH231" i="23" s="1"/>
  <c r="AG231" i="23" s="1"/>
  <c r="AF231" i="23" s="1"/>
  <c r="AD231" i="23" s="1"/>
  <c r="AI192" i="23"/>
  <c r="AH192" i="23" s="1"/>
  <c r="AG192" i="23" s="1"/>
  <c r="AF192" i="23" s="1"/>
  <c r="AD192" i="23" s="1"/>
  <c r="AI280" i="23"/>
  <c r="AH280" i="23" s="1"/>
  <c r="AG280" i="23" s="1"/>
  <c r="AF280" i="23" s="1"/>
  <c r="AI196" i="23"/>
  <c r="AH196" i="23" s="1"/>
  <c r="AG196" i="23" s="1"/>
  <c r="AF196" i="23" s="1"/>
  <c r="AD196" i="23" s="1"/>
  <c r="AI284" i="23"/>
  <c r="AH284" i="23" s="1"/>
  <c r="AG284" i="23" s="1"/>
  <c r="AF284" i="23" s="1"/>
  <c r="AD284" i="23" s="1"/>
  <c r="AI371" i="23"/>
  <c r="AH371" i="23" s="1"/>
  <c r="AG371" i="23" s="1"/>
  <c r="AF371" i="23" s="1"/>
  <c r="AD371" i="23" s="1"/>
  <c r="AI145" i="23"/>
  <c r="AH145" i="23" s="1"/>
  <c r="AG145" i="23" s="1"/>
  <c r="AF145" i="23" s="1"/>
  <c r="AD145" i="23" s="1"/>
  <c r="AI315" i="23"/>
  <c r="AH315" i="23" s="1"/>
  <c r="AG315" i="23" s="1"/>
  <c r="AF315" i="23" s="1"/>
  <c r="AD315" i="23" s="1"/>
  <c r="AI320" i="23"/>
  <c r="AH320" i="23" s="1"/>
  <c r="AG320" i="23" s="1"/>
  <c r="AF320" i="23" s="1"/>
  <c r="AD320" i="23" s="1"/>
  <c r="AI149" i="23"/>
  <c r="AH149" i="23" s="1"/>
  <c r="AG149" i="23" s="1"/>
  <c r="AF149" i="23" s="1"/>
  <c r="AD149" i="23" s="1"/>
  <c r="AI374" i="23"/>
  <c r="AH374" i="23" s="1"/>
  <c r="AG374" i="23" s="1"/>
  <c r="AF374" i="23" s="1"/>
  <c r="AD374" i="23" s="1"/>
  <c r="AI154" i="23"/>
  <c r="AH154" i="23" s="1"/>
  <c r="AG154" i="23" s="1"/>
  <c r="AF154" i="23" s="1"/>
  <c r="AI153" i="23"/>
  <c r="AH153" i="23" s="1"/>
  <c r="AG153" i="23" s="1"/>
  <c r="AF153" i="23" s="1"/>
  <c r="AI180" i="23"/>
  <c r="AH180" i="23" s="1"/>
  <c r="AG180" i="23" s="1"/>
  <c r="AF180" i="23" s="1"/>
  <c r="AD180" i="23" s="1"/>
  <c r="AI224" i="23"/>
  <c r="AH224" i="23" s="1"/>
  <c r="AG224" i="23" s="1"/>
  <c r="AF224" i="23" s="1"/>
  <c r="AD224" i="23" s="1"/>
  <c r="AI166" i="23"/>
  <c r="AH166" i="23" s="1"/>
  <c r="AG166" i="23" s="1"/>
  <c r="AF166" i="23" s="1"/>
  <c r="AD166" i="23" s="1"/>
  <c r="AI238" i="23"/>
  <c r="AH238" i="23" s="1"/>
  <c r="AG238" i="23" s="1"/>
  <c r="AF238" i="23" s="1"/>
  <c r="AD238" i="23" s="1"/>
  <c r="AI230" i="23"/>
  <c r="AH230" i="23" s="1"/>
  <c r="AG230" i="23" s="1"/>
  <c r="AF230" i="23" s="1"/>
  <c r="AD230" i="23" s="1"/>
  <c r="AI299" i="23"/>
  <c r="AH299" i="23" s="1"/>
  <c r="AG299" i="23" s="1"/>
  <c r="AF299" i="23" s="1"/>
  <c r="AD299" i="23" s="1"/>
  <c r="AI234" i="23"/>
  <c r="AH234" i="23" s="1"/>
  <c r="AG234" i="23" s="1"/>
  <c r="AF234" i="23" s="1"/>
  <c r="AD234" i="23" s="1"/>
  <c r="J316" i="22"/>
  <c r="J225" i="22"/>
  <c r="J189" i="22"/>
  <c r="I293" i="22"/>
  <c r="I201" i="22"/>
  <c r="AD280" i="23"/>
  <c r="AD153" i="23"/>
  <c r="AI308" i="23"/>
  <c r="AH308" i="23" s="1"/>
  <c r="AG308" i="23" s="1"/>
  <c r="AF308" i="23" s="1"/>
  <c r="AD308" i="23" s="1"/>
  <c r="AI223" i="23"/>
  <c r="AH223" i="23" s="1"/>
  <c r="AG223" i="23" s="1"/>
  <c r="AF223" i="23" s="1"/>
  <c r="AD223" i="23" s="1"/>
  <c r="AI143" i="23"/>
  <c r="AH143" i="23" s="1"/>
  <c r="AG143" i="23" s="1"/>
  <c r="AF143" i="23" s="1"/>
  <c r="AD143" i="23" s="1"/>
  <c r="AI372" i="23"/>
  <c r="AH372" i="23" s="1"/>
  <c r="AG372" i="23" s="1"/>
  <c r="AF372" i="23" s="1"/>
  <c r="AD372" i="23" s="1"/>
  <c r="AI303" i="23"/>
  <c r="AH303" i="23" s="1"/>
  <c r="AG303" i="23" s="1"/>
  <c r="AF303" i="23" s="1"/>
  <c r="AD303" i="23" s="1"/>
  <c r="AI207" i="23"/>
  <c r="AH207" i="23" s="1"/>
  <c r="AG207" i="23" s="1"/>
  <c r="AF207" i="23" s="1"/>
  <c r="AD207" i="23" s="1"/>
  <c r="AI156" i="23"/>
  <c r="AH156" i="23" s="1"/>
  <c r="AG156" i="23" s="1"/>
  <c r="AF156" i="23" s="1"/>
  <c r="AD156" i="23" s="1"/>
  <c r="AI360" i="23"/>
  <c r="AH360" i="23" s="1"/>
  <c r="AG360" i="23" s="1"/>
  <c r="AF360" i="23" s="1"/>
  <c r="AD360" i="23" s="1"/>
  <c r="AI297" i="23"/>
  <c r="AH297" i="23" s="1"/>
  <c r="AG297" i="23" s="1"/>
  <c r="AF297" i="23" s="1"/>
  <c r="AD297" i="23" s="1"/>
  <c r="AI163" i="23"/>
  <c r="AH163" i="23" s="1"/>
  <c r="AG163" i="23" s="1"/>
  <c r="AF163" i="23" s="1"/>
  <c r="AD163" i="23" s="1"/>
  <c r="AI112" i="23"/>
  <c r="AH112" i="23" s="1"/>
  <c r="AG112" i="23" s="1"/>
  <c r="AF112" i="23" s="1"/>
  <c r="AD112" i="23" s="1"/>
  <c r="AI298" i="23"/>
  <c r="AH298" i="23" s="1"/>
  <c r="AG298" i="23" s="1"/>
  <c r="AF298" i="23" s="1"/>
  <c r="AD298" i="23" s="1"/>
  <c r="AI250" i="23"/>
  <c r="AH250" i="23" s="1"/>
  <c r="AG250" i="23" s="1"/>
  <c r="AF250" i="23" s="1"/>
  <c r="AD250" i="23" s="1"/>
  <c r="AI165" i="23"/>
  <c r="AH165" i="23" s="1"/>
  <c r="AG165" i="23" s="1"/>
  <c r="AF165" i="23" s="1"/>
  <c r="AD165" i="23" s="1"/>
  <c r="AI106" i="23"/>
  <c r="AH106" i="23" s="1"/>
  <c r="AG106" i="23" s="1"/>
  <c r="AF106" i="23" s="1"/>
  <c r="AD106" i="23" s="1"/>
  <c r="AI321" i="23"/>
  <c r="AH321" i="23" s="1"/>
  <c r="AG321" i="23" s="1"/>
  <c r="AF321" i="23" s="1"/>
  <c r="AD321" i="23" s="1"/>
  <c r="AI302" i="23"/>
  <c r="AH302" i="23" s="1"/>
  <c r="AG302" i="23" s="1"/>
  <c r="AF302" i="23" s="1"/>
  <c r="AD302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114" i="23"/>
  <c r="AH114" i="23" s="1"/>
  <c r="AG114" i="23" s="1"/>
  <c r="AF114" i="23" s="1"/>
  <c r="AD114" i="23" s="1"/>
  <c r="AI336" i="23"/>
  <c r="AH336" i="23" s="1"/>
  <c r="AG336" i="23" s="1"/>
  <c r="AF336" i="23" s="1"/>
  <c r="AD336" i="23" s="1"/>
  <c r="AI248" i="23"/>
  <c r="AH248" i="23" s="1"/>
  <c r="AG248" i="23" s="1"/>
  <c r="AF248" i="23" s="1"/>
  <c r="AD248" i="23" s="1"/>
  <c r="AI211" i="23"/>
  <c r="AH211" i="23" s="1"/>
  <c r="AG211" i="23" s="1"/>
  <c r="AF211" i="23" s="1"/>
  <c r="AD211" i="23" s="1"/>
  <c r="AI109" i="23"/>
  <c r="AH109" i="23" s="1"/>
  <c r="AG109" i="23" s="1"/>
  <c r="AF109" i="23" s="1"/>
  <c r="AD109" i="23" s="1"/>
  <c r="AI347" i="23"/>
  <c r="AH347" i="23" s="1"/>
  <c r="AG347" i="23" s="1"/>
  <c r="AF347" i="23" s="1"/>
  <c r="AD347" i="23" s="1"/>
  <c r="AI241" i="23"/>
  <c r="AH241" i="23" s="1"/>
  <c r="AG241" i="23" s="1"/>
  <c r="AF241" i="23" s="1"/>
  <c r="AD241" i="23" s="1"/>
  <c r="AI204" i="23"/>
  <c r="AH204" i="23" s="1"/>
  <c r="AG204" i="23" s="1"/>
  <c r="AF204" i="23" s="1"/>
  <c r="AD204" i="23" s="1"/>
  <c r="AI111" i="23"/>
  <c r="AH111" i="23" s="1"/>
  <c r="AG111" i="23" s="1"/>
  <c r="AF111" i="23" s="1"/>
  <c r="AD111" i="23" s="1"/>
  <c r="AI361" i="23"/>
  <c r="AH361" i="23" s="1"/>
  <c r="AG361" i="23" s="1"/>
  <c r="AF361" i="23" s="1"/>
  <c r="AD361" i="23" s="1"/>
  <c r="AI301" i="23"/>
  <c r="AH301" i="23" s="1"/>
  <c r="AG301" i="23" s="1"/>
  <c r="AF301" i="23" s="1"/>
  <c r="AD301" i="23" s="1"/>
  <c r="AI210" i="23"/>
  <c r="AH210" i="23" s="1"/>
  <c r="AG210" i="23" s="1"/>
  <c r="AF210" i="23" s="1"/>
  <c r="AD210" i="23" s="1"/>
  <c r="AI138" i="23"/>
  <c r="AH138" i="23" s="1"/>
  <c r="AG138" i="23" s="1"/>
  <c r="AF138" i="23" s="1"/>
  <c r="AD138" i="23" s="1"/>
  <c r="AI363" i="23"/>
  <c r="AH363" i="23" s="1"/>
  <c r="AG363" i="23" s="1"/>
  <c r="AF363" i="23" s="1"/>
  <c r="AD363" i="23" s="1"/>
  <c r="AI293" i="23"/>
  <c r="AH293" i="23" s="1"/>
  <c r="AG293" i="23" s="1"/>
  <c r="AF293" i="23" s="1"/>
  <c r="AD293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107" i="23"/>
  <c r="AH107" i="23" s="1"/>
  <c r="AG107" i="23" s="1"/>
  <c r="AF107" i="23" s="1"/>
  <c r="AD107" i="23" s="1"/>
  <c r="AI316" i="23"/>
  <c r="AH316" i="23" s="1"/>
  <c r="AG316" i="23" s="1"/>
  <c r="AF316" i="23" s="1"/>
  <c r="AD316" i="23" s="1"/>
  <c r="AI262" i="23"/>
  <c r="AH262" i="23" s="1"/>
  <c r="AG262" i="23" s="1"/>
  <c r="AF262" i="23" s="1"/>
  <c r="AD262" i="23" s="1"/>
  <c r="AI158" i="23"/>
  <c r="AH158" i="23" s="1"/>
  <c r="AG158" i="23" s="1"/>
  <c r="AF158" i="23" s="1"/>
  <c r="AD158" i="23" s="1"/>
  <c r="AI105" i="23"/>
  <c r="AH105" i="23" s="1"/>
  <c r="AG105" i="23" s="1"/>
  <c r="AF105" i="23" s="1"/>
  <c r="AD105" i="23" s="1"/>
  <c r="AI306" i="23"/>
  <c r="AH306" i="23" s="1"/>
  <c r="AG306" i="23" s="1"/>
  <c r="AF306" i="23" s="1"/>
  <c r="AD306" i="23" s="1"/>
  <c r="AI257" i="23"/>
  <c r="AH257" i="23" s="1"/>
  <c r="AG257" i="23" s="1"/>
  <c r="AF257" i="23" s="1"/>
  <c r="AD257" i="23" s="1"/>
  <c r="AA257" i="23" s="1"/>
  <c r="Z257" i="23" s="1"/>
  <c r="Y257" i="23" s="1"/>
  <c r="AI172" i="23"/>
  <c r="AH172" i="23" s="1"/>
  <c r="AG172" i="23" s="1"/>
  <c r="AF172" i="23" s="1"/>
  <c r="AD172" i="23" s="1"/>
  <c r="AI309" i="23"/>
  <c r="AH309" i="23" s="1"/>
  <c r="AG309" i="23" s="1"/>
  <c r="AF309" i="23" s="1"/>
  <c r="AD309" i="23" s="1"/>
  <c r="AI206" i="23"/>
  <c r="AH206" i="23" s="1"/>
  <c r="AG206" i="23" s="1"/>
  <c r="AF206" i="23" s="1"/>
  <c r="AD206" i="23" s="1"/>
  <c r="AI113" i="23"/>
  <c r="AH113" i="23" s="1"/>
  <c r="AG113" i="23" s="1"/>
  <c r="AF113" i="23" s="1"/>
  <c r="AD113" i="23" s="1"/>
  <c r="AI328" i="23"/>
  <c r="AH328" i="23" s="1"/>
  <c r="AG328" i="23" s="1"/>
  <c r="AF328" i="23" s="1"/>
  <c r="AD328" i="23" s="1"/>
  <c r="AI247" i="23"/>
  <c r="AH247" i="23" s="1"/>
  <c r="AG247" i="23" s="1"/>
  <c r="AF247" i="23" s="1"/>
  <c r="AD247" i="23" s="1"/>
  <c r="AI200" i="23"/>
  <c r="AH200" i="23" s="1"/>
  <c r="AG200" i="23" s="1"/>
  <c r="AF200" i="23" s="1"/>
  <c r="AD200" i="23" s="1"/>
  <c r="AI304" i="23"/>
  <c r="AH304" i="23" s="1"/>
  <c r="AG304" i="23" s="1"/>
  <c r="AF304" i="23" s="1"/>
  <c r="AD304" i="23" s="1"/>
  <c r="AI256" i="23"/>
  <c r="AH256" i="23" s="1"/>
  <c r="AG256" i="23" s="1"/>
  <c r="AF256" i="23" s="1"/>
  <c r="AD256" i="23" s="1"/>
  <c r="AI202" i="23"/>
  <c r="AH202" i="23" s="1"/>
  <c r="AG202" i="23" s="1"/>
  <c r="AF202" i="23" s="1"/>
  <c r="AD202" i="23" s="1"/>
  <c r="AA202" i="23" s="1"/>
  <c r="Z202" i="23" s="1"/>
  <c r="Y202" i="23" s="1"/>
  <c r="AI148" i="23"/>
  <c r="AH148" i="23" s="1"/>
  <c r="AG148" i="23" s="1"/>
  <c r="AF148" i="23" s="1"/>
  <c r="AD148" i="23" s="1"/>
  <c r="AI354" i="23"/>
  <c r="AH354" i="23" s="1"/>
  <c r="AG354" i="23" s="1"/>
  <c r="AF354" i="23" s="1"/>
  <c r="AD354" i="23" s="1"/>
  <c r="AI292" i="23"/>
  <c r="AH292" i="23" s="1"/>
  <c r="AG292" i="23" s="1"/>
  <c r="AF292" i="23" s="1"/>
  <c r="AD292" i="23" s="1"/>
  <c r="AI203" i="23"/>
  <c r="AH203" i="23" s="1"/>
  <c r="AG203" i="23" s="1"/>
  <c r="AF203" i="23" s="1"/>
  <c r="AD203" i="23" s="1"/>
  <c r="AI142" i="23"/>
  <c r="AH142" i="23" s="1"/>
  <c r="AG142" i="23" s="1"/>
  <c r="AF142" i="23" s="1"/>
  <c r="AD142" i="23" s="1"/>
  <c r="AI370" i="23"/>
  <c r="AH370" i="23" s="1"/>
  <c r="AG370" i="23" s="1"/>
  <c r="AF370" i="23" s="1"/>
  <c r="AD370" i="23" s="1"/>
  <c r="AI286" i="23"/>
  <c r="AH286" i="23" s="1"/>
  <c r="AG286" i="23" s="1"/>
  <c r="AF286" i="23" s="1"/>
  <c r="AD286" i="23" s="1"/>
  <c r="AI198" i="23"/>
  <c r="AH198" i="23" s="1"/>
  <c r="AG198" i="23" s="1"/>
  <c r="AF198" i="23" s="1"/>
  <c r="AD198" i="23" s="1"/>
  <c r="AI311" i="23"/>
  <c r="AH311" i="23" s="1"/>
  <c r="AG311" i="23" s="1"/>
  <c r="AF311" i="23" s="1"/>
  <c r="AD311" i="23" s="1"/>
  <c r="AI240" i="23"/>
  <c r="AH240" i="23" s="1"/>
  <c r="AG240" i="23" s="1"/>
  <c r="AF240" i="23" s="1"/>
  <c r="AD240" i="23" s="1"/>
  <c r="AI151" i="23"/>
  <c r="AH151" i="23" s="1"/>
  <c r="AG151" i="23" s="1"/>
  <c r="AF151" i="23" s="1"/>
  <c r="AD151" i="23" s="1"/>
  <c r="AI378" i="23"/>
  <c r="AH378" i="23" s="1"/>
  <c r="AG378" i="23" s="1"/>
  <c r="AF378" i="23" s="1"/>
  <c r="AD378" i="23" s="1"/>
  <c r="AI296" i="23"/>
  <c r="AH296" i="23" s="1"/>
  <c r="AG296" i="23" s="1"/>
  <c r="AF296" i="23" s="1"/>
  <c r="AD296" i="23" s="1"/>
  <c r="AI249" i="23"/>
  <c r="AH249" i="23" s="1"/>
  <c r="AG249" i="23" s="1"/>
  <c r="AF249" i="23" s="1"/>
  <c r="AD249" i="23" s="1"/>
  <c r="AI195" i="23"/>
  <c r="AH195" i="23" s="1"/>
  <c r="AG195" i="23" s="1"/>
  <c r="AF195" i="23" s="1"/>
  <c r="AD195" i="23" s="1"/>
  <c r="AI141" i="23"/>
  <c r="AH141" i="23" s="1"/>
  <c r="AG141" i="23" s="1"/>
  <c r="AF141" i="23" s="1"/>
  <c r="AD141" i="23" s="1"/>
  <c r="AI341" i="23"/>
  <c r="AH341" i="23" s="1"/>
  <c r="AG341" i="23" s="1"/>
  <c r="AF341" i="23" s="1"/>
  <c r="AD341" i="23" s="1"/>
  <c r="AI264" i="23"/>
  <c r="AH264" i="23" s="1"/>
  <c r="AG264" i="23" s="1"/>
  <c r="AF264" i="23" s="1"/>
  <c r="AD264" i="23" s="1"/>
  <c r="AI197" i="23"/>
  <c r="AH197" i="23" s="1"/>
  <c r="AG197" i="23" s="1"/>
  <c r="AF197" i="23" s="1"/>
  <c r="AD197" i="23" s="1"/>
  <c r="AI334" i="23"/>
  <c r="AH334" i="23" s="1"/>
  <c r="AG334" i="23" s="1"/>
  <c r="AF334" i="23" s="1"/>
  <c r="AD334" i="23" s="1"/>
  <c r="AI255" i="23"/>
  <c r="AH255" i="23" s="1"/>
  <c r="AG255" i="23" s="1"/>
  <c r="AF255" i="23" s="1"/>
  <c r="AD255" i="23" s="1"/>
  <c r="AI189" i="23"/>
  <c r="AH189" i="23" s="1"/>
  <c r="AG189" i="23" s="1"/>
  <c r="AF189" i="23" s="1"/>
  <c r="AD189" i="23" s="1"/>
  <c r="AI289" i="23"/>
  <c r="AH289" i="23" s="1"/>
  <c r="AG289" i="23" s="1"/>
  <c r="AF289" i="23" s="1"/>
  <c r="AD289" i="23" s="1"/>
  <c r="AI194" i="23"/>
  <c r="AH194" i="23" s="1"/>
  <c r="AG194" i="23" s="1"/>
  <c r="AF194" i="23" s="1"/>
  <c r="AD194" i="23" s="1"/>
  <c r="AA194" i="23" s="1"/>
  <c r="Z194" i="23" s="1"/>
  <c r="Y194" i="23" s="1"/>
  <c r="AI140" i="23"/>
  <c r="AH140" i="23" s="1"/>
  <c r="AG140" i="23" s="1"/>
  <c r="AF140" i="23" s="1"/>
  <c r="AD140" i="23" s="1"/>
  <c r="AI342" i="23"/>
  <c r="AH342" i="23" s="1"/>
  <c r="AG342" i="23" s="1"/>
  <c r="AF342" i="23" s="1"/>
  <c r="AD342" i="23" s="1"/>
  <c r="AI282" i="23"/>
  <c r="AH282" i="23" s="1"/>
  <c r="AG282" i="23" s="1"/>
  <c r="AF282" i="23" s="1"/>
  <c r="AD282" i="23" s="1"/>
  <c r="AI188" i="23"/>
  <c r="AH188" i="23" s="1"/>
  <c r="AG188" i="23" s="1"/>
  <c r="AF188" i="23" s="1"/>
  <c r="AD188" i="23" s="1"/>
  <c r="AI137" i="23"/>
  <c r="AH137" i="23" s="1"/>
  <c r="AG137" i="23" s="1"/>
  <c r="AF137" i="23" s="1"/>
  <c r="AD137" i="23" s="1"/>
  <c r="AI332" i="23"/>
  <c r="AH332" i="23" s="1"/>
  <c r="AG332" i="23" s="1"/>
  <c r="AF332" i="23" s="1"/>
  <c r="AD332" i="23" s="1"/>
  <c r="AI252" i="23"/>
  <c r="AH252" i="23" s="1"/>
  <c r="AG252" i="23" s="1"/>
  <c r="AF252" i="23" s="1"/>
  <c r="AD252" i="23" s="1"/>
  <c r="AI253" i="23"/>
  <c r="AH253" i="23" s="1"/>
  <c r="AG253" i="23" s="1"/>
  <c r="AF253" i="23" s="1"/>
  <c r="AD253" i="23" s="1"/>
  <c r="AE381" i="23"/>
  <c r="AE383" i="23"/>
  <c r="AE382" i="23"/>
  <c r="AC242" i="25"/>
  <c r="AC294" i="25"/>
  <c r="AC197" i="25"/>
  <c r="AC221" i="25"/>
  <c r="AC238" i="25"/>
  <c r="AC378" i="25"/>
  <c r="AC337" i="25"/>
  <c r="AC140" i="25"/>
  <c r="AC352" i="25"/>
  <c r="AC176" i="25"/>
  <c r="AC203" i="25"/>
  <c r="AC308" i="25"/>
  <c r="AC291" i="25"/>
  <c r="AC318" i="25"/>
  <c r="AC269" i="25"/>
  <c r="AC150" i="25"/>
  <c r="AC134" i="25"/>
  <c r="AC195" i="25"/>
  <c r="AC267" i="25"/>
  <c r="AC228" i="25"/>
  <c r="AC141" i="25"/>
  <c r="AC165" i="25"/>
  <c r="AC143" i="25"/>
  <c r="AC356" i="25"/>
  <c r="AC215" i="25"/>
  <c r="AC310" i="25"/>
  <c r="AC253" i="25"/>
  <c r="AC327" i="25"/>
  <c r="AC311" i="25"/>
  <c r="AC285" i="25"/>
  <c r="AC319" i="25"/>
  <c r="AC241" i="25"/>
  <c r="AC259" i="25"/>
  <c r="AC309" i="25"/>
  <c r="AC322" i="25"/>
  <c r="AC154" i="25"/>
  <c r="AC313" i="25"/>
  <c r="AC181" i="25"/>
  <c r="AC172" i="25"/>
  <c r="AC359" i="25"/>
  <c r="AC249" i="25"/>
  <c r="AC147" i="25"/>
  <c r="AC367" i="25"/>
  <c r="AC237" i="25"/>
  <c r="AC254" i="25"/>
  <c r="AC178" i="25"/>
  <c r="AC280" i="25"/>
  <c r="AC283" i="25"/>
  <c r="AC173" i="25"/>
  <c r="AC256" i="25"/>
  <c r="AC284" i="25"/>
  <c r="AC158" i="25"/>
  <c r="AC286" i="25"/>
  <c r="AC149" i="25"/>
  <c r="AC336" i="25"/>
  <c r="AC217" i="25"/>
  <c r="AC363" i="25"/>
  <c r="AC250" i="25"/>
  <c r="AC153" i="25"/>
  <c r="AC229" i="25"/>
  <c r="AC193" i="25"/>
  <c r="AC157" i="25"/>
  <c r="AC360" i="25"/>
  <c r="AC216" i="25"/>
  <c r="AC271" i="25"/>
  <c r="AC234" i="25"/>
  <c r="AC330" i="25"/>
  <c r="AC315" i="25"/>
  <c r="AC239" i="25"/>
  <c r="AC306" i="25"/>
  <c r="AC370" i="25"/>
  <c r="AC219" i="25"/>
  <c r="AC366" i="25"/>
  <c r="AC233" i="25"/>
  <c r="AC244" i="25"/>
  <c r="AC182" i="25"/>
  <c r="AC369" i="25"/>
  <c r="AC160" i="25"/>
  <c r="AC275" i="25"/>
  <c r="AC231" i="25"/>
  <c r="AC180" i="25"/>
  <c r="AC230" i="25"/>
  <c r="AC261" i="25"/>
  <c r="AC213" i="25"/>
  <c r="AC218" i="25"/>
  <c r="AC205" i="25"/>
  <c r="AC243" i="25"/>
  <c r="AC282" i="25"/>
  <c r="AC341" i="25"/>
  <c r="AC164" i="25"/>
  <c r="AC191" i="25"/>
  <c r="AC174" i="25"/>
  <c r="AC371" i="25"/>
  <c r="AC251" i="25"/>
  <c r="AC190" i="25"/>
  <c r="AC214" i="25"/>
  <c r="AC168" i="25"/>
  <c r="AC236" i="25"/>
  <c r="AC200" i="25"/>
  <c r="AC248" i="25"/>
  <c r="AC204" i="25"/>
  <c r="AC321" i="25"/>
  <c r="AC317" i="25"/>
  <c r="AC161" i="25"/>
  <c r="AC209" i="25"/>
  <c r="AC276" i="25"/>
  <c r="AC298" i="25"/>
  <c r="AC145" i="25"/>
  <c r="AC167" i="25"/>
  <c r="AC339" i="25"/>
  <c r="AC272" i="25"/>
  <c r="AC302" i="25"/>
  <c r="AC169" i="25"/>
  <c r="AC245" i="25"/>
  <c r="AC376" i="25"/>
  <c r="AC148" i="25"/>
  <c r="AC279" i="25"/>
  <c r="AC266" i="25"/>
  <c r="AC136" i="25"/>
  <c r="AC137" i="25"/>
  <c r="AC335" i="25"/>
  <c r="AC210" i="25"/>
  <c r="AC188" i="25"/>
  <c r="AC354" i="25"/>
  <c r="AC151" i="25"/>
  <c r="AC139" i="25"/>
  <c r="AC222" i="25"/>
  <c r="AC379" i="25"/>
  <c r="AC265" i="25"/>
  <c r="AC289" i="25"/>
  <c r="AC375" i="25"/>
  <c r="AC185" i="25"/>
  <c r="AC207" i="25"/>
  <c r="AC152" i="25"/>
  <c r="AC192" i="25"/>
  <c r="AC307" i="25"/>
  <c r="AC292" i="25"/>
  <c r="AC227" i="25"/>
  <c r="AC323" i="25"/>
  <c r="AC171" i="25"/>
  <c r="AC220" i="25"/>
  <c r="AC208" i="25"/>
  <c r="AC247" i="25"/>
  <c r="AC340" i="25"/>
  <c r="AC347" i="25"/>
  <c r="AC224" i="25"/>
  <c r="AC281" i="25"/>
  <c r="AC163" i="25"/>
  <c r="AC235" i="25"/>
  <c r="AC346" i="25"/>
  <c r="AC351" i="25"/>
  <c r="AC184" i="25"/>
  <c r="AC223" i="25"/>
  <c r="AC295" i="25"/>
  <c r="AC372" i="25"/>
  <c r="AC175" i="25"/>
  <c r="AC196" i="25"/>
  <c r="AC263" i="25"/>
  <c r="AC159" i="25"/>
  <c r="AC338" i="25"/>
  <c r="AC344" i="25"/>
  <c r="AC320" i="25"/>
  <c r="AC179" i="25"/>
  <c r="AC199" i="25"/>
  <c r="AC303" i="25"/>
  <c r="AC262" i="25"/>
  <c r="AC373" i="25"/>
  <c r="AC240" i="25"/>
  <c r="AC189" i="25"/>
  <c r="AC305" i="25"/>
  <c r="AC357" i="25"/>
  <c r="AC314" i="25"/>
  <c r="AC316" i="25"/>
  <c r="AC368" i="25"/>
  <c r="AC246" i="25"/>
  <c r="AC268" i="25"/>
  <c r="AC135" i="25"/>
  <c r="AC142" i="25"/>
  <c r="AC296" i="25"/>
  <c r="AC156" i="25"/>
  <c r="AC299" i="25"/>
  <c r="AC278" i="25"/>
  <c r="AC274" i="25"/>
  <c r="AC374" i="25"/>
  <c r="AC290" i="25"/>
  <c r="AC353" i="25"/>
  <c r="AC324" i="25"/>
  <c r="AC297" i="25"/>
  <c r="AC226" i="25"/>
  <c r="AC300" i="25"/>
  <c r="AC301" i="25"/>
  <c r="AC293" i="25"/>
  <c r="AC155" i="25"/>
  <c r="AC206" i="25"/>
  <c r="AC364" i="25"/>
  <c r="AC202" i="25"/>
  <c r="AC146" i="25"/>
  <c r="AC355" i="25"/>
  <c r="AC362" i="25"/>
  <c r="AC186" i="25"/>
  <c r="AC304" i="25"/>
  <c r="AC144" i="25"/>
  <c r="AC162" i="25"/>
  <c r="AC273" i="25"/>
  <c r="AC312" i="25"/>
  <c r="AC333" i="25"/>
  <c r="AC166" i="25"/>
  <c r="AC270" i="25"/>
  <c r="AC138" i="25"/>
  <c r="AC211" i="25"/>
  <c r="AC331" i="25"/>
  <c r="AC258" i="25"/>
  <c r="AC342" i="25"/>
  <c r="AC177" i="25"/>
  <c r="AC325" i="25"/>
  <c r="AC332" i="25"/>
  <c r="AC252" i="25"/>
  <c r="AC170" i="25"/>
  <c r="AC212" i="25"/>
  <c r="AC361" i="25"/>
  <c r="AC326" i="25"/>
  <c r="AC194" i="25"/>
  <c r="AC287" i="25"/>
  <c r="AC187" i="25"/>
  <c r="AC345" i="25"/>
  <c r="AC377" i="25"/>
  <c r="AC232" i="25"/>
  <c r="AC350" i="25"/>
  <c r="AC328" i="25"/>
  <c r="AC277" i="25"/>
  <c r="AC365" i="25"/>
  <c r="AC358" i="25"/>
  <c r="AC183" i="25"/>
  <c r="AC225" i="25"/>
  <c r="AC349" i="25"/>
  <c r="AC329" i="25"/>
  <c r="AC201" i="25"/>
  <c r="AC264" i="25"/>
  <c r="AC343" i="25"/>
  <c r="AC255" i="25"/>
  <c r="AC257" i="25"/>
  <c r="AC334" i="25"/>
  <c r="AC260" i="25"/>
  <c r="AC348" i="25"/>
  <c r="AC288" i="25"/>
  <c r="AC198" i="25"/>
  <c r="O219" i="25"/>
  <c r="O347" i="25"/>
  <c r="O282" i="25"/>
  <c r="O364" i="25"/>
  <c r="O190" i="25"/>
  <c r="O262" i="25"/>
  <c r="O292" i="25"/>
  <c r="O148" i="25"/>
  <c r="O350" i="25"/>
  <c r="O367" i="25"/>
  <c r="O288" i="25"/>
  <c r="O315" i="25"/>
  <c r="O293" i="25"/>
  <c r="O263" i="25"/>
  <c r="O297" i="25"/>
  <c r="O369" i="25"/>
  <c r="O373" i="25"/>
  <c r="O240" i="25"/>
  <c r="O164" i="25"/>
  <c r="O316" i="25"/>
  <c r="O172" i="25"/>
  <c r="O207" i="25"/>
  <c r="O224" i="25"/>
  <c r="O200" i="25"/>
  <c r="O252" i="25"/>
  <c r="O281" i="25"/>
  <c r="O144" i="25"/>
  <c r="O158" i="25"/>
  <c r="O342" i="25"/>
  <c r="O251" i="25"/>
  <c r="O317" i="25"/>
  <c r="O319" i="25"/>
  <c r="O135" i="25"/>
  <c r="O161" i="25"/>
  <c r="O337" i="25"/>
  <c r="O320" i="25"/>
  <c r="O185" i="25"/>
  <c r="O268" i="25"/>
  <c r="O362" i="25"/>
  <c r="O285" i="25"/>
  <c r="O203" i="25"/>
  <c r="O333" i="25"/>
  <c r="AG78" i="7" s="1"/>
  <c r="O312" i="25"/>
  <c r="O360" i="25"/>
  <c r="O201" i="25"/>
  <c r="O376" i="25"/>
  <c r="O152" i="25"/>
  <c r="O232" i="25"/>
  <c r="O142" i="25"/>
  <c r="O334" i="25"/>
  <c r="O270" i="25"/>
  <c r="O184" i="25"/>
  <c r="O352" i="25"/>
  <c r="BE13" i="7"/>
  <c r="O299" i="25"/>
  <c r="O271" i="25"/>
  <c r="O260" i="25"/>
  <c r="O151" i="25"/>
  <c r="O256" i="25"/>
  <c r="O358" i="25"/>
  <c r="O205" i="25"/>
  <c r="O287" i="25"/>
  <c r="O174" i="25"/>
  <c r="O280" i="25"/>
  <c r="O145" i="25"/>
  <c r="O143" i="25"/>
  <c r="O179" i="25"/>
  <c r="O162" i="25"/>
  <c r="O163" i="25"/>
  <c r="O284" i="25"/>
  <c r="O242" i="25"/>
  <c r="O189" i="25"/>
  <c r="O217" i="25"/>
  <c r="O272" i="25"/>
  <c r="AG76" i="7" s="1"/>
  <c r="O258" i="25"/>
  <c r="O221" i="25"/>
  <c r="O175" i="25"/>
  <c r="O357" i="25"/>
  <c r="O303" i="25"/>
  <c r="O222" i="25"/>
  <c r="O180" i="25"/>
  <c r="AG73" i="7" s="1"/>
  <c r="O325" i="25"/>
  <c r="O322" i="25"/>
  <c r="O313" i="25"/>
  <c r="O353" i="25"/>
  <c r="O245" i="25"/>
  <c r="O147" i="25"/>
  <c r="O198" i="25"/>
  <c r="O193" i="25"/>
  <c r="O336" i="25"/>
  <c r="O331" i="25"/>
  <c r="O227" i="25"/>
  <c r="O291" i="25"/>
  <c r="O239" i="25"/>
  <c r="O208" i="25"/>
  <c r="O169" i="25"/>
  <c r="O154" i="25"/>
  <c r="O265" i="25"/>
  <c r="O321" i="25"/>
  <c r="O318" i="25"/>
  <c r="O261" i="25"/>
  <c r="O188" i="25"/>
  <c r="O136" i="25"/>
  <c r="O298" i="25"/>
  <c r="O323" i="25"/>
  <c r="O250" i="25"/>
  <c r="O209" i="25"/>
  <c r="O378" i="25"/>
  <c r="O343" i="25"/>
  <c r="O236" i="25"/>
  <c r="O178" i="25"/>
  <c r="O294" i="25"/>
  <c r="O340" i="25"/>
  <c r="O377" i="25"/>
  <c r="O181" i="25"/>
  <c r="O361" i="25"/>
  <c r="O220" i="25"/>
  <c r="O246" i="25"/>
  <c r="O211" i="25"/>
  <c r="O213" i="25"/>
  <c r="O327" i="25"/>
  <c r="O289" i="25"/>
  <c r="O247" i="25"/>
  <c r="O249" i="25"/>
  <c r="O349" i="25"/>
  <c r="O374" i="25"/>
  <c r="O234" i="25"/>
  <c r="O368" i="25"/>
  <c r="O231" i="25"/>
  <c r="O371" i="25"/>
  <c r="O304" i="25"/>
  <c r="O237" i="25"/>
  <c r="O310" i="25"/>
  <c r="O277" i="25"/>
  <c r="O199" i="25"/>
  <c r="O338" i="25"/>
  <c r="O233" i="25"/>
  <c r="O146" i="25"/>
  <c r="O372" i="25"/>
  <c r="O305" i="25"/>
  <c r="O241" i="25"/>
  <c r="AG75" i="7" s="1"/>
  <c r="O351" i="25"/>
  <c r="O196" i="25"/>
  <c r="O314" i="25"/>
  <c r="O335" i="25"/>
  <c r="O228" i="25"/>
  <c r="O296" i="25"/>
  <c r="O229" i="25"/>
  <c r="O257" i="25"/>
  <c r="O363" i="25"/>
  <c r="AG79" i="7" s="1"/>
  <c r="O332" i="25"/>
  <c r="O170" i="25"/>
  <c r="O165" i="25"/>
  <c r="O308" i="25"/>
  <c r="O166" i="25"/>
  <c r="O149" i="25"/>
  <c r="AG72" i="7" s="1"/>
  <c r="O274" i="25"/>
  <c r="O278" i="25"/>
  <c r="O218" i="25"/>
  <c r="O266" i="25"/>
  <c r="O216" i="25"/>
  <c r="O283" i="25"/>
  <c r="O286" i="25"/>
  <c r="O295" i="25"/>
  <c r="O375" i="25"/>
  <c r="O167" i="25"/>
  <c r="O259" i="25"/>
  <c r="O269" i="25"/>
  <c r="O311" i="25"/>
  <c r="O177" i="25"/>
  <c r="O366" i="25"/>
  <c r="O168" i="25"/>
  <c r="O348" i="25"/>
  <c r="O344" i="25"/>
  <c r="O171" i="25"/>
  <c r="O173" i="25"/>
  <c r="O279" i="25"/>
  <c r="O275" i="25"/>
  <c r="O159" i="25"/>
  <c r="O214" i="25"/>
  <c r="O301" i="25"/>
  <c r="O307" i="25"/>
  <c r="O215" i="25"/>
  <c r="O206" i="25"/>
  <c r="O195" i="25"/>
  <c r="O192" i="25"/>
  <c r="O186" i="25"/>
  <c r="O302" i="25"/>
  <c r="AG77" i="7" s="1"/>
  <c r="O276" i="25"/>
  <c r="O225" i="25"/>
  <c r="O328" i="25"/>
  <c r="O160" i="25"/>
  <c r="O273" i="25"/>
  <c r="O140" i="25"/>
  <c r="O359" i="25"/>
  <c r="O187" i="25"/>
  <c r="O329" i="25"/>
  <c r="O267" i="25"/>
  <c r="O212" i="25"/>
  <c r="O197" i="25"/>
  <c r="O339" i="25"/>
  <c r="O300" i="25"/>
  <c r="O150" i="25"/>
  <c r="O238" i="25"/>
  <c r="O204" i="25"/>
  <c r="O370" i="25"/>
  <c r="O309" i="25"/>
  <c r="O183" i="25"/>
  <c r="O134" i="25"/>
  <c r="O223" i="25"/>
  <c r="O141" i="25"/>
  <c r="O230" i="25"/>
  <c r="O253" i="25"/>
  <c r="O137" i="25"/>
  <c r="O226" i="25"/>
  <c r="O244" i="25"/>
  <c r="O194" i="25"/>
  <c r="O156" i="25"/>
  <c r="O210" i="25"/>
  <c r="AG74" i="7" s="1"/>
  <c r="O365" i="25"/>
  <c r="O153" i="25"/>
  <c r="O356" i="25"/>
  <c r="O264" i="25"/>
  <c r="O157" i="25"/>
  <c r="O138" i="25"/>
  <c r="O326" i="25"/>
  <c r="O354" i="25"/>
  <c r="O306" i="25"/>
  <c r="O346" i="25"/>
  <c r="O176" i="25"/>
  <c r="O330" i="25"/>
  <c r="O155" i="25"/>
  <c r="O379" i="25"/>
  <c r="C44" i="19" s="1"/>
  <c r="C33" i="19" s="1"/>
  <c r="O355" i="25"/>
  <c r="O254" i="25"/>
  <c r="O290" i="25"/>
  <c r="O243" i="25"/>
  <c r="O139" i="25"/>
  <c r="O191" i="25"/>
  <c r="O345" i="25"/>
  <c r="O341" i="25"/>
  <c r="O248" i="25"/>
  <c r="O182" i="25"/>
  <c r="O255" i="25"/>
  <c r="O235" i="25"/>
  <c r="O202" i="25"/>
  <c r="O324" i="25"/>
  <c r="O111" i="25"/>
  <c r="O19" i="25"/>
  <c r="O127" i="25"/>
  <c r="O77" i="25"/>
  <c r="O17" i="25"/>
  <c r="O21" i="25"/>
  <c r="O49" i="25"/>
  <c r="O66" i="25"/>
  <c r="O130" i="25"/>
  <c r="O103" i="25"/>
  <c r="O15" i="25"/>
  <c r="O132" i="25"/>
  <c r="O92" i="25"/>
  <c r="O59" i="25"/>
  <c r="O40" i="25"/>
  <c r="O58" i="25"/>
  <c r="O35" i="25"/>
  <c r="O36" i="25"/>
  <c r="O45" i="25"/>
  <c r="O90" i="25"/>
  <c r="O100" i="25"/>
  <c r="O20" i="25"/>
  <c r="O124" i="25"/>
  <c r="O107" i="25"/>
  <c r="O16" i="25"/>
  <c r="O128" i="25"/>
  <c r="O68" i="25"/>
  <c r="O39" i="25"/>
  <c r="O88" i="25"/>
  <c r="AG70" i="7" s="1"/>
  <c r="O41" i="25"/>
  <c r="O126" i="25"/>
  <c r="O52" i="25"/>
  <c r="O64" i="25"/>
  <c r="O121" i="25"/>
  <c r="O86" i="25"/>
  <c r="O47" i="25"/>
  <c r="O42" i="25"/>
  <c r="O106" i="25"/>
  <c r="O85" i="25"/>
  <c r="O98" i="25"/>
  <c r="O37" i="25"/>
  <c r="O48" i="25"/>
  <c r="O104" i="25"/>
  <c r="O102" i="25"/>
  <c r="O109" i="25"/>
  <c r="O79" i="25"/>
  <c r="O118" i="25"/>
  <c r="O32" i="25"/>
  <c r="O83" i="25"/>
  <c r="O112" i="25"/>
  <c r="O54" i="25"/>
  <c r="O119" i="25"/>
  <c r="AG71" i="7" s="1"/>
  <c r="O108" i="25"/>
  <c r="O55" i="25"/>
  <c r="O18" i="25"/>
  <c r="O33" i="25"/>
  <c r="O34" i="25"/>
  <c r="O31" i="25"/>
  <c r="O74" i="25"/>
  <c r="O57" i="25"/>
  <c r="O78" i="25"/>
  <c r="O27" i="25"/>
  <c r="O125" i="25"/>
  <c r="O105" i="25"/>
  <c r="O89" i="25"/>
  <c r="O44" i="25"/>
  <c r="O71" i="25"/>
  <c r="O101" i="25"/>
  <c r="O60" i="25"/>
  <c r="AG69" i="7" s="1"/>
  <c r="O28" i="25"/>
  <c r="O65" i="25"/>
  <c r="O131" i="25"/>
  <c r="O97" i="25"/>
  <c r="O129" i="25"/>
  <c r="O80" i="25"/>
  <c r="O72" i="25"/>
  <c r="O29" i="25"/>
  <c r="AG68" i="7" s="1"/>
  <c r="O91" i="25"/>
  <c r="O95" i="25"/>
  <c r="O61" i="25"/>
  <c r="O22" i="25"/>
  <c r="O51" i="25"/>
  <c r="O115" i="25"/>
  <c r="O67" i="25"/>
  <c r="O62" i="25"/>
  <c r="O110" i="25"/>
  <c r="O114" i="25"/>
  <c r="O84" i="25"/>
  <c r="O116" i="25"/>
  <c r="O70" i="25"/>
  <c r="O25" i="25"/>
  <c r="O76" i="25"/>
  <c r="O81" i="25"/>
  <c r="O96" i="25"/>
  <c r="O56" i="25"/>
  <c r="O133" i="25"/>
  <c r="O46" i="25"/>
  <c r="O69" i="25"/>
  <c r="O43" i="25"/>
  <c r="O117" i="25"/>
  <c r="O94" i="25"/>
  <c r="O26" i="25"/>
  <c r="O23" i="25"/>
  <c r="O93" i="25"/>
  <c r="O73" i="25"/>
  <c r="O30" i="25"/>
  <c r="O75" i="25"/>
  <c r="O63" i="25"/>
  <c r="O24" i="25"/>
  <c r="O99" i="25"/>
  <c r="O53" i="25"/>
  <c r="O87" i="25"/>
  <c r="O38" i="25"/>
  <c r="O122" i="25"/>
  <c r="O113" i="25"/>
  <c r="O120" i="25"/>
  <c r="O123" i="25"/>
  <c r="O50" i="25"/>
  <c r="O82" i="25"/>
  <c r="J379" i="22"/>
  <c r="AH44" i="7"/>
  <c r="D26" i="23"/>
  <c r="E26" i="23" s="1"/>
  <c r="F26" i="23" s="1"/>
  <c r="AA26" i="23" s="1"/>
  <c r="Z26" i="23" s="1"/>
  <c r="Y26" i="23" s="1"/>
  <c r="W268" i="23"/>
  <c r="D56" i="23"/>
  <c r="E56" i="23" s="1"/>
  <c r="F56" i="23" s="1"/>
  <c r="AA56" i="23" s="1"/>
  <c r="Z56" i="23" s="1"/>
  <c r="Y56" i="23" s="1"/>
  <c r="W380" i="22"/>
  <c r="E14" i="19"/>
  <c r="D238" i="23"/>
  <c r="E238" i="23" s="1"/>
  <c r="F238" i="23" s="1"/>
  <c r="AA238" i="23" s="1"/>
  <c r="Z238" i="23" s="1"/>
  <c r="Y238" i="23" s="1"/>
  <c r="D280" i="23"/>
  <c r="E280" i="23" s="1"/>
  <c r="F280" i="23" s="1"/>
  <c r="AA280" i="23" s="1"/>
  <c r="Z280" i="23" s="1"/>
  <c r="Y280" i="23" s="1"/>
  <c r="D374" i="23"/>
  <c r="E374" i="23" s="1"/>
  <c r="F374" i="23" s="1"/>
  <c r="AA374" i="23" s="1"/>
  <c r="Z374" i="23" s="1"/>
  <c r="Y374" i="23" s="1"/>
  <c r="D115" i="23"/>
  <c r="E115" i="23" s="1"/>
  <c r="F115" i="23" s="1"/>
  <c r="AA115" i="23" s="1"/>
  <c r="Z115" i="23" s="1"/>
  <c r="Y115" i="23" s="1"/>
  <c r="AH45" i="7"/>
  <c r="D142" i="23"/>
  <c r="E142" i="23" s="1"/>
  <c r="F142" i="23" s="1"/>
  <c r="G142" i="23" s="1"/>
  <c r="CD142" i="6" s="1"/>
  <c r="D34" i="23"/>
  <c r="E34" i="23" s="1"/>
  <c r="F34" i="23" s="1"/>
  <c r="G34" i="23" s="1"/>
  <c r="CD34" i="6" s="1"/>
  <c r="W20" i="23"/>
  <c r="W301" i="23"/>
  <c r="W300" i="23"/>
  <c r="D201" i="23"/>
  <c r="E201" i="23" s="1"/>
  <c r="F201" i="23" s="1"/>
  <c r="AA201" i="23" s="1"/>
  <c r="Z201" i="23" s="1"/>
  <c r="Y201" i="23" s="1"/>
  <c r="W258" i="23"/>
  <c r="W194" i="23"/>
  <c r="D236" i="23"/>
  <c r="E236" i="23" s="1"/>
  <c r="F236" i="23" s="1"/>
  <c r="G236" i="23" s="1"/>
  <c r="CD236" i="6" s="1"/>
  <c r="W267" i="23"/>
  <c r="W223" i="23"/>
  <c r="D132" i="23"/>
  <c r="E132" i="23" s="1"/>
  <c r="F132" i="23" s="1"/>
  <c r="AA132" i="23" s="1"/>
  <c r="Z132" i="23" s="1"/>
  <c r="Y132" i="23" s="1"/>
  <c r="D184" i="23"/>
  <c r="E184" i="23" s="1"/>
  <c r="F184" i="23" s="1"/>
  <c r="H184" i="23" s="1"/>
  <c r="W82" i="23"/>
  <c r="D84" i="23"/>
  <c r="E84" i="23" s="1"/>
  <c r="F84" i="23" s="1"/>
  <c r="H84" i="23" s="1"/>
  <c r="W317" i="23"/>
  <c r="D250" i="23"/>
  <c r="E250" i="23" s="1"/>
  <c r="F250" i="23" s="1"/>
  <c r="H250" i="23" s="1"/>
  <c r="W341" i="23"/>
  <c r="W61" i="23"/>
  <c r="D376" i="23"/>
  <c r="E376" i="23" s="1"/>
  <c r="F376" i="23" s="1"/>
  <c r="H376" i="23" s="1"/>
  <c r="W248" i="23"/>
  <c r="W255" i="23"/>
  <c r="D63" i="23"/>
  <c r="E63" i="23" s="1"/>
  <c r="F63" i="23" s="1"/>
  <c r="AA63" i="23" s="1"/>
  <c r="Z63" i="23" s="1"/>
  <c r="Y63" i="23" s="1"/>
  <c r="D281" i="23"/>
  <c r="E281" i="23" s="1"/>
  <c r="F281" i="23" s="1"/>
  <c r="AA281" i="23" s="1"/>
  <c r="Z281" i="23" s="1"/>
  <c r="Y281" i="23" s="1"/>
  <c r="D205" i="23"/>
  <c r="E205" i="23" s="1"/>
  <c r="F205" i="23" s="1"/>
  <c r="H205" i="23" s="1"/>
  <c r="W295" i="23"/>
  <c r="D25" i="23"/>
  <c r="E25" i="23" s="1"/>
  <c r="F25" i="23" s="1"/>
  <c r="H25" i="23" s="1"/>
  <c r="W206" i="23"/>
  <c r="D187" i="23"/>
  <c r="E187" i="23" s="1"/>
  <c r="F187" i="23" s="1"/>
  <c r="G187" i="23" s="1"/>
  <c r="CD187" i="6" s="1"/>
  <c r="D16" i="23"/>
  <c r="E16" i="23" s="1"/>
  <c r="F16" i="23" s="1"/>
  <c r="H16" i="23" s="1"/>
  <c r="W284" i="23"/>
  <c r="D327" i="23"/>
  <c r="E327" i="23" s="1"/>
  <c r="F327" i="23" s="1"/>
  <c r="G327" i="23" s="1"/>
  <c r="CD327" i="6" s="1"/>
  <c r="W100" i="23"/>
  <c r="W151" i="23"/>
  <c r="W314" i="23"/>
  <c r="W35" i="23"/>
  <c r="W218" i="23"/>
  <c r="W27" i="23"/>
  <c r="W162" i="23"/>
  <c r="D346" i="23"/>
  <c r="E346" i="23" s="1"/>
  <c r="F346" i="23" s="1"/>
  <c r="G346" i="23" s="1"/>
  <c r="CD346" i="6" s="1"/>
  <c r="W134" i="23"/>
  <c r="D235" i="23"/>
  <c r="E235" i="23" s="1"/>
  <c r="F235" i="23" s="1"/>
  <c r="AA235" i="23" s="1"/>
  <c r="Z235" i="23" s="1"/>
  <c r="Y235" i="23" s="1"/>
  <c r="D310" i="23"/>
  <c r="E310" i="23" s="1"/>
  <c r="F310" i="23" s="1"/>
  <c r="AA310" i="23" s="1"/>
  <c r="Z310" i="23" s="1"/>
  <c r="Y310" i="23" s="1"/>
  <c r="W79" i="23"/>
  <c r="W352" i="23"/>
  <c r="D261" i="23"/>
  <c r="E261" i="23" s="1"/>
  <c r="F261" i="23" s="1"/>
  <c r="AA261" i="23" s="1"/>
  <c r="Z261" i="23" s="1"/>
  <c r="Y261" i="23" s="1"/>
  <c r="D350" i="23"/>
  <c r="E350" i="23" s="1"/>
  <c r="F350" i="23" s="1"/>
  <c r="AA350" i="23" s="1"/>
  <c r="Z350" i="23" s="1"/>
  <c r="Y350" i="23" s="1"/>
  <c r="W257" i="23"/>
  <c r="D200" i="23"/>
  <c r="E200" i="23" s="1"/>
  <c r="F200" i="23" s="1"/>
  <c r="AA200" i="23" s="1"/>
  <c r="Z200" i="23" s="1"/>
  <c r="Y200" i="23" s="1"/>
  <c r="D172" i="23"/>
  <c r="E172" i="23" s="1"/>
  <c r="F172" i="23" s="1"/>
  <c r="H172" i="23" s="1"/>
  <c r="W225" i="23"/>
  <c r="D116" i="23"/>
  <c r="E116" i="23" s="1"/>
  <c r="F116" i="23" s="1"/>
  <c r="AA116" i="23" s="1"/>
  <c r="Z116" i="23" s="1"/>
  <c r="Y116" i="23" s="1"/>
  <c r="W31" i="23"/>
  <c r="W202" i="23"/>
  <c r="W191" i="23"/>
  <c r="W307" i="23"/>
  <c r="D226" i="23"/>
  <c r="E226" i="23" s="1"/>
  <c r="F226" i="23" s="1"/>
  <c r="H226" i="23" s="1"/>
  <c r="D279" i="23"/>
  <c r="E279" i="23" s="1"/>
  <c r="F279" i="23" s="1"/>
  <c r="G279" i="23" s="1"/>
  <c r="CD279" i="6" s="1"/>
  <c r="D62" i="23"/>
  <c r="E62" i="23" s="1"/>
  <c r="F62" i="23" s="1"/>
  <c r="AA62" i="23" s="1"/>
  <c r="Z62" i="23" s="1"/>
  <c r="Y62" i="23" s="1"/>
  <c r="W199" i="23"/>
  <c r="D40" i="23"/>
  <c r="E40" i="23" s="1"/>
  <c r="F40" i="23" s="1"/>
  <c r="G40" i="23" s="1"/>
  <c r="CD40" i="6" s="1"/>
  <c r="D227" i="23"/>
  <c r="E227" i="23" s="1"/>
  <c r="F227" i="23" s="1"/>
  <c r="G227" i="23" s="1"/>
  <c r="CD227" i="6" s="1"/>
  <c r="AA319" i="23"/>
  <c r="Z319" i="23" s="1"/>
  <c r="Y319" i="23" s="1"/>
  <c r="D135" i="23"/>
  <c r="E135" i="23" s="1"/>
  <c r="F135" i="23" s="1"/>
  <c r="G135" i="23" s="1"/>
  <c r="CD135" i="6" s="1"/>
  <c r="W70" i="23"/>
  <c r="D70" i="23"/>
  <c r="E70" i="23" s="1"/>
  <c r="F70" i="23" s="1"/>
  <c r="G70" i="23" s="1"/>
  <c r="CD70" i="6" s="1"/>
  <c r="D270" i="23"/>
  <c r="E270" i="23" s="1"/>
  <c r="F270" i="23" s="1"/>
  <c r="W270" i="23"/>
  <c r="W328" i="23"/>
  <c r="D328" i="23"/>
  <c r="E328" i="23" s="1"/>
  <c r="F328" i="23" s="1"/>
  <c r="D169" i="23"/>
  <c r="E169" i="23" s="1"/>
  <c r="F169" i="23" s="1"/>
  <c r="W169" i="23"/>
  <c r="D92" i="23"/>
  <c r="E92" i="23" s="1"/>
  <c r="F92" i="23" s="1"/>
  <c r="W92" i="23"/>
  <c r="W128" i="23"/>
  <c r="D128" i="23"/>
  <c r="E128" i="23" s="1"/>
  <c r="F128" i="23" s="1"/>
  <c r="AH51" i="7"/>
  <c r="V241" i="23"/>
  <c r="D249" i="23"/>
  <c r="E249" i="23" s="1"/>
  <c r="F249" i="23" s="1"/>
  <c r="W249" i="23"/>
  <c r="W123" i="23"/>
  <c r="D123" i="23"/>
  <c r="E123" i="23" s="1"/>
  <c r="F123" i="23" s="1"/>
  <c r="G123" i="23" s="1"/>
  <c r="CD123" i="6" s="1"/>
  <c r="W55" i="23"/>
  <c r="D55" i="23"/>
  <c r="E55" i="23" s="1"/>
  <c r="F55" i="23" s="1"/>
  <c r="H55" i="23" s="1"/>
  <c r="D213" i="23"/>
  <c r="E213" i="23" s="1"/>
  <c r="F213" i="23" s="1"/>
  <c r="W213" i="23"/>
  <c r="W18" i="23"/>
  <c r="D18" i="23"/>
  <c r="E18" i="23" s="1"/>
  <c r="F18" i="23" s="1"/>
  <c r="D340" i="23"/>
  <c r="E340" i="23" s="1"/>
  <c r="F340" i="23" s="1"/>
  <c r="H340" i="23" s="1"/>
  <c r="W340" i="23"/>
  <c r="D21" i="23"/>
  <c r="E21" i="23" s="1"/>
  <c r="F21" i="23" s="1"/>
  <c r="W21" i="23"/>
  <c r="D297" i="23"/>
  <c r="E297" i="23" s="1"/>
  <c r="F297" i="23" s="1"/>
  <c r="W297" i="23"/>
  <c r="W304" i="23"/>
  <c r="D304" i="23"/>
  <c r="E304" i="23" s="1"/>
  <c r="F304" i="23" s="1"/>
  <c r="D64" i="23"/>
  <c r="E64" i="23" s="1"/>
  <c r="F64" i="23" s="1"/>
  <c r="W64" i="23"/>
  <c r="W343" i="23"/>
  <c r="D343" i="23"/>
  <c r="E343" i="23" s="1"/>
  <c r="F343" i="23" s="1"/>
  <c r="G343" i="23" s="1"/>
  <c r="CD343" i="6" s="1"/>
  <c r="D265" i="23"/>
  <c r="E265" i="23" s="1"/>
  <c r="F265" i="23" s="1"/>
  <c r="G265" i="23" s="1"/>
  <c r="CD265" i="6" s="1"/>
  <c r="W265" i="23"/>
  <c r="W273" i="23"/>
  <c r="D273" i="23"/>
  <c r="E273" i="23" s="1"/>
  <c r="F273" i="23" s="1"/>
  <c r="H273" i="23" s="1"/>
  <c r="D320" i="23"/>
  <c r="E320" i="23" s="1"/>
  <c r="F320" i="23" s="1"/>
  <c r="AA320" i="23" s="1"/>
  <c r="Z320" i="23" s="1"/>
  <c r="Y320" i="23" s="1"/>
  <c r="W320" i="23"/>
  <c r="W292" i="23"/>
  <c r="D292" i="23"/>
  <c r="E292" i="23" s="1"/>
  <c r="F292" i="23" s="1"/>
  <c r="W351" i="23"/>
  <c r="D351" i="23"/>
  <c r="E351" i="23" s="1"/>
  <c r="F351" i="23" s="1"/>
  <c r="G351" i="23" s="1"/>
  <c r="CD351" i="6" s="1"/>
  <c r="D211" i="23"/>
  <c r="E211" i="23" s="1"/>
  <c r="F211" i="23" s="1"/>
  <c r="W211" i="23"/>
  <c r="W366" i="23"/>
  <c r="D366" i="23"/>
  <c r="E366" i="23" s="1"/>
  <c r="F366" i="23" s="1"/>
  <c r="AA366" i="23" s="1"/>
  <c r="Z366" i="23" s="1"/>
  <c r="Y366" i="23" s="1"/>
  <c r="D312" i="23"/>
  <c r="E312" i="23" s="1"/>
  <c r="F312" i="23" s="1"/>
  <c r="G312" i="23" s="1"/>
  <c r="CD312" i="6" s="1"/>
  <c r="W312" i="23"/>
  <c r="D156" i="23"/>
  <c r="E156" i="23" s="1"/>
  <c r="F156" i="23" s="1"/>
  <c r="W156" i="23"/>
  <c r="D106" i="23"/>
  <c r="E106" i="23" s="1"/>
  <c r="F106" i="23" s="1"/>
  <c r="W106" i="23"/>
  <c r="W69" i="23"/>
  <c r="D69" i="23"/>
  <c r="E69" i="23" s="1"/>
  <c r="F69" i="23" s="1"/>
  <c r="W348" i="23"/>
  <c r="D348" i="23"/>
  <c r="E348" i="23" s="1"/>
  <c r="F348" i="23" s="1"/>
  <c r="W96" i="23"/>
  <c r="D96" i="23"/>
  <c r="E96" i="23" s="1"/>
  <c r="F96" i="23" s="1"/>
  <c r="G96" i="23" s="1"/>
  <c r="CD96" i="6" s="1"/>
  <c r="D127" i="23"/>
  <c r="E127" i="23" s="1"/>
  <c r="F127" i="23" s="1"/>
  <c r="G127" i="23" s="1"/>
  <c r="CD127" i="6" s="1"/>
  <c r="W127" i="23"/>
  <c r="D315" i="23"/>
  <c r="E315" i="23" s="1"/>
  <c r="F315" i="23" s="1"/>
  <c r="G315" i="23" s="1"/>
  <c r="CD315" i="6" s="1"/>
  <c r="W315" i="23"/>
  <c r="U383" i="23"/>
  <c r="U381" i="23"/>
  <c r="U382" i="23"/>
  <c r="T15" i="23"/>
  <c r="W324" i="23"/>
  <c r="D324" i="23"/>
  <c r="E324" i="23" s="1"/>
  <c r="F324" i="23" s="1"/>
  <c r="W131" i="23"/>
  <c r="D131" i="23"/>
  <c r="E131" i="23" s="1"/>
  <c r="F131" i="23" s="1"/>
  <c r="AA131" i="23" s="1"/>
  <c r="Z131" i="23" s="1"/>
  <c r="Y131" i="23" s="1"/>
  <c r="D283" i="23"/>
  <c r="E283" i="23" s="1"/>
  <c r="F283" i="23" s="1"/>
  <c r="G283" i="23" s="1"/>
  <c r="CD283" i="6" s="1"/>
  <c r="W283" i="23"/>
  <c r="D237" i="23"/>
  <c r="E237" i="23" s="1"/>
  <c r="F237" i="23" s="1"/>
  <c r="W237" i="23"/>
  <c r="D80" i="23"/>
  <c r="E80" i="23" s="1"/>
  <c r="F80" i="23" s="1"/>
  <c r="G80" i="23" s="1"/>
  <c r="CD80" i="6" s="1"/>
  <c r="W80" i="23"/>
  <c r="W87" i="23"/>
  <c r="D87" i="23"/>
  <c r="E87" i="23" s="1"/>
  <c r="F87" i="23" s="1"/>
  <c r="W274" i="23"/>
  <c r="D274" i="23"/>
  <c r="E274" i="23" s="1"/>
  <c r="F274" i="23" s="1"/>
  <c r="G274" i="23" s="1"/>
  <c r="CD274" i="6" s="1"/>
  <c r="D48" i="23"/>
  <c r="E48" i="23" s="1"/>
  <c r="F48" i="23" s="1"/>
  <c r="W48" i="23"/>
  <c r="W358" i="23"/>
  <c r="D358" i="23"/>
  <c r="E358" i="23" s="1"/>
  <c r="F358" i="23" s="1"/>
  <c r="D364" i="23"/>
  <c r="E364" i="23" s="1"/>
  <c r="F364" i="23" s="1"/>
  <c r="W364" i="23"/>
  <c r="D59" i="23"/>
  <c r="E59" i="23" s="1"/>
  <c r="F59" i="23" s="1"/>
  <c r="W59" i="23"/>
  <c r="W183" i="23"/>
  <c r="D183" i="23"/>
  <c r="E183" i="23" s="1"/>
  <c r="F183" i="23" s="1"/>
  <c r="H183" i="23" s="1"/>
  <c r="I183" i="23" s="1"/>
  <c r="D305" i="23"/>
  <c r="E305" i="23" s="1"/>
  <c r="F305" i="23" s="1"/>
  <c r="G305" i="23" s="1"/>
  <c r="CD305" i="6" s="1"/>
  <c r="W305" i="23"/>
  <c r="W264" i="23"/>
  <c r="D264" i="23"/>
  <c r="E264" i="23" s="1"/>
  <c r="F264" i="23" s="1"/>
  <c r="D24" i="23"/>
  <c r="E24" i="23" s="1"/>
  <c r="F24" i="23" s="1"/>
  <c r="W24" i="23"/>
  <c r="D98" i="23"/>
  <c r="E98" i="23" s="1"/>
  <c r="F98" i="23" s="1"/>
  <c r="W98" i="23"/>
  <c r="D347" i="23"/>
  <c r="E347" i="23" s="1"/>
  <c r="F347" i="23" s="1"/>
  <c r="W347" i="23"/>
  <c r="W175" i="23"/>
  <c r="D175" i="23"/>
  <c r="E175" i="23" s="1"/>
  <c r="F175" i="23" s="1"/>
  <c r="G175" i="23" s="1"/>
  <c r="CD175" i="6" s="1"/>
  <c r="W208" i="23"/>
  <c r="D208" i="23"/>
  <c r="E208" i="23" s="1"/>
  <c r="F208" i="23" s="1"/>
  <c r="G208" i="23" s="1"/>
  <c r="CD208" i="6" s="1"/>
  <c r="W77" i="23"/>
  <c r="D77" i="23"/>
  <c r="E77" i="23" s="1"/>
  <c r="F77" i="23" s="1"/>
  <c r="H77" i="23" s="1"/>
  <c r="W97" i="23"/>
  <c r="D97" i="23"/>
  <c r="E97" i="23" s="1"/>
  <c r="F97" i="23" s="1"/>
  <c r="W93" i="23"/>
  <c r="D93" i="23"/>
  <c r="E93" i="23" s="1"/>
  <c r="F93" i="23" s="1"/>
  <c r="D335" i="23"/>
  <c r="E335" i="23" s="1"/>
  <c r="F335" i="23" s="1"/>
  <c r="G335" i="23" s="1"/>
  <c r="CD335" i="6" s="1"/>
  <c r="W335" i="23"/>
  <c r="W198" i="23"/>
  <c r="D198" i="23"/>
  <c r="E198" i="23" s="1"/>
  <c r="F198" i="23" s="1"/>
  <c r="W19" i="23"/>
  <c r="D19" i="23"/>
  <c r="E19" i="23" s="1"/>
  <c r="F19" i="23" s="1"/>
  <c r="H19" i="23" s="1"/>
  <c r="D158" i="23"/>
  <c r="E158" i="23" s="1"/>
  <c r="F158" i="23" s="1"/>
  <c r="W158" i="23"/>
  <c r="W266" i="23"/>
  <c r="D266" i="23"/>
  <c r="E266" i="23" s="1"/>
  <c r="F266" i="23" s="1"/>
  <c r="D344" i="23"/>
  <c r="E344" i="23" s="1"/>
  <c r="F344" i="23" s="1"/>
  <c r="G344" i="23" s="1"/>
  <c r="CD344" i="6" s="1"/>
  <c r="W344" i="23"/>
  <c r="W244" i="23"/>
  <c r="D244" i="23"/>
  <c r="E244" i="23" s="1"/>
  <c r="F244" i="23" s="1"/>
  <c r="H244" i="23" s="1"/>
  <c r="J244" i="23" s="1"/>
  <c r="W54" i="23"/>
  <c r="D54" i="23"/>
  <c r="E54" i="23" s="1"/>
  <c r="F54" i="23" s="1"/>
  <c r="H54" i="23" s="1"/>
  <c r="D252" i="23"/>
  <c r="E252" i="23" s="1"/>
  <c r="F252" i="23" s="1"/>
  <c r="W252" i="23"/>
  <c r="D360" i="23"/>
  <c r="E360" i="23" s="1"/>
  <c r="F360" i="23" s="1"/>
  <c r="W360" i="23"/>
  <c r="D44" i="23"/>
  <c r="E44" i="23" s="1"/>
  <c r="F44" i="23" s="1"/>
  <c r="W44" i="23"/>
  <c r="D17" i="23"/>
  <c r="E17" i="23" s="1"/>
  <c r="F17" i="23" s="1"/>
  <c r="G17" i="23" s="1"/>
  <c r="CD17" i="6" s="1"/>
  <c r="W17" i="23"/>
  <c r="W240" i="23"/>
  <c r="D240" i="23"/>
  <c r="E240" i="23" s="1"/>
  <c r="F240" i="23" s="1"/>
  <c r="H240" i="23" s="1"/>
  <c r="J240" i="23" s="1"/>
  <c r="D294" i="23"/>
  <c r="E294" i="23" s="1"/>
  <c r="F294" i="23" s="1"/>
  <c r="G294" i="23" s="1"/>
  <c r="CD294" i="6" s="1"/>
  <c r="W294" i="23"/>
  <c r="W89" i="23"/>
  <c r="D89" i="23"/>
  <c r="E89" i="23" s="1"/>
  <c r="F89" i="23" s="1"/>
  <c r="H89" i="23" s="1"/>
  <c r="J89" i="23" s="1"/>
  <c r="W357" i="23"/>
  <c r="D357" i="23"/>
  <c r="E357" i="23" s="1"/>
  <c r="F357" i="23" s="1"/>
  <c r="G357" i="23" s="1"/>
  <c r="CD357" i="6" s="1"/>
  <c r="D293" i="23"/>
  <c r="E293" i="23" s="1"/>
  <c r="F293" i="23" s="1"/>
  <c r="W293" i="23"/>
  <c r="D355" i="23"/>
  <c r="E355" i="23" s="1"/>
  <c r="F355" i="23" s="1"/>
  <c r="G355" i="23" s="1"/>
  <c r="CD355" i="6" s="1"/>
  <c r="W355" i="23"/>
  <c r="W276" i="23"/>
  <c r="D276" i="23"/>
  <c r="E276" i="23" s="1"/>
  <c r="F276" i="23" s="1"/>
  <c r="H276" i="23" s="1"/>
  <c r="D121" i="23"/>
  <c r="E121" i="23" s="1"/>
  <c r="F121" i="23" s="1"/>
  <c r="G121" i="23" s="1"/>
  <c r="CD121" i="6" s="1"/>
  <c r="W121" i="23"/>
  <c r="W231" i="23"/>
  <c r="D231" i="23"/>
  <c r="E231" i="23" s="1"/>
  <c r="F231" i="23" s="1"/>
  <c r="W370" i="23"/>
  <c r="D370" i="23"/>
  <c r="E370" i="23" s="1"/>
  <c r="F370" i="23" s="1"/>
  <c r="D43" i="23"/>
  <c r="E43" i="23" s="1"/>
  <c r="F43" i="23" s="1"/>
  <c r="W43" i="23"/>
  <c r="W130" i="23"/>
  <c r="D130" i="23"/>
  <c r="E130" i="23" s="1"/>
  <c r="F130" i="23" s="1"/>
  <c r="G130" i="23" s="1"/>
  <c r="CD130" i="6" s="1"/>
  <c r="AH54" i="7"/>
  <c r="V333" i="23"/>
  <c r="W197" i="23"/>
  <c r="D197" i="23"/>
  <c r="E197" i="23" s="1"/>
  <c r="F197" i="23" s="1"/>
  <c r="D185" i="23"/>
  <c r="E185" i="23" s="1"/>
  <c r="F185" i="23" s="1"/>
  <c r="W185" i="23"/>
  <c r="W303" i="23"/>
  <c r="D303" i="23"/>
  <c r="E303" i="23" s="1"/>
  <c r="F303" i="23" s="1"/>
  <c r="H303" i="23" s="1"/>
  <c r="J303" i="23" s="1"/>
  <c r="D117" i="23"/>
  <c r="E117" i="23" s="1"/>
  <c r="F117" i="23" s="1"/>
  <c r="G117" i="23" s="1"/>
  <c r="CD117" i="6" s="1"/>
  <c r="W117" i="23"/>
  <c r="W275" i="23"/>
  <c r="D275" i="23"/>
  <c r="E275" i="23" s="1"/>
  <c r="F275" i="23" s="1"/>
  <c r="D154" i="23"/>
  <c r="E154" i="23" s="1"/>
  <c r="F154" i="23" s="1"/>
  <c r="W154" i="23"/>
  <c r="D182" i="23"/>
  <c r="E182" i="23" s="1"/>
  <c r="F182" i="23" s="1"/>
  <c r="W182" i="23"/>
  <c r="D311" i="23"/>
  <c r="E311" i="23" s="1"/>
  <c r="F311" i="23" s="1"/>
  <c r="W311" i="23"/>
  <c r="W165" i="23"/>
  <c r="D165" i="23"/>
  <c r="E165" i="23" s="1"/>
  <c r="F165" i="23" s="1"/>
  <c r="W37" i="23"/>
  <c r="D37" i="23"/>
  <c r="E37" i="23" s="1"/>
  <c r="F37" i="23" s="1"/>
  <c r="G37" i="23" s="1"/>
  <c r="CD37" i="6" s="1"/>
  <c r="W159" i="23"/>
  <c r="D159" i="23"/>
  <c r="E159" i="23" s="1"/>
  <c r="F159" i="23" s="1"/>
  <c r="W286" i="23"/>
  <c r="D286" i="23"/>
  <c r="E286" i="23" s="1"/>
  <c r="F286" i="23" s="1"/>
  <c r="H286" i="23" s="1"/>
  <c r="W161" i="23"/>
  <c r="D161" i="23"/>
  <c r="E161" i="23" s="1"/>
  <c r="F161" i="23" s="1"/>
  <c r="G161" i="23" s="1"/>
  <c r="CD161" i="6" s="1"/>
  <c r="W242" i="23"/>
  <c r="D242" i="23"/>
  <c r="E242" i="23" s="1"/>
  <c r="F242" i="23" s="1"/>
  <c r="H242" i="23" s="1"/>
  <c r="W49" i="23"/>
  <c r="D49" i="23"/>
  <c r="E49" i="23" s="1"/>
  <c r="F49" i="23" s="1"/>
  <c r="G49" i="23" s="1"/>
  <c r="CD49" i="6" s="1"/>
  <c r="AH50" i="7"/>
  <c r="V210" i="23"/>
  <c r="AH53" i="7"/>
  <c r="V302" i="23"/>
  <c r="D375" i="23"/>
  <c r="E375" i="23" s="1"/>
  <c r="F375" i="23" s="1"/>
  <c r="G375" i="23" s="1"/>
  <c r="CD375" i="6" s="1"/>
  <c r="W375" i="23"/>
  <c r="W325" i="23"/>
  <c r="D325" i="23"/>
  <c r="E325" i="23" s="1"/>
  <c r="F325" i="23" s="1"/>
  <c r="H325" i="23" s="1"/>
  <c r="D232" i="23"/>
  <c r="E232" i="23" s="1"/>
  <c r="F232" i="23" s="1"/>
  <c r="W232" i="23"/>
  <c r="W105" i="23"/>
  <c r="D105" i="23"/>
  <c r="E105" i="23" s="1"/>
  <c r="F105" i="23" s="1"/>
  <c r="G105" i="23" s="1"/>
  <c r="CD105" i="6" s="1"/>
  <c r="W277" i="23"/>
  <c r="D277" i="23"/>
  <c r="E277" i="23" s="1"/>
  <c r="F277" i="23" s="1"/>
  <c r="H277" i="23" s="1"/>
  <c r="D209" i="23"/>
  <c r="E209" i="23" s="1"/>
  <c r="F209" i="23" s="1"/>
  <c r="W209" i="23"/>
  <c r="D285" i="23"/>
  <c r="E285" i="23" s="1"/>
  <c r="F285" i="23" s="1"/>
  <c r="G285" i="23" s="1"/>
  <c r="CD285" i="6" s="1"/>
  <c r="W285" i="23"/>
  <c r="W338" i="23"/>
  <c r="D338" i="23"/>
  <c r="E338" i="23" s="1"/>
  <c r="F338" i="23" s="1"/>
  <c r="G338" i="23" s="1"/>
  <c r="CD338" i="6" s="1"/>
  <c r="W228" i="23"/>
  <c r="D228" i="23"/>
  <c r="E228" i="23" s="1"/>
  <c r="F228" i="23" s="1"/>
  <c r="G228" i="23" s="1"/>
  <c r="CD228" i="6" s="1"/>
  <c r="D287" i="23"/>
  <c r="E287" i="23" s="1"/>
  <c r="F287" i="23" s="1"/>
  <c r="W287" i="23"/>
  <c r="D306" i="23"/>
  <c r="E306" i="23" s="1"/>
  <c r="F306" i="23" s="1"/>
  <c r="W306" i="23"/>
  <c r="D157" i="23"/>
  <c r="E157" i="23" s="1"/>
  <c r="F157" i="23" s="1"/>
  <c r="W157" i="23"/>
  <c r="D369" i="23"/>
  <c r="E369" i="23" s="1"/>
  <c r="F369" i="23" s="1"/>
  <c r="W369" i="23"/>
  <c r="W339" i="23"/>
  <c r="D339" i="23"/>
  <c r="E339" i="23" s="1"/>
  <c r="F339" i="23" s="1"/>
  <c r="G339" i="23" s="1"/>
  <c r="CD339" i="6" s="1"/>
  <c r="D144" i="23"/>
  <c r="E144" i="23" s="1"/>
  <c r="F144" i="23" s="1"/>
  <c r="W144" i="23"/>
  <c r="D72" i="23"/>
  <c r="E72" i="23" s="1"/>
  <c r="F72" i="23" s="1"/>
  <c r="G72" i="23" s="1"/>
  <c r="CD72" i="6" s="1"/>
  <c r="W72" i="23"/>
  <c r="W219" i="23"/>
  <c r="D219" i="23"/>
  <c r="E219" i="23" s="1"/>
  <c r="F219" i="23" s="1"/>
  <c r="G219" i="23" s="1"/>
  <c r="CD219" i="6" s="1"/>
  <c r="D246" i="23"/>
  <c r="E246" i="23" s="1"/>
  <c r="F246" i="23" s="1"/>
  <c r="W246" i="23"/>
  <c r="W126" i="23"/>
  <c r="D126" i="23"/>
  <c r="E126" i="23" s="1"/>
  <c r="F126" i="23" s="1"/>
  <c r="G126" i="23" s="1"/>
  <c r="CD126" i="6" s="1"/>
  <c r="D296" i="23"/>
  <c r="E296" i="23" s="1"/>
  <c r="F296" i="23" s="1"/>
  <c r="W296" i="23"/>
  <c r="D239" i="23"/>
  <c r="E239" i="23" s="1"/>
  <c r="F239" i="23" s="1"/>
  <c r="W239" i="23"/>
  <c r="D168" i="23"/>
  <c r="E168" i="23" s="1"/>
  <c r="F168" i="23" s="1"/>
  <c r="W168" i="23"/>
  <c r="W254" i="23"/>
  <c r="D254" i="23"/>
  <c r="E254" i="23" s="1"/>
  <c r="F254" i="23" s="1"/>
  <c r="G254" i="23" s="1"/>
  <c r="CD254" i="6" s="1"/>
  <c r="D57" i="23"/>
  <c r="E57" i="23" s="1"/>
  <c r="F57" i="23" s="1"/>
  <c r="W57" i="23"/>
  <c r="D133" i="23"/>
  <c r="E133" i="23" s="1"/>
  <c r="F133" i="23" s="1"/>
  <c r="W133" i="23"/>
  <c r="D177" i="23"/>
  <c r="E177" i="23" s="1"/>
  <c r="F177" i="23" s="1"/>
  <c r="W177" i="23"/>
  <c r="AT16" i="7"/>
  <c r="AZ11" i="7" s="1"/>
  <c r="U11" i="24" s="1"/>
  <c r="U12" i="24"/>
  <c r="AY16" i="7" s="1"/>
  <c r="T379" i="23"/>
  <c r="S379" i="23" s="1"/>
  <c r="R379" i="23" s="1"/>
  <c r="P379" i="23" s="1"/>
  <c r="D108" i="23"/>
  <c r="E108" i="23" s="1"/>
  <c r="F108" i="23" s="1"/>
  <c r="W108" i="23"/>
  <c r="W173" i="23"/>
  <c r="D173" i="23"/>
  <c r="E173" i="23" s="1"/>
  <c r="F173" i="23" s="1"/>
  <c r="G173" i="23" s="1"/>
  <c r="CD173" i="6" s="1"/>
  <c r="W256" i="23"/>
  <c r="D256" i="23"/>
  <c r="E256" i="23" s="1"/>
  <c r="F256" i="23" s="1"/>
  <c r="W323" i="23"/>
  <c r="D323" i="23"/>
  <c r="E323" i="23" s="1"/>
  <c r="F323" i="23" s="1"/>
  <c r="G323" i="23" s="1"/>
  <c r="CD323" i="6" s="1"/>
  <c r="D298" i="23"/>
  <c r="E298" i="23" s="1"/>
  <c r="F298" i="23" s="1"/>
  <c r="W298" i="23"/>
  <c r="D58" i="23"/>
  <c r="E58" i="23" s="1"/>
  <c r="F58" i="23" s="1"/>
  <c r="W58" i="23"/>
  <c r="W190" i="23"/>
  <c r="D190" i="23"/>
  <c r="E190" i="23" s="1"/>
  <c r="F190" i="23" s="1"/>
  <c r="G190" i="23" s="1"/>
  <c r="CD190" i="6" s="1"/>
  <c r="D38" i="23"/>
  <c r="E38" i="23" s="1"/>
  <c r="F38" i="23" s="1"/>
  <c r="H38" i="23" s="1"/>
  <c r="W38" i="23"/>
  <c r="W243" i="23"/>
  <c r="D243" i="23"/>
  <c r="E243" i="23" s="1"/>
  <c r="F243" i="23" s="1"/>
  <c r="W362" i="23"/>
  <c r="D362" i="23"/>
  <c r="E362" i="23" s="1"/>
  <c r="F362" i="23" s="1"/>
  <c r="G362" i="23" s="1"/>
  <c r="CD362" i="6" s="1"/>
  <c r="D167" i="23"/>
  <c r="E167" i="23" s="1"/>
  <c r="F167" i="23" s="1"/>
  <c r="W167" i="23"/>
  <c r="AA228" i="23"/>
  <c r="Z228" i="23" s="1"/>
  <c r="Y228" i="23" s="1"/>
  <c r="AA375" i="23"/>
  <c r="Z375" i="23" s="1"/>
  <c r="Y375" i="23" s="1"/>
  <c r="AA161" i="23"/>
  <c r="Z161" i="23" s="1"/>
  <c r="Y161" i="23" s="1"/>
  <c r="W229" i="23"/>
  <c r="D229" i="23"/>
  <c r="E229" i="23" s="1"/>
  <c r="F229" i="23" s="1"/>
  <c r="D220" i="23"/>
  <c r="E220" i="23" s="1"/>
  <c r="F220" i="23" s="1"/>
  <c r="W220" i="23"/>
  <c r="W85" i="23"/>
  <c r="D85" i="23"/>
  <c r="E85" i="23" s="1"/>
  <c r="F85" i="23" s="1"/>
  <c r="G85" i="23" s="1"/>
  <c r="CD85" i="6" s="1"/>
  <c r="W321" i="23"/>
  <c r="D321" i="23"/>
  <c r="E321" i="23" s="1"/>
  <c r="F321" i="23" s="1"/>
  <c r="D331" i="23"/>
  <c r="E331" i="23" s="1"/>
  <c r="F331" i="23" s="1"/>
  <c r="W331" i="23"/>
  <c r="W83" i="23"/>
  <c r="D83" i="23"/>
  <c r="E83" i="23" s="1"/>
  <c r="F83" i="23" s="1"/>
  <c r="D212" i="23"/>
  <c r="E212" i="23" s="1"/>
  <c r="F212" i="23" s="1"/>
  <c r="H212" i="23" s="1"/>
  <c r="W212" i="23"/>
  <c r="D204" i="23"/>
  <c r="E204" i="23" s="1"/>
  <c r="F204" i="23" s="1"/>
  <c r="H204" i="23" s="1"/>
  <c r="W204" i="23"/>
  <c r="W67" i="23"/>
  <c r="D67" i="23"/>
  <c r="E67" i="23" s="1"/>
  <c r="F67" i="23" s="1"/>
  <c r="W260" i="23"/>
  <c r="D260" i="23"/>
  <c r="E260" i="23" s="1"/>
  <c r="F260" i="23" s="1"/>
  <c r="W179" i="23"/>
  <c r="D179" i="23"/>
  <c r="E179" i="23" s="1"/>
  <c r="F179" i="23" s="1"/>
  <c r="G179" i="23" s="1"/>
  <c r="CD179" i="6" s="1"/>
  <c r="D50" i="23"/>
  <c r="E50" i="23" s="1"/>
  <c r="F50" i="23" s="1"/>
  <c r="G50" i="23" s="1"/>
  <c r="CD50" i="6" s="1"/>
  <c r="W50" i="23"/>
  <c r="D251" i="23"/>
  <c r="E251" i="23" s="1"/>
  <c r="F251" i="23" s="1"/>
  <c r="G251" i="23" s="1"/>
  <c r="CD251" i="6" s="1"/>
  <c r="W251" i="23"/>
  <c r="D214" i="23"/>
  <c r="E214" i="23" s="1"/>
  <c r="F214" i="23" s="1"/>
  <c r="W214" i="23"/>
  <c r="D160" i="23"/>
  <c r="E160" i="23" s="1"/>
  <c r="F160" i="23" s="1"/>
  <c r="H160" i="23" s="1"/>
  <c r="J160" i="23" s="1"/>
  <c r="W160" i="23"/>
  <c r="W118" i="23"/>
  <c r="D118" i="23"/>
  <c r="E118" i="23" s="1"/>
  <c r="F118" i="23" s="1"/>
  <c r="D153" i="23"/>
  <c r="E153" i="23" s="1"/>
  <c r="F153" i="23" s="1"/>
  <c r="G153" i="23" s="1"/>
  <c r="CD153" i="6" s="1"/>
  <c r="W153" i="23"/>
  <c r="W373" i="23"/>
  <c r="D373" i="23"/>
  <c r="E373" i="23" s="1"/>
  <c r="F373" i="23" s="1"/>
  <c r="G373" i="23" s="1"/>
  <c r="CD373" i="6" s="1"/>
  <c r="W259" i="23"/>
  <c r="D259" i="23"/>
  <c r="E259" i="23" s="1"/>
  <c r="F259" i="23" s="1"/>
  <c r="W32" i="23"/>
  <c r="D32" i="23"/>
  <c r="E32" i="23" s="1"/>
  <c r="F32" i="23" s="1"/>
  <c r="G32" i="23" s="1"/>
  <c r="CD32" i="6" s="1"/>
  <c r="D28" i="23"/>
  <c r="E28" i="23" s="1"/>
  <c r="F28" i="23" s="1"/>
  <c r="G28" i="23" s="1"/>
  <c r="CD28" i="6" s="1"/>
  <c r="W28" i="23"/>
  <c r="D262" i="23"/>
  <c r="E262" i="23" s="1"/>
  <c r="F262" i="23" s="1"/>
  <c r="H262" i="23" s="1"/>
  <c r="W262" i="23"/>
  <c r="D102" i="23"/>
  <c r="E102" i="23" s="1"/>
  <c r="F102" i="23" s="1"/>
  <c r="H102" i="23" s="1"/>
  <c r="W102" i="23"/>
  <c r="W65" i="23"/>
  <c r="D65" i="23"/>
  <c r="E65" i="23" s="1"/>
  <c r="F65" i="23" s="1"/>
  <c r="W332" i="23"/>
  <c r="D332" i="23"/>
  <c r="E332" i="23" s="1"/>
  <c r="F332" i="23" s="1"/>
  <c r="AH49" i="7"/>
  <c r="V180" i="23"/>
  <c r="W110" i="23"/>
  <c r="D110" i="23"/>
  <c r="E110" i="23" s="1"/>
  <c r="F110" i="23" s="1"/>
  <c r="G110" i="23" s="1"/>
  <c r="CD110" i="6" s="1"/>
  <c r="D95" i="23"/>
  <c r="E95" i="23" s="1"/>
  <c r="F95" i="23" s="1"/>
  <c r="W95" i="23"/>
  <c r="D125" i="23"/>
  <c r="E125" i="23" s="1"/>
  <c r="F125" i="23" s="1"/>
  <c r="G125" i="23" s="1"/>
  <c r="CD125" i="6" s="1"/>
  <c r="W125" i="23"/>
  <c r="D353" i="23"/>
  <c r="E353" i="23" s="1"/>
  <c r="F353" i="23" s="1"/>
  <c r="G353" i="23" s="1"/>
  <c r="CD353" i="6" s="1"/>
  <c r="W353" i="23"/>
  <c r="D136" i="23"/>
  <c r="E136" i="23" s="1"/>
  <c r="F136" i="23" s="1"/>
  <c r="W136" i="23"/>
  <c r="W73" i="23"/>
  <c r="D73" i="23"/>
  <c r="E73" i="23" s="1"/>
  <c r="F73" i="23" s="1"/>
  <c r="D145" i="23"/>
  <c r="E145" i="23" s="1"/>
  <c r="F145" i="23" s="1"/>
  <c r="G145" i="23" s="1"/>
  <c r="CD145" i="6" s="1"/>
  <c r="W145" i="23"/>
  <c r="AH55" i="7"/>
  <c r="V363" i="23"/>
  <c r="W140" i="23"/>
  <c r="D140" i="23"/>
  <c r="E140" i="23" s="1"/>
  <c r="F140" i="23" s="1"/>
  <c r="W75" i="23"/>
  <c r="D75" i="23"/>
  <c r="E75" i="23" s="1"/>
  <c r="F75" i="23" s="1"/>
  <c r="G75" i="23" s="1"/>
  <c r="CD75" i="6" s="1"/>
  <c r="W164" i="23"/>
  <c r="D164" i="23"/>
  <c r="E164" i="23" s="1"/>
  <c r="F164" i="23" s="1"/>
  <c r="G164" i="23" s="1"/>
  <c r="CD164" i="6" s="1"/>
  <c r="D291" i="23"/>
  <c r="E291" i="23" s="1"/>
  <c r="F291" i="23" s="1"/>
  <c r="W291" i="23"/>
  <c r="D178" i="23"/>
  <c r="E178" i="23" s="1"/>
  <c r="F178" i="23" s="1"/>
  <c r="W178" i="23"/>
  <c r="W53" i="23"/>
  <c r="D53" i="23"/>
  <c r="E53" i="23" s="1"/>
  <c r="F53" i="23" s="1"/>
  <c r="D22" i="23"/>
  <c r="E22" i="23" s="1"/>
  <c r="F22" i="23" s="1"/>
  <c r="H22" i="23" s="1"/>
  <c r="W22" i="23"/>
  <c r="W271" i="23"/>
  <c r="D271" i="23"/>
  <c r="E271" i="23" s="1"/>
  <c r="F271" i="23" s="1"/>
  <c r="G271" i="23" s="1"/>
  <c r="CD271" i="6" s="1"/>
  <c r="D150" i="23"/>
  <c r="E150" i="23" s="1"/>
  <c r="F150" i="23" s="1"/>
  <c r="G150" i="23" s="1"/>
  <c r="CD150" i="6" s="1"/>
  <c r="W150" i="23"/>
  <c r="W91" i="23"/>
  <c r="D91" i="23"/>
  <c r="E91" i="23" s="1"/>
  <c r="F91" i="23" s="1"/>
  <c r="W186" i="23"/>
  <c r="D186" i="23"/>
  <c r="E186" i="23" s="1"/>
  <c r="F186" i="23" s="1"/>
  <c r="V88" i="23"/>
  <c r="AH46" i="7"/>
  <c r="W138" i="23"/>
  <c r="D138" i="23"/>
  <c r="E138" i="23" s="1"/>
  <c r="F138" i="23" s="1"/>
  <c r="W316" i="23"/>
  <c r="D316" i="23"/>
  <c r="E316" i="23" s="1"/>
  <c r="F316" i="23" s="1"/>
  <c r="W33" i="23"/>
  <c r="D33" i="23"/>
  <c r="E33" i="23" s="1"/>
  <c r="F33" i="23" s="1"/>
  <c r="W155" i="23"/>
  <c r="D155" i="23"/>
  <c r="E155" i="23" s="1"/>
  <c r="F155" i="23" s="1"/>
  <c r="W71" i="23"/>
  <c r="D71" i="23"/>
  <c r="E71" i="23" s="1"/>
  <c r="F71" i="23" s="1"/>
  <c r="W195" i="23"/>
  <c r="D195" i="23"/>
  <c r="E195" i="23" s="1"/>
  <c r="F195" i="23" s="1"/>
  <c r="W318" i="23"/>
  <c r="D318" i="23"/>
  <c r="E318" i="23" s="1"/>
  <c r="F318" i="23" s="1"/>
  <c r="W216" i="23"/>
  <c r="D216" i="23"/>
  <c r="E216" i="23" s="1"/>
  <c r="F216" i="23" s="1"/>
  <c r="G216" i="23" s="1"/>
  <c r="CD216" i="6" s="1"/>
  <c r="D111" i="23"/>
  <c r="E111" i="23" s="1"/>
  <c r="F111" i="23" s="1"/>
  <c r="H111" i="23" s="1"/>
  <c r="J111" i="23" s="1"/>
  <c r="W111" i="23"/>
  <c r="D52" i="23"/>
  <c r="E52" i="23" s="1"/>
  <c r="F52" i="23" s="1"/>
  <c r="W52" i="23"/>
  <c r="D146" i="23"/>
  <c r="E146" i="23" s="1"/>
  <c r="F146" i="23" s="1"/>
  <c r="G146" i="23" s="1"/>
  <c r="CD146" i="6" s="1"/>
  <c r="W146" i="23"/>
  <c r="W217" i="23"/>
  <c r="D217" i="23"/>
  <c r="E217" i="23" s="1"/>
  <c r="F217" i="23" s="1"/>
  <c r="D122" i="23"/>
  <c r="E122" i="23" s="1"/>
  <c r="F122" i="23" s="1"/>
  <c r="W122" i="23"/>
  <c r="D30" i="23"/>
  <c r="E30" i="23" s="1"/>
  <c r="F30" i="23" s="1"/>
  <c r="W30" i="23"/>
  <c r="D230" i="23"/>
  <c r="E230" i="23" s="1"/>
  <c r="F230" i="23" s="1"/>
  <c r="G230" i="23" s="1"/>
  <c r="CD230" i="6" s="1"/>
  <c r="W230" i="23"/>
  <c r="W86" i="23"/>
  <c r="D86" i="23"/>
  <c r="E86" i="23" s="1"/>
  <c r="F86" i="23" s="1"/>
  <c r="W290" i="23"/>
  <c r="D290" i="23"/>
  <c r="E290" i="23" s="1"/>
  <c r="F290" i="23" s="1"/>
  <c r="W107" i="23"/>
  <c r="D107" i="23"/>
  <c r="E107" i="23" s="1"/>
  <c r="F107" i="23" s="1"/>
  <c r="W224" i="23"/>
  <c r="D224" i="23"/>
  <c r="E224" i="23" s="1"/>
  <c r="F224" i="23" s="1"/>
  <c r="G224" i="23" s="1"/>
  <c r="CD224" i="6" s="1"/>
  <c r="D203" i="23"/>
  <c r="E203" i="23" s="1"/>
  <c r="F203" i="23" s="1"/>
  <c r="W203" i="23"/>
  <c r="W365" i="23"/>
  <c r="D365" i="23"/>
  <c r="E365" i="23" s="1"/>
  <c r="F365" i="23" s="1"/>
  <c r="W46" i="23"/>
  <c r="D46" i="23"/>
  <c r="E46" i="23" s="1"/>
  <c r="F46" i="23" s="1"/>
  <c r="D245" i="23"/>
  <c r="E245" i="23" s="1"/>
  <c r="F245" i="23" s="1"/>
  <c r="W245" i="23"/>
  <c r="D221" i="23"/>
  <c r="E221" i="23" s="1"/>
  <c r="F221" i="23" s="1"/>
  <c r="G221" i="23" s="1"/>
  <c r="CD221" i="6" s="1"/>
  <c r="W221" i="23"/>
  <c r="D174" i="23"/>
  <c r="E174" i="23" s="1"/>
  <c r="F174" i="23" s="1"/>
  <c r="G174" i="23" s="1"/>
  <c r="CD174" i="6" s="1"/>
  <c r="W174" i="23"/>
  <c r="D23" i="23"/>
  <c r="E23" i="23" s="1"/>
  <c r="F23" i="23" s="1"/>
  <c r="G23" i="23" s="1"/>
  <c r="CD23" i="6" s="1"/>
  <c r="W23" i="23"/>
  <c r="D139" i="23"/>
  <c r="E139" i="23" s="1"/>
  <c r="F139" i="23" s="1"/>
  <c r="W139" i="23"/>
  <c r="D94" i="23"/>
  <c r="E94" i="23" s="1"/>
  <c r="F94" i="23" s="1"/>
  <c r="W94" i="23"/>
  <c r="D329" i="23"/>
  <c r="E329" i="23" s="1"/>
  <c r="F329" i="23" s="1"/>
  <c r="G329" i="23" s="1"/>
  <c r="CD329" i="6" s="1"/>
  <c r="W329" i="23"/>
  <c r="D129" i="23"/>
  <c r="E129" i="23" s="1"/>
  <c r="F129" i="23" s="1"/>
  <c r="W129" i="23"/>
  <c r="W309" i="23"/>
  <c r="D309" i="23"/>
  <c r="E309" i="23" s="1"/>
  <c r="F309" i="23" s="1"/>
  <c r="D99" i="23"/>
  <c r="E99" i="23" s="1"/>
  <c r="F99" i="23" s="1"/>
  <c r="H99" i="23" s="1"/>
  <c r="W99" i="23"/>
  <c r="W192" i="23"/>
  <c r="D192" i="23"/>
  <c r="E192" i="23" s="1"/>
  <c r="F192" i="23" s="1"/>
  <c r="G192" i="23" s="1"/>
  <c r="CD192" i="6" s="1"/>
  <c r="W68" i="23"/>
  <c r="D68" i="23"/>
  <c r="E68" i="23" s="1"/>
  <c r="F68" i="23" s="1"/>
  <c r="D247" i="23"/>
  <c r="E247" i="23" s="1"/>
  <c r="F247" i="23" s="1"/>
  <c r="W247" i="23"/>
  <c r="W42" i="23"/>
  <c r="D42" i="23"/>
  <c r="E42" i="23" s="1"/>
  <c r="F42" i="23" s="1"/>
  <c r="W141" i="23"/>
  <c r="D141" i="23"/>
  <c r="E141" i="23" s="1"/>
  <c r="F141" i="23" s="1"/>
  <c r="W41" i="23"/>
  <c r="D41" i="23"/>
  <c r="E41" i="23" s="1"/>
  <c r="F41" i="23" s="1"/>
  <c r="W378" i="23"/>
  <c r="D378" i="23"/>
  <c r="E378" i="23" s="1"/>
  <c r="F378" i="23" s="1"/>
  <c r="D113" i="23"/>
  <c r="E113" i="23" s="1"/>
  <c r="F113" i="23" s="1"/>
  <c r="H113" i="23" s="1"/>
  <c r="I113" i="23" s="1"/>
  <c r="W113" i="23"/>
  <c r="D278" i="23"/>
  <c r="E278" i="23" s="1"/>
  <c r="F278" i="23" s="1"/>
  <c r="H278" i="23" s="1"/>
  <c r="I278" i="23" s="1"/>
  <c r="W278" i="23"/>
  <c r="D330" i="23"/>
  <c r="E330" i="23" s="1"/>
  <c r="F330" i="23" s="1"/>
  <c r="H330" i="23" s="1"/>
  <c r="J330" i="23" s="1"/>
  <c r="W330" i="23"/>
  <c r="V149" i="23"/>
  <c r="AH48" i="7"/>
  <c r="D120" i="23"/>
  <c r="E120" i="23" s="1"/>
  <c r="F120" i="23" s="1"/>
  <c r="G120" i="23" s="1"/>
  <c r="CD120" i="6" s="1"/>
  <c r="W120" i="23"/>
  <c r="AH52" i="7"/>
  <c r="V272" i="23"/>
  <c r="D299" i="23"/>
  <c r="E299" i="23" s="1"/>
  <c r="F299" i="23" s="1"/>
  <c r="G299" i="23" s="1"/>
  <c r="CD299" i="6" s="1"/>
  <c r="W299" i="23"/>
  <c r="W124" i="23"/>
  <c r="D124" i="23"/>
  <c r="E124" i="23" s="1"/>
  <c r="F124" i="23" s="1"/>
  <c r="V119" i="23"/>
  <c r="AH47" i="7"/>
  <c r="D371" i="23"/>
  <c r="E371" i="23" s="1"/>
  <c r="F371" i="23" s="1"/>
  <c r="W371" i="23"/>
  <c r="D356" i="23"/>
  <c r="E356" i="23" s="1"/>
  <c r="F356" i="23" s="1"/>
  <c r="W356" i="23"/>
  <c r="D215" i="23"/>
  <c r="E215" i="23" s="1"/>
  <c r="F215" i="23" s="1"/>
  <c r="W215" i="23"/>
  <c r="D76" i="23"/>
  <c r="E76" i="23" s="1"/>
  <c r="F76" i="23" s="1"/>
  <c r="G76" i="23" s="1"/>
  <c r="CD76" i="6" s="1"/>
  <c r="W76" i="23"/>
  <c r="D152" i="23"/>
  <c r="E152" i="23" s="1"/>
  <c r="F152" i="23" s="1"/>
  <c r="W152" i="23"/>
  <c r="W101" i="23"/>
  <c r="D101" i="23"/>
  <c r="E101" i="23" s="1"/>
  <c r="F101" i="23" s="1"/>
  <c r="D337" i="23"/>
  <c r="E337" i="23" s="1"/>
  <c r="F337" i="23" s="1"/>
  <c r="W337" i="23"/>
  <c r="W147" i="23"/>
  <c r="D147" i="23"/>
  <c r="E147" i="23" s="1"/>
  <c r="F147" i="23" s="1"/>
  <c r="D188" i="23"/>
  <c r="E188" i="23" s="1"/>
  <c r="F188" i="23" s="1"/>
  <c r="W188" i="23"/>
  <c r="W282" i="23"/>
  <c r="D282" i="23"/>
  <c r="E282" i="23" s="1"/>
  <c r="F282" i="23" s="1"/>
  <c r="W367" i="23"/>
  <c r="D367" i="23"/>
  <c r="E367" i="23" s="1"/>
  <c r="F367" i="23" s="1"/>
  <c r="W269" i="23"/>
  <c r="D269" i="23"/>
  <c r="E269" i="23" s="1"/>
  <c r="F269" i="23" s="1"/>
  <c r="D112" i="23"/>
  <c r="E112" i="23" s="1"/>
  <c r="F112" i="23" s="1"/>
  <c r="W112" i="23"/>
  <c r="D181" i="23"/>
  <c r="E181" i="23" s="1"/>
  <c r="F181" i="23" s="1"/>
  <c r="W181" i="23"/>
  <c r="W143" i="23"/>
  <c r="D143" i="23"/>
  <c r="E143" i="23" s="1"/>
  <c r="F143" i="23" s="1"/>
  <c r="W308" i="23"/>
  <c r="D308" i="23"/>
  <c r="E308" i="23" s="1"/>
  <c r="F308" i="23" s="1"/>
  <c r="D372" i="23"/>
  <c r="E372" i="23" s="1"/>
  <c r="F372" i="23" s="1"/>
  <c r="H372" i="23" s="1"/>
  <c r="I372" i="23" s="1"/>
  <c r="W372" i="23"/>
  <c r="D233" i="23"/>
  <c r="E233" i="23" s="1"/>
  <c r="F233" i="23" s="1"/>
  <c r="G233" i="23" s="1"/>
  <c r="CD233" i="6" s="1"/>
  <c r="W233" i="23"/>
  <c r="W166" i="23"/>
  <c r="D166" i="23"/>
  <c r="E166" i="23" s="1"/>
  <c r="F166" i="23" s="1"/>
  <c r="G166" i="23" s="1"/>
  <c r="CD166" i="6" s="1"/>
  <c r="D342" i="23"/>
  <c r="E342" i="23" s="1"/>
  <c r="F342" i="23" s="1"/>
  <c r="H342" i="23" s="1"/>
  <c r="W342" i="23"/>
  <c r="W163" i="23"/>
  <c r="D163" i="23"/>
  <c r="E163" i="23" s="1"/>
  <c r="F163" i="23" s="1"/>
  <c r="D90" i="23"/>
  <c r="E90" i="23" s="1"/>
  <c r="F90" i="23" s="1"/>
  <c r="G90" i="23" s="1"/>
  <c r="CD90" i="6" s="1"/>
  <c r="W90" i="23"/>
  <c r="D114" i="23"/>
  <c r="E114" i="23" s="1"/>
  <c r="F114" i="23" s="1"/>
  <c r="W114" i="23"/>
  <c r="W47" i="23"/>
  <c r="D47" i="23"/>
  <c r="E47" i="23" s="1"/>
  <c r="F47" i="23" s="1"/>
  <c r="D313" i="23"/>
  <c r="E313" i="23" s="1"/>
  <c r="F313" i="23" s="1"/>
  <c r="G313" i="23" s="1"/>
  <c r="CD313" i="6" s="1"/>
  <c r="W313" i="23"/>
  <c r="D336" i="23"/>
  <c r="E336" i="23" s="1"/>
  <c r="F336" i="23" s="1"/>
  <c r="W336" i="23"/>
  <c r="D176" i="23"/>
  <c r="E176" i="23" s="1"/>
  <c r="F176" i="23" s="1"/>
  <c r="W176" i="23"/>
  <c r="W39" i="23"/>
  <c r="D39" i="23"/>
  <c r="E39" i="23" s="1"/>
  <c r="F39" i="23" s="1"/>
  <c r="D322" i="23"/>
  <c r="E322" i="23" s="1"/>
  <c r="F322" i="23" s="1"/>
  <c r="W322" i="23"/>
  <c r="W354" i="23"/>
  <c r="D354" i="23"/>
  <c r="E354" i="23" s="1"/>
  <c r="F354" i="23" s="1"/>
  <c r="W78" i="23"/>
  <c r="D78" i="23"/>
  <c r="E78" i="23" s="1"/>
  <c r="F78" i="23" s="1"/>
  <c r="W368" i="23"/>
  <c r="D368" i="23"/>
  <c r="E368" i="23" s="1"/>
  <c r="F368" i="23" s="1"/>
  <c r="D253" i="23"/>
  <c r="E253" i="23" s="1"/>
  <c r="F253" i="23" s="1"/>
  <c r="H253" i="23" s="1"/>
  <c r="W253" i="23"/>
  <c r="D36" i="23"/>
  <c r="E36" i="23" s="1"/>
  <c r="F36" i="23" s="1"/>
  <c r="W36" i="23"/>
  <c r="W104" i="23"/>
  <c r="D104" i="23"/>
  <c r="E104" i="23" s="1"/>
  <c r="F104" i="23" s="1"/>
  <c r="D66" i="23"/>
  <c r="E66" i="23" s="1"/>
  <c r="F66" i="23" s="1"/>
  <c r="H66" i="23" s="1"/>
  <c r="I66" i="23" s="1"/>
  <c r="W66" i="23"/>
  <c r="D189" i="23"/>
  <c r="E189" i="23" s="1"/>
  <c r="F189" i="23" s="1"/>
  <c r="W189" i="23"/>
  <c r="W345" i="23"/>
  <c r="D345" i="23"/>
  <c r="E345" i="23" s="1"/>
  <c r="F345" i="23" s="1"/>
  <c r="G345" i="23" s="1"/>
  <c r="CD345" i="6" s="1"/>
  <c r="D377" i="23"/>
  <c r="E377" i="23" s="1"/>
  <c r="F377" i="23" s="1"/>
  <c r="G377" i="23" s="1"/>
  <c r="CD377" i="6" s="1"/>
  <c r="W377" i="23"/>
  <c r="W359" i="23"/>
  <c r="D359" i="23"/>
  <c r="E359" i="23" s="1"/>
  <c r="F359" i="23" s="1"/>
  <c r="W193" i="23"/>
  <c r="D193" i="23"/>
  <c r="E193" i="23" s="1"/>
  <c r="F193" i="23" s="1"/>
  <c r="D81" i="23"/>
  <c r="E81" i="23" s="1"/>
  <c r="F81" i="23" s="1"/>
  <c r="G81" i="23" s="1"/>
  <c r="CD81" i="6" s="1"/>
  <c r="W81" i="23"/>
  <c r="D222" i="23"/>
  <c r="E222" i="23" s="1"/>
  <c r="F222" i="23" s="1"/>
  <c r="W222" i="23"/>
  <c r="W361" i="23"/>
  <c r="D361" i="23"/>
  <c r="E361" i="23" s="1"/>
  <c r="F361" i="23" s="1"/>
  <c r="W148" i="23"/>
  <c r="D148" i="23"/>
  <c r="E148" i="23" s="1"/>
  <c r="F148" i="23" s="1"/>
  <c r="W171" i="23"/>
  <c r="D171" i="23"/>
  <c r="E171" i="23" s="1"/>
  <c r="F171" i="23" s="1"/>
  <c r="G171" i="23" s="1"/>
  <c r="CD171" i="6" s="1"/>
  <c r="D103" i="23"/>
  <c r="E103" i="23" s="1"/>
  <c r="F103" i="23" s="1"/>
  <c r="H103" i="23" s="1"/>
  <c r="W103" i="23"/>
  <c r="W207" i="23"/>
  <c r="D207" i="23"/>
  <c r="E207" i="23" s="1"/>
  <c r="F207" i="23" s="1"/>
  <c r="D45" i="23"/>
  <c r="E45" i="23" s="1"/>
  <c r="F45" i="23" s="1"/>
  <c r="H45" i="23" s="1"/>
  <c r="J45" i="23" s="1"/>
  <c r="W45" i="23"/>
  <c r="D334" i="23"/>
  <c r="E334" i="23" s="1"/>
  <c r="F334" i="23" s="1"/>
  <c r="W334" i="23"/>
  <c r="H210" i="22"/>
  <c r="I210" i="22" s="1"/>
  <c r="G380" i="22"/>
  <c r="CC380" i="6" s="1"/>
  <c r="AA380" i="22"/>
  <c r="Z380" i="22" s="1"/>
  <c r="Y380" i="22" s="1"/>
  <c r="H380" i="22"/>
  <c r="I74" i="22"/>
  <c r="J74" i="22"/>
  <c r="I149" i="22"/>
  <c r="J149" i="22"/>
  <c r="B66" i="19"/>
  <c r="B15" i="20"/>
  <c r="V380" i="20"/>
  <c r="AG383" i="22"/>
  <c r="AG381" i="22"/>
  <c r="AG382" i="22"/>
  <c r="AF15" i="22"/>
  <c r="I272" i="22"/>
  <c r="J272" i="22"/>
  <c r="H60" i="22"/>
  <c r="AA180" i="22"/>
  <c r="Z180" i="22" s="1"/>
  <c r="Y180" i="22" s="1"/>
  <c r="G180" i="22"/>
  <c r="CC180" i="6" s="1"/>
  <c r="H180" i="22"/>
  <c r="I135" i="22"/>
  <c r="J135" i="22"/>
  <c r="I241" i="22"/>
  <c r="J241" i="22"/>
  <c r="AD382" i="20"/>
  <c r="AD383" i="20"/>
  <c r="AD381" i="20"/>
  <c r="H119" i="22"/>
  <c r="I302" i="22"/>
  <c r="J302" i="22"/>
  <c r="I258" i="22"/>
  <c r="H258" i="23" s="1"/>
  <c r="J258" i="22"/>
  <c r="AA60" i="22"/>
  <c r="Z60" i="22" s="1"/>
  <c r="Y60" i="22" s="1"/>
  <c r="G60" i="22"/>
  <c r="CC60" i="6" s="1"/>
  <c r="R383" i="22"/>
  <c r="P15" i="22"/>
  <c r="R381" i="22"/>
  <c r="R382" i="22"/>
  <c r="I88" i="22"/>
  <c r="J88" i="22"/>
  <c r="Q139" i="24"/>
  <c r="Q95" i="24"/>
  <c r="BA15" i="7"/>
  <c r="AE175" i="24"/>
  <c r="AE140" i="24"/>
  <c r="AE101" i="24"/>
  <c r="AE70" i="24"/>
  <c r="AE290" i="24"/>
  <c r="AE39" i="24"/>
  <c r="AE307" i="24"/>
  <c r="AE272" i="24"/>
  <c r="AE281" i="24"/>
  <c r="AE202" i="24"/>
  <c r="AE16" i="24"/>
  <c r="AE29" i="24"/>
  <c r="AE360" i="24"/>
  <c r="AE15" i="24"/>
  <c r="AE125" i="24"/>
  <c r="AE36" i="24"/>
  <c r="AE282" i="24"/>
  <c r="AE239" i="24"/>
  <c r="AE204" i="24"/>
  <c r="AE165" i="24"/>
  <c r="AE134" i="24"/>
  <c r="AE354" i="24"/>
  <c r="AE248" i="24"/>
  <c r="AE145" i="24"/>
  <c r="AE130" i="24"/>
  <c r="AE135" i="24"/>
  <c r="AE35" i="24"/>
  <c r="AE240" i="24"/>
  <c r="AE348" i="24"/>
  <c r="AE277" i="24"/>
  <c r="AE246" i="24"/>
  <c r="AE235" i="24"/>
  <c r="AE136" i="24"/>
  <c r="AE372" i="24"/>
  <c r="AE349" i="24"/>
  <c r="AE318" i="24"/>
  <c r="AE148" i="24"/>
  <c r="AE224" i="24"/>
  <c r="AE137" i="24"/>
  <c r="AE26" i="24"/>
  <c r="AE358" i="24"/>
  <c r="AE347" i="24"/>
  <c r="AE344" i="24"/>
  <c r="AE241" i="24"/>
  <c r="AE98" i="24"/>
  <c r="AE206" i="24"/>
  <c r="AE115" i="24"/>
  <c r="AE80" i="24"/>
  <c r="AE89" i="24"/>
  <c r="AE108" i="24"/>
  <c r="AE367" i="24"/>
  <c r="AE293" i="24"/>
  <c r="AE123" i="24"/>
  <c r="AE20" i="24"/>
  <c r="AE217" i="24"/>
  <c r="AE342" i="24"/>
  <c r="AE296" i="24"/>
  <c r="AE210" i="24"/>
  <c r="AE355" i="24"/>
  <c r="AE190" i="24"/>
  <c r="AE43" i="24"/>
  <c r="AE180" i="24"/>
  <c r="AE233" i="24"/>
  <c r="AE143" i="24"/>
  <c r="AE376" i="24"/>
  <c r="AE155" i="24"/>
  <c r="AE164" i="24"/>
  <c r="AE377" i="24"/>
  <c r="AE255" i="24"/>
  <c r="AE222" i="24"/>
  <c r="AE55" i="24"/>
  <c r="AE81" i="24"/>
  <c r="AE71" i="24"/>
  <c r="AE176" i="24"/>
  <c r="AE106" i="24"/>
  <c r="AE274" i="24"/>
  <c r="AE52" i="24"/>
  <c r="AE361" i="24"/>
  <c r="AE271" i="24"/>
  <c r="AE69" i="24"/>
  <c r="AE283" i="24"/>
  <c r="AE266" i="24"/>
  <c r="AE203" i="24"/>
  <c r="AE97" i="24"/>
  <c r="AE350" i="24"/>
  <c r="AE192" i="24"/>
  <c r="AE378" i="24"/>
  <c r="AE315" i="24"/>
  <c r="AE209" i="24"/>
  <c r="AE199" i="24"/>
  <c r="AE251" i="24"/>
  <c r="AE114" i="24"/>
  <c r="AE87" i="24"/>
  <c r="AE17" i="24"/>
  <c r="AE352" i="24"/>
  <c r="AE265" i="24"/>
  <c r="AE154" i="24"/>
  <c r="AE230" i="24"/>
  <c r="AE219" i="24"/>
  <c r="AE216" i="24"/>
  <c r="AE113" i="24"/>
  <c r="AE333" i="24"/>
  <c r="AE334" i="24"/>
  <c r="AE243" i="24"/>
  <c r="AE319" i="24"/>
  <c r="AE60" i="24"/>
  <c r="AE328" i="24"/>
  <c r="AE193" i="24"/>
  <c r="AE178" i="24"/>
  <c r="AE151" i="24"/>
  <c r="AE84" i="24"/>
  <c r="AE61" i="24"/>
  <c r="AE329" i="24"/>
  <c r="AE218" i="24"/>
  <c r="AE64" i="24"/>
  <c r="AE41" i="24"/>
  <c r="AE357" i="24"/>
  <c r="AE326" i="24"/>
  <c r="AE187" i="24"/>
  <c r="AE295" i="24"/>
  <c r="AE196" i="24"/>
  <c r="AE173" i="24"/>
  <c r="AE174" i="24"/>
  <c r="AE83" i="24"/>
  <c r="AE287" i="24"/>
  <c r="AE284" i="24"/>
  <c r="AE213" i="24"/>
  <c r="AE63" i="24"/>
  <c r="AE171" i="24"/>
  <c r="AE72" i="24"/>
  <c r="AE308" i="24"/>
  <c r="AE285" i="24"/>
  <c r="AE254" i="24"/>
  <c r="AE195" i="24"/>
  <c r="AE160" i="24"/>
  <c r="AE73" i="24"/>
  <c r="AE325" i="24"/>
  <c r="AE34" i="24"/>
  <c r="AE19" i="24"/>
  <c r="AE30" i="24"/>
  <c r="AE373" i="24"/>
  <c r="AE249" i="24"/>
  <c r="AE127" i="24"/>
  <c r="AE53" i="24"/>
  <c r="AE242" i="24"/>
  <c r="AE259" i="24"/>
  <c r="AE236" i="24"/>
  <c r="AE102" i="24"/>
  <c r="AE88" i="24"/>
  <c r="AE205" i="24"/>
  <c r="AE371" i="24"/>
  <c r="AE345" i="24"/>
  <c r="AE18" i="24"/>
  <c r="AE51" i="24"/>
  <c r="AE33" i="24"/>
  <c r="AE150" i="24"/>
  <c r="AE104" i="24"/>
  <c r="AE22" i="24"/>
  <c r="AE163" i="24"/>
  <c r="AE105" i="24"/>
  <c r="AE100" i="24"/>
  <c r="AE207" i="24"/>
  <c r="AE306" i="24"/>
  <c r="AE212" i="24"/>
  <c r="AE94" i="24"/>
  <c r="AE303" i="24"/>
  <c r="AE152" i="24"/>
  <c r="AE269" i="24"/>
  <c r="AE179" i="24"/>
  <c r="AE153" i="24"/>
  <c r="AE278" i="24"/>
  <c r="AE85" i="24"/>
  <c r="AE96" i="24"/>
  <c r="AE261" i="24"/>
  <c r="AE322" i="24"/>
  <c r="AE228" i="24"/>
  <c r="AE78" i="24"/>
  <c r="AE208" i="24"/>
  <c r="AE245" i="24"/>
  <c r="AE75" i="24"/>
  <c r="AE340" i="24"/>
  <c r="AE181" i="24"/>
  <c r="Q232" i="24"/>
  <c r="Q30" i="24"/>
  <c r="Q330" i="24"/>
  <c r="Q201" i="24"/>
  <c r="Q309" i="24"/>
  <c r="Q337" i="24"/>
  <c r="Q37" i="24"/>
  <c r="Q62" i="24"/>
  <c r="Q211" i="24"/>
  <c r="Q371" i="24"/>
  <c r="Q324" i="24"/>
  <c r="Q317" i="24"/>
  <c r="Q131" i="24"/>
  <c r="Q202" i="24"/>
  <c r="Q329" i="24"/>
  <c r="Q292" i="24"/>
  <c r="Q35" i="24"/>
  <c r="Q288" i="24"/>
  <c r="Q370" i="24"/>
  <c r="Q141" i="24"/>
  <c r="Q342" i="24"/>
  <c r="Q252" i="24"/>
  <c r="Q217" i="24"/>
  <c r="Q175" i="24"/>
  <c r="Q64" i="24"/>
  <c r="Q113" i="24"/>
  <c r="Q262" i="24"/>
  <c r="Q156" i="24"/>
  <c r="Q257" i="24"/>
  <c r="Q294" i="24"/>
  <c r="Q352" i="24"/>
  <c r="Q303" i="24"/>
  <c r="Q92" i="24"/>
  <c r="Q129" i="24"/>
  <c r="Q43" i="24"/>
  <c r="Q333" i="24"/>
  <c r="Q204" i="24"/>
  <c r="Q57" i="24"/>
  <c r="Q124" i="24"/>
  <c r="Q375" i="24"/>
  <c r="Q335" i="24"/>
  <c r="Q170" i="24"/>
  <c r="Q117" i="24"/>
  <c r="Q174" i="24"/>
  <c r="Q273" i="24"/>
  <c r="Q73" i="24"/>
  <c r="Q118" i="24"/>
  <c r="Q32" i="24"/>
  <c r="Q316" i="24"/>
  <c r="Q115" i="24"/>
  <c r="Q263" i="24"/>
  <c r="Q195" i="24"/>
  <c r="Q296" i="24"/>
  <c r="Q334" i="24"/>
  <c r="Q168" i="24"/>
  <c r="Q373" i="24"/>
  <c r="Q194" i="24"/>
  <c r="Q277" i="24"/>
  <c r="Q222" i="24"/>
  <c r="Q362" i="24"/>
  <c r="Q233" i="24"/>
  <c r="Q293" i="24"/>
  <c r="Q258" i="24"/>
  <c r="Q87" i="24"/>
  <c r="Q322" i="24"/>
  <c r="Q346" i="24"/>
  <c r="Q248" i="24"/>
  <c r="Q38" i="24"/>
  <c r="Q191" i="24"/>
  <c r="Q379" i="24"/>
  <c r="Q66" i="24"/>
  <c r="Q304" i="24"/>
  <c r="Q260" i="24"/>
  <c r="Q42" i="24"/>
  <c r="Q190" i="24"/>
  <c r="Q41" i="24"/>
  <c r="Q149" i="24"/>
  <c r="Q299" i="24"/>
  <c r="Q365" i="24"/>
  <c r="Q187" i="24"/>
  <c r="Q266" i="24"/>
  <c r="Q328" i="24"/>
  <c r="Q167" i="24"/>
  <c r="Q238" i="24"/>
  <c r="Q25" i="24"/>
  <c r="Q106" i="24"/>
  <c r="Q166" i="24"/>
  <c r="Q267" i="24"/>
  <c r="Q188" i="24"/>
  <c r="Q345" i="24"/>
  <c r="Q321" i="24"/>
  <c r="Q230" i="24"/>
  <c r="Q27" i="24"/>
  <c r="Q96" i="24"/>
  <c r="Q31" i="24"/>
  <c r="Q172" i="24"/>
  <c r="Q289" i="24"/>
  <c r="Q77" i="24"/>
  <c r="Q85" i="24"/>
  <c r="Q361" i="24"/>
  <c r="Q157" i="24"/>
  <c r="Q114" i="24"/>
  <c r="Q88" i="24"/>
  <c r="Q101" i="24"/>
  <c r="Q290" i="24"/>
  <c r="Q83" i="24"/>
  <c r="Q274" i="24"/>
  <c r="Q356" i="24"/>
  <c r="Q169" i="24"/>
  <c r="Q212" i="24"/>
  <c r="Q349" i="24"/>
  <c r="Q355" i="24"/>
  <c r="Q218" i="24"/>
  <c r="Q323" i="24"/>
  <c r="Q207" i="24"/>
  <c r="Q372" i="24"/>
  <c r="Q369" i="24"/>
  <c r="Q72" i="24"/>
  <c r="Q231" i="24"/>
  <c r="Q146" i="24"/>
  <c r="Q200" i="24"/>
  <c r="Q302" i="24"/>
  <c r="Q136" i="24"/>
  <c r="Q338" i="24"/>
  <c r="Q132" i="24"/>
  <c r="Q189" i="24"/>
  <c r="Q259" i="24"/>
  <c r="Q138" i="24"/>
  <c r="Q377" i="24"/>
  <c r="Q359" i="24"/>
  <c r="Q284" i="24"/>
  <c r="Q121" i="24"/>
  <c r="Q44" i="24"/>
  <c r="Q23" i="24"/>
  <c r="Q278" i="24"/>
  <c r="Q165" i="24"/>
  <c r="Q126" i="24"/>
  <c r="Q216" i="24"/>
  <c r="Q173" i="24"/>
  <c r="Q272" i="24"/>
  <c r="Q235" i="24"/>
  <c r="Q279" i="24"/>
  <c r="Q283" i="24"/>
  <c r="Q239" i="24"/>
  <c r="Q89" i="24"/>
  <c r="Q107" i="24"/>
  <c r="Q220" i="24"/>
  <c r="Q347" i="24"/>
  <c r="Q203" i="24"/>
  <c r="Q326" i="24"/>
  <c r="Q65" i="24"/>
  <c r="Q256" i="24"/>
  <c r="Q22" i="24"/>
  <c r="Q209" i="24"/>
  <c r="Q374" i="24"/>
  <c r="Q133" i="24"/>
  <c r="Q245" i="24"/>
  <c r="Q110" i="24"/>
  <c r="Q376" i="24"/>
  <c r="Q249" i="24"/>
  <c r="Q109" i="24"/>
  <c r="Q358" i="24"/>
  <c r="Q285" i="24"/>
  <c r="Q186" i="24"/>
  <c r="Q164" i="24"/>
  <c r="Q34" i="24"/>
  <c r="Q214" i="24"/>
  <c r="Q94" i="24"/>
  <c r="Q250" i="24"/>
  <c r="Q135" i="24"/>
  <c r="Q229" i="24"/>
  <c r="Q354" i="24"/>
  <c r="Q158" i="24"/>
  <c r="Q327" i="24"/>
  <c r="Q120" i="24"/>
  <c r="Q152" i="24"/>
  <c r="Q49" i="24"/>
  <c r="Q318" i="24"/>
  <c r="Q227" i="24"/>
  <c r="Q282" i="24"/>
  <c r="Q312" i="24"/>
  <c r="Q192" i="24"/>
  <c r="AE57" i="24"/>
  <c r="AE341" i="24"/>
  <c r="AE310" i="24"/>
  <c r="AE299" i="24"/>
  <c r="AE200" i="24"/>
  <c r="AE65" i="24"/>
  <c r="AE157" i="24"/>
  <c r="AE126" i="24"/>
  <c r="AE67" i="24"/>
  <c r="AE32" i="24"/>
  <c r="AE300" i="24"/>
  <c r="AE197" i="24"/>
  <c r="AE166" i="24"/>
  <c r="AE258" i="24"/>
  <c r="AE366" i="24"/>
  <c r="AE275" i="24"/>
  <c r="AE112" i="24"/>
  <c r="AE121" i="24"/>
  <c r="AE42" i="24"/>
  <c r="AE374" i="24"/>
  <c r="AE363" i="24"/>
  <c r="AE264" i="24"/>
  <c r="AE129" i="24"/>
  <c r="AE370" i="24"/>
  <c r="AE343" i="24"/>
  <c r="AE276" i="24"/>
  <c r="AE253" i="24"/>
  <c r="AE158" i="24"/>
  <c r="AE23" i="24"/>
  <c r="AE111" i="24"/>
  <c r="AE76" i="24"/>
  <c r="AE25" i="24"/>
  <c r="AE369" i="24"/>
  <c r="AE226" i="24"/>
  <c r="AE231" i="24"/>
  <c r="AE132" i="24"/>
  <c r="AE365" i="24"/>
  <c r="AE110" i="24"/>
  <c r="AE21" i="24"/>
  <c r="AE223" i="24"/>
  <c r="AE220" i="24"/>
  <c r="AE149" i="24"/>
  <c r="AE118" i="24"/>
  <c r="AE107" i="24"/>
  <c r="AE375" i="24"/>
  <c r="AE244" i="24"/>
  <c r="AE320" i="24"/>
  <c r="AE297" i="24"/>
  <c r="AE250" i="24"/>
  <c r="AE292" i="24"/>
  <c r="AE291" i="24"/>
  <c r="AE332" i="24"/>
  <c r="AE262" i="24"/>
  <c r="AE120" i="24"/>
  <c r="AE109" i="24"/>
  <c r="AE138" i="24"/>
  <c r="AE331" i="24"/>
  <c r="AE225" i="24"/>
  <c r="AE119" i="24"/>
  <c r="AE221" i="24"/>
  <c r="AE131" i="24"/>
  <c r="AE311" i="24"/>
  <c r="AE256" i="24"/>
  <c r="AE186" i="24"/>
  <c r="AE44" i="24"/>
  <c r="AE273" i="24"/>
  <c r="AE263" i="24"/>
  <c r="AE368" i="24"/>
  <c r="AE40" i="24"/>
  <c r="AE252" i="24"/>
  <c r="AE99" i="24"/>
  <c r="AE184" i="24"/>
  <c r="AE66" i="24"/>
  <c r="AE339" i="24"/>
  <c r="AE185" i="24"/>
  <c r="AE182" i="24"/>
  <c r="AE183" i="24"/>
  <c r="AE28" i="24"/>
  <c r="AE314" i="24"/>
  <c r="AE172" i="24"/>
  <c r="AE294" i="24"/>
  <c r="AE280" i="24"/>
  <c r="AE95" i="24"/>
  <c r="AE168" i="24"/>
  <c r="AE82" i="24"/>
  <c r="AE227" i="24"/>
  <c r="AE169" i="24"/>
  <c r="AE79" i="24"/>
  <c r="AE312" i="24"/>
  <c r="AE194" i="24"/>
  <c r="AE37" i="24"/>
  <c r="AE359" i="24"/>
  <c r="AE260" i="24"/>
  <c r="AE237" i="24"/>
  <c r="AE238" i="24"/>
  <c r="AE147" i="24"/>
  <c r="AE351" i="24"/>
  <c r="AE92" i="24"/>
  <c r="AE27" i="24"/>
  <c r="AE353" i="24"/>
  <c r="AE338" i="24"/>
  <c r="AE247" i="24"/>
  <c r="AE116" i="24"/>
  <c r="AE93" i="24"/>
  <c r="AE62" i="24"/>
  <c r="AE122" i="24"/>
  <c r="AE198" i="24"/>
  <c r="AE59" i="24"/>
  <c r="AE56" i="24"/>
  <c r="AE324" i="24"/>
  <c r="AE301" i="24"/>
  <c r="AE302" i="24"/>
  <c r="AE211" i="24"/>
  <c r="AE48" i="24"/>
  <c r="AE313" i="24"/>
  <c r="AE234" i="24"/>
  <c r="AE191" i="24"/>
  <c r="AE188" i="24"/>
  <c r="AE117" i="24"/>
  <c r="AE321" i="24"/>
  <c r="AE50" i="24"/>
  <c r="AE24" i="24"/>
  <c r="AE323" i="24"/>
  <c r="AE288" i="24"/>
  <c r="AE201" i="24"/>
  <c r="AE90" i="24"/>
  <c r="AE47" i="24"/>
  <c r="AE379" i="24"/>
  <c r="AE12" i="25" s="1"/>
  <c r="AE229" i="24"/>
  <c r="AE305" i="24"/>
  <c r="AE162" i="24"/>
  <c r="AE167" i="24"/>
  <c r="AE68" i="24"/>
  <c r="AE45" i="24"/>
  <c r="AE46" i="24"/>
  <c r="AE330" i="24"/>
  <c r="AE159" i="24"/>
  <c r="AE267" i="24"/>
  <c r="AE232" i="24"/>
  <c r="AE161" i="24"/>
  <c r="AE146" i="24"/>
  <c r="AE141" i="24"/>
  <c r="AE170" i="24"/>
  <c r="AE124" i="24"/>
  <c r="AE257" i="24"/>
  <c r="AE215" i="24"/>
  <c r="AE335" i="24"/>
  <c r="AE133" i="24"/>
  <c r="AE91" i="24"/>
  <c r="AE356" i="24"/>
  <c r="AE103" i="24"/>
  <c r="AE336" i="24"/>
  <c r="AE177" i="24"/>
  <c r="AE142" i="24"/>
  <c r="AE38" i="24"/>
  <c r="AE309" i="24"/>
  <c r="AE139" i="24"/>
  <c r="AE289" i="24"/>
  <c r="AE286" i="24"/>
  <c r="AE128" i="24"/>
  <c r="AE58" i="24"/>
  <c r="AE304" i="24"/>
  <c r="AE214" i="24"/>
  <c r="AE279" i="24"/>
  <c r="AE189" i="24"/>
  <c r="AE346" i="24"/>
  <c r="AE268" i="24"/>
  <c r="AE49" i="24"/>
  <c r="AE270" i="24"/>
  <c r="AE144" i="24"/>
  <c r="AE74" i="24"/>
  <c r="AE156" i="24"/>
  <c r="AE54" i="24"/>
  <c r="AE364" i="24"/>
  <c r="AE337" i="24"/>
  <c r="AE327" i="24"/>
  <c r="AE77" i="24"/>
  <c r="AE362" i="24"/>
  <c r="AE316" i="24"/>
  <c r="AE86" i="24"/>
  <c r="AE298" i="24"/>
  <c r="AE317" i="24"/>
  <c r="AE31" i="24"/>
  <c r="Q99" i="24"/>
  <c r="Q181" i="24"/>
  <c r="Q228" i="24"/>
  <c r="Q325" i="24"/>
  <c r="Q206" i="24"/>
  <c r="Q56" i="24"/>
  <c r="Q341" i="24"/>
  <c r="Q50" i="24"/>
  <c r="Q74" i="24"/>
  <c r="Q270" i="24"/>
  <c r="Q137" i="24"/>
  <c r="Q111" i="24"/>
  <c r="Q18" i="24"/>
  <c r="Q160" i="24"/>
  <c r="Q75" i="24"/>
  <c r="Q276" i="24"/>
  <c r="Q297" i="24"/>
  <c r="Q147" i="24"/>
  <c r="Q210" i="24"/>
  <c r="Q223" i="24"/>
  <c r="Q98" i="24"/>
  <c r="Q363" i="24"/>
  <c r="Q340" i="24"/>
  <c r="Q103" i="24"/>
  <c r="Q350" i="24"/>
  <c r="Q151" i="24"/>
  <c r="Q237" i="24"/>
  <c r="Q153" i="24"/>
  <c r="Q45" i="24"/>
  <c r="Q300" i="24"/>
  <c r="Q15" i="24"/>
  <c r="Q19" i="24"/>
  <c r="Q281" i="24"/>
  <c r="Q102" i="24"/>
  <c r="Q127" i="24"/>
  <c r="Q178" i="24"/>
  <c r="Q28" i="24"/>
  <c r="Q104" i="24"/>
  <c r="Q357" i="24"/>
  <c r="Q286" i="24"/>
  <c r="Q79" i="24"/>
  <c r="Q58" i="24"/>
  <c r="Q70" i="24"/>
  <c r="Q148" i="24"/>
  <c r="Q221" i="24"/>
  <c r="Q161" i="24"/>
  <c r="Q100" i="24"/>
  <c r="Q336" i="24"/>
  <c r="Q226" i="24"/>
  <c r="Q280" i="24"/>
  <c r="Q287" i="24"/>
  <c r="Q298" i="24"/>
  <c r="Q81" i="24"/>
  <c r="Q48" i="24"/>
  <c r="Q339" i="24"/>
  <c r="Q159" i="24"/>
  <c r="Q47" i="24"/>
  <c r="Q29" i="24"/>
  <c r="Q68" i="24"/>
  <c r="Q61" i="24"/>
  <c r="Q240" i="24"/>
  <c r="Q20" i="24"/>
  <c r="Q205" i="24"/>
  <c r="Q246" i="24"/>
  <c r="Q183" i="24"/>
  <c r="Q176" i="24"/>
  <c r="Q367" i="24"/>
  <c r="Q171" i="24"/>
  <c r="Q82" i="24"/>
  <c r="Q179" i="24"/>
  <c r="Q46" i="24"/>
  <c r="Q123" i="24"/>
  <c r="Q51" i="24"/>
  <c r="Q144" i="24"/>
  <c r="Q305" i="24"/>
  <c r="Q314" i="24"/>
  <c r="Q17" i="24"/>
  <c r="Q150" i="24"/>
  <c r="Q208" i="24"/>
  <c r="Q343" i="24"/>
  <c r="Q224" i="24"/>
  <c r="Q219" i="24"/>
  <c r="Q331" i="24"/>
  <c r="Q55" i="24"/>
  <c r="Q122" i="24"/>
  <c r="Q53" i="24"/>
  <c r="Q78" i="24"/>
  <c r="Q16" i="24"/>
  <c r="Q40" i="24"/>
  <c r="Q59" i="24"/>
  <c r="Q364" i="24"/>
  <c r="Q215" i="24"/>
  <c r="Q93" i="24"/>
  <c r="Q67" i="24"/>
  <c r="Q52" i="24"/>
  <c r="Q366" i="24"/>
  <c r="Q182" i="24"/>
  <c r="Q332" i="24"/>
  <c r="Q154" i="24"/>
  <c r="Q116" i="24"/>
  <c r="Q291" i="24"/>
  <c r="Q140" i="24"/>
  <c r="Q185" i="24"/>
  <c r="Q225" i="24"/>
  <c r="Q301" i="24"/>
  <c r="Q269" i="24"/>
  <c r="Q119" i="24"/>
  <c r="Q80" i="24"/>
  <c r="Q125" i="24"/>
  <c r="Q378" i="24"/>
  <c r="Q143" i="24"/>
  <c r="Q39" i="24"/>
  <c r="Q368" i="24"/>
  <c r="Q234" i="24"/>
  <c r="Q196" i="24"/>
  <c r="Q306" i="24"/>
  <c r="Q130" i="24"/>
  <c r="Q69" i="24"/>
  <c r="Q319" i="24"/>
  <c r="Q275" i="24"/>
  <c r="Q145" i="24"/>
  <c r="Q24" i="24"/>
  <c r="Q197" i="24"/>
  <c r="Q142" i="24"/>
  <c r="Q308" i="24"/>
  <c r="Q105" i="24"/>
  <c r="Q90" i="24"/>
  <c r="Q91" i="24"/>
  <c r="Q254" i="24"/>
  <c r="Q71" i="24"/>
  <c r="Q307" i="24"/>
  <c r="Q184" i="24"/>
  <c r="Q199" i="24"/>
  <c r="Q351" i="24"/>
  <c r="Q162" i="24"/>
  <c r="Q213" i="24"/>
  <c r="Q177" i="24"/>
  <c r="Q243" i="24"/>
  <c r="Q353" i="24"/>
  <c r="Q315" i="24"/>
  <c r="Q310" i="24"/>
  <c r="Q128" i="24"/>
  <c r="Q180" i="24"/>
  <c r="Q60" i="24"/>
  <c r="Q268" i="24"/>
  <c r="Q360" i="24"/>
  <c r="Q264" i="24"/>
  <c r="Q295" i="24"/>
  <c r="Q255" i="24"/>
  <c r="Q242" i="24"/>
  <c r="Q261" i="24"/>
  <c r="Q265" i="24"/>
  <c r="Q244" i="24"/>
  <c r="Q155" i="24"/>
  <c r="Q320" i="24"/>
  <c r="Q193" i="24"/>
  <c r="Q134" i="24"/>
  <c r="Q84" i="24"/>
  <c r="Q236" i="24"/>
  <c r="Q348" i="24"/>
  <c r="Q198" i="24"/>
  <c r="Q241" i="24"/>
  <c r="Q163" i="24"/>
  <c r="Q54" i="24"/>
  <c r="Q253" i="24"/>
  <c r="Q247" i="24"/>
  <c r="Q36" i="24"/>
  <c r="Q26" i="24"/>
  <c r="Q344" i="24"/>
  <c r="Q313" i="24"/>
  <c r="Q97" i="24"/>
  <c r="Q86" i="24"/>
  <c r="Q63" i="24"/>
  <c r="Q108" i="24"/>
  <c r="Q33" i="24"/>
  <c r="Q76" i="24"/>
  <c r="Q21" i="24"/>
  <c r="Q271" i="24"/>
  <c r="Q311" i="24"/>
  <c r="Q112" i="24"/>
  <c r="Q251" i="24"/>
  <c r="I288" i="22"/>
  <c r="H288" i="23" s="1"/>
  <c r="J288" i="22"/>
  <c r="G119" i="22"/>
  <c r="CC119" i="6" s="1"/>
  <c r="AA119" i="22"/>
  <c r="Z119" i="22" s="1"/>
  <c r="Y119" i="22" s="1"/>
  <c r="I319" i="22"/>
  <c r="H319" i="23" s="1"/>
  <c r="J319" i="22"/>
  <c r="AJ7" i="18"/>
  <c r="E15" i="18"/>
  <c r="AJ9" i="18" s="1"/>
  <c r="D383" i="18"/>
  <c r="AJ8" i="18"/>
  <c r="D381" i="18"/>
  <c r="D382" i="18"/>
  <c r="D9" i="18"/>
  <c r="D11" i="18" s="1"/>
  <c r="Y381" i="17"/>
  <c r="Y383" i="17"/>
  <c r="AM6" i="17"/>
  <c r="AM12" i="17" s="1"/>
  <c r="X9" i="17"/>
  <c r="AL5" i="17"/>
  <c r="AL11" i="17" s="1"/>
  <c r="Y382" i="17"/>
  <c r="I227" i="22"/>
  <c r="J227" i="22"/>
  <c r="G210" i="22"/>
  <c r="CC210" i="6" s="1"/>
  <c r="AA210" i="22"/>
  <c r="Z210" i="22" s="1"/>
  <c r="Y210" i="22" s="1"/>
  <c r="I333" i="22"/>
  <c r="J333" i="22"/>
  <c r="AH15" i="23"/>
  <c r="AI12" i="24"/>
  <c r="AH379" i="23"/>
  <c r="AG379" i="23" s="1"/>
  <c r="AF379" i="23" s="1"/>
  <c r="AD379" i="23" s="1"/>
  <c r="AA363" i="22"/>
  <c r="Z363" i="22" s="1"/>
  <c r="Y363" i="22" s="1"/>
  <c r="H363" i="22"/>
  <c r="G363" i="22"/>
  <c r="CC363" i="6" s="1"/>
  <c r="J29" i="22"/>
  <c r="I29" i="22"/>
  <c r="AK9" i="18"/>
  <c r="AM9" i="18"/>
  <c r="AK11" i="18"/>
  <c r="AI11" i="24"/>
  <c r="H301" i="23"/>
  <c r="AA301" i="23"/>
  <c r="Z301" i="23" s="1"/>
  <c r="Y301" i="23" s="1"/>
  <c r="G301" i="23"/>
  <c r="CD301" i="6" s="1"/>
  <c r="W137" i="23"/>
  <c r="D137" i="23"/>
  <c r="E137" i="23" s="1"/>
  <c r="F137" i="23" s="1"/>
  <c r="G100" i="23"/>
  <c r="CD100" i="6" s="1"/>
  <c r="AA100" i="23"/>
  <c r="Z100" i="23" s="1"/>
  <c r="Y100" i="23" s="1"/>
  <c r="H100" i="23"/>
  <c r="G352" i="23"/>
  <c r="CD352" i="6" s="1"/>
  <c r="H352" i="23"/>
  <c r="H238" i="23"/>
  <c r="AA82" i="23"/>
  <c r="Z82" i="23" s="1"/>
  <c r="Y82" i="23" s="1"/>
  <c r="G82" i="23"/>
  <c r="CD82" i="6" s="1"/>
  <c r="H82" i="23"/>
  <c r="AA300" i="23"/>
  <c r="Z300" i="23" s="1"/>
  <c r="Y300" i="23" s="1"/>
  <c r="G300" i="23"/>
  <c r="CD300" i="6" s="1"/>
  <c r="H300" i="23"/>
  <c r="G151" i="23"/>
  <c r="CD151" i="6" s="1"/>
  <c r="H151" i="23"/>
  <c r="AA151" i="23"/>
  <c r="Z151" i="23" s="1"/>
  <c r="Y151" i="23" s="1"/>
  <c r="D60" i="23"/>
  <c r="E60" i="23" s="1"/>
  <c r="F60" i="23" s="1"/>
  <c r="W60" i="23"/>
  <c r="H257" i="23"/>
  <c r="G257" i="23"/>
  <c r="CD257" i="6" s="1"/>
  <c r="AA317" i="23"/>
  <c r="Z317" i="23" s="1"/>
  <c r="Y317" i="23" s="1"/>
  <c r="G317" i="23"/>
  <c r="CD317" i="6" s="1"/>
  <c r="H317" i="23"/>
  <c r="G218" i="23"/>
  <c r="CD218" i="6" s="1"/>
  <c r="AA218" i="23"/>
  <c r="Z218" i="23" s="1"/>
  <c r="Y218" i="23" s="1"/>
  <c r="H218" i="23"/>
  <c r="G284" i="23"/>
  <c r="CD284" i="6" s="1"/>
  <c r="AA284" i="23"/>
  <c r="Z284" i="23" s="1"/>
  <c r="Y284" i="23" s="1"/>
  <c r="H284" i="23"/>
  <c r="AA225" i="23"/>
  <c r="Z225" i="23" s="1"/>
  <c r="Y225" i="23" s="1"/>
  <c r="G225" i="23"/>
  <c r="CD225" i="6" s="1"/>
  <c r="H225" i="23"/>
  <c r="AA27" i="23"/>
  <c r="Z27" i="23" s="1"/>
  <c r="Y27" i="23" s="1"/>
  <c r="G27" i="23"/>
  <c r="CD27" i="6" s="1"/>
  <c r="H27" i="23"/>
  <c r="G31" i="23"/>
  <c r="CD31" i="6" s="1"/>
  <c r="AA31" i="23"/>
  <c r="Z31" i="23" s="1"/>
  <c r="Y31" i="23" s="1"/>
  <c r="H31" i="23"/>
  <c r="H295" i="23"/>
  <c r="AA295" i="23"/>
  <c r="Z295" i="23" s="1"/>
  <c r="Y295" i="23" s="1"/>
  <c r="G295" i="23"/>
  <c r="CD295" i="6" s="1"/>
  <c r="H202" i="23"/>
  <c r="G202" i="23"/>
  <c r="CD202" i="6" s="1"/>
  <c r="H61" i="23"/>
  <c r="G61" i="23"/>
  <c r="CD61" i="6" s="1"/>
  <c r="AA61" i="23"/>
  <c r="Z61" i="23" s="1"/>
  <c r="Y61" i="23" s="1"/>
  <c r="AA34" i="23"/>
  <c r="Z34" i="23" s="1"/>
  <c r="Y34" i="23" s="1"/>
  <c r="AA255" i="23"/>
  <c r="Z255" i="23" s="1"/>
  <c r="Y255" i="23" s="1"/>
  <c r="G255" i="23"/>
  <c r="CD255" i="6" s="1"/>
  <c r="H255" i="23"/>
  <c r="G223" i="23"/>
  <c r="CD223" i="6" s="1"/>
  <c r="AA223" i="23"/>
  <c r="Z223" i="23" s="1"/>
  <c r="Y223" i="23" s="1"/>
  <c r="H223" i="23"/>
  <c r="H20" i="23"/>
  <c r="G20" i="23"/>
  <c r="CD20" i="6" s="1"/>
  <c r="AA20" i="23"/>
  <c r="Z20" i="23" s="1"/>
  <c r="Y20" i="23" s="1"/>
  <c r="G134" i="23"/>
  <c r="CD134" i="6" s="1"/>
  <c r="AA134" i="23"/>
  <c r="Z134" i="23" s="1"/>
  <c r="Y134" i="23" s="1"/>
  <c r="H134" i="23"/>
  <c r="C68" i="19"/>
  <c r="AA40" i="23"/>
  <c r="Z40" i="23" s="1"/>
  <c r="Y40" i="23" s="1"/>
  <c r="H26" i="23"/>
  <c r="G79" i="23"/>
  <c r="CD79" i="6" s="1"/>
  <c r="AA79" i="23"/>
  <c r="Z79" i="23" s="1"/>
  <c r="Y79" i="23" s="1"/>
  <c r="H79" i="23"/>
  <c r="H314" i="23"/>
  <c r="G314" i="23"/>
  <c r="CD314" i="6" s="1"/>
  <c r="AA314" i="23"/>
  <c r="Z314" i="23" s="1"/>
  <c r="Y314" i="23" s="1"/>
  <c r="W349" i="23"/>
  <c r="D349" i="23"/>
  <c r="E349" i="23" s="1"/>
  <c r="F349" i="23" s="1"/>
  <c r="H35" i="23"/>
  <c r="AA35" i="23"/>
  <c r="Z35" i="23" s="1"/>
  <c r="Y35" i="23" s="1"/>
  <c r="G35" i="23"/>
  <c r="CD35" i="6" s="1"/>
  <c r="G258" i="23"/>
  <c r="CD258" i="6" s="1"/>
  <c r="AA258" i="23"/>
  <c r="Z258" i="23" s="1"/>
  <c r="Y258" i="23" s="1"/>
  <c r="H341" i="23"/>
  <c r="AA341" i="23"/>
  <c r="Z341" i="23" s="1"/>
  <c r="Y341" i="23" s="1"/>
  <c r="G341" i="23"/>
  <c r="CD341" i="6" s="1"/>
  <c r="G194" i="23"/>
  <c r="CD194" i="6" s="1"/>
  <c r="H194" i="23"/>
  <c r="D326" i="23"/>
  <c r="E326" i="23" s="1"/>
  <c r="F326" i="23" s="1"/>
  <c r="W326" i="23"/>
  <c r="D109" i="23"/>
  <c r="E109" i="23" s="1"/>
  <c r="F109" i="23" s="1"/>
  <c r="W109" i="23"/>
  <c r="D170" i="23"/>
  <c r="E170" i="23" s="1"/>
  <c r="F170" i="23" s="1"/>
  <c r="W170" i="23"/>
  <c r="H191" i="23"/>
  <c r="G191" i="23"/>
  <c r="CD191" i="6" s="1"/>
  <c r="AA191" i="23"/>
  <c r="Z191" i="23" s="1"/>
  <c r="Y191" i="23" s="1"/>
  <c r="H248" i="23"/>
  <c r="AA248" i="23"/>
  <c r="Z248" i="23" s="1"/>
  <c r="Y248" i="23" s="1"/>
  <c r="G248" i="23"/>
  <c r="CD248" i="6" s="1"/>
  <c r="G267" i="23"/>
  <c r="CD267" i="6" s="1"/>
  <c r="H267" i="23"/>
  <c r="D196" i="23"/>
  <c r="E196" i="23" s="1"/>
  <c r="F196" i="23" s="1"/>
  <c r="W196" i="23"/>
  <c r="W289" i="23"/>
  <c r="D289" i="23"/>
  <c r="E289" i="23" s="1"/>
  <c r="F289" i="23" s="1"/>
  <c r="W234" i="23"/>
  <c r="D234" i="23"/>
  <c r="E234" i="23" s="1"/>
  <c r="F234" i="23" s="1"/>
  <c r="W74" i="23"/>
  <c r="D74" i="23"/>
  <c r="E74" i="23" s="1"/>
  <c r="F74" i="23" s="1"/>
  <c r="AA307" i="23"/>
  <c r="Z307" i="23" s="1"/>
  <c r="Y307" i="23" s="1"/>
  <c r="H307" i="23"/>
  <c r="G307" i="23"/>
  <c r="CD307" i="6" s="1"/>
  <c r="AA268" i="23"/>
  <c r="Z268" i="23" s="1"/>
  <c r="Y268" i="23" s="1"/>
  <c r="G268" i="23"/>
  <c r="CD268" i="6" s="1"/>
  <c r="H268" i="23"/>
  <c r="G206" i="23"/>
  <c r="CD206" i="6" s="1"/>
  <c r="AA206" i="23"/>
  <c r="Z206" i="23" s="1"/>
  <c r="Y206" i="23" s="1"/>
  <c r="H206" i="23"/>
  <c r="W51" i="23"/>
  <c r="D51" i="23"/>
  <c r="E51" i="23" s="1"/>
  <c r="F51" i="23" s="1"/>
  <c r="W29" i="23"/>
  <c r="D29" i="23"/>
  <c r="E29" i="23" s="1"/>
  <c r="F29" i="23" s="1"/>
  <c r="D263" i="23"/>
  <c r="E263" i="23" s="1"/>
  <c r="F263" i="23" s="1"/>
  <c r="W263" i="23"/>
  <c r="G199" i="23"/>
  <c r="CD199" i="6" s="1"/>
  <c r="H199" i="23"/>
  <c r="AA199" i="23"/>
  <c r="Z199" i="23" s="1"/>
  <c r="Y199" i="23" s="1"/>
  <c r="H162" i="23"/>
  <c r="G162" i="23"/>
  <c r="CD162" i="6" s="1"/>
  <c r="AA162" i="23"/>
  <c r="Z162" i="23" s="1"/>
  <c r="Y162" i="23" s="1"/>
  <c r="AI382" i="23" l="1"/>
  <c r="AI383" i="23"/>
  <c r="AD154" i="23"/>
  <c r="AI381" i="23"/>
  <c r="N66" i="19"/>
  <c r="AC382" i="25"/>
  <c r="AC381" i="25"/>
  <c r="AC383" i="25"/>
  <c r="O383" i="25"/>
  <c r="O382" i="25"/>
  <c r="O381" i="25"/>
  <c r="F14" i="19"/>
  <c r="G56" i="23"/>
  <c r="CD56" i="6" s="1"/>
  <c r="G26" i="23"/>
  <c r="CD26" i="6" s="1"/>
  <c r="G281" i="23"/>
  <c r="CD281" i="6" s="1"/>
  <c r="AA16" i="23"/>
  <c r="Z16" i="23" s="1"/>
  <c r="Y16" i="23" s="1"/>
  <c r="H56" i="23"/>
  <c r="I56" i="23" s="1"/>
  <c r="AJ5" i="20"/>
  <c r="AK5" i="20"/>
  <c r="G63" i="23"/>
  <c r="CD63" i="6" s="1"/>
  <c r="G280" i="23"/>
  <c r="CD280" i="6" s="1"/>
  <c r="V379" i="23"/>
  <c r="B379" i="23" s="1"/>
  <c r="W379" i="23" s="1"/>
  <c r="D42" i="19"/>
  <c r="E39" i="19"/>
  <c r="H280" i="23"/>
  <c r="J280" i="23" s="1"/>
  <c r="G250" i="23"/>
  <c r="CD250" i="6" s="1"/>
  <c r="H132" i="23"/>
  <c r="J132" i="23" s="1"/>
  <c r="H201" i="23"/>
  <c r="I201" i="23" s="1"/>
  <c r="G238" i="23"/>
  <c r="CD238" i="6" s="1"/>
  <c r="U10" i="24"/>
  <c r="AJ11" i="18"/>
  <c r="G115" i="23"/>
  <c r="CD115" i="6" s="1"/>
  <c r="G84" i="23"/>
  <c r="CD84" i="6" s="1"/>
  <c r="G132" i="23"/>
  <c r="CD132" i="6" s="1"/>
  <c r="AA376" i="23"/>
  <c r="Z376" i="23" s="1"/>
  <c r="Y376" i="23" s="1"/>
  <c r="U340" i="24"/>
  <c r="T340" i="24" s="1"/>
  <c r="U335" i="24"/>
  <c r="T335" i="24" s="1"/>
  <c r="S335" i="24" s="1"/>
  <c r="R335" i="24" s="1"/>
  <c r="P335" i="24" s="1"/>
  <c r="V335" i="24" s="1"/>
  <c r="B335" i="24" s="1"/>
  <c r="U243" i="24"/>
  <c r="T243" i="24" s="1"/>
  <c r="U254" i="24"/>
  <c r="T254" i="24" s="1"/>
  <c r="S254" i="24" s="1"/>
  <c r="R254" i="24" s="1"/>
  <c r="P254" i="24" s="1"/>
  <c r="V254" i="24" s="1"/>
  <c r="B254" i="24" s="1"/>
  <c r="U97" i="24"/>
  <c r="T97" i="24" s="1"/>
  <c r="U279" i="24"/>
  <c r="T279" i="24" s="1"/>
  <c r="S279" i="24" s="1"/>
  <c r="R279" i="24" s="1"/>
  <c r="P279" i="24" s="1"/>
  <c r="V279" i="24" s="1"/>
  <c r="B279" i="24" s="1"/>
  <c r="U55" i="24"/>
  <c r="T55" i="24" s="1"/>
  <c r="U175" i="24"/>
  <c r="T175" i="24" s="1"/>
  <c r="S175" i="24" s="1"/>
  <c r="R175" i="24" s="1"/>
  <c r="P175" i="24" s="1"/>
  <c r="V175" i="24" s="1"/>
  <c r="B175" i="24" s="1"/>
  <c r="U40" i="24"/>
  <c r="T40" i="24" s="1"/>
  <c r="U342" i="24"/>
  <c r="T342" i="24" s="1"/>
  <c r="S342" i="24" s="1"/>
  <c r="R342" i="24" s="1"/>
  <c r="P342" i="24" s="1"/>
  <c r="V342" i="24" s="1"/>
  <c r="B342" i="24" s="1"/>
  <c r="U73" i="24"/>
  <c r="T73" i="24" s="1"/>
  <c r="U375" i="24"/>
  <c r="T375" i="24" s="1"/>
  <c r="S375" i="24" s="1"/>
  <c r="R375" i="24" s="1"/>
  <c r="P375" i="24" s="1"/>
  <c r="V375" i="24" s="1"/>
  <c r="B375" i="24" s="1"/>
  <c r="G374" i="23"/>
  <c r="CD374" i="6" s="1"/>
  <c r="U216" i="24"/>
  <c r="T216" i="24" s="1"/>
  <c r="S216" i="24" s="1"/>
  <c r="R216" i="24" s="1"/>
  <c r="P216" i="24" s="1"/>
  <c r="V216" i="24" s="1"/>
  <c r="B216" i="24" s="1"/>
  <c r="U236" i="24"/>
  <c r="T236" i="24" s="1"/>
  <c r="S236" i="24" s="1"/>
  <c r="R236" i="24" s="1"/>
  <c r="P236" i="24" s="1"/>
  <c r="V236" i="24" s="1"/>
  <c r="B236" i="24" s="1"/>
  <c r="U164" i="24"/>
  <c r="T164" i="24" s="1"/>
  <c r="S164" i="24" s="1"/>
  <c r="R164" i="24" s="1"/>
  <c r="P164" i="24" s="1"/>
  <c r="V164" i="24" s="1"/>
  <c r="B164" i="24" s="1"/>
  <c r="U264" i="24"/>
  <c r="T264" i="24" s="1"/>
  <c r="S264" i="24" s="1"/>
  <c r="R264" i="24" s="1"/>
  <c r="P264" i="24" s="1"/>
  <c r="V264" i="24" s="1"/>
  <c r="B264" i="24" s="1"/>
  <c r="U59" i="24"/>
  <c r="T59" i="24" s="1"/>
  <c r="S59" i="24" s="1"/>
  <c r="R59" i="24" s="1"/>
  <c r="P59" i="24" s="1"/>
  <c r="V59" i="24" s="1"/>
  <c r="B59" i="24" s="1"/>
  <c r="U301" i="24"/>
  <c r="T301" i="24" s="1"/>
  <c r="S301" i="24" s="1"/>
  <c r="R301" i="24" s="1"/>
  <c r="P301" i="24" s="1"/>
  <c r="V301" i="24" s="1"/>
  <c r="B301" i="24" s="1"/>
  <c r="U104" i="24"/>
  <c r="T104" i="24" s="1"/>
  <c r="S104" i="24" s="1"/>
  <c r="R104" i="24" s="1"/>
  <c r="P104" i="24" s="1"/>
  <c r="V104" i="24" s="1"/>
  <c r="B104" i="24" s="1"/>
  <c r="U210" i="24"/>
  <c r="T210" i="24" s="1"/>
  <c r="S210" i="24" s="1"/>
  <c r="R210" i="24" s="1"/>
  <c r="P210" i="24" s="1"/>
  <c r="U69" i="24"/>
  <c r="T69" i="24" s="1"/>
  <c r="S69" i="24" s="1"/>
  <c r="R69" i="24" s="1"/>
  <c r="P69" i="24" s="1"/>
  <c r="V69" i="24" s="1"/>
  <c r="B69" i="24" s="1"/>
  <c r="U214" i="24"/>
  <c r="T214" i="24" s="1"/>
  <c r="S214" i="24" s="1"/>
  <c r="R214" i="24" s="1"/>
  <c r="P214" i="24" s="1"/>
  <c r="V214" i="24" s="1"/>
  <c r="B214" i="24" s="1"/>
  <c r="U290" i="24"/>
  <c r="T290" i="24" s="1"/>
  <c r="S290" i="24" s="1"/>
  <c r="R290" i="24" s="1"/>
  <c r="P290" i="24" s="1"/>
  <c r="V290" i="24" s="1"/>
  <c r="B290" i="24" s="1"/>
  <c r="U285" i="24"/>
  <c r="T285" i="24" s="1"/>
  <c r="S285" i="24" s="1"/>
  <c r="R285" i="24" s="1"/>
  <c r="P285" i="24" s="1"/>
  <c r="V285" i="24" s="1"/>
  <c r="B285" i="24" s="1"/>
  <c r="U189" i="24"/>
  <c r="T189" i="24" s="1"/>
  <c r="S189" i="24" s="1"/>
  <c r="R189" i="24" s="1"/>
  <c r="P189" i="24" s="1"/>
  <c r="V189" i="24" s="1"/>
  <c r="B189" i="24" s="1"/>
  <c r="G201" i="23"/>
  <c r="CD201" i="6" s="1"/>
  <c r="H235" i="23"/>
  <c r="I235" i="23" s="1"/>
  <c r="G376" i="23"/>
  <c r="CD376" i="6" s="1"/>
  <c r="H346" i="23"/>
  <c r="I346" i="23" s="1"/>
  <c r="H374" i="23"/>
  <c r="J374" i="23" s="1"/>
  <c r="H327" i="23"/>
  <c r="I327" i="23" s="1"/>
  <c r="H34" i="23"/>
  <c r="J34" i="23" s="1"/>
  <c r="H115" i="23"/>
  <c r="J115" i="23" s="1"/>
  <c r="H236" i="23"/>
  <c r="I236" i="23" s="1"/>
  <c r="I160" i="23"/>
  <c r="AA142" i="23"/>
  <c r="Z142" i="23" s="1"/>
  <c r="Y142" i="23" s="1"/>
  <c r="G310" i="23"/>
  <c r="CD310" i="6" s="1"/>
  <c r="AA236" i="23"/>
  <c r="Z236" i="23" s="1"/>
  <c r="Y236" i="23" s="1"/>
  <c r="H187" i="23"/>
  <c r="J187" i="23" s="1"/>
  <c r="J113" i="23"/>
  <c r="AA25" i="23"/>
  <c r="Z25" i="23" s="1"/>
  <c r="Y25" i="23" s="1"/>
  <c r="H142" i="23"/>
  <c r="J142" i="23" s="1"/>
  <c r="AA250" i="23"/>
  <c r="Z250" i="23" s="1"/>
  <c r="Y250" i="23" s="1"/>
  <c r="AA84" i="23"/>
  <c r="Z84" i="23" s="1"/>
  <c r="Y84" i="23" s="1"/>
  <c r="AA184" i="23"/>
  <c r="Z184" i="23" s="1"/>
  <c r="Y184" i="23" s="1"/>
  <c r="AA205" i="23"/>
  <c r="Z205" i="23" s="1"/>
  <c r="Y205" i="23" s="1"/>
  <c r="H63" i="23"/>
  <c r="J63" i="23" s="1"/>
  <c r="H261" i="23"/>
  <c r="J261" i="23" s="1"/>
  <c r="G25" i="23"/>
  <c r="CD25" i="6" s="1"/>
  <c r="G184" i="23"/>
  <c r="CD184" i="6" s="1"/>
  <c r="G205" i="23"/>
  <c r="CD205" i="6" s="1"/>
  <c r="G62" i="23"/>
  <c r="CD62" i="6" s="1"/>
  <c r="H281" i="23"/>
  <c r="I281" i="23" s="1"/>
  <c r="G200" i="23"/>
  <c r="CD200" i="6" s="1"/>
  <c r="G16" i="23"/>
  <c r="CD16" i="6" s="1"/>
  <c r="AA327" i="23"/>
  <c r="Z327" i="23" s="1"/>
  <c r="Y327" i="23" s="1"/>
  <c r="G226" i="23"/>
  <c r="CD226" i="6" s="1"/>
  <c r="H350" i="23"/>
  <c r="I350" i="23" s="1"/>
  <c r="AA344" i="23"/>
  <c r="Z344" i="23" s="1"/>
  <c r="Y344" i="23" s="1"/>
  <c r="J372" i="23"/>
  <c r="H344" i="23"/>
  <c r="J344" i="23" s="1"/>
  <c r="AA173" i="23"/>
  <c r="Z173" i="23" s="1"/>
  <c r="Y173" i="23" s="1"/>
  <c r="AA172" i="23"/>
  <c r="Z172" i="23" s="1"/>
  <c r="Y172" i="23" s="1"/>
  <c r="AA323" i="23"/>
  <c r="Z323" i="23" s="1"/>
  <c r="Y323" i="23" s="1"/>
  <c r="H116" i="23"/>
  <c r="I116" i="23" s="1"/>
  <c r="I111" i="23"/>
  <c r="I330" i="23"/>
  <c r="AA187" i="23"/>
  <c r="Z187" i="23" s="1"/>
  <c r="Y187" i="23" s="1"/>
  <c r="J66" i="23"/>
  <c r="H279" i="23"/>
  <c r="J279" i="23" s="1"/>
  <c r="H62" i="23"/>
  <c r="J62" i="23" s="1"/>
  <c r="G235" i="23"/>
  <c r="CD235" i="6" s="1"/>
  <c r="AA346" i="23"/>
  <c r="Z346" i="23" s="1"/>
  <c r="Y346" i="23" s="1"/>
  <c r="H200" i="23"/>
  <c r="J200" i="23" s="1"/>
  <c r="H40" i="23"/>
  <c r="I40" i="23" s="1"/>
  <c r="AA226" i="23"/>
  <c r="Z226" i="23" s="1"/>
  <c r="Y226" i="23" s="1"/>
  <c r="G350" i="23"/>
  <c r="CD350" i="6" s="1"/>
  <c r="AA17" i="23"/>
  <c r="Z17" i="23" s="1"/>
  <c r="Y17" i="23" s="1"/>
  <c r="AA335" i="23"/>
  <c r="Z335" i="23" s="1"/>
  <c r="Y335" i="23" s="1"/>
  <c r="AA294" i="23"/>
  <c r="Z294" i="23" s="1"/>
  <c r="Y294" i="23" s="1"/>
  <c r="AA72" i="23"/>
  <c r="Z72" i="23" s="1"/>
  <c r="Y72" i="23" s="1"/>
  <c r="H310" i="23"/>
  <c r="I310" i="23" s="1"/>
  <c r="G172" i="23"/>
  <c r="CD172" i="6" s="1"/>
  <c r="G261" i="23"/>
  <c r="CD261" i="6" s="1"/>
  <c r="G116" i="23"/>
  <c r="CD116" i="6" s="1"/>
  <c r="I303" i="23"/>
  <c r="I45" i="23"/>
  <c r="J278" i="23"/>
  <c r="I89" i="23"/>
  <c r="AA279" i="23"/>
  <c r="Z279" i="23" s="1"/>
  <c r="Y279" i="23" s="1"/>
  <c r="AA351" i="23"/>
  <c r="Z351" i="23" s="1"/>
  <c r="Y351" i="23" s="1"/>
  <c r="J340" i="23"/>
  <c r="I340" i="23"/>
  <c r="J183" i="23"/>
  <c r="AA315" i="23"/>
  <c r="Z315" i="23" s="1"/>
  <c r="Y315" i="23" s="1"/>
  <c r="AA121" i="23"/>
  <c r="Z121" i="23" s="1"/>
  <c r="Y121" i="23" s="1"/>
  <c r="AA80" i="23"/>
  <c r="Z80" i="23" s="1"/>
  <c r="Y80" i="23" s="1"/>
  <c r="AA285" i="23"/>
  <c r="Z285" i="23" s="1"/>
  <c r="Y285" i="23" s="1"/>
  <c r="AA127" i="23"/>
  <c r="Z127" i="23" s="1"/>
  <c r="Y127" i="23" s="1"/>
  <c r="AA355" i="23"/>
  <c r="Z355" i="23" s="1"/>
  <c r="Y355" i="23" s="1"/>
  <c r="AA362" i="23"/>
  <c r="Z362" i="23" s="1"/>
  <c r="Y362" i="23" s="1"/>
  <c r="AA190" i="23"/>
  <c r="Z190" i="23" s="1"/>
  <c r="Y190" i="23" s="1"/>
  <c r="I244" i="23"/>
  <c r="H227" i="23"/>
  <c r="J227" i="23" s="1"/>
  <c r="AA227" i="23"/>
  <c r="Z227" i="23" s="1"/>
  <c r="Y227" i="23" s="1"/>
  <c r="H274" i="23"/>
  <c r="AA274" i="23"/>
  <c r="Z274" i="23" s="1"/>
  <c r="Y274" i="23" s="1"/>
  <c r="AA357" i="23"/>
  <c r="Z357" i="23" s="1"/>
  <c r="Y357" i="23" s="1"/>
  <c r="AA126" i="23"/>
  <c r="Z126" i="23" s="1"/>
  <c r="Y126" i="23" s="1"/>
  <c r="AA153" i="23"/>
  <c r="Z153" i="23" s="1"/>
  <c r="Y153" i="23" s="1"/>
  <c r="I38" i="23"/>
  <c r="J38" i="23"/>
  <c r="J277" i="23"/>
  <c r="I277" i="23"/>
  <c r="AA135" i="23"/>
  <c r="Z135" i="23" s="1"/>
  <c r="Y135" i="23" s="1"/>
  <c r="I240" i="23"/>
  <c r="H135" i="23"/>
  <c r="I135" i="23" s="1"/>
  <c r="AA96" i="23"/>
  <c r="Z96" i="23" s="1"/>
  <c r="Y96" i="23" s="1"/>
  <c r="AA37" i="23"/>
  <c r="Z37" i="23" s="1"/>
  <c r="Y37" i="23" s="1"/>
  <c r="AA49" i="23"/>
  <c r="Z49" i="23" s="1"/>
  <c r="Y49" i="23" s="1"/>
  <c r="AA175" i="23"/>
  <c r="Z175" i="23" s="1"/>
  <c r="Y175" i="23" s="1"/>
  <c r="AA208" i="23"/>
  <c r="Z208" i="23" s="1"/>
  <c r="Y208" i="23" s="1"/>
  <c r="I325" i="23"/>
  <c r="J325" i="23"/>
  <c r="I242" i="23"/>
  <c r="J242" i="23"/>
  <c r="J286" i="23"/>
  <c r="I286" i="23"/>
  <c r="J276" i="23"/>
  <c r="I276" i="23"/>
  <c r="J54" i="23"/>
  <c r="I54" i="23"/>
  <c r="I19" i="23"/>
  <c r="J19" i="23"/>
  <c r="I77" i="23"/>
  <c r="J77" i="23"/>
  <c r="J273" i="23"/>
  <c r="I273" i="23"/>
  <c r="I55" i="23"/>
  <c r="J55" i="23"/>
  <c r="I103" i="23"/>
  <c r="J103" i="23"/>
  <c r="J253" i="23"/>
  <c r="I253" i="23"/>
  <c r="I342" i="23"/>
  <c r="J342" i="23"/>
  <c r="J99" i="23"/>
  <c r="I99" i="23"/>
  <c r="I22" i="23"/>
  <c r="J22" i="23"/>
  <c r="I102" i="23"/>
  <c r="J102" i="23"/>
  <c r="J262" i="23"/>
  <c r="I262" i="23"/>
  <c r="I204" i="23"/>
  <c r="J204" i="23"/>
  <c r="J212" i="23"/>
  <c r="I212" i="23"/>
  <c r="G207" i="23"/>
  <c r="CD207" i="6" s="1"/>
  <c r="AA207" i="23"/>
  <c r="Z207" i="23" s="1"/>
  <c r="Y207" i="23" s="1"/>
  <c r="G148" i="23"/>
  <c r="CD148" i="6" s="1"/>
  <c r="AA148" i="23"/>
  <c r="Z148" i="23" s="1"/>
  <c r="Y148" i="23" s="1"/>
  <c r="G361" i="23"/>
  <c r="CD361" i="6" s="1"/>
  <c r="AA361" i="23"/>
  <c r="Z361" i="23" s="1"/>
  <c r="Y361" i="23" s="1"/>
  <c r="G193" i="23"/>
  <c r="CD193" i="6" s="1"/>
  <c r="AA193" i="23"/>
  <c r="Z193" i="23" s="1"/>
  <c r="Y193" i="23" s="1"/>
  <c r="AA359" i="23"/>
  <c r="Z359" i="23" s="1"/>
  <c r="Y359" i="23" s="1"/>
  <c r="G359" i="23"/>
  <c r="CD359" i="6" s="1"/>
  <c r="AA104" i="23"/>
  <c r="Z104" i="23" s="1"/>
  <c r="Y104" i="23" s="1"/>
  <c r="G104" i="23"/>
  <c r="CD104" i="6" s="1"/>
  <c r="AA368" i="23"/>
  <c r="Z368" i="23" s="1"/>
  <c r="Y368" i="23" s="1"/>
  <c r="G368" i="23"/>
  <c r="CD368" i="6" s="1"/>
  <c r="AA78" i="23"/>
  <c r="Z78" i="23" s="1"/>
  <c r="Y78" i="23" s="1"/>
  <c r="G78" i="23"/>
  <c r="CD78" i="6" s="1"/>
  <c r="G354" i="23"/>
  <c r="CD354" i="6" s="1"/>
  <c r="AA354" i="23"/>
  <c r="Z354" i="23" s="1"/>
  <c r="Y354" i="23" s="1"/>
  <c r="AA39" i="23"/>
  <c r="Z39" i="23" s="1"/>
  <c r="Y39" i="23" s="1"/>
  <c r="G39" i="23"/>
  <c r="CD39" i="6" s="1"/>
  <c r="G47" i="23"/>
  <c r="CD47" i="6" s="1"/>
  <c r="AA47" i="23"/>
  <c r="Z47" i="23" s="1"/>
  <c r="Y47" i="23" s="1"/>
  <c r="G163" i="23"/>
  <c r="CD163" i="6" s="1"/>
  <c r="H163" i="23"/>
  <c r="AA163" i="23"/>
  <c r="Z163" i="23" s="1"/>
  <c r="Y163" i="23" s="1"/>
  <c r="AA308" i="23"/>
  <c r="Z308" i="23" s="1"/>
  <c r="Y308" i="23" s="1"/>
  <c r="G308" i="23"/>
  <c r="CD308" i="6" s="1"/>
  <c r="G143" i="23"/>
  <c r="CD143" i="6" s="1"/>
  <c r="AA143" i="23"/>
  <c r="Z143" i="23" s="1"/>
  <c r="Y143" i="23" s="1"/>
  <c r="G269" i="23"/>
  <c r="CD269" i="6" s="1"/>
  <c r="AA269" i="23"/>
  <c r="Z269" i="23" s="1"/>
  <c r="Y269" i="23" s="1"/>
  <c r="H367" i="23"/>
  <c r="G367" i="23"/>
  <c r="CD367" i="6" s="1"/>
  <c r="AA282" i="23"/>
  <c r="Z282" i="23" s="1"/>
  <c r="Y282" i="23" s="1"/>
  <c r="G282" i="23"/>
  <c r="CD282" i="6" s="1"/>
  <c r="AA147" i="23"/>
  <c r="Z147" i="23" s="1"/>
  <c r="Y147" i="23" s="1"/>
  <c r="G147" i="23"/>
  <c r="CD147" i="6" s="1"/>
  <c r="H101" i="23"/>
  <c r="G101" i="23"/>
  <c r="CD101" i="6" s="1"/>
  <c r="AA101" i="23"/>
  <c r="Z101" i="23" s="1"/>
  <c r="Y101" i="23" s="1"/>
  <c r="AA124" i="23"/>
  <c r="Z124" i="23" s="1"/>
  <c r="Y124" i="23" s="1"/>
  <c r="G124" i="23"/>
  <c r="CD124" i="6" s="1"/>
  <c r="B272" i="23"/>
  <c r="J68" i="19"/>
  <c r="G378" i="23"/>
  <c r="CD378" i="6" s="1"/>
  <c r="AA378" i="23"/>
  <c r="Z378" i="23" s="1"/>
  <c r="Y378" i="23" s="1"/>
  <c r="H378" i="23"/>
  <c r="H41" i="23"/>
  <c r="G41" i="23"/>
  <c r="CD41" i="6" s="1"/>
  <c r="G141" i="23"/>
  <c r="CD141" i="6" s="1"/>
  <c r="AA141" i="23"/>
  <c r="Z141" i="23" s="1"/>
  <c r="Y141" i="23" s="1"/>
  <c r="AA42" i="23"/>
  <c r="Z42" i="23" s="1"/>
  <c r="Y42" i="23" s="1"/>
  <c r="G42" i="23"/>
  <c r="CD42" i="6" s="1"/>
  <c r="AA68" i="23"/>
  <c r="Z68" i="23" s="1"/>
  <c r="Y68" i="23" s="1"/>
  <c r="G68" i="23"/>
  <c r="CD68" i="6" s="1"/>
  <c r="H68" i="23"/>
  <c r="AA309" i="23"/>
  <c r="Z309" i="23" s="1"/>
  <c r="Y309" i="23" s="1"/>
  <c r="G309" i="23"/>
  <c r="CD309" i="6" s="1"/>
  <c r="G46" i="23"/>
  <c r="CD46" i="6" s="1"/>
  <c r="H46" i="23"/>
  <c r="AA46" i="23"/>
  <c r="Z46" i="23" s="1"/>
  <c r="Y46" i="23" s="1"/>
  <c r="G365" i="23"/>
  <c r="CD365" i="6" s="1"/>
  <c r="AA365" i="23"/>
  <c r="Z365" i="23" s="1"/>
  <c r="Y365" i="23" s="1"/>
  <c r="G107" i="23"/>
  <c r="CD107" i="6" s="1"/>
  <c r="H107" i="23"/>
  <c r="AA107" i="23"/>
  <c r="Z107" i="23" s="1"/>
  <c r="Y107" i="23" s="1"/>
  <c r="H290" i="23"/>
  <c r="G290" i="23"/>
  <c r="CD290" i="6" s="1"/>
  <c r="AA290" i="23"/>
  <c r="Z290" i="23" s="1"/>
  <c r="Y290" i="23" s="1"/>
  <c r="AA86" i="23"/>
  <c r="Z86" i="23" s="1"/>
  <c r="Y86" i="23" s="1"/>
  <c r="G86" i="23"/>
  <c r="CD86" i="6" s="1"/>
  <c r="AA217" i="23"/>
  <c r="Z217" i="23" s="1"/>
  <c r="Y217" i="23" s="1"/>
  <c r="G217" i="23"/>
  <c r="CD217" i="6" s="1"/>
  <c r="H217" i="23"/>
  <c r="G318" i="23"/>
  <c r="CD318" i="6" s="1"/>
  <c r="AA318" i="23"/>
  <c r="Z318" i="23" s="1"/>
  <c r="Y318" i="23" s="1"/>
  <c r="AA195" i="23"/>
  <c r="Z195" i="23" s="1"/>
  <c r="Y195" i="23" s="1"/>
  <c r="G195" i="23"/>
  <c r="CD195" i="6" s="1"/>
  <c r="G71" i="23"/>
  <c r="CD71" i="6" s="1"/>
  <c r="AA71" i="23"/>
  <c r="Z71" i="23" s="1"/>
  <c r="Y71" i="23" s="1"/>
  <c r="AA155" i="23"/>
  <c r="Z155" i="23" s="1"/>
  <c r="Y155" i="23" s="1"/>
  <c r="G155" i="23"/>
  <c r="CD155" i="6" s="1"/>
  <c r="G33" i="23"/>
  <c r="CD33" i="6" s="1"/>
  <c r="AA33" i="23"/>
  <c r="Z33" i="23" s="1"/>
  <c r="Y33" i="23" s="1"/>
  <c r="AA316" i="23"/>
  <c r="Z316" i="23" s="1"/>
  <c r="Y316" i="23" s="1"/>
  <c r="G316" i="23"/>
  <c r="CD316" i="6" s="1"/>
  <c r="H316" i="23"/>
  <c r="AA138" i="23"/>
  <c r="Z138" i="23" s="1"/>
  <c r="Y138" i="23" s="1"/>
  <c r="G138" i="23"/>
  <c r="CD138" i="6" s="1"/>
  <c r="H138" i="23"/>
  <c r="AA186" i="23"/>
  <c r="Z186" i="23" s="1"/>
  <c r="Y186" i="23" s="1"/>
  <c r="H186" i="23"/>
  <c r="G186" i="23"/>
  <c r="CD186" i="6" s="1"/>
  <c r="G91" i="23"/>
  <c r="CD91" i="6" s="1"/>
  <c r="H91" i="23"/>
  <c r="AA91" i="23"/>
  <c r="Z91" i="23" s="1"/>
  <c r="Y91" i="23" s="1"/>
  <c r="AA53" i="23"/>
  <c r="Z53" i="23" s="1"/>
  <c r="Y53" i="23" s="1"/>
  <c r="G53" i="23"/>
  <c r="CD53" i="6" s="1"/>
  <c r="G140" i="23"/>
  <c r="CD140" i="6" s="1"/>
  <c r="AA140" i="23"/>
  <c r="Z140" i="23" s="1"/>
  <c r="Y140" i="23" s="1"/>
  <c r="B363" i="23"/>
  <c r="M68" i="19"/>
  <c r="AA73" i="23"/>
  <c r="Z73" i="23" s="1"/>
  <c r="Y73" i="23" s="1"/>
  <c r="G73" i="23"/>
  <c r="CD73" i="6" s="1"/>
  <c r="B180" i="23"/>
  <c r="G68" i="19"/>
  <c r="G332" i="23"/>
  <c r="CD332" i="6" s="1"/>
  <c r="AA332" i="23"/>
  <c r="Z332" i="23" s="1"/>
  <c r="Y332" i="23" s="1"/>
  <c r="G65" i="23"/>
  <c r="CD65" i="6" s="1"/>
  <c r="AA65" i="23"/>
  <c r="Z65" i="23" s="1"/>
  <c r="Y65" i="23" s="1"/>
  <c r="AA259" i="23"/>
  <c r="Z259" i="23" s="1"/>
  <c r="Y259" i="23" s="1"/>
  <c r="G259" i="23"/>
  <c r="CD259" i="6" s="1"/>
  <c r="G118" i="23"/>
  <c r="CD118" i="6" s="1"/>
  <c r="H118" i="23"/>
  <c r="AA260" i="23"/>
  <c r="Z260" i="23" s="1"/>
  <c r="Y260" i="23" s="1"/>
  <c r="G260" i="23"/>
  <c r="CD260" i="6" s="1"/>
  <c r="G67" i="23"/>
  <c r="CD67" i="6" s="1"/>
  <c r="AA67" i="23"/>
  <c r="Z67" i="23" s="1"/>
  <c r="Y67" i="23" s="1"/>
  <c r="AA83" i="23"/>
  <c r="Z83" i="23" s="1"/>
  <c r="Y83" i="23" s="1"/>
  <c r="G83" i="23"/>
  <c r="CD83" i="6" s="1"/>
  <c r="G321" i="23"/>
  <c r="CD321" i="6" s="1"/>
  <c r="AA321" i="23"/>
  <c r="Z321" i="23" s="1"/>
  <c r="Y321" i="23" s="1"/>
  <c r="G229" i="23"/>
  <c r="CD229" i="6" s="1"/>
  <c r="AA229" i="23"/>
  <c r="Z229" i="23" s="1"/>
  <c r="Y229" i="23" s="1"/>
  <c r="H85" i="23"/>
  <c r="AA32" i="23"/>
  <c r="Z32" i="23" s="1"/>
  <c r="Y32" i="23" s="1"/>
  <c r="AA299" i="23"/>
  <c r="Z299" i="23" s="1"/>
  <c r="Y299" i="23" s="1"/>
  <c r="AA224" i="23"/>
  <c r="Z224" i="23" s="1"/>
  <c r="Y224" i="23" s="1"/>
  <c r="AA192" i="23"/>
  <c r="Z192" i="23" s="1"/>
  <c r="Y192" i="23" s="1"/>
  <c r="AA28" i="23"/>
  <c r="Z28" i="23" s="1"/>
  <c r="Y28" i="23" s="1"/>
  <c r="AA367" i="23"/>
  <c r="Z367" i="23" s="1"/>
  <c r="Y367" i="23" s="1"/>
  <c r="AA76" i="23"/>
  <c r="Z76" i="23" s="1"/>
  <c r="Y76" i="23" s="1"/>
  <c r="AA353" i="23"/>
  <c r="Z353" i="23" s="1"/>
  <c r="Y353" i="23" s="1"/>
  <c r="AA90" i="23"/>
  <c r="Z90" i="23" s="1"/>
  <c r="Y90" i="23" s="1"/>
  <c r="AA271" i="23"/>
  <c r="Z271" i="23" s="1"/>
  <c r="Y271" i="23" s="1"/>
  <c r="AA313" i="23"/>
  <c r="Z313" i="23" s="1"/>
  <c r="Y313" i="23" s="1"/>
  <c r="AA243" i="23"/>
  <c r="Z243" i="23" s="1"/>
  <c r="Y243" i="23" s="1"/>
  <c r="G243" i="23"/>
  <c r="CD243" i="6" s="1"/>
  <c r="G256" i="23"/>
  <c r="CD256" i="6" s="1"/>
  <c r="AA256" i="23"/>
  <c r="Z256" i="23" s="1"/>
  <c r="Y256" i="23" s="1"/>
  <c r="AA177" i="23"/>
  <c r="Z177" i="23" s="1"/>
  <c r="Y177" i="23" s="1"/>
  <c r="G177" i="23"/>
  <c r="CD177" i="6" s="1"/>
  <c r="G133" i="23"/>
  <c r="CD133" i="6" s="1"/>
  <c r="AA133" i="23"/>
  <c r="Z133" i="23" s="1"/>
  <c r="Y133" i="23" s="1"/>
  <c r="G57" i="23"/>
  <c r="CD57" i="6" s="1"/>
  <c r="AA57" i="23"/>
  <c r="Z57" i="23" s="1"/>
  <c r="Y57" i="23" s="1"/>
  <c r="AA168" i="23"/>
  <c r="Z168" i="23" s="1"/>
  <c r="Y168" i="23" s="1"/>
  <c r="G168" i="23"/>
  <c r="CD168" i="6" s="1"/>
  <c r="G239" i="23"/>
  <c r="CD239" i="6" s="1"/>
  <c r="AA239" i="23"/>
  <c r="Z239" i="23" s="1"/>
  <c r="Y239" i="23" s="1"/>
  <c r="H239" i="23"/>
  <c r="AA296" i="23"/>
  <c r="Z296" i="23" s="1"/>
  <c r="Y296" i="23" s="1"/>
  <c r="G296" i="23"/>
  <c r="CD296" i="6" s="1"/>
  <c r="G246" i="23"/>
  <c r="CD246" i="6" s="1"/>
  <c r="AA246" i="23"/>
  <c r="Z246" i="23" s="1"/>
  <c r="Y246" i="23" s="1"/>
  <c r="AA144" i="23"/>
  <c r="Z144" i="23" s="1"/>
  <c r="Y144" i="23" s="1"/>
  <c r="G144" i="23"/>
  <c r="CD144" i="6" s="1"/>
  <c r="G369" i="23"/>
  <c r="CD369" i="6" s="1"/>
  <c r="AA369" i="23"/>
  <c r="Z369" i="23" s="1"/>
  <c r="Y369" i="23" s="1"/>
  <c r="AA157" i="23"/>
  <c r="Z157" i="23" s="1"/>
  <c r="Y157" i="23" s="1"/>
  <c r="G157" i="23"/>
  <c r="CD157" i="6" s="1"/>
  <c r="H157" i="23"/>
  <c r="AA306" i="23"/>
  <c r="Z306" i="23" s="1"/>
  <c r="Y306" i="23" s="1"/>
  <c r="G306" i="23"/>
  <c r="CD306" i="6" s="1"/>
  <c r="AA287" i="23"/>
  <c r="Z287" i="23" s="1"/>
  <c r="Y287" i="23" s="1"/>
  <c r="G287" i="23"/>
  <c r="CD287" i="6" s="1"/>
  <c r="G209" i="23"/>
  <c r="CD209" i="6" s="1"/>
  <c r="AA209" i="23"/>
  <c r="Z209" i="23" s="1"/>
  <c r="Y209" i="23" s="1"/>
  <c r="AA232" i="23"/>
  <c r="Z232" i="23" s="1"/>
  <c r="Y232" i="23" s="1"/>
  <c r="H232" i="23"/>
  <c r="G232" i="23"/>
  <c r="CD232" i="6" s="1"/>
  <c r="AA311" i="23"/>
  <c r="Z311" i="23" s="1"/>
  <c r="Y311" i="23" s="1"/>
  <c r="G311" i="23"/>
  <c r="CD311" i="6" s="1"/>
  <c r="G182" i="23"/>
  <c r="CD182" i="6" s="1"/>
  <c r="AA182" i="23"/>
  <c r="Z182" i="23" s="1"/>
  <c r="Y182" i="23" s="1"/>
  <c r="AA154" i="23"/>
  <c r="Z154" i="23" s="1"/>
  <c r="Y154" i="23" s="1"/>
  <c r="G154" i="23"/>
  <c r="CD154" i="6" s="1"/>
  <c r="H154" i="23"/>
  <c r="G185" i="23"/>
  <c r="CD185" i="6" s="1"/>
  <c r="AA185" i="23"/>
  <c r="Z185" i="23" s="1"/>
  <c r="Y185" i="23" s="1"/>
  <c r="G43" i="23"/>
  <c r="CD43" i="6" s="1"/>
  <c r="AA43" i="23"/>
  <c r="Z43" i="23" s="1"/>
  <c r="Y43" i="23" s="1"/>
  <c r="AA293" i="23"/>
  <c r="Z293" i="23" s="1"/>
  <c r="Y293" i="23" s="1"/>
  <c r="G293" i="23"/>
  <c r="CD293" i="6" s="1"/>
  <c r="G44" i="23"/>
  <c r="CD44" i="6" s="1"/>
  <c r="AA44" i="23"/>
  <c r="Z44" i="23" s="1"/>
  <c r="Y44" i="23" s="1"/>
  <c r="AA360" i="23"/>
  <c r="Z360" i="23" s="1"/>
  <c r="Y360" i="23" s="1"/>
  <c r="G360" i="23"/>
  <c r="CD360" i="6" s="1"/>
  <c r="AA252" i="23"/>
  <c r="Z252" i="23" s="1"/>
  <c r="Y252" i="23" s="1"/>
  <c r="G252" i="23"/>
  <c r="CD252" i="6" s="1"/>
  <c r="G158" i="23"/>
  <c r="CD158" i="6" s="1"/>
  <c r="AA158" i="23"/>
  <c r="Z158" i="23" s="1"/>
  <c r="Y158" i="23" s="1"/>
  <c r="AA347" i="23"/>
  <c r="Z347" i="23" s="1"/>
  <c r="Y347" i="23" s="1"/>
  <c r="H347" i="23"/>
  <c r="G347" i="23"/>
  <c r="CD347" i="6" s="1"/>
  <c r="AA98" i="23"/>
  <c r="Z98" i="23" s="1"/>
  <c r="Y98" i="23" s="1"/>
  <c r="G98" i="23"/>
  <c r="CD98" i="6" s="1"/>
  <c r="H24" i="23"/>
  <c r="AA24" i="23"/>
  <c r="Z24" i="23" s="1"/>
  <c r="Y24" i="23" s="1"/>
  <c r="G24" i="23"/>
  <c r="CD24" i="6" s="1"/>
  <c r="AA59" i="23"/>
  <c r="Z59" i="23" s="1"/>
  <c r="Y59" i="23" s="1"/>
  <c r="G59" i="23"/>
  <c r="CD59" i="6" s="1"/>
  <c r="AA364" i="23"/>
  <c r="Z364" i="23" s="1"/>
  <c r="Y364" i="23" s="1"/>
  <c r="G364" i="23"/>
  <c r="CD364" i="6" s="1"/>
  <c r="AA48" i="23"/>
  <c r="Z48" i="23" s="1"/>
  <c r="Y48" i="23" s="1"/>
  <c r="H48" i="23"/>
  <c r="G48" i="23"/>
  <c r="CD48" i="6" s="1"/>
  <c r="G237" i="23"/>
  <c r="CD237" i="6" s="1"/>
  <c r="AA237" i="23"/>
  <c r="Z237" i="23" s="1"/>
  <c r="Y237" i="23" s="1"/>
  <c r="G106" i="23"/>
  <c r="CD106" i="6" s="1"/>
  <c r="AA106" i="23"/>
  <c r="Z106" i="23" s="1"/>
  <c r="Y106" i="23" s="1"/>
  <c r="G156" i="23"/>
  <c r="CD156" i="6" s="1"/>
  <c r="AA156" i="23"/>
  <c r="Z156" i="23" s="1"/>
  <c r="Y156" i="23" s="1"/>
  <c r="G211" i="23"/>
  <c r="CD211" i="6" s="1"/>
  <c r="AA211" i="23"/>
  <c r="Z211" i="23" s="1"/>
  <c r="Y211" i="23" s="1"/>
  <c r="H320" i="23"/>
  <c r="G320" i="23"/>
  <c r="CD320" i="6" s="1"/>
  <c r="G64" i="23"/>
  <c r="CD64" i="6" s="1"/>
  <c r="AA64" i="23"/>
  <c r="Z64" i="23" s="1"/>
  <c r="Y64" i="23" s="1"/>
  <c r="AA297" i="23"/>
  <c r="Z297" i="23" s="1"/>
  <c r="Y297" i="23" s="1"/>
  <c r="G297" i="23"/>
  <c r="CD297" i="6" s="1"/>
  <c r="AA21" i="23"/>
  <c r="Z21" i="23" s="1"/>
  <c r="Y21" i="23" s="1"/>
  <c r="G21" i="23"/>
  <c r="CD21" i="6" s="1"/>
  <c r="G340" i="23"/>
  <c r="CD340" i="6" s="1"/>
  <c r="AA340" i="23"/>
  <c r="Z340" i="23" s="1"/>
  <c r="Y340" i="23" s="1"/>
  <c r="AA213" i="23"/>
  <c r="Z213" i="23" s="1"/>
  <c r="Y213" i="23" s="1"/>
  <c r="G213" i="23"/>
  <c r="CD213" i="6" s="1"/>
  <c r="AA249" i="23"/>
  <c r="Z249" i="23" s="1"/>
  <c r="Y249" i="23" s="1"/>
  <c r="G249" i="23"/>
  <c r="CD249" i="6" s="1"/>
  <c r="H92" i="23"/>
  <c r="G92" i="23"/>
  <c r="CD92" i="6" s="1"/>
  <c r="AA92" i="23"/>
  <c r="Z92" i="23" s="1"/>
  <c r="Y92" i="23" s="1"/>
  <c r="AA169" i="23"/>
  <c r="Z169" i="23" s="1"/>
  <c r="Y169" i="23" s="1"/>
  <c r="G169" i="23"/>
  <c r="CD169" i="6" s="1"/>
  <c r="AA270" i="23"/>
  <c r="Z270" i="23" s="1"/>
  <c r="Y270" i="23" s="1"/>
  <c r="G270" i="23"/>
  <c r="CD270" i="6" s="1"/>
  <c r="H67" i="23"/>
  <c r="H28" i="23"/>
  <c r="H147" i="23"/>
  <c r="H124" i="23"/>
  <c r="H33" i="23"/>
  <c r="H169" i="23"/>
  <c r="AA105" i="23"/>
  <c r="Z105" i="23" s="1"/>
  <c r="Y105" i="23" s="1"/>
  <c r="H369" i="23"/>
  <c r="H243" i="23"/>
  <c r="H50" i="23"/>
  <c r="H246" i="23"/>
  <c r="H126" i="23"/>
  <c r="H39" i="23"/>
  <c r="H120" i="23"/>
  <c r="H133" i="23"/>
  <c r="H153" i="23"/>
  <c r="H256" i="23"/>
  <c r="H355" i="23"/>
  <c r="H98" i="23"/>
  <c r="H270" i="23"/>
  <c r="H271" i="23"/>
  <c r="H233" i="23"/>
  <c r="H323" i="23"/>
  <c r="H121" i="23"/>
  <c r="H110" i="23"/>
  <c r="H42" i="23"/>
  <c r="H345" i="23"/>
  <c r="H146" i="23"/>
  <c r="H321" i="23"/>
  <c r="H338" i="23"/>
  <c r="H141" i="23"/>
  <c r="H140" i="23"/>
  <c r="H285" i="23"/>
  <c r="H229" i="23"/>
  <c r="H70" i="23"/>
  <c r="H17" i="23"/>
  <c r="H86" i="23"/>
  <c r="H81" i="23"/>
  <c r="H311" i="23"/>
  <c r="H75" i="23"/>
  <c r="H299" i="23"/>
  <c r="AA41" i="23"/>
  <c r="Z41" i="23" s="1"/>
  <c r="Y41" i="23" s="1"/>
  <c r="AA254" i="23"/>
  <c r="Z254" i="23" s="1"/>
  <c r="Y254" i="23" s="1"/>
  <c r="AA338" i="23"/>
  <c r="Z338" i="23" s="1"/>
  <c r="Y338" i="23" s="1"/>
  <c r="H150" i="23"/>
  <c r="H127" i="23"/>
  <c r="H44" i="23"/>
  <c r="H179" i="23"/>
  <c r="H143" i="23"/>
  <c r="H377" i="23"/>
  <c r="H228" i="23"/>
  <c r="H59" i="23"/>
  <c r="H208" i="23"/>
  <c r="H65" i="23"/>
  <c r="H83" i="23"/>
  <c r="H211" i="23"/>
  <c r="H252" i="23"/>
  <c r="H282" i="23"/>
  <c r="H21" i="23"/>
  <c r="H125" i="23"/>
  <c r="H96" i="23"/>
  <c r="H296" i="23"/>
  <c r="H49" i="23"/>
  <c r="H71" i="23"/>
  <c r="H343" i="23"/>
  <c r="H155" i="23"/>
  <c r="H305" i="23"/>
  <c r="H309" i="23"/>
  <c r="AA75" i="23"/>
  <c r="Z75" i="23" s="1"/>
  <c r="Y75" i="23" s="1"/>
  <c r="AA179" i="23"/>
  <c r="Z179" i="23" s="1"/>
  <c r="Y179" i="23" s="1"/>
  <c r="AA312" i="23"/>
  <c r="Z312" i="23" s="1"/>
  <c r="Y312" i="23" s="1"/>
  <c r="AA343" i="23"/>
  <c r="Z343" i="23" s="1"/>
  <c r="Y343" i="23" s="1"/>
  <c r="AA70" i="23"/>
  <c r="Z70" i="23" s="1"/>
  <c r="Y70" i="23" s="1"/>
  <c r="AA219" i="23"/>
  <c r="Z219" i="23" s="1"/>
  <c r="Y219" i="23" s="1"/>
  <c r="AA339" i="23"/>
  <c r="Z339" i="23" s="1"/>
  <c r="Y339" i="23" s="1"/>
  <c r="AA345" i="23"/>
  <c r="Z345" i="23" s="1"/>
  <c r="Y345" i="23" s="1"/>
  <c r="AA118" i="23"/>
  <c r="Z118" i="23" s="1"/>
  <c r="Y118" i="23" s="1"/>
  <c r="H360" i="23"/>
  <c r="H106" i="23"/>
  <c r="H259" i="23"/>
  <c r="H161" i="23"/>
  <c r="H335" i="23"/>
  <c r="H104" i="23"/>
  <c r="H72" i="23"/>
  <c r="H351" i="23"/>
  <c r="H365" i="23"/>
  <c r="H171" i="23"/>
  <c r="H190" i="23"/>
  <c r="H249" i="23"/>
  <c r="H76" i="23"/>
  <c r="H359" i="23"/>
  <c r="H47" i="23"/>
  <c r="AA334" i="23"/>
  <c r="Z334" i="23" s="1"/>
  <c r="Y334" i="23" s="1"/>
  <c r="G334" i="23"/>
  <c r="CD334" i="6" s="1"/>
  <c r="G45" i="23"/>
  <c r="CD45" i="6" s="1"/>
  <c r="AA45" i="23"/>
  <c r="Z45" i="23" s="1"/>
  <c r="Y45" i="23" s="1"/>
  <c r="AA103" i="23"/>
  <c r="Z103" i="23" s="1"/>
  <c r="Y103" i="23" s="1"/>
  <c r="G103" i="23"/>
  <c r="CD103" i="6" s="1"/>
  <c r="AA222" i="23"/>
  <c r="Z222" i="23" s="1"/>
  <c r="Y222" i="23" s="1"/>
  <c r="G222" i="23"/>
  <c r="CD222" i="6" s="1"/>
  <c r="G189" i="23"/>
  <c r="CD189" i="6" s="1"/>
  <c r="H189" i="23"/>
  <c r="AA189" i="23"/>
  <c r="Z189" i="23" s="1"/>
  <c r="Y189" i="23" s="1"/>
  <c r="AA66" i="23"/>
  <c r="Z66" i="23" s="1"/>
  <c r="Y66" i="23" s="1"/>
  <c r="G66" i="23"/>
  <c r="CD66" i="6" s="1"/>
  <c r="AA36" i="23"/>
  <c r="Z36" i="23" s="1"/>
  <c r="Y36" i="23" s="1"/>
  <c r="G36" i="23"/>
  <c r="CD36" i="6" s="1"/>
  <c r="G253" i="23"/>
  <c r="CD253" i="6" s="1"/>
  <c r="AA253" i="23"/>
  <c r="Z253" i="23" s="1"/>
  <c r="Y253" i="23" s="1"/>
  <c r="AA322" i="23"/>
  <c r="Z322" i="23" s="1"/>
  <c r="Y322" i="23" s="1"/>
  <c r="G322" i="23"/>
  <c r="CD322" i="6" s="1"/>
  <c r="H176" i="23"/>
  <c r="G176" i="23"/>
  <c r="CD176" i="6" s="1"/>
  <c r="G336" i="23"/>
  <c r="CD336" i="6" s="1"/>
  <c r="AA336" i="23"/>
  <c r="Z336" i="23" s="1"/>
  <c r="Y336" i="23" s="1"/>
  <c r="G114" i="23"/>
  <c r="CD114" i="6" s="1"/>
  <c r="AA114" i="23"/>
  <c r="Z114" i="23" s="1"/>
  <c r="Y114" i="23" s="1"/>
  <c r="AA342" i="23"/>
  <c r="Z342" i="23" s="1"/>
  <c r="Y342" i="23" s="1"/>
  <c r="G342" i="23"/>
  <c r="CD342" i="6" s="1"/>
  <c r="AA372" i="23"/>
  <c r="Z372" i="23" s="1"/>
  <c r="Y372" i="23" s="1"/>
  <c r="G372" i="23"/>
  <c r="CD372" i="6" s="1"/>
  <c r="G181" i="23"/>
  <c r="CD181" i="6" s="1"/>
  <c r="AA181" i="23"/>
  <c r="Z181" i="23" s="1"/>
  <c r="Y181" i="23" s="1"/>
  <c r="AA112" i="23"/>
  <c r="Z112" i="23" s="1"/>
  <c r="Y112" i="23" s="1"/>
  <c r="G112" i="23"/>
  <c r="CD112" i="6" s="1"/>
  <c r="H188" i="23"/>
  <c r="AA188" i="23"/>
  <c r="Z188" i="23" s="1"/>
  <c r="Y188" i="23" s="1"/>
  <c r="G188" i="23"/>
  <c r="CD188" i="6" s="1"/>
  <c r="H337" i="23"/>
  <c r="G337" i="23"/>
  <c r="CD337" i="6" s="1"/>
  <c r="AA152" i="23"/>
  <c r="Z152" i="23" s="1"/>
  <c r="Y152" i="23" s="1"/>
  <c r="G152" i="23"/>
  <c r="CD152" i="6" s="1"/>
  <c r="AA215" i="23"/>
  <c r="Z215" i="23" s="1"/>
  <c r="Y215" i="23" s="1"/>
  <c r="G215" i="23"/>
  <c r="CD215" i="6" s="1"/>
  <c r="G356" i="23"/>
  <c r="CD356" i="6" s="1"/>
  <c r="AA356" i="23"/>
  <c r="Z356" i="23" s="1"/>
  <c r="Y356" i="23" s="1"/>
  <c r="AA371" i="23"/>
  <c r="Z371" i="23" s="1"/>
  <c r="Y371" i="23" s="1"/>
  <c r="H371" i="23"/>
  <c r="G371" i="23"/>
  <c r="CD371" i="6" s="1"/>
  <c r="B119" i="23"/>
  <c r="E68" i="19"/>
  <c r="B149" i="23"/>
  <c r="F68" i="19"/>
  <c r="AA330" i="23"/>
  <c r="Z330" i="23" s="1"/>
  <c r="Y330" i="23" s="1"/>
  <c r="G330" i="23"/>
  <c r="CD330" i="6" s="1"/>
  <c r="G278" i="23"/>
  <c r="CD278" i="6" s="1"/>
  <c r="AA278" i="23"/>
  <c r="Z278" i="23" s="1"/>
  <c r="Y278" i="23" s="1"/>
  <c r="AA113" i="23"/>
  <c r="Z113" i="23" s="1"/>
  <c r="Y113" i="23" s="1"/>
  <c r="G113" i="23"/>
  <c r="CD113" i="6" s="1"/>
  <c r="G247" i="23"/>
  <c r="CD247" i="6" s="1"/>
  <c r="AA247" i="23"/>
  <c r="Z247" i="23" s="1"/>
  <c r="Y247" i="23" s="1"/>
  <c r="G99" i="23"/>
  <c r="CD99" i="6" s="1"/>
  <c r="AA99" i="23"/>
  <c r="Z99" i="23" s="1"/>
  <c r="Y99" i="23" s="1"/>
  <c r="G129" i="23"/>
  <c r="CD129" i="6" s="1"/>
  <c r="AA129" i="23"/>
  <c r="Z129" i="23" s="1"/>
  <c r="Y129" i="23" s="1"/>
  <c r="G94" i="23"/>
  <c r="CD94" i="6" s="1"/>
  <c r="AA94" i="23"/>
  <c r="Z94" i="23" s="1"/>
  <c r="Y94" i="23" s="1"/>
  <c r="G139" i="23"/>
  <c r="CD139" i="6" s="1"/>
  <c r="AA139" i="23"/>
  <c r="Z139" i="23" s="1"/>
  <c r="Y139" i="23" s="1"/>
  <c r="AA245" i="23"/>
  <c r="Z245" i="23" s="1"/>
  <c r="Y245" i="23" s="1"/>
  <c r="G245" i="23"/>
  <c r="CD245" i="6" s="1"/>
  <c r="G203" i="23"/>
  <c r="CD203" i="6" s="1"/>
  <c r="AA203" i="23"/>
  <c r="Z203" i="23" s="1"/>
  <c r="Y203" i="23" s="1"/>
  <c r="G30" i="23"/>
  <c r="CD30" i="6" s="1"/>
  <c r="AA30" i="23"/>
  <c r="Z30" i="23" s="1"/>
  <c r="Y30" i="23" s="1"/>
  <c r="G122" i="23"/>
  <c r="CD122" i="6" s="1"/>
  <c r="AA122" i="23"/>
  <c r="Z122" i="23" s="1"/>
  <c r="Y122" i="23" s="1"/>
  <c r="AA52" i="23"/>
  <c r="Z52" i="23" s="1"/>
  <c r="Y52" i="23" s="1"/>
  <c r="G52" i="23"/>
  <c r="CD52" i="6" s="1"/>
  <c r="AA111" i="23"/>
  <c r="Z111" i="23" s="1"/>
  <c r="Y111" i="23" s="1"/>
  <c r="G111" i="23"/>
  <c r="CD111" i="6" s="1"/>
  <c r="B88" i="23"/>
  <c r="D68" i="19"/>
  <c r="AA22" i="23"/>
  <c r="Z22" i="23" s="1"/>
  <c r="Y22" i="23" s="1"/>
  <c r="G22" i="23"/>
  <c r="CD22" i="6" s="1"/>
  <c r="G178" i="23"/>
  <c r="CD178" i="6" s="1"/>
  <c r="H178" i="23"/>
  <c r="H291" i="23"/>
  <c r="G291" i="23"/>
  <c r="CD291" i="6" s="1"/>
  <c r="AA291" i="23"/>
  <c r="Z291" i="23" s="1"/>
  <c r="Y291" i="23" s="1"/>
  <c r="AA136" i="23"/>
  <c r="Z136" i="23" s="1"/>
  <c r="Y136" i="23" s="1"/>
  <c r="G136" i="23"/>
  <c r="CD136" i="6" s="1"/>
  <c r="G95" i="23"/>
  <c r="CD95" i="6" s="1"/>
  <c r="AA95" i="23"/>
  <c r="Z95" i="23" s="1"/>
  <c r="Y95" i="23" s="1"/>
  <c r="AA102" i="23"/>
  <c r="Z102" i="23" s="1"/>
  <c r="Y102" i="23" s="1"/>
  <c r="G102" i="23"/>
  <c r="CD102" i="6" s="1"/>
  <c r="G262" i="23"/>
  <c r="CD262" i="6" s="1"/>
  <c r="AA262" i="23"/>
  <c r="Z262" i="23" s="1"/>
  <c r="Y262" i="23" s="1"/>
  <c r="AA160" i="23"/>
  <c r="Z160" i="23" s="1"/>
  <c r="Y160" i="23" s="1"/>
  <c r="G160" i="23"/>
  <c r="CD160" i="6" s="1"/>
  <c r="G214" i="23"/>
  <c r="CD214" i="6" s="1"/>
  <c r="AA214" i="23"/>
  <c r="Z214" i="23" s="1"/>
  <c r="Y214" i="23" s="1"/>
  <c r="G204" i="23"/>
  <c r="CD204" i="6" s="1"/>
  <c r="AA204" i="23"/>
  <c r="Z204" i="23" s="1"/>
  <c r="Y204" i="23" s="1"/>
  <c r="AA212" i="23"/>
  <c r="Z212" i="23" s="1"/>
  <c r="Y212" i="23" s="1"/>
  <c r="G212" i="23"/>
  <c r="CD212" i="6" s="1"/>
  <c r="AA331" i="23"/>
  <c r="Z331" i="23" s="1"/>
  <c r="Y331" i="23" s="1"/>
  <c r="H331" i="23"/>
  <c r="G331" i="23"/>
  <c r="CD331" i="6" s="1"/>
  <c r="AA220" i="23"/>
  <c r="Z220" i="23" s="1"/>
  <c r="Y220" i="23" s="1"/>
  <c r="G220" i="23"/>
  <c r="CD220" i="6" s="1"/>
  <c r="H220" i="23"/>
  <c r="H95" i="23"/>
  <c r="H203" i="23"/>
  <c r="H353" i="23"/>
  <c r="AA85" i="23"/>
  <c r="Z85" i="23" s="1"/>
  <c r="Y85" i="23" s="1"/>
  <c r="AA230" i="23"/>
  <c r="Z230" i="23" s="1"/>
  <c r="Y230" i="23" s="1"/>
  <c r="AA166" i="23"/>
  <c r="Z166" i="23" s="1"/>
  <c r="Y166" i="23" s="1"/>
  <c r="AA145" i="23"/>
  <c r="Z145" i="23" s="1"/>
  <c r="Y145" i="23" s="1"/>
  <c r="AA50" i="23"/>
  <c r="Z50" i="23" s="1"/>
  <c r="Y50" i="23" s="1"/>
  <c r="AA81" i="23"/>
  <c r="Z81" i="23" s="1"/>
  <c r="Y81" i="23" s="1"/>
  <c r="AA125" i="23"/>
  <c r="Z125" i="23" s="1"/>
  <c r="Y125" i="23" s="1"/>
  <c r="AA337" i="23"/>
  <c r="Z337" i="23" s="1"/>
  <c r="Y337" i="23" s="1"/>
  <c r="AA178" i="23"/>
  <c r="Z178" i="23" s="1"/>
  <c r="Y178" i="23" s="1"/>
  <c r="AA216" i="23"/>
  <c r="Z216" i="23" s="1"/>
  <c r="Y216" i="23" s="1"/>
  <c r="AA233" i="23"/>
  <c r="Z233" i="23" s="1"/>
  <c r="Y233" i="23" s="1"/>
  <c r="AA171" i="23"/>
  <c r="Z171" i="23" s="1"/>
  <c r="Y171" i="23" s="1"/>
  <c r="AA164" i="23"/>
  <c r="Z164" i="23" s="1"/>
  <c r="Y164" i="23" s="1"/>
  <c r="AA23" i="23"/>
  <c r="Z23" i="23" s="1"/>
  <c r="Y23" i="23" s="1"/>
  <c r="AA176" i="23"/>
  <c r="Z176" i="23" s="1"/>
  <c r="Y176" i="23" s="1"/>
  <c r="AA120" i="23"/>
  <c r="Z120" i="23" s="1"/>
  <c r="Y120" i="23" s="1"/>
  <c r="AA167" i="23"/>
  <c r="Z167" i="23" s="1"/>
  <c r="Y167" i="23" s="1"/>
  <c r="G167" i="23"/>
  <c r="CD167" i="6" s="1"/>
  <c r="AA38" i="23"/>
  <c r="Z38" i="23" s="1"/>
  <c r="Y38" i="23" s="1"/>
  <c r="G38" i="23"/>
  <c r="CD38" i="6" s="1"/>
  <c r="G58" i="23"/>
  <c r="CD58" i="6" s="1"/>
  <c r="AA58" i="23"/>
  <c r="Z58" i="23" s="1"/>
  <c r="Y58" i="23" s="1"/>
  <c r="AA298" i="23"/>
  <c r="Z298" i="23" s="1"/>
  <c r="Y298" i="23" s="1"/>
  <c r="G298" i="23"/>
  <c r="CD298" i="6" s="1"/>
  <c r="H298" i="23"/>
  <c r="AA108" i="23"/>
  <c r="Z108" i="23" s="1"/>
  <c r="Y108" i="23" s="1"/>
  <c r="H108" i="23"/>
  <c r="G108" i="23"/>
  <c r="CD108" i="6" s="1"/>
  <c r="G277" i="23"/>
  <c r="CD277" i="6" s="1"/>
  <c r="AA277" i="23"/>
  <c r="Z277" i="23" s="1"/>
  <c r="Y277" i="23" s="1"/>
  <c r="G325" i="23"/>
  <c r="CD325" i="6" s="1"/>
  <c r="AA325" i="23"/>
  <c r="Z325" i="23" s="1"/>
  <c r="Y325" i="23" s="1"/>
  <c r="B302" i="23"/>
  <c r="K68" i="19"/>
  <c r="B210" i="23"/>
  <c r="H68" i="19"/>
  <c r="G242" i="23"/>
  <c r="CD242" i="6" s="1"/>
  <c r="AA242" i="23"/>
  <c r="Z242" i="23" s="1"/>
  <c r="Y242" i="23" s="1"/>
  <c r="AA286" i="23"/>
  <c r="Z286" i="23" s="1"/>
  <c r="Y286" i="23" s="1"/>
  <c r="G286" i="23"/>
  <c r="CD286" i="6" s="1"/>
  <c r="AA159" i="23"/>
  <c r="Z159" i="23" s="1"/>
  <c r="Y159" i="23" s="1"/>
  <c r="G159" i="23"/>
  <c r="CD159" i="6" s="1"/>
  <c r="G165" i="23"/>
  <c r="CD165" i="6" s="1"/>
  <c r="AA165" i="23"/>
  <c r="Z165" i="23" s="1"/>
  <c r="Y165" i="23" s="1"/>
  <c r="G275" i="23"/>
  <c r="CD275" i="6" s="1"/>
  <c r="AA275" i="23"/>
  <c r="Z275" i="23" s="1"/>
  <c r="Y275" i="23" s="1"/>
  <c r="AA303" i="23"/>
  <c r="Z303" i="23" s="1"/>
  <c r="Y303" i="23" s="1"/>
  <c r="G303" i="23"/>
  <c r="CD303" i="6" s="1"/>
  <c r="G197" i="23"/>
  <c r="CD197" i="6" s="1"/>
  <c r="AA197" i="23"/>
  <c r="Z197" i="23" s="1"/>
  <c r="Y197" i="23" s="1"/>
  <c r="B333" i="23"/>
  <c r="L68" i="19"/>
  <c r="AA370" i="23"/>
  <c r="Z370" i="23" s="1"/>
  <c r="Y370" i="23" s="1"/>
  <c r="G370" i="23"/>
  <c r="CD370" i="6" s="1"/>
  <c r="H370" i="23"/>
  <c r="G231" i="23"/>
  <c r="CD231" i="6" s="1"/>
  <c r="AA231" i="23"/>
  <c r="Z231" i="23" s="1"/>
  <c r="Y231" i="23" s="1"/>
  <c r="AA276" i="23"/>
  <c r="Z276" i="23" s="1"/>
  <c r="Y276" i="23" s="1"/>
  <c r="G276" i="23"/>
  <c r="CD276" i="6" s="1"/>
  <c r="G89" i="23"/>
  <c r="CD89" i="6" s="1"/>
  <c r="AA89" i="23"/>
  <c r="Z89" i="23" s="1"/>
  <c r="Y89" i="23" s="1"/>
  <c r="G240" i="23"/>
  <c r="CD240" i="6" s="1"/>
  <c r="AA240" i="23"/>
  <c r="Z240" i="23" s="1"/>
  <c r="Y240" i="23" s="1"/>
  <c r="AA54" i="23"/>
  <c r="Z54" i="23" s="1"/>
  <c r="Y54" i="23" s="1"/>
  <c r="G54" i="23"/>
  <c r="CD54" i="6" s="1"/>
  <c r="G244" i="23"/>
  <c r="CD244" i="6" s="1"/>
  <c r="AA244" i="23"/>
  <c r="Z244" i="23" s="1"/>
  <c r="Y244" i="23" s="1"/>
  <c r="AA266" i="23"/>
  <c r="Z266" i="23" s="1"/>
  <c r="Y266" i="23" s="1"/>
  <c r="G266" i="23"/>
  <c r="CD266" i="6" s="1"/>
  <c r="H266" i="23"/>
  <c r="AA19" i="23"/>
  <c r="Z19" i="23" s="1"/>
  <c r="Y19" i="23" s="1"/>
  <c r="G19" i="23"/>
  <c r="CD19" i="6" s="1"/>
  <c r="AA198" i="23"/>
  <c r="Z198" i="23" s="1"/>
  <c r="Y198" i="23" s="1"/>
  <c r="G198" i="23"/>
  <c r="CD198" i="6" s="1"/>
  <c r="H93" i="23"/>
  <c r="G93" i="23"/>
  <c r="CD93" i="6" s="1"/>
  <c r="AA93" i="23"/>
  <c r="Z93" i="23" s="1"/>
  <c r="Y93" i="23" s="1"/>
  <c r="AA97" i="23"/>
  <c r="Z97" i="23" s="1"/>
  <c r="Y97" i="23" s="1"/>
  <c r="G97" i="23"/>
  <c r="CD97" i="6" s="1"/>
  <c r="AA77" i="23"/>
  <c r="Z77" i="23" s="1"/>
  <c r="Y77" i="23" s="1"/>
  <c r="G77" i="23"/>
  <c r="CD77" i="6" s="1"/>
  <c r="AA264" i="23"/>
  <c r="Z264" i="23" s="1"/>
  <c r="Y264" i="23" s="1"/>
  <c r="G264" i="23"/>
  <c r="CD264" i="6" s="1"/>
  <c r="G183" i="23"/>
  <c r="CD183" i="6" s="1"/>
  <c r="AA183" i="23"/>
  <c r="Z183" i="23" s="1"/>
  <c r="Y183" i="23" s="1"/>
  <c r="G358" i="23"/>
  <c r="CD358" i="6" s="1"/>
  <c r="AA358" i="23"/>
  <c r="Z358" i="23" s="1"/>
  <c r="Y358" i="23" s="1"/>
  <c r="AA87" i="23"/>
  <c r="Z87" i="23" s="1"/>
  <c r="Y87" i="23" s="1"/>
  <c r="G87" i="23"/>
  <c r="CD87" i="6" s="1"/>
  <c r="G131" i="23"/>
  <c r="CD131" i="6" s="1"/>
  <c r="H131" i="23"/>
  <c r="G324" i="23"/>
  <c r="CD324" i="6" s="1"/>
  <c r="AA324" i="23"/>
  <c r="Z324" i="23" s="1"/>
  <c r="Y324" i="23" s="1"/>
  <c r="T381" i="23"/>
  <c r="T383" i="23"/>
  <c r="T382" i="23"/>
  <c r="S15" i="23"/>
  <c r="AA348" i="23"/>
  <c r="Z348" i="23" s="1"/>
  <c r="Y348" i="23" s="1"/>
  <c r="G348" i="23"/>
  <c r="CD348" i="6" s="1"/>
  <c r="G69" i="23"/>
  <c r="CD69" i="6" s="1"/>
  <c r="AA69" i="23"/>
  <c r="Z69" i="23" s="1"/>
  <c r="Y69" i="23" s="1"/>
  <c r="G366" i="23"/>
  <c r="CD366" i="6" s="1"/>
  <c r="H366" i="23"/>
  <c r="G292" i="23"/>
  <c r="CD292" i="6" s="1"/>
  <c r="AA292" i="23"/>
  <c r="Z292" i="23" s="1"/>
  <c r="Y292" i="23" s="1"/>
  <c r="G273" i="23"/>
  <c r="CD273" i="6" s="1"/>
  <c r="AA273" i="23"/>
  <c r="Z273" i="23" s="1"/>
  <c r="Y273" i="23" s="1"/>
  <c r="G304" i="23"/>
  <c r="CD304" i="6" s="1"/>
  <c r="AA304" i="23"/>
  <c r="Z304" i="23" s="1"/>
  <c r="Y304" i="23" s="1"/>
  <c r="G18" i="23"/>
  <c r="CD18" i="6" s="1"/>
  <c r="AA18" i="23"/>
  <c r="Z18" i="23" s="1"/>
  <c r="Y18" i="23" s="1"/>
  <c r="AA55" i="23"/>
  <c r="Z55" i="23" s="1"/>
  <c r="Y55" i="23" s="1"/>
  <c r="G55" i="23"/>
  <c r="CD55" i="6" s="1"/>
  <c r="B241" i="23"/>
  <c r="I68" i="19"/>
  <c r="G128" i="23"/>
  <c r="CD128" i="6" s="1"/>
  <c r="H128" i="23"/>
  <c r="AA128" i="23"/>
  <c r="Z128" i="23" s="1"/>
  <c r="Y128" i="23" s="1"/>
  <c r="G328" i="23"/>
  <c r="CD328" i="6" s="1"/>
  <c r="AA328" i="23"/>
  <c r="Z328" i="23" s="1"/>
  <c r="Y328" i="23" s="1"/>
  <c r="H159" i="23"/>
  <c r="H192" i="23"/>
  <c r="H164" i="23"/>
  <c r="H308" i="23"/>
  <c r="H269" i="23"/>
  <c r="H329" i="23"/>
  <c r="H23" i="23"/>
  <c r="H175" i="23"/>
  <c r="H80" i="23"/>
  <c r="H30" i="23"/>
  <c r="H247" i="23"/>
  <c r="H112" i="23"/>
  <c r="H165" i="23"/>
  <c r="H358" i="23"/>
  <c r="H292" i="23"/>
  <c r="H158" i="23"/>
  <c r="H87" i="23"/>
  <c r="H123" i="23"/>
  <c r="H283" i="23"/>
  <c r="H318" i="23"/>
  <c r="H122" i="23"/>
  <c r="H73" i="23"/>
  <c r="H237" i="23"/>
  <c r="H174" i="23"/>
  <c r="H145" i="23"/>
  <c r="H144" i="23"/>
  <c r="H185" i="23"/>
  <c r="H64" i="23"/>
  <c r="H207" i="23"/>
  <c r="H306" i="23"/>
  <c r="H332" i="23"/>
  <c r="H114" i="23"/>
  <c r="H264" i="23"/>
  <c r="H214" i="23"/>
  <c r="H224" i="23"/>
  <c r="H251" i="23"/>
  <c r="H339" i="23"/>
  <c r="H221" i="23"/>
  <c r="H139" i="23"/>
  <c r="H130" i="23"/>
  <c r="H37" i="23"/>
  <c r="H357" i="23"/>
  <c r="H43" i="23"/>
  <c r="H275" i="23"/>
  <c r="H230" i="23"/>
  <c r="H297" i="23"/>
  <c r="H167" i="23"/>
  <c r="H168" i="23"/>
  <c r="H294" i="23"/>
  <c r="H195" i="23"/>
  <c r="H97" i="23"/>
  <c r="H36" i="23"/>
  <c r="H52" i="23"/>
  <c r="H57" i="23"/>
  <c r="H90" i="23"/>
  <c r="H209" i="23"/>
  <c r="H69" i="23"/>
  <c r="AA146" i="23"/>
  <c r="Z146" i="23" s="1"/>
  <c r="Y146" i="23" s="1"/>
  <c r="AA130" i="23"/>
  <c r="Z130" i="23" s="1"/>
  <c r="Y130" i="23" s="1"/>
  <c r="AA117" i="23"/>
  <c r="Z117" i="23" s="1"/>
  <c r="Y117" i="23" s="1"/>
  <c r="AA110" i="23"/>
  <c r="Z110" i="23" s="1"/>
  <c r="Y110" i="23" s="1"/>
  <c r="AA329" i="23"/>
  <c r="Z329" i="23" s="1"/>
  <c r="Y329" i="23" s="1"/>
  <c r="H348" i="23"/>
  <c r="H58" i="23"/>
  <c r="H53" i="23"/>
  <c r="H197" i="23"/>
  <c r="H265" i="23"/>
  <c r="H312" i="23"/>
  <c r="H94" i="23"/>
  <c r="H322" i="23"/>
  <c r="H287" i="23"/>
  <c r="H315" i="23"/>
  <c r="H260" i="23"/>
  <c r="H354" i="23"/>
  <c r="H166" i="23"/>
  <c r="H152" i="23"/>
  <c r="H373" i="23"/>
  <c r="H177" i="23"/>
  <c r="H213" i="23"/>
  <c r="H136" i="23"/>
  <c r="H222" i="23"/>
  <c r="H129" i="23"/>
  <c r="H254" i="23"/>
  <c r="H18" i="23"/>
  <c r="H328" i="23"/>
  <c r="H148" i="23"/>
  <c r="H198" i="23"/>
  <c r="H361" i="23"/>
  <c r="H193" i="23"/>
  <c r="H293" i="23"/>
  <c r="AA150" i="23"/>
  <c r="Z150" i="23" s="1"/>
  <c r="Y150" i="23" s="1"/>
  <c r="AA377" i="23"/>
  <c r="Z377" i="23" s="1"/>
  <c r="Y377" i="23" s="1"/>
  <c r="AA373" i="23"/>
  <c r="Z373" i="23" s="1"/>
  <c r="Y373" i="23" s="1"/>
  <c r="AA221" i="23"/>
  <c r="Z221" i="23" s="1"/>
  <c r="Y221" i="23" s="1"/>
  <c r="AA265" i="23"/>
  <c r="Z265" i="23" s="1"/>
  <c r="Y265" i="23" s="1"/>
  <c r="AA305" i="23"/>
  <c r="Z305" i="23" s="1"/>
  <c r="Y305" i="23" s="1"/>
  <c r="AA123" i="23"/>
  <c r="Z123" i="23" s="1"/>
  <c r="Y123" i="23" s="1"/>
  <c r="AA174" i="23"/>
  <c r="Z174" i="23" s="1"/>
  <c r="Y174" i="23" s="1"/>
  <c r="AA251" i="23"/>
  <c r="Z251" i="23" s="1"/>
  <c r="Y251" i="23" s="1"/>
  <c r="H78" i="23"/>
  <c r="H32" i="23"/>
  <c r="H245" i="23"/>
  <c r="H364" i="23"/>
  <c r="H334" i="23"/>
  <c r="H173" i="23"/>
  <c r="H375" i="23"/>
  <c r="H324" i="23"/>
  <c r="H304" i="23"/>
  <c r="H156" i="23"/>
  <c r="H362" i="23"/>
  <c r="H181" i="23"/>
  <c r="H313" i="23"/>
  <c r="H368" i="23"/>
  <c r="H216" i="23"/>
  <c r="H117" i="23"/>
  <c r="H182" i="23"/>
  <c r="H356" i="23"/>
  <c r="H105" i="23"/>
  <c r="H215" i="23"/>
  <c r="H336" i="23"/>
  <c r="H219" i="23"/>
  <c r="H231" i="23"/>
  <c r="J210" i="22"/>
  <c r="J380" i="22"/>
  <c r="I380" i="22"/>
  <c r="H380" i="23" s="1"/>
  <c r="AI99" i="24"/>
  <c r="AH99" i="24" s="1"/>
  <c r="AI36" i="24"/>
  <c r="AH36" i="24" s="1"/>
  <c r="AG36" i="24" s="1"/>
  <c r="AF36" i="24" s="1"/>
  <c r="AD36" i="24" s="1"/>
  <c r="AI24" i="24"/>
  <c r="AH24" i="24" s="1"/>
  <c r="AG24" i="24" s="1"/>
  <c r="AF24" i="24" s="1"/>
  <c r="AD24" i="24" s="1"/>
  <c r="AI83" i="24"/>
  <c r="AH83" i="24" s="1"/>
  <c r="AI67" i="24"/>
  <c r="AH67" i="24" s="1"/>
  <c r="AG67" i="24" s="1"/>
  <c r="AF67" i="24" s="1"/>
  <c r="AD67" i="24" s="1"/>
  <c r="AI45" i="24"/>
  <c r="AH45" i="24" s="1"/>
  <c r="AI76" i="24"/>
  <c r="AH76" i="24" s="1"/>
  <c r="AI17" i="24"/>
  <c r="AH17" i="24" s="1"/>
  <c r="AG17" i="24" s="1"/>
  <c r="AF17" i="24" s="1"/>
  <c r="AD17" i="24" s="1"/>
  <c r="AI16" i="24"/>
  <c r="AH16" i="24" s="1"/>
  <c r="AI29" i="24"/>
  <c r="AH29" i="24" s="1"/>
  <c r="AI91" i="24"/>
  <c r="AH91" i="24" s="1"/>
  <c r="AI69" i="24"/>
  <c r="AH69" i="24" s="1"/>
  <c r="AI60" i="24"/>
  <c r="AH60" i="24" s="1"/>
  <c r="AI102" i="24"/>
  <c r="AH102" i="24" s="1"/>
  <c r="AI39" i="24"/>
  <c r="AH39" i="24" s="1"/>
  <c r="AI37" i="24"/>
  <c r="AH37" i="24" s="1"/>
  <c r="AI64" i="24"/>
  <c r="AH64" i="24" s="1"/>
  <c r="AG64" i="24" s="1"/>
  <c r="AF64" i="24" s="1"/>
  <c r="AD64" i="24" s="1"/>
  <c r="AI81" i="24"/>
  <c r="AH81" i="24" s="1"/>
  <c r="AI80" i="24"/>
  <c r="AH80" i="24" s="1"/>
  <c r="AI55" i="24"/>
  <c r="AH55" i="24" s="1"/>
  <c r="AG55" i="24" s="1"/>
  <c r="AF55" i="24" s="1"/>
  <c r="AD55" i="24" s="1"/>
  <c r="AI26" i="24"/>
  <c r="AH26" i="24" s="1"/>
  <c r="AG26" i="24" s="1"/>
  <c r="AF26" i="24" s="1"/>
  <c r="AD26" i="24" s="1"/>
  <c r="AI18" i="24"/>
  <c r="AH18" i="24" s="1"/>
  <c r="AG18" i="24" s="1"/>
  <c r="AF18" i="24" s="1"/>
  <c r="AD18" i="24" s="1"/>
  <c r="AI40" i="24"/>
  <c r="AH40" i="24" s="1"/>
  <c r="AI70" i="24"/>
  <c r="AH70" i="24" s="1"/>
  <c r="AI57" i="24"/>
  <c r="AH57" i="24" s="1"/>
  <c r="AI96" i="24"/>
  <c r="AH96" i="24" s="1"/>
  <c r="AI68" i="24"/>
  <c r="AH68" i="24" s="1"/>
  <c r="AG68" i="24" s="1"/>
  <c r="AF68" i="24" s="1"/>
  <c r="AD68" i="24" s="1"/>
  <c r="AI85" i="24"/>
  <c r="AH85" i="24" s="1"/>
  <c r="AI101" i="24"/>
  <c r="AH101" i="24" s="1"/>
  <c r="AI58" i="24"/>
  <c r="AH58" i="24" s="1"/>
  <c r="AI82" i="24"/>
  <c r="AH82" i="24" s="1"/>
  <c r="AI94" i="24"/>
  <c r="AH94" i="24" s="1"/>
  <c r="AI49" i="24"/>
  <c r="AH49" i="24" s="1"/>
  <c r="AI56" i="24"/>
  <c r="AH56" i="24" s="1"/>
  <c r="AG56" i="24" s="1"/>
  <c r="AF56" i="24" s="1"/>
  <c r="AD56" i="24" s="1"/>
  <c r="AI75" i="24"/>
  <c r="AH75" i="24" s="1"/>
  <c r="AI35" i="24"/>
  <c r="AH35" i="24" s="1"/>
  <c r="AI103" i="24"/>
  <c r="AH103" i="24" s="1"/>
  <c r="AG103" i="24" s="1"/>
  <c r="AF103" i="24" s="1"/>
  <c r="AD103" i="24" s="1"/>
  <c r="AI72" i="24"/>
  <c r="AH72" i="24" s="1"/>
  <c r="AG72" i="24" s="1"/>
  <c r="AF72" i="24" s="1"/>
  <c r="AD72" i="24" s="1"/>
  <c r="AI73" i="24"/>
  <c r="AH73" i="24" s="1"/>
  <c r="AG73" i="24" s="1"/>
  <c r="AF73" i="24" s="1"/>
  <c r="AD73" i="24" s="1"/>
  <c r="AI47" i="24"/>
  <c r="AH47" i="24" s="1"/>
  <c r="AI30" i="24"/>
  <c r="AH30" i="24" s="1"/>
  <c r="AG30" i="24" s="1"/>
  <c r="AF30" i="24" s="1"/>
  <c r="AD30" i="24" s="1"/>
  <c r="AI43" i="24"/>
  <c r="AH43" i="24" s="1"/>
  <c r="AI41" i="24"/>
  <c r="AH41" i="24" s="1"/>
  <c r="AI71" i="24"/>
  <c r="AH71" i="24" s="1"/>
  <c r="AH381" i="23"/>
  <c r="AH382" i="23"/>
  <c r="AH383" i="23"/>
  <c r="AG15" i="23"/>
  <c r="AJ3" i="17"/>
  <c r="O14" i="19" s="1"/>
  <c r="M14" i="19" s="1"/>
  <c r="AL13" i="17"/>
  <c r="AK4" i="17"/>
  <c r="R14" i="19" s="1"/>
  <c r="AM13" i="17"/>
  <c r="E383" i="18"/>
  <c r="E9" i="18"/>
  <c r="E11" i="18" s="1"/>
  <c r="E382" i="18"/>
  <c r="AK8" i="18"/>
  <c r="AJ10" i="18"/>
  <c r="AJ12" i="18" s="1"/>
  <c r="F15" i="18"/>
  <c r="E381" i="18"/>
  <c r="Q383" i="24"/>
  <c r="Q381" i="24"/>
  <c r="Q382" i="24"/>
  <c r="Q12" i="25"/>
  <c r="AZ15" i="7"/>
  <c r="AE381" i="24"/>
  <c r="AE382" i="24"/>
  <c r="AE383" i="24"/>
  <c r="I119" i="22"/>
  <c r="J119" i="22"/>
  <c r="J180" i="22"/>
  <c r="I180" i="22"/>
  <c r="I60" i="22"/>
  <c r="H60" i="23" s="1"/>
  <c r="J60" i="22"/>
  <c r="W15" i="20"/>
  <c r="B383" i="20"/>
  <c r="H9" i="20"/>
  <c r="B16" i="19" s="1"/>
  <c r="B32" i="19" s="1"/>
  <c r="AK6" i="20"/>
  <c r="AJ6" i="20"/>
  <c r="D15" i="20"/>
  <c r="B382" i="20"/>
  <c r="B381" i="20"/>
  <c r="J363" i="22"/>
  <c r="I363" i="22"/>
  <c r="J14" i="19"/>
  <c r="AA11" i="17"/>
  <c r="AA5" i="17" s="1"/>
  <c r="I14" i="19" s="1"/>
  <c r="Z11" i="17"/>
  <c r="Z5" i="17" s="1"/>
  <c r="H14" i="19" s="1"/>
  <c r="I319" i="23"/>
  <c r="J319" i="23"/>
  <c r="J288" i="23"/>
  <c r="I288" i="23"/>
  <c r="P382" i="22"/>
  <c r="P381" i="22"/>
  <c r="V15" i="22"/>
  <c r="P383" i="22"/>
  <c r="Y11" i="17"/>
  <c r="AF381" i="22"/>
  <c r="AD15" i="22"/>
  <c r="AF382" i="22"/>
  <c r="AF383" i="22"/>
  <c r="V381" i="20"/>
  <c r="V383" i="20"/>
  <c r="V382" i="20"/>
  <c r="AM7" i="18"/>
  <c r="AK5" i="22"/>
  <c r="AI272" i="24"/>
  <c r="AH272" i="24" s="1"/>
  <c r="AG272" i="24" s="1"/>
  <c r="AF272" i="24" s="1"/>
  <c r="AD272" i="24" s="1"/>
  <c r="AI231" i="24"/>
  <c r="AH231" i="24" s="1"/>
  <c r="AI319" i="24"/>
  <c r="AH319" i="24" s="1"/>
  <c r="AI300" i="24"/>
  <c r="AH300" i="24" s="1"/>
  <c r="AI339" i="24"/>
  <c r="AH339" i="24" s="1"/>
  <c r="AI315" i="24"/>
  <c r="AH315" i="24" s="1"/>
  <c r="AI318" i="24"/>
  <c r="AH318" i="24" s="1"/>
  <c r="AI137" i="24"/>
  <c r="AH137" i="24" s="1"/>
  <c r="AI232" i="24"/>
  <c r="AH232" i="24" s="1"/>
  <c r="AI254" i="24"/>
  <c r="AH254" i="24" s="1"/>
  <c r="AI123" i="24"/>
  <c r="AH123" i="24" s="1"/>
  <c r="AG123" i="24" s="1"/>
  <c r="AF123" i="24" s="1"/>
  <c r="AD123" i="24" s="1"/>
  <c r="AI358" i="24"/>
  <c r="AH358" i="24" s="1"/>
  <c r="AI164" i="24"/>
  <c r="AH164" i="24" s="1"/>
  <c r="AI145" i="24"/>
  <c r="AH145" i="24" s="1"/>
  <c r="AI273" i="24"/>
  <c r="AH273" i="24" s="1"/>
  <c r="AI294" i="24"/>
  <c r="AH294" i="24" s="1"/>
  <c r="AG294" i="24" s="1"/>
  <c r="AF294" i="24" s="1"/>
  <c r="AD294" i="24" s="1"/>
  <c r="AI313" i="24"/>
  <c r="AH313" i="24" s="1"/>
  <c r="AG313" i="24" s="1"/>
  <c r="AF313" i="24" s="1"/>
  <c r="AD313" i="24" s="1"/>
  <c r="AI170" i="24"/>
  <c r="AH170" i="24" s="1"/>
  <c r="AG170" i="24" s="1"/>
  <c r="AF170" i="24" s="1"/>
  <c r="AD170" i="24" s="1"/>
  <c r="AI270" i="24"/>
  <c r="AH270" i="24" s="1"/>
  <c r="AI162" i="24"/>
  <c r="AH162" i="24" s="1"/>
  <c r="AI220" i="24"/>
  <c r="AH220" i="24" s="1"/>
  <c r="AG220" i="24" s="1"/>
  <c r="AF220" i="24" s="1"/>
  <c r="AD220" i="24" s="1"/>
  <c r="AI341" i="24"/>
  <c r="AH341" i="24" s="1"/>
  <c r="AI323" i="24"/>
  <c r="AH323" i="24" s="1"/>
  <c r="AI333" i="24"/>
  <c r="AH333" i="24" s="1"/>
  <c r="AG333" i="24" s="1"/>
  <c r="AF333" i="24" s="1"/>
  <c r="AD333" i="24" s="1"/>
  <c r="AI310" i="24"/>
  <c r="AH310" i="24" s="1"/>
  <c r="AG310" i="24" s="1"/>
  <c r="AF310" i="24" s="1"/>
  <c r="AD310" i="24" s="1"/>
  <c r="AI376" i="24"/>
  <c r="AH376" i="24" s="1"/>
  <c r="AG376" i="24" s="1"/>
  <c r="AF376" i="24" s="1"/>
  <c r="AD376" i="24" s="1"/>
  <c r="AI176" i="24"/>
  <c r="AH176" i="24" s="1"/>
  <c r="AG176" i="24" s="1"/>
  <c r="AF176" i="24" s="1"/>
  <c r="AD176" i="24" s="1"/>
  <c r="AI205" i="24"/>
  <c r="AH205" i="24" s="1"/>
  <c r="AG205" i="24" s="1"/>
  <c r="AF205" i="24" s="1"/>
  <c r="AD205" i="24" s="1"/>
  <c r="AI172" i="24"/>
  <c r="AH172" i="24" s="1"/>
  <c r="AG172" i="24" s="1"/>
  <c r="AF172" i="24" s="1"/>
  <c r="AD172" i="24" s="1"/>
  <c r="AI209" i="24"/>
  <c r="AH209" i="24" s="1"/>
  <c r="AG209" i="24" s="1"/>
  <c r="AF209" i="24" s="1"/>
  <c r="AD209" i="24" s="1"/>
  <c r="AI187" i="24"/>
  <c r="AH187" i="24" s="1"/>
  <c r="AG187" i="24" s="1"/>
  <c r="AF187" i="24" s="1"/>
  <c r="AD187" i="24" s="1"/>
  <c r="AI204" i="24"/>
  <c r="AH204" i="24" s="1"/>
  <c r="AG204" i="24" s="1"/>
  <c r="AF204" i="24" s="1"/>
  <c r="AD204" i="24" s="1"/>
  <c r="AI308" i="24"/>
  <c r="AH308" i="24" s="1"/>
  <c r="AG308" i="24" s="1"/>
  <c r="AF308" i="24" s="1"/>
  <c r="AD308" i="24" s="1"/>
  <c r="AI367" i="24"/>
  <c r="AH367" i="24" s="1"/>
  <c r="AI202" i="24"/>
  <c r="AH202" i="24" s="1"/>
  <c r="AI307" i="24"/>
  <c r="AH307" i="24" s="1"/>
  <c r="AI283" i="24"/>
  <c r="AH283" i="24" s="1"/>
  <c r="AI306" i="24"/>
  <c r="AH306" i="24" s="1"/>
  <c r="AI155" i="24"/>
  <c r="AH155" i="24" s="1"/>
  <c r="AI218" i="24"/>
  <c r="AH218" i="24" s="1"/>
  <c r="AI217" i="24"/>
  <c r="AH217" i="24" s="1"/>
  <c r="AI197" i="24"/>
  <c r="AH197" i="24" s="1"/>
  <c r="AI213" i="24"/>
  <c r="AH213" i="24" s="1"/>
  <c r="AI188" i="24"/>
  <c r="AH188" i="24" s="1"/>
  <c r="AG188" i="24" s="1"/>
  <c r="AF188" i="24" s="1"/>
  <c r="AD188" i="24" s="1"/>
  <c r="AI149" i="24"/>
  <c r="AH149" i="24" s="1"/>
  <c r="AG149" i="24" s="1"/>
  <c r="AF149" i="24" s="1"/>
  <c r="AD149" i="24" s="1"/>
  <c r="AI286" i="24"/>
  <c r="AH286" i="24" s="1"/>
  <c r="AI361" i="24"/>
  <c r="AH361" i="24" s="1"/>
  <c r="AI371" i="24"/>
  <c r="AH371" i="24" s="1"/>
  <c r="AI309" i="24"/>
  <c r="AH309" i="24" s="1"/>
  <c r="AI342" i="24"/>
  <c r="AH342" i="24" s="1"/>
  <c r="AI305" i="24"/>
  <c r="AH305" i="24" s="1"/>
  <c r="AI348" i="24"/>
  <c r="AH348" i="24" s="1"/>
  <c r="AI343" i="24"/>
  <c r="AH343" i="24" s="1"/>
  <c r="AI324" i="24"/>
  <c r="AH324" i="24" s="1"/>
  <c r="AI340" i="24"/>
  <c r="AH340" i="24" s="1"/>
  <c r="AI321" i="24"/>
  <c r="AH321" i="24" s="1"/>
  <c r="AI325" i="24"/>
  <c r="AH325" i="24" s="1"/>
  <c r="AI238" i="24"/>
  <c r="AH238" i="24" s="1"/>
  <c r="AI181" i="24"/>
  <c r="AH181" i="24" s="1"/>
  <c r="AI212" i="24"/>
  <c r="AH212" i="24" s="1"/>
  <c r="AI178" i="24"/>
  <c r="AH178" i="24" s="1"/>
  <c r="AI227" i="24"/>
  <c r="AH227" i="24" s="1"/>
  <c r="AI372" i="24"/>
  <c r="AH372" i="24" s="1"/>
  <c r="AG372" i="24" s="1"/>
  <c r="AF372" i="24" s="1"/>
  <c r="AD372" i="24" s="1"/>
  <c r="AI203" i="24"/>
  <c r="AH203" i="24" s="1"/>
  <c r="AI347" i="24"/>
  <c r="AH347" i="24" s="1"/>
  <c r="AI107" i="24"/>
  <c r="AH107" i="24" s="1"/>
  <c r="AI245" i="24"/>
  <c r="AH245" i="24" s="1"/>
  <c r="AI214" i="24"/>
  <c r="AH214" i="24" s="1"/>
  <c r="AI126" i="24"/>
  <c r="AH126" i="24" s="1"/>
  <c r="AI194" i="24"/>
  <c r="AH194" i="24" s="1"/>
  <c r="AI228" i="24"/>
  <c r="AH228" i="24" s="1"/>
  <c r="AI334" i="24"/>
  <c r="AH334" i="24" s="1"/>
  <c r="AI191" i="24"/>
  <c r="AH191" i="24" s="1"/>
  <c r="AI248" i="24"/>
  <c r="AH248" i="24" s="1"/>
  <c r="AI159" i="24"/>
  <c r="AH159" i="24" s="1"/>
  <c r="AI338" i="24"/>
  <c r="AH338" i="24" s="1"/>
  <c r="AI167" i="24"/>
  <c r="AH167" i="24" s="1"/>
  <c r="AI377" i="24"/>
  <c r="AH377" i="24" s="1"/>
  <c r="AI359" i="24"/>
  <c r="AH359" i="24" s="1"/>
  <c r="AI174" i="24"/>
  <c r="AH174" i="24" s="1"/>
  <c r="AI207" i="24"/>
  <c r="AH207" i="24" s="1"/>
  <c r="AG207" i="24" s="1"/>
  <c r="AF207" i="24" s="1"/>
  <c r="AD207" i="24" s="1"/>
  <c r="AI120" i="24"/>
  <c r="AH120" i="24" s="1"/>
  <c r="AG120" i="24" s="1"/>
  <c r="AF120" i="24" s="1"/>
  <c r="AD120" i="24" s="1"/>
  <c r="AI148" i="24"/>
  <c r="AH148" i="24" s="1"/>
  <c r="AG148" i="24" s="1"/>
  <c r="AF148" i="24" s="1"/>
  <c r="AD148" i="24" s="1"/>
  <c r="AI118" i="24"/>
  <c r="AH118" i="24" s="1"/>
  <c r="AG118" i="24" s="1"/>
  <c r="AF118" i="24" s="1"/>
  <c r="AD118" i="24" s="1"/>
  <c r="AI375" i="24"/>
  <c r="AH375" i="24" s="1"/>
  <c r="AG375" i="24" s="1"/>
  <c r="AF375" i="24" s="1"/>
  <c r="AD375" i="24" s="1"/>
  <c r="AI329" i="24"/>
  <c r="AH329" i="24" s="1"/>
  <c r="AI241" i="24"/>
  <c r="AH241" i="24" s="1"/>
  <c r="AI264" i="24"/>
  <c r="AH264" i="24" s="1"/>
  <c r="AI114" i="24"/>
  <c r="AH114" i="24" s="1"/>
  <c r="AI142" i="24"/>
  <c r="AH142" i="24" s="1"/>
  <c r="AG142" i="24" s="1"/>
  <c r="AF142" i="24" s="1"/>
  <c r="AD142" i="24" s="1"/>
  <c r="AI226" i="24"/>
  <c r="AH226" i="24" s="1"/>
  <c r="AG226" i="24" s="1"/>
  <c r="AF226" i="24" s="1"/>
  <c r="AD226" i="24" s="1"/>
  <c r="AI140" i="24"/>
  <c r="AH140" i="24" s="1"/>
  <c r="AG140" i="24" s="1"/>
  <c r="AF140" i="24" s="1"/>
  <c r="AD140" i="24" s="1"/>
  <c r="AI337" i="24"/>
  <c r="AH337" i="24" s="1"/>
  <c r="AG337" i="24" s="1"/>
  <c r="AF337" i="24" s="1"/>
  <c r="AD337" i="24" s="1"/>
  <c r="AI255" i="24"/>
  <c r="AH255" i="24" s="1"/>
  <c r="AG255" i="24" s="1"/>
  <c r="AF255" i="24" s="1"/>
  <c r="AD255" i="24" s="1"/>
  <c r="AI150" i="24"/>
  <c r="AH150" i="24" s="1"/>
  <c r="AG150" i="24" s="1"/>
  <c r="AF150" i="24" s="1"/>
  <c r="AD150" i="24" s="1"/>
  <c r="AI253" i="24"/>
  <c r="AH253" i="24" s="1"/>
  <c r="AG253" i="24" s="1"/>
  <c r="AF253" i="24" s="1"/>
  <c r="AD253" i="24" s="1"/>
  <c r="AI129" i="24"/>
  <c r="AH129" i="24" s="1"/>
  <c r="AG129" i="24" s="1"/>
  <c r="AF129" i="24" s="1"/>
  <c r="AD129" i="24" s="1"/>
  <c r="AI360" i="24"/>
  <c r="AH360" i="24" s="1"/>
  <c r="AG360" i="24" s="1"/>
  <c r="AF360" i="24" s="1"/>
  <c r="AD360" i="24" s="1"/>
  <c r="AI246" i="24"/>
  <c r="AH246" i="24" s="1"/>
  <c r="AG246" i="24" s="1"/>
  <c r="AF246" i="24" s="1"/>
  <c r="AD246" i="24" s="1"/>
  <c r="AI134" i="24"/>
  <c r="AH134" i="24" s="1"/>
  <c r="AG134" i="24" s="1"/>
  <c r="AF134" i="24" s="1"/>
  <c r="AD134" i="24" s="1"/>
  <c r="AI109" i="24"/>
  <c r="AH109" i="24" s="1"/>
  <c r="AG109" i="24" s="1"/>
  <c r="AF109" i="24" s="1"/>
  <c r="AD109" i="24" s="1"/>
  <c r="AI351" i="24"/>
  <c r="AH351" i="24" s="1"/>
  <c r="AG351" i="24" s="1"/>
  <c r="AF351" i="24" s="1"/>
  <c r="AD351" i="24" s="1"/>
  <c r="AI335" i="24"/>
  <c r="AH335" i="24" s="1"/>
  <c r="AG335" i="24" s="1"/>
  <c r="AF335" i="24" s="1"/>
  <c r="AD335" i="24" s="1"/>
  <c r="AI175" i="24"/>
  <c r="AH175" i="24" s="1"/>
  <c r="AI326" i="24"/>
  <c r="AH326" i="24" s="1"/>
  <c r="AI135" i="24"/>
  <c r="AH135" i="24" s="1"/>
  <c r="AI289" i="24"/>
  <c r="AH289" i="24" s="1"/>
  <c r="AG289" i="24" s="1"/>
  <c r="AF289" i="24" s="1"/>
  <c r="AD289" i="24" s="1"/>
  <c r="AI160" i="24"/>
  <c r="AH160" i="24" s="1"/>
  <c r="AI180" i="24"/>
  <c r="AH180" i="24" s="1"/>
  <c r="AI328" i="24"/>
  <c r="AH328" i="24" s="1"/>
  <c r="AI210" i="24"/>
  <c r="AH210" i="24" s="1"/>
  <c r="AI177" i="24"/>
  <c r="AH177" i="24" s="1"/>
  <c r="AI258" i="24"/>
  <c r="AH258" i="24" s="1"/>
  <c r="AI301" i="24"/>
  <c r="AH301" i="24" s="1"/>
  <c r="AI252" i="24"/>
  <c r="AH252" i="24" s="1"/>
  <c r="AI298" i="24"/>
  <c r="AH298" i="24" s="1"/>
  <c r="AG298" i="24" s="1"/>
  <c r="AF298" i="24" s="1"/>
  <c r="AD298" i="24" s="1"/>
  <c r="AI112" i="24"/>
  <c r="AH112" i="24" s="1"/>
  <c r="AG112" i="24" s="1"/>
  <c r="AF112" i="24" s="1"/>
  <c r="AD112" i="24" s="1"/>
  <c r="AI373" i="24"/>
  <c r="AH373" i="24" s="1"/>
  <c r="AG373" i="24" s="1"/>
  <c r="AF373" i="24" s="1"/>
  <c r="AD373" i="24" s="1"/>
  <c r="AI183" i="24"/>
  <c r="AH183" i="24" s="1"/>
  <c r="AI364" i="24"/>
  <c r="AH364" i="24" s="1"/>
  <c r="AI284" i="24"/>
  <c r="AH284" i="24" s="1"/>
  <c r="AI144" i="24"/>
  <c r="AH144" i="24" s="1"/>
  <c r="AI234" i="24"/>
  <c r="AH234" i="24" s="1"/>
  <c r="AI171" i="24"/>
  <c r="AH171" i="24" s="1"/>
  <c r="AI242" i="24"/>
  <c r="AH242" i="24" s="1"/>
  <c r="AI277" i="24"/>
  <c r="AH277" i="24" s="1"/>
  <c r="AI125" i="24"/>
  <c r="AH125" i="24" s="1"/>
  <c r="AI161" i="24"/>
  <c r="AH161" i="24" s="1"/>
  <c r="AI263" i="24"/>
  <c r="AH263" i="24" s="1"/>
  <c r="AI276" i="24"/>
  <c r="AH276" i="24" s="1"/>
  <c r="AI240" i="24"/>
  <c r="AH240" i="24" s="1"/>
  <c r="AI124" i="24"/>
  <c r="AH124" i="24" s="1"/>
  <c r="AI200" i="24"/>
  <c r="AH200" i="24" s="1"/>
  <c r="AI330" i="24"/>
  <c r="AH330" i="24" s="1"/>
  <c r="AI221" i="24"/>
  <c r="AH221" i="24" s="1"/>
  <c r="AG221" i="24" s="1"/>
  <c r="AF221" i="24" s="1"/>
  <c r="AD221" i="24" s="1"/>
  <c r="AI222" i="24"/>
  <c r="AH222" i="24" s="1"/>
  <c r="AI368" i="24"/>
  <c r="AH368" i="24" s="1"/>
  <c r="AI110" i="24"/>
  <c r="AH110" i="24" s="1"/>
  <c r="AG110" i="24" s="1"/>
  <c r="AF110" i="24" s="1"/>
  <c r="AD110" i="24" s="1"/>
  <c r="H263" i="23"/>
  <c r="AA263" i="23"/>
  <c r="Z263" i="23" s="1"/>
  <c r="Y263" i="23" s="1"/>
  <c r="G263" i="23"/>
  <c r="CD263" i="6" s="1"/>
  <c r="H29" i="23"/>
  <c r="G29" i="23"/>
  <c r="CD29" i="6" s="1"/>
  <c r="AA29" i="23"/>
  <c r="Z29" i="23" s="1"/>
  <c r="Y29" i="23" s="1"/>
  <c r="I268" i="23"/>
  <c r="J268" i="23"/>
  <c r="I307" i="23"/>
  <c r="J307" i="23"/>
  <c r="H74" i="23"/>
  <c r="AA74" i="23"/>
  <c r="Z74" i="23" s="1"/>
  <c r="Y74" i="23" s="1"/>
  <c r="G74" i="23"/>
  <c r="CD74" i="6" s="1"/>
  <c r="J267" i="23"/>
  <c r="I267" i="23"/>
  <c r="J191" i="23"/>
  <c r="I191" i="23"/>
  <c r="H170" i="23"/>
  <c r="AA170" i="23"/>
  <c r="Z170" i="23" s="1"/>
  <c r="Y170" i="23" s="1"/>
  <c r="G170" i="23"/>
  <c r="CD170" i="6" s="1"/>
  <c r="I376" i="23"/>
  <c r="J376" i="23"/>
  <c r="G109" i="23"/>
  <c r="CD109" i="6" s="1"/>
  <c r="AA109" i="23"/>
  <c r="Z109" i="23" s="1"/>
  <c r="Y109" i="23" s="1"/>
  <c r="H109" i="23"/>
  <c r="H326" i="23"/>
  <c r="AA326" i="23"/>
  <c r="Z326" i="23" s="1"/>
  <c r="Y326" i="23" s="1"/>
  <c r="G326" i="23"/>
  <c r="CD326" i="6" s="1"/>
  <c r="I341" i="23"/>
  <c r="J341" i="23"/>
  <c r="J172" i="23"/>
  <c r="I172" i="23"/>
  <c r="J258" i="23"/>
  <c r="I258" i="23"/>
  <c r="AA349" i="23"/>
  <c r="Z349" i="23" s="1"/>
  <c r="Y349" i="23" s="1"/>
  <c r="G349" i="23"/>
  <c r="CD349" i="6" s="1"/>
  <c r="H349" i="23"/>
  <c r="I314" i="23"/>
  <c r="J314" i="23"/>
  <c r="J79" i="23"/>
  <c r="I79" i="23"/>
  <c r="I223" i="23"/>
  <c r="J223" i="23"/>
  <c r="I61" i="23"/>
  <c r="J61" i="23"/>
  <c r="J202" i="23"/>
  <c r="I202" i="23"/>
  <c r="I295" i="23"/>
  <c r="J295" i="23"/>
  <c r="J27" i="23"/>
  <c r="I27" i="23"/>
  <c r="J284" i="23"/>
  <c r="I284" i="23"/>
  <c r="J250" i="23"/>
  <c r="I250" i="23"/>
  <c r="I317" i="23"/>
  <c r="J317" i="23"/>
  <c r="J151" i="23"/>
  <c r="I151" i="23"/>
  <c r="I300" i="23"/>
  <c r="J300" i="23"/>
  <c r="I238" i="23"/>
  <c r="J238" i="23"/>
  <c r="J352" i="23"/>
  <c r="I352" i="23"/>
  <c r="I184" i="23"/>
  <c r="J184" i="23"/>
  <c r="AA137" i="23"/>
  <c r="Z137" i="23" s="1"/>
  <c r="Y137" i="23" s="1"/>
  <c r="G137" i="23"/>
  <c r="CD137" i="6" s="1"/>
  <c r="H137" i="23"/>
  <c r="I205" i="23"/>
  <c r="J205" i="23"/>
  <c r="I162" i="23"/>
  <c r="J162" i="23"/>
  <c r="I199" i="23"/>
  <c r="J199" i="23"/>
  <c r="H51" i="23"/>
  <c r="AA51" i="23"/>
  <c r="Z51" i="23" s="1"/>
  <c r="Y51" i="23" s="1"/>
  <c r="G51" i="23"/>
  <c r="CD51" i="6" s="1"/>
  <c r="J206" i="23"/>
  <c r="I206" i="23"/>
  <c r="H234" i="23"/>
  <c r="AA234" i="23"/>
  <c r="Z234" i="23" s="1"/>
  <c r="Y234" i="23" s="1"/>
  <c r="G234" i="23"/>
  <c r="CD234" i="6" s="1"/>
  <c r="G289" i="23"/>
  <c r="CD289" i="6" s="1"/>
  <c r="H289" i="23"/>
  <c r="AA289" i="23"/>
  <c r="Z289" i="23" s="1"/>
  <c r="Y289" i="23" s="1"/>
  <c r="H196" i="23"/>
  <c r="AA196" i="23"/>
  <c r="Z196" i="23" s="1"/>
  <c r="Y196" i="23" s="1"/>
  <c r="G196" i="23"/>
  <c r="CD196" i="6" s="1"/>
  <c r="I248" i="23"/>
  <c r="J248" i="23"/>
  <c r="I194" i="23"/>
  <c r="J194" i="23"/>
  <c r="S340" i="24"/>
  <c r="R340" i="24" s="1"/>
  <c r="P340" i="24" s="1"/>
  <c r="V340" i="24" s="1"/>
  <c r="B340" i="24" s="1"/>
  <c r="S243" i="24"/>
  <c r="R243" i="24" s="1"/>
  <c r="P243" i="24" s="1"/>
  <c r="V243" i="24" s="1"/>
  <c r="B243" i="24" s="1"/>
  <c r="S97" i="24"/>
  <c r="R97" i="24" s="1"/>
  <c r="P97" i="24" s="1"/>
  <c r="V97" i="24" s="1"/>
  <c r="B97" i="24" s="1"/>
  <c r="S55" i="24"/>
  <c r="R55" i="24" s="1"/>
  <c r="P55" i="24" s="1"/>
  <c r="V55" i="24" s="1"/>
  <c r="B55" i="24" s="1"/>
  <c r="S40" i="24"/>
  <c r="R40" i="24" s="1"/>
  <c r="P40" i="24" s="1"/>
  <c r="V40" i="24" s="1"/>
  <c r="B40" i="24" s="1"/>
  <c r="S73" i="24"/>
  <c r="R73" i="24" s="1"/>
  <c r="P73" i="24" s="1"/>
  <c r="V73" i="24" s="1"/>
  <c r="B73" i="24" s="1"/>
  <c r="I35" i="23"/>
  <c r="J35" i="23"/>
  <c r="I16" i="23"/>
  <c r="J16" i="23"/>
  <c r="J26" i="23"/>
  <c r="I26" i="23"/>
  <c r="J226" i="23"/>
  <c r="I226" i="23"/>
  <c r="I134" i="23"/>
  <c r="J134" i="23"/>
  <c r="J25" i="23"/>
  <c r="I25" i="23"/>
  <c r="I20" i="23"/>
  <c r="J20" i="23"/>
  <c r="I255" i="23"/>
  <c r="J255" i="23"/>
  <c r="I31" i="23"/>
  <c r="J31" i="23"/>
  <c r="J225" i="23"/>
  <c r="I225" i="23"/>
  <c r="J218" i="23"/>
  <c r="I218" i="23"/>
  <c r="I257" i="23"/>
  <c r="J257" i="23"/>
  <c r="J84" i="23"/>
  <c r="I84" i="23"/>
  <c r="AA60" i="23"/>
  <c r="Z60" i="23" s="1"/>
  <c r="Y60" i="23" s="1"/>
  <c r="G60" i="23"/>
  <c r="CD60" i="6" s="1"/>
  <c r="J82" i="23"/>
  <c r="I82" i="23"/>
  <c r="J100" i="23"/>
  <c r="I100" i="23"/>
  <c r="J301" i="23"/>
  <c r="I301" i="23"/>
  <c r="U206" i="24" l="1"/>
  <c r="T206" i="24" s="1"/>
  <c r="S206" i="24" s="1"/>
  <c r="R206" i="24" s="1"/>
  <c r="P206" i="24" s="1"/>
  <c r="V206" i="24" s="1"/>
  <c r="B206" i="24" s="1"/>
  <c r="W206" i="24" s="1"/>
  <c r="AI296" i="24"/>
  <c r="AH296" i="24" s="1"/>
  <c r="AG296" i="24" s="1"/>
  <c r="AF296" i="24" s="1"/>
  <c r="AD296" i="24" s="1"/>
  <c r="AI336" i="24"/>
  <c r="AH336" i="24" s="1"/>
  <c r="AI355" i="24"/>
  <c r="AH355" i="24" s="1"/>
  <c r="AG355" i="24" s="1"/>
  <c r="AF355" i="24" s="1"/>
  <c r="AD355" i="24" s="1"/>
  <c r="AI208" i="24"/>
  <c r="AH208" i="24" s="1"/>
  <c r="AG208" i="24" s="1"/>
  <c r="AF208" i="24" s="1"/>
  <c r="AD208" i="24" s="1"/>
  <c r="AI108" i="24"/>
  <c r="AH108" i="24" s="1"/>
  <c r="AG108" i="24" s="1"/>
  <c r="AF108" i="24" s="1"/>
  <c r="AD108" i="24" s="1"/>
  <c r="AI249" i="24"/>
  <c r="AH249" i="24" s="1"/>
  <c r="AI223" i="24"/>
  <c r="AH223" i="24" s="1"/>
  <c r="AG223" i="24" s="1"/>
  <c r="AF223" i="24" s="1"/>
  <c r="AD223" i="24" s="1"/>
  <c r="AI354" i="24"/>
  <c r="AH354" i="24" s="1"/>
  <c r="AG354" i="24" s="1"/>
  <c r="AF354" i="24" s="1"/>
  <c r="AD354" i="24" s="1"/>
  <c r="AI259" i="24"/>
  <c r="AH259" i="24" s="1"/>
  <c r="AG259" i="24" s="1"/>
  <c r="AF259" i="24" s="1"/>
  <c r="AD259" i="24" s="1"/>
  <c r="AI158" i="24"/>
  <c r="AH158" i="24" s="1"/>
  <c r="AI282" i="24"/>
  <c r="AH282" i="24" s="1"/>
  <c r="AG282" i="24" s="1"/>
  <c r="AF282" i="24" s="1"/>
  <c r="AD282" i="24" s="1"/>
  <c r="AI281" i="24"/>
  <c r="AH281" i="24" s="1"/>
  <c r="AG281" i="24" s="1"/>
  <c r="AF281" i="24" s="1"/>
  <c r="AD281" i="24" s="1"/>
  <c r="AI239" i="24"/>
  <c r="AH239" i="24" s="1"/>
  <c r="AG239" i="24" s="1"/>
  <c r="AF239" i="24" s="1"/>
  <c r="AD239" i="24" s="1"/>
  <c r="AI151" i="24"/>
  <c r="AH151" i="24" s="1"/>
  <c r="AI302" i="24"/>
  <c r="AH302" i="24" s="1"/>
  <c r="AG302" i="24" s="1"/>
  <c r="AF302" i="24" s="1"/>
  <c r="AD302" i="24" s="1"/>
  <c r="AI260" i="24"/>
  <c r="AH260" i="24" s="1"/>
  <c r="AG260" i="24" s="1"/>
  <c r="AF260" i="24" s="1"/>
  <c r="AD260" i="24" s="1"/>
  <c r="AI278" i="24"/>
  <c r="AH278" i="24" s="1"/>
  <c r="AG278" i="24" s="1"/>
  <c r="AF278" i="24" s="1"/>
  <c r="AD278" i="24" s="1"/>
  <c r="AI198" i="24"/>
  <c r="AH198" i="24" s="1"/>
  <c r="AI147" i="24"/>
  <c r="AH147" i="24" s="1"/>
  <c r="AG147" i="24" s="1"/>
  <c r="AF147" i="24" s="1"/>
  <c r="AD147" i="24" s="1"/>
  <c r="AI153" i="24"/>
  <c r="AH153" i="24" s="1"/>
  <c r="AG153" i="24" s="1"/>
  <c r="AF153" i="24" s="1"/>
  <c r="AD153" i="24" s="1"/>
  <c r="AI303" i="24"/>
  <c r="AH303" i="24" s="1"/>
  <c r="AG303" i="24" s="1"/>
  <c r="AF303" i="24" s="1"/>
  <c r="AD303" i="24" s="1"/>
  <c r="AI235" i="24"/>
  <c r="AH235" i="24" s="1"/>
  <c r="AG235" i="24" s="1"/>
  <c r="AF235" i="24" s="1"/>
  <c r="AD235" i="24" s="1"/>
  <c r="AI113" i="24"/>
  <c r="AH113" i="24" s="1"/>
  <c r="AG113" i="24" s="1"/>
  <c r="AF113" i="24" s="1"/>
  <c r="AD113" i="24" s="1"/>
  <c r="AI141" i="24"/>
  <c r="AH141" i="24" s="1"/>
  <c r="AG141" i="24" s="1"/>
  <c r="AF141" i="24" s="1"/>
  <c r="AD141" i="24" s="1"/>
  <c r="AI117" i="24"/>
  <c r="AH117" i="24" s="1"/>
  <c r="AG117" i="24" s="1"/>
  <c r="AF117" i="24" s="1"/>
  <c r="AD117" i="24" s="1"/>
  <c r="AI168" i="24"/>
  <c r="AH168" i="24" s="1"/>
  <c r="AI139" i="24"/>
  <c r="AH139" i="24" s="1"/>
  <c r="AG139" i="24" s="1"/>
  <c r="AF139" i="24" s="1"/>
  <c r="AD139" i="24" s="1"/>
  <c r="AI331" i="24"/>
  <c r="AH331" i="24" s="1"/>
  <c r="AG331" i="24" s="1"/>
  <c r="AF331" i="24" s="1"/>
  <c r="AD331" i="24" s="1"/>
  <c r="AI287" i="24"/>
  <c r="AH287" i="24" s="1"/>
  <c r="AI266" i="24"/>
  <c r="AH266" i="24" s="1"/>
  <c r="AI127" i="24"/>
  <c r="AH127" i="24" s="1"/>
  <c r="AI311" i="24"/>
  <c r="AH311" i="24" s="1"/>
  <c r="AI169" i="24"/>
  <c r="AH169" i="24" s="1"/>
  <c r="AI165" i="24"/>
  <c r="AH165" i="24" s="1"/>
  <c r="AI265" i="24"/>
  <c r="AH265" i="24" s="1"/>
  <c r="AI143" i="24"/>
  <c r="AH143" i="24" s="1"/>
  <c r="AI136" i="24"/>
  <c r="AH136" i="24" s="1"/>
  <c r="AG136" i="24" s="1"/>
  <c r="AF136" i="24" s="1"/>
  <c r="AD136" i="24" s="1"/>
  <c r="AI225" i="24"/>
  <c r="AH225" i="24" s="1"/>
  <c r="AG225" i="24" s="1"/>
  <c r="AF225" i="24" s="1"/>
  <c r="AD225" i="24" s="1"/>
  <c r="AI290" i="24"/>
  <c r="AH290" i="24" s="1"/>
  <c r="AG290" i="24" s="1"/>
  <c r="AF290" i="24" s="1"/>
  <c r="AD290" i="24" s="1"/>
  <c r="AI370" i="24"/>
  <c r="AH370" i="24" s="1"/>
  <c r="AG370" i="24" s="1"/>
  <c r="AF370" i="24" s="1"/>
  <c r="AD370" i="24" s="1"/>
  <c r="AI111" i="24"/>
  <c r="AH111" i="24" s="1"/>
  <c r="AG111" i="24" s="1"/>
  <c r="AF111" i="24" s="1"/>
  <c r="AD111" i="24" s="1"/>
  <c r="AI317" i="24"/>
  <c r="AH317" i="24" s="1"/>
  <c r="AG317" i="24" s="1"/>
  <c r="AF317" i="24" s="1"/>
  <c r="AD317" i="24" s="1"/>
  <c r="AI378" i="24"/>
  <c r="AH378" i="24" s="1"/>
  <c r="AG378" i="24" s="1"/>
  <c r="AF378" i="24" s="1"/>
  <c r="AD378" i="24" s="1"/>
  <c r="AI267" i="24"/>
  <c r="AH267" i="24" s="1"/>
  <c r="AG267" i="24" s="1"/>
  <c r="AF267" i="24" s="1"/>
  <c r="AD267" i="24" s="1"/>
  <c r="AI374" i="24"/>
  <c r="AH374" i="24" s="1"/>
  <c r="AG374" i="24" s="1"/>
  <c r="AF374" i="24" s="1"/>
  <c r="AD374" i="24" s="1"/>
  <c r="AI121" i="24"/>
  <c r="AH121" i="24" s="1"/>
  <c r="AG121" i="24" s="1"/>
  <c r="AF121" i="24" s="1"/>
  <c r="AD121" i="24" s="1"/>
  <c r="AI271" i="24"/>
  <c r="AH271" i="24" s="1"/>
  <c r="AG271" i="24" s="1"/>
  <c r="AF271" i="24" s="1"/>
  <c r="AD271" i="24" s="1"/>
  <c r="AI352" i="24"/>
  <c r="AH352" i="24" s="1"/>
  <c r="AG352" i="24" s="1"/>
  <c r="AF352" i="24" s="1"/>
  <c r="AD352" i="24" s="1"/>
  <c r="AI269" i="24"/>
  <c r="AH269" i="24" s="1"/>
  <c r="AG269" i="24" s="1"/>
  <c r="AF269" i="24" s="1"/>
  <c r="AD269" i="24" s="1"/>
  <c r="AI196" i="24"/>
  <c r="AH196" i="24" s="1"/>
  <c r="AG196" i="24" s="1"/>
  <c r="AF196" i="24" s="1"/>
  <c r="AD196" i="24" s="1"/>
  <c r="AI201" i="24"/>
  <c r="AH201" i="24" s="1"/>
  <c r="AG201" i="24" s="1"/>
  <c r="AF201" i="24" s="1"/>
  <c r="AD201" i="24" s="1"/>
  <c r="AI345" i="24"/>
  <c r="AH345" i="24" s="1"/>
  <c r="AG345" i="24" s="1"/>
  <c r="AF345" i="24" s="1"/>
  <c r="AD345" i="24" s="1"/>
  <c r="AI327" i="24"/>
  <c r="AH327" i="24" s="1"/>
  <c r="AI189" i="24"/>
  <c r="AH189" i="24" s="1"/>
  <c r="AG189" i="24" s="1"/>
  <c r="AF189" i="24" s="1"/>
  <c r="AD189" i="24" s="1"/>
  <c r="AI251" i="24"/>
  <c r="AH251" i="24" s="1"/>
  <c r="AG251" i="24" s="1"/>
  <c r="AF251" i="24" s="1"/>
  <c r="AD251" i="24" s="1"/>
  <c r="AI332" i="24"/>
  <c r="AH332" i="24" s="1"/>
  <c r="AG332" i="24" s="1"/>
  <c r="AF332" i="24" s="1"/>
  <c r="AD332" i="24" s="1"/>
  <c r="AI244" i="24"/>
  <c r="AH244" i="24" s="1"/>
  <c r="AG244" i="24" s="1"/>
  <c r="AF244" i="24" s="1"/>
  <c r="AD244" i="24" s="1"/>
  <c r="AI350" i="24"/>
  <c r="AH350" i="24" s="1"/>
  <c r="AG350" i="24" s="1"/>
  <c r="AF350" i="24" s="1"/>
  <c r="AD350" i="24" s="1"/>
  <c r="AI119" i="24"/>
  <c r="AH119" i="24" s="1"/>
  <c r="AI279" i="24"/>
  <c r="AH279" i="24" s="1"/>
  <c r="AG279" i="24" s="1"/>
  <c r="AF279" i="24" s="1"/>
  <c r="AD279" i="24" s="1"/>
  <c r="AI362" i="24"/>
  <c r="AH362" i="24" s="1"/>
  <c r="AI133" i="24"/>
  <c r="AH133" i="24" s="1"/>
  <c r="AG133" i="24" s="1"/>
  <c r="AF133" i="24" s="1"/>
  <c r="AD133" i="24" s="1"/>
  <c r="AI257" i="24"/>
  <c r="AH257" i="24" s="1"/>
  <c r="AI128" i="24"/>
  <c r="AH128" i="24" s="1"/>
  <c r="AG128" i="24" s="1"/>
  <c r="AF128" i="24" s="1"/>
  <c r="AD128" i="24" s="1"/>
  <c r="AI349" i="24"/>
  <c r="AH349" i="24" s="1"/>
  <c r="AI256" i="24"/>
  <c r="AH256" i="24" s="1"/>
  <c r="AG256" i="24" s="1"/>
  <c r="AF256" i="24" s="1"/>
  <c r="AD256" i="24" s="1"/>
  <c r="AI292" i="24"/>
  <c r="AH292" i="24" s="1"/>
  <c r="AI185" i="24"/>
  <c r="AH185" i="24" s="1"/>
  <c r="AG185" i="24" s="1"/>
  <c r="AF185" i="24" s="1"/>
  <c r="AD185" i="24" s="1"/>
  <c r="AI344" i="24"/>
  <c r="AH344" i="24" s="1"/>
  <c r="AI236" i="24"/>
  <c r="AH236" i="24" s="1"/>
  <c r="AG236" i="24" s="1"/>
  <c r="AF236" i="24" s="1"/>
  <c r="AD236" i="24" s="1"/>
  <c r="AI230" i="24"/>
  <c r="AH230" i="24" s="1"/>
  <c r="AI152" i="24"/>
  <c r="AH152" i="24" s="1"/>
  <c r="AG152" i="24" s="1"/>
  <c r="AF152" i="24" s="1"/>
  <c r="AD152" i="24" s="1"/>
  <c r="AI154" i="24"/>
  <c r="AH154" i="24" s="1"/>
  <c r="AI365" i="24"/>
  <c r="AH365" i="24" s="1"/>
  <c r="AG365" i="24" s="1"/>
  <c r="AF365" i="24" s="1"/>
  <c r="AD365" i="24" s="1"/>
  <c r="AI268" i="24"/>
  <c r="AH268" i="24" s="1"/>
  <c r="AI115" i="24"/>
  <c r="AH115" i="24" s="1"/>
  <c r="AG115" i="24" s="1"/>
  <c r="AF115" i="24" s="1"/>
  <c r="AD115" i="24" s="1"/>
  <c r="AI243" i="24"/>
  <c r="AH243" i="24" s="1"/>
  <c r="AI106" i="24"/>
  <c r="AH106" i="24" s="1"/>
  <c r="AG106" i="24" s="1"/>
  <c r="AF106" i="24" s="1"/>
  <c r="AD106" i="24" s="1"/>
  <c r="AI363" i="24"/>
  <c r="AH363" i="24" s="1"/>
  <c r="AI320" i="24"/>
  <c r="AH320" i="24" s="1"/>
  <c r="AG320" i="24" s="1"/>
  <c r="AF320" i="24" s="1"/>
  <c r="AD320" i="24" s="1"/>
  <c r="AI369" i="24"/>
  <c r="AH369" i="24" s="1"/>
  <c r="AI105" i="24"/>
  <c r="AH105" i="24" s="1"/>
  <c r="AG105" i="24" s="1"/>
  <c r="AF105" i="24" s="1"/>
  <c r="AD105" i="24" s="1"/>
  <c r="AI199" i="24"/>
  <c r="AH199" i="24" s="1"/>
  <c r="AI166" i="24"/>
  <c r="AH166" i="24" s="1"/>
  <c r="AG166" i="24" s="1"/>
  <c r="AF166" i="24" s="1"/>
  <c r="AD166" i="24" s="1"/>
  <c r="AI215" i="24"/>
  <c r="AH215" i="24" s="1"/>
  <c r="AI130" i="24"/>
  <c r="AH130" i="24" s="1"/>
  <c r="AG130" i="24" s="1"/>
  <c r="AF130" i="24" s="1"/>
  <c r="AD130" i="24" s="1"/>
  <c r="AI219" i="24"/>
  <c r="AH219" i="24" s="1"/>
  <c r="AI193" i="24"/>
  <c r="AH193" i="24" s="1"/>
  <c r="AG193" i="24" s="1"/>
  <c r="AF193" i="24" s="1"/>
  <c r="AD193" i="24" s="1"/>
  <c r="AI116" i="24"/>
  <c r="AH116" i="24" s="1"/>
  <c r="AI224" i="24"/>
  <c r="AH224" i="24" s="1"/>
  <c r="AG224" i="24" s="1"/>
  <c r="AF224" i="24" s="1"/>
  <c r="AD224" i="24" s="1"/>
  <c r="AI122" i="24"/>
  <c r="AH122" i="24" s="1"/>
  <c r="AI280" i="24"/>
  <c r="AH280" i="24" s="1"/>
  <c r="AG280" i="24" s="1"/>
  <c r="AF280" i="24" s="1"/>
  <c r="AD280" i="24" s="1"/>
  <c r="AI179" i="24"/>
  <c r="AH179" i="24" s="1"/>
  <c r="AI366" i="24"/>
  <c r="AH366" i="24" s="1"/>
  <c r="AG366" i="24" s="1"/>
  <c r="AF366" i="24" s="1"/>
  <c r="AD366" i="24" s="1"/>
  <c r="AI314" i="24"/>
  <c r="AH314" i="24" s="1"/>
  <c r="AG314" i="24" s="1"/>
  <c r="AF314" i="24" s="1"/>
  <c r="AD314" i="24" s="1"/>
  <c r="AI192" i="24"/>
  <c r="AH192" i="24" s="1"/>
  <c r="AG192" i="24" s="1"/>
  <c r="AF192" i="24" s="1"/>
  <c r="AD192" i="24" s="1"/>
  <c r="AI312" i="24"/>
  <c r="AH312" i="24" s="1"/>
  <c r="AI357" i="24"/>
  <c r="AH357" i="24" s="1"/>
  <c r="AG357" i="24" s="1"/>
  <c r="AF357" i="24" s="1"/>
  <c r="AD357" i="24" s="1"/>
  <c r="AI346" i="24"/>
  <c r="AH346" i="24" s="1"/>
  <c r="AI293" i="24"/>
  <c r="AH293" i="24" s="1"/>
  <c r="AG293" i="24" s="1"/>
  <c r="AF293" i="24" s="1"/>
  <c r="AD293" i="24" s="1"/>
  <c r="AI173" i="24"/>
  <c r="AH173" i="24" s="1"/>
  <c r="AI262" i="24"/>
  <c r="AH262" i="24" s="1"/>
  <c r="AG262" i="24" s="1"/>
  <c r="AF262" i="24" s="1"/>
  <c r="AD262" i="24" s="1"/>
  <c r="AI184" i="24"/>
  <c r="AH184" i="24" s="1"/>
  <c r="AI285" i="24"/>
  <c r="AH285" i="24" s="1"/>
  <c r="AG285" i="24" s="1"/>
  <c r="AF285" i="24" s="1"/>
  <c r="AD285" i="24" s="1"/>
  <c r="AI146" i="24"/>
  <c r="AH146" i="24" s="1"/>
  <c r="AI247" i="24"/>
  <c r="AH247" i="24" s="1"/>
  <c r="AG247" i="24" s="1"/>
  <c r="AF247" i="24" s="1"/>
  <c r="AD247" i="24" s="1"/>
  <c r="AI182" i="24"/>
  <c r="AH182" i="24" s="1"/>
  <c r="AG182" i="24" s="1"/>
  <c r="AF182" i="24" s="1"/>
  <c r="AD182" i="24" s="1"/>
  <c r="AI304" i="24"/>
  <c r="AH304" i="24" s="1"/>
  <c r="AG304" i="24" s="1"/>
  <c r="AF304" i="24" s="1"/>
  <c r="AD304" i="24" s="1"/>
  <c r="AI274" i="24"/>
  <c r="AH274" i="24" s="1"/>
  <c r="AG274" i="24" s="1"/>
  <c r="AF274" i="24" s="1"/>
  <c r="AD274" i="24" s="1"/>
  <c r="AI291" i="24"/>
  <c r="AH291" i="24" s="1"/>
  <c r="AG291" i="24" s="1"/>
  <c r="AF291" i="24" s="1"/>
  <c r="AD291" i="24" s="1"/>
  <c r="AI356" i="24"/>
  <c r="AH356" i="24" s="1"/>
  <c r="AG356" i="24" s="1"/>
  <c r="AF356" i="24" s="1"/>
  <c r="AD356" i="24" s="1"/>
  <c r="AI316" i="24"/>
  <c r="AH316" i="24" s="1"/>
  <c r="AG316" i="24" s="1"/>
  <c r="AF316" i="24" s="1"/>
  <c r="AD316" i="24" s="1"/>
  <c r="AI163" i="24"/>
  <c r="AH163" i="24" s="1"/>
  <c r="AG163" i="24" s="1"/>
  <c r="AF163" i="24" s="1"/>
  <c r="AD163" i="24" s="1"/>
  <c r="AI190" i="24"/>
  <c r="AH190" i="24" s="1"/>
  <c r="AG190" i="24" s="1"/>
  <c r="AF190" i="24" s="1"/>
  <c r="AD190" i="24" s="1"/>
  <c r="AI156" i="24"/>
  <c r="AH156" i="24" s="1"/>
  <c r="AG156" i="24" s="1"/>
  <c r="AF156" i="24" s="1"/>
  <c r="AD156" i="24" s="1"/>
  <c r="AI206" i="24"/>
  <c r="AH206" i="24" s="1"/>
  <c r="AG206" i="24" s="1"/>
  <c r="AF206" i="24" s="1"/>
  <c r="AD206" i="24" s="1"/>
  <c r="AI299" i="24"/>
  <c r="AH299" i="24" s="1"/>
  <c r="AG299" i="24" s="1"/>
  <c r="AF299" i="24" s="1"/>
  <c r="AD299" i="24" s="1"/>
  <c r="AI132" i="24"/>
  <c r="AH132" i="24" s="1"/>
  <c r="AG132" i="24" s="1"/>
  <c r="AF132" i="24" s="1"/>
  <c r="AD132" i="24" s="1"/>
  <c r="AI322" i="24"/>
  <c r="AH322" i="24" s="1"/>
  <c r="AG322" i="24" s="1"/>
  <c r="AF322" i="24" s="1"/>
  <c r="AD322" i="24" s="1"/>
  <c r="AI261" i="24"/>
  <c r="AH261" i="24" s="1"/>
  <c r="AI288" i="24"/>
  <c r="AH288" i="24" s="1"/>
  <c r="AG288" i="24" s="1"/>
  <c r="AF288" i="24" s="1"/>
  <c r="AD288" i="24" s="1"/>
  <c r="AI229" i="24"/>
  <c r="AH229" i="24" s="1"/>
  <c r="AG229" i="24" s="1"/>
  <c r="AF229" i="24" s="1"/>
  <c r="AD229" i="24" s="1"/>
  <c r="AI186" i="24"/>
  <c r="AH186" i="24" s="1"/>
  <c r="AG186" i="24" s="1"/>
  <c r="AF186" i="24" s="1"/>
  <c r="AD186" i="24" s="1"/>
  <c r="AI211" i="24"/>
  <c r="AH211" i="24" s="1"/>
  <c r="AG211" i="24" s="1"/>
  <c r="AF211" i="24" s="1"/>
  <c r="AD211" i="24" s="1"/>
  <c r="AI353" i="24"/>
  <c r="AH353" i="24" s="1"/>
  <c r="AG353" i="24" s="1"/>
  <c r="AF353" i="24" s="1"/>
  <c r="AD353" i="24" s="1"/>
  <c r="AI237" i="24"/>
  <c r="AH237" i="24" s="1"/>
  <c r="AI250" i="24"/>
  <c r="AH250" i="24" s="1"/>
  <c r="AG250" i="24" s="1"/>
  <c r="AF250" i="24" s="1"/>
  <c r="AD250" i="24" s="1"/>
  <c r="AI138" i="24"/>
  <c r="AH138" i="24" s="1"/>
  <c r="AG138" i="24" s="1"/>
  <c r="AF138" i="24" s="1"/>
  <c r="AD138" i="24" s="1"/>
  <c r="AI157" i="24"/>
  <c r="AH157" i="24" s="1"/>
  <c r="AG157" i="24" s="1"/>
  <c r="AF157" i="24" s="1"/>
  <c r="AD157" i="24" s="1"/>
  <c r="AI295" i="24"/>
  <c r="AH295" i="24" s="1"/>
  <c r="AI379" i="24"/>
  <c r="AH379" i="24" s="1"/>
  <c r="AI297" i="24"/>
  <c r="AH297" i="24" s="1"/>
  <c r="AI195" i="24"/>
  <c r="AH195" i="24" s="1"/>
  <c r="AI275" i="24"/>
  <c r="AH275" i="24" s="1"/>
  <c r="AG275" i="24" s="1"/>
  <c r="AF275" i="24" s="1"/>
  <c r="AD275" i="24" s="1"/>
  <c r="AI216" i="24"/>
  <c r="AH216" i="24" s="1"/>
  <c r="AG216" i="24" s="1"/>
  <c r="AF216" i="24" s="1"/>
  <c r="AD216" i="24" s="1"/>
  <c r="AI233" i="24"/>
  <c r="AH233" i="24" s="1"/>
  <c r="AG233" i="24" s="1"/>
  <c r="AF233" i="24" s="1"/>
  <c r="AD233" i="24" s="1"/>
  <c r="AI104" i="24"/>
  <c r="AI131" i="24"/>
  <c r="AH131" i="24" s="1"/>
  <c r="AI48" i="24"/>
  <c r="AH48" i="24" s="1"/>
  <c r="AG48" i="24" s="1"/>
  <c r="AF48" i="24" s="1"/>
  <c r="AD48" i="24" s="1"/>
  <c r="AI98" i="24"/>
  <c r="AH98" i="24" s="1"/>
  <c r="AI62" i="24"/>
  <c r="AH62" i="24" s="1"/>
  <c r="AG62" i="24" s="1"/>
  <c r="AF62" i="24" s="1"/>
  <c r="AD62" i="24" s="1"/>
  <c r="AI44" i="24"/>
  <c r="AH44" i="24" s="1"/>
  <c r="AG44" i="24" s="1"/>
  <c r="AF44" i="24" s="1"/>
  <c r="AD44" i="24" s="1"/>
  <c r="AI38" i="24"/>
  <c r="AH38" i="24" s="1"/>
  <c r="AG38" i="24" s="1"/>
  <c r="AF38" i="24" s="1"/>
  <c r="AD38" i="24" s="1"/>
  <c r="AI22" i="24"/>
  <c r="AH22" i="24" s="1"/>
  <c r="AI95" i="24"/>
  <c r="AH95" i="24" s="1"/>
  <c r="AG95" i="24" s="1"/>
  <c r="AF95" i="24" s="1"/>
  <c r="AD95" i="24" s="1"/>
  <c r="AI53" i="24"/>
  <c r="AH53" i="24" s="1"/>
  <c r="AG53" i="24" s="1"/>
  <c r="AF53" i="24" s="1"/>
  <c r="AD53" i="24" s="1"/>
  <c r="AI51" i="24"/>
  <c r="AH51" i="24" s="1"/>
  <c r="AG51" i="24" s="1"/>
  <c r="AF51" i="24" s="1"/>
  <c r="AD51" i="24" s="1"/>
  <c r="AI32" i="24"/>
  <c r="AH32" i="24" s="1"/>
  <c r="AG32" i="24" s="1"/>
  <c r="AF32" i="24" s="1"/>
  <c r="AD32" i="24" s="1"/>
  <c r="AI93" i="24"/>
  <c r="AH93" i="24" s="1"/>
  <c r="AI59" i="24"/>
  <c r="AH59" i="24" s="1"/>
  <c r="AG59" i="24" s="1"/>
  <c r="AF59" i="24" s="1"/>
  <c r="AD59" i="24" s="1"/>
  <c r="AI27" i="24"/>
  <c r="AH27" i="24" s="1"/>
  <c r="AI65" i="24"/>
  <c r="AH65" i="24" s="1"/>
  <c r="AG65" i="24" s="1"/>
  <c r="AF65" i="24" s="1"/>
  <c r="AD65" i="24" s="1"/>
  <c r="AI61" i="24"/>
  <c r="AH61" i="24" s="1"/>
  <c r="AI33" i="24"/>
  <c r="AH33" i="24" s="1"/>
  <c r="AG33" i="24" s="1"/>
  <c r="AF33" i="24" s="1"/>
  <c r="AD33" i="24" s="1"/>
  <c r="AI28" i="24"/>
  <c r="AH28" i="24" s="1"/>
  <c r="AI63" i="24"/>
  <c r="AH63" i="24" s="1"/>
  <c r="AG63" i="24" s="1"/>
  <c r="AF63" i="24" s="1"/>
  <c r="AD63" i="24" s="1"/>
  <c r="AI77" i="24"/>
  <c r="AH77" i="24" s="1"/>
  <c r="AG77" i="24" s="1"/>
  <c r="AF77" i="24" s="1"/>
  <c r="AD77" i="24" s="1"/>
  <c r="AI100" i="24"/>
  <c r="AH100" i="24" s="1"/>
  <c r="AI87" i="24"/>
  <c r="AH87" i="24" s="1"/>
  <c r="AG87" i="24" s="1"/>
  <c r="AF87" i="24" s="1"/>
  <c r="AD87" i="24" s="1"/>
  <c r="AI46" i="24"/>
  <c r="AH46" i="24" s="1"/>
  <c r="AG46" i="24" s="1"/>
  <c r="AF46" i="24" s="1"/>
  <c r="AD46" i="24" s="1"/>
  <c r="AI19" i="24"/>
  <c r="AH19" i="24" s="1"/>
  <c r="AG19" i="24" s="1"/>
  <c r="AF19" i="24" s="1"/>
  <c r="AD19" i="24" s="1"/>
  <c r="AI50" i="24"/>
  <c r="AH50" i="24" s="1"/>
  <c r="AG50" i="24" s="1"/>
  <c r="AF50" i="24" s="1"/>
  <c r="AD50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86" i="24"/>
  <c r="AH86" i="24" s="1"/>
  <c r="AG86" i="24" s="1"/>
  <c r="AF86" i="24" s="1"/>
  <c r="AD86" i="24" s="1"/>
  <c r="AI66" i="24"/>
  <c r="AH66" i="24" s="1"/>
  <c r="AI54" i="24"/>
  <c r="AH54" i="24" s="1"/>
  <c r="AG54" i="24" s="1"/>
  <c r="AF54" i="24" s="1"/>
  <c r="AD54" i="24" s="1"/>
  <c r="AI15" i="24"/>
  <c r="AH15" i="24" s="1"/>
  <c r="AG15" i="24" s="1"/>
  <c r="AI97" i="24"/>
  <c r="AH97" i="24" s="1"/>
  <c r="AG97" i="24" s="1"/>
  <c r="AF97" i="24" s="1"/>
  <c r="AD97" i="24" s="1"/>
  <c r="AI52" i="24"/>
  <c r="AH52" i="24" s="1"/>
  <c r="AG52" i="24" s="1"/>
  <c r="AF52" i="24" s="1"/>
  <c r="AD52" i="24" s="1"/>
  <c r="AI78" i="24"/>
  <c r="AH78" i="24" s="1"/>
  <c r="AG78" i="24" s="1"/>
  <c r="AF78" i="24" s="1"/>
  <c r="AD78" i="24" s="1"/>
  <c r="AI21" i="24"/>
  <c r="AH21" i="24" s="1"/>
  <c r="AI20" i="24"/>
  <c r="AH20" i="24" s="1"/>
  <c r="AG20" i="24" s="1"/>
  <c r="AF20" i="24" s="1"/>
  <c r="AD20" i="24" s="1"/>
  <c r="AI84" i="24"/>
  <c r="AH84" i="24" s="1"/>
  <c r="AG84" i="24" s="1"/>
  <c r="AF84" i="24" s="1"/>
  <c r="AD84" i="24" s="1"/>
  <c r="AI31" i="24"/>
  <c r="AH31" i="24" s="1"/>
  <c r="AG31" i="24" s="1"/>
  <c r="AF31" i="24" s="1"/>
  <c r="AD31" i="24" s="1"/>
  <c r="AI23" i="24"/>
  <c r="AH23" i="24" s="1"/>
  <c r="AI89" i="24"/>
  <c r="AH89" i="24" s="1"/>
  <c r="AG89" i="24" s="1"/>
  <c r="AF89" i="24" s="1"/>
  <c r="AD89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42" i="24"/>
  <c r="AH42" i="24" s="1"/>
  <c r="AG42" i="24" s="1"/>
  <c r="AF42" i="24" s="1"/>
  <c r="AD42" i="24" s="1"/>
  <c r="AI25" i="24"/>
  <c r="AH25" i="24" s="1"/>
  <c r="AG25" i="24" s="1"/>
  <c r="AF25" i="24" s="1"/>
  <c r="AD25" i="24" s="1"/>
  <c r="AI79" i="24"/>
  <c r="AH79" i="24" s="1"/>
  <c r="AI34" i="24"/>
  <c r="AH34" i="24" s="1"/>
  <c r="AG34" i="24" s="1"/>
  <c r="AF34" i="24" s="1"/>
  <c r="AD34" i="24" s="1"/>
  <c r="U155" i="24"/>
  <c r="T155" i="24" s="1"/>
  <c r="S155" i="24" s="1"/>
  <c r="R155" i="24" s="1"/>
  <c r="P155" i="24" s="1"/>
  <c r="V155" i="24" s="1"/>
  <c r="B155" i="24" s="1"/>
  <c r="D155" i="24" s="1"/>
  <c r="E155" i="24" s="1"/>
  <c r="F155" i="24" s="1"/>
  <c r="U30" i="24"/>
  <c r="T30" i="24" s="1"/>
  <c r="S30" i="24" s="1"/>
  <c r="R30" i="24" s="1"/>
  <c r="P30" i="24" s="1"/>
  <c r="V30" i="24" s="1"/>
  <c r="B30" i="24" s="1"/>
  <c r="W30" i="24" s="1"/>
  <c r="U311" i="24"/>
  <c r="T311" i="24" s="1"/>
  <c r="S311" i="24" s="1"/>
  <c r="R311" i="24" s="1"/>
  <c r="P311" i="24" s="1"/>
  <c r="V311" i="24" s="1"/>
  <c r="B311" i="24" s="1"/>
  <c r="W311" i="24" s="1"/>
  <c r="U292" i="24"/>
  <c r="T292" i="24" s="1"/>
  <c r="S292" i="24" s="1"/>
  <c r="R292" i="24" s="1"/>
  <c r="P292" i="24" s="1"/>
  <c r="V292" i="24" s="1"/>
  <c r="B292" i="24" s="1"/>
  <c r="D292" i="24" s="1"/>
  <c r="E292" i="24" s="1"/>
  <c r="F292" i="24" s="1"/>
  <c r="U345" i="24"/>
  <c r="T345" i="24" s="1"/>
  <c r="S345" i="24" s="1"/>
  <c r="R345" i="24" s="1"/>
  <c r="P345" i="24" s="1"/>
  <c r="V345" i="24" s="1"/>
  <c r="B345" i="24" s="1"/>
  <c r="D345" i="24" s="1"/>
  <c r="E345" i="24" s="1"/>
  <c r="F345" i="24" s="1"/>
  <c r="U174" i="24"/>
  <c r="T174" i="24" s="1"/>
  <c r="S174" i="24" s="1"/>
  <c r="R174" i="24" s="1"/>
  <c r="P174" i="24" s="1"/>
  <c r="V174" i="24" s="1"/>
  <c r="B174" i="24" s="1"/>
  <c r="W174" i="24" s="1"/>
  <c r="U82" i="24"/>
  <c r="T82" i="24" s="1"/>
  <c r="S82" i="24" s="1"/>
  <c r="R82" i="24" s="1"/>
  <c r="P82" i="24" s="1"/>
  <c r="V82" i="24" s="1"/>
  <c r="B82" i="24" s="1"/>
  <c r="W82" i="24" s="1"/>
  <c r="U26" i="24"/>
  <c r="T26" i="24" s="1"/>
  <c r="S26" i="24" s="1"/>
  <c r="R26" i="24" s="1"/>
  <c r="P26" i="24" s="1"/>
  <c r="V26" i="24" s="1"/>
  <c r="B26" i="24" s="1"/>
  <c r="W26" i="24" s="1"/>
  <c r="U16" i="24"/>
  <c r="T16" i="24" s="1"/>
  <c r="S16" i="24" s="1"/>
  <c r="R16" i="24" s="1"/>
  <c r="P16" i="24" s="1"/>
  <c r="V16" i="24" s="1"/>
  <c r="B16" i="24" s="1"/>
  <c r="W16" i="24" s="1"/>
  <c r="U65" i="24"/>
  <c r="T65" i="24" s="1"/>
  <c r="S65" i="24" s="1"/>
  <c r="R65" i="24" s="1"/>
  <c r="P65" i="24" s="1"/>
  <c r="V65" i="24" s="1"/>
  <c r="B65" i="24" s="1"/>
  <c r="W65" i="24" s="1"/>
  <c r="U102" i="24"/>
  <c r="T102" i="24" s="1"/>
  <c r="S102" i="24" s="1"/>
  <c r="R102" i="24" s="1"/>
  <c r="P102" i="24" s="1"/>
  <c r="V102" i="24" s="1"/>
  <c r="B102" i="24" s="1"/>
  <c r="W102" i="24" s="1"/>
  <c r="U20" i="24"/>
  <c r="T20" i="24" s="1"/>
  <c r="S20" i="24" s="1"/>
  <c r="R20" i="24" s="1"/>
  <c r="P20" i="24" s="1"/>
  <c r="V20" i="24" s="1"/>
  <c r="B20" i="24" s="1"/>
  <c r="D20" i="24" s="1"/>
  <c r="E20" i="24" s="1"/>
  <c r="F20" i="24" s="1"/>
  <c r="U277" i="24"/>
  <c r="T277" i="24" s="1"/>
  <c r="S277" i="24" s="1"/>
  <c r="R277" i="24" s="1"/>
  <c r="P277" i="24" s="1"/>
  <c r="V277" i="24" s="1"/>
  <c r="B277" i="24" s="1"/>
  <c r="W277" i="24" s="1"/>
  <c r="U76" i="24"/>
  <c r="T76" i="24" s="1"/>
  <c r="S76" i="24" s="1"/>
  <c r="R76" i="24" s="1"/>
  <c r="P76" i="24" s="1"/>
  <c r="V76" i="24" s="1"/>
  <c r="B76" i="24" s="1"/>
  <c r="D76" i="24" s="1"/>
  <c r="E76" i="24" s="1"/>
  <c r="F76" i="24" s="1"/>
  <c r="U347" i="24"/>
  <c r="T347" i="24" s="1"/>
  <c r="S347" i="24" s="1"/>
  <c r="R347" i="24" s="1"/>
  <c r="P347" i="24" s="1"/>
  <c r="V347" i="24" s="1"/>
  <c r="B347" i="24" s="1"/>
  <c r="D347" i="24" s="1"/>
  <c r="E347" i="24" s="1"/>
  <c r="F347" i="24" s="1"/>
  <c r="U329" i="24"/>
  <c r="T329" i="24" s="1"/>
  <c r="S329" i="24" s="1"/>
  <c r="R329" i="24" s="1"/>
  <c r="P329" i="24" s="1"/>
  <c r="V329" i="24" s="1"/>
  <c r="B329" i="24" s="1"/>
  <c r="D329" i="24" s="1"/>
  <c r="E329" i="24" s="1"/>
  <c r="F329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131" i="24"/>
  <c r="T131" i="24" s="1"/>
  <c r="S131" i="24" s="1"/>
  <c r="R131" i="24" s="1"/>
  <c r="P131" i="24" s="1"/>
  <c r="V131" i="24" s="1"/>
  <c r="B131" i="24" s="1"/>
  <c r="W131" i="24" s="1"/>
  <c r="U366" i="24"/>
  <c r="T366" i="24" s="1"/>
  <c r="S366" i="24" s="1"/>
  <c r="R366" i="24" s="1"/>
  <c r="P366" i="24" s="1"/>
  <c r="V366" i="24" s="1"/>
  <c r="B366" i="24" s="1"/>
  <c r="D366" i="24" s="1"/>
  <c r="E366" i="24" s="1"/>
  <c r="F366" i="24" s="1"/>
  <c r="U63" i="24"/>
  <c r="T63" i="24" s="1"/>
  <c r="S63" i="24" s="1"/>
  <c r="R63" i="24" s="1"/>
  <c r="P63" i="24" s="1"/>
  <c r="V63" i="24" s="1"/>
  <c r="B63" i="24" s="1"/>
  <c r="D63" i="24" s="1"/>
  <c r="E63" i="24" s="1"/>
  <c r="F63" i="24" s="1"/>
  <c r="U49" i="24"/>
  <c r="T49" i="24" s="1"/>
  <c r="S49" i="24" s="1"/>
  <c r="R49" i="24" s="1"/>
  <c r="P49" i="24" s="1"/>
  <c r="V49" i="24" s="1"/>
  <c r="B49" i="24" s="1"/>
  <c r="D49" i="24" s="1"/>
  <c r="E49" i="24" s="1"/>
  <c r="F49" i="24" s="1"/>
  <c r="U114" i="24"/>
  <c r="T114" i="24" s="1"/>
  <c r="S114" i="24" s="1"/>
  <c r="R114" i="24" s="1"/>
  <c r="P114" i="24" s="1"/>
  <c r="V114" i="24" s="1"/>
  <c r="B114" i="24" s="1"/>
  <c r="W114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L44" i="19"/>
  <c r="U153" i="24"/>
  <c r="T153" i="24" s="1"/>
  <c r="S153" i="24" s="1"/>
  <c r="R153" i="24" s="1"/>
  <c r="P153" i="24" s="1"/>
  <c r="V153" i="24" s="1"/>
  <c r="B153" i="24" s="1"/>
  <c r="D153" i="24" s="1"/>
  <c r="E153" i="24" s="1"/>
  <c r="F153" i="24" s="1"/>
  <c r="U297" i="24"/>
  <c r="T297" i="24" s="1"/>
  <c r="S297" i="24" s="1"/>
  <c r="R297" i="24" s="1"/>
  <c r="P297" i="24" s="1"/>
  <c r="V297" i="24" s="1"/>
  <c r="B297" i="24" s="1"/>
  <c r="D297" i="24" s="1"/>
  <c r="E297" i="24" s="1"/>
  <c r="F297" i="24" s="1"/>
  <c r="U350" i="24"/>
  <c r="T350" i="24" s="1"/>
  <c r="S350" i="24" s="1"/>
  <c r="R350" i="24" s="1"/>
  <c r="P350" i="24" s="1"/>
  <c r="V350" i="24" s="1"/>
  <c r="B350" i="24" s="1"/>
  <c r="W350" i="24" s="1"/>
  <c r="U252" i="24"/>
  <c r="T252" i="24" s="1"/>
  <c r="S252" i="24" s="1"/>
  <c r="R252" i="24" s="1"/>
  <c r="P252" i="24" s="1"/>
  <c r="V252" i="24" s="1"/>
  <c r="B252" i="24" s="1"/>
  <c r="D252" i="24" s="1"/>
  <c r="E252" i="24" s="1"/>
  <c r="F252" i="24" s="1"/>
  <c r="U163" i="24"/>
  <c r="T163" i="24" s="1"/>
  <c r="S163" i="24" s="1"/>
  <c r="R163" i="24" s="1"/>
  <c r="P163" i="24" s="1"/>
  <c r="V163" i="24" s="1"/>
  <c r="B163" i="24" s="1"/>
  <c r="D163" i="24" s="1"/>
  <c r="E163" i="24" s="1"/>
  <c r="F163" i="24" s="1"/>
  <c r="U233" i="24"/>
  <c r="T233" i="24" s="1"/>
  <c r="S233" i="24" s="1"/>
  <c r="R233" i="24" s="1"/>
  <c r="P233" i="24" s="1"/>
  <c r="V233" i="24" s="1"/>
  <c r="B233" i="24" s="1"/>
  <c r="W233" i="24" s="1"/>
  <c r="U293" i="24"/>
  <c r="T293" i="24" s="1"/>
  <c r="S293" i="24" s="1"/>
  <c r="R293" i="24" s="1"/>
  <c r="P293" i="24" s="1"/>
  <c r="V293" i="24" s="1"/>
  <c r="B293" i="24" s="1"/>
  <c r="D293" i="24" s="1"/>
  <c r="E293" i="24" s="1"/>
  <c r="F293" i="24" s="1"/>
  <c r="U95" i="24"/>
  <c r="T95" i="24" s="1"/>
  <c r="S95" i="24" s="1"/>
  <c r="R95" i="24" s="1"/>
  <c r="P95" i="24" s="1"/>
  <c r="V95" i="24" s="1"/>
  <c r="B95" i="24" s="1"/>
  <c r="D95" i="24" s="1"/>
  <c r="E95" i="24" s="1"/>
  <c r="F95" i="24" s="1"/>
  <c r="U17" i="24"/>
  <c r="T17" i="24" s="1"/>
  <c r="S17" i="24" s="1"/>
  <c r="R17" i="24" s="1"/>
  <c r="P17" i="24" s="1"/>
  <c r="V17" i="24" s="1"/>
  <c r="B17" i="24" s="1"/>
  <c r="W17" i="24" s="1"/>
  <c r="U353" i="24"/>
  <c r="T353" i="24" s="1"/>
  <c r="S353" i="24" s="1"/>
  <c r="R353" i="24" s="1"/>
  <c r="P353" i="24" s="1"/>
  <c r="V353" i="24" s="1"/>
  <c r="B353" i="24" s="1"/>
  <c r="D353" i="24" s="1"/>
  <c r="E353" i="24" s="1"/>
  <c r="F353" i="24" s="1"/>
  <c r="U339" i="24"/>
  <c r="T339" i="24" s="1"/>
  <c r="S339" i="24" s="1"/>
  <c r="R339" i="24" s="1"/>
  <c r="P339" i="24" s="1"/>
  <c r="V339" i="24" s="1"/>
  <c r="B339" i="24" s="1"/>
  <c r="D339" i="24" s="1"/>
  <c r="E339" i="24" s="1"/>
  <c r="F339" i="24" s="1"/>
  <c r="U364" i="24"/>
  <c r="T364" i="24" s="1"/>
  <c r="S364" i="24" s="1"/>
  <c r="R364" i="24" s="1"/>
  <c r="P364" i="24" s="1"/>
  <c r="V364" i="24" s="1"/>
  <c r="B364" i="24" s="1"/>
  <c r="D364" i="24" s="1"/>
  <c r="E364" i="24" s="1"/>
  <c r="F364" i="24" s="1"/>
  <c r="U178" i="24"/>
  <c r="T178" i="24" s="1"/>
  <c r="S178" i="24" s="1"/>
  <c r="R178" i="24" s="1"/>
  <c r="P178" i="24" s="1"/>
  <c r="V178" i="24" s="1"/>
  <c r="B178" i="24" s="1"/>
  <c r="D178" i="24" s="1"/>
  <c r="E178" i="24" s="1"/>
  <c r="F178" i="24" s="1"/>
  <c r="U327" i="24"/>
  <c r="T327" i="24" s="1"/>
  <c r="S327" i="24" s="1"/>
  <c r="R327" i="24" s="1"/>
  <c r="P327" i="24" s="1"/>
  <c r="V327" i="24" s="1"/>
  <c r="B327" i="24" s="1"/>
  <c r="W327" i="24" s="1"/>
  <c r="U332" i="24"/>
  <c r="T332" i="24" s="1"/>
  <c r="S332" i="24" s="1"/>
  <c r="R332" i="24" s="1"/>
  <c r="P332" i="24" s="1"/>
  <c r="V332" i="24" s="1"/>
  <c r="B332" i="24" s="1"/>
  <c r="W332" i="24" s="1"/>
  <c r="U224" i="24"/>
  <c r="T224" i="24" s="1"/>
  <c r="S224" i="24" s="1"/>
  <c r="R224" i="24" s="1"/>
  <c r="P224" i="24" s="1"/>
  <c r="V224" i="24" s="1"/>
  <c r="B224" i="24" s="1"/>
  <c r="W224" i="24" s="1"/>
  <c r="U34" i="24"/>
  <c r="T34" i="24" s="1"/>
  <c r="S34" i="24" s="1"/>
  <c r="R34" i="24" s="1"/>
  <c r="P34" i="24" s="1"/>
  <c r="V34" i="24" s="1"/>
  <c r="B34" i="24" s="1"/>
  <c r="D34" i="24" s="1"/>
  <c r="E34" i="24" s="1"/>
  <c r="F34" i="24" s="1"/>
  <c r="U89" i="24"/>
  <c r="T89" i="24" s="1"/>
  <c r="S89" i="24" s="1"/>
  <c r="R89" i="24" s="1"/>
  <c r="P89" i="24" s="1"/>
  <c r="V89" i="24" s="1"/>
  <c r="B89" i="24" s="1"/>
  <c r="D89" i="24" s="1"/>
  <c r="E89" i="24" s="1"/>
  <c r="F89" i="24" s="1"/>
  <c r="U284" i="24"/>
  <c r="T284" i="24" s="1"/>
  <c r="S284" i="24" s="1"/>
  <c r="R284" i="24" s="1"/>
  <c r="P284" i="24" s="1"/>
  <c r="V284" i="24" s="1"/>
  <c r="B284" i="24" s="1"/>
  <c r="D284" i="24" s="1"/>
  <c r="E284" i="24" s="1"/>
  <c r="F284" i="24" s="1"/>
  <c r="U133" i="24"/>
  <c r="T133" i="24" s="1"/>
  <c r="S133" i="24" s="1"/>
  <c r="R133" i="24" s="1"/>
  <c r="P133" i="24" s="1"/>
  <c r="V133" i="24" s="1"/>
  <c r="B133" i="24" s="1"/>
  <c r="D133" i="24" s="1"/>
  <c r="E133" i="24" s="1"/>
  <c r="F133" i="24" s="1"/>
  <c r="U208" i="24"/>
  <c r="T208" i="24" s="1"/>
  <c r="S208" i="24" s="1"/>
  <c r="R208" i="24" s="1"/>
  <c r="P208" i="24" s="1"/>
  <c r="V208" i="24" s="1"/>
  <c r="B208" i="24" s="1"/>
  <c r="D208" i="24" s="1"/>
  <c r="E208" i="24" s="1"/>
  <c r="F208" i="24" s="1"/>
  <c r="U38" i="24"/>
  <c r="T38" i="24" s="1"/>
  <c r="S38" i="24" s="1"/>
  <c r="R38" i="24" s="1"/>
  <c r="P38" i="24" s="1"/>
  <c r="V38" i="24" s="1"/>
  <c r="B38" i="24" s="1"/>
  <c r="D38" i="24" s="1"/>
  <c r="E38" i="24" s="1"/>
  <c r="F38" i="24" s="1"/>
  <c r="U141" i="24"/>
  <c r="T141" i="24" s="1"/>
  <c r="S141" i="24" s="1"/>
  <c r="R141" i="24" s="1"/>
  <c r="P141" i="24" s="1"/>
  <c r="V141" i="24" s="1"/>
  <c r="B141" i="24" s="1"/>
  <c r="W141" i="24" s="1"/>
  <c r="U110" i="24"/>
  <c r="T110" i="24" s="1"/>
  <c r="S110" i="24" s="1"/>
  <c r="R110" i="24" s="1"/>
  <c r="P110" i="24" s="1"/>
  <c r="V110" i="24" s="1"/>
  <c r="B110" i="24" s="1"/>
  <c r="W110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308" i="24"/>
  <c r="T308" i="24" s="1"/>
  <c r="S308" i="24" s="1"/>
  <c r="R308" i="24" s="1"/>
  <c r="P308" i="24" s="1"/>
  <c r="V308" i="24" s="1"/>
  <c r="B308" i="24" s="1"/>
  <c r="W308" i="24" s="1"/>
  <c r="U225" i="24"/>
  <c r="T225" i="24" s="1"/>
  <c r="S225" i="24" s="1"/>
  <c r="R225" i="24" s="1"/>
  <c r="P225" i="24" s="1"/>
  <c r="V225" i="24" s="1"/>
  <c r="B225" i="24" s="1"/>
  <c r="D225" i="24" s="1"/>
  <c r="E225" i="24" s="1"/>
  <c r="F225" i="24" s="1"/>
  <c r="U94" i="24"/>
  <c r="T94" i="24" s="1"/>
  <c r="S94" i="24" s="1"/>
  <c r="R94" i="24" s="1"/>
  <c r="P94" i="24" s="1"/>
  <c r="V94" i="24" s="1"/>
  <c r="B94" i="24" s="1"/>
  <c r="W94" i="24" s="1"/>
  <c r="U118" i="24"/>
  <c r="T118" i="24" s="1"/>
  <c r="S118" i="24" s="1"/>
  <c r="R118" i="24" s="1"/>
  <c r="P118" i="24" s="1"/>
  <c r="V118" i="24" s="1"/>
  <c r="B118" i="24" s="1"/>
  <c r="D118" i="24" s="1"/>
  <c r="E118" i="24" s="1"/>
  <c r="F118" i="24" s="1"/>
  <c r="U333" i="24"/>
  <c r="T333" i="24" s="1"/>
  <c r="S333" i="24" s="1"/>
  <c r="R333" i="24" s="1"/>
  <c r="P333" i="24" s="1"/>
  <c r="V333" i="24" s="1"/>
  <c r="B333" i="24" s="1"/>
  <c r="U197" i="24"/>
  <c r="T197" i="24" s="1"/>
  <c r="S197" i="24" s="1"/>
  <c r="R197" i="24" s="1"/>
  <c r="P197" i="24" s="1"/>
  <c r="V197" i="24" s="1"/>
  <c r="B197" i="24" s="1"/>
  <c r="W197" i="24" s="1"/>
  <c r="U152" i="24"/>
  <c r="T152" i="24" s="1"/>
  <c r="S152" i="24" s="1"/>
  <c r="R152" i="24" s="1"/>
  <c r="P152" i="24" s="1"/>
  <c r="V152" i="24" s="1"/>
  <c r="B152" i="24" s="1"/>
  <c r="D152" i="24" s="1"/>
  <c r="E152" i="24" s="1"/>
  <c r="F152" i="24" s="1"/>
  <c r="U24" i="24"/>
  <c r="T24" i="24" s="1"/>
  <c r="S24" i="24" s="1"/>
  <c r="R24" i="24" s="1"/>
  <c r="P24" i="24" s="1"/>
  <c r="V24" i="24" s="1"/>
  <c r="B24" i="24" s="1"/>
  <c r="W24" i="24" s="1"/>
  <c r="U126" i="24"/>
  <c r="T126" i="24" s="1"/>
  <c r="S126" i="24" s="1"/>
  <c r="R126" i="24" s="1"/>
  <c r="P126" i="24" s="1"/>
  <c r="V126" i="24" s="1"/>
  <c r="B126" i="24" s="1"/>
  <c r="D126" i="24" s="1"/>
  <c r="E126" i="24" s="1"/>
  <c r="F126" i="24" s="1"/>
  <c r="U240" i="24"/>
  <c r="T240" i="24" s="1"/>
  <c r="S240" i="24" s="1"/>
  <c r="R240" i="24" s="1"/>
  <c r="P240" i="24" s="1"/>
  <c r="V240" i="24" s="1"/>
  <c r="B240" i="24" s="1"/>
  <c r="D240" i="24" s="1"/>
  <c r="E240" i="24" s="1"/>
  <c r="F240" i="24" s="1"/>
  <c r="U143" i="24"/>
  <c r="T143" i="24" s="1"/>
  <c r="S143" i="24" s="1"/>
  <c r="R143" i="24" s="1"/>
  <c r="P143" i="24" s="1"/>
  <c r="V143" i="24" s="1"/>
  <c r="B143" i="24" s="1"/>
  <c r="D143" i="24" s="1"/>
  <c r="E143" i="24" s="1"/>
  <c r="F143" i="24" s="1"/>
  <c r="U282" i="24"/>
  <c r="T282" i="24" s="1"/>
  <c r="S282" i="24" s="1"/>
  <c r="R282" i="24" s="1"/>
  <c r="P282" i="24" s="1"/>
  <c r="V282" i="24" s="1"/>
  <c r="B282" i="24" s="1"/>
  <c r="D282" i="24" s="1"/>
  <c r="E282" i="24" s="1"/>
  <c r="F282" i="24" s="1"/>
  <c r="U336" i="24"/>
  <c r="T336" i="24" s="1"/>
  <c r="S336" i="24" s="1"/>
  <c r="R336" i="24" s="1"/>
  <c r="P336" i="24" s="1"/>
  <c r="V336" i="24" s="1"/>
  <c r="B336" i="24" s="1"/>
  <c r="W336" i="24" s="1"/>
  <c r="U215" i="24"/>
  <c r="T215" i="24" s="1"/>
  <c r="S215" i="24" s="1"/>
  <c r="R215" i="24" s="1"/>
  <c r="P215" i="24" s="1"/>
  <c r="V215" i="24" s="1"/>
  <c r="B215" i="24" s="1"/>
  <c r="W215" i="24" s="1"/>
  <c r="U172" i="24"/>
  <c r="T172" i="24" s="1"/>
  <c r="S172" i="24" s="1"/>
  <c r="R172" i="24" s="1"/>
  <c r="P172" i="24" s="1"/>
  <c r="V172" i="24" s="1"/>
  <c r="B172" i="24" s="1"/>
  <c r="W172" i="24" s="1"/>
  <c r="U202" i="24"/>
  <c r="T202" i="24" s="1"/>
  <c r="S202" i="24" s="1"/>
  <c r="R202" i="24" s="1"/>
  <c r="P202" i="24" s="1"/>
  <c r="V202" i="24" s="1"/>
  <c r="B202" i="24" s="1"/>
  <c r="D202" i="24" s="1"/>
  <c r="E202" i="24" s="1"/>
  <c r="F202" i="24" s="1"/>
  <c r="U326" i="24"/>
  <c r="T326" i="24" s="1"/>
  <c r="S326" i="24" s="1"/>
  <c r="R326" i="24" s="1"/>
  <c r="P326" i="24" s="1"/>
  <c r="V326" i="24" s="1"/>
  <c r="B326" i="24" s="1"/>
  <c r="D326" i="24" s="1"/>
  <c r="E326" i="24" s="1"/>
  <c r="F326" i="24" s="1"/>
  <c r="U337" i="24"/>
  <c r="T337" i="24" s="1"/>
  <c r="S337" i="24" s="1"/>
  <c r="R337" i="24" s="1"/>
  <c r="P337" i="24" s="1"/>
  <c r="V337" i="24" s="1"/>
  <c r="B337" i="24" s="1"/>
  <c r="W337" i="24" s="1"/>
  <c r="U344" i="24"/>
  <c r="T344" i="24" s="1"/>
  <c r="S344" i="24" s="1"/>
  <c r="R344" i="24" s="1"/>
  <c r="P344" i="24" s="1"/>
  <c r="V344" i="24" s="1"/>
  <c r="B344" i="24" s="1"/>
  <c r="D344" i="24" s="1"/>
  <c r="E344" i="24" s="1"/>
  <c r="F344" i="24" s="1"/>
  <c r="U200" i="24"/>
  <c r="T200" i="24" s="1"/>
  <c r="S200" i="24" s="1"/>
  <c r="R200" i="24" s="1"/>
  <c r="P200" i="24" s="1"/>
  <c r="V200" i="24" s="1"/>
  <c r="B200" i="24" s="1"/>
  <c r="D200" i="24" s="1"/>
  <c r="E200" i="24" s="1"/>
  <c r="F200" i="24" s="1"/>
  <c r="U379" i="24"/>
  <c r="U195" i="24"/>
  <c r="T195" i="24" s="1"/>
  <c r="S195" i="24" s="1"/>
  <c r="R195" i="24" s="1"/>
  <c r="P195" i="24" s="1"/>
  <c r="V195" i="24" s="1"/>
  <c r="B195" i="24" s="1"/>
  <c r="W195" i="24" s="1"/>
  <c r="U193" i="24"/>
  <c r="T193" i="24" s="1"/>
  <c r="S193" i="24" s="1"/>
  <c r="R193" i="24" s="1"/>
  <c r="P193" i="24" s="1"/>
  <c r="V193" i="24" s="1"/>
  <c r="B193" i="24" s="1"/>
  <c r="D193" i="24" s="1"/>
  <c r="E193" i="24" s="1"/>
  <c r="F193" i="24" s="1"/>
  <c r="U185" i="24"/>
  <c r="T185" i="24" s="1"/>
  <c r="S185" i="24" s="1"/>
  <c r="R185" i="24" s="1"/>
  <c r="P185" i="24" s="1"/>
  <c r="V185" i="24" s="1"/>
  <c r="B185" i="24" s="1"/>
  <c r="D185" i="24" s="1"/>
  <c r="E185" i="24" s="1"/>
  <c r="F185" i="24" s="1"/>
  <c r="U377" i="24"/>
  <c r="T377" i="24" s="1"/>
  <c r="S377" i="24" s="1"/>
  <c r="R377" i="24" s="1"/>
  <c r="P377" i="24" s="1"/>
  <c r="V377" i="24" s="1"/>
  <c r="B377" i="24" s="1"/>
  <c r="W377" i="24" s="1"/>
  <c r="U64" i="24"/>
  <c r="T64" i="24" s="1"/>
  <c r="S64" i="24" s="1"/>
  <c r="R64" i="24" s="1"/>
  <c r="P64" i="24" s="1"/>
  <c r="V64" i="24" s="1"/>
  <c r="B64" i="24" s="1"/>
  <c r="W64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2" i="24"/>
  <c r="T22" i="24" s="1"/>
  <c r="S22" i="24" s="1"/>
  <c r="R22" i="24" s="1"/>
  <c r="P22" i="24" s="1"/>
  <c r="V22" i="24" s="1"/>
  <c r="B22" i="24" s="1"/>
  <c r="W22" i="24" s="1"/>
  <c r="U250" i="24"/>
  <c r="T250" i="24" s="1"/>
  <c r="S250" i="24" s="1"/>
  <c r="R250" i="24" s="1"/>
  <c r="P250" i="24" s="1"/>
  <c r="V250" i="24" s="1"/>
  <c r="B250" i="24" s="1"/>
  <c r="W250" i="24" s="1"/>
  <c r="U365" i="24"/>
  <c r="T365" i="24" s="1"/>
  <c r="S365" i="24" s="1"/>
  <c r="R365" i="24" s="1"/>
  <c r="P365" i="24" s="1"/>
  <c r="V365" i="24" s="1"/>
  <c r="B365" i="24" s="1"/>
  <c r="W365" i="24" s="1"/>
  <c r="U263" i="24"/>
  <c r="T263" i="24" s="1"/>
  <c r="S263" i="24" s="1"/>
  <c r="R263" i="24" s="1"/>
  <c r="P263" i="24" s="1"/>
  <c r="V263" i="24" s="1"/>
  <c r="B263" i="24" s="1"/>
  <c r="W263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5" i="24"/>
  <c r="T15" i="24" s="1"/>
  <c r="U157" i="24"/>
  <c r="T157" i="24" s="1"/>
  <c r="S157" i="24" s="1"/>
  <c r="R157" i="24" s="1"/>
  <c r="P157" i="24" s="1"/>
  <c r="V157" i="24" s="1"/>
  <c r="B157" i="24" s="1"/>
  <c r="D157" i="24" s="1"/>
  <c r="E157" i="24" s="1"/>
  <c r="F157" i="24" s="1"/>
  <c r="U96" i="24"/>
  <c r="T96" i="24" s="1"/>
  <c r="S96" i="24" s="1"/>
  <c r="R96" i="24" s="1"/>
  <c r="P96" i="24" s="1"/>
  <c r="V96" i="24" s="1"/>
  <c r="B96" i="24" s="1"/>
  <c r="W96" i="24" s="1"/>
  <c r="U343" i="24"/>
  <c r="T343" i="24" s="1"/>
  <c r="S343" i="24" s="1"/>
  <c r="R343" i="24" s="1"/>
  <c r="P343" i="24" s="1"/>
  <c r="V343" i="24" s="1"/>
  <c r="B343" i="24" s="1"/>
  <c r="W343" i="24" s="1"/>
  <c r="U199" i="24"/>
  <c r="T199" i="24" s="1"/>
  <c r="S199" i="24" s="1"/>
  <c r="R199" i="24" s="1"/>
  <c r="P199" i="24" s="1"/>
  <c r="V199" i="24" s="1"/>
  <c r="B199" i="24" s="1"/>
  <c r="W199" i="24" s="1"/>
  <c r="U270" i="24"/>
  <c r="T270" i="24" s="1"/>
  <c r="S270" i="24" s="1"/>
  <c r="R270" i="24" s="1"/>
  <c r="P270" i="24" s="1"/>
  <c r="V270" i="24" s="1"/>
  <c r="B270" i="24" s="1"/>
  <c r="D270" i="24" s="1"/>
  <c r="E270" i="24" s="1"/>
  <c r="F270" i="24" s="1"/>
  <c r="U121" i="24"/>
  <c r="T121" i="24" s="1"/>
  <c r="S121" i="24" s="1"/>
  <c r="R121" i="24" s="1"/>
  <c r="P121" i="24" s="1"/>
  <c r="V121" i="24" s="1"/>
  <c r="B121" i="24" s="1"/>
  <c r="W121" i="24" s="1"/>
  <c r="U283" i="24"/>
  <c r="T283" i="24" s="1"/>
  <c r="S283" i="24" s="1"/>
  <c r="R283" i="24" s="1"/>
  <c r="P283" i="24" s="1"/>
  <c r="V283" i="24" s="1"/>
  <c r="B283" i="24" s="1"/>
  <c r="W283" i="24" s="1"/>
  <c r="U25" i="24"/>
  <c r="T25" i="24" s="1"/>
  <c r="S25" i="24" s="1"/>
  <c r="R25" i="24" s="1"/>
  <c r="P25" i="24" s="1"/>
  <c r="V25" i="24" s="1"/>
  <c r="B25" i="24" s="1"/>
  <c r="D25" i="24" s="1"/>
  <c r="E25" i="24" s="1"/>
  <c r="F25" i="24" s="1"/>
  <c r="U251" i="24"/>
  <c r="T251" i="24" s="1"/>
  <c r="S251" i="24" s="1"/>
  <c r="R251" i="24" s="1"/>
  <c r="P251" i="24" s="1"/>
  <c r="V251" i="24" s="1"/>
  <c r="B251" i="24" s="1"/>
  <c r="D251" i="24" s="1"/>
  <c r="E251" i="24" s="1"/>
  <c r="F251" i="24" s="1"/>
  <c r="U356" i="24"/>
  <c r="T356" i="24" s="1"/>
  <c r="S356" i="24" s="1"/>
  <c r="R356" i="24" s="1"/>
  <c r="P356" i="24" s="1"/>
  <c r="V356" i="24" s="1"/>
  <c r="B356" i="24" s="1"/>
  <c r="W356" i="24" s="1"/>
  <c r="U221" i="24"/>
  <c r="T221" i="24" s="1"/>
  <c r="S221" i="24" s="1"/>
  <c r="R221" i="24" s="1"/>
  <c r="P221" i="24" s="1"/>
  <c r="V221" i="24" s="1"/>
  <c r="B221" i="24" s="1"/>
  <c r="W221" i="24" s="1"/>
  <c r="U275" i="24"/>
  <c r="T275" i="24" s="1"/>
  <c r="S275" i="24" s="1"/>
  <c r="R275" i="24" s="1"/>
  <c r="P275" i="24" s="1"/>
  <c r="V275" i="24" s="1"/>
  <c r="B275" i="24" s="1"/>
  <c r="W275" i="24" s="1"/>
  <c r="U205" i="24"/>
  <c r="T205" i="24" s="1"/>
  <c r="S205" i="24" s="1"/>
  <c r="R205" i="24" s="1"/>
  <c r="P205" i="24" s="1"/>
  <c r="V205" i="24" s="1"/>
  <c r="B205" i="24" s="1"/>
  <c r="W205" i="24" s="1"/>
  <c r="U341" i="24"/>
  <c r="T341" i="24" s="1"/>
  <c r="S341" i="24" s="1"/>
  <c r="R341" i="24" s="1"/>
  <c r="P341" i="24" s="1"/>
  <c r="V341" i="24" s="1"/>
  <c r="B341" i="24" s="1"/>
  <c r="D341" i="24" s="1"/>
  <c r="E341" i="24" s="1"/>
  <c r="F341" i="24" s="1"/>
  <c r="U158" i="24"/>
  <c r="T158" i="24" s="1"/>
  <c r="S158" i="24" s="1"/>
  <c r="R158" i="24" s="1"/>
  <c r="P158" i="24" s="1"/>
  <c r="V158" i="24" s="1"/>
  <c r="B158" i="24" s="1"/>
  <c r="D158" i="24" s="1"/>
  <c r="E158" i="24" s="1"/>
  <c r="F158" i="24" s="1"/>
  <c r="U262" i="24"/>
  <c r="T262" i="24" s="1"/>
  <c r="S262" i="24" s="1"/>
  <c r="R262" i="24" s="1"/>
  <c r="P262" i="24" s="1"/>
  <c r="V262" i="24" s="1"/>
  <c r="B262" i="24" s="1"/>
  <c r="D262" i="24" s="1"/>
  <c r="E262" i="24" s="1"/>
  <c r="F262" i="24" s="1"/>
  <c r="U117" i="24"/>
  <c r="T117" i="24" s="1"/>
  <c r="S117" i="24" s="1"/>
  <c r="R117" i="24" s="1"/>
  <c r="P117" i="24" s="1"/>
  <c r="V117" i="24" s="1"/>
  <c r="B117" i="24" s="1"/>
  <c r="D117" i="24" s="1"/>
  <c r="E117" i="24" s="1"/>
  <c r="F117" i="24" s="1"/>
  <c r="U304" i="24"/>
  <c r="T304" i="24" s="1"/>
  <c r="S304" i="24" s="1"/>
  <c r="R304" i="24" s="1"/>
  <c r="P304" i="24" s="1"/>
  <c r="V304" i="24" s="1"/>
  <c r="B304" i="24" s="1"/>
  <c r="W304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348" i="24"/>
  <c r="T348" i="24" s="1"/>
  <c r="S348" i="24" s="1"/>
  <c r="R348" i="24" s="1"/>
  <c r="P348" i="24" s="1"/>
  <c r="V348" i="24" s="1"/>
  <c r="B348" i="24" s="1"/>
  <c r="D348" i="24" s="1"/>
  <c r="E348" i="24" s="1"/>
  <c r="F348" i="24" s="1"/>
  <c r="U374" i="24"/>
  <c r="T374" i="24" s="1"/>
  <c r="S374" i="24" s="1"/>
  <c r="R374" i="24" s="1"/>
  <c r="P374" i="24" s="1"/>
  <c r="V374" i="24" s="1"/>
  <c r="B374" i="24" s="1"/>
  <c r="D374" i="24" s="1"/>
  <c r="E374" i="24" s="1"/>
  <c r="F374" i="24" s="1"/>
  <c r="U260" i="24"/>
  <c r="T260" i="24" s="1"/>
  <c r="S260" i="24" s="1"/>
  <c r="R260" i="24" s="1"/>
  <c r="P260" i="24" s="1"/>
  <c r="V260" i="24" s="1"/>
  <c r="B260" i="24" s="1"/>
  <c r="W260" i="24" s="1"/>
  <c r="U84" i="24"/>
  <c r="T84" i="24" s="1"/>
  <c r="S84" i="24" s="1"/>
  <c r="R84" i="24" s="1"/>
  <c r="P84" i="24" s="1"/>
  <c r="V84" i="24" s="1"/>
  <c r="B84" i="24" s="1"/>
  <c r="W84" i="24" s="1"/>
  <c r="U134" i="24"/>
  <c r="T134" i="24" s="1"/>
  <c r="S134" i="24" s="1"/>
  <c r="R134" i="24" s="1"/>
  <c r="P134" i="24" s="1"/>
  <c r="V134" i="24" s="1"/>
  <c r="B134" i="24" s="1"/>
  <c r="D134" i="24" s="1"/>
  <c r="E134" i="24" s="1"/>
  <c r="F134" i="24" s="1"/>
  <c r="U361" i="24"/>
  <c r="T361" i="24" s="1"/>
  <c r="S361" i="24" s="1"/>
  <c r="R361" i="24" s="1"/>
  <c r="P361" i="24" s="1"/>
  <c r="V361" i="24" s="1"/>
  <c r="B361" i="24" s="1"/>
  <c r="D361" i="24" s="1"/>
  <c r="E361" i="24" s="1"/>
  <c r="F361" i="24" s="1"/>
  <c r="U187" i="24"/>
  <c r="T187" i="24" s="1"/>
  <c r="S187" i="24" s="1"/>
  <c r="R187" i="24" s="1"/>
  <c r="P187" i="24" s="1"/>
  <c r="V187" i="24" s="1"/>
  <c r="B187" i="24" s="1"/>
  <c r="D187" i="24" s="1"/>
  <c r="E187" i="24" s="1"/>
  <c r="F187" i="24" s="1"/>
  <c r="U32" i="24"/>
  <c r="T32" i="24" s="1"/>
  <c r="S32" i="24" s="1"/>
  <c r="R32" i="24" s="1"/>
  <c r="P32" i="24" s="1"/>
  <c r="V32" i="24" s="1"/>
  <c r="B32" i="24" s="1"/>
  <c r="W32" i="24" s="1"/>
  <c r="U127" i="24"/>
  <c r="T127" i="24" s="1"/>
  <c r="S127" i="24" s="1"/>
  <c r="R127" i="24" s="1"/>
  <c r="P127" i="24" s="1"/>
  <c r="V127" i="24" s="1"/>
  <c r="B127" i="24" s="1"/>
  <c r="W127" i="24" s="1"/>
  <c r="U222" i="24"/>
  <c r="T222" i="24" s="1"/>
  <c r="S222" i="24" s="1"/>
  <c r="R222" i="24" s="1"/>
  <c r="P222" i="24" s="1"/>
  <c r="V222" i="24" s="1"/>
  <c r="B222" i="24" s="1"/>
  <c r="W222" i="24" s="1"/>
  <c r="U149" i="24"/>
  <c r="T149" i="24" s="1"/>
  <c r="S149" i="24" s="1"/>
  <c r="R149" i="24" s="1"/>
  <c r="P149" i="24" s="1"/>
  <c r="AH60" i="7" s="1"/>
  <c r="U53" i="24"/>
  <c r="T53" i="24" s="1"/>
  <c r="S53" i="24" s="1"/>
  <c r="R53" i="24" s="1"/>
  <c r="P53" i="24" s="1"/>
  <c r="V53" i="24" s="1"/>
  <c r="B53" i="24" s="1"/>
  <c r="D53" i="24" s="1"/>
  <c r="E53" i="24" s="1"/>
  <c r="F53" i="24" s="1"/>
  <c r="U79" i="24"/>
  <c r="T79" i="24" s="1"/>
  <c r="S79" i="24" s="1"/>
  <c r="R79" i="24" s="1"/>
  <c r="P79" i="24" s="1"/>
  <c r="V79" i="24" s="1"/>
  <c r="B79" i="24" s="1"/>
  <c r="D79" i="24" s="1"/>
  <c r="E79" i="24" s="1"/>
  <c r="F79" i="24" s="1"/>
  <c r="U88" i="24"/>
  <c r="T88" i="24" s="1"/>
  <c r="S88" i="24" s="1"/>
  <c r="R88" i="24" s="1"/>
  <c r="P88" i="24" s="1"/>
  <c r="AH58" i="7" s="1"/>
  <c r="U137" i="24"/>
  <c r="T137" i="24" s="1"/>
  <c r="S137" i="24" s="1"/>
  <c r="R137" i="24" s="1"/>
  <c r="P137" i="24" s="1"/>
  <c r="V137" i="24" s="1"/>
  <c r="B137" i="24" s="1"/>
  <c r="W137" i="24" s="1"/>
  <c r="U220" i="24"/>
  <c r="T220" i="24" s="1"/>
  <c r="S220" i="24" s="1"/>
  <c r="R220" i="24" s="1"/>
  <c r="P220" i="24" s="1"/>
  <c r="V220" i="24" s="1"/>
  <c r="B220" i="24" s="1"/>
  <c r="D220" i="24" s="1"/>
  <c r="E220" i="24" s="1"/>
  <c r="F220" i="24" s="1"/>
  <c r="U177" i="24"/>
  <c r="T177" i="24" s="1"/>
  <c r="S177" i="24" s="1"/>
  <c r="R177" i="24" s="1"/>
  <c r="P177" i="24" s="1"/>
  <c r="V177" i="24" s="1"/>
  <c r="B177" i="24" s="1"/>
  <c r="D177" i="24" s="1"/>
  <c r="E177" i="24" s="1"/>
  <c r="F177" i="24" s="1"/>
  <c r="U75" i="24"/>
  <c r="T75" i="24" s="1"/>
  <c r="S75" i="24" s="1"/>
  <c r="R75" i="24" s="1"/>
  <c r="P75" i="24" s="1"/>
  <c r="V75" i="24" s="1"/>
  <c r="B75" i="24" s="1"/>
  <c r="W75" i="24" s="1"/>
  <c r="U280" i="24"/>
  <c r="T280" i="24" s="1"/>
  <c r="S280" i="24" s="1"/>
  <c r="R280" i="24" s="1"/>
  <c r="P280" i="24" s="1"/>
  <c r="V280" i="24" s="1"/>
  <c r="B280" i="24" s="1"/>
  <c r="W280" i="24" s="1"/>
  <c r="U135" i="24"/>
  <c r="T135" i="24" s="1"/>
  <c r="S135" i="24" s="1"/>
  <c r="R135" i="24" s="1"/>
  <c r="P135" i="24" s="1"/>
  <c r="V135" i="24" s="1"/>
  <c r="B135" i="24" s="1"/>
  <c r="U313" i="24"/>
  <c r="T313" i="24" s="1"/>
  <c r="S313" i="24" s="1"/>
  <c r="R313" i="24" s="1"/>
  <c r="P313" i="24" s="1"/>
  <c r="V313" i="24" s="1"/>
  <c r="B313" i="24" s="1"/>
  <c r="D313" i="24" s="1"/>
  <c r="E313" i="24" s="1"/>
  <c r="F313" i="24" s="1"/>
  <c r="U154" i="24"/>
  <c r="T154" i="24" s="1"/>
  <c r="S154" i="24" s="1"/>
  <c r="R154" i="24" s="1"/>
  <c r="P154" i="24" s="1"/>
  <c r="V154" i="24" s="1"/>
  <c r="B154" i="24" s="1"/>
  <c r="D154" i="24" s="1"/>
  <c r="E154" i="24" s="1"/>
  <c r="F154" i="24" s="1"/>
  <c r="U33" i="24"/>
  <c r="T33" i="24" s="1"/>
  <c r="S33" i="24" s="1"/>
  <c r="R33" i="24" s="1"/>
  <c r="P33" i="24" s="1"/>
  <c r="V33" i="24" s="1"/>
  <c r="B33" i="24" s="1"/>
  <c r="W33" i="24" s="1"/>
  <c r="U196" i="24"/>
  <c r="T196" i="24" s="1"/>
  <c r="S196" i="24" s="1"/>
  <c r="R196" i="24" s="1"/>
  <c r="P196" i="24" s="1"/>
  <c r="V196" i="24" s="1"/>
  <c r="B196" i="24" s="1"/>
  <c r="U318" i="24"/>
  <c r="T318" i="24" s="1"/>
  <c r="S318" i="24" s="1"/>
  <c r="R318" i="24" s="1"/>
  <c r="P318" i="24" s="1"/>
  <c r="V318" i="24" s="1"/>
  <c r="B318" i="24" s="1"/>
  <c r="D318" i="24" s="1"/>
  <c r="E318" i="24" s="1"/>
  <c r="F318" i="24" s="1"/>
  <c r="U66" i="24"/>
  <c r="T66" i="24" s="1"/>
  <c r="S66" i="24" s="1"/>
  <c r="R66" i="24" s="1"/>
  <c r="P66" i="24" s="1"/>
  <c r="V66" i="24" s="1"/>
  <c r="B66" i="24" s="1"/>
  <c r="W66" i="24" s="1"/>
  <c r="U39" i="24"/>
  <c r="T39" i="24" s="1"/>
  <c r="S39" i="24" s="1"/>
  <c r="R39" i="24" s="1"/>
  <c r="P39" i="24" s="1"/>
  <c r="V39" i="24" s="1"/>
  <c r="B39" i="24" s="1"/>
  <c r="W39" i="24" s="1"/>
  <c r="U358" i="24"/>
  <c r="T358" i="24" s="1"/>
  <c r="S358" i="24" s="1"/>
  <c r="R358" i="24" s="1"/>
  <c r="P358" i="24" s="1"/>
  <c r="V358" i="24" s="1"/>
  <c r="B358" i="24" s="1"/>
  <c r="D358" i="24" s="1"/>
  <c r="E358" i="24" s="1"/>
  <c r="F358" i="24" s="1"/>
  <c r="U194" i="24"/>
  <c r="T194" i="24" s="1"/>
  <c r="S194" i="24" s="1"/>
  <c r="R194" i="24" s="1"/>
  <c r="P194" i="24" s="1"/>
  <c r="V194" i="24" s="1"/>
  <c r="B194" i="24" s="1"/>
  <c r="W194" i="24" s="1"/>
  <c r="U354" i="24"/>
  <c r="T354" i="24" s="1"/>
  <c r="S354" i="24" s="1"/>
  <c r="R354" i="24" s="1"/>
  <c r="P354" i="24" s="1"/>
  <c r="V354" i="24" s="1"/>
  <c r="B354" i="24" s="1"/>
  <c r="D354" i="24" s="1"/>
  <c r="E354" i="24" s="1"/>
  <c r="F354" i="24" s="1"/>
  <c r="U316" i="24"/>
  <c r="T316" i="24" s="1"/>
  <c r="S316" i="24" s="1"/>
  <c r="R316" i="24" s="1"/>
  <c r="P316" i="24" s="1"/>
  <c r="V316" i="24" s="1"/>
  <c r="B316" i="24" s="1"/>
  <c r="D316" i="24" s="1"/>
  <c r="E316" i="24" s="1"/>
  <c r="F316" i="24" s="1"/>
  <c r="U52" i="24"/>
  <c r="T52" i="24" s="1"/>
  <c r="S52" i="24" s="1"/>
  <c r="R52" i="24" s="1"/>
  <c r="P52" i="24" s="1"/>
  <c r="V52" i="24" s="1"/>
  <c r="B52" i="24" s="1"/>
  <c r="W52" i="24" s="1"/>
  <c r="U125" i="24"/>
  <c r="T125" i="24" s="1"/>
  <c r="S125" i="24" s="1"/>
  <c r="R125" i="24" s="1"/>
  <c r="P125" i="24" s="1"/>
  <c r="V125" i="24" s="1"/>
  <c r="B125" i="24" s="1"/>
  <c r="W125" i="24" s="1"/>
  <c r="U265" i="24"/>
  <c r="T265" i="24" s="1"/>
  <c r="S265" i="24" s="1"/>
  <c r="R265" i="24" s="1"/>
  <c r="P265" i="24" s="1"/>
  <c r="V265" i="24" s="1"/>
  <c r="B265" i="24" s="1"/>
  <c r="W265" i="24" s="1"/>
  <c r="U169" i="24"/>
  <c r="T169" i="24" s="1"/>
  <c r="S169" i="24" s="1"/>
  <c r="R169" i="24" s="1"/>
  <c r="P169" i="24" s="1"/>
  <c r="V169" i="24" s="1"/>
  <c r="B169" i="24" s="1"/>
  <c r="D169" i="24" s="1"/>
  <c r="E169" i="24" s="1"/>
  <c r="F169" i="24" s="1"/>
  <c r="U67" i="24"/>
  <c r="T67" i="24" s="1"/>
  <c r="S67" i="24" s="1"/>
  <c r="R67" i="24" s="1"/>
  <c r="P67" i="24" s="1"/>
  <c r="V67" i="24" s="1"/>
  <c r="B67" i="24" s="1"/>
  <c r="W67" i="24" s="1"/>
  <c r="U120" i="24"/>
  <c r="T120" i="24" s="1"/>
  <c r="S120" i="24" s="1"/>
  <c r="R120" i="24" s="1"/>
  <c r="P120" i="24" s="1"/>
  <c r="V120" i="24" s="1"/>
  <c r="B120" i="24" s="1"/>
  <c r="D120" i="24" s="1"/>
  <c r="E120" i="24" s="1"/>
  <c r="F120" i="24" s="1"/>
  <c r="U93" i="24"/>
  <c r="T93" i="24" s="1"/>
  <c r="S93" i="24" s="1"/>
  <c r="R93" i="24" s="1"/>
  <c r="P93" i="24" s="1"/>
  <c r="V93" i="24" s="1"/>
  <c r="B93" i="24" s="1"/>
  <c r="W93" i="24" s="1"/>
  <c r="U171" i="24"/>
  <c r="T171" i="24" s="1"/>
  <c r="S171" i="24" s="1"/>
  <c r="R171" i="24" s="1"/>
  <c r="P171" i="24" s="1"/>
  <c r="V171" i="24" s="1"/>
  <c r="B171" i="24" s="1"/>
  <c r="D171" i="24" s="1"/>
  <c r="E171" i="24" s="1"/>
  <c r="F171" i="24" s="1"/>
  <c r="U249" i="24"/>
  <c r="T249" i="24" s="1"/>
  <c r="S249" i="24" s="1"/>
  <c r="R249" i="24" s="1"/>
  <c r="P249" i="24" s="1"/>
  <c r="V249" i="24" s="1"/>
  <c r="B249" i="24" s="1"/>
  <c r="W249" i="24" s="1"/>
  <c r="U160" i="24"/>
  <c r="T160" i="24" s="1"/>
  <c r="S160" i="24" s="1"/>
  <c r="R160" i="24" s="1"/>
  <c r="P160" i="24" s="1"/>
  <c r="V160" i="24" s="1"/>
  <c r="B160" i="24" s="1"/>
  <c r="W160" i="24" s="1"/>
  <c r="U54" i="24"/>
  <c r="T54" i="24" s="1"/>
  <c r="S54" i="24" s="1"/>
  <c r="R54" i="24" s="1"/>
  <c r="P54" i="24" s="1"/>
  <c r="V54" i="24" s="1"/>
  <c r="B54" i="24" s="1"/>
  <c r="D54" i="24" s="1"/>
  <c r="E54" i="24" s="1"/>
  <c r="F54" i="24" s="1"/>
  <c r="U261" i="24"/>
  <c r="T261" i="24" s="1"/>
  <c r="S261" i="24" s="1"/>
  <c r="R261" i="24" s="1"/>
  <c r="P261" i="24" s="1"/>
  <c r="V261" i="24" s="1"/>
  <c r="B261" i="24" s="1"/>
  <c r="D261" i="24" s="1"/>
  <c r="E261" i="24" s="1"/>
  <c r="F261" i="24" s="1"/>
  <c r="U334" i="24"/>
  <c r="T334" i="24" s="1"/>
  <c r="S334" i="24" s="1"/>
  <c r="R334" i="24" s="1"/>
  <c r="P334" i="24" s="1"/>
  <c r="V334" i="24" s="1"/>
  <c r="B334" i="24" s="1"/>
  <c r="D334" i="24" s="1"/>
  <c r="E334" i="24" s="1"/>
  <c r="F334" i="24" s="1"/>
  <c r="U323" i="24"/>
  <c r="T323" i="24" s="1"/>
  <c r="S323" i="24" s="1"/>
  <c r="R323" i="24" s="1"/>
  <c r="P323" i="24" s="1"/>
  <c r="V323" i="24" s="1"/>
  <c r="B323" i="24" s="1"/>
  <c r="D323" i="24" s="1"/>
  <c r="E323" i="24" s="1"/>
  <c r="F323" i="24" s="1"/>
  <c r="U192" i="24"/>
  <c r="T192" i="24" s="1"/>
  <c r="S192" i="24" s="1"/>
  <c r="R192" i="24" s="1"/>
  <c r="P192" i="24" s="1"/>
  <c r="V192" i="24" s="1"/>
  <c r="B192" i="24" s="1"/>
  <c r="W192" i="24" s="1"/>
  <c r="U204" i="24"/>
  <c r="T204" i="24" s="1"/>
  <c r="S204" i="24" s="1"/>
  <c r="R204" i="24" s="1"/>
  <c r="P204" i="24" s="1"/>
  <c r="V204" i="24" s="1"/>
  <c r="B204" i="24" s="1"/>
  <c r="D204" i="24" s="1"/>
  <c r="E204" i="24" s="1"/>
  <c r="F204" i="24" s="1"/>
  <c r="U186" i="24"/>
  <c r="T186" i="24" s="1"/>
  <c r="S186" i="24" s="1"/>
  <c r="R186" i="24" s="1"/>
  <c r="P186" i="24" s="1"/>
  <c r="V186" i="24" s="1"/>
  <c r="B186" i="24" s="1"/>
  <c r="W186" i="24" s="1"/>
  <c r="U325" i="24"/>
  <c r="T325" i="24" s="1"/>
  <c r="S325" i="24" s="1"/>
  <c r="R325" i="24" s="1"/>
  <c r="P325" i="24" s="1"/>
  <c r="V325" i="24" s="1"/>
  <c r="B325" i="24" s="1"/>
  <c r="W325" i="24" s="1"/>
  <c r="U109" i="24"/>
  <c r="T109" i="24" s="1"/>
  <c r="S109" i="24" s="1"/>
  <c r="R109" i="24" s="1"/>
  <c r="P109" i="24" s="1"/>
  <c r="V109" i="24" s="1"/>
  <c r="B109" i="24" s="1"/>
  <c r="W109" i="24" s="1"/>
  <c r="U369" i="24"/>
  <c r="T369" i="24" s="1"/>
  <c r="S369" i="24" s="1"/>
  <c r="R369" i="24" s="1"/>
  <c r="P369" i="24" s="1"/>
  <c r="V369" i="24" s="1"/>
  <c r="B369" i="24" s="1"/>
  <c r="W369" i="24" s="1"/>
  <c r="U241" i="24"/>
  <c r="T241" i="24" s="1"/>
  <c r="S241" i="24" s="1"/>
  <c r="R241" i="24" s="1"/>
  <c r="P241" i="24" s="1"/>
  <c r="AH63" i="7" s="1"/>
  <c r="U268" i="24"/>
  <c r="T268" i="24" s="1"/>
  <c r="S268" i="24" s="1"/>
  <c r="R268" i="24" s="1"/>
  <c r="P268" i="24" s="1"/>
  <c r="V268" i="24" s="1"/>
  <c r="B268" i="24" s="1"/>
  <c r="W268" i="24" s="1"/>
  <c r="U368" i="24"/>
  <c r="T368" i="24" s="1"/>
  <c r="S368" i="24" s="1"/>
  <c r="R368" i="24" s="1"/>
  <c r="P368" i="24" s="1"/>
  <c r="V368" i="24" s="1"/>
  <c r="B368" i="24" s="1"/>
  <c r="W368" i="24" s="1"/>
  <c r="U42" i="24"/>
  <c r="T42" i="24" s="1"/>
  <c r="S42" i="24" s="1"/>
  <c r="R42" i="24" s="1"/>
  <c r="P42" i="24" s="1"/>
  <c r="V42" i="24" s="1"/>
  <c r="B42" i="24" s="1"/>
  <c r="D42" i="24" s="1"/>
  <c r="E42" i="24" s="1"/>
  <c r="F42" i="24" s="1"/>
  <c r="U298" i="24"/>
  <c r="T298" i="24" s="1"/>
  <c r="S298" i="24" s="1"/>
  <c r="R298" i="24" s="1"/>
  <c r="P298" i="24" s="1"/>
  <c r="V298" i="24" s="1"/>
  <c r="B298" i="24" s="1"/>
  <c r="W298" i="24" s="1"/>
  <c r="J56" i="23"/>
  <c r="I280" i="23"/>
  <c r="I62" i="23"/>
  <c r="AJ13" i="18"/>
  <c r="I227" i="23"/>
  <c r="D379" i="23"/>
  <c r="E379" i="23" s="1"/>
  <c r="F379" i="23" s="1"/>
  <c r="H379" i="23" s="1"/>
  <c r="H38" i="19"/>
  <c r="C15" i="19"/>
  <c r="F39" i="19"/>
  <c r="I38" i="19"/>
  <c r="I187" i="23"/>
  <c r="I132" i="23"/>
  <c r="J201" i="23"/>
  <c r="I34" i="23"/>
  <c r="I374" i="23"/>
  <c r="I115" i="23"/>
  <c r="J327" i="23"/>
  <c r="J346" i="23"/>
  <c r="I63" i="23"/>
  <c r="J235" i="23"/>
  <c r="BA16" i="7"/>
  <c r="U77" i="24"/>
  <c r="T77" i="24" s="1"/>
  <c r="S77" i="24" s="1"/>
  <c r="R77" i="24" s="1"/>
  <c r="P77" i="24" s="1"/>
  <c r="V77" i="24" s="1"/>
  <c r="B77" i="24" s="1"/>
  <c r="D77" i="24" s="1"/>
  <c r="E77" i="24" s="1"/>
  <c r="F77" i="24" s="1"/>
  <c r="U107" i="24"/>
  <c r="T107" i="24" s="1"/>
  <c r="S107" i="24" s="1"/>
  <c r="R107" i="24" s="1"/>
  <c r="P107" i="24" s="1"/>
  <c r="V107" i="24" s="1"/>
  <c r="B107" i="24" s="1"/>
  <c r="W107" i="24" s="1"/>
  <c r="U357" i="24"/>
  <c r="T357" i="24" s="1"/>
  <c r="S357" i="24" s="1"/>
  <c r="R357" i="24" s="1"/>
  <c r="P357" i="24" s="1"/>
  <c r="V357" i="24" s="1"/>
  <c r="B357" i="24" s="1"/>
  <c r="D357" i="24" s="1"/>
  <c r="E357" i="24" s="1"/>
  <c r="F357" i="24" s="1"/>
  <c r="U219" i="24"/>
  <c r="T219" i="24" s="1"/>
  <c r="S219" i="24" s="1"/>
  <c r="R219" i="24" s="1"/>
  <c r="P219" i="24" s="1"/>
  <c r="V219" i="24" s="1"/>
  <c r="B219" i="24" s="1"/>
  <c r="W219" i="24" s="1"/>
  <c r="U212" i="24"/>
  <c r="T212" i="24" s="1"/>
  <c r="S212" i="24" s="1"/>
  <c r="R212" i="24" s="1"/>
  <c r="P212" i="24" s="1"/>
  <c r="V212" i="24" s="1"/>
  <c r="B212" i="24" s="1"/>
  <c r="D212" i="24" s="1"/>
  <c r="E212" i="24" s="1"/>
  <c r="F212" i="24" s="1"/>
  <c r="U190" i="24"/>
  <c r="T190" i="24" s="1"/>
  <c r="S190" i="24" s="1"/>
  <c r="R190" i="24" s="1"/>
  <c r="P190" i="24" s="1"/>
  <c r="V190" i="24" s="1"/>
  <c r="B190" i="24" s="1"/>
  <c r="W190" i="24" s="1"/>
  <c r="U62" i="24"/>
  <c r="T62" i="24" s="1"/>
  <c r="S62" i="24" s="1"/>
  <c r="R62" i="24" s="1"/>
  <c r="P62" i="24" s="1"/>
  <c r="V62" i="24" s="1"/>
  <c r="B62" i="24" s="1"/>
  <c r="D62" i="24" s="1"/>
  <c r="E62" i="24" s="1"/>
  <c r="F62" i="24" s="1"/>
  <c r="U238" i="24"/>
  <c r="T238" i="24" s="1"/>
  <c r="S238" i="24" s="1"/>
  <c r="R238" i="24" s="1"/>
  <c r="P238" i="24" s="1"/>
  <c r="V238" i="24" s="1"/>
  <c r="B238" i="24" s="1"/>
  <c r="D238" i="24" s="1"/>
  <c r="E238" i="24" s="1"/>
  <c r="F238" i="24" s="1"/>
  <c r="U324" i="24"/>
  <c r="T324" i="24" s="1"/>
  <c r="S324" i="24" s="1"/>
  <c r="R324" i="24" s="1"/>
  <c r="P324" i="24" s="1"/>
  <c r="V324" i="24" s="1"/>
  <c r="B324" i="24" s="1"/>
  <c r="D324" i="24" s="1"/>
  <c r="E324" i="24" s="1"/>
  <c r="F324" i="24" s="1"/>
  <c r="U330" i="24"/>
  <c r="T330" i="24" s="1"/>
  <c r="S330" i="24" s="1"/>
  <c r="R330" i="24" s="1"/>
  <c r="P330" i="24" s="1"/>
  <c r="V330" i="24" s="1"/>
  <c r="B330" i="24" s="1"/>
  <c r="D330" i="24" s="1"/>
  <c r="E330" i="24" s="1"/>
  <c r="F330" i="24" s="1"/>
  <c r="U144" i="24"/>
  <c r="T144" i="24" s="1"/>
  <c r="S144" i="24" s="1"/>
  <c r="R144" i="24" s="1"/>
  <c r="P144" i="24" s="1"/>
  <c r="V144" i="24" s="1"/>
  <c r="B144" i="24" s="1"/>
  <c r="W144" i="24" s="1"/>
  <c r="U227" i="24"/>
  <c r="T227" i="24" s="1"/>
  <c r="S227" i="24" s="1"/>
  <c r="R227" i="24" s="1"/>
  <c r="P227" i="24" s="1"/>
  <c r="V227" i="24" s="1"/>
  <c r="B227" i="24" s="1"/>
  <c r="U161" i="24"/>
  <c r="T161" i="24" s="1"/>
  <c r="S161" i="24" s="1"/>
  <c r="R161" i="24" s="1"/>
  <c r="P161" i="24" s="1"/>
  <c r="V161" i="24" s="1"/>
  <c r="B161" i="24" s="1"/>
  <c r="D161" i="24" s="1"/>
  <c r="E161" i="24" s="1"/>
  <c r="F161" i="24" s="1"/>
  <c r="U376" i="24"/>
  <c r="T376" i="24" s="1"/>
  <c r="S376" i="24" s="1"/>
  <c r="R376" i="24" s="1"/>
  <c r="P376" i="24" s="1"/>
  <c r="V376" i="24" s="1"/>
  <c r="B376" i="24" s="1"/>
  <c r="W376" i="24" s="1"/>
  <c r="U28" i="24"/>
  <c r="T28" i="24" s="1"/>
  <c r="S28" i="24" s="1"/>
  <c r="R28" i="24" s="1"/>
  <c r="P28" i="24" s="1"/>
  <c r="V28" i="24" s="1"/>
  <c r="B28" i="24" s="1"/>
  <c r="W28" i="24" s="1"/>
  <c r="U198" i="24"/>
  <c r="T198" i="24" s="1"/>
  <c r="S198" i="24" s="1"/>
  <c r="R198" i="24" s="1"/>
  <c r="P198" i="24" s="1"/>
  <c r="V198" i="24" s="1"/>
  <c r="B198" i="24" s="1"/>
  <c r="D198" i="24" s="1"/>
  <c r="E198" i="24" s="1"/>
  <c r="F198" i="24" s="1"/>
  <c r="U314" i="24"/>
  <c r="T314" i="24" s="1"/>
  <c r="S314" i="24" s="1"/>
  <c r="R314" i="24" s="1"/>
  <c r="P314" i="24" s="1"/>
  <c r="V314" i="24" s="1"/>
  <c r="B314" i="24" s="1"/>
  <c r="W314" i="24" s="1"/>
  <c r="U18" i="24"/>
  <c r="U44" i="24"/>
  <c r="T44" i="24" s="1"/>
  <c r="S44" i="24" s="1"/>
  <c r="R44" i="24" s="1"/>
  <c r="P44" i="24" s="1"/>
  <c r="V44" i="24" s="1"/>
  <c r="B44" i="24" s="1"/>
  <c r="W44" i="24" s="1"/>
  <c r="U247" i="24"/>
  <c r="T247" i="24" s="1"/>
  <c r="S247" i="24" s="1"/>
  <c r="R247" i="24" s="1"/>
  <c r="P247" i="24" s="1"/>
  <c r="V247" i="24" s="1"/>
  <c r="B247" i="24" s="1"/>
  <c r="D247" i="24" s="1"/>
  <c r="E247" i="24" s="1"/>
  <c r="F247" i="24" s="1"/>
  <c r="U129" i="24"/>
  <c r="T129" i="24" s="1"/>
  <c r="S129" i="24" s="1"/>
  <c r="R129" i="24" s="1"/>
  <c r="P129" i="24" s="1"/>
  <c r="V129" i="24" s="1"/>
  <c r="B129" i="24" s="1"/>
  <c r="W129" i="24" s="1"/>
  <c r="U180" i="24"/>
  <c r="T180" i="24" s="1"/>
  <c r="S180" i="24" s="1"/>
  <c r="R180" i="24" s="1"/>
  <c r="P180" i="24" s="1"/>
  <c r="AH61" i="7" s="1"/>
  <c r="U81" i="24"/>
  <c r="T81" i="24" s="1"/>
  <c r="S81" i="24" s="1"/>
  <c r="R81" i="24" s="1"/>
  <c r="P81" i="24" s="1"/>
  <c r="V81" i="24" s="1"/>
  <c r="B81" i="24" s="1"/>
  <c r="D81" i="24" s="1"/>
  <c r="E81" i="24" s="1"/>
  <c r="F81" i="24" s="1"/>
  <c r="U253" i="24"/>
  <c r="T253" i="24" s="1"/>
  <c r="S253" i="24" s="1"/>
  <c r="R253" i="24" s="1"/>
  <c r="P253" i="24" s="1"/>
  <c r="V253" i="24" s="1"/>
  <c r="B253" i="24" s="1"/>
  <c r="D253" i="24" s="1"/>
  <c r="E253" i="24" s="1"/>
  <c r="F253" i="24" s="1"/>
  <c r="U91" i="24"/>
  <c r="T91" i="24" s="1"/>
  <c r="S91" i="24" s="1"/>
  <c r="R91" i="24" s="1"/>
  <c r="P91" i="24" s="1"/>
  <c r="V91" i="24" s="1"/>
  <c r="B91" i="24" s="1"/>
  <c r="D91" i="24" s="1"/>
  <c r="E91" i="24" s="1"/>
  <c r="F91" i="24" s="1"/>
  <c r="U173" i="24"/>
  <c r="T173" i="24" s="1"/>
  <c r="S173" i="24" s="1"/>
  <c r="R173" i="24" s="1"/>
  <c r="P173" i="24" s="1"/>
  <c r="V173" i="24" s="1"/>
  <c r="B173" i="24" s="1"/>
  <c r="W173" i="24" s="1"/>
  <c r="U183" i="24"/>
  <c r="T183" i="24" s="1"/>
  <c r="S183" i="24" s="1"/>
  <c r="R183" i="24" s="1"/>
  <c r="P183" i="24" s="1"/>
  <c r="V183" i="24" s="1"/>
  <c r="B183" i="24" s="1"/>
  <c r="W183" i="24" s="1"/>
  <c r="U322" i="24"/>
  <c r="T322" i="24" s="1"/>
  <c r="S322" i="24" s="1"/>
  <c r="R322" i="24" s="1"/>
  <c r="P322" i="24" s="1"/>
  <c r="V322" i="24" s="1"/>
  <c r="B322" i="24" s="1"/>
  <c r="W322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50" i="24"/>
  <c r="T50" i="24" s="1"/>
  <c r="S50" i="24" s="1"/>
  <c r="R50" i="24" s="1"/>
  <c r="P50" i="24" s="1"/>
  <c r="V50" i="24" s="1"/>
  <c r="B50" i="24" s="1"/>
  <c r="D50" i="24" s="1"/>
  <c r="E50" i="24" s="1"/>
  <c r="F50" i="24" s="1"/>
  <c r="U217" i="24"/>
  <c r="T217" i="24" s="1"/>
  <c r="S217" i="24" s="1"/>
  <c r="R217" i="24" s="1"/>
  <c r="P217" i="24" s="1"/>
  <c r="V217" i="24" s="1"/>
  <c r="B217" i="24" s="1"/>
  <c r="D217" i="24" s="1"/>
  <c r="E217" i="24" s="1"/>
  <c r="F217" i="24" s="1"/>
  <c r="U305" i="24"/>
  <c r="T305" i="24" s="1"/>
  <c r="S305" i="24" s="1"/>
  <c r="R305" i="24" s="1"/>
  <c r="P305" i="24" s="1"/>
  <c r="V305" i="24" s="1"/>
  <c r="B305" i="24" s="1"/>
  <c r="W305" i="24" s="1"/>
  <c r="U370" i="24"/>
  <c r="T370" i="24" s="1"/>
  <c r="S370" i="24" s="1"/>
  <c r="R370" i="24" s="1"/>
  <c r="P370" i="24" s="1"/>
  <c r="V370" i="24" s="1"/>
  <c r="B370" i="24" s="1"/>
  <c r="W370" i="24" s="1"/>
  <c r="U167" i="24"/>
  <c r="T167" i="24" s="1"/>
  <c r="S167" i="24" s="1"/>
  <c r="R167" i="24" s="1"/>
  <c r="P167" i="24" s="1"/>
  <c r="V167" i="24" s="1"/>
  <c r="B167" i="24" s="1"/>
  <c r="D167" i="24" s="1"/>
  <c r="E167" i="24" s="1"/>
  <c r="F167" i="24" s="1"/>
  <c r="U319" i="24"/>
  <c r="T319" i="24" s="1"/>
  <c r="S319" i="24" s="1"/>
  <c r="R319" i="24" s="1"/>
  <c r="P319" i="24" s="1"/>
  <c r="V319" i="24" s="1"/>
  <c r="B319" i="24" s="1"/>
  <c r="U362" i="24"/>
  <c r="T362" i="24" s="1"/>
  <c r="S362" i="24" s="1"/>
  <c r="R362" i="24" s="1"/>
  <c r="P362" i="24" s="1"/>
  <c r="V362" i="24" s="1"/>
  <c r="B362" i="24" s="1"/>
  <c r="W362" i="24" s="1"/>
  <c r="U71" i="24"/>
  <c r="T71" i="24" s="1"/>
  <c r="S71" i="24" s="1"/>
  <c r="R71" i="24" s="1"/>
  <c r="P71" i="24" s="1"/>
  <c r="V71" i="24" s="1"/>
  <c r="B71" i="24" s="1"/>
  <c r="W71" i="24" s="1"/>
  <c r="U159" i="24"/>
  <c r="T159" i="24" s="1"/>
  <c r="S159" i="24" s="1"/>
  <c r="R159" i="24" s="1"/>
  <c r="P159" i="24" s="1"/>
  <c r="V159" i="24" s="1"/>
  <c r="B159" i="24" s="1"/>
  <c r="W159" i="24" s="1"/>
  <c r="U60" i="24"/>
  <c r="T60" i="24" s="1"/>
  <c r="S60" i="24" s="1"/>
  <c r="R60" i="24" s="1"/>
  <c r="P60" i="24" s="1"/>
  <c r="V60" i="24" s="1"/>
  <c r="B60" i="24" s="1"/>
  <c r="U349" i="24"/>
  <c r="T349" i="24" s="1"/>
  <c r="S349" i="24" s="1"/>
  <c r="R349" i="24" s="1"/>
  <c r="P349" i="24" s="1"/>
  <c r="V349" i="24" s="1"/>
  <c r="B349" i="24" s="1"/>
  <c r="U138" i="24"/>
  <c r="T138" i="24" s="1"/>
  <c r="S138" i="24" s="1"/>
  <c r="R138" i="24" s="1"/>
  <c r="P138" i="24" s="1"/>
  <c r="V138" i="24" s="1"/>
  <c r="B138" i="24" s="1"/>
  <c r="W138" i="24" s="1"/>
  <c r="U106" i="24"/>
  <c r="T106" i="24" s="1"/>
  <c r="S106" i="24" s="1"/>
  <c r="R106" i="24" s="1"/>
  <c r="P106" i="24" s="1"/>
  <c r="V106" i="24" s="1"/>
  <c r="B106" i="24" s="1"/>
  <c r="W106" i="24" s="1"/>
  <c r="U242" i="24"/>
  <c r="T242" i="24" s="1"/>
  <c r="S242" i="24" s="1"/>
  <c r="R242" i="24" s="1"/>
  <c r="P242" i="24" s="1"/>
  <c r="V242" i="24" s="1"/>
  <c r="B242" i="24" s="1"/>
  <c r="D242" i="24" s="1"/>
  <c r="E242" i="24" s="1"/>
  <c r="F242" i="24" s="1"/>
  <c r="U276" i="24"/>
  <c r="T276" i="24" s="1"/>
  <c r="S276" i="24" s="1"/>
  <c r="R276" i="24" s="1"/>
  <c r="P276" i="24" s="1"/>
  <c r="V276" i="24" s="1"/>
  <c r="B276" i="24" s="1"/>
  <c r="D276" i="24" s="1"/>
  <c r="E276" i="24" s="1"/>
  <c r="F276" i="24" s="1"/>
  <c r="U87" i="24"/>
  <c r="T87" i="24" s="1"/>
  <c r="S87" i="24" s="1"/>
  <c r="R87" i="24" s="1"/>
  <c r="P87" i="24" s="1"/>
  <c r="V87" i="24" s="1"/>
  <c r="B87" i="24" s="1"/>
  <c r="D87" i="24" s="1"/>
  <c r="E87" i="24" s="1"/>
  <c r="F87" i="24" s="1"/>
  <c r="U99" i="24"/>
  <c r="T99" i="24" s="1"/>
  <c r="S99" i="24" s="1"/>
  <c r="R99" i="24" s="1"/>
  <c r="P99" i="24" s="1"/>
  <c r="V99" i="24" s="1"/>
  <c r="B99" i="24" s="1"/>
  <c r="D99" i="24" s="1"/>
  <c r="E99" i="24" s="1"/>
  <c r="F99" i="24" s="1"/>
  <c r="U92" i="24"/>
  <c r="T92" i="24" s="1"/>
  <c r="S92" i="24" s="1"/>
  <c r="R92" i="24" s="1"/>
  <c r="P92" i="24" s="1"/>
  <c r="V92" i="24" s="1"/>
  <c r="B92" i="24" s="1"/>
  <c r="W92" i="24" s="1"/>
  <c r="U234" i="24"/>
  <c r="T234" i="24" s="1"/>
  <c r="S234" i="24" s="1"/>
  <c r="R234" i="24" s="1"/>
  <c r="P234" i="24" s="1"/>
  <c r="V234" i="24" s="1"/>
  <c r="B234" i="24" s="1"/>
  <c r="W234" i="24" s="1"/>
  <c r="U98" i="24"/>
  <c r="T98" i="24" s="1"/>
  <c r="S98" i="24" s="1"/>
  <c r="R98" i="24" s="1"/>
  <c r="P98" i="24" s="1"/>
  <c r="V98" i="24" s="1"/>
  <c r="B98" i="24" s="1"/>
  <c r="D98" i="24" s="1"/>
  <c r="E98" i="24" s="1"/>
  <c r="F98" i="24" s="1"/>
  <c r="U211" i="24"/>
  <c r="T211" i="24" s="1"/>
  <c r="S211" i="24" s="1"/>
  <c r="R211" i="24" s="1"/>
  <c r="P211" i="24" s="1"/>
  <c r="V211" i="24" s="1"/>
  <c r="B211" i="24" s="1"/>
  <c r="D211" i="24" s="1"/>
  <c r="E211" i="24" s="1"/>
  <c r="F211" i="24" s="1"/>
  <c r="U123" i="24"/>
  <c r="T123" i="24" s="1"/>
  <c r="S123" i="24" s="1"/>
  <c r="R123" i="24" s="1"/>
  <c r="P123" i="24" s="1"/>
  <c r="V123" i="24" s="1"/>
  <c r="B123" i="24" s="1"/>
  <c r="D123" i="24" s="1"/>
  <c r="E123" i="24" s="1"/>
  <c r="F123" i="24" s="1"/>
  <c r="U231" i="24"/>
  <c r="T231" i="24" s="1"/>
  <c r="S231" i="24" s="1"/>
  <c r="R231" i="24" s="1"/>
  <c r="P231" i="24" s="1"/>
  <c r="V231" i="24" s="1"/>
  <c r="B231" i="24" s="1"/>
  <c r="W231" i="24" s="1"/>
  <c r="U105" i="24"/>
  <c r="T105" i="24" s="1"/>
  <c r="S105" i="24" s="1"/>
  <c r="R105" i="24" s="1"/>
  <c r="P105" i="24" s="1"/>
  <c r="V105" i="24" s="1"/>
  <c r="B105" i="24" s="1"/>
  <c r="U229" i="24"/>
  <c r="T229" i="24" s="1"/>
  <c r="S229" i="24" s="1"/>
  <c r="R229" i="24" s="1"/>
  <c r="P229" i="24" s="1"/>
  <c r="V229" i="24" s="1"/>
  <c r="B229" i="24" s="1"/>
  <c r="D229" i="24" s="1"/>
  <c r="E229" i="24" s="1"/>
  <c r="F229" i="24" s="1"/>
  <c r="U136" i="24"/>
  <c r="T136" i="24" s="1"/>
  <c r="S136" i="24" s="1"/>
  <c r="R136" i="24" s="1"/>
  <c r="P136" i="24" s="1"/>
  <c r="V136" i="24" s="1"/>
  <c r="B136" i="24" s="1"/>
  <c r="D136" i="24" s="1"/>
  <c r="E136" i="24" s="1"/>
  <c r="F136" i="24" s="1"/>
  <c r="U363" i="24"/>
  <c r="T363" i="24" s="1"/>
  <c r="S363" i="24" s="1"/>
  <c r="R363" i="24" s="1"/>
  <c r="P363" i="24" s="1"/>
  <c r="AH67" i="7" s="1"/>
  <c r="U113" i="24"/>
  <c r="T113" i="24" s="1"/>
  <c r="S113" i="24" s="1"/>
  <c r="R113" i="24" s="1"/>
  <c r="P113" i="24" s="1"/>
  <c r="V113" i="24" s="1"/>
  <c r="B113" i="24" s="1"/>
  <c r="W113" i="24" s="1"/>
  <c r="U371" i="24"/>
  <c r="T371" i="24" s="1"/>
  <c r="S371" i="24" s="1"/>
  <c r="R371" i="24" s="1"/>
  <c r="P371" i="24" s="1"/>
  <c r="V371" i="24" s="1"/>
  <c r="B371" i="24" s="1"/>
  <c r="W371" i="24" s="1"/>
  <c r="U232" i="24"/>
  <c r="T232" i="24" s="1"/>
  <c r="S232" i="24" s="1"/>
  <c r="R232" i="24" s="1"/>
  <c r="P232" i="24" s="1"/>
  <c r="V232" i="24" s="1"/>
  <c r="B232" i="24" s="1"/>
  <c r="D232" i="24" s="1"/>
  <c r="E232" i="24" s="1"/>
  <c r="F232" i="24" s="1"/>
  <c r="U351" i="24"/>
  <c r="T351" i="24" s="1"/>
  <c r="S351" i="24" s="1"/>
  <c r="R351" i="24" s="1"/>
  <c r="P351" i="24" s="1"/>
  <c r="V351" i="24" s="1"/>
  <c r="B351" i="24" s="1"/>
  <c r="D351" i="24" s="1"/>
  <c r="E351" i="24" s="1"/>
  <c r="F351" i="24" s="1"/>
  <c r="U43" i="24"/>
  <c r="T43" i="24" s="1"/>
  <c r="S43" i="24" s="1"/>
  <c r="R43" i="24" s="1"/>
  <c r="P43" i="24" s="1"/>
  <c r="V43" i="24" s="1"/>
  <c r="B43" i="24" s="1"/>
  <c r="D43" i="24" s="1"/>
  <c r="E43" i="24" s="1"/>
  <c r="F43" i="24" s="1"/>
  <c r="U223" i="24"/>
  <c r="T223" i="24" s="1"/>
  <c r="S223" i="24" s="1"/>
  <c r="R223" i="24" s="1"/>
  <c r="P223" i="24" s="1"/>
  <c r="V223" i="24" s="1"/>
  <c r="B223" i="24" s="1"/>
  <c r="D223" i="24" s="1"/>
  <c r="E223" i="24" s="1"/>
  <c r="F223" i="24" s="1"/>
  <c r="U299" i="24"/>
  <c r="T299" i="24" s="1"/>
  <c r="S299" i="24" s="1"/>
  <c r="R299" i="24" s="1"/>
  <c r="P299" i="24" s="1"/>
  <c r="V299" i="24" s="1"/>
  <c r="B299" i="24" s="1"/>
  <c r="D299" i="24" s="1"/>
  <c r="E299" i="24" s="1"/>
  <c r="F299" i="24" s="1"/>
  <c r="U46" i="24"/>
  <c r="T46" i="24" s="1"/>
  <c r="S46" i="24" s="1"/>
  <c r="R46" i="24" s="1"/>
  <c r="P46" i="24" s="1"/>
  <c r="V46" i="24" s="1"/>
  <c r="B46" i="24" s="1"/>
  <c r="U146" i="24"/>
  <c r="T146" i="24" s="1"/>
  <c r="S146" i="24" s="1"/>
  <c r="R146" i="24" s="1"/>
  <c r="P146" i="24" s="1"/>
  <c r="V146" i="24" s="1"/>
  <c r="B146" i="24" s="1"/>
  <c r="D146" i="24" s="1"/>
  <c r="E146" i="24" s="1"/>
  <c r="F146" i="24" s="1"/>
  <c r="U201" i="24"/>
  <c r="T201" i="24" s="1"/>
  <c r="S201" i="24" s="1"/>
  <c r="R201" i="24" s="1"/>
  <c r="P201" i="24" s="1"/>
  <c r="V201" i="24" s="1"/>
  <c r="B201" i="24" s="1"/>
  <c r="W201" i="24" s="1"/>
  <c r="U103" i="24"/>
  <c r="T103" i="24" s="1"/>
  <c r="S103" i="24" s="1"/>
  <c r="R103" i="24" s="1"/>
  <c r="P103" i="24" s="1"/>
  <c r="V103" i="24" s="1"/>
  <c r="B103" i="24" s="1"/>
  <c r="D103" i="24" s="1"/>
  <c r="E103" i="24" s="1"/>
  <c r="F103" i="24" s="1"/>
  <c r="U74" i="24"/>
  <c r="T74" i="24" s="1"/>
  <c r="S74" i="24" s="1"/>
  <c r="R74" i="24" s="1"/>
  <c r="P74" i="24" s="1"/>
  <c r="V74" i="24" s="1"/>
  <c r="B74" i="24" s="1"/>
  <c r="U100" i="24"/>
  <c r="T100" i="24" s="1"/>
  <c r="S100" i="24" s="1"/>
  <c r="R100" i="24" s="1"/>
  <c r="P100" i="24" s="1"/>
  <c r="V100" i="24" s="1"/>
  <c r="B100" i="24" s="1"/>
  <c r="W100" i="24" s="1"/>
  <c r="U302" i="24"/>
  <c r="T302" i="24" s="1"/>
  <c r="S302" i="24" s="1"/>
  <c r="R302" i="24" s="1"/>
  <c r="P302" i="24" s="1"/>
  <c r="AH65" i="7" s="1"/>
  <c r="U111" i="24"/>
  <c r="T111" i="24" s="1"/>
  <c r="S111" i="24" s="1"/>
  <c r="R111" i="24" s="1"/>
  <c r="P111" i="24" s="1"/>
  <c r="V111" i="24" s="1"/>
  <c r="B111" i="24" s="1"/>
  <c r="W111" i="24" s="1"/>
  <c r="U90" i="24"/>
  <c r="T90" i="24" s="1"/>
  <c r="S90" i="24" s="1"/>
  <c r="R90" i="24" s="1"/>
  <c r="P90" i="24" s="1"/>
  <c r="V90" i="24" s="1"/>
  <c r="B90" i="24" s="1"/>
  <c r="W90" i="24" s="1"/>
  <c r="U61" i="24"/>
  <c r="T61" i="24" s="1"/>
  <c r="S61" i="24" s="1"/>
  <c r="R61" i="24" s="1"/>
  <c r="P61" i="24" s="1"/>
  <c r="V61" i="24" s="1"/>
  <c r="B61" i="24" s="1"/>
  <c r="W61" i="24" s="1"/>
  <c r="U312" i="24"/>
  <c r="T312" i="24" s="1"/>
  <c r="S312" i="24" s="1"/>
  <c r="R312" i="24" s="1"/>
  <c r="P312" i="24" s="1"/>
  <c r="V312" i="24" s="1"/>
  <c r="B312" i="24" s="1"/>
  <c r="W312" i="24" s="1"/>
  <c r="U296" i="24"/>
  <c r="T296" i="24" s="1"/>
  <c r="S296" i="24" s="1"/>
  <c r="R296" i="24" s="1"/>
  <c r="P296" i="24" s="1"/>
  <c r="V296" i="24" s="1"/>
  <c r="B296" i="24" s="1"/>
  <c r="W296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315" i="24"/>
  <c r="T315" i="24" s="1"/>
  <c r="S315" i="24" s="1"/>
  <c r="R315" i="24" s="1"/>
  <c r="P315" i="24" s="1"/>
  <c r="V315" i="24" s="1"/>
  <c r="B315" i="24" s="1"/>
  <c r="D315" i="24" s="1"/>
  <c r="E315" i="24" s="1"/>
  <c r="F315" i="24" s="1"/>
  <c r="U203" i="24"/>
  <c r="T203" i="24" s="1"/>
  <c r="S203" i="24" s="1"/>
  <c r="R203" i="24" s="1"/>
  <c r="P203" i="24" s="1"/>
  <c r="V203" i="24" s="1"/>
  <c r="B203" i="24" s="1"/>
  <c r="W203" i="24" s="1"/>
  <c r="U36" i="24"/>
  <c r="T36" i="24" s="1"/>
  <c r="S36" i="24" s="1"/>
  <c r="R36" i="24" s="1"/>
  <c r="P36" i="24" s="1"/>
  <c r="V36" i="24" s="1"/>
  <c r="B36" i="24" s="1"/>
  <c r="W36" i="24" s="1"/>
  <c r="U162" i="24"/>
  <c r="T162" i="24" s="1"/>
  <c r="S162" i="24" s="1"/>
  <c r="R162" i="24" s="1"/>
  <c r="P162" i="24" s="1"/>
  <c r="V162" i="24" s="1"/>
  <c r="B162" i="24" s="1"/>
  <c r="D162" i="24" s="1"/>
  <c r="E162" i="24" s="1"/>
  <c r="F162" i="24" s="1"/>
  <c r="U115" i="24"/>
  <c r="T115" i="24" s="1"/>
  <c r="S115" i="24" s="1"/>
  <c r="R115" i="24" s="1"/>
  <c r="P115" i="24" s="1"/>
  <c r="V115" i="24" s="1"/>
  <c r="B115" i="24" s="1"/>
  <c r="D115" i="24" s="1"/>
  <c r="E115" i="24" s="1"/>
  <c r="F115" i="24" s="1"/>
  <c r="U278" i="24"/>
  <c r="T278" i="24" s="1"/>
  <c r="S278" i="24" s="1"/>
  <c r="R278" i="24" s="1"/>
  <c r="P278" i="24" s="1"/>
  <c r="V278" i="24" s="1"/>
  <c r="B278" i="24" s="1"/>
  <c r="D278" i="24" s="1"/>
  <c r="E278" i="24" s="1"/>
  <c r="F278" i="24" s="1"/>
  <c r="U41" i="24"/>
  <c r="T41" i="24" s="1"/>
  <c r="S41" i="24" s="1"/>
  <c r="R41" i="24" s="1"/>
  <c r="P41" i="24" s="1"/>
  <c r="V41" i="24" s="1"/>
  <c r="B41" i="24" s="1"/>
  <c r="W41" i="24" s="1"/>
  <c r="U85" i="24"/>
  <c r="T85" i="24" s="1"/>
  <c r="S85" i="24" s="1"/>
  <c r="R85" i="24" s="1"/>
  <c r="P85" i="24" s="1"/>
  <c r="V85" i="24" s="1"/>
  <c r="B85" i="24" s="1"/>
  <c r="D85" i="24" s="1"/>
  <c r="E85" i="24" s="1"/>
  <c r="F85" i="24" s="1"/>
  <c r="U317" i="24"/>
  <c r="T317" i="24" s="1"/>
  <c r="S317" i="24" s="1"/>
  <c r="R317" i="24" s="1"/>
  <c r="P317" i="24" s="1"/>
  <c r="V317" i="24" s="1"/>
  <c r="B317" i="24" s="1"/>
  <c r="W317" i="24" s="1"/>
  <c r="U47" i="24"/>
  <c r="T47" i="24" s="1"/>
  <c r="S47" i="24" s="1"/>
  <c r="R47" i="24" s="1"/>
  <c r="P47" i="24" s="1"/>
  <c r="V47" i="24" s="1"/>
  <c r="B47" i="24" s="1"/>
  <c r="D47" i="24" s="1"/>
  <c r="E47" i="24" s="1"/>
  <c r="F47" i="24" s="1"/>
  <c r="U273" i="24"/>
  <c r="T273" i="24" s="1"/>
  <c r="S273" i="24" s="1"/>
  <c r="R273" i="24" s="1"/>
  <c r="P273" i="24" s="1"/>
  <c r="V273" i="24" s="1"/>
  <c r="B273" i="24" s="1"/>
  <c r="D273" i="24" s="1"/>
  <c r="E273" i="24" s="1"/>
  <c r="F273" i="24" s="1"/>
  <c r="U367" i="24"/>
  <c r="T367" i="24" s="1"/>
  <c r="S367" i="24" s="1"/>
  <c r="R367" i="24" s="1"/>
  <c r="P367" i="24" s="1"/>
  <c r="V367" i="24" s="1"/>
  <c r="B367" i="24" s="1"/>
  <c r="W367" i="24" s="1"/>
  <c r="U48" i="24"/>
  <c r="T48" i="24" s="1"/>
  <c r="S48" i="24" s="1"/>
  <c r="R48" i="24" s="1"/>
  <c r="P48" i="24" s="1"/>
  <c r="V48" i="24" s="1"/>
  <c r="B48" i="24" s="1"/>
  <c r="D48" i="24" s="1"/>
  <c r="E48" i="24" s="1"/>
  <c r="F48" i="24" s="1"/>
  <c r="U359" i="24"/>
  <c r="T359" i="24" s="1"/>
  <c r="S359" i="24" s="1"/>
  <c r="R359" i="24" s="1"/>
  <c r="P359" i="24" s="1"/>
  <c r="V359" i="24" s="1"/>
  <c r="B359" i="24" s="1"/>
  <c r="W359" i="24" s="1"/>
  <c r="U271" i="24"/>
  <c r="T271" i="24" s="1"/>
  <c r="S271" i="24" s="1"/>
  <c r="R271" i="24" s="1"/>
  <c r="P271" i="24" s="1"/>
  <c r="V271" i="24" s="1"/>
  <c r="B271" i="24" s="1"/>
  <c r="D271" i="24" s="1"/>
  <c r="E271" i="24" s="1"/>
  <c r="F271" i="24" s="1"/>
  <c r="U145" i="24"/>
  <c r="T145" i="24" s="1"/>
  <c r="S145" i="24" s="1"/>
  <c r="R145" i="24" s="1"/>
  <c r="P145" i="24" s="1"/>
  <c r="V145" i="24" s="1"/>
  <c r="B145" i="24" s="1"/>
  <c r="W145" i="24" s="1"/>
  <c r="U372" i="24"/>
  <c r="T372" i="24" s="1"/>
  <c r="S372" i="24" s="1"/>
  <c r="R372" i="24" s="1"/>
  <c r="P372" i="24" s="1"/>
  <c r="V372" i="24" s="1"/>
  <c r="B372" i="24" s="1"/>
  <c r="W372" i="24" s="1"/>
  <c r="U179" i="24"/>
  <c r="T179" i="24" s="1"/>
  <c r="S179" i="24" s="1"/>
  <c r="R179" i="24" s="1"/>
  <c r="P179" i="24" s="1"/>
  <c r="V179" i="24" s="1"/>
  <c r="B179" i="24" s="1"/>
  <c r="D179" i="24" s="1"/>
  <c r="E179" i="24" s="1"/>
  <c r="F179" i="24" s="1"/>
  <c r="U378" i="24"/>
  <c r="T378" i="24" s="1"/>
  <c r="S378" i="24" s="1"/>
  <c r="R378" i="24" s="1"/>
  <c r="P378" i="24" s="1"/>
  <c r="V378" i="24" s="1"/>
  <c r="B378" i="24" s="1"/>
  <c r="D378" i="24" s="1"/>
  <c r="E378" i="24" s="1"/>
  <c r="F378" i="24" s="1"/>
  <c r="U288" i="24"/>
  <c r="T288" i="24" s="1"/>
  <c r="S288" i="24" s="1"/>
  <c r="R288" i="24" s="1"/>
  <c r="P288" i="24" s="1"/>
  <c r="V288" i="24" s="1"/>
  <c r="B288" i="24" s="1"/>
  <c r="U51" i="24"/>
  <c r="T51" i="24" s="1"/>
  <c r="S51" i="24" s="1"/>
  <c r="R51" i="24" s="1"/>
  <c r="P51" i="24" s="1"/>
  <c r="V51" i="24" s="1"/>
  <c r="B51" i="24" s="1"/>
  <c r="D51" i="24" s="1"/>
  <c r="E51" i="24" s="1"/>
  <c r="F51" i="24" s="1"/>
  <c r="U267" i="24"/>
  <c r="T267" i="24" s="1"/>
  <c r="S267" i="24" s="1"/>
  <c r="R267" i="24" s="1"/>
  <c r="P267" i="24" s="1"/>
  <c r="V267" i="24" s="1"/>
  <c r="B267" i="24" s="1"/>
  <c r="D267" i="24" s="1"/>
  <c r="E267" i="24" s="1"/>
  <c r="F267" i="24" s="1"/>
  <c r="U132" i="24"/>
  <c r="T132" i="24" s="1"/>
  <c r="S132" i="24" s="1"/>
  <c r="R132" i="24" s="1"/>
  <c r="P132" i="24" s="1"/>
  <c r="V132" i="24" s="1"/>
  <c r="B132" i="24" s="1"/>
  <c r="D132" i="24" s="1"/>
  <c r="E132" i="24" s="1"/>
  <c r="F132" i="24" s="1"/>
  <c r="U291" i="24"/>
  <c r="T291" i="24" s="1"/>
  <c r="S291" i="24" s="1"/>
  <c r="R291" i="24" s="1"/>
  <c r="P291" i="24" s="1"/>
  <c r="V291" i="24" s="1"/>
  <c r="B291" i="24" s="1"/>
  <c r="D291" i="24" s="1"/>
  <c r="E291" i="24" s="1"/>
  <c r="F291" i="24" s="1"/>
  <c r="U346" i="24"/>
  <c r="T346" i="24" s="1"/>
  <c r="S346" i="24" s="1"/>
  <c r="R346" i="24" s="1"/>
  <c r="P346" i="24" s="1"/>
  <c r="V346" i="24" s="1"/>
  <c r="B346" i="24" s="1"/>
  <c r="W346" i="24" s="1"/>
  <c r="U181" i="24"/>
  <c r="T181" i="24" s="1"/>
  <c r="S181" i="24" s="1"/>
  <c r="R181" i="24" s="1"/>
  <c r="P181" i="24" s="1"/>
  <c r="V181" i="24" s="1"/>
  <c r="B181" i="24" s="1"/>
  <c r="D181" i="24" s="1"/>
  <c r="E181" i="24" s="1"/>
  <c r="F181" i="24" s="1"/>
  <c r="U255" i="24"/>
  <c r="T255" i="24" s="1"/>
  <c r="S255" i="24" s="1"/>
  <c r="R255" i="24" s="1"/>
  <c r="P255" i="24" s="1"/>
  <c r="V255" i="24" s="1"/>
  <c r="B255" i="24" s="1"/>
  <c r="D255" i="24" s="1"/>
  <c r="E255" i="24" s="1"/>
  <c r="F255" i="24" s="1"/>
  <c r="U176" i="24"/>
  <c r="T176" i="24" s="1"/>
  <c r="S176" i="24" s="1"/>
  <c r="R176" i="24" s="1"/>
  <c r="P176" i="24" s="1"/>
  <c r="V176" i="24" s="1"/>
  <c r="B176" i="24" s="1"/>
  <c r="W176" i="24" s="1"/>
  <c r="U226" i="24"/>
  <c r="T226" i="24" s="1"/>
  <c r="S226" i="24" s="1"/>
  <c r="R226" i="24" s="1"/>
  <c r="P226" i="24" s="1"/>
  <c r="V226" i="24" s="1"/>
  <c r="B226" i="24" s="1"/>
  <c r="W226" i="24" s="1"/>
  <c r="U182" i="24"/>
  <c r="T182" i="24" s="1"/>
  <c r="S182" i="24" s="1"/>
  <c r="R182" i="24" s="1"/>
  <c r="P182" i="24" s="1"/>
  <c r="V182" i="24" s="1"/>
  <c r="B182" i="24" s="1"/>
  <c r="D182" i="24" s="1"/>
  <c r="E182" i="24" s="1"/>
  <c r="F182" i="24" s="1"/>
  <c r="U320" i="24"/>
  <c r="T320" i="24" s="1"/>
  <c r="S320" i="24" s="1"/>
  <c r="R320" i="24" s="1"/>
  <c r="P320" i="24" s="1"/>
  <c r="V320" i="24" s="1"/>
  <c r="B320" i="24" s="1"/>
  <c r="W320" i="24" s="1"/>
  <c r="U122" i="24"/>
  <c r="T122" i="24" s="1"/>
  <c r="S122" i="24" s="1"/>
  <c r="R122" i="24" s="1"/>
  <c r="P122" i="24" s="1"/>
  <c r="V122" i="24" s="1"/>
  <c r="B122" i="24" s="1"/>
  <c r="D122" i="24" s="1"/>
  <c r="E122" i="24" s="1"/>
  <c r="F122" i="24" s="1"/>
  <c r="U72" i="24"/>
  <c r="T72" i="24" s="1"/>
  <c r="S72" i="24" s="1"/>
  <c r="R72" i="24" s="1"/>
  <c r="P72" i="24" s="1"/>
  <c r="V72" i="24" s="1"/>
  <c r="B72" i="24" s="1"/>
  <c r="D72" i="24" s="1"/>
  <c r="E72" i="24" s="1"/>
  <c r="F72" i="24" s="1"/>
  <c r="U23" i="24"/>
  <c r="T23" i="24" s="1"/>
  <c r="S23" i="24" s="1"/>
  <c r="R23" i="24" s="1"/>
  <c r="P23" i="24" s="1"/>
  <c r="V23" i="24" s="1"/>
  <c r="B23" i="24" s="1"/>
  <c r="D23" i="24" s="1"/>
  <c r="E23" i="24" s="1"/>
  <c r="F23" i="24" s="1"/>
  <c r="U35" i="24"/>
  <c r="T35" i="24" s="1"/>
  <c r="S35" i="24" s="1"/>
  <c r="R35" i="24" s="1"/>
  <c r="P35" i="24" s="1"/>
  <c r="V35" i="24" s="1"/>
  <c r="B35" i="24" s="1"/>
  <c r="W35" i="24" s="1"/>
  <c r="U355" i="24"/>
  <c r="T355" i="24" s="1"/>
  <c r="S355" i="24" s="1"/>
  <c r="R355" i="24" s="1"/>
  <c r="P355" i="24" s="1"/>
  <c r="V355" i="24" s="1"/>
  <c r="B355" i="24" s="1"/>
  <c r="D355" i="24" s="1"/>
  <c r="E355" i="24" s="1"/>
  <c r="F355" i="24" s="1"/>
  <c r="U86" i="24"/>
  <c r="T86" i="24" s="1"/>
  <c r="S86" i="24" s="1"/>
  <c r="R86" i="24" s="1"/>
  <c r="P86" i="24" s="1"/>
  <c r="V86" i="24" s="1"/>
  <c r="B86" i="24" s="1"/>
  <c r="W86" i="24" s="1"/>
  <c r="U306" i="24"/>
  <c r="T306" i="24" s="1"/>
  <c r="S306" i="24" s="1"/>
  <c r="R306" i="24" s="1"/>
  <c r="P306" i="24" s="1"/>
  <c r="V306" i="24" s="1"/>
  <c r="B306" i="24" s="1"/>
  <c r="W306" i="24" s="1"/>
  <c r="U213" i="24"/>
  <c r="T213" i="24" s="1"/>
  <c r="S213" i="24" s="1"/>
  <c r="R213" i="24" s="1"/>
  <c r="P213" i="24" s="1"/>
  <c r="V213" i="24" s="1"/>
  <c r="B213" i="24" s="1"/>
  <c r="D213" i="24" s="1"/>
  <c r="E213" i="24" s="1"/>
  <c r="F213" i="24" s="1"/>
  <c r="U239" i="24"/>
  <c r="T239" i="24" s="1"/>
  <c r="S239" i="24" s="1"/>
  <c r="R239" i="24" s="1"/>
  <c r="P239" i="24" s="1"/>
  <c r="V239" i="24" s="1"/>
  <c r="B239" i="24" s="1"/>
  <c r="W239" i="24" s="1"/>
  <c r="U83" i="24"/>
  <c r="T83" i="24" s="1"/>
  <c r="S83" i="24" s="1"/>
  <c r="R83" i="24" s="1"/>
  <c r="P83" i="24" s="1"/>
  <c r="V83" i="24" s="1"/>
  <c r="B83" i="24" s="1"/>
  <c r="W83" i="24" s="1"/>
  <c r="U360" i="24"/>
  <c r="T360" i="24" s="1"/>
  <c r="S360" i="24" s="1"/>
  <c r="R360" i="24" s="1"/>
  <c r="P360" i="24" s="1"/>
  <c r="V360" i="24" s="1"/>
  <c r="B360" i="24" s="1"/>
  <c r="W360" i="24" s="1"/>
  <c r="U258" i="24"/>
  <c r="T258" i="24" s="1"/>
  <c r="S258" i="24" s="1"/>
  <c r="R258" i="24" s="1"/>
  <c r="P258" i="24" s="1"/>
  <c r="V258" i="24" s="1"/>
  <c r="B258" i="24" s="1"/>
  <c r="U294" i="24"/>
  <c r="T294" i="24" s="1"/>
  <c r="S294" i="24" s="1"/>
  <c r="R294" i="24" s="1"/>
  <c r="P294" i="24" s="1"/>
  <c r="V294" i="24" s="1"/>
  <c r="B294" i="24" s="1"/>
  <c r="W294" i="24" s="1"/>
  <c r="U321" i="24"/>
  <c r="T321" i="24" s="1"/>
  <c r="S321" i="24" s="1"/>
  <c r="R321" i="24" s="1"/>
  <c r="P321" i="24" s="1"/>
  <c r="V321" i="24" s="1"/>
  <c r="B321" i="24" s="1"/>
  <c r="W321" i="24" s="1"/>
  <c r="U151" i="24"/>
  <c r="T151" i="24" s="1"/>
  <c r="S151" i="24" s="1"/>
  <c r="R151" i="24" s="1"/>
  <c r="P151" i="24" s="1"/>
  <c r="V151" i="24" s="1"/>
  <c r="B151" i="24" s="1"/>
  <c r="W151" i="24" s="1"/>
  <c r="U287" i="24"/>
  <c r="T287" i="24" s="1"/>
  <c r="S287" i="24" s="1"/>
  <c r="R287" i="24" s="1"/>
  <c r="P287" i="24" s="1"/>
  <c r="V287" i="24" s="1"/>
  <c r="B287" i="24" s="1"/>
  <c r="W287" i="24" s="1"/>
  <c r="U228" i="24"/>
  <c r="T228" i="24" s="1"/>
  <c r="S228" i="24" s="1"/>
  <c r="R228" i="24" s="1"/>
  <c r="P228" i="24" s="1"/>
  <c r="V228" i="24" s="1"/>
  <c r="B228" i="24" s="1"/>
  <c r="W228" i="24" s="1"/>
  <c r="U373" i="24"/>
  <c r="T373" i="24" s="1"/>
  <c r="S373" i="24" s="1"/>
  <c r="R373" i="24" s="1"/>
  <c r="P373" i="24" s="1"/>
  <c r="V373" i="24" s="1"/>
  <c r="B373" i="24" s="1"/>
  <c r="D373" i="24" s="1"/>
  <c r="E373" i="24" s="1"/>
  <c r="F373" i="24" s="1"/>
  <c r="U310" i="24"/>
  <c r="T310" i="24" s="1"/>
  <c r="S310" i="24" s="1"/>
  <c r="R310" i="24" s="1"/>
  <c r="P310" i="24" s="1"/>
  <c r="V310" i="24" s="1"/>
  <c r="B310" i="24" s="1"/>
  <c r="W310" i="24" s="1"/>
  <c r="U116" i="24"/>
  <c r="T116" i="24" s="1"/>
  <c r="S116" i="24" s="1"/>
  <c r="R116" i="24" s="1"/>
  <c r="P116" i="24" s="1"/>
  <c r="V116" i="24" s="1"/>
  <c r="B116" i="24" s="1"/>
  <c r="W116" i="24" s="1"/>
  <c r="U256" i="24"/>
  <c r="T256" i="24" s="1"/>
  <c r="S256" i="24" s="1"/>
  <c r="R256" i="24" s="1"/>
  <c r="P256" i="24" s="1"/>
  <c r="V256" i="24" s="1"/>
  <c r="B256" i="24" s="1"/>
  <c r="W256" i="24" s="1"/>
  <c r="U257" i="24"/>
  <c r="T257" i="24" s="1"/>
  <c r="S257" i="24" s="1"/>
  <c r="R257" i="24" s="1"/>
  <c r="P257" i="24" s="1"/>
  <c r="V257" i="24" s="1"/>
  <c r="B257" i="24" s="1"/>
  <c r="W257" i="24" s="1"/>
  <c r="U128" i="24"/>
  <c r="T128" i="24" s="1"/>
  <c r="S128" i="24" s="1"/>
  <c r="R128" i="24" s="1"/>
  <c r="P128" i="24" s="1"/>
  <c r="V128" i="24" s="1"/>
  <c r="B128" i="24" s="1"/>
  <c r="W128" i="24" s="1"/>
  <c r="U289" i="24"/>
  <c r="T289" i="24" s="1"/>
  <c r="S289" i="24" s="1"/>
  <c r="R289" i="24" s="1"/>
  <c r="P289" i="24" s="1"/>
  <c r="V289" i="24" s="1"/>
  <c r="B289" i="24" s="1"/>
  <c r="W289" i="24" s="1"/>
  <c r="U191" i="24"/>
  <c r="T191" i="24" s="1"/>
  <c r="S191" i="24" s="1"/>
  <c r="R191" i="24" s="1"/>
  <c r="P191" i="24" s="1"/>
  <c r="V191" i="24" s="1"/>
  <c r="B191" i="24" s="1"/>
  <c r="D191" i="24" s="1"/>
  <c r="E191" i="24" s="1"/>
  <c r="F191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338" i="24"/>
  <c r="T338" i="24" s="1"/>
  <c r="S338" i="24" s="1"/>
  <c r="R338" i="24" s="1"/>
  <c r="P338" i="24" s="1"/>
  <c r="V338" i="24" s="1"/>
  <c r="B338" i="24" s="1"/>
  <c r="W338" i="24" s="1"/>
  <c r="U309" i="24"/>
  <c r="T309" i="24" s="1"/>
  <c r="S309" i="24" s="1"/>
  <c r="R309" i="24" s="1"/>
  <c r="P309" i="24" s="1"/>
  <c r="V309" i="24" s="1"/>
  <c r="B309" i="24" s="1"/>
  <c r="W309" i="24" s="1"/>
  <c r="U188" i="24"/>
  <c r="T188" i="24" s="1"/>
  <c r="S188" i="24" s="1"/>
  <c r="R188" i="24" s="1"/>
  <c r="P188" i="24" s="1"/>
  <c r="V188" i="24" s="1"/>
  <c r="B188" i="24" s="1"/>
  <c r="D188" i="24" s="1"/>
  <c r="E188" i="24" s="1"/>
  <c r="F188" i="24" s="1"/>
  <c r="U259" i="24"/>
  <c r="T259" i="24" s="1"/>
  <c r="S259" i="24" s="1"/>
  <c r="R259" i="24" s="1"/>
  <c r="P259" i="24" s="1"/>
  <c r="V259" i="24" s="1"/>
  <c r="B259" i="24" s="1"/>
  <c r="W259" i="24" s="1"/>
  <c r="U170" i="24"/>
  <c r="T170" i="24" s="1"/>
  <c r="S170" i="24" s="1"/>
  <c r="R170" i="24" s="1"/>
  <c r="P170" i="24" s="1"/>
  <c r="V170" i="24" s="1"/>
  <c r="B170" i="24" s="1"/>
  <c r="W170" i="24" s="1"/>
  <c r="U45" i="24"/>
  <c r="T45" i="24" s="1"/>
  <c r="S45" i="24" s="1"/>
  <c r="R45" i="24" s="1"/>
  <c r="P45" i="24" s="1"/>
  <c r="V45" i="24" s="1"/>
  <c r="B45" i="24" s="1"/>
  <c r="W45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78" i="24"/>
  <c r="T78" i="24" s="1"/>
  <c r="S78" i="24" s="1"/>
  <c r="R78" i="24" s="1"/>
  <c r="P78" i="24" s="1"/>
  <c r="V78" i="24" s="1"/>
  <c r="B78" i="24" s="1"/>
  <c r="D78" i="24" s="1"/>
  <c r="E78" i="24" s="1"/>
  <c r="F78" i="24" s="1"/>
  <c r="U269" i="24"/>
  <c r="T269" i="24" s="1"/>
  <c r="S269" i="24" s="1"/>
  <c r="R269" i="24" s="1"/>
  <c r="P269" i="24" s="1"/>
  <c r="V269" i="24" s="1"/>
  <c r="B269" i="24" s="1"/>
  <c r="D269" i="24" s="1"/>
  <c r="E269" i="24" s="1"/>
  <c r="F269" i="24" s="1"/>
  <c r="U19" i="24"/>
  <c r="T19" i="24" s="1"/>
  <c r="S19" i="24" s="1"/>
  <c r="R19" i="24" s="1"/>
  <c r="P19" i="24" s="1"/>
  <c r="V19" i="24" s="1"/>
  <c r="B19" i="24" s="1"/>
  <c r="D19" i="24" s="1"/>
  <c r="E19" i="24" s="1"/>
  <c r="F19" i="24" s="1"/>
  <c r="U307" i="24"/>
  <c r="T307" i="24" s="1"/>
  <c r="S307" i="24" s="1"/>
  <c r="R307" i="24" s="1"/>
  <c r="P307" i="24" s="1"/>
  <c r="V307" i="24" s="1"/>
  <c r="B307" i="24" s="1"/>
  <c r="W307" i="24" s="1"/>
  <c r="U119" i="24"/>
  <c r="T119" i="24" s="1"/>
  <c r="S119" i="24" s="1"/>
  <c r="R119" i="24" s="1"/>
  <c r="P119" i="24" s="1"/>
  <c r="AH59" i="7" s="1"/>
  <c r="U124" i="24"/>
  <c r="T124" i="24" s="1"/>
  <c r="S124" i="24" s="1"/>
  <c r="R124" i="24" s="1"/>
  <c r="P124" i="24" s="1"/>
  <c r="V124" i="24" s="1"/>
  <c r="B124" i="24" s="1"/>
  <c r="D124" i="24" s="1"/>
  <c r="E124" i="24" s="1"/>
  <c r="F124" i="24" s="1"/>
  <c r="U29" i="24"/>
  <c r="T29" i="24" s="1"/>
  <c r="S29" i="24" s="1"/>
  <c r="R29" i="24" s="1"/>
  <c r="P29" i="24" s="1"/>
  <c r="AH56" i="7" s="1"/>
  <c r="U140" i="24"/>
  <c r="T140" i="24" s="1"/>
  <c r="S140" i="24" s="1"/>
  <c r="R140" i="24" s="1"/>
  <c r="P140" i="24" s="1"/>
  <c r="V140" i="24" s="1"/>
  <c r="B140" i="24" s="1"/>
  <c r="D140" i="24" s="1"/>
  <c r="E140" i="24" s="1"/>
  <c r="F140" i="24" s="1"/>
  <c r="U235" i="24"/>
  <c r="T235" i="24" s="1"/>
  <c r="S235" i="24" s="1"/>
  <c r="R235" i="24" s="1"/>
  <c r="P235" i="24" s="1"/>
  <c r="V235" i="24" s="1"/>
  <c r="B235" i="24" s="1"/>
  <c r="D235" i="24" s="1"/>
  <c r="E235" i="24" s="1"/>
  <c r="F235" i="24" s="1"/>
  <c r="U166" i="24"/>
  <c r="T166" i="24" s="1"/>
  <c r="S166" i="24" s="1"/>
  <c r="R166" i="24" s="1"/>
  <c r="P166" i="24" s="1"/>
  <c r="V166" i="24" s="1"/>
  <c r="B166" i="24" s="1"/>
  <c r="U295" i="24"/>
  <c r="T295" i="24" s="1"/>
  <c r="S295" i="24" s="1"/>
  <c r="R295" i="24" s="1"/>
  <c r="P295" i="24" s="1"/>
  <c r="V295" i="24" s="1"/>
  <c r="B295" i="24" s="1"/>
  <c r="D295" i="24" s="1"/>
  <c r="E295" i="24" s="1"/>
  <c r="F295" i="24" s="1"/>
  <c r="U27" i="24"/>
  <c r="T27" i="24" s="1"/>
  <c r="S27" i="24" s="1"/>
  <c r="R27" i="24" s="1"/>
  <c r="P27" i="24" s="1"/>
  <c r="V27" i="24" s="1"/>
  <c r="B27" i="24" s="1"/>
  <c r="D27" i="24" s="1"/>
  <c r="E27" i="24" s="1"/>
  <c r="F27" i="24" s="1"/>
  <c r="U274" i="24"/>
  <c r="T274" i="24" s="1"/>
  <c r="S274" i="24" s="1"/>
  <c r="R274" i="24" s="1"/>
  <c r="P274" i="24" s="1"/>
  <c r="V274" i="24" s="1"/>
  <c r="B274" i="24" s="1"/>
  <c r="D274" i="24" s="1"/>
  <c r="E274" i="24" s="1"/>
  <c r="F274" i="24" s="1"/>
  <c r="U139" i="24"/>
  <c r="T139" i="24" s="1"/>
  <c r="S139" i="24" s="1"/>
  <c r="R139" i="24" s="1"/>
  <c r="P139" i="24" s="1"/>
  <c r="V139" i="24" s="1"/>
  <c r="B139" i="24" s="1"/>
  <c r="W139" i="24" s="1"/>
  <c r="U300" i="24"/>
  <c r="T300" i="24" s="1"/>
  <c r="S300" i="24" s="1"/>
  <c r="R300" i="24" s="1"/>
  <c r="P300" i="24" s="1"/>
  <c r="V300" i="24" s="1"/>
  <c r="B300" i="24" s="1"/>
  <c r="D300" i="24" s="1"/>
  <c r="E300" i="24" s="1"/>
  <c r="F300" i="24" s="1"/>
  <c r="U352" i="24"/>
  <c r="T352" i="24" s="1"/>
  <c r="S352" i="24" s="1"/>
  <c r="R352" i="24" s="1"/>
  <c r="P352" i="24" s="1"/>
  <c r="V352" i="24" s="1"/>
  <c r="B352" i="24" s="1"/>
  <c r="W352" i="24" s="1"/>
  <c r="U303" i="24"/>
  <c r="T303" i="24" s="1"/>
  <c r="S303" i="24" s="1"/>
  <c r="R303" i="24" s="1"/>
  <c r="P303" i="24" s="1"/>
  <c r="V303" i="24" s="1"/>
  <c r="B303" i="24" s="1"/>
  <c r="W303" i="24" s="1"/>
  <c r="U101" i="24"/>
  <c r="T101" i="24" s="1"/>
  <c r="S101" i="24" s="1"/>
  <c r="R101" i="24" s="1"/>
  <c r="P101" i="24" s="1"/>
  <c r="V101" i="24" s="1"/>
  <c r="B101" i="24" s="1"/>
  <c r="D101" i="24" s="1"/>
  <c r="E101" i="24" s="1"/>
  <c r="F101" i="24" s="1"/>
  <c r="U237" i="24"/>
  <c r="T237" i="24" s="1"/>
  <c r="S237" i="24" s="1"/>
  <c r="R237" i="24" s="1"/>
  <c r="P237" i="24" s="1"/>
  <c r="V237" i="24" s="1"/>
  <c r="B237" i="24" s="1"/>
  <c r="D237" i="24" s="1"/>
  <c r="E237" i="24" s="1"/>
  <c r="F237" i="24" s="1"/>
  <c r="U156" i="24"/>
  <c r="T156" i="24" s="1"/>
  <c r="S156" i="24" s="1"/>
  <c r="R156" i="24" s="1"/>
  <c r="P156" i="24" s="1"/>
  <c r="V156" i="24" s="1"/>
  <c r="B156" i="24" s="1"/>
  <c r="D156" i="24" s="1"/>
  <c r="E156" i="24" s="1"/>
  <c r="F156" i="24" s="1"/>
  <c r="U130" i="24"/>
  <c r="T130" i="24" s="1"/>
  <c r="S130" i="24" s="1"/>
  <c r="R130" i="24" s="1"/>
  <c r="P130" i="24" s="1"/>
  <c r="V130" i="24" s="1"/>
  <c r="B130" i="24" s="1"/>
  <c r="D130" i="24" s="1"/>
  <c r="E130" i="24" s="1"/>
  <c r="F130" i="24" s="1"/>
  <c r="U207" i="24"/>
  <c r="T207" i="24" s="1"/>
  <c r="S207" i="24" s="1"/>
  <c r="R207" i="24" s="1"/>
  <c r="P207" i="24" s="1"/>
  <c r="V207" i="24" s="1"/>
  <c r="B207" i="24" s="1"/>
  <c r="W207" i="24" s="1"/>
  <c r="U286" i="24"/>
  <c r="T286" i="24" s="1"/>
  <c r="S286" i="24" s="1"/>
  <c r="R286" i="24" s="1"/>
  <c r="P286" i="24" s="1"/>
  <c r="V286" i="24" s="1"/>
  <c r="B286" i="24" s="1"/>
  <c r="W286" i="24" s="1"/>
  <c r="U248" i="24"/>
  <c r="T248" i="24" s="1"/>
  <c r="S248" i="24" s="1"/>
  <c r="R248" i="24" s="1"/>
  <c r="P248" i="24" s="1"/>
  <c r="V248" i="24" s="1"/>
  <c r="B248" i="24" s="1"/>
  <c r="W248" i="24" s="1"/>
  <c r="U37" i="24"/>
  <c r="T37" i="24" s="1"/>
  <c r="S37" i="24" s="1"/>
  <c r="R37" i="24" s="1"/>
  <c r="P37" i="24" s="1"/>
  <c r="V37" i="24" s="1"/>
  <c r="B37" i="24" s="1"/>
  <c r="W37" i="24" s="1"/>
  <c r="U57" i="24"/>
  <c r="T57" i="24" s="1"/>
  <c r="S57" i="24" s="1"/>
  <c r="R57" i="24" s="1"/>
  <c r="P57" i="24" s="1"/>
  <c r="V57" i="24" s="1"/>
  <c r="B57" i="24" s="1"/>
  <c r="W57" i="24" s="1"/>
  <c r="U31" i="24"/>
  <c r="T31" i="24" s="1"/>
  <c r="S31" i="24" s="1"/>
  <c r="R31" i="24" s="1"/>
  <c r="P31" i="24" s="1"/>
  <c r="V31" i="24" s="1"/>
  <c r="B31" i="24" s="1"/>
  <c r="D31" i="24" s="1"/>
  <c r="E31" i="24" s="1"/>
  <c r="F31" i="24" s="1"/>
  <c r="U246" i="24"/>
  <c r="T246" i="24" s="1"/>
  <c r="S246" i="24" s="1"/>
  <c r="R246" i="24" s="1"/>
  <c r="P246" i="24" s="1"/>
  <c r="V246" i="24" s="1"/>
  <c r="B246" i="24" s="1"/>
  <c r="W246" i="24" s="1"/>
  <c r="U70" i="24"/>
  <c r="T70" i="24" s="1"/>
  <c r="S70" i="24" s="1"/>
  <c r="R70" i="24" s="1"/>
  <c r="P70" i="24" s="1"/>
  <c r="V70" i="24" s="1"/>
  <c r="B70" i="24" s="1"/>
  <c r="D70" i="24" s="1"/>
  <c r="E70" i="24" s="1"/>
  <c r="F70" i="24" s="1"/>
  <c r="U209" i="24"/>
  <c r="T209" i="24" s="1"/>
  <c r="S209" i="24" s="1"/>
  <c r="R209" i="24" s="1"/>
  <c r="P209" i="24" s="1"/>
  <c r="V209" i="24" s="1"/>
  <c r="B209" i="24" s="1"/>
  <c r="D209" i="24" s="1"/>
  <c r="E209" i="24" s="1"/>
  <c r="F209" i="24" s="1"/>
  <c r="U272" i="24"/>
  <c r="T272" i="24" s="1"/>
  <c r="S272" i="24" s="1"/>
  <c r="R272" i="24" s="1"/>
  <c r="P272" i="24" s="1"/>
  <c r="V272" i="24" s="1"/>
  <c r="B272" i="24" s="1"/>
  <c r="U218" i="24"/>
  <c r="T218" i="24" s="1"/>
  <c r="S218" i="24" s="1"/>
  <c r="R218" i="24" s="1"/>
  <c r="P218" i="24" s="1"/>
  <c r="V218" i="24" s="1"/>
  <c r="B218" i="24" s="1"/>
  <c r="W218" i="24" s="1"/>
  <c r="U58" i="24"/>
  <c r="T58" i="24" s="1"/>
  <c r="S58" i="24" s="1"/>
  <c r="R58" i="24" s="1"/>
  <c r="P58" i="24" s="1"/>
  <c r="V58" i="24" s="1"/>
  <c r="B58" i="24" s="1"/>
  <c r="D58" i="24" s="1"/>
  <c r="E58" i="24" s="1"/>
  <c r="F58" i="24" s="1"/>
  <c r="U56" i="24"/>
  <c r="T56" i="24" s="1"/>
  <c r="S56" i="24" s="1"/>
  <c r="R56" i="24" s="1"/>
  <c r="P56" i="24" s="1"/>
  <c r="V56" i="24" s="1"/>
  <c r="B56" i="24" s="1"/>
  <c r="W56" i="24" s="1"/>
  <c r="U21" i="24"/>
  <c r="T21" i="24" s="1"/>
  <c r="S21" i="24" s="1"/>
  <c r="R21" i="24" s="1"/>
  <c r="P21" i="24" s="1"/>
  <c r="V21" i="24" s="1"/>
  <c r="B21" i="24" s="1"/>
  <c r="D21" i="24" s="1"/>
  <c r="E21" i="24" s="1"/>
  <c r="F21" i="24" s="1"/>
  <c r="U331" i="24"/>
  <c r="T331" i="24" s="1"/>
  <c r="S331" i="24" s="1"/>
  <c r="R331" i="24" s="1"/>
  <c r="P331" i="24" s="1"/>
  <c r="V331" i="24" s="1"/>
  <c r="B331" i="24" s="1"/>
  <c r="W331" i="24" s="1"/>
  <c r="U147" i="24"/>
  <c r="T147" i="24" s="1"/>
  <c r="S147" i="24" s="1"/>
  <c r="R147" i="24" s="1"/>
  <c r="P147" i="24" s="1"/>
  <c r="V147" i="24" s="1"/>
  <c r="B147" i="24" s="1"/>
  <c r="W147" i="24" s="1"/>
  <c r="U168" i="24"/>
  <c r="T168" i="24" s="1"/>
  <c r="S168" i="24" s="1"/>
  <c r="R168" i="24" s="1"/>
  <c r="P168" i="24" s="1"/>
  <c r="V168" i="24" s="1"/>
  <c r="B168" i="24" s="1"/>
  <c r="D168" i="24" s="1"/>
  <c r="E168" i="24" s="1"/>
  <c r="F168" i="24" s="1"/>
  <c r="U165" i="24"/>
  <c r="T165" i="24" s="1"/>
  <c r="S165" i="24" s="1"/>
  <c r="R165" i="24" s="1"/>
  <c r="P165" i="24" s="1"/>
  <c r="V165" i="24" s="1"/>
  <c r="B165" i="24" s="1"/>
  <c r="D165" i="24" s="1"/>
  <c r="E165" i="24" s="1"/>
  <c r="F165" i="24" s="1"/>
  <c r="U281" i="24"/>
  <c r="T281" i="24" s="1"/>
  <c r="S281" i="24" s="1"/>
  <c r="R281" i="24" s="1"/>
  <c r="P281" i="24" s="1"/>
  <c r="V281" i="24" s="1"/>
  <c r="B281" i="24" s="1"/>
  <c r="W281" i="24" s="1"/>
  <c r="U80" i="24"/>
  <c r="T80" i="24" s="1"/>
  <c r="S80" i="24" s="1"/>
  <c r="R80" i="24" s="1"/>
  <c r="P80" i="24" s="1"/>
  <c r="V80" i="24" s="1"/>
  <c r="B80" i="24" s="1"/>
  <c r="D80" i="24" s="1"/>
  <c r="E80" i="24" s="1"/>
  <c r="F80" i="24" s="1"/>
  <c r="U328" i="24"/>
  <c r="T328" i="24" s="1"/>
  <c r="S328" i="24" s="1"/>
  <c r="R328" i="24" s="1"/>
  <c r="P328" i="24" s="1"/>
  <c r="V328" i="24" s="1"/>
  <c r="B328" i="24" s="1"/>
  <c r="W328" i="24" s="1"/>
  <c r="J40" i="23"/>
  <c r="J281" i="23"/>
  <c r="I142" i="23"/>
  <c r="J236" i="23"/>
  <c r="I261" i="23"/>
  <c r="J350" i="23"/>
  <c r="I200" i="23"/>
  <c r="J116" i="23"/>
  <c r="I344" i="23"/>
  <c r="J310" i="23"/>
  <c r="I279" i="23"/>
  <c r="J274" i="23"/>
  <c r="I274" i="23"/>
  <c r="J135" i="23"/>
  <c r="J219" i="23"/>
  <c r="I219" i="23"/>
  <c r="I215" i="23"/>
  <c r="J215" i="23"/>
  <c r="J356" i="23"/>
  <c r="I356" i="23"/>
  <c r="I117" i="23"/>
  <c r="J117" i="23"/>
  <c r="I368" i="23"/>
  <c r="J368" i="23"/>
  <c r="J181" i="23"/>
  <c r="I181" i="23"/>
  <c r="J156" i="23"/>
  <c r="I156" i="23"/>
  <c r="J324" i="23"/>
  <c r="I324" i="23"/>
  <c r="J173" i="23"/>
  <c r="I173" i="23"/>
  <c r="I364" i="23"/>
  <c r="J364" i="23"/>
  <c r="J32" i="23"/>
  <c r="I32" i="23"/>
  <c r="J193" i="23"/>
  <c r="I193" i="23"/>
  <c r="I198" i="23"/>
  <c r="J198" i="23"/>
  <c r="I328" i="23"/>
  <c r="J328" i="23"/>
  <c r="J254" i="23"/>
  <c r="I254" i="23"/>
  <c r="I222" i="23"/>
  <c r="J222" i="23"/>
  <c r="I213" i="23"/>
  <c r="J213" i="23"/>
  <c r="I373" i="23"/>
  <c r="J373" i="23"/>
  <c r="J166" i="23"/>
  <c r="I166" i="23"/>
  <c r="J260" i="23"/>
  <c r="I260" i="23"/>
  <c r="I287" i="23"/>
  <c r="J287" i="23"/>
  <c r="I94" i="23"/>
  <c r="J94" i="23"/>
  <c r="I265" i="23"/>
  <c r="J265" i="23"/>
  <c r="J53" i="23"/>
  <c r="I53" i="23"/>
  <c r="I348" i="23"/>
  <c r="J348" i="23"/>
  <c r="I69" i="23"/>
  <c r="J69" i="23"/>
  <c r="J90" i="23"/>
  <c r="I90" i="23"/>
  <c r="I52" i="23"/>
  <c r="J52" i="23"/>
  <c r="I97" i="23"/>
  <c r="J97" i="23"/>
  <c r="I294" i="23"/>
  <c r="J294" i="23"/>
  <c r="I167" i="23"/>
  <c r="J167" i="23"/>
  <c r="I230" i="23"/>
  <c r="J230" i="23"/>
  <c r="J43" i="23"/>
  <c r="I43" i="23"/>
  <c r="I37" i="23"/>
  <c r="J37" i="23"/>
  <c r="J139" i="23"/>
  <c r="I139" i="23"/>
  <c r="I339" i="23"/>
  <c r="J339" i="23"/>
  <c r="I224" i="23"/>
  <c r="J224" i="23"/>
  <c r="I264" i="23"/>
  <c r="J264" i="23"/>
  <c r="J332" i="23"/>
  <c r="I332" i="23"/>
  <c r="I207" i="23"/>
  <c r="J207" i="23"/>
  <c r="I185" i="23"/>
  <c r="J185" i="23"/>
  <c r="J145" i="23"/>
  <c r="I145" i="23"/>
  <c r="I237" i="23"/>
  <c r="J237" i="23"/>
  <c r="J122" i="23"/>
  <c r="I122" i="23"/>
  <c r="J283" i="23"/>
  <c r="I283" i="23"/>
  <c r="I87" i="23"/>
  <c r="J87" i="23"/>
  <c r="J292" i="23"/>
  <c r="I292" i="23"/>
  <c r="J165" i="23"/>
  <c r="I165" i="23"/>
  <c r="I247" i="23"/>
  <c r="J247" i="23"/>
  <c r="J80" i="23"/>
  <c r="I80" i="23"/>
  <c r="J23" i="23"/>
  <c r="I23" i="23"/>
  <c r="J269" i="23"/>
  <c r="I269" i="23"/>
  <c r="J164" i="23"/>
  <c r="I164" i="23"/>
  <c r="I159" i="23"/>
  <c r="J159" i="23"/>
  <c r="I128" i="23"/>
  <c r="J128" i="23"/>
  <c r="I366" i="23"/>
  <c r="J366" i="23"/>
  <c r="S381" i="23"/>
  <c r="R15" i="23"/>
  <c r="S383" i="23"/>
  <c r="S382" i="23"/>
  <c r="J131" i="23"/>
  <c r="I131" i="23"/>
  <c r="I93" i="23"/>
  <c r="J93" i="23"/>
  <c r="I370" i="23"/>
  <c r="J370" i="23"/>
  <c r="W333" i="23"/>
  <c r="D333" i="23"/>
  <c r="E333" i="23" s="1"/>
  <c r="F333" i="23" s="1"/>
  <c r="W210" i="23"/>
  <c r="D210" i="23"/>
  <c r="E210" i="23" s="1"/>
  <c r="F210" i="23" s="1"/>
  <c r="W302" i="23"/>
  <c r="D302" i="23"/>
  <c r="E302" i="23" s="1"/>
  <c r="F302" i="23" s="1"/>
  <c r="J108" i="23"/>
  <c r="I108" i="23"/>
  <c r="I298" i="23"/>
  <c r="J298" i="23"/>
  <c r="J203" i="23"/>
  <c r="I203" i="23"/>
  <c r="J220" i="23"/>
  <c r="I220" i="23"/>
  <c r="I331" i="23"/>
  <c r="J331" i="23"/>
  <c r="J291" i="23"/>
  <c r="I291" i="23"/>
  <c r="D88" i="23"/>
  <c r="E88" i="23" s="1"/>
  <c r="F88" i="23" s="1"/>
  <c r="W88" i="23"/>
  <c r="D149" i="23"/>
  <c r="E149" i="23" s="1"/>
  <c r="F149" i="23" s="1"/>
  <c r="W149" i="23"/>
  <c r="D119" i="23"/>
  <c r="E119" i="23" s="1"/>
  <c r="F119" i="23" s="1"/>
  <c r="H119" i="23" s="1"/>
  <c r="I119" i="23" s="1"/>
  <c r="W119" i="23"/>
  <c r="I371" i="23"/>
  <c r="J371" i="23"/>
  <c r="J188" i="23"/>
  <c r="I188" i="23"/>
  <c r="I176" i="23"/>
  <c r="J176" i="23"/>
  <c r="J189" i="23"/>
  <c r="I189" i="23"/>
  <c r="J47" i="23"/>
  <c r="I47" i="23"/>
  <c r="I76" i="23"/>
  <c r="J76" i="23"/>
  <c r="I190" i="23"/>
  <c r="J190" i="23"/>
  <c r="I365" i="23"/>
  <c r="J365" i="23"/>
  <c r="J72" i="23"/>
  <c r="I72" i="23"/>
  <c r="J335" i="23"/>
  <c r="I335" i="23"/>
  <c r="J259" i="23"/>
  <c r="I259" i="23"/>
  <c r="I360" i="23"/>
  <c r="J360" i="23"/>
  <c r="J309" i="23"/>
  <c r="I309" i="23"/>
  <c r="I155" i="23"/>
  <c r="J155" i="23"/>
  <c r="I71" i="23"/>
  <c r="J71" i="23"/>
  <c r="J296" i="23"/>
  <c r="I296" i="23"/>
  <c r="I125" i="23"/>
  <c r="J125" i="23"/>
  <c r="J282" i="23"/>
  <c r="I282" i="23"/>
  <c r="J211" i="23"/>
  <c r="I211" i="23"/>
  <c r="J65" i="23"/>
  <c r="I65" i="23"/>
  <c r="J59" i="23"/>
  <c r="I59" i="23"/>
  <c r="I377" i="23"/>
  <c r="J377" i="23"/>
  <c r="J179" i="23"/>
  <c r="I179" i="23"/>
  <c r="J127" i="23"/>
  <c r="I127" i="23"/>
  <c r="J75" i="23"/>
  <c r="I75" i="23"/>
  <c r="J81" i="23"/>
  <c r="I81" i="23"/>
  <c r="J17" i="23"/>
  <c r="I17" i="23"/>
  <c r="I229" i="23"/>
  <c r="J229" i="23"/>
  <c r="J140" i="23"/>
  <c r="I140" i="23"/>
  <c r="J338" i="23"/>
  <c r="I338" i="23"/>
  <c r="I146" i="23"/>
  <c r="J146" i="23"/>
  <c r="J42" i="23"/>
  <c r="I42" i="23"/>
  <c r="J121" i="23"/>
  <c r="I121" i="23"/>
  <c r="J233" i="23"/>
  <c r="I233" i="23"/>
  <c r="I270" i="23"/>
  <c r="J270" i="23"/>
  <c r="J355" i="23"/>
  <c r="I355" i="23"/>
  <c r="J153" i="23"/>
  <c r="I153" i="23"/>
  <c r="J120" i="23"/>
  <c r="I120" i="23"/>
  <c r="J126" i="23"/>
  <c r="I126" i="23"/>
  <c r="I50" i="23"/>
  <c r="J50" i="23"/>
  <c r="I369" i="23"/>
  <c r="J369" i="23"/>
  <c r="I169" i="23"/>
  <c r="J169" i="23"/>
  <c r="I124" i="23"/>
  <c r="J124" i="23"/>
  <c r="J28" i="23"/>
  <c r="I28" i="23"/>
  <c r="J92" i="23"/>
  <c r="I92" i="23"/>
  <c r="I320" i="23"/>
  <c r="J320" i="23"/>
  <c r="I48" i="23"/>
  <c r="J48" i="23"/>
  <c r="J24" i="23"/>
  <c r="I24" i="23"/>
  <c r="J347" i="23"/>
  <c r="I347" i="23"/>
  <c r="I154" i="23"/>
  <c r="J154" i="23"/>
  <c r="J232" i="23"/>
  <c r="I232" i="23"/>
  <c r="I157" i="23"/>
  <c r="J157" i="23"/>
  <c r="I118" i="23"/>
  <c r="J118" i="23"/>
  <c r="I186" i="23"/>
  <c r="J186" i="23"/>
  <c r="I138" i="23"/>
  <c r="J138" i="23"/>
  <c r="J217" i="23"/>
  <c r="I217" i="23"/>
  <c r="I46" i="23"/>
  <c r="J46" i="23"/>
  <c r="J68" i="23"/>
  <c r="I68" i="23"/>
  <c r="I41" i="23"/>
  <c r="J41" i="23"/>
  <c r="I101" i="23"/>
  <c r="J101" i="23"/>
  <c r="I367" i="23"/>
  <c r="J367" i="23"/>
  <c r="I163" i="23"/>
  <c r="J163" i="23"/>
  <c r="J231" i="23"/>
  <c r="I231" i="23"/>
  <c r="I336" i="23"/>
  <c r="J336" i="23"/>
  <c r="I105" i="23"/>
  <c r="J105" i="23"/>
  <c r="I182" i="23"/>
  <c r="J182" i="23"/>
  <c r="I216" i="23"/>
  <c r="J216" i="23"/>
  <c r="I313" i="23"/>
  <c r="J313" i="23"/>
  <c r="J362" i="23"/>
  <c r="I362" i="23"/>
  <c r="I304" i="23"/>
  <c r="J304" i="23"/>
  <c r="I375" i="23"/>
  <c r="J375" i="23"/>
  <c r="I334" i="23"/>
  <c r="J334" i="23"/>
  <c r="I245" i="23"/>
  <c r="J245" i="23"/>
  <c r="J78" i="23"/>
  <c r="I78" i="23"/>
  <c r="J293" i="23"/>
  <c r="I293" i="23"/>
  <c r="J361" i="23"/>
  <c r="I361" i="23"/>
  <c r="I148" i="23"/>
  <c r="J148" i="23"/>
  <c r="I18" i="23"/>
  <c r="J18" i="23"/>
  <c r="J129" i="23"/>
  <c r="I129" i="23"/>
  <c r="J136" i="23"/>
  <c r="I136" i="23"/>
  <c r="I177" i="23"/>
  <c r="J177" i="23"/>
  <c r="J152" i="23"/>
  <c r="I152" i="23"/>
  <c r="J354" i="23"/>
  <c r="I354" i="23"/>
  <c r="I315" i="23"/>
  <c r="J315" i="23"/>
  <c r="I322" i="23"/>
  <c r="J322" i="23"/>
  <c r="I312" i="23"/>
  <c r="J312" i="23"/>
  <c r="J197" i="23"/>
  <c r="I197" i="23"/>
  <c r="I58" i="23"/>
  <c r="J58" i="23"/>
  <c r="I209" i="23"/>
  <c r="J209" i="23"/>
  <c r="I57" i="23"/>
  <c r="J57" i="23"/>
  <c r="I36" i="23"/>
  <c r="J36" i="23"/>
  <c r="J195" i="23"/>
  <c r="I195" i="23"/>
  <c r="J168" i="23"/>
  <c r="I168" i="23"/>
  <c r="I297" i="23"/>
  <c r="J297" i="23"/>
  <c r="J275" i="23"/>
  <c r="I275" i="23"/>
  <c r="J357" i="23"/>
  <c r="I357" i="23"/>
  <c r="J130" i="23"/>
  <c r="I130" i="23"/>
  <c r="I221" i="23"/>
  <c r="J221" i="23"/>
  <c r="J251" i="23"/>
  <c r="I251" i="23"/>
  <c r="J214" i="23"/>
  <c r="I214" i="23"/>
  <c r="J114" i="23"/>
  <c r="I114" i="23"/>
  <c r="I306" i="23"/>
  <c r="J306" i="23"/>
  <c r="I64" i="23"/>
  <c r="J64" i="23"/>
  <c r="I144" i="23"/>
  <c r="J144" i="23"/>
  <c r="I174" i="23"/>
  <c r="J174" i="23"/>
  <c r="I73" i="23"/>
  <c r="J73" i="23"/>
  <c r="J318" i="23"/>
  <c r="I318" i="23"/>
  <c r="I123" i="23"/>
  <c r="J123" i="23"/>
  <c r="I158" i="23"/>
  <c r="J158" i="23"/>
  <c r="J358" i="23"/>
  <c r="I358" i="23"/>
  <c r="I112" i="23"/>
  <c r="J112" i="23"/>
  <c r="I30" i="23"/>
  <c r="J30" i="23"/>
  <c r="I175" i="23"/>
  <c r="J175" i="23"/>
  <c r="I329" i="23"/>
  <c r="J329" i="23"/>
  <c r="I308" i="23"/>
  <c r="J308" i="23"/>
  <c r="I192" i="23"/>
  <c r="J192" i="23"/>
  <c r="D241" i="23"/>
  <c r="E241" i="23" s="1"/>
  <c r="F241" i="23" s="1"/>
  <c r="W241" i="23"/>
  <c r="I266" i="23"/>
  <c r="J266" i="23"/>
  <c r="J353" i="23"/>
  <c r="I353" i="23"/>
  <c r="I95" i="23"/>
  <c r="J95" i="23"/>
  <c r="J178" i="23"/>
  <c r="I178" i="23"/>
  <c r="I337" i="23"/>
  <c r="J337" i="23"/>
  <c r="J359" i="23"/>
  <c r="I359" i="23"/>
  <c r="I249" i="23"/>
  <c r="J249" i="23"/>
  <c r="J171" i="23"/>
  <c r="I171" i="23"/>
  <c r="I351" i="23"/>
  <c r="J351" i="23"/>
  <c r="I104" i="23"/>
  <c r="J104" i="23"/>
  <c r="I161" i="23"/>
  <c r="J161" i="23"/>
  <c r="I106" i="23"/>
  <c r="J106" i="23"/>
  <c r="J305" i="23"/>
  <c r="I305" i="23"/>
  <c r="I343" i="23"/>
  <c r="J343" i="23"/>
  <c r="I49" i="23"/>
  <c r="J49" i="23"/>
  <c r="J96" i="23"/>
  <c r="I96" i="23"/>
  <c r="I21" i="23"/>
  <c r="J21" i="23"/>
  <c r="J252" i="23"/>
  <c r="I252" i="23"/>
  <c r="I83" i="23"/>
  <c r="J83" i="23"/>
  <c r="I208" i="23"/>
  <c r="J208" i="23"/>
  <c r="I228" i="23"/>
  <c r="J228" i="23"/>
  <c r="I143" i="23"/>
  <c r="J143" i="23"/>
  <c r="J44" i="23"/>
  <c r="I44" i="23"/>
  <c r="I150" i="23"/>
  <c r="J150" i="23"/>
  <c r="I299" i="23"/>
  <c r="J299" i="23"/>
  <c r="I311" i="23"/>
  <c r="J311" i="23"/>
  <c r="I86" i="23"/>
  <c r="J86" i="23"/>
  <c r="I70" i="23"/>
  <c r="J70" i="23"/>
  <c r="I285" i="23"/>
  <c r="J285" i="23"/>
  <c r="J141" i="23"/>
  <c r="I141" i="23"/>
  <c r="J321" i="23"/>
  <c r="I321" i="23"/>
  <c r="J345" i="23"/>
  <c r="I345" i="23"/>
  <c r="J110" i="23"/>
  <c r="I110" i="23"/>
  <c r="J323" i="23"/>
  <c r="I323" i="23"/>
  <c r="J271" i="23"/>
  <c r="I271" i="23"/>
  <c r="J98" i="23"/>
  <c r="I98" i="23"/>
  <c r="I256" i="23"/>
  <c r="J256" i="23"/>
  <c r="J133" i="23"/>
  <c r="I133" i="23"/>
  <c r="I39" i="23"/>
  <c r="J39" i="23"/>
  <c r="J246" i="23"/>
  <c r="I246" i="23"/>
  <c r="J243" i="23"/>
  <c r="I243" i="23"/>
  <c r="J33" i="23"/>
  <c r="I33" i="23"/>
  <c r="I147" i="23"/>
  <c r="J147" i="23"/>
  <c r="J67" i="23"/>
  <c r="I67" i="23"/>
  <c r="I239" i="23"/>
  <c r="J239" i="23"/>
  <c r="J85" i="23"/>
  <c r="I85" i="23"/>
  <c r="W180" i="23"/>
  <c r="D180" i="23"/>
  <c r="E180" i="23" s="1"/>
  <c r="F180" i="23" s="1"/>
  <c r="D363" i="23"/>
  <c r="E363" i="23" s="1"/>
  <c r="F363" i="23" s="1"/>
  <c r="W363" i="23"/>
  <c r="I91" i="23"/>
  <c r="J91" i="23"/>
  <c r="I316" i="23"/>
  <c r="J316" i="23"/>
  <c r="I290" i="23"/>
  <c r="J290" i="23"/>
  <c r="J107" i="23"/>
  <c r="I107" i="23"/>
  <c r="J378" i="23"/>
  <c r="I378" i="23"/>
  <c r="D272" i="23"/>
  <c r="E272" i="23" s="1"/>
  <c r="F272" i="23" s="1"/>
  <c r="W272" i="23"/>
  <c r="I380" i="23"/>
  <c r="H380" i="24" s="1"/>
  <c r="J380" i="23"/>
  <c r="V381" i="22"/>
  <c r="B67" i="19"/>
  <c r="N67" i="19" s="1"/>
  <c r="B15" i="22"/>
  <c r="AJ5" i="22" s="1"/>
  <c r="V382" i="22"/>
  <c r="V383" i="22"/>
  <c r="AJ7" i="20"/>
  <c r="D381" i="20"/>
  <c r="E15" i="20"/>
  <c r="D9" i="20"/>
  <c r="D11" i="20" s="1"/>
  <c r="D383" i="20"/>
  <c r="AJ8" i="20"/>
  <c r="D382" i="20"/>
  <c r="BE15" i="7"/>
  <c r="Q10" i="25"/>
  <c r="Q41" i="25" s="1"/>
  <c r="Q130" i="25"/>
  <c r="Q358" i="25"/>
  <c r="Q127" i="25"/>
  <c r="Q375" i="25"/>
  <c r="Q149" i="25"/>
  <c r="AG71" i="24"/>
  <c r="AF71" i="24" s="1"/>
  <c r="AD71" i="24" s="1"/>
  <c r="AG41" i="24"/>
  <c r="AF41" i="24" s="1"/>
  <c r="AD41" i="24" s="1"/>
  <c r="AG43" i="24"/>
  <c r="AF43" i="24" s="1"/>
  <c r="AD43" i="24" s="1"/>
  <c r="AG47" i="24"/>
  <c r="AF47" i="24" s="1"/>
  <c r="AD47" i="24" s="1"/>
  <c r="AG35" i="24"/>
  <c r="AF35" i="24" s="1"/>
  <c r="AD35" i="24" s="1"/>
  <c r="AG75" i="24"/>
  <c r="AF75" i="24" s="1"/>
  <c r="AD75" i="24" s="1"/>
  <c r="AG49" i="24"/>
  <c r="AF49" i="24" s="1"/>
  <c r="AD49" i="24" s="1"/>
  <c r="AG94" i="24"/>
  <c r="AF94" i="24" s="1"/>
  <c r="AD94" i="24" s="1"/>
  <c r="AG82" i="24"/>
  <c r="AF82" i="24" s="1"/>
  <c r="AD82" i="24" s="1"/>
  <c r="AG58" i="24"/>
  <c r="AF58" i="24" s="1"/>
  <c r="AD58" i="24" s="1"/>
  <c r="AG101" i="24"/>
  <c r="AF101" i="24" s="1"/>
  <c r="AD101" i="24" s="1"/>
  <c r="AG85" i="24"/>
  <c r="AF85" i="24" s="1"/>
  <c r="AD85" i="24" s="1"/>
  <c r="AG96" i="24"/>
  <c r="AF96" i="24" s="1"/>
  <c r="AD96" i="24" s="1"/>
  <c r="AG57" i="24"/>
  <c r="AF57" i="24" s="1"/>
  <c r="AD57" i="24" s="1"/>
  <c r="AG70" i="24"/>
  <c r="AF70" i="24" s="1"/>
  <c r="AD70" i="24" s="1"/>
  <c r="AG40" i="24"/>
  <c r="AF40" i="24" s="1"/>
  <c r="AD40" i="24" s="1"/>
  <c r="AG80" i="24"/>
  <c r="AF80" i="24" s="1"/>
  <c r="AD80" i="24" s="1"/>
  <c r="AG81" i="24"/>
  <c r="AF81" i="24" s="1"/>
  <c r="AD81" i="24" s="1"/>
  <c r="AG37" i="24"/>
  <c r="AF37" i="24" s="1"/>
  <c r="AD37" i="24" s="1"/>
  <c r="AG39" i="24"/>
  <c r="AF39" i="24" s="1"/>
  <c r="AD39" i="24" s="1"/>
  <c r="AG102" i="24"/>
  <c r="AF102" i="24" s="1"/>
  <c r="AD102" i="24" s="1"/>
  <c r="AG60" i="24"/>
  <c r="AF60" i="24" s="1"/>
  <c r="AD60" i="24" s="1"/>
  <c r="AG69" i="24"/>
  <c r="AF69" i="24" s="1"/>
  <c r="AD69" i="24" s="1"/>
  <c r="AG91" i="24"/>
  <c r="AF91" i="24" s="1"/>
  <c r="AD91" i="24" s="1"/>
  <c r="AG29" i="24"/>
  <c r="AF29" i="24" s="1"/>
  <c r="AD29" i="24" s="1"/>
  <c r="AG16" i="24"/>
  <c r="AF16" i="24" s="1"/>
  <c r="AD16" i="24" s="1"/>
  <c r="AG76" i="24"/>
  <c r="AF76" i="24" s="1"/>
  <c r="AD76" i="24" s="1"/>
  <c r="AG45" i="24"/>
  <c r="AF45" i="24" s="1"/>
  <c r="AD45" i="24" s="1"/>
  <c r="AG83" i="24"/>
  <c r="AF83" i="24" s="1"/>
  <c r="AD83" i="24" s="1"/>
  <c r="AG99" i="24"/>
  <c r="AF99" i="24" s="1"/>
  <c r="AD99" i="24" s="1"/>
  <c r="AD382" i="22"/>
  <c r="AD383" i="22"/>
  <c r="AD381" i="22"/>
  <c r="F382" i="18"/>
  <c r="AA15" i="18"/>
  <c r="AL9" i="18" s="1"/>
  <c r="G15" i="18"/>
  <c r="CA15" i="6" s="1"/>
  <c r="F381" i="18"/>
  <c r="F383" i="18"/>
  <c r="AK10" i="18"/>
  <c r="AK12" i="18" s="1"/>
  <c r="AK13" i="18" s="1"/>
  <c r="AM10" i="18"/>
  <c r="F9" i="18"/>
  <c r="H15" i="18"/>
  <c r="AG383" i="23"/>
  <c r="AF15" i="23"/>
  <c r="AG381" i="23"/>
  <c r="AG382" i="23"/>
  <c r="AG98" i="24"/>
  <c r="AF98" i="24" s="1"/>
  <c r="AD98" i="24" s="1"/>
  <c r="AG22" i="24"/>
  <c r="AF22" i="24" s="1"/>
  <c r="AD22" i="24" s="1"/>
  <c r="AG93" i="24"/>
  <c r="AF93" i="24" s="1"/>
  <c r="AD93" i="24" s="1"/>
  <c r="AG27" i="24"/>
  <c r="AF27" i="24" s="1"/>
  <c r="AD27" i="24" s="1"/>
  <c r="AG61" i="24"/>
  <c r="AF61" i="24" s="1"/>
  <c r="AD61" i="24" s="1"/>
  <c r="AG28" i="24"/>
  <c r="AF28" i="24" s="1"/>
  <c r="AD28" i="24" s="1"/>
  <c r="AG100" i="24"/>
  <c r="AF100" i="24" s="1"/>
  <c r="AD100" i="24" s="1"/>
  <c r="AG66" i="24"/>
  <c r="AF66" i="24" s="1"/>
  <c r="AD66" i="24" s="1"/>
  <c r="AG21" i="24"/>
  <c r="AF21" i="24" s="1"/>
  <c r="AD21" i="24" s="1"/>
  <c r="AG23" i="24"/>
  <c r="AF23" i="24" s="1"/>
  <c r="AD23" i="24" s="1"/>
  <c r="AG79" i="24"/>
  <c r="AF79" i="24" s="1"/>
  <c r="AD79" i="24" s="1"/>
  <c r="AI11" i="25"/>
  <c r="AG336" i="24"/>
  <c r="AF336" i="24" s="1"/>
  <c r="AD336" i="24" s="1"/>
  <c r="AG249" i="24"/>
  <c r="AF249" i="24" s="1"/>
  <c r="AD249" i="24" s="1"/>
  <c r="AG158" i="24"/>
  <c r="AF158" i="24" s="1"/>
  <c r="AD158" i="24" s="1"/>
  <c r="AG151" i="24"/>
  <c r="AF151" i="24" s="1"/>
  <c r="AD151" i="24" s="1"/>
  <c r="AG198" i="24"/>
  <c r="AF198" i="24" s="1"/>
  <c r="AD198" i="24" s="1"/>
  <c r="AG168" i="24"/>
  <c r="AF168" i="24" s="1"/>
  <c r="AD168" i="24" s="1"/>
  <c r="AG287" i="24"/>
  <c r="AF287" i="24" s="1"/>
  <c r="AD287" i="24" s="1"/>
  <c r="AG266" i="24"/>
  <c r="AF266" i="24" s="1"/>
  <c r="AD266" i="24" s="1"/>
  <c r="AG127" i="24"/>
  <c r="AF127" i="24" s="1"/>
  <c r="AD127" i="24" s="1"/>
  <c r="AG311" i="24"/>
  <c r="AF311" i="24" s="1"/>
  <c r="AD311" i="24" s="1"/>
  <c r="AG169" i="24"/>
  <c r="AF169" i="24" s="1"/>
  <c r="AD169" i="24" s="1"/>
  <c r="AG165" i="24"/>
  <c r="AF165" i="24" s="1"/>
  <c r="AD165" i="24" s="1"/>
  <c r="AG265" i="24"/>
  <c r="AF265" i="24" s="1"/>
  <c r="AD265" i="24" s="1"/>
  <c r="AG143" i="24"/>
  <c r="AF143" i="24" s="1"/>
  <c r="AD143" i="24" s="1"/>
  <c r="AG327" i="24"/>
  <c r="AF327" i="24" s="1"/>
  <c r="AD327" i="24" s="1"/>
  <c r="AG119" i="24"/>
  <c r="AF119" i="24" s="1"/>
  <c r="AD119" i="24" s="1"/>
  <c r="AG362" i="24"/>
  <c r="AF362" i="24" s="1"/>
  <c r="AD362" i="24" s="1"/>
  <c r="AG257" i="24"/>
  <c r="AF257" i="24" s="1"/>
  <c r="AD257" i="24" s="1"/>
  <c r="AG349" i="24"/>
  <c r="AF349" i="24" s="1"/>
  <c r="AD349" i="24" s="1"/>
  <c r="AG292" i="24"/>
  <c r="AF292" i="24" s="1"/>
  <c r="AD292" i="24" s="1"/>
  <c r="AG344" i="24"/>
  <c r="AF344" i="24" s="1"/>
  <c r="AD344" i="24" s="1"/>
  <c r="AG230" i="24"/>
  <c r="AF230" i="24" s="1"/>
  <c r="AD230" i="24" s="1"/>
  <c r="AG154" i="24"/>
  <c r="AF154" i="24" s="1"/>
  <c r="AD154" i="24" s="1"/>
  <c r="AG268" i="24"/>
  <c r="AF268" i="24" s="1"/>
  <c r="AD268" i="24" s="1"/>
  <c r="AG243" i="24"/>
  <c r="AF243" i="24" s="1"/>
  <c r="AD243" i="24" s="1"/>
  <c r="AG363" i="24"/>
  <c r="AF363" i="24" s="1"/>
  <c r="AD363" i="24" s="1"/>
  <c r="AG369" i="24"/>
  <c r="AF369" i="24" s="1"/>
  <c r="AD369" i="24" s="1"/>
  <c r="AG199" i="24"/>
  <c r="AF199" i="24" s="1"/>
  <c r="AD199" i="24" s="1"/>
  <c r="AG215" i="24"/>
  <c r="AF215" i="24" s="1"/>
  <c r="AD215" i="24" s="1"/>
  <c r="AG219" i="24"/>
  <c r="AF219" i="24" s="1"/>
  <c r="AD219" i="24" s="1"/>
  <c r="AG116" i="24"/>
  <c r="AF116" i="24" s="1"/>
  <c r="AD116" i="24" s="1"/>
  <c r="AG122" i="24"/>
  <c r="AF122" i="24" s="1"/>
  <c r="AD122" i="24" s="1"/>
  <c r="AG179" i="24"/>
  <c r="AF179" i="24" s="1"/>
  <c r="AD179" i="24" s="1"/>
  <c r="AG312" i="24"/>
  <c r="AF312" i="24" s="1"/>
  <c r="AD312" i="24" s="1"/>
  <c r="AG346" i="24"/>
  <c r="AF346" i="24" s="1"/>
  <c r="AD346" i="24" s="1"/>
  <c r="AG173" i="24"/>
  <c r="AF173" i="24" s="1"/>
  <c r="AD173" i="24" s="1"/>
  <c r="AG184" i="24"/>
  <c r="AF184" i="24" s="1"/>
  <c r="AD184" i="24" s="1"/>
  <c r="AG146" i="24"/>
  <c r="AF146" i="24" s="1"/>
  <c r="AD146" i="24" s="1"/>
  <c r="AG261" i="24"/>
  <c r="AF261" i="24" s="1"/>
  <c r="AD261" i="24" s="1"/>
  <c r="AG237" i="24"/>
  <c r="AF237" i="24" s="1"/>
  <c r="AD237" i="24" s="1"/>
  <c r="AG295" i="24"/>
  <c r="AF295" i="24" s="1"/>
  <c r="AD295" i="24" s="1"/>
  <c r="AI12" i="25"/>
  <c r="AG297" i="24"/>
  <c r="AF297" i="24" s="1"/>
  <c r="AD297" i="24" s="1"/>
  <c r="AG195" i="24"/>
  <c r="AF195" i="24" s="1"/>
  <c r="AD195" i="24" s="1"/>
  <c r="AH104" i="24"/>
  <c r="AG131" i="24"/>
  <c r="AF131" i="24" s="1"/>
  <c r="AD131" i="24" s="1"/>
  <c r="AG368" i="24"/>
  <c r="AF368" i="24" s="1"/>
  <c r="AD368" i="24" s="1"/>
  <c r="AG222" i="24"/>
  <c r="AF222" i="24" s="1"/>
  <c r="AD222" i="24" s="1"/>
  <c r="AG330" i="24"/>
  <c r="AF330" i="24" s="1"/>
  <c r="AD330" i="24" s="1"/>
  <c r="AG200" i="24"/>
  <c r="AF200" i="24" s="1"/>
  <c r="AD200" i="24" s="1"/>
  <c r="AG124" i="24"/>
  <c r="AF124" i="24" s="1"/>
  <c r="AD124" i="24" s="1"/>
  <c r="AG240" i="24"/>
  <c r="AF240" i="24" s="1"/>
  <c r="AD240" i="24" s="1"/>
  <c r="AG276" i="24"/>
  <c r="AF276" i="24" s="1"/>
  <c r="AD276" i="24" s="1"/>
  <c r="AG263" i="24"/>
  <c r="AF263" i="24" s="1"/>
  <c r="AD263" i="24" s="1"/>
  <c r="AG161" i="24"/>
  <c r="AF161" i="24" s="1"/>
  <c r="AD161" i="24" s="1"/>
  <c r="AG125" i="24"/>
  <c r="AF125" i="24" s="1"/>
  <c r="AD125" i="24" s="1"/>
  <c r="AG277" i="24"/>
  <c r="AF277" i="24" s="1"/>
  <c r="AD277" i="24" s="1"/>
  <c r="AG242" i="24"/>
  <c r="AF242" i="24" s="1"/>
  <c r="AD242" i="24" s="1"/>
  <c r="AG171" i="24"/>
  <c r="AF171" i="24" s="1"/>
  <c r="AD171" i="24" s="1"/>
  <c r="AG234" i="24"/>
  <c r="AF234" i="24" s="1"/>
  <c r="AD234" i="24" s="1"/>
  <c r="AG144" i="24"/>
  <c r="AF144" i="24" s="1"/>
  <c r="AD144" i="24" s="1"/>
  <c r="AG284" i="24"/>
  <c r="AF284" i="24" s="1"/>
  <c r="AD284" i="24" s="1"/>
  <c r="AG364" i="24"/>
  <c r="AF364" i="24" s="1"/>
  <c r="AD364" i="24" s="1"/>
  <c r="AG183" i="24"/>
  <c r="AF183" i="24" s="1"/>
  <c r="AD183" i="24" s="1"/>
  <c r="AG252" i="24"/>
  <c r="AF252" i="24" s="1"/>
  <c r="AD252" i="24" s="1"/>
  <c r="AG301" i="24"/>
  <c r="AF301" i="24" s="1"/>
  <c r="AD301" i="24" s="1"/>
  <c r="AG258" i="24"/>
  <c r="AF258" i="24" s="1"/>
  <c r="AD258" i="24" s="1"/>
  <c r="AG177" i="24"/>
  <c r="AF177" i="24" s="1"/>
  <c r="AD177" i="24" s="1"/>
  <c r="AG210" i="24"/>
  <c r="AF210" i="24" s="1"/>
  <c r="AD210" i="24" s="1"/>
  <c r="AG328" i="24"/>
  <c r="AF328" i="24" s="1"/>
  <c r="AD328" i="24" s="1"/>
  <c r="AG180" i="24"/>
  <c r="AF180" i="24" s="1"/>
  <c r="AD180" i="24" s="1"/>
  <c r="AG160" i="24"/>
  <c r="AF160" i="24" s="1"/>
  <c r="AD160" i="24" s="1"/>
  <c r="AG135" i="24"/>
  <c r="AF135" i="24" s="1"/>
  <c r="AD135" i="24" s="1"/>
  <c r="AG326" i="24"/>
  <c r="AF326" i="24" s="1"/>
  <c r="AD326" i="24" s="1"/>
  <c r="AG175" i="24"/>
  <c r="AF175" i="24" s="1"/>
  <c r="AD175" i="24" s="1"/>
  <c r="AG114" i="24"/>
  <c r="AF114" i="24" s="1"/>
  <c r="AD114" i="24" s="1"/>
  <c r="AG264" i="24"/>
  <c r="AF264" i="24" s="1"/>
  <c r="AD264" i="24" s="1"/>
  <c r="AG241" i="24"/>
  <c r="AF241" i="24" s="1"/>
  <c r="AD241" i="24" s="1"/>
  <c r="AG329" i="24"/>
  <c r="AF329" i="24" s="1"/>
  <c r="AD329" i="24" s="1"/>
  <c r="AG174" i="24"/>
  <c r="AF174" i="24" s="1"/>
  <c r="AD174" i="24" s="1"/>
  <c r="AG359" i="24"/>
  <c r="AF359" i="24" s="1"/>
  <c r="AD359" i="24" s="1"/>
  <c r="AG377" i="24"/>
  <c r="AF377" i="24" s="1"/>
  <c r="AD377" i="24" s="1"/>
  <c r="AG167" i="24"/>
  <c r="AF167" i="24" s="1"/>
  <c r="AD167" i="24" s="1"/>
  <c r="AG338" i="24"/>
  <c r="AF338" i="24" s="1"/>
  <c r="AD338" i="24" s="1"/>
  <c r="AG159" i="24"/>
  <c r="AF159" i="24" s="1"/>
  <c r="AD159" i="24" s="1"/>
  <c r="AG248" i="24"/>
  <c r="AF248" i="24" s="1"/>
  <c r="AD248" i="24" s="1"/>
  <c r="AG191" i="24"/>
  <c r="AF191" i="24" s="1"/>
  <c r="AD191" i="24" s="1"/>
  <c r="AG334" i="24"/>
  <c r="AF334" i="24" s="1"/>
  <c r="AD334" i="24" s="1"/>
  <c r="AG228" i="24"/>
  <c r="AF228" i="24" s="1"/>
  <c r="AD228" i="24" s="1"/>
  <c r="AG194" i="24"/>
  <c r="AF194" i="24" s="1"/>
  <c r="AD194" i="24" s="1"/>
  <c r="AG126" i="24"/>
  <c r="AF126" i="24" s="1"/>
  <c r="AD126" i="24" s="1"/>
  <c r="AG214" i="24"/>
  <c r="AF214" i="24" s="1"/>
  <c r="AD214" i="24" s="1"/>
  <c r="AG245" i="24"/>
  <c r="AF245" i="24" s="1"/>
  <c r="AD245" i="24" s="1"/>
  <c r="AG107" i="24"/>
  <c r="AF107" i="24" s="1"/>
  <c r="AD107" i="24" s="1"/>
  <c r="AG347" i="24"/>
  <c r="AF347" i="24" s="1"/>
  <c r="AD347" i="24" s="1"/>
  <c r="AG203" i="24"/>
  <c r="AF203" i="24" s="1"/>
  <c r="AD203" i="24" s="1"/>
  <c r="AG227" i="24"/>
  <c r="AF227" i="24" s="1"/>
  <c r="AD227" i="24" s="1"/>
  <c r="AG178" i="24"/>
  <c r="AF178" i="24" s="1"/>
  <c r="AD178" i="24" s="1"/>
  <c r="AG212" i="24"/>
  <c r="AF212" i="24" s="1"/>
  <c r="AD212" i="24" s="1"/>
  <c r="AG181" i="24"/>
  <c r="AF181" i="24" s="1"/>
  <c r="AD181" i="24" s="1"/>
  <c r="AG238" i="24"/>
  <c r="AF238" i="24" s="1"/>
  <c r="AD238" i="24" s="1"/>
  <c r="AG325" i="24"/>
  <c r="AF325" i="24" s="1"/>
  <c r="AD325" i="24" s="1"/>
  <c r="AG321" i="24"/>
  <c r="AF321" i="24" s="1"/>
  <c r="AD321" i="24" s="1"/>
  <c r="AG340" i="24"/>
  <c r="AF340" i="24" s="1"/>
  <c r="AD340" i="24" s="1"/>
  <c r="AG324" i="24"/>
  <c r="AF324" i="24" s="1"/>
  <c r="AD324" i="24" s="1"/>
  <c r="AG343" i="24"/>
  <c r="AF343" i="24" s="1"/>
  <c r="AD343" i="24" s="1"/>
  <c r="AG348" i="24"/>
  <c r="AF348" i="24" s="1"/>
  <c r="AD348" i="24" s="1"/>
  <c r="AG305" i="24"/>
  <c r="AF305" i="24" s="1"/>
  <c r="AD305" i="24" s="1"/>
  <c r="AG342" i="24"/>
  <c r="AF342" i="24" s="1"/>
  <c r="AD342" i="24" s="1"/>
  <c r="AG309" i="24"/>
  <c r="AF309" i="24" s="1"/>
  <c r="AD309" i="24" s="1"/>
  <c r="AG371" i="24"/>
  <c r="AF371" i="24" s="1"/>
  <c r="AD371" i="24" s="1"/>
  <c r="AG361" i="24"/>
  <c r="AF361" i="24" s="1"/>
  <c r="AD361" i="24" s="1"/>
  <c r="AG286" i="24"/>
  <c r="AF286" i="24" s="1"/>
  <c r="AD286" i="24" s="1"/>
  <c r="AG213" i="24"/>
  <c r="AF213" i="24" s="1"/>
  <c r="AD213" i="24" s="1"/>
  <c r="AG197" i="24"/>
  <c r="AF197" i="24" s="1"/>
  <c r="AD197" i="24" s="1"/>
  <c r="AG217" i="24"/>
  <c r="AF217" i="24" s="1"/>
  <c r="AD217" i="24" s="1"/>
  <c r="AG218" i="24"/>
  <c r="AF218" i="24" s="1"/>
  <c r="AD218" i="24" s="1"/>
  <c r="AG155" i="24"/>
  <c r="AF155" i="24" s="1"/>
  <c r="AD155" i="24" s="1"/>
  <c r="AG306" i="24"/>
  <c r="AF306" i="24" s="1"/>
  <c r="AD306" i="24" s="1"/>
  <c r="AG283" i="24"/>
  <c r="AF283" i="24" s="1"/>
  <c r="AD283" i="24" s="1"/>
  <c r="AG307" i="24"/>
  <c r="AF307" i="24" s="1"/>
  <c r="AD307" i="24" s="1"/>
  <c r="AG202" i="24"/>
  <c r="AF202" i="24" s="1"/>
  <c r="AD202" i="24" s="1"/>
  <c r="AG367" i="24"/>
  <c r="AF367" i="24" s="1"/>
  <c r="AD367" i="24" s="1"/>
  <c r="AG323" i="24"/>
  <c r="AF323" i="24" s="1"/>
  <c r="AD323" i="24" s="1"/>
  <c r="AG341" i="24"/>
  <c r="AF341" i="24" s="1"/>
  <c r="AD341" i="24" s="1"/>
  <c r="AG162" i="24"/>
  <c r="AF162" i="24" s="1"/>
  <c r="AD162" i="24" s="1"/>
  <c r="AG270" i="24"/>
  <c r="AF270" i="24" s="1"/>
  <c r="AD270" i="24" s="1"/>
  <c r="AG273" i="24"/>
  <c r="AF273" i="24" s="1"/>
  <c r="AD273" i="24" s="1"/>
  <c r="AG145" i="24"/>
  <c r="AF145" i="24" s="1"/>
  <c r="AD145" i="24" s="1"/>
  <c r="AG164" i="24"/>
  <c r="AF164" i="24" s="1"/>
  <c r="AD164" i="24" s="1"/>
  <c r="AG358" i="24"/>
  <c r="AF358" i="24" s="1"/>
  <c r="AD358" i="24" s="1"/>
  <c r="AG254" i="24"/>
  <c r="AF254" i="24" s="1"/>
  <c r="AD254" i="24" s="1"/>
  <c r="AG232" i="24"/>
  <c r="AF232" i="24" s="1"/>
  <c r="AD232" i="24" s="1"/>
  <c r="AG137" i="24"/>
  <c r="AF137" i="24" s="1"/>
  <c r="AD137" i="24" s="1"/>
  <c r="AG318" i="24"/>
  <c r="AF318" i="24" s="1"/>
  <c r="AD318" i="24" s="1"/>
  <c r="AG315" i="24"/>
  <c r="AF315" i="24" s="1"/>
  <c r="AD315" i="24" s="1"/>
  <c r="AG339" i="24"/>
  <c r="AF339" i="24" s="1"/>
  <c r="AD339" i="24" s="1"/>
  <c r="AG300" i="24"/>
  <c r="AF300" i="24" s="1"/>
  <c r="AD300" i="24" s="1"/>
  <c r="AG319" i="24"/>
  <c r="AF319" i="24" s="1"/>
  <c r="AD319" i="24" s="1"/>
  <c r="AG231" i="24"/>
  <c r="AF231" i="24" s="1"/>
  <c r="AD231" i="24" s="1"/>
  <c r="W189" i="24"/>
  <c r="D189" i="24"/>
  <c r="E189" i="24" s="1"/>
  <c r="F189" i="24" s="1"/>
  <c r="D285" i="24"/>
  <c r="E285" i="24" s="1"/>
  <c r="F285" i="24" s="1"/>
  <c r="W285" i="24"/>
  <c r="W290" i="24"/>
  <c r="D290" i="24"/>
  <c r="E290" i="24" s="1"/>
  <c r="F290" i="24" s="1"/>
  <c r="V149" i="24"/>
  <c r="B149" i="24" s="1"/>
  <c r="V88" i="24"/>
  <c r="B88" i="24" s="1"/>
  <c r="W214" i="24"/>
  <c r="D214" i="24"/>
  <c r="E214" i="24" s="1"/>
  <c r="F214" i="24" s="1"/>
  <c r="W69" i="24"/>
  <c r="D69" i="24"/>
  <c r="E69" i="24" s="1"/>
  <c r="F69" i="24" s="1"/>
  <c r="AH62" i="7"/>
  <c r="V210" i="24"/>
  <c r="B210" i="24" s="1"/>
  <c r="W104" i="24"/>
  <c r="D104" i="24"/>
  <c r="E104" i="24" s="1"/>
  <c r="F104" i="24" s="1"/>
  <c r="W301" i="24"/>
  <c r="D301" i="24"/>
  <c r="E301" i="24" s="1"/>
  <c r="F301" i="24" s="1"/>
  <c r="W59" i="24"/>
  <c r="D59" i="24"/>
  <c r="E59" i="24" s="1"/>
  <c r="F59" i="24" s="1"/>
  <c r="D264" i="24"/>
  <c r="E264" i="24" s="1"/>
  <c r="F264" i="24" s="1"/>
  <c r="W264" i="24"/>
  <c r="W375" i="24"/>
  <c r="D375" i="24"/>
  <c r="E375" i="24" s="1"/>
  <c r="F375" i="24" s="1"/>
  <c r="D73" i="24"/>
  <c r="E73" i="24" s="1"/>
  <c r="F73" i="24" s="1"/>
  <c r="W73" i="24"/>
  <c r="D342" i="24"/>
  <c r="E342" i="24" s="1"/>
  <c r="F342" i="24" s="1"/>
  <c r="W342" i="24"/>
  <c r="D40" i="24"/>
  <c r="E40" i="24" s="1"/>
  <c r="F40" i="24" s="1"/>
  <c r="W40" i="24"/>
  <c r="W175" i="24"/>
  <c r="D175" i="24"/>
  <c r="E175" i="24" s="1"/>
  <c r="F175" i="24" s="1"/>
  <c r="W55" i="24"/>
  <c r="D55" i="24"/>
  <c r="E55" i="24" s="1"/>
  <c r="F55" i="24" s="1"/>
  <c r="W279" i="24"/>
  <c r="D279" i="24"/>
  <c r="E279" i="24" s="1"/>
  <c r="F279" i="24" s="1"/>
  <c r="W97" i="24"/>
  <c r="D97" i="24"/>
  <c r="E97" i="24" s="1"/>
  <c r="F97" i="24" s="1"/>
  <c r="W254" i="24"/>
  <c r="D254" i="24"/>
  <c r="E254" i="24" s="1"/>
  <c r="F254" i="24" s="1"/>
  <c r="W243" i="24"/>
  <c r="D243" i="24"/>
  <c r="E243" i="24" s="1"/>
  <c r="F243" i="24" s="1"/>
  <c r="D335" i="24"/>
  <c r="E335" i="24" s="1"/>
  <c r="F335" i="24" s="1"/>
  <c r="W335" i="24"/>
  <c r="W340" i="24"/>
  <c r="D340" i="24"/>
  <c r="E340" i="24" s="1"/>
  <c r="F340" i="24" s="1"/>
  <c r="J51" i="23"/>
  <c r="I51" i="23"/>
  <c r="AH64" i="7"/>
  <c r="I326" i="23"/>
  <c r="J326" i="23"/>
  <c r="I170" i="23"/>
  <c r="J170" i="23"/>
  <c r="J29" i="23"/>
  <c r="I29" i="23"/>
  <c r="J60" i="23"/>
  <c r="I60" i="23"/>
  <c r="S15" i="24"/>
  <c r="D164" i="24"/>
  <c r="E164" i="24" s="1"/>
  <c r="F164" i="24" s="1"/>
  <c r="W164" i="24"/>
  <c r="W236" i="24"/>
  <c r="D236" i="24"/>
  <c r="E236" i="24" s="1"/>
  <c r="F236" i="24" s="1"/>
  <c r="D216" i="24"/>
  <c r="E216" i="24" s="1"/>
  <c r="F216" i="24" s="1"/>
  <c r="W216" i="24"/>
  <c r="J196" i="23"/>
  <c r="I196" i="23"/>
  <c r="I289" i="23"/>
  <c r="J289" i="23"/>
  <c r="I234" i="23"/>
  <c r="J234" i="23"/>
  <c r="I137" i="23"/>
  <c r="J137" i="23"/>
  <c r="J349" i="23"/>
  <c r="I349" i="23"/>
  <c r="J109" i="23"/>
  <c r="I109" i="23"/>
  <c r="I74" i="23"/>
  <c r="J74" i="23"/>
  <c r="I263" i="23"/>
  <c r="J263" i="23"/>
  <c r="AF15" i="24" l="1"/>
  <c r="W171" i="24"/>
  <c r="W157" i="24"/>
  <c r="AI382" i="24"/>
  <c r="Q134" i="25"/>
  <c r="Q301" i="25"/>
  <c r="Q126" i="25"/>
  <c r="Q272" i="25"/>
  <c r="Q252" i="25"/>
  <c r="Q29" i="25"/>
  <c r="Q344" i="25"/>
  <c r="Q45" i="25"/>
  <c r="Q327" i="25"/>
  <c r="Q236" i="25"/>
  <c r="Q150" i="25"/>
  <c r="Q184" i="25"/>
  <c r="Q63" i="25"/>
  <c r="Q345" i="25"/>
  <c r="Q247" i="25"/>
  <c r="Q194" i="25"/>
  <c r="Q66" i="25"/>
  <c r="Q92" i="25"/>
  <c r="AH66" i="7"/>
  <c r="D26" i="24"/>
  <c r="E26" i="24" s="1"/>
  <c r="F26" i="24" s="1"/>
  <c r="G26" i="24" s="1"/>
  <c r="CE26" i="6" s="1"/>
  <c r="W133" i="24"/>
  <c r="D172" i="24"/>
  <c r="E172" i="24" s="1"/>
  <c r="F172" i="24" s="1"/>
  <c r="AA172" i="24" s="1"/>
  <c r="Z172" i="24" s="1"/>
  <c r="Y172" i="24" s="1"/>
  <c r="D102" i="24"/>
  <c r="E102" i="24" s="1"/>
  <c r="F102" i="24" s="1"/>
  <c r="G102" i="24" s="1"/>
  <c r="CE102" i="6" s="1"/>
  <c r="W42" i="24"/>
  <c r="W117" i="24"/>
  <c r="D277" i="24"/>
  <c r="E277" i="24" s="1"/>
  <c r="F277" i="24" s="1"/>
  <c r="G277" i="24" s="1"/>
  <c r="CE277" i="6" s="1"/>
  <c r="W204" i="24"/>
  <c r="W318" i="24"/>
  <c r="W345" i="24"/>
  <c r="W251" i="24"/>
  <c r="W134" i="24"/>
  <c r="W292" i="24"/>
  <c r="D64" i="24"/>
  <c r="E64" i="24" s="1"/>
  <c r="F64" i="24" s="1"/>
  <c r="G64" i="24" s="1"/>
  <c r="CE64" i="6" s="1"/>
  <c r="D268" i="24"/>
  <c r="E268" i="24" s="1"/>
  <c r="F268" i="24" s="1"/>
  <c r="AA268" i="24" s="1"/>
  <c r="Z268" i="24" s="1"/>
  <c r="Y268" i="24" s="1"/>
  <c r="W323" i="24"/>
  <c r="W120" i="24"/>
  <c r="D33" i="24"/>
  <c r="E33" i="24" s="1"/>
  <c r="F33" i="24" s="1"/>
  <c r="G33" i="24" s="1"/>
  <c r="CE33" i="6" s="1"/>
  <c r="D82" i="24"/>
  <c r="E82" i="24" s="1"/>
  <c r="F82" i="24" s="1"/>
  <c r="H82" i="24" s="1"/>
  <c r="W270" i="24"/>
  <c r="D205" i="24"/>
  <c r="E205" i="24" s="1"/>
  <c r="F205" i="24" s="1"/>
  <c r="AA205" i="24" s="1"/>
  <c r="Z205" i="24" s="1"/>
  <c r="Y205" i="24" s="1"/>
  <c r="W348" i="24"/>
  <c r="D311" i="24"/>
  <c r="E311" i="24" s="1"/>
  <c r="F311" i="24" s="1"/>
  <c r="H311" i="24" s="1"/>
  <c r="D265" i="24"/>
  <c r="E265" i="24" s="1"/>
  <c r="F265" i="24" s="1"/>
  <c r="H265" i="24" s="1"/>
  <c r="W252" i="24"/>
  <c r="D195" i="24"/>
  <c r="E195" i="24" s="1"/>
  <c r="F195" i="24" s="1"/>
  <c r="AA195" i="24" s="1"/>
  <c r="Z195" i="24" s="1"/>
  <c r="Y195" i="24" s="1"/>
  <c r="W316" i="24"/>
  <c r="D22" i="24"/>
  <c r="E22" i="24" s="1"/>
  <c r="F22" i="24" s="1"/>
  <c r="AA22" i="24" s="1"/>
  <c r="Z22" i="24" s="1"/>
  <c r="Y22" i="24" s="1"/>
  <c r="W108" i="24"/>
  <c r="D206" i="24"/>
  <c r="E206" i="24" s="1"/>
  <c r="F206" i="24" s="1"/>
  <c r="AA206" i="24" s="1"/>
  <c r="Z206" i="24" s="1"/>
  <c r="Y206" i="24" s="1"/>
  <c r="W112" i="24"/>
  <c r="W49" i="24"/>
  <c r="W366" i="24"/>
  <c r="W266" i="24"/>
  <c r="W347" i="24"/>
  <c r="D16" i="24"/>
  <c r="E16" i="24" s="1"/>
  <c r="F16" i="24" s="1"/>
  <c r="G16" i="24" s="1"/>
  <c r="CE16" i="6" s="1"/>
  <c r="D280" i="24"/>
  <c r="E280" i="24" s="1"/>
  <c r="F280" i="24" s="1"/>
  <c r="G280" i="24" s="1"/>
  <c r="CE280" i="6" s="1"/>
  <c r="W79" i="24"/>
  <c r="D343" i="24"/>
  <c r="E343" i="24" s="1"/>
  <c r="F343" i="24" s="1"/>
  <c r="AA343" i="24" s="1"/>
  <c r="Z343" i="24" s="1"/>
  <c r="Y343" i="24" s="1"/>
  <c r="D283" i="24"/>
  <c r="E283" i="24" s="1"/>
  <c r="F283" i="24" s="1"/>
  <c r="G283" i="24" s="1"/>
  <c r="CE283" i="6" s="1"/>
  <c r="D221" i="24"/>
  <c r="E221" i="24" s="1"/>
  <c r="F221" i="24" s="1"/>
  <c r="H221" i="24" s="1"/>
  <c r="W158" i="24"/>
  <c r="W244" i="24"/>
  <c r="D260" i="24"/>
  <c r="E260" i="24" s="1"/>
  <c r="F260" i="24" s="1"/>
  <c r="G260" i="24" s="1"/>
  <c r="CE260" i="6" s="1"/>
  <c r="W187" i="24"/>
  <c r="W155" i="24"/>
  <c r="W53" i="24"/>
  <c r="W364" i="24"/>
  <c r="D94" i="24"/>
  <c r="E94" i="24" s="1"/>
  <c r="F94" i="24" s="1"/>
  <c r="G94" i="24" s="1"/>
  <c r="CE94" i="6" s="1"/>
  <c r="W152" i="24"/>
  <c r="W193" i="24"/>
  <c r="W245" i="24"/>
  <c r="W358" i="24"/>
  <c r="D109" i="24"/>
  <c r="E109" i="24" s="1"/>
  <c r="F109" i="24" s="1"/>
  <c r="AA109" i="24" s="1"/>
  <c r="Z109" i="24" s="1"/>
  <c r="Y109" i="24" s="1"/>
  <c r="D186" i="24"/>
  <c r="E186" i="24" s="1"/>
  <c r="F186" i="24" s="1"/>
  <c r="G186" i="24" s="1"/>
  <c r="CE186" i="6" s="1"/>
  <c r="W334" i="24"/>
  <c r="D249" i="24"/>
  <c r="E249" i="24" s="1"/>
  <c r="F249" i="24" s="1"/>
  <c r="G249" i="24" s="1"/>
  <c r="CE249" i="6" s="1"/>
  <c r="D67" i="24"/>
  <c r="E67" i="24" s="1"/>
  <c r="F67" i="24" s="1"/>
  <c r="AA67" i="24" s="1"/>
  <c r="Z67" i="24" s="1"/>
  <c r="Y67" i="24" s="1"/>
  <c r="D65" i="24"/>
  <c r="E65" i="24" s="1"/>
  <c r="F65" i="24" s="1"/>
  <c r="G65" i="24" s="1"/>
  <c r="CE65" i="6" s="1"/>
  <c r="D174" i="24"/>
  <c r="E174" i="24" s="1"/>
  <c r="F174" i="24" s="1"/>
  <c r="AA174" i="24" s="1"/>
  <c r="Z174" i="24" s="1"/>
  <c r="Y174" i="24" s="1"/>
  <c r="D32" i="24"/>
  <c r="E32" i="24" s="1"/>
  <c r="F32" i="24" s="1"/>
  <c r="H32" i="24" s="1"/>
  <c r="W95" i="24"/>
  <c r="D224" i="24"/>
  <c r="E224" i="24" s="1"/>
  <c r="F224" i="24" s="1"/>
  <c r="G224" i="24" s="1"/>
  <c r="CE224" i="6" s="1"/>
  <c r="D110" i="24"/>
  <c r="E110" i="24" s="1"/>
  <c r="F110" i="24" s="1"/>
  <c r="AA110" i="24" s="1"/>
  <c r="Z110" i="24" s="1"/>
  <c r="Y110" i="24" s="1"/>
  <c r="W143" i="24"/>
  <c r="W344" i="24"/>
  <c r="D96" i="24"/>
  <c r="E96" i="24" s="1"/>
  <c r="F96" i="24" s="1"/>
  <c r="G96" i="24" s="1"/>
  <c r="CE96" i="6" s="1"/>
  <c r="D199" i="24"/>
  <c r="E199" i="24" s="1"/>
  <c r="F199" i="24" s="1"/>
  <c r="G199" i="24" s="1"/>
  <c r="CE199" i="6" s="1"/>
  <c r="D121" i="24"/>
  <c r="E121" i="24" s="1"/>
  <c r="F121" i="24" s="1"/>
  <c r="H121" i="24" s="1"/>
  <c r="W25" i="24"/>
  <c r="D356" i="24"/>
  <c r="E356" i="24" s="1"/>
  <c r="F356" i="24" s="1"/>
  <c r="AA356" i="24" s="1"/>
  <c r="Z356" i="24" s="1"/>
  <c r="Y356" i="24" s="1"/>
  <c r="D275" i="24"/>
  <c r="E275" i="24" s="1"/>
  <c r="F275" i="24" s="1"/>
  <c r="G275" i="24" s="1"/>
  <c r="CE275" i="6" s="1"/>
  <c r="W341" i="24"/>
  <c r="W262" i="24"/>
  <c r="D304" i="24"/>
  <c r="E304" i="24" s="1"/>
  <c r="F304" i="24" s="1"/>
  <c r="G304" i="24" s="1"/>
  <c r="CE304" i="6" s="1"/>
  <c r="W184" i="24"/>
  <c r="W374" i="24"/>
  <c r="D84" i="24"/>
  <c r="E84" i="24" s="1"/>
  <c r="F84" i="24" s="1"/>
  <c r="H84" i="24" s="1"/>
  <c r="W361" i="24"/>
  <c r="V241" i="24"/>
  <c r="B241" i="24" s="1"/>
  <c r="D241" i="24" s="1"/>
  <c r="E241" i="24" s="1"/>
  <c r="F241" i="24" s="1"/>
  <c r="W54" i="24"/>
  <c r="D52" i="24"/>
  <c r="E52" i="24" s="1"/>
  <c r="F52" i="24" s="1"/>
  <c r="AA52" i="24" s="1"/>
  <c r="Z52" i="24" s="1"/>
  <c r="Y52" i="24" s="1"/>
  <c r="D377" i="24"/>
  <c r="E377" i="24" s="1"/>
  <c r="F377" i="24" s="1"/>
  <c r="H377" i="24" s="1"/>
  <c r="W354" i="24"/>
  <c r="W20" i="24"/>
  <c r="D250" i="24"/>
  <c r="E250" i="24" s="1"/>
  <c r="F250" i="24" s="1"/>
  <c r="AA250" i="24" s="1"/>
  <c r="Z250" i="24" s="1"/>
  <c r="Y250" i="24" s="1"/>
  <c r="D263" i="24"/>
  <c r="E263" i="24" s="1"/>
  <c r="F263" i="24" s="1"/>
  <c r="AA263" i="24" s="1"/>
  <c r="Z263" i="24" s="1"/>
  <c r="Y263" i="24" s="1"/>
  <c r="D298" i="24"/>
  <c r="E298" i="24" s="1"/>
  <c r="F298" i="24" s="1"/>
  <c r="G298" i="24" s="1"/>
  <c r="CE298" i="6" s="1"/>
  <c r="D368" i="24"/>
  <c r="E368" i="24" s="1"/>
  <c r="F368" i="24" s="1"/>
  <c r="AA368" i="24" s="1"/>
  <c r="Z368" i="24" s="1"/>
  <c r="Y368" i="24" s="1"/>
  <c r="D114" i="24"/>
  <c r="E114" i="24" s="1"/>
  <c r="F114" i="24" s="1"/>
  <c r="H114" i="24" s="1"/>
  <c r="W63" i="24"/>
  <c r="D192" i="24"/>
  <c r="E192" i="24" s="1"/>
  <c r="F192" i="24" s="1"/>
  <c r="G192" i="24" s="1"/>
  <c r="CE192" i="6" s="1"/>
  <c r="D131" i="24"/>
  <c r="E131" i="24" s="1"/>
  <c r="F131" i="24" s="1"/>
  <c r="G131" i="24" s="1"/>
  <c r="CE131" i="6" s="1"/>
  <c r="W329" i="24"/>
  <c r="D93" i="24"/>
  <c r="E93" i="24" s="1"/>
  <c r="F93" i="24" s="1"/>
  <c r="G93" i="24" s="1"/>
  <c r="CE93" i="6" s="1"/>
  <c r="W76" i="24"/>
  <c r="D66" i="24"/>
  <c r="E66" i="24" s="1"/>
  <c r="F66" i="24" s="1"/>
  <c r="AA66" i="24" s="1"/>
  <c r="Z66" i="24" s="1"/>
  <c r="Y66" i="24" s="1"/>
  <c r="W154" i="24"/>
  <c r="D75" i="24"/>
  <c r="E75" i="24" s="1"/>
  <c r="F75" i="24" s="1"/>
  <c r="G75" i="24" s="1"/>
  <c r="CE75" i="6" s="1"/>
  <c r="W220" i="24"/>
  <c r="D222" i="24"/>
  <c r="E222" i="24" s="1"/>
  <c r="F222" i="24" s="1"/>
  <c r="AA222" i="24" s="1"/>
  <c r="Z222" i="24" s="1"/>
  <c r="Y222" i="24" s="1"/>
  <c r="W297" i="24"/>
  <c r="D233" i="24"/>
  <c r="E233" i="24" s="1"/>
  <c r="F233" i="24" s="1"/>
  <c r="G233" i="24" s="1"/>
  <c r="CE233" i="6" s="1"/>
  <c r="W353" i="24"/>
  <c r="D327" i="24"/>
  <c r="E327" i="24" s="1"/>
  <c r="F327" i="24" s="1"/>
  <c r="G327" i="24" s="1"/>
  <c r="CE327" i="6" s="1"/>
  <c r="W89" i="24"/>
  <c r="W38" i="24"/>
  <c r="D308" i="24"/>
  <c r="E308" i="24" s="1"/>
  <c r="F308" i="24" s="1"/>
  <c r="G308" i="24" s="1"/>
  <c r="CE308" i="6" s="1"/>
  <c r="W126" i="24"/>
  <c r="D336" i="24"/>
  <c r="E336" i="24" s="1"/>
  <c r="F336" i="24" s="1"/>
  <c r="H336" i="24" s="1"/>
  <c r="W326" i="24"/>
  <c r="D30" i="24"/>
  <c r="E30" i="24" s="1"/>
  <c r="F30" i="24" s="1"/>
  <c r="G30" i="24" s="1"/>
  <c r="CE30" i="6" s="1"/>
  <c r="W185" i="24"/>
  <c r="D194" i="24"/>
  <c r="E194" i="24" s="1"/>
  <c r="F194" i="24" s="1"/>
  <c r="G194" i="24" s="1"/>
  <c r="CE194" i="6" s="1"/>
  <c r="D365" i="24"/>
  <c r="E365" i="24" s="1"/>
  <c r="F365" i="24" s="1"/>
  <c r="H365" i="24" s="1"/>
  <c r="D39" i="24"/>
  <c r="E39" i="24" s="1"/>
  <c r="F39" i="24" s="1"/>
  <c r="H39" i="24" s="1"/>
  <c r="D369" i="24"/>
  <c r="E369" i="24" s="1"/>
  <c r="F369" i="24" s="1"/>
  <c r="AA369" i="24" s="1"/>
  <c r="Z369" i="24" s="1"/>
  <c r="Y369" i="24" s="1"/>
  <c r="D325" i="24"/>
  <c r="E325" i="24" s="1"/>
  <c r="F325" i="24" s="1"/>
  <c r="G325" i="24" s="1"/>
  <c r="CE325" i="6" s="1"/>
  <c r="W261" i="24"/>
  <c r="D160" i="24"/>
  <c r="E160" i="24" s="1"/>
  <c r="F160" i="24" s="1"/>
  <c r="G160" i="24" s="1"/>
  <c r="CE160" i="6" s="1"/>
  <c r="W169" i="24"/>
  <c r="D125" i="24"/>
  <c r="E125" i="24" s="1"/>
  <c r="F125" i="24" s="1"/>
  <c r="AA125" i="24" s="1"/>
  <c r="Z125" i="24" s="1"/>
  <c r="Y125" i="24" s="1"/>
  <c r="W313" i="24"/>
  <c r="W177" i="24"/>
  <c r="D137" i="24"/>
  <c r="E137" i="24" s="1"/>
  <c r="F137" i="24" s="1"/>
  <c r="G137" i="24" s="1"/>
  <c r="CE137" i="6" s="1"/>
  <c r="D127" i="24"/>
  <c r="E127" i="24" s="1"/>
  <c r="F127" i="24" s="1"/>
  <c r="G127" i="24" s="1"/>
  <c r="CE127" i="6" s="1"/>
  <c r="W153" i="24"/>
  <c r="D350" i="24"/>
  <c r="E350" i="24" s="1"/>
  <c r="F350" i="24" s="1"/>
  <c r="G350" i="24" s="1"/>
  <c r="CE350" i="6" s="1"/>
  <c r="W163" i="24"/>
  <c r="W293" i="24"/>
  <c r="D17" i="24"/>
  <c r="E17" i="24" s="1"/>
  <c r="F17" i="24" s="1"/>
  <c r="AA17" i="24" s="1"/>
  <c r="Z17" i="24" s="1"/>
  <c r="Y17" i="24" s="1"/>
  <c r="W339" i="24"/>
  <c r="W178" i="24"/>
  <c r="D332" i="24"/>
  <c r="E332" i="24" s="1"/>
  <c r="F332" i="24" s="1"/>
  <c r="G332" i="24" s="1"/>
  <c r="CE332" i="6" s="1"/>
  <c r="W34" i="24"/>
  <c r="W284" i="24"/>
  <c r="W208" i="24"/>
  <c r="D141" i="24"/>
  <c r="E141" i="24" s="1"/>
  <c r="F141" i="24" s="1"/>
  <c r="G141" i="24" s="1"/>
  <c r="CE141" i="6" s="1"/>
  <c r="W230" i="24"/>
  <c r="W225" i="24"/>
  <c r="W118" i="24"/>
  <c r="D197" i="24"/>
  <c r="E197" i="24" s="1"/>
  <c r="F197" i="24" s="1"/>
  <c r="G197" i="24" s="1"/>
  <c r="CE197" i="6" s="1"/>
  <c r="D24" i="24"/>
  <c r="E24" i="24" s="1"/>
  <c r="F24" i="24" s="1"/>
  <c r="H24" i="24" s="1"/>
  <c r="W240" i="24"/>
  <c r="W282" i="24"/>
  <c r="D215" i="24"/>
  <c r="E215" i="24" s="1"/>
  <c r="F215" i="24" s="1"/>
  <c r="H215" i="24" s="1"/>
  <c r="W202" i="24"/>
  <c r="D337" i="24"/>
  <c r="E337" i="24" s="1"/>
  <c r="F337" i="24" s="1"/>
  <c r="G337" i="24" s="1"/>
  <c r="CE337" i="6" s="1"/>
  <c r="W200" i="24"/>
  <c r="C31" i="19"/>
  <c r="AI381" i="24"/>
  <c r="AI383" i="24"/>
  <c r="AZ16" i="7"/>
  <c r="BF11" i="7" s="1"/>
  <c r="U11" i="25" s="1"/>
  <c r="T379" i="24"/>
  <c r="S379" i="24" s="1"/>
  <c r="R379" i="24" s="1"/>
  <c r="P379" i="24" s="1"/>
  <c r="D43" i="19" s="1"/>
  <c r="U12" i="25"/>
  <c r="D147" i="24"/>
  <c r="E147" i="24" s="1"/>
  <c r="F147" i="24" s="1"/>
  <c r="G147" i="24" s="1"/>
  <c r="CE147" i="6" s="1"/>
  <c r="W136" i="24"/>
  <c r="D35" i="24"/>
  <c r="E35" i="24" s="1"/>
  <c r="F35" i="24" s="1"/>
  <c r="AA35" i="24" s="1"/>
  <c r="Z35" i="24" s="1"/>
  <c r="Y35" i="24" s="1"/>
  <c r="V29" i="24"/>
  <c r="B29" i="24" s="1"/>
  <c r="D29" i="24" s="1"/>
  <c r="E29" i="24" s="1"/>
  <c r="F29" i="24" s="1"/>
  <c r="D289" i="24"/>
  <c r="E289" i="24" s="1"/>
  <c r="F289" i="24" s="1"/>
  <c r="AA289" i="24" s="1"/>
  <c r="Z289" i="24" s="1"/>
  <c r="Y289" i="24" s="1"/>
  <c r="AH57" i="7"/>
  <c r="W315" i="24"/>
  <c r="Q346" i="25"/>
  <c r="Q313" i="25"/>
  <c r="Q61" i="25"/>
  <c r="Q263" i="25"/>
  <c r="Q307" i="25"/>
  <c r="Q44" i="25"/>
  <c r="D190" i="24"/>
  <c r="E190" i="24" s="1"/>
  <c r="F190" i="24" s="1"/>
  <c r="AA190" i="24" s="1"/>
  <c r="Z190" i="24" s="1"/>
  <c r="Y190" i="24" s="1"/>
  <c r="AA379" i="23"/>
  <c r="Z379" i="23" s="1"/>
  <c r="Y379" i="23" s="1"/>
  <c r="W31" i="24"/>
  <c r="W295" i="24"/>
  <c r="V119" i="24"/>
  <c r="B119" i="24" s="1"/>
  <c r="D119" i="24" s="1"/>
  <c r="E119" i="24" s="1"/>
  <c r="F119" i="24" s="1"/>
  <c r="D309" i="24"/>
  <c r="E309" i="24" s="1"/>
  <c r="F309" i="24" s="1"/>
  <c r="G309" i="24" s="1"/>
  <c r="CE309" i="6" s="1"/>
  <c r="D116" i="24"/>
  <c r="E116" i="24" s="1"/>
  <c r="F116" i="24" s="1"/>
  <c r="AA116" i="24" s="1"/>
  <c r="Z116" i="24" s="1"/>
  <c r="Y116" i="24" s="1"/>
  <c r="W87" i="24"/>
  <c r="D372" i="24"/>
  <c r="E372" i="24" s="1"/>
  <c r="F372" i="24" s="1"/>
  <c r="AA372" i="24" s="1"/>
  <c r="Z372" i="24" s="1"/>
  <c r="Y372" i="24" s="1"/>
  <c r="Q350" i="25"/>
  <c r="Q192" i="25"/>
  <c r="Q202" i="25"/>
  <c r="Q285" i="25"/>
  <c r="Q290" i="25"/>
  <c r="Q136" i="25"/>
  <c r="Q68" i="25"/>
  <c r="Q308" i="25"/>
  <c r="Q119" i="25"/>
  <c r="Q253" i="25"/>
  <c r="Q373" i="25"/>
  <c r="Q268" i="25"/>
  <c r="Q195" i="25"/>
  <c r="Q246" i="25"/>
  <c r="Q27" i="25"/>
  <c r="Q116" i="25"/>
  <c r="Q128" i="25"/>
  <c r="Q105" i="25"/>
  <c r="Q157" i="25"/>
  <c r="Q81" i="25"/>
  <c r="Q140" i="25"/>
  <c r="Q159" i="25"/>
  <c r="Q162" i="25"/>
  <c r="Q74" i="25"/>
  <c r="Q206" i="25"/>
  <c r="Q296" i="25"/>
  <c r="Q196" i="25"/>
  <c r="Q113" i="25"/>
  <c r="Q284" i="25"/>
  <c r="Q87" i="25"/>
  <c r="G379" i="23"/>
  <c r="CD379" i="6" s="1"/>
  <c r="D37" i="24"/>
  <c r="E37" i="24" s="1"/>
  <c r="F37" i="24" s="1"/>
  <c r="AA37" i="24" s="1"/>
  <c r="Z37" i="24" s="1"/>
  <c r="Y37" i="24" s="1"/>
  <c r="W274" i="24"/>
  <c r="W235" i="24"/>
  <c r="D100" i="24"/>
  <c r="E100" i="24" s="1"/>
  <c r="F100" i="24" s="1"/>
  <c r="H100" i="24" s="1"/>
  <c r="W146" i="24"/>
  <c r="W43" i="24"/>
  <c r="D113" i="24"/>
  <c r="E113" i="24" s="1"/>
  <c r="F113" i="24" s="1"/>
  <c r="AA113" i="24" s="1"/>
  <c r="Z113" i="24" s="1"/>
  <c r="Y113" i="24" s="1"/>
  <c r="D83" i="24"/>
  <c r="E83" i="24" s="1"/>
  <c r="F83" i="24" s="1"/>
  <c r="H83" i="24" s="1"/>
  <c r="W242" i="24"/>
  <c r="W255" i="24"/>
  <c r="D317" i="24"/>
  <c r="E317" i="24" s="1"/>
  <c r="F317" i="24" s="1"/>
  <c r="AA317" i="24" s="1"/>
  <c r="Z317" i="24" s="1"/>
  <c r="Y317" i="24" s="1"/>
  <c r="D173" i="24"/>
  <c r="E173" i="24" s="1"/>
  <c r="F173" i="24" s="1"/>
  <c r="AA173" i="24" s="1"/>
  <c r="Z173" i="24" s="1"/>
  <c r="Y173" i="24" s="1"/>
  <c r="W168" i="24"/>
  <c r="W276" i="24"/>
  <c r="W167" i="24"/>
  <c r="W198" i="24"/>
  <c r="D328" i="24"/>
  <c r="E328" i="24" s="1"/>
  <c r="F328" i="24" s="1"/>
  <c r="AA328" i="24" s="1"/>
  <c r="Z328" i="24" s="1"/>
  <c r="Y328" i="24" s="1"/>
  <c r="D307" i="24"/>
  <c r="E307" i="24" s="1"/>
  <c r="F307" i="24" s="1"/>
  <c r="AA307" i="24" s="1"/>
  <c r="Z307" i="24" s="1"/>
  <c r="Y307" i="24" s="1"/>
  <c r="W209" i="24"/>
  <c r="D201" i="24"/>
  <c r="E201" i="24" s="1"/>
  <c r="F201" i="24" s="1"/>
  <c r="AA201" i="24" s="1"/>
  <c r="Z201" i="24" s="1"/>
  <c r="Y201" i="24" s="1"/>
  <c r="W191" i="24"/>
  <c r="D128" i="24"/>
  <c r="E128" i="24" s="1"/>
  <c r="F128" i="24" s="1"/>
  <c r="AA128" i="24" s="1"/>
  <c r="Z128" i="24" s="1"/>
  <c r="Y128" i="24" s="1"/>
  <c r="D256" i="24"/>
  <c r="E256" i="24" s="1"/>
  <c r="F256" i="24" s="1"/>
  <c r="AA256" i="24" s="1"/>
  <c r="Z256" i="24" s="1"/>
  <c r="Y256" i="24" s="1"/>
  <c r="D310" i="24"/>
  <c r="E310" i="24" s="1"/>
  <c r="F310" i="24" s="1"/>
  <c r="AA310" i="24" s="1"/>
  <c r="Z310" i="24" s="1"/>
  <c r="Y310" i="24" s="1"/>
  <c r="V363" i="24"/>
  <c r="B363" i="24" s="1"/>
  <c r="D363" i="24" s="1"/>
  <c r="E363" i="24" s="1"/>
  <c r="F363" i="24" s="1"/>
  <c r="D231" i="24"/>
  <c r="E231" i="24" s="1"/>
  <c r="F231" i="24" s="1"/>
  <c r="AA231" i="24" s="1"/>
  <c r="Z231" i="24" s="1"/>
  <c r="Y231" i="24" s="1"/>
  <c r="W50" i="24"/>
  <c r="V180" i="24"/>
  <c r="B180" i="24" s="1"/>
  <c r="W180" i="24" s="1"/>
  <c r="W330" i="24"/>
  <c r="D107" i="24"/>
  <c r="E107" i="24" s="1"/>
  <c r="F107" i="24" s="1"/>
  <c r="G107" i="24" s="1"/>
  <c r="CE107" i="6" s="1"/>
  <c r="V302" i="24"/>
  <c r="B302" i="24" s="1"/>
  <c r="D302" i="24" s="1"/>
  <c r="E302" i="24" s="1"/>
  <c r="F302" i="24" s="1"/>
  <c r="W80" i="24"/>
  <c r="W165" i="24"/>
  <c r="D286" i="24"/>
  <c r="E286" i="24" s="1"/>
  <c r="F286" i="24" s="1"/>
  <c r="AA286" i="24" s="1"/>
  <c r="Z286" i="24" s="1"/>
  <c r="Y286" i="24" s="1"/>
  <c r="W21" i="24"/>
  <c r="W130" i="24"/>
  <c r="W58" i="24"/>
  <c r="W19" i="24"/>
  <c r="D45" i="24"/>
  <c r="E45" i="24" s="1"/>
  <c r="F45" i="24" s="1"/>
  <c r="G45" i="24" s="1"/>
  <c r="CE45" i="6" s="1"/>
  <c r="D92" i="24"/>
  <c r="E92" i="24" s="1"/>
  <c r="F92" i="24" s="1"/>
  <c r="H92" i="24" s="1"/>
  <c r="D370" i="24"/>
  <c r="E370" i="24" s="1"/>
  <c r="F370" i="24" s="1"/>
  <c r="AA370" i="24" s="1"/>
  <c r="Z370" i="24" s="1"/>
  <c r="Y370" i="24" s="1"/>
  <c r="D183" i="24"/>
  <c r="E183" i="24" s="1"/>
  <c r="F183" i="24" s="1"/>
  <c r="H183" i="24" s="1"/>
  <c r="W91" i="24"/>
  <c r="D44" i="24"/>
  <c r="E44" i="24" s="1"/>
  <c r="F44" i="24" s="1"/>
  <c r="H44" i="24" s="1"/>
  <c r="W161" i="24"/>
  <c r="W62" i="24"/>
  <c r="W212" i="24"/>
  <c r="D86" i="24"/>
  <c r="E86" i="24" s="1"/>
  <c r="F86" i="24" s="1"/>
  <c r="H86" i="24" s="1"/>
  <c r="D226" i="24"/>
  <c r="E226" i="24" s="1"/>
  <c r="F226" i="24" s="1"/>
  <c r="G226" i="24" s="1"/>
  <c r="CE226" i="6" s="1"/>
  <c r="W51" i="24"/>
  <c r="W271" i="24"/>
  <c r="D41" i="24"/>
  <c r="E41" i="24" s="1"/>
  <c r="F41" i="24" s="1"/>
  <c r="G41" i="24" s="1"/>
  <c r="CE41" i="6" s="1"/>
  <c r="D296" i="24"/>
  <c r="E296" i="24" s="1"/>
  <c r="F296" i="24" s="1"/>
  <c r="G296" i="24" s="1"/>
  <c r="CE296" i="6" s="1"/>
  <c r="W355" i="24"/>
  <c r="W122" i="24"/>
  <c r="D176" i="24"/>
  <c r="E176" i="24" s="1"/>
  <c r="F176" i="24" s="1"/>
  <c r="G176" i="24" s="1"/>
  <c r="CE176" i="6" s="1"/>
  <c r="W291" i="24"/>
  <c r="Q42" i="25"/>
  <c r="Q38" i="25"/>
  <c r="Q235" i="25"/>
  <c r="Q343" i="25"/>
  <c r="Q133" i="25"/>
  <c r="Q362" i="25"/>
  <c r="Q164" i="25"/>
  <c r="Q22" i="25"/>
  <c r="Q161" i="25"/>
  <c r="Q367" i="25"/>
  <c r="D281" i="24"/>
  <c r="E281" i="24" s="1"/>
  <c r="F281" i="24" s="1"/>
  <c r="AA281" i="24" s="1"/>
  <c r="Z281" i="24" s="1"/>
  <c r="Y281" i="24" s="1"/>
  <c r="D139" i="24"/>
  <c r="E139" i="24" s="1"/>
  <c r="F139" i="24" s="1"/>
  <c r="H139" i="24" s="1"/>
  <c r="D207" i="24"/>
  <c r="E207" i="24" s="1"/>
  <c r="F207" i="24" s="1"/>
  <c r="H207" i="24" s="1"/>
  <c r="D56" i="24"/>
  <c r="E56" i="24" s="1"/>
  <c r="F56" i="24" s="1"/>
  <c r="G56" i="24" s="1"/>
  <c r="CE56" i="6" s="1"/>
  <c r="W140" i="24"/>
  <c r="D218" i="24"/>
  <c r="E218" i="24" s="1"/>
  <c r="F218" i="24" s="1"/>
  <c r="AA218" i="24" s="1"/>
  <c r="Z218" i="24" s="1"/>
  <c r="Y218" i="24" s="1"/>
  <c r="W142" i="24"/>
  <c r="D228" i="24"/>
  <c r="E228" i="24" s="1"/>
  <c r="F228" i="24" s="1"/>
  <c r="AA228" i="24" s="1"/>
  <c r="Z228" i="24" s="1"/>
  <c r="Y228" i="24" s="1"/>
  <c r="D151" i="24"/>
  <c r="E151" i="24" s="1"/>
  <c r="F151" i="24" s="1"/>
  <c r="AA151" i="24" s="1"/>
  <c r="Z151" i="24" s="1"/>
  <c r="Y151" i="24" s="1"/>
  <c r="D360" i="24"/>
  <c r="E360" i="24" s="1"/>
  <c r="F360" i="24" s="1"/>
  <c r="H360" i="24" s="1"/>
  <c r="D239" i="24"/>
  <c r="E239" i="24" s="1"/>
  <c r="F239" i="24" s="1"/>
  <c r="H239" i="24" s="1"/>
  <c r="D362" i="24"/>
  <c r="E362" i="24" s="1"/>
  <c r="F362" i="24" s="1"/>
  <c r="AA362" i="24" s="1"/>
  <c r="Z362" i="24" s="1"/>
  <c r="Y362" i="24" s="1"/>
  <c r="D145" i="24"/>
  <c r="E145" i="24" s="1"/>
  <c r="F145" i="24" s="1"/>
  <c r="H145" i="24" s="1"/>
  <c r="D367" i="24"/>
  <c r="E367" i="24" s="1"/>
  <c r="F367" i="24" s="1"/>
  <c r="AA367" i="24" s="1"/>
  <c r="Z367" i="24" s="1"/>
  <c r="Y367" i="24" s="1"/>
  <c r="W85" i="24"/>
  <c r="W162" i="24"/>
  <c r="W150" i="24"/>
  <c r="D90" i="24"/>
  <c r="E90" i="24" s="1"/>
  <c r="F90" i="24" s="1"/>
  <c r="AA90" i="24" s="1"/>
  <c r="Z90" i="24" s="1"/>
  <c r="Y90" i="24" s="1"/>
  <c r="AJ9" i="20"/>
  <c r="AJ11" i="20" s="1"/>
  <c r="AK7" i="20"/>
  <c r="Q215" i="25"/>
  <c r="AE11" i="25"/>
  <c r="V379" i="24"/>
  <c r="B379" i="24" s="1"/>
  <c r="D379" i="24" s="1"/>
  <c r="E379" i="24" s="1"/>
  <c r="F379" i="24" s="1"/>
  <c r="E40" i="19"/>
  <c r="Q211" i="25"/>
  <c r="Q347" i="25"/>
  <c r="Q376" i="25"/>
  <c r="Q158" i="25"/>
  <c r="Q251" i="25"/>
  <c r="Q289" i="25"/>
  <c r="Q331" i="25"/>
  <c r="Q15" i="25"/>
  <c r="Q171" i="25"/>
  <c r="Q17" i="25"/>
  <c r="Q337" i="25"/>
  <c r="Q170" i="25"/>
  <c r="Q118" i="25"/>
  <c r="Q188" i="25"/>
  <c r="Q193" i="25"/>
  <c r="Q217" i="25"/>
  <c r="Q276" i="25"/>
  <c r="Q183" i="25"/>
  <c r="Q378" i="25"/>
  <c r="Q169" i="25"/>
  <c r="Q47" i="25"/>
  <c r="Q218" i="25"/>
  <c r="Q319" i="25"/>
  <c r="Q288" i="25"/>
  <c r="Q339" i="25"/>
  <c r="Q282" i="25"/>
  <c r="Q199" i="25"/>
  <c r="Q107" i="25"/>
  <c r="Q283" i="25"/>
  <c r="Q64" i="25"/>
  <c r="Q120" i="25"/>
  <c r="Q50" i="25"/>
  <c r="W237" i="24"/>
  <c r="D303" i="24"/>
  <c r="E303" i="24" s="1"/>
  <c r="F303" i="24" s="1"/>
  <c r="G303" i="24" s="1"/>
  <c r="CE303" i="6" s="1"/>
  <c r="W78" i="24"/>
  <c r="W70" i="24"/>
  <c r="W300" i="24"/>
  <c r="D259" i="24"/>
  <c r="E259" i="24" s="1"/>
  <c r="F259" i="24" s="1"/>
  <c r="H259" i="24" s="1"/>
  <c r="W103" i="24"/>
  <c r="W148" i="24"/>
  <c r="W299" i="24"/>
  <c r="D257" i="24"/>
  <c r="E257" i="24" s="1"/>
  <c r="F257" i="24" s="1"/>
  <c r="H257" i="24" s="1"/>
  <c r="W232" i="24"/>
  <c r="W373" i="24"/>
  <c r="D287" i="24"/>
  <c r="E287" i="24" s="1"/>
  <c r="F287" i="24" s="1"/>
  <c r="H287" i="24" s="1"/>
  <c r="D321" i="24"/>
  <c r="E321" i="24" s="1"/>
  <c r="F321" i="24" s="1"/>
  <c r="AA321" i="24" s="1"/>
  <c r="Z321" i="24" s="1"/>
  <c r="Y321" i="24" s="1"/>
  <c r="W123" i="24"/>
  <c r="W98" i="24"/>
  <c r="W213" i="24"/>
  <c r="D138" i="24"/>
  <c r="E138" i="24" s="1"/>
  <c r="F138" i="24" s="1"/>
  <c r="G138" i="24" s="1"/>
  <c r="CE138" i="6" s="1"/>
  <c r="D71" i="24"/>
  <c r="E71" i="24" s="1"/>
  <c r="F71" i="24" s="1"/>
  <c r="G71" i="24" s="1"/>
  <c r="CE71" i="6" s="1"/>
  <c r="W217" i="24"/>
  <c r="W68" i="24"/>
  <c r="W81" i="24"/>
  <c r="D129" i="24"/>
  <c r="E129" i="24" s="1"/>
  <c r="F129" i="24" s="1"/>
  <c r="G129" i="24" s="1"/>
  <c r="CE129" i="6" s="1"/>
  <c r="D314" i="24"/>
  <c r="E314" i="24" s="1"/>
  <c r="F314" i="24" s="1"/>
  <c r="G314" i="24" s="1"/>
  <c r="CE314" i="6" s="1"/>
  <c r="D28" i="24"/>
  <c r="E28" i="24" s="1"/>
  <c r="F28" i="24" s="1"/>
  <c r="G28" i="24" s="1"/>
  <c r="CE28" i="6" s="1"/>
  <c r="D144" i="24"/>
  <c r="E144" i="24" s="1"/>
  <c r="F144" i="24" s="1"/>
  <c r="AA144" i="24" s="1"/>
  <c r="Z144" i="24" s="1"/>
  <c r="Y144" i="24" s="1"/>
  <c r="W324" i="24"/>
  <c r="W357" i="24"/>
  <c r="W77" i="24"/>
  <c r="W72" i="24"/>
  <c r="D320" i="24"/>
  <c r="E320" i="24" s="1"/>
  <c r="F320" i="24" s="1"/>
  <c r="G320" i="24" s="1"/>
  <c r="CE320" i="6" s="1"/>
  <c r="D346" i="24"/>
  <c r="E346" i="24" s="1"/>
  <c r="F346" i="24" s="1"/>
  <c r="H346" i="24" s="1"/>
  <c r="W132" i="24"/>
  <c r="W378" i="24"/>
  <c r="W48" i="24"/>
  <c r="W273" i="24"/>
  <c r="W115" i="24"/>
  <c r="D36" i="24"/>
  <c r="E36" i="24" s="1"/>
  <c r="F36" i="24" s="1"/>
  <c r="AA36" i="24" s="1"/>
  <c r="Z36" i="24" s="1"/>
  <c r="Y36" i="24" s="1"/>
  <c r="D61" i="24"/>
  <c r="E61" i="24" s="1"/>
  <c r="F61" i="24" s="1"/>
  <c r="H61" i="24" s="1"/>
  <c r="D111" i="24"/>
  <c r="E111" i="24" s="1"/>
  <c r="F111" i="24" s="1"/>
  <c r="G111" i="24" s="1"/>
  <c r="CE111" i="6" s="1"/>
  <c r="D246" i="24"/>
  <c r="E246" i="24" s="1"/>
  <c r="F246" i="24" s="1"/>
  <c r="AA246" i="24" s="1"/>
  <c r="Z246" i="24" s="1"/>
  <c r="Y246" i="24" s="1"/>
  <c r="D57" i="24"/>
  <c r="E57" i="24" s="1"/>
  <c r="F57" i="24" s="1"/>
  <c r="G57" i="24" s="1"/>
  <c r="CE57" i="6" s="1"/>
  <c r="D248" i="24"/>
  <c r="E248" i="24" s="1"/>
  <c r="F248" i="24" s="1"/>
  <c r="H248" i="24" s="1"/>
  <c r="D331" i="24"/>
  <c r="E331" i="24" s="1"/>
  <c r="F331" i="24" s="1"/>
  <c r="H331" i="24" s="1"/>
  <c r="W27" i="24"/>
  <c r="W156" i="24"/>
  <c r="W124" i="24"/>
  <c r="W101" i="24"/>
  <c r="W269" i="24"/>
  <c r="D352" i="24"/>
  <c r="E352" i="24" s="1"/>
  <c r="F352" i="24" s="1"/>
  <c r="H352" i="24" s="1"/>
  <c r="D170" i="24"/>
  <c r="E170" i="24" s="1"/>
  <c r="F170" i="24" s="1"/>
  <c r="AA170" i="24" s="1"/>
  <c r="Z170" i="24" s="1"/>
  <c r="Y170" i="24" s="1"/>
  <c r="W188" i="24"/>
  <c r="D338" i="24"/>
  <c r="E338" i="24" s="1"/>
  <c r="F338" i="24" s="1"/>
  <c r="H338" i="24" s="1"/>
  <c r="W223" i="24"/>
  <c r="W351" i="24"/>
  <c r="D371" i="24"/>
  <c r="E371" i="24" s="1"/>
  <c r="F371" i="24" s="1"/>
  <c r="G371" i="24" s="1"/>
  <c r="CE371" i="6" s="1"/>
  <c r="W229" i="24"/>
  <c r="D294" i="24"/>
  <c r="E294" i="24" s="1"/>
  <c r="F294" i="24" s="1"/>
  <c r="G294" i="24" s="1"/>
  <c r="CE294" i="6" s="1"/>
  <c r="W211" i="24"/>
  <c r="D234" i="24"/>
  <c r="E234" i="24" s="1"/>
  <c r="F234" i="24" s="1"/>
  <c r="H234" i="24" s="1"/>
  <c r="W99" i="24"/>
  <c r="D106" i="24"/>
  <c r="E106" i="24" s="1"/>
  <c r="F106" i="24" s="1"/>
  <c r="AA106" i="24" s="1"/>
  <c r="Z106" i="24" s="1"/>
  <c r="Y106" i="24" s="1"/>
  <c r="D159" i="24"/>
  <c r="E159" i="24" s="1"/>
  <c r="F159" i="24" s="1"/>
  <c r="G159" i="24" s="1"/>
  <c r="CE159" i="6" s="1"/>
  <c r="D305" i="24"/>
  <c r="E305" i="24" s="1"/>
  <c r="F305" i="24" s="1"/>
  <c r="AA305" i="24" s="1"/>
  <c r="Z305" i="24" s="1"/>
  <c r="Y305" i="24" s="1"/>
  <c r="D322" i="24"/>
  <c r="E322" i="24" s="1"/>
  <c r="F322" i="24" s="1"/>
  <c r="H322" i="24" s="1"/>
  <c r="W253" i="24"/>
  <c r="W247" i="24"/>
  <c r="D376" i="24"/>
  <c r="E376" i="24" s="1"/>
  <c r="F376" i="24" s="1"/>
  <c r="G376" i="24" s="1"/>
  <c r="CE376" i="6" s="1"/>
  <c r="W238" i="24"/>
  <c r="D219" i="24"/>
  <c r="E219" i="24" s="1"/>
  <c r="F219" i="24" s="1"/>
  <c r="H219" i="24" s="1"/>
  <c r="D306" i="24"/>
  <c r="E306" i="24" s="1"/>
  <c r="F306" i="24" s="1"/>
  <c r="H306" i="24" s="1"/>
  <c r="W23" i="24"/>
  <c r="W182" i="24"/>
  <c r="W181" i="24"/>
  <c r="W267" i="24"/>
  <c r="W179" i="24"/>
  <c r="D359" i="24"/>
  <c r="E359" i="24" s="1"/>
  <c r="F359" i="24" s="1"/>
  <c r="H359" i="24" s="1"/>
  <c r="W47" i="24"/>
  <c r="W278" i="24"/>
  <c r="D203" i="24"/>
  <c r="E203" i="24" s="1"/>
  <c r="F203" i="24" s="1"/>
  <c r="H203" i="24" s="1"/>
  <c r="D312" i="24"/>
  <c r="E312" i="24" s="1"/>
  <c r="F312" i="24" s="1"/>
  <c r="AA312" i="24" s="1"/>
  <c r="Z312" i="24" s="1"/>
  <c r="Y312" i="24" s="1"/>
  <c r="T18" i="24"/>
  <c r="U382" i="24"/>
  <c r="U381" i="24"/>
  <c r="U383" i="24"/>
  <c r="L69" i="19"/>
  <c r="AA180" i="23"/>
  <c r="Z180" i="23" s="1"/>
  <c r="Y180" i="23" s="1"/>
  <c r="G180" i="23"/>
  <c r="CD180" i="6" s="1"/>
  <c r="AA302" i="23"/>
  <c r="Z302" i="23" s="1"/>
  <c r="Y302" i="23" s="1"/>
  <c r="G302" i="23"/>
  <c r="CD302" i="6" s="1"/>
  <c r="H302" i="23"/>
  <c r="G210" i="23"/>
  <c r="CD210" i="6" s="1"/>
  <c r="AA210" i="23"/>
  <c r="Z210" i="23" s="1"/>
  <c r="Y210" i="23" s="1"/>
  <c r="H210" i="23"/>
  <c r="G333" i="23"/>
  <c r="CD333" i="6" s="1"/>
  <c r="AA333" i="23"/>
  <c r="Z333" i="23" s="1"/>
  <c r="Y333" i="23" s="1"/>
  <c r="H333" i="23"/>
  <c r="R382" i="23"/>
  <c r="P15" i="23"/>
  <c r="R381" i="23"/>
  <c r="R383" i="23"/>
  <c r="H180" i="23"/>
  <c r="AA272" i="23"/>
  <c r="Z272" i="23" s="1"/>
  <c r="Y272" i="23" s="1"/>
  <c r="G272" i="23"/>
  <c r="CD272" i="6" s="1"/>
  <c r="H272" i="23"/>
  <c r="G363" i="23"/>
  <c r="CD363" i="6" s="1"/>
  <c r="AA363" i="23"/>
  <c r="Z363" i="23" s="1"/>
  <c r="Y363" i="23" s="1"/>
  <c r="G241" i="23"/>
  <c r="CD241" i="6" s="1"/>
  <c r="AA241" i="23"/>
  <c r="Z241" i="23" s="1"/>
  <c r="Y241" i="23" s="1"/>
  <c r="H241" i="23"/>
  <c r="I379" i="23"/>
  <c r="J379" i="23"/>
  <c r="G119" i="23"/>
  <c r="CD119" i="6" s="1"/>
  <c r="AA119" i="23"/>
  <c r="Z119" i="23" s="1"/>
  <c r="Y119" i="23" s="1"/>
  <c r="G149" i="23"/>
  <c r="CD149" i="6" s="1"/>
  <c r="AA149" i="23"/>
  <c r="Z149" i="23" s="1"/>
  <c r="Y149" i="23" s="1"/>
  <c r="H149" i="23"/>
  <c r="G88" i="23"/>
  <c r="CD88" i="6" s="1"/>
  <c r="AA88" i="23"/>
  <c r="Z88" i="23" s="1"/>
  <c r="Y88" i="23" s="1"/>
  <c r="H88" i="23"/>
  <c r="J119" i="23"/>
  <c r="H363" i="23"/>
  <c r="I380" i="24"/>
  <c r="H380" i="25" s="1"/>
  <c r="J380" i="24"/>
  <c r="AF383" i="23"/>
  <c r="AD15" i="23"/>
  <c r="AF382" i="23"/>
  <c r="AF381" i="23"/>
  <c r="J15" i="18"/>
  <c r="I15" i="18"/>
  <c r="G383" i="18"/>
  <c r="G12" i="18" s="1"/>
  <c r="G381" i="18"/>
  <c r="G382" i="18"/>
  <c r="Q71" i="25"/>
  <c r="Q76" i="25"/>
  <c r="Q175" i="25"/>
  <c r="Q210" i="25"/>
  <c r="Q325" i="25"/>
  <c r="Q349" i="25"/>
  <c r="Q114" i="25"/>
  <c r="Q226" i="25"/>
  <c r="Q238" i="25"/>
  <c r="Q351" i="25"/>
  <c r="Q356" i="25"/>
  <c r="Q30" i="25"/>
  <c r="Q198" i="25"/>
  <c r="Q374" i="25"/>
  <c r="Q201" i="25"/>
  <c r="Q300" i="25"/>
  <c r="Q62" i="25"/>
  <c r="Q298" i="25"/>
  <c r="Q281" i="25"/>
  <c r="Q294" i="25"/>
  <c r="Q279" i="25"/>
  <c r="Q348" i="25"/>
  <c r="Q182" i="25"/>
  <c r="Q234" i="25"/>
  <c r="Q103" i="25"/>
  <c r="Q55" i="25"/>
  <c r="Q280" i="25"/>
  <c r="Q16" i="25"/>
  <c r="Q274" i="25"/>
  <c r="Q363" i="25"/>
  <c r="Q100" i="25"/>
  <c r="Q132" i="25"/>
  <c r="Q286" i="25"/>
  <c r="Q271" i="25"/>
  <c r="Q138" i="25"/>
  <c r="Q58" i="25"/>
  <c r="Q72" i="25"/>
  <c r="Q239" i="25"/>
  <c r="Q153" i="25"/>
  <c r="Q33" i="25"/>
  <c r="Q46" i="25"/>
  <c r="Q317" i="25"/>
  <c r="Q304" i="25"/>
  <c r="Q322" i="25"/>
  <c r="Q148" i="25"/>
  <c r="Q141" i="25"/>
  <c r="Q174" i="25"/>
  <c r="Q91" i="25"/>
  <c r="Q151" i="25"/>
  <c r="Q329" i="25"/>
  <c r="Q173" i="25"/>
  <c r="Q278" i="25"/>
  <c r="Q335" i="25"/>
  <c r="Q222" i="25"/>
  <c r="Q179" i="25"/>
  <c r="Q48" i="25"/>
  <c r="Q267" i="25"/>
  <c r="Q338" i="25"/>
  <c r="Q129" i="25"/>
  <c r="Q231" i="25"/>
  <c r="Q53" i="25"/>
  <c r="Q209" i="25"/>
  <c r="Q172" i="25"/>
  <c r="Q176" i="25"/>
  <c r="Q137" i="25"/>
  <c r="Q59" i="25"/>
  <c r="Q86" i="25"/>
  <c r="Q245" i="25"/>
  <c r="Q20" i="25"/>
  <c r="Q314" i="25"/>
  <c r="Q21" i="25"/>
  <c r="Q262" i="25"/>
  <c r="Q90" i="25"/>
  <c r="Q28" i="25"/>
  <c r="Q70" i="25"/>
  <c r="Q25" i="25"/>
  <c r="Q93" i="25"/>
  <c r="Q18" i="25"/>
  <c r="Q124" i="25"/>
  <c r="Q297" i="25"/>
  <c r="Q360" i="25"/>
  <c r="Q56" i="25"/>
  <c r="Q80" i="25"/>
  <c r="Q340" i="25"/>
  <c r="Q89" i="25"/>
  <c r="Q24" i="25"/>
  <c r="Q88" i="25"/>
  <c r="Q359" i="25"/>
  <c r="Q108" i="25"/>
  <c r="Q364" i="25"/>
  <c r="Q299" i="25"/>
  <c r="Q65" i="25"/>
  <c r="Q232" i="25"/>
  <c r="Q109" i="25"/>
  <c r="Q306" i="25"/>
  <c r="Q315" i="25"/>
  <c r="Q39" i="25"/>
  <c r="Q312" i="25"/>
  <c r="Q259" i="25"/>
  <c r="Q368" i="25"/>
  <c r="Q125" i="25"/>
  <c r="Q19" i="25"/>
  <c r="Q254" i="25"/>
  <c r="Q377" i="25"/>
  <c r="Q139" i="25"/>
  <c r="Q156" i="25"/>
  <c r="Q366" i="25"/>
  <c r="Q221" i="25"/>
  <c r="Q111" i="25"/>
  <c r="Q257" i="25"/>
  <c r="Q244" i="25"/>
  <c r="Q361" i="25"/>
  <c r="Q135" i="25"/>
  <c r="Q101" i="25"/>
  <c r="Q332" i="25"/>
  <c r="Q309" i="25"/>
  <c r="Q180" i="25"/>
  <c r="Q323" i="25"/>
  <c r="Q36" i="25"/>
  <c r="Q224" i="25"/>
  <c r="E9" i="20"/>
  <c r="E11" i="20" s="1"/>
  <c r="E381" i="20"/>
  <c r="E382" i="20"/>
  <c r="AK8" i="20"/>
  <c r="AJ10" i="20"/>
  <c r="AJ12" i="20" s="1"/>
  <c r="F15" i="20"/>
  <c r="E383" i="20"/>
  <c r="AB9" i="18"/>
  <c r="F11" i="18"/>
  <c r="G15" i="19"/>
  <c r="AM8" i="18"/>
  <c r="AA9" i="18"/>
  <c r="AL10" i="18"/>
  <c r="AA382" i="18"/>
  <c r="Z15" i="18"/>
  <c r="AA383" i="18"/>
  <c r="AA381" i="18"/>
  <c r="Q265" i="25"/>
  <c r="Q165" i="25"/>
  <c r="Q225" i="25"/>
  <c r="Q190" i="25"/>
  <c r="Q207" i="25"/>
  <c r="Q189" i="25"/>
  <c r="Q287" i="25"/>
  <c r="Q110" i="25"/>
  <c r="Q208" i="25"/>
  <c r="Q185" i="25"/>
  <c r="Q328" i="25"/>
  <c r="AE25" i="25"/>
  <c r="AE190" i="25"/>
  <c r="AE365" i="25"/>
  <c r="AE201" i="25"/>
  <c r="AE238" i="25"/>
  <c r="AE167" i="25"/>
  <c r="AE283" i="25"/>
  <c r="AE77" i="25"/>
  <c r="AE258" i="25"/>
  <c r="AE78" i="25"/>
  <c r="AE135" i="25"/>
  <c r="AE372" i="25"/>
  <c r="AE262" i="25"/>
  <c r="AE98" i="25"/>
  <c r="AE171" i="25"/>
  <c r="AE324" i="25"/>
  <c r="AE241" i="25"/>
  <c r="AE230" i="25"/>
  <c r="AE373" i="25"/>
  <c r="AE30" i="25"/>
  <c r="AE150" i="25"/>
  <c r="AE209" i="25"/>
  <c r="AE280" i="25"/>
  <c r="AE341" i="25"/>
  <c r="AE218" i="25"/>
  <c r="AE362" i="25"/>
  <c r="AE63" i="25"/>
  <c r="AE248" i="25"/>
  <c r="AE181" i="25"/>
  <c r="AE186" i="25"/>
  <c r="AE99" i="25"/>
  <c r="AE252" i="25"/>
  <c r="AE106" i="25"/>
  <c r="AE275" i="25"/>
  <c r="AE172" i="25"/>
  <c r="AE249" i="25"/>
  <c r="AE158" i="25"/>
  <c r="AE343" i="25"/>
  <c r="AE336" i="25"/>
  <c r="AE140" i="25"/>
  <c r="AE89" i="25"/>
  <c r="AE379" i="25"/>
  <c r="AE55" i="25"/>
  <c r="AE176" i="25"/>
  <c r="AE349" i="25"/>
  <c r="AE57" i="25"/>
  <c r="AE347" i="25"/>
  <c r="AE244" i="25"/>
  <c r="AE289" i="25"/>
  <c r="AE292" i="25"/>
  <c r="AE64" i="25"/>
  <c r="AE187" i="25"/>
  <c r="AE212" i="25"/>
  <c r="AE129" i="25"/>
  <c r="AE246" i="25"/>
  <c r="AE319" i="25"/>
  <c r="AE155" i="25"/>
  <c r="AE52" i="25"/>
  <c r="AE97" i="25"/>
  <c r="AE355" i="25"/>
  <c r="AE159" i="25"/>
  <c r="AE344" i="25"/>
  <c r="AE33" i="25"/>
  <c r="AE282" i="25"/>
  <c r="AE195" i="25"/>
  <c r="AE220" i="25"/>
  <c r="AE56" i="25"/>
  <c r="AE245" i="25"/>
  <c r="AE250" i="25"/>
  <c r="AE163" i="25"/>
  <c r="AE60" i="25"/>
  <c r="AE265" i="25"/>
  <c r="AE302" i="25"/>
  <c r="AE90" i="25"/>
  <c r="AE352" i="25"/>
  <c r="AE29" i="25"/>
  <c r="AE322" i="25"/>
  <c r="AE142" i="25"/>
  <c r="AE199" i="25"/>
  <c r="AE320" i="25"/>
  <c r="AE237" i="25"/>
  <c r="AE162" i="25"/>
  <c r="AE235" i="25"/>
  <c r="AE15" i="25"/>
  <c r="AE160" i="25"/>
  <c r="AE205" i="25"/>
  <c r="AE130" i="25"/>
  <c r="AE75" i="25"/>
  <c r="AE100" i="25"/>
  <c r="AE273" i="25"/>
  <c r="AE45" i="25"/>
  <c r="AE335" i="25"/>
  <c r="AE43" i="25"/>
  <c r="Q94" i="25"/>
  <c r="Q200" i="25"/>
  <c r="Q51" i="25"/>
  <c r="Q256" i="25"/>
  <c r="Q191" i="25"/>
  <c r="Q354" i="25"/>
  <c r="Q220" i="25"/>
  <c r="Q142" i="25"/>
  <c r="Q336" i="25"/>
  <c r="Q96" i="25"/>
  <c r="Q166" i="25"/>
  <c r="Q213" i="25"/>
  <c r="Q152" i="25"/>
  <c r="Q258" i="25"/>
  <c r="Q357" i="25"/>
  <c r="Q35" i="25"/>
  <c r="Q146" i="25"/>
  <c r="Q342" i="25"/>
  <c r="Q43" i="25"/>
  <c r="Q112" i="25"/>
  <c r="AE54" i="25"/>
  <c r="AE325" i="25"/>
  <c r="AE127" i="25"/>
  <c r="AE113" i="25"/>
  <c r="AE312" i="25"/>
  <c r="AE102" i="25"/>
  <c r="AE116" i="25"/>
  <c r="AE303" i="25"/>
  <c r="AE161" i="25"/>
  <c r="AE232" i="25"/>
  <c r="AE19" i="25"/>
  <c r="AE165" i="25"/>
  <c r="AE316" i="25"/>
  <c r="AE170" i="25"/>
  <c r="AE152" i="25"/>
  <c r="AE339" i="25"/>
  <c r="AE213" i="25"/>
  <c r="AE143" i="25"/>
  <c r="AE346" i="25"/>
  <c r="AE200" i="25"/>
  <c r="AE259" i="25"/>
  <c r="AE133" i="25"/>
  <c r="AE284" i="25"/>
  <c r="AE376" i="25"/>
  <c r="AE233" i="25"/>
  <c r="AE51" i="25"/>
  <c r="AE53" i="25"/>
  <c r="AE204" i="25"/>
  <c r="AE58" i="25"/>
  <c r="AE40" i="25"/>
  <c r="AE227" i="25"/>
  <c r="AE318" i="25"/>
  <c r="AE124" i="25"/>
  <c r="AE375" i="25"/>
  <c r="AE73" i="25"/>
  <c r="AE240" i="25"/>
  <c r="AE110" i="25"/>
  <c r="AE44" i="25"/>
  <c r="AE295" i="25"/>
  <c r="AE121" i="25"/>
  <c r="AE67" i="25"/>
  <c r="AE286" i="25"/>
  <c r="AE92" i="25"/>
  <c r="AE215" i="25"/>
  <c r="AE41" i="25"/>
  <c r="AE208" i="25"/>
  <c r="AE331" i="25"/>
  <c r="AE125" i="25"/>
  <c r="AE356" i="25"/>
  <c r="AE306" i="25"/>
  <c r="AE128" i="25"/>
  <c r="AE126" i="25"/>
  <c r="AE301" i="25"/>
  <c r="AE183" i="25"/>
  <c r="AE226" i="25"/>
  <c r="AE48" i="25"/>
  <c r="AE299" i="25"/>
  <c r="AE310" i="25"/>
  <c r="AE196" i="25"/>
  <c r="AE27" i="25"/>
  <c r="AE369" i="25"/>
  <c r="AE219" i="25"/>
  <c r="AE358" i="25"/>
  <c r="AE20" i="25"/>
  <c r="AE194" i="25"/>
  <c r="AE36" i="25"/>
  <c r="AE139" i="25"/>
  <c r="AE278" i="25"/>
  <c r="AE164" i="25"/>
  <c r="AE223" i="25"/>
  <c r="AE81" i="25"/>
  <c r="AE59" i="25"/>
  <c r="AE198" i="25"/>
  <c r="AE84" i="25"/>
  <c r="AE24" i="25"/>
  <c r="AE257" i="25"/>
  <c r="AE107" i="25"/>
  <c r="AE118" i="25"/>
  <c r="AE374" i="25"/>
  <c r="AE191" i="25"/>
  <c r="AE266" i="25"/>
  <c r="AE120" i="25"/>
  <c r="AE307" i="25"/>
  <c r="AE309" i="25"/>
  <c r="AE111" i="25"/>
  <c r="AE314" i="25"/>
  <c r="AE296" i="25"/>
  <c r="AE86" i="25"/>
  <c r="AE229" i="25"/>
  <c r="AE31" i="25"/>
  <c r="AE234" i="25"/>
  <c r="AE329" i="25"/>
  <c r="AE147" i="25"/>
  <c r="AE32" i="25"/>
  <c r="AE300" i="25"/>
  <c r="AE154" i="25"/>
  <c r="AE377" i="25"/>
  <c r="AE323" i="25"/>
  <c r="AE197" i="25"/>
  <c r="AE348" i="25"/>
  <c r="AE74" i="25"/>
  <c r="AE297" i="25"/>
  <c r="AE115" i="25"/>
  <c r="AE206" i="25"/>
  <c r="AE364" i="25"/>
  <c r="AE263" i="25"/>
  <c r="AE217" i="25"/>
  <c r="AE26" i="25"/>
  <c r="AE21" i="25"/>
  <c r="AE188" i="25"/>
  <c r="AE42" i="25"/>
  <c r="AE137" i="25"/>
  <c r="AE304" i="25"/>
  <c r="AE174" i="25"/>
  <c r="AE221" i="25"/>
  <c r="AE103" i="25"/>
  <c r="AE274" i="25"/>
  <c r="AE224" i="25"/>
  <c r="AE94" i="25"/>
  <c r="AE269" i="25"/>
  <c r="AE279" i="25"/>
  <c r="AE105" i="25"/>
  <c r="AE272" i="25"/>
  <c r="AE378" i="25"/>
  <c r="AE189" i="25"/>
  <c r="AE71" i="25"/>
  <c r="AE114" i="25"/>
  <c r="AE337" i="25"/>
  <c r="AE315" i="25"/>
  <c r="AE109" i="25"/>
  <c r="AE340" i="25"/>
  <c r="AE290" i="25"/>
  <c r="AE112" i="25"/>
  <c r="AE363" i="25"/>
  <c r="AE37" i="25"/>
  <c r="AE260" i="25"/>
  <c r="AE82" i="25"/>
  <c r="AE177" i="25"/>
  <c r="AE17" i="25"/>
  <c r="AE166" i="25"/>
  <c r="AE180" i="25"/>
  <c r="AE367" i="25"/>
  <c r="AE225" i="25"/>
  <c r="AE203" i="25"/>
  <c r="AE342" i="25"/>
  <c r="AE228" i="25"/>
  <c r="AE287" i="25"/>
  <c r="AE145" i="25"/>
  <c r="AE216" i="25"/>
  <c r="AE368" i="25"/>
  <c r="AE277" i="25"/>
  <c r="AE207" i="25"/>
  <c r="AE65" i="25"/>
  <c r="AE264" i="25"/>
  <c r="AE182" i="25"/>
  <c r="AE68" i="25"/>
  <c r="AE255" i="25"/>
  <c r="AE330" i="25"/>
  <c r="AE184" i="25"/>
  <c r="AE371" i="25"/>
  <c r="AE117" i="25"/>
  <c r="AE268" i="25"/>
  <c r="AE122" i="25"/>
  <c r="AE104" i="25"/>
  <c r="AE291" i="25"/>
  <c r="AE293" i="25"/>
  <c r="AE95" i="25"/>
  <c r="AE298" i="25"/>
  <c r="AE38" i="25"/>
  <c r="AE211" i="25"/>
  <c r="AE85" i="25"/>
  <c r="AE108" i="25"/>
  <c r="AE359" i="25"/>
  <c r="AE185" i="25"/>
  <c r="AE131" i="25"/>
  <c r="AE350" i="25"/>
  <c r="AE156" i="25"/>
  <c r="AE138" i="25"/>
  <c r="AE361" i="25"/>
  <c r="AE179" i="25"/>
  <c r="AE270" i="25"/>
  <c r="AE76" i="25"/>
  <c r="AE327" i="25"/>
  <c r="Q330" i="25"/>
  <c r="Q98" i="25"/>
  <c r="Q34" i="25"/>
  <c r="Q241" i="25"/>
  <c r="Q99" i="25"/>
  <c r="Q353" i="25"/>
  <c r="Q37" i="25"/>
  <c r="Q334" i="25"/>
  <c r="Q255" i="25"/>
  <c r="BG15" i="7"/>
  <c r="AE192" i="25"/>
  <c r="AE247" i="25"/>
  <c r="AE22" i="25"/>
  <c r="AE285" i="25"/>
  <c r="AE338" i="25"/>
  <c r="AE18" i="25"/>
  <c r="AE87" i="25"/>
  <c r="AE80" i="25"/>
  <c r="AE253" i="25"/>
  <c r="AE178" i="25"/>
  <c r="AE123" i="25"/>
  <c r="AE148" i="25"/>
  <c r="AE321" i="25"/>
  <c r="AE93" i="25"/>
  <c r="AE146" i="25"/>
  <c r="AE91" i="25"/>
  <c r="AE175" i="25"/>
  <c r="AE360" i="25"/>
  <c r="AE35" i="25"/>
  <c r="AE351" i="25"/>
  <c r="AE70" i="25"/>
  <c r="AE16" i="25"/>
  <c r="AE72" i="25"/>
  <c r="AE261" i="25"/>
  <c r="AE49" i="25"/>
  <c r="AE39" i="25"/>
  <c r="AE332" i="25"/>
  <c r="AE281" i="25"/>
  <c r="AE101" i="25"/>
  <c r="AE88" i="25"/>
  <c r="AE149" i="25"/>
  <c r="AE23" i="25"/>
  <c r="AE288" i="25"/>
  <c r="AE333" i="25"/>
  <c r="AE169" i="25"/>
  <c r="AE334" i="25"/>
  <c r="AE370" i="25"/>
  <c r="AE256" i="25"/>
  <c r="AE173" i="25"/>
  <c r="AE354" i="25"/>
  <c r="AE46" i="25"/>
  <c r="AE231" i="25"/>
  <c r="AE96" i="25"/>
  <c r="AE141" i="25"/>
  <c r="AE66" i="25"/>
  <c r="AE267" i="25"/>
  <c r="AE61" i="25"/>
  <c r="AE242" i="25"/>
  <c r="AE326" i="25"/>
  <c r="AE271" i="25"/>
  <c r="AE328" i="25"/>
  <c r="AE132" i="25"/>
  <c r="AE305" i="25"/>
  <c r="AE294" i="25"/>
  <c r="AE239" i="25"/>
  <c r="AE168" i="25"/>
  <c r="AE357" i="25"/>
  <c r="AE28" i="25"/>
  <c r="AE134" i="25"/>
  <c r="AE79" i="25"/>
  <c r="AE136" i="25"/>
  <c r="AE69" i="25"/>
  <c r="AE202" i="25"/>
  <c r="AE243" i="25"/>
  <c r="AE47" i="25"/>
  <c r="AE345" i="25"/>
  <c r="AE254" i="25"/>
  <c r="AE311" i="25"/>
  <c r="AE83" i="25"/>
  <c r="AE236" i="25"/>
  <c r="AE313" i="25"/>
  <c r="AE222" i="25"/>
  <c r="AE151" i="25"/>
  <c r="AE144" i="25"/>
  <c r="AE317" i="25"/>
  <c r="AE153" i="25"/>
  <c r="AE62" i="25"/>
  <c r="AE119" i="25"/>
  <c r="AE366" i="25"/>
  <c r="AE157" i="25"/>
  <c r="AE210" i="25"/>
  <c r="AE34" i="25"/>
  <c r="AE308" i="25"/>
  <c r="AE353" i="25"/>
  <c r="AE214" i="25"/>
  <c r="AE50" i="25"/>
  <c r="AE251" i="25"/>
  <c r="AE276" i="25"/>
  <c r="AE193" i="25"/>
  <c r="Q205" i="25"/>
  <c r="Q155" i="25"/>
  <c r="Q214" i="25"/>
  <c r="Q216" i="25"/>
  <c r="Q123" i="25"/>
  <c r="Q115" i="25"/>
  <c r="Q73" i="25"/>
  <c r="Q212" i="25"/>
  <c r="Q77" i="25"/>
  <c r="Q230" i="25"/>
  <c r="Q117" i="25"/>
  <c r="Q341" i="25"/>
  <c r="Q291" i="25"/>
  <c r="Q57" i="25"/>
  <c r="Q75" i="25"/>
  <c r="Q106" i="25"/>
  <c r="Q302" i="25"/>
  <c r="Q270" i="25"/>
  <c r="Q186" i="25"/>
  <c r="Q326" i="25"/>
  <c r="Q95" i="25"/>
  <c r="Q178" i="25"/>
  <c r="Q250" i="25"/>
  <c r="Q147" i="25"/>
  <c r="Q379" i="25"/>
  <c r="Q97" i="25"/>
  <c r="Q248" i="25"/>
  <c r="Q54" i="25"/>
  <c r="Q321" i="25"/>
  <c r="Q269" i="25"/>
  <c r="Q260" i="25"/>
  <c r="Q78" i="25"/>
  <c r="Q160" i="25"/>
  <c r="Q49" i="25"/>
  <c r="Q203" i="25"/>
  <c r="Q223" i="25"/>
  <c r="Q310" i="25"/>
  <c r="Q369" i="25"/>
  <c r="Q187" i="25"/>
  <c r="Q228" i="25"/>
  <c r="Q295" i="25"/>
  <c r="Q84" i="25"/>
  <c r="Q305" i="25"/>
  <c r="Q79" i="25"/>
  <c r="Q40" i="25"/>
  <c r="Q318" i="25"/>
  <c r="Q23" i="25"/>
  <c r="Q303" i="25"/>
  <c r="Q26" i="25"/>
  <c r="Q131" i="25"/>
  <c r="Q168" i="25"/>
  <c r="Q122" i="25"/>
  <c r="Q219" i="25"/>
  <c r="Q371" i="25"/>
  <c r="Q163" i="25"/>
  <c r="Q275" i="25"/>
  <c r="Q177" i="25"/>
  <c r="Q320" i="25"/>
  <c r="Q261" i="25"/>
  <c r="Q324" i="25"/>
  <c r="Q82" i="25"/>
  <c r="Q31" i="25"/>
  <c r="Q266" i="25"/>
  <c r="Q333" i="25"/>
  <c r="Q69" i="25"/>
  <c r="Q204" i="25"/>
  <c r="Q85" i="25"/>
  <c r="Q121" i="25"/>
  <c r="Q292" i="25"/>
  <c r="Q243" i="25"/>
  <c r="Q237" i="25"/>
  <c r="Q181" i="25"/>
  <c r="Q370" i="25"/>
  <c r="Q104" i="25"/>
  <c r="Q355" i="25"/>
  <c r="Q233" i="25"/>
  <c r="Q240" i="25"/>
  <c r="Q102" i="25"/>
  <c r="Q249" i="25"/>
  <c r="Q145" i="25"/>
  <c r="Q372" i="25"/>
  <c r="Q242" i="25"/>
  <c r="Q277" i="25"/>
  <c r="Q67" i="25"/>
  <c r="Q197" i="25"/>
  <c r="Q227" i="25"/>
  <c r="Q316" i="25"/>
  <c r="Q60" i="25"/>
  <c r="Q144" i="25"/>
  <c r="Q32" i="25"/>
  <c r="Q52" i="25"/>
  <c r="Q352" i="25"/>
  <c r="Q311" i="25"/>
  <c r="Q154" i="25"/>
  <c r="Q229" i="25"/>
  <c r="Q83" i="25"/>
  <c r="Q167" i="25"/>
  <c r="Q293" i="25"/>
  <c r="Q264" i="25"/>
  <c r="Q143" i="25"/>
  <c r="Q273" i="25"/>
  <c r="Q365" i="25"/>
  <c r="AJ6" i="22"/>
  <c r="B382" i="22"/>
  <c r="H9" i="22"/>
  <c r="B17" i="19" s="1"/>
  <c r="W15" i="22"/>
  <c r="D15" i="22"/>
  <c r="B381" i="22"/>
  <c r="B383" i="22"/>
  <c r="AK6" i="22"/>
  <c r="AK7" i="22"/>
  <c r="AG104" i="24"/>
  <c r="AH383" i="24"/>
  <c r="AH382" i="24"/>
  <c r="AH381" i="24"/>
  <c r="AG379" i="24"/>
  <c r="AF379" i="24" s="1"/>
  <c r="AD379" i="24" s="1"/>
  <c r="AM5" i="18"/>
  <c r="AM11" i="18" s="1"/>
  <c r="AK3" i="18" s="1"/>
  <c r="Q15" i="19" s="1"/>
  <c r="N15" i="19" s="1"/>
  <c r="D69" i="19"/>
  <c r="C69" i="19"/>
  <c r="H69" i="19"/>
  <c r="I69" i="19"/>
  <c r="F69" i="19"/>
  <c r="G316" i="24"/>
  <c r="CE316" i="6" s="1"/>
  <c r="AA316" i="24"/>
  <c r="Z316" i="24" s="1"/>
  <c r="Y316" i="24" s="1"/>
  <c r="H316" i="24"/>
  <c r="H358" i="24"/>
  <c r="AA358" i="24"/>
  <c r="Z358" i="24" s="1"/>
  <c r="Y358" i="24" s="1"/>
  <c r="G358" i="24"/>
  <c r="CE358" i="6" s="1"/>
  <c r="AD15" i="24"/>
  <c r="G242" i="24"/>
  <c r="CE242" i="6" s="1"/>
  <c r="H242" i="24"/>
  <c r="AA242" i="24"/>
  <c r="Z242" i="24" s="1"/>
  <c r="Y242" i="24" s="1"/>
  <c r="AA167" i="24"/>
  <c r="Z167" i="24" s="1"/>
  <c r="Y167" i="24" s="1"/>
  <c r="H167" i="24"/>
  <c r="G167" i="24"/>
  <c r="CE167" i="6" s="1"/>
  <c r="G217" i="24"/>
  <c r="CE217" i="6" s="1"/>
  <c r="H217" i="24"/>
  <c r="AA217" i="24"/>
  <c r="Z217" i="24" s="1"/>
  <c r="Y217" i="24" s="1"/>
  <c r="G50" i="24"/>
  <c r="CE50" i="6" s="1"/>
  <c r="AA50" i="24"/>
  <c r="Z50" i="24" s="1"/>
  <c r="Y50" i="24" s="1"/>
  <c r="H50" i="24"/>
  <c r="H91" i="24"/>
  <c r="G91" i="24"/>
  <c r="CE91" i="6" s="1"/>
  <c r="AA91" i="24"/>
  <c r="Z91" i="24" s="1"/>
  <c r="Y91" i="24" s="1"/>
  <c r="H253" i="24"/>
  <c r="G253" i="24"/>
  <c r="CE253" i="6" s="1"/>
  <c r="AA253" i="24"/>
  <c r="Z253" i="24" s="1"/>
  <c r="Y253" i="24" s="1"/>
  <c r="G81" i="24"/>
  <c r="CE81" i="6" s="1"/>
  <c r="H81" i="24"/>
  <c r="AA81" i="24"/>
  <c r="Z81" i="24" s="1"/>
  <c r="Y81" i="24" s="1"/>
  <c r="AA247" i="24"/>
  <c r="Z247" i="24" s="1"/>
  <c r="Y247" i="24" s="1"/>
  <c r="H247" i="24"/>
  <c r="G247" i="24"/>
  <c r="CE247" i="6" s="1"/>
  <c r="AA198" i="24"/>
  <c r="Z198" i="24" s="1"/>
  <c r="Y198" i="24" s="1"/>
  <c r="H198" i="24"/>
  <c r="G198" i="24"/>
  <c r="CE198" i="6" s="1"/>
  <c r="H161" i="24"/>
  <c r="G161" i="24"/>
  <c r="CE161" i="6" s="1"/>
  <c r="AA161" i="24"/>
  <c r="Z161" i="24" s="1"/>
  <c r="Y161" i="24" s="1"/>
  <c r="H212" i="24"/>
  <c r="AA212" i="24"/>
  <c r="Z212" i="24" s="1"/>
  <c r="Y212" i="24" s="1"/>
  <c r="G212" i="24"/>
  <c r="CE212" i="6" s="1"/>
  <c r="H357" i="24"/>
  <c r="G357" i="24"/>
  <c r="CE357" i="6" s="1"/>
  <c r="AA357" i="24"/>
  <c r="Z357" i="24" s="1"/>
  <c r="Y357" i="24" s="1"/>
  <c r="H340" i="24"/>
  <c r="AA340" i="24"/>
  <c r="Z340" i="24" s="1"/>
  <c r="Y340" i="24" s="1"/>
  <c r="G340" i="24"/>
  <c r="CE340" i="6" s="1"/>
  <c r="G42" i="24"/>
  <c r="CE42" i="6" s="1"/>
  <c r="H42" i="24"/>
  <c r="AA42" i="24"/>
  <c r="Z42" i="24" s="1"/>
  <c r="Y42" i="24" s="1"/>
  <c r="H243" i="24"/>
  <c r="AA243" i="24"/>
  <c r="Z243" i="24" s="1"/>
  <c r="Y243" i="24" s="1"/>
  <c r="G243" i="24"/>
  <c r="CE243" i="6" s="1"/>
  <c r="H254" i="24"/>
  <c r="G254" i="24"/>
  <c r="CE254" i="6" s="1"/>
  <c r="AA254" i="24"/>
  <c r="Z254" i="24" s="1"/>
  <c r="Y254" i="24" s="1"/>
  <c r="H49" i="24"/>
  <c r="G49" i="24"/>
  <c r="CE49" i="6" s="1"/>
  <c r="AA49" i="24"/>
  <c r="Z49" i="24" s="1"/>
  <c r="Y49" i="24" s="1"/>
  <c r="G97" i="24"/>
  <c r="CE97" i="6" s="1"/>
  <c r="AA97" i="24"/>
  <c r="Z97" i="24" s="1"/>
  <c r="Y97" i="24" s="1"/>
  <c r="H97" i="24"/>
  <c r="G63" i="24"/>
  <c r="CE63" i="6" s="1"/>
  <c r="AA63" i="24"/>
  <c r="Z63" i="24" s="1"/>
  <c r="Y63" i="24" s="1"/>
  <c r="H63" i="24"/>
  <c r="AA204" i="24"/>
  <c r="Z204" i="24" s="1"/>
  <c r="Y204" i="24" s="1"/>
  <c r="H204" i="24"/>
  <c r="G204" i="24"/>
  <c r="CE204" i="6" s="1"/>
  <c r="H279" i="24"/>
  <c r="AA279" i="24"/>
  <c r="Z279" i="24" s="1"/>
  <c r="Y279" i="24" s="1"/>
  <c r="G279" i="24"/>
  <c r="CE279" i="6" s="1"/>
  <c r="H323" i="24"/>
  <c r="G323" i="24"/>
  <c r="CE323" i="6" s="1"/>
  <c r="AA323" i="24"/>
  <c r="Z323" i="24" s="1"/>
  <c r="Y323" i="24" s="1"/>
  <c r="H55" i="24"/>
  <c r="G55" i="24"/>
  <c r="CE55" i="6" s="1"/>
  <c r="AA55" i="24"/>
  <c r="Z55" i="24" s="1"/>
  <c r="Y55" i="24" s="1"/>
  <c r="AA334" i="24"/>
  <c r="Z334" i="24" s="1"/>
  <c r="Y334" i="24" s="1"/>
  <c r="H334" i="24"/>
  <c r="G334" i="24"/>
  <c r="CE334" i="6" s="1"/>
  <c r="AA261" i="24"/>
  <c r="Z261" i="24" s="1"/>
  <c r="Y261" i="24" s="1"/>
  <c r="G261" i="24"/>
  <c r="CE261" i="6" s="1"/>
  <c r="H261" i="24"/>
  <c r="AA175" i="24"/>
  <c r="Z175" i="24" s="1"/>
  <c r="Y175" i="24" s="1"/>
  <c r="G175" i="24"/>
  <c r="CE175" i="6" s="1"/>
  <c r="H175" i="24"/>
  <c r="G266" i="24"/>
  <c r="CE266" i="6" s="1"/>
  <c r="H266" i="24"/>
  <c r="AA266" i="24"/>
  <c r="Z266" i="24" s="1"/>
  <c r="Y266" i="24" s="1"/>
  <c r="G329" i="24"/>
  <c r="CE329" i="6" s="1"/>
  <c r="H329" i="24"/>
  <c r="AA329" i="24"/>
  <c r="Z329" i="24" s="1"/>
  <c r="Y329" i="24" s="1"/>
  <c r="AA171" i="24"/>
  <c r="Z171" i="24" s="1"/>
  <c r="Y171" i="24" s="1"/>
  <c r="H171" i="24"/>
  <c r="G171" i="24"/>
  <c r="CE171" i="6" s="1"/>
  <c r="G120" i="24"/>
  <c r="CE120" i="6" s="1"/>
  <c r="AA120" i="24"/>
  <c r="Z120" i="24" s="1"/>
  <c r="Y120" i="24" s="1"/>
  <c r="H120" i="24"/>
  <c r="G76" i="24"/>
  <c r="CE76" i="6" s="1"/>
  <c r="H76" i="24"/>
  <c r="AA76" i="24"/>
  <c r="Z76" i="24" s="1"/>
  <c r="Y76" i="24" s="1"/>
  <c r="G169" i="24"/>
  <c r="CE169" i="6" s="1"/>
  <c r="AA169" i="24"/>
  <c r="Z169" i="24" s="1"/>
  <c r="Y169" i="24" s="1"/>
  <c r="H169" i="24"/>
  <c r="H375" i="24"/>
  <c r="AA375" i="24"/>
  <c r="Z375" i="24" s="1"/>
  <c r="Y375" i="24" s="1"/>
  <c r="G375" i="24"/>
  <c r="CE375" i="6" s="1"/>
  <c r="AA318" i="24"/>
  <c r="Z318" i="24" s="1"/>
  <c r="Y318" i="24" s="1"/>
  <c r="G318" i="24"/>
  <c r="CE318" i="6" s="1"/>
  <c r="H318" i="24"/>
  <c r="H59" i="24"/>
  <c r="G59" i="24"/>
  <c r="CE59" i="6" s="1"/>
  <c r="AA59" i="24"/>
  <c r="Z59" i="24" s="1"/>
  <c r="Y59" i="24" s="1"/>
  <c r="AA33" i="24"/>
  <c r="Z33" i="24" s="1"/>
  <c r="Y33" i="24" s="1"/>
  <c r="AA301" i="24"/>
  <c r="Z301" i="24" s="1"/>
  <c r="Y301" i="24" s="1"/>
  <c r="G301" i="24"/>
  <c r="CE301" i="6" s="1"/>
  <c r="H301" i="24"/>
  <c r="H104" i="24"/>
  <c r="G104" i="24"/>
  <c r="CE104" i="6" s="1"/>
  <c r="W210" i="24"/>
  <c r="D210" i="24"/>
  <c r="E210" i="24" s="1"/>
  <c r="F210" i="24" s="1"/>
  <c r="H177" i="24"/>
  <c r="AA177" i="24"/>
  <c r="Z177" i="24" s="1"/>
  <c r="Y177" i="24" s="1"/>
  <c r="G177" i="24"/>
  <c r="CE177" i="6" s="1"/>
  <c r="G69" i="24"/>
  <c r="CE69" i="6" s="1"/>
  <c r="H69" i="24"/>
  <c r="AA69" i="24"/>
  <c r="Z69" i="24" s="1"/>
  <c r="Y69" i="24" s="1"/>
  <c r="AA345" i="24"/>
  <c r="Z345" i="24" s="1"/>
  <c r="Y345" i="24" s="1"/>
  <c r="H345" i="24"/>
  <c r="G345" i="24"/>
  <c r="CE345" i="6" s="1"/>
  <c r="AA214" i="24"/>
  <c r="Z214" i="24" s="1"/>
  <c r="Y214" i="24" s="1"/>
  <c r="G214" i="24"/>
  <c r="CE214" i="6" s="1"/>
  <c r="H214" i="24"/>
  <c r="AA292" i="24"/>
  <c r="Z292" i="24" s="1"/>
  <c r="Y292" i="24" s="1"/>
  <c r="G292" i="24"/>
  <c r="CE292" i="6" s="1"/>
  <c r="H292" i="24"/>
  <c r="G79" i="24"/>
  <c r="CE79" i="6" s="1"/>
  <c r="H79" i="24"/>
  <c r="AA79" i="24"/>
  <c r="Z79" i="24" s="1"/>
  <c r="Y79" i="24" s="1"/>
  <c r="G72" i="24"/>
  <c r="CE72" i="6" s="1"/>
  <c r="AA72" i="24"/>
  <c r="Z72" i="24" s="1"/>
  <c r="Y72" i="24" s="1"/>
  <c r="H72" i="24"/>
  <c r="H255" i="24"/>
  <c r="AA255" i="24"/>
  <c r="Z255" i="24" s="1"/>
  <c r="Y255" i="24" s="1"/>
  <c r="G255" i="24"/>
  <c r="CE255" i="6" s="1"/>
  <c r="G271" i="24"/>
  <c r="CE271" i="6" s="1"/>
  <c r="H271" i="24"/>
  <c r="AA271" i="24"/>
  <c r="Z271" i="24" s="1"/>
  <c r="Y271" i="24" s="1"/>
  <c r="AA48" i="24"/>
  <c r="Z48" i="24" s="1"/>
  <c r="Y48" i="24" s="1"/>
  <c r="G48" i="24"/>
  <c r="CE48" i="6" s="1"/>
  <c r="H48" i="24"/>
  <c r="G115" i="24"/>
  <c r="CE115" i="6" s="1"/>
  <c r="AA115" i="24"/>
  <c r="Z115" i="24" s="1"/>
  <c r="Y115" i="24" s="1"/>
  <c r="H115" i="24"/>
  <c r="AA153" i="24"/>
  <c r="Z153" i="24" s="1"/>
  <c r="Y153" i="24" s="1"/>
  <c r="G153" i="24"/>
  <c r="CE153" i="6" s="1"/>
  <c r="H153" i="24"/>
  <c r="H252" i="24"/>
  <c r="G252" i="24"/>
  <c r="CE252" i="6" s="1"/>
  <c r="AA252" i="24"/>
  <c r="Z252" i="24" s="1"/>
  <c r="Y252" i="24" s="1"/>
  <c r="H163" i="24"/>
  <c r="G163" i="24"/>
  <c r="CE163" i="6" s="1"/>
  <c r="AA163" i="24"/>
  <c r="Z163" i="24" s="1"/>
  <c r="Y163" i="24" s="1"/>
  <c r="H293" i="24"/>
  <c r="AA293" i="24"/>
  <c r="Z293" i="24" s="1"/>
  <c r="Y293" i="24" s="1"/>
  <c r="G293" i="24"/>
  <c r="CE293" i="6" s="1"/>
  <c r="H95" i="24"/>
  <c r="G95" i="24"/>
  <c r="CE95" i="6" s="1"/>
  <c r="AA95" i="24"/>
  <c r="Z95" i="24" s="1"/>
  <c r="Y95" i="24" s="1"/>
  <c r="AA339" i="24"/>
  <c r="Z339" i="24" s="1"/>
  <c r="Y339" i="24" s="1"/>
  <c r="H339" i="24"/>
  <c r="G339" i="24"/>
  <c r="CE339" i="6" s="1"/>
  <c r="AA364" i="24"/>
  <c r="Z364" i="24" s="1"/>
  <c r="Y364" i="24" s="1"/>
  <c r="G364" i="24"/>
  <c r="CE364" i="6" s="1"/>
  <c r="H364" i="24"/>
  <c r="H178" i="24"/>
  <c r="AA178" i="24"/>
  <c r="Z178" i="24" s="1"/>
  <c r="Y178" i="24" s="1"/>
  <c r="G178" i="24"/>
  <c r="CE178" i="6" s="1"/>
  <c r="H34" i="24"/>
  <c r="G34" i="24"/>
  <c r="CE34" i="6" s="1"/>
  <c r="AA34" i="24"/>
  <c r="Z34" i="24" s="1"/>
  <c r="Y34" i="24" s="1"/>
  <c r="H284" i="24"/>
  <c r="G284" i="24"/>
  <c r="CE284" i="6" s="1"/>
  <c r="AA284" i="24"/>
  <c r="Z284" i="24" s="1"/>
  <c r="Y284" i="24" s="1"/>
  <c r="AA133" i="24"/>
  <c r="Z133" i="24" s="1"/>
  <c r="Y133" i="24" s="1"/>
  <c r="G133" i="24"/>
  <c r="CE133" i="6" s="1"/>
  <c r="H133" i="24"/>
  <c r="H208" i="24"/>
  <c r="AA208" i="24"/>
  <c r="Z208" i="24" s="1"/>
  <c r="Y208" i="24" s="1"/>
  <c r="G208" i="24"/>
  <c r="CE208" i="6" s="1"/>
  <c r="H230" i="24"/>
  <c r="G230" i="24"/>
  <c r="CE230" i="6" s="1"/>
  <c r="AA230" i="24"/>
  <c r="Z230" i="24" s="1"/>
  <c r="Y230" i="24" s="1"/>
  <c r="H225" i="24"/>
  <c r="AA225" i="24"/>
  <c r="Z225" i="24" s="1"/>
  <c r="Y225" i="24" s="1"/>
  <c r="G225" i="24"/>
  <c r="CE225" i="6" s="1"/>
  <c r="H118" i="24"/>
  <c r="AA118" i="24"/>
  <c r="Z118" i="24" s="1"/>
  <c r="Y118" i="24" s="1"/>
  <c r="G118" i="24"/>
  <c r="CE118" i="6" s="1"/>
  <c r="H152" i="24"/>
  <c r="G152" i="24"/>
  <c r="CE152" i="6" s="1"/>
  <c r="AA152" i="24"/>
  <c r="Z152" i="24" s="1"/>
  <c r="Y152" i="24" s="1"/>
  <c r="G240" i="24"/>
  <c r="CE240" i="6" s="1"/>
  <c r="H240" i="24"/>
  <c r="AA240" i="24"/>
  <c r="Z240" i="24" s="1"/>
  <c r="Y240" i="24" s="1"/>
  <c r="G143" i="24"/>
  <c r="CE143" i="6" s="1"/>
  <c r="AA143" i="24"/>
  <c r="Z143" i="24" s="1"/>
  <c r="Y143" i="24" s="1"/>
  <c r="H143" i="24"/>
  <c r="G282" i="24"/>
  <c r="CE282" i="6" s="1"/>
  <c r="H282" i="24"/>
  <c r="AA282" i="24"/>
  <c r="Z282" i="24" s="1"/>
  <c r="Y282" i="24" s="1"/>
  <c r="AA202" i="24"/>
  <c r="Z202" i="24" s="1"/>
  <c r="Y202" i="24" s="1"/>
  <c r="G202" i="24"/>
  <c r="CE202" i="6" s="1"/>
  <c r="H202" i="24"/>
  <c r="G344" i="24"/>
  <c r="CE344" i="6" s="1"/>
  <c r="H344" i="24"/>
  <c r="AA344" i="24"/>
  <c r="Z344" i="24" s="1"/>
  <c r="Y344" i="24" s="1"/>
  <c r="AA200" i="24"/>
  <c r="Z200" i="24" s="1"/>
  <c r="Y200" i="24" s="1"/>
  <c r="G200" i="24"/>
  <c r="CE200" i="6" s="1"/>
  <c r="H200" i="24"/>
  <c r="H157" i="24"/>
  <c r="G157" i="24"/>
  <c r="CE157" i="6" s="1"/>
  <c r="AA157" i="24"/>
  <c r="Z157" i="24" s="1"/>
  <c r="Y157" i="24" s="1"/>
  <c r="H270" i="24"/>
  <c r="AA270" i="24"/>
  <c r="Z270" i="24" s="1"/>
  <c r="Y270" i="24" s="1"/>
  <c r="G270" i="24"/>
  <c r="CE270" i="6" s="1"/>
  <c r="G251" i="24"/>
  <c r="CE251" i="6" s="1"/>
  <c r="AA251" i="24"/>
  <c r="Z251" i="24" s="1"/>
  <c r="Y251" i="24" s="1"/>
  <c r="H251" i="24"/>
  <c r="AA341" i="24"/>
  <c r="Z341" i="24" s="1"/>
  <c r="Y341" i="24" s="1"/>
  <c r="H341" i="24"/>
  <c r="G341" i="24"/>
  <c r="CE341" i="6" s="1"/>
  <c r="G158" i="24"/>
  <c r="CE158" i="6" s="1"/>
  <c r="AA158" i="24"/>
  <c r="Z158" i="24" s="1"/>
  <c r="Y158" i="24" s="1"/>
  <c r="H158" i="24"/>
  <c r="AA117" i="24"/>
  <c r="Z117" i="24" s="1"/>
  <c r="Y117" i="24" s="1"/>
  <c r="H117" i="24"/>
  <c r="G117" i="24"/>
  <c r="CE117" i="6" s="1"/>
  <c r="G244" i="24"/>
  <c r="CE244" i="6" s="1"/>
  <c r="H244" i="24"/>
  <c r="AA244" i="24"/>
  <c r="Z244" i="24" s="1"/>
  <c r="Y244" i="24" s="1"/>
  <c r="G348" i="24"/>
  <c r="CE348" i="6" s="1"/>
  <c r="AA348" i="24"/>
  <c r="Z348" i="24" s="1"/>
  <c r="Y348" i="24" s="1"/>
  <c r="H348" i="24"/>
  <c r="AA374" i="24"/>
  <c r="Z374" i="24" s="1"/>
  <c r="Y374" i="24" s="1"/>
  <c r="H374" i="24"/>
  <c r="G374" i="24"/>
  <c r="CE374" i="6" s="1"/>
  <c r="H134" i="24"/>
  <c r="G134" i="24"/>
  <c r="CE134" i="6" s="1"/>
  <c r="AA134" i="24"/>
  <c r="Z134" i="24" s="1"/>
  <c r="Y134" i="24" s="1"/>
  <c r="AA361" i="24"/>
  <c r="Z361" i="24" s="1"/>
  <c r="Y361" i="24" s="1"/>
  <c r="H361" i="24"/>
  <c r="G361" i="24"/>
  <c r="CE361" i="6" s="1"/>
  <c r="AA187" i="24"/>
  <c r="Z187" i="24" s="1"/>
  <c r="Y187" i="24" s="1"/>
  <c r="G187" i="24"/>
  <c r="CE187" i="6" s="1"/>
  <c r="H187" i="24"/>
  <c r="H290" i="24"/>
  <c r="AA290" i="24"/>
  <c r="Z290" i="24" s="1"/>
  <c r="Y290" i="24" s="1"/>
  <c r="G290" i="24"/>
  <c r="CE290" i="6" s="1"/>
  <c r="H189" i="24"/>
  <c r="G189" i="24"/>
  <c r="CE189" i="6" s="1"/>
  <c r="AA189" i="24"/>
  <c r="Z189" i="24" s="1"/>
  <c r="Y189" i="24" s="1"/>
  <c r="AA216" i="24"/>
  <c r="Z216" i="24" s="1"/>
  <c r="Y216" i="24" s="1"/>
  <c r="H216" i="24"/>
  <c r="G216" i="24"/>
  <c r="CE216" i="6" s="1"/>
  <c r="AA193" i="24"/>
  <c r="Z193" i="24" s="1"/>
  <c r="Y193" i="24" s="1"/>
  <c r="H193" i="24"/>
  <c r="G193" i="24"/>
  <c r="CE193" i="6" s="1"/>
  <c r="AA185" i="24"/>
  <c r="Z185" i="24" s="1"/>
  <c r="Y185" i="24" s="1"/>
  <c r="H185" i="24"/>
  <c r="G185" i="24"/>
  <c r="CE185" i="6" s="1"/>
  <c r="G164" i="24"/>
  <c r="CE164" i="6" s="1"/>
  <c r="AA164" i="24"/>
  <c r="Z164" i="24" s="1"/>
  <c r="Y164" i="24" s="1"/>
  <c r="H164" i="24"/>
  <c r="H108" i="24"/>
  <c r="G108" i="24"/>
  <c r="CE108" i="6" s="1"/>
  <c r="AA108" i="24"/>
  <c r="Z108" i="24" s="1"/>
  <c r="Y108" i="24" s="1"/>
  <c r="R15" i="24"/>
  <c r="AA80" i="24"/>
  <c r="Z80" i="24" s="1"/>
  <c r="Y80" i="24" s="1"/>
  <c r="H80" i="24"/>
  <c r="G80" i="24"/>
  <c r="CE80" i="6" s="1"/>
  <c r="H31" i="24"/>
  <c r="G31" i="24"/>
  <c r="CE31" i="6" s="1"/>
  <c r="AA31" i="24"/>
  <c r="Z31" i="24" s="1"/>
  <c r="Y31" i="24" s="1"/>
  <c r="G168" i="24"/>
  <c r="CE168" i="6" s="1"/>
  <c r="AA168" i="24"/>
  <c r="Z168" i="24" s="1"/>
  <c r="Y168" i="24" s="1"/>
  <c r="H168" i="24"/>
  <c r="AA27" i="24"/>
  <c r="Z27" i="24" s="1"/>
  <c r="Y27" i="24" s="1"/>
  <c r="H27" i="24"/>
  <c r="G27" i="24"/>
  <c r="CE27" i="6" s="1"/>
  <c r="G21" i="24"/>
  <c r="CE21" i="6" s="1"/>
  <c r="H21" i="24"/>
  <c r="AA21" i="24"/>
  <c r="Z21" i="24" s="1"/>
  <c r="Y21" i="24" s="1"/>
  <c r="H295" i="24"/>
  <c r="AA295" i="24"/>
  <c r="Z295" i="24" s="1"/>
  <c r="Y295" i="24" s="1"/>
  <c r="G295" i="24"/>
  <c r="CE295" i="6" s="1"/>
  <c r="H130" i="24"/>
  <c r="AA130" i="24"/>
  <c r="Z130" i="24" s="1"/>
  <c r="Y130" i="24" s="1"/>
  <c r="G130" i="24"/>
  <c r="CE130" i="6" s="1"/>
  <c r="H58" i="24"/>
  <c r="AA58" i="24"/>
  <c r="Z58" i="24" s="1"/>
  <c r="Y58" i="24" s="1"/>
  <c r="G58" i="24"/>
  <c r="CE58" i="6" s="1"/>
  <c r="W272" i="24"/>
  <c r="D272" i="24"/>
  <c r="E272" i="24" s="1"/>
  <c r="F272" i="24" s="1"/>
  <c r="H78" i="24"/>
  <c r="AA78" i="24"/>
  <c r="Z78" i="24" s="1"/>
  <c r="Y78" i="24" s="1"/>
  <c r="G78" i="24"/>
  <c r="CE78" i="6" s="1"/>
  <c r="H188" i="24"/>
  <c r="G188" i="24"/>
  <c r="CE188" i="6" s="1"/>
  <c r="AA188" i="24"/>
  <c r="Z188" i="24" s="1"/>
  <c r="Y188" i="24" s="1"/>
  <c r="AA103" i="24"/>
  <c r="Z103" i="24" s="1"/>
  <c r="Y103" i="24" s="1"/>
  <c r="H103" i="24"/>
  <c r="G103" i="24"/>
  <c r="CE103" i="6" s="1"/>
  <c r="G299" i="24"/>
  <c r="CE299" i="6" s="1"/>
  <c r="H299" i="24"/>
  <c r="AA299" i="24"/>
  <c r="Z299" i="24" s="1"/>
  <c r="Y299" i="24" s="1"/>
  <c r="G232" i="24"/>
  <c r="CE232" i="6" s="1"/>
  <c r="H232" i="24"/>
  <c r="AA232" i="24"/>
  <c r="Z232" i="24" s="1"/>
  <c r="Y232" i="24" s="1"/>
  <c r="G123" i="24"/>
  <c r="CE123" i="6" s="1"/>
  <c r="H123" i="24"/>
  <c r="AA123" i="24"/>
  <c r="Z123" i="24" s="1"/>
  <c r="Y123" i="24" s="1"/>
  <c r="J69" i="19"/>
  <c r="G98" i="24"/>
  <c r="CE98" i="6" s="1"/>
  <c r="H98" i="24"/>
  <c r="AA98" i="24"/>
  <c r="Z98" i="24" s="1"/>
  <c r="Y98" i="24" s="1"/>
  <c r="H236" i="24"/>
  <c r="AA236" i="24"/>
  <c r="Z236" i="24" s="1"/>
  <c r="Y236" i="24" s="1"/>
  <c r="G236" i="24"/>
  <c r="CE236" i="6" s="1"/>
  <c r="G354" i="24"/>
  <c r="CE354" i="6" s="1"/>
  <c r="AA354" i="24"/>
  <c r="Z354" i="24" s="1"/>
  <c r="Y354" i="24" s="1"/>
  <c r="H354" i="24"/>
  <c r="AA245" i="24"/>
  <c r="Z245" i="24" s="1"/>
  <c r="Y245" i="24" s="1"/>
  <c r="H245" i="24"/>
  <c r="G245" i="24"/>
  <c r="CE245" i="6" s="1"/>
  <c r="G20" i="24"/>
  <c r="CE20" i="6" s="1"/>
  <c r="H20" i="24"/>
  <c r="AA20" i="24"/>
  <c r="Z20" i="24" s="1"/>
  <c r="Y20" i="24" s="1"/>
  <c r="AA165" i="24"/>
  <c r="Z165" i="24" s="1"/>
  <c r="Y165" i="24" s="1"/>
  <c r="H165" i="24"/>
  <c r="G165" i="24"/>
  <c r="CE165" i="6" s="1"/>
  <c r="AA274" i="24"/>
  <c r="Z274" i="24" s="1"/>
  <c r="Y274" i="24" s="1"/>
  <c r="G274" i="24"/>
  <c r="CE274" i="6" s="1"/>
  <c r="H274" i="24"/>
  <c r="D166" i="24"/>
  <c r="E166" i="24" s="1"/>
  <c r="F166" i="24" s="1"/>
  <c r="W166" i="24"/>
  <c r="AA235" i="24"/>
  <c r="Z235" i="24" s="1"/>
  <c r="Y235" i="24" s="1"/>
  <c r="G235" i="24"/>
  <c r="CE235" i="6" s="1"/>
  <c r="H235" i="24"/>
  <c r="G156" i="24"/>
  <c r="CE156" i="6" s="1"/>
  <c r="H156" i="24"/>
  <c r="AA156" i="24"/>
  <c r="Z156" i="24" s="1"/>
  <c r="Y156" i="24" s="1"/>
  <c r="H140" i="24"/>
  <c r="AA140" i="24"/>
  <c r="Z140" i="24" s="1"/>
  <c r="Y140" i="24" s="1"/>
  <c r="G140" i="24"/>
  <c r="CE140" i="6" s="1"/>
  <c r="G237" i="24"/>
  <c r="CE237" i="6" s="1"/>
  <c r="H237" i="24"/>
  <c r="AA237" i="24"/>
  <c r="Z237" i="24" s="1"/>
  <c r="Y237" i="24" s="1"/>
  <c r="AA124" i="24"/>
  <c r="Z124" i="24" s="1"/>
  <c r="Y124" i="24" s="1"/>
  <c r="H124" i="24"/>
  <c r="G124" i="24"/>
  <c r="CE124" i="6" s="1"/>
  <c r="AA101" i="24"/>
  <c r="Z101" i="24" s="1"/>
  <c r="Y101" i="24" s="1"/>
  <c r="G101" i="24"/>
  <c r="CE101" i="6" s="1"/>
  <c r="H101" i="24"/>
  <c r="H19" i="24"/>
  <c r="G19" i="24"/>
  <c r="CE19" i="6" s="1"/>
  <c r="AA19" i="24"/>
  <c r="Z19" i="24" s="1"/>
  <c r="Y19" i="24" s="1"/>
  <c r="H269" i="24"/>
  <c r="G269" i="24"/>
  <c r="CE269" i="6" s="1"/>
  <c r="AA269" i="24"/>
  <c r="Z269" i="24" s="1"/>
  <c r="Y269" i="24" s="1"/>
  <c r="G209" i="24"/>
  <c r="CE209" i="6" s="1"/>
  <c r="H209" i="24"/>
  <c r="AA209" i="24"/>
  <c r="Z209" i="24" s="1"/>
  <c r="Y209" i="24" s="1"/>
  <c r="H142" i="24"/>
  <c r="AA142" i="24"/>
  <c r="Z142" i="24" s="1"/>
  <c r="Y142" i="24" s="1"/>
  <c r="G142" i="24"/>
  <c r="CE142" i="6" s="1"/>
  <c r="AA70" i="24"/>
  <c r="Z70" i="24" s="1"/>
  <c r="Y70" i="24" s="1"/>
  <c r="G70" i="24"/>
  <c r="CE70" i="6" s="1"/>
  <c r="H70" i="24"/>
  <c r="H300" i="24"/>
  <c r="G300" i="24"/>
  <c r="CE300" i="6" s="1"/>
  <c r="AA300" i="24"/>
  <c r="Z300" i="24" s="1"/>
  <c r="Y300" i="24" s="1"/>
  <c r="D74" i="24"/>
  <c r="E74" i="24" s="1"/>
  <c r="F74" i="24" s="1"/>
  <c r="W74" i="24"/>
  <c r="G146" i="24"/>
  <c r="CE146" i="6" s="1"/>
  <c r="AA146" i="24"/>
  <c r="Z146" i="24" s="1"/>
  <c r="Y146" i="24" s="1"/>
  <c r="H146" i="24"/>
  <c r="H148" i="24"/>
  <c r="AA148" i="24"/>
  <c r="Z148" i="24" s="1"/>
  <c r="Y148" i="24" s="1"/>
  <c r="G148" i="24"/>
  <c r="CE148" i="6" s="1"/>
  <c r="W46" i="24"/>
  <c r="D46" i="24"/>
  <c r="E46" i="24" s="1"/>
  <c r="F46" i="24" s="1"/>
  <c r="H191" i="24"/>
  <c r="G191" i="24"/>
  <c r="CE191" i="6" s="1"/>
  <c r="AA191" i="24"/>
  <c r="Z191" i="24" s="1"/>
  <c r="Y191" i="24" s="1"/>
  <c r="H223" i="24"/>
  <c r="AA223" i="24"/>
  <c r="Z223" i="24" s="1"/>
  <c r="Y223" i="24" s="1"/>
  <c r="G223" i="24"/>
  <c r="CE223" i="6" s="1"/>
  <c r="G43" i="24"/>
  <c r="CE43" i="6" s="1"/>
  <c r="H43" i="24"/>
  <c r="AA43" i="24"/>
  <c r="Z43" i="24" s="1"/>
  <c r="Y43" i="24" s="1"/>
  <c r="G351" i="24"/>
  <c r="CE351" i="6" s="1"/>
  <c r="AA351" i="24"/>
  <c r="Z351" i="24" s="1"/>
  <c r="Y351" i="24" s="1"/>
  <c r="H351" i="24"/>
  <c r="G373" i="24"/>
  <c r="CE373" i="6" s="1"/>
  <c r="H373" i="24"/>
  <c r="AA373" i="24"/>
  <c r="Z373" i="24" s="1"/>
  <c r="Y373" i="24" s="1"/>
  <c r="G136" i="24"/>
  <c r="CE136" i="6" s="1"/>
  <c r="H136" i="24"/>
  <c r="AA136" i="24"/>
  <c r="Z136" i="24" s="1"/>
  <c r="Y136" i="24" s="1"/>
  <c r="H229" i="24"/>
  <c r="AA229" i="24"/>
  <c r="Z229" i="24" s="1"/>
  <c r="Y229" i="24" s="1"/>
  <c r="G229" i="24"/>
  <c r="CE229" i="6" s="1"/>
  <c r="D105" i="24"/>
  <c r="E105" i="24" s="1"/>
  <c r="F105" i="24" s="1"/>
  <c r="W105" i="24"/>
  <c r="W258" i="24"/>
  <c r="D258" i="24"/>
  <c r="E258" i="24" s="1"/>
  <c r="F258" i="24" s="1"/>
  <c r="G211" i="24"/>
  <c r="CE211" i="6" s="1"/>
  <c r="AA211" i="24"/>
  <c r="Z211" i="24" s="1"/>
  <c r="Y211" i="24" s="1"/>
  <c r="H211" i="24"/>
  <c r="AA213" i="24"/>
  <c r="Z213" i="24" s="1"/>
  <c r="Y213" i="24" s="1"/>
  <c r="G213" i="24"/>
  <c r="CE213" i="6" s="1"/>
  <c r="H213" i="24"/>
  <c r="G99" i="24"/>
  <c r="CE99" i="6" s="1"/>
  <c r="H99" i="24"/>
  <c r="AA99" i="24"/>
  <c r="Z99" i="24" s="1"/>
  <c r="Y99" i="24" s="1"/>
  <c r="AA87" i="24"/>
  <c r="Z87" i="24" s="1"/>
  <c r="Y87" i="24" s="1"/>
  <c r="G87" i="24"/>
  <c r="CE87" i="6" s="1"/>
  <c r="H87" i="24"/>
  <c r="H276" i="24"/>
  <c r="AA276" i="24"/>
  <c r="Z276" i="24" s="1"/>
  <c r="Y276" i="24" s="1"/>
  <c r="G276" i="24"/>
  <c r="CE276" i="6" s="1"/>
  <c r="D349" i="24"/>
  <c r="E349" i="24" s="1"/>
  <c r="F349" i="24" s="1"/>
  <c r="W349" i="24"/>
  <c r="D60" i="24"/>
  <c r="E60" i="24" s="1"/>
  <c r="F60" i="24" s="1"/>
  <c r="W60" i="24"/>
  <c r="W319" i="24"/>
  <c r="D319" i="24"/>
  <c r="E319" i="24" s="1"/>
  <c r="F319" i="24" s="1"/>
  <c r="H68" i="24"/>
  <c r="AA68" i="24"/>
  <c r="Z68" i="24" s="1"/>
  <c r="Y68" i="24" s="1"/>
  <c r="G68" i="24"/>
  <c r="CE68" i="6" s="1"/>
  <c r="W227" i="24"/>
  <c r="D227" i="24"/>
  <c r="E227" i="24" s="1"/>
  <c r="F227" i="24" s="1"/>
  <c r="H330" i="24"/>
  <c r="G330" i="24"/>
  <c r="CE330" i="6" s="1"/>
  <c r="AA330" i="24"/>
  <c r="Z330" i="24" s="1"/>
  <c r="Y330" i="24" s="1"/>
  <c r="AA324" i="24"/>
  <c r="Z324" i="24" s="1"/>
  <c r="Y324" i="24" s="1"/>
  <c r="H324" i="24"/>
  <c r="G324" i="24"/>
  <c r="CE324" i="6" s="1"/>
  <c r="AA238" i="24"/>
  <c r="Z238" i="24" s="1"/>
  <c r="Y238" i="24" s="1"/>
  <c r="G238" i="24"/>
  <c r="CE238" i="6" s="1"/>
  <c r="H238" i="24"/>
  <c r="AA62" i="24"/>
  <c r="Z62" i="24" s="1"/>
  <c r="Y62" i="24" s="1"/>
  <c r="G62" i="24"/>
  <c r="CE62" i="6" s="1"/>
  <c r="H62" i="24"/>
  <c r="H77" i="24"/>
  <c r="AA77" i="24"/>
  <c r="Z77" i="24" s="1"/>
  <c r="Y77" i="24" s="1"/>
  <c r="G77" i="24"/>
  <c r="CE77" i="6" s="1"/>
  <c r="H335" i="24"/>
  <c r="G335" i="24"/>
  <c r="CE335" i="6" s="1"/>
  <c r="AA335" i="24"/>
  <c r="Z335" i="24" s="1"/>
  <c r="Y335" i="24" s="1"/>
  <c r="G112" i="24"/>
  <c r="CE112" i="6" s="1"/>
  <c r="H112" i="24"/>
  <c r="AA112" i="24"/>
  <c r="Z112" i="24" s="1"/>
  <c r="Y112" i="24" s="1"/>
  <c r="AA366" i="24"/>
  <c r="Z366" i="24" s="1"/>
  <c r="Y366" i="24" s="1"/>
  <c r="H366" i="24"/>
  <c r="G366" i="24"/>
  <c r="CE366" i="6" s="1"/>
  <c r="AA54" i="24"/>
  <c r="Z54" i="24" s="1"/>
  <c r="Y54" i="24" s="1"/>
  <c r="G54" i="24"/>
  <c r="CE54" i="6" s="1"/>
  <c r="H54" i="24"/>
  <c r="AA40" i="24"/>
  <c r="Z40" i="24" s="1"/>
  <c r="Y40" i="24" s="1"/>
  <c r="H40" i="24"/>
  <c r="G40" i="24"/>
  <c r="CE40" i="6" s="1"/>
  <c r="G342" i="24"/>
  <c r="CE342" i="6" s="1"/>
  <c r="H342" i="24"/>
  <c r="AA342" i="24"/>
  <c r="Z342" i="24" s="1"/>
  <c r="Y342" i="24" s="1"/>
  <c r="G347" i="24"/>
  <c r="CE347" i="6" s="1"/>
  <c r="H347" i="24"/>
  <c r="AA347" i="24"/>
  <c r="Z347" i="24" s="1"/>
  <c r="Y347" i="24" s="1"/>
  <c r="G73" i="24"/>
  <c r="CE73" i="6" s="1"/>
  <c r="H73" i="24"/>
  <c r="AA73" i="24"/>
  <c r="Z73" i="24" s="1"/>
  <c r="Y73" i="24" s="1"/>
  <c r="H264" i="24"/>
  <c r="AA264" i="24"/>
  <c r="Z264" i="24" s="1"/>
  <c r="Y264" i="24" s="1"/>
  <c r="G264" i="24"/>
  <c r="CE264" i="6" s="1"/>
  <c r="W196" i="24"/>
  <c r="D196" i="24"/>
  <c r="E196" i="24" s="1"/>
  <c r="F196" i="24" s="1"/>
  <c r="H196" i="24" s="1"/>
  <c r="AA154" i="24"/>
  <c r="Z154" i="24" s="1"/>
  <c r="Y154" i="24" s="1"/>
  <c r="G154" i="24"/>
  <c r="CE154" i="6" s="1"/>
  <c r="H154" i="24"/>
  <c r="H313" i="24"/>
  <c r="G313" i="24"/>
  <c r="CE313" i="6" s="1"/>
  <c r="AA313" i="24"/>
  <c r="Z313" i="24" s="1"/>
  <c r="Y313" i="24" s="1"/>
  <c r="D135" i="24"/>
  <c r="E135" i="24" s="1"/>
  <c r="F135" i="24" s="1"/>
  <c r="W135" i="24"/>
  <c r="G220" i="24"/>
  <c r="CE220" i="6" s="1"/>
  <c r="AA220" i="24"/>
  <c r="Z220" i="24" s="1"/>
  <c r="Y220" i="24" s="1"/>
  <c r="H220" i="24"/>
  <c r="W88" i="24"/>
  <c r="D88" i="24"/>
  <c r="E88" i="24" s="1"/>
  <c r="F88" i="24" s="1"/>
  <c r="H53" i="24"/>
  <c r="G53" i="24"/>
  <c r="CE53" i="6" s="1"/>
  <c r="AA53" i="24"/>
  <c r="Z53" i="24" s="1"/>
  <c r="Y53" i="24" s="1"/>
  <c r="D149" i="24"/>
  <c r="E149" i="24" s="1"/>
  <c r="F149" i="24" s="1"/>
  <c r="W149" i="24"/>
  <c r="AA355" i="24"/>
  <c r="Z355" i="24" s="1"/>
  <c r="Y355" i="24" s="1"/>
  <c r="H355" i="24"/>
  <c r="G355" i="24"/>
  <c r="CE355" i="6" s="1"/>
  <c r="H23" i="24"/>
  <c r="AA23" i="24"/>
  <c r="Z23" i="24" s="1"/>
  <c r="Y23" i="24" s="1"/>
  <c r="G23" i="24"/>
  <c r="CE23" i="6" s="1"/>
  <c r="H122" i="24"/>
  <c r="G122" i="24"/>
  <c r="CE122" i="6" s="1"/>
  <c r="AA122" i="24"/>
  <c r="Z122" i="24" s="1"/>
  <c r="Y122" i="24" s="1"/>
  <c r="G182" i="24"/>
  <c r="CE182" i="6" s="1"/>
  <c r="AA182" i="24"/>
  <c r="Z182" i="24" s="1"/>
  <c r="Y182" i="24" s="1"/>
  <c r="H182" i="24"/>
  <c r="AA181" i="24"/>
  <c r="Z181" i="24" s="1"/>
  <c r="Y181" i="24" s="1"/>
  <c r="H181" i="24"/>
  <c r="G181" i="24"/>
  <c r="CE181" i="6" s="1"/>
  <c r="G291" i="24"/>
  <c r="CE291" i="6" s="1"/>
  <c r="H291" i="24"/>
  <c r="AA291" i="24"/>
  <c r="Z291" i="24" s="1"/>
  <c r="Y291" i="24" s="1"/>
  <c r="G132" i="24"/>
  <c r="CE132" i="6" s="1"/>
  <c r="AA132" i="24"/>
  <c r="Z132" i="24" s="1"/>
  <c r="Y132" i="24" s="1"/>
  <c r="H132" i="24"/>
  <c r="G267" i="24"/>
  <c r="CE267" i="6" s="1"/>
  <c r="AA267" i="24"/>
  <c r="Z267" i="24" s="1"/>
  <c r="Y267" i="24" s="1"/>
  <c r="H267" i="24"/>
  <c r="G51" i="24"/>
  <c r="CE51" i="6" s="1"/>
  <c r="H51" i="24"/>
  <c r="AA51" i="24"/>
  <c r="Z51" i="24" s="1"/>
  <c r="Y51" i="24" s="1"/>
  <c r="D288" i="24"/>
  <c r="E288" i="24" s="1"/>
  <c r="F288" i="24" s="1"/>
  <c r="W288" i="24"/>
  <c r="AA378" i="24"/>
  <c r="Z378" i="24" s="1"/>
  <c r="Y378" i="24" s="1"/>
  <c r="G378" i="24"/>
  <c r="CE378" i="6" s="1"/>
  <c r="H378" i="24"/>
  <c r="H179" i="24"/>
  <c r="AA179" i="24"/>
  <c r="Z179" i="24" s="1"/>
  <c r="Y179" i="24" s="1"/>
  <c r="G179" i="24"/>
  <c r="CE179" i="6" s="1"/>
  <c r="AA273" i="24"/>
  <c r="Z273" i="24" s="1"/>
  <c r="Y273" i="24" s="1"/>
  <c r="H273" i="24"/>
  <c r="G273" i="24"/>
  <c r="CE273" i="6" s="1"/>
  <c r="G47" i="24"/>
  <c r="CE47" i="6" s="1"/>
  <c r="AA47" i="24"/>
  <c r="Z47" i="24" s="1"/>
  <c r="Y47" i="24" s="1"/>
  <c r="H47" i="24"/>
  <c r="AA85" i="24"/>
  <c r="Z85" i="24" s="1"/>
  <c r="Y85" i="24" s="1"/>
  <c r="H85" i="24"/>
  <c r="G85" i="24"/>
  <c r="CE85" i="6" s="1"/>
  <c r="G278" i="24"/>
  <c r="CE278" i="6" s="1"/>
  <c r="AA278" i="24"/>
  <c r="Z278" i="24" s="1"/>
  <c r="Y278" i="24" s="1"/>
  <c r="H278" i="24"/>
  <c r="G162" i="24"/>
  <c r="CE162" i="6" s="1"/>
  <c r="H162" i="24"/>
  <c r="AA162" i="24"/>
  <c r="Z162" i="24" s="1"/>
  <c r="Y162" i="24" s="1"/>
  <c r="G315" i="24"/>
  <c r="CE315" i="6" s="1"/>
  <c r="H315" i="24"/>
  <c r="AA315" i="24"/>
  <c r="Z315" i="24" s="1"/>
  <c r="Y315" i="24" s="1"/>
  <c r="AA150" i="24"/>
  <c r="Z150" i="24" s="1"/>
  <c r="Y150" i="24" s="1"/>
  <c r="H150" i="24"/>
  <c r="G150" i="24"/>
  <c r="CE150" i="6" s="1"/>
  <c r="H297" i="24"/>
  <c r="G297" i="24"/>
  <c r="CE297" i="6" s="1"/>
  <c r="AA297" i="24"/>
  <c r="Z297" i="24" s="1"/>
  <c r="Y297" i="24" s="1"/>
  <c r="H353" i="24"/>
  <c r="G353" i="24"/>
  <c r="CE353" i="6" s="1"/>
  <c r="AA353" i="24"/>
  <c r="Z353" i="24" s="1"/>
  <c r="Y353" i="24" s="1"/>
  <c r="G89" i="24"/>
  <c r="CE89" i="6" s="1"/>
  <c r="H89" i="24"/>
  <c r="AA89" i="24"/>
  <c r="Z89" i="24" s="1"/>
  <c r="Y89" i="24" s="1"/>
  <c r="G38" i="24"/>
  <c r="CE38" i="6" s="1"/>
  <c r="AA38" i="24"/>
  <c r="Z38" i="24" s="1"/>
  <c r="Y38" i="24" s="1"/>
  <c r="H38" i="24"/>
  <c r="W333" i="24"/>
  <c r="D333" i="24"/>
  <c r="E333" i="24" s="1"/>
  <c r="F333" i="24" s="1"/>
  <c r="H126" i="24"/>
  <c r="G126" i="24"/>
  <c r="CE126" i="6" s="1"/>
  <c r="AA126" i="24"/>
  <c r="Z126" i="24" s="1"/>
  <c r="Y126" i="24" s="1"/>
  <c r="AA326" i="24"/>
  <c r="Z326" i="24" s="1"/>
  <c r="Y326" i="24" s="1"/>
  <c r="H326" i="24"/>
  <c r="G326" i="24"/>
  <c r="CE326" i="6" s="1"/>
  <c r="H25" i="24"/>
  <c r="AA25" i="24"/>
  <c r="Z25" i="24" s="1"/>
  <c r="Y25" i="24" s="1"/>
  <c r="G25" i="24"/>
  <c r="CE25" i="6" s="1"/>
  <c r="AA262" i="24"/>
  <c r="Z262" i="24" s="1"/>
  <c r="Y262" i="24" s="1"/>
  <c r="H262" i="24"/>
  <c r="G262" i="24"/>
  <c r="CE262" i="6" s="1"/>
  <c r="H184" i="24"/>
  <c r="AA184" i="24"/>
  <c r="Z184" i="24" s="1"/>
  <c r="Y184" i="24" s="1"/>
  <c r="G184" i="24"/>
  <c r="CE184" i="6" s="1"/>
  <c r="AA285" i="24"/>
  <c r="Z285" i="24" s="1"/>
  <c r="Y285" i="24" s="1"/>
  <c r="G285" i="24"/>
  <c r="CE285" i="6" s="1"/>
  <c r="H285" i="24"/>
  <c r="G155" i="24"/>
  <c r="CE155" i="6" s="1"/>
  <c r="AA155" i="24"/>
  <c r="Z155" i="24" s="1"/>
  <c r="Y155" i="24" s="1"/>
  <c r="H155" i="24"/>
  <c r="H125" i="24" l="1"/>
  <c r="I125" i="24" s="1"/>
  <c r="G311" i="24"/>
  <c r="CE311" i="6" s="1"/>
  <c r="G172" i="24"/>
  <c r="CE172" i="6" s="1"/>
  <c r="AA365" i="24"/>
  <c r="Z365" i="24" s="1"/>
  <c r="Y365" i="24" s="1"/>
  <c r="H26" i="24"/>
  <c r="I26" i="24" s="1"/>
  <c r="H205" i="24"/>
  <c r="J205" i="24" s="1"/>
  <c r="AA26" i="24"/>
  <c r="Z26" i="24" s="1"/>
  <c r="Y26" i="24" s="1"/>
  <c r="G206" i="24"/>
  <c r="CE206" i="6" s="1"/>
  <c r="H107" i="24"/>
  <c r="I107" i="24" s="1"/>
  <c r="AA311" i="24"/>
  <c r="Z311" i="24" s="1"/>
  <c r="Y311" i="24" s="1"/>
  <c r="G205" i="24"/>
  <c r="CE205" i="6" s="1"/>
  <c r="H172" i="24"/>
  <c r="J172" i="24" s="1"/>
  <c r="H280" i="24"/>
  <c r="I280" i="24" s="1"/>
  <c r="G377" i="24"/>
  <c r="CE377" i="6" s="1"/>
  <c r="G82" i="24"/>
  <c r="CE82" i="6" s="1"/>
  <c r="H277" i="24"/>
  <c r="J277" i="24" s="1"/>
  <c r="H102" i="24"/>
  <c r="I102" i="24" s="1"/>
  <c r="AA192" i="24"/>
  <c r="Z192" i="24" s="1"/>
  <c r="Y192" i="24" s="1"/>
  <c r="H109" i="24"/>
  <c r="I109" i="24" s="1"/>
  <c r="AA86" i="24"/>
  <c r="Z86" i="24" s="1"/>
  <c r="Y86" i="24" s="1"/>
  <c r="H337" i="24"/>
  <c r="J337" i="24" s="1"/>
  <c r="H110" i="24"/>
  <c r="I110" i="24" s="1"/>
  <c r="G114" i="24"/>
  <c r="CE114" i="6" s="1"/>
  <c r="AA102" i="24"/>
  <c r="Z102" i="24" s="1"/>
  <c r="Y102" i="24" s="1"/>
  <c r="G22" i="24"/>
  <c r="CE22" i="6" s="1"/>
  <c r="AA64" i="24"/>
  <c r="Z64" i="24" s="1"/>
  <c r="Y64" i="24" s="1"/>
  <c r="H275" i="24"/>
  <c r="J275" i="24" s="1"/>
  <c r="AA16" i="24"/>
  <c r="Z16" i="24" s="1"/>
  <c r="Y16" i="24" s="1"/>
  <c r="AA260" i="24"/>
  <c r="Z260" i="24" s="1"/>
  <c r="Y260" i="24" s="1"/>
  <c r="AA283" i="24"/>
  <c r="Z283" i="24" s="1"/>
  <c r="Y283" i="24" s="1"/>
  <c r="H332" i="24"/>
  <c r="I332" i="24" s="1"/>
  <c r="H350" i="24"/>
  <c r="J350" i="24" s="1"/>
  <c r="G174" i="24"/>
  <c r="CE174" i="6" s="1"/>
  <c r="AA160" i="24"/>
  <c r="Z160" i="24" s="1"/>
  <c r="Y160" i="24" s="1"/>
  <c r="AA298" i="24"/>
  <c r="Z298" i="24" s="1"/>
  <c r="Y298" i="24" s="1"/>
  <c r="H64" i="24"/>
  <c r="J64" i="24" s="1"/>
  <c r="AA84" i="24"/>
  <c r="Z84" i="24" s="1"/>
  <c r="Y84" i="24" s="1"/>
  <c r="AA199" i="24"/>
  <c r="Z199" i="24" s="1"/>
  <c r="Y199" i="24" s="1"/>
  <c r="H33" i="24"/>
  <c r="J33" i="24" s="1"/>
  <c r="G265" i="24"/>
  <c r="CE265" i="6" s="1"/>
  <c r="H343" i="24"/>
  <c r="J343" i="24" s="1"/>
  <c r="H268" i="24"/>
  <c r="I268" i="24" s="1"/>
  <c r="AA277" i="24"/>
  <c r="Z277" i="24" s="1"/>
  <c r="Y277" i="24" s="1"/>
  <c r="H260" i="24"/>
  <c r="I260" i="24" s="1"/>
  <c r="H283" i="24"/>
  <c r="J283" i="24" s="1"/>
  <c r="G215" i="24"/>
  <c r="CE215" i="6" s="1"/>
  <c r="AA197" i="24"/>
  <c r="Z197" i="24" s="1"/>
  <c r="Y197" i="24" s="1"/>
  <c r="G110" i="24"/>
  <c r="CE110" i="6" s="1"/>
  <c r="H174" i="24"/>
  <c r="J174" i="24" s="1"/>
  <c r="G67" i="24"/>
  <c r="CE67" i="6" s="1"/>
  <c r="AA325" i="24"/>
  <c r="Z325" i="24" s="1"/>
  <c r="Y325" i="24" s="1"/>
  <c r="AA194" i="24"/>
  <c r="Z194" i="24" s="1"/>
  <c r="Y194" i="24" s="1"/>
  <c r="G52" i="24"/>
  <c r="CE52" i="6" s="1"/>
  <c r="H250" i="24"/>
  <c r="I250" i="24" s="1"/>
  <c r="G84" i="24"/>
  <c r="CE84" i="6" s="1"/>
  <c r="H199" i="24"/>
  <c r="I199" i="24" s="1"/>
  <c r="H308" i="24"/>
  <c r="I308" i="24" s="1"/>
  <c r="H16" i="24"/>
  <c r="I16" i="24" s="1"/>
  <c r="AA265" i="24"/>
  <c r="Z265" i="24" s="1"/>
  <c r="Y265" i="24" s="1"/>
  <c r="G109" i="24"/>
  <c r="CE109" i="6" s="1"/>
  <c r="H206" i="24"/>
  <c r="J206" i="24" s="1"/>
  <c r="G221" i="24"/>
  <c r="CE221" i="6" s="1"/>
  <c r="H222" i="24"/>
  <c r="I222" i="24" s="1"/>
  <c r="G195" i="24"/>
  <c r="CE195" i="6" s="1"/>
  <c r="AA337" i="24"/>
  <c r="Z337" i="24" s="1"/>
  <c r="Y337" i="24" s="1"/>
  <c r="H197" i="24"/>
  <c r="J197" i="24" s="1"/>
  <c r="H141" i="24"/>
  <c r="I141" i="24" s="1"/>
  <c r="AA350" i="24"/>
  <c r="Z350" i="24" s="1"/>
  <c r="Y350" i="24" s="1"/>
  <c r="AA127" i="24"/>
  <c r="Z127" i="24" s="1"/>
  <c r="Y127" i="24" s="1"/>
  <c r="G125" i="24"/>
  <c r="CE125" i="6" s="1"/>
  <c r="H67" i="24"/>
  <c r="J67" i="24" s="1"/>
  <c r="H325" i="24"/>
  <c r="I325" i="24" s="1"/>
  <c r="AA114" i="24"/>
  <c r="Z114" i="24" s="1"/>
  <c r="Y114" i="24" s="1"/>
  <c r="W241" i="24"/>
  <c r="H298" i="24"/>
  <c r="I298" i="24" s="1"/>
  <c r="AA39" i="24"/>
  <c r="Z39" i="24" s="1"/>
  <c r="Y39" i="24" s="1"/>
  <c r="H22" i="24"/>
  <c r="I22" i="24" s="1"/>
  <c r="H195" i="24"/>
  <c r="I195" i="24" s="1"/>
  <c r="AA100" i="24"/>
  <c r="Z100" i="24" s="1"/>
  <c r="Y100" i="24" s="1"/>
  <c r="G307" i="24"/>
  <c r="CE307" i="6" s="1"/>
  <c r="G250" i="24"/>
  <c r="CE250" i="6" s="1"/>
  <c r="AA30" i="24"/>
  <c r="Z30" i="24" s="1"/>
  <c r="Y30" i="24" s="1"/>
  <c r="AA275" i="24"/>
  <c r="Z275" i="24" s="1"/>
  <c r="Y275" i="24" s="1"/>
  <c r="AA336" i="24"/>
  <c r="Z336" i="24" s="1"/>
  <c r="Y336" i="24" s="1"/>
  <c r="AA308" i="24"/>
  <c r="Z308" i="24" s="1"/>
  <c r="Y308" i="24" s="1"/>
  <c r="G121" i="24"/>
  <c r="CE121" i="6" s="1"/>
  <c r="G268" i="24"/>
  <c r="CE268" i="6" s="1"/>
  <c r="AA82" i="24"/>
  <c r="Z82" i="24" s="1"/>
  <c r="Y82" i="24" s="1"/>
  <c r="AA221" i="24"/>
  <c r="Z221" i="24" s="1"/>
  <c r="Y221" i="24" s="1"/>
  <c r="G343" i="24"/>
  <c r="CE343" i="6" s="1"/>
  <c r="H94" i="24"/>
  <c r="I94" i="24" s="1"/>
  <c r="AA280" i="24"/>
  <c r="Z280" i="24" s="1"/>
  <c r="Y280" i="24" s="1"/>
  <c r="AA65" i="24"/>
  <c r="Z65" i="24" s="1"/>
  <c r="Y65" i="24" s="1"/>
  <c r="AA249" i="24"/>
  <c r="Z249" i="24" s="1"/>
  <c r="Y249" i="24" s="1"/>
  <c r="AA32" i="24"/>
  <c r="Z32" i="24" s="1"/>
  <c r="Y32" i="24" s="1"/>
  <c r="AA186" i="24"/>
  <c r="Z186" i="24" s="1"/>
  <c r="Y186" i="24" s="1"/>
  <c r="AA96" i="24"/>
  <c r="Z96" i="24" s="1"/>
  <c r="Y96" i="24" s="1"/>
  <c r="H224" i="24"/>
  <c r="J224" i="24" s="1"/>
  <c r="AA304" i="24"/>
  <c r="Z304" i="24" s="1"/>
  <c r="Y304" i="24" s="1"/>
  <c r="G356" i="24"/>
  <c r="CE356" i="6" s="1"/>
  <c r="AA121" i="24"/>
  <c r="Z121" i="24" s="1"/>
  <c r="Y121" i="24" s="1"/>
  <c r="H96" i="24"/>
  <c r="J96" i="24" s="1"/>
  <c r="AA94" i="24"/>
  <c r="Z94" i="24" s="1"/>
  <c r="Y94" i="24" s="1"/>
  <c r="H17" i="24"/>
  <c r="I17" i="24" s="1"/>
  <c r="G32" i="24"/>
  <c r="CE32" i="6" s="1"/>
  <c r="H75" i="24"/>
  <c r="J75" i="24" s="1"/>
  <c r="H65" i="24"/>
  <c r="J65" i="24" s="1"/>
  <c r="H249" i="24"/>
  <c r="I249" i="24" s="1"/>
  <c r="AA131" i="24"/>
  <c r="Z131" i="24" s="1"/>
  <c r="Y131" i="24" s="1"/>
  <c r="H186" i="24"/>
  <c r="J186" i="24" s="1"/>
  <c r="G116" i="24"/>
  <c r="CE116" i="6" s="1"/>
  <c r="H304" i="24"/>
  <c r="J304" i="24" s="1"/>
  <c r="H356" i="24"/>
  <c r="J356" i="24" s="1"/>
  <c r="G24" i="24"/>
  <c r="CE24" i="6" s="1"/>
  <c r="AA224" i="24"/>
  <c r="Z224" i="24" s="1"/>
  <c r="Y224" i="24" s="1"/>
  <c r="AA137" i="24"/>
  <c r="Z137" i="24" s="1"/>
  <c r="Y137" i="24" s="1"/>
  <c r="H369" i="24"/>
  <c r="I369" i="24" s="1"/>
  <c r="H263" i="24"/>
  <c r="J263" i="24" s="1"/>
  <c r="AA93" i="24"/>
  <c r="Z93" i="24" s="1"/>
  <c r="Y93" i="24" s="1"/>
  <c r="G368" i="24"/>
  <c r="CE368" i="6" s="1"/>
  <c r="AA215" i="24"/>
  <c r="Z215" i="24" s="1"/>
  <c r="Y215" i="24" s="1"/>
  <c r="AA141" i="24"/>
  <c r="Z141" i="24" s="1"/>
  <c r="Y141" i="24" s="1"/>
  <c r="AA332" i="24"/>
  <c r="Z332" i="24" s="1"/>
  <c r="Y332" i="24" s="1"/>
  <c r="H127" i="24"/>
  <c r="J127" i="24" s="1"/>
  <c r="H160" i="24"/>
  <c r="J160" i="24" s="1"/>
  <c r="H289" i="24"/>
  <c r="J289" i="24" s="1"/>
  <c r="G39" i="24"/>
  <c r="CE39" i="6" s="1"/>
  <c r="H194" i="24"/>
  <c r="J194" i="24" s="1"/>
  <c r="H52" i="24"/>
  <c r="I52" i="24" s="1"/>
  <c r="H30" i="24"/>
  <c r="I30" i="24" s="1"/>
  <c r="G336" i="24"/>
  <c r="CE336" i="6" s="1"/>
  <c r="AA145" i="24"/>
  <c r="Z145" i="24" s="1"/>
  <c r="Y145" i="24" s="1"/>
  <c r="H192" i="24"/>
  <c r="I192" i="24" s="1"/>
  <c r="AA75" i="24"/>
  <c r="Z75" i="24" s="1"/>
  <c r="Y75" i="24" s="1"/>
  <c r="G66" i="24"/>
  <c r="CE66" i="6" s="1"/>
  <c r="H131" i="24"/>
  <c r="J131" i="24" s="1"/>
  <c r="G369" i="24"/>
  <c r="CE369" i="6" s="1"/>
  <c r="G365" i="24"/>
  <c r="CE365" i="6" s="1"/>
  <c r="AA377" i="24"/>
  <c r="Z377" i="24" s="1"/>
  <c r="Y377" i="24" s="1"/>
  <c r="H327" i="24"/>
  <c r="J327" i="24" s="1"/>
  <c r="AA233" i="24"/>
  <c r="Z233" i="24" s="1"/>
  <c r="Y233" i="24" s="1"/>
  <c r="H93" i="24"/>
  <c r="I93" i="24" s="1"/>
  <c r="H368" i="24"/>
  <c r="J368" i="24" s="1"/>
  <c r="AA24" i="24"/>
  <c r="Z24" i="24" s="1"/>
  <c r="Y24" i="24" s="1"/>
  <c r="G17" i="24"/>
  <c r="CE17" i="6" s="1"/>
  <c r="H137" i="24"/>
  <c r="I137" i="24" s="1"/>
  <c r="H66" i="24"/>
  <c r="J66" i="24" s="1"/>
  <c r="H116" i="24"/>
  <c r="J116" i="24" s="1"/>
  <c r="G263" i="24"/>
  <c r="CE263" i="6" s="1"/>
  <c r="W119" i="24"/>
  <c r="AA327" i="24"/>
  <c r="Z327" i="24" s="1"/>
  <c r="Y327" i="24" s="1"/>
  <c r="H233" i="24"/>
  <c r="I233" i="24" s="1"/>
  <c r="G372" i="24"/>
  <c r="CE372" i="6" s="1"/>
  <c r="G222" i="24"/>
  <c r="CE222" i="6" s="1"/>
  <c r="G190" i="24"/>
  <c r="CE190" i="6" s="1"/>
  <c r="G173" i="24"/>
  <c r="CE173" i="6" s="1"/>
  <c r="G83" i="24"/>
  <c r="CE83" i="6" s="1"/>
  <c r="H231" i="24"/>
  <c r="J231" i="24" s="1"/>
  <c r="AA147" i="24"/>
  <c r="Z147" i="24" s="1"/>
  <c r="Y147" i="24" s="1"/>
  <c r="H35" i="24"/>
  <c r="J35" i="24" s="1"/>
  <c r="G289" i="24"/>
  <c r="CE289" i="6" s="1"/>
  <c r="H147" i="24"/>
  <c r="I147" i="24" s="1"/>
  <c r="J39" i="19"/>
  <c r="G31" i="19"/>
  <c r="BE16" i="7"/>
  <c r="U10" i="25"/>
  <c r="W29" i="24"/>
  <c r="G35" i="24"/>
  <c r="CE35" i="6" s="1"/>
  <c r="E69" i="19"/>
  <c r="H372" i="24"/>
  <c r="J372" i="24" s="1"/>
  <c r="H190" i="24"/>
  <c r="J190" i="24" s="1"/>
  <c r="AA309" i="24"/>
  <c r="Z309" i="24" s="1"/>
  <c r="Y309" i="24" s="1"/>
  <c r="H370" i="24"/>
  <c r="I370" i="24" s="1"/>
  <c r="H113" i="24"/>
  <c r="J113" i="24" s="1"/>
  <c r="H256" i="24"/>
  <c r="I256" i="24" s="1"/>
  <c r="H106" i="24"/>
  <c r="J106" i="24" s="1"/>
  <c r="G61" i="24"/>
  <c r="CE61" i="6" s="1"/>
  <c r="H309" i="24"/>
  <c r="J309" i="24" s="1"/>
  <c r="AA139" i="24"/>
  <c r="Z139" i="24" s="1"/>
  <c r="Y139" i="24" s="1"/>
  <c r="H228" i="24"/>
  <c r="J228" i="24" s="1"/>
  <c r="H37" i="24"/>
  <c r="I37" i="24" s="1"/>
  <c r="G312" i="24"/>
  <c r="CE312" i="6" s="1"/>
  <c r="G317" i="24"/>
  <c r="CE317" i="6" s="1"/>
  <c r="H129" i="24"/>
  <c r="I129" i="24" s="1"/>
  <c r="W379" i="24"/>
  <c r="AA28" i="24"/>
  <c r="Z28" i="24" s="1"/>
  <c r="Y28" i="24" s="1"/>
  <c r="G328" i="24"/>
  <c r="CE328" i="6" s="1"/>
  <c r="AA234" i="24"/>
  <c r="Z234" i="24" s="1"/>
  <c r="Y234" i="24" s="1"/>
  <c r="G360" i="24"/>
  <c r="CE360" i="6" s="1"/>
  <c r="G287" i="24"/>
  <c r="CE287" i="6" s="1"/>
  <c r="G113" i="24"/>
  <c r="CE113" i="6" s="1"/>
  <c r="AA45" i="24"/>
  <c r="Z45" i="24" s="1"/>
  <c r="Y45" i="24" s="1"/>
  <c r="H317" i="24"/>
  <c r="J317" i="24" s="1"/>
  <c r="H226" i="24"/>
  <c r="I226" i="24" s="1"/>
  <c r="H71" i="24"/>
  <c r="J71" i="24" s="1"/>
  <c r="AA61" i="24"/>
  <c r="Z61" i="24" s="1"/>
  <c r="Y61" i="24" s="1"/>
  <c r="H296" i="24"/>
  <c r="J296" i="24" s="1"/>
  <c r="H28" i="24"/>
  <c r="J28" i="24" s="1"/>
  <c r="G370" i="24"/>
  <c r="CE370" i="6" s="1"/>
  <c r="H159" i="24"/>
  <c r="J159" i="24" s="1"/>
  <c r="G139" i="24"/>
  <c r="CE139" i="6" s="1"/>
  <c r="AA287" i="24"/>
  <c r="Z287" i="24" s="1"/>
  <c r="Y287" i="24" s="1"/>
  <c r="W363" i="24"/>
  <c r="H45" i="24"/>
  <c r="I45" i="24" s="1"/>
  <c r="G218" i="24"/>
  <c r="CE218" i="6" s="1"/>
  <c r="H56" i="24"/>
  <c r="J56" i="24" s="1"/>
  <c r="G37" i="24"/>
  <c r="CE37" i="6" s="1"/>
  <c r="W302" i="24"/>
  <c r="G145" i="24"/>
  <c r="CE145" i="6" s="1"/>
  <c r="AA226" i="24"/>
  <c r="Z226" i="24" s="1"/>
  <c r="Y226" i="24" s="1"/>
  <c r="AA320" i="24"/>
  <c r="Z320" i="24" s="1"/>
  <c r="Y320" i="24" s="1"/>
  <c r="AA71" i="24"/>
  <c r="Z71" i="24" s="1"/>
  <c r="Y71" i="24" s="1"/>
  <c r="H173" i="24"/>
  <c r="J173" i="24" s="1"/>
  <c r="AA83" i="24"/>
  <c r="Z83" i="24" s="1"/>
  <c r="Y83" i="24" s="1"/>
  <c r="AA207" i="24"/>
  <c r="Z207" i="24" s="1"/>
  <c r="Y207" i="24" s="1"/>
  <c r="G246" i="24"/>
  <c r="CE246" i="6" s="1"/>
  <c r="H128" i="24"/>
  <c r="J128" i="24" s="1"/>
  <c r="G100" i="24"/>
  <c r="CE100" i="6" s="1"/>
  <c r="G36" i="24"/>
  <c r="CE36" i="6" s="1"/>
  <c r="H41" i="24"/>
  <c r="J41" i="24" s="1"/>
  <c r="AA346" i="24"/>
  <c r="Z346" i="24" s="1"/>
  <c r="Y346" i="24" s="1"/>
  <c r="G338" i="24"/>
  <c r="CE338" i="6" s="1"/>
  <c r="AA248" i="24"/>
  <c r="Z248" i="24" s="1"/>
  <c r="Y248" i="24" s="1"/>
  <c r="H281" i="24"/>
  <c r="J281" i="24" s="1"/>
  <c r="G151" i="24"/>
  <c r="CE151" i="6" s="1"/>
  <c r="H310" i="24"/>
  <c r="J310" i="24" s="1"/>
  <c r="AA203" i="24"/>
  <c r="Z203" i="24" s="1"/>
  <c r="Y203" i="24" s="1"/>
  <c r="H176" i="24"/>
  <c r="I176" i="24" s="1"/>
  <c r="AA296" i="24"/>
  <c r="Z296" i="24" s="1"/>
  <c r="Y296" i="24" s="1"/>
  <c r="H376" i="24"/>
  <c r="I376" i="24" s="1"/>
  <c r="G305" i="24"/>
  <c r="CE305" i="6" s="1"/>
  <c r="AA338" i="24"/>
  <c r="Z338" i="24" s="1"/>
  <c r="Y338" i="24" s="1"/>
  <c r="H246" i="24"/>
  <c r="I246" i="24" s="1"/>
  <c r="H328" i="24"/>
  <c r="J328" i="24" s="1"/>
  <c r="AA360" i="24"/>
  <c r="Z360" i="24" s="1"/>
  <c r="Y360" i="24" s="1"/>
  <c r="G228" i="24"/>
  <c r="CE228" i="6" s="1"/>
  <c r="G256" i="24"/>
  <c r="CE256" i="6" s="1"/>
  <c r="G170" i="24"/>
  <c r="CE170" i="6" s="1"/>
  <c r="H218" i="24"/>
  <c r="J218" i="24" s="1"/>
  <c r="AA56" i="24"/>
  <c r="Z56" i="24" s="1"/>
  <c r="Y56" i="24" s="1"/>
  <c r="H320" i="24"/>
  <c r="J320" i="24" s="1"/>
  <c r="G219" i="24"/>
  <c r="CE219" i="6" s="1"/>
  <c r="AA129" i="24"/>
  <c r="Z129" i="24" s="1"/>
  <c r="Y129" i="24" s="1"/>
  <c r="M69" i="19"/>
  <c r="K69" i="19"/>
  <c r="D180" i="24"/>
  <c r="E180" i="24" s="1"/>
  <c r="F180" i="24" s="1"/>
  <c r="AA180" i="24" s="1"/>
  <c r="Z180" i="24" s="1"/>
  <c r="Y180" i="24" s="1"/>
  <c r="AA322" i="24"/>
  <c r="Z322" i="24" s="1"/>
  <c r="Y322" i="24" s="1"/>
  <c r="H362" i="24"/>
  <c r="I362" i="24" s="1"/>
  <c r="AA138" i="24"/>
  <c r="Z138" i="24" s="1"/>
  <c r="Y138" i="24" s="1"/>
  <c r="G231" i="24"/>
  <c r="CE231" i="6" s="1"/>
  <c r="H201" i="24"/>
  <c r="I201" i="24" s="1"/>
  <c r="G92" i="24"/>
  <c r="CE92" i="6" s="1"/>
  <c r="G310" i="24"/>
  <c r="CE310" i="6" s="1"/>
  <c r="G128" i="24"/>
  <c r="CE128" i="6" s="1"/>
  <c r="G259" i="24"/>
  <c r="CE259" i="6" s="1"/>
  <c r="AA352" i="24"/>
  <c r="Z352" i="24" s="1"/>
  <c r="Y352" i="24" s="1"/>
  <c r="AA303" i="24"/>
  <c r="Z303" i="24" s="1"/>
  <c r="Y303" i="24" s="1"/>
  <c r="H111" i="24"/>
  <c r="J111" i="24" s="1"/>
  <c r="G44" i="24"/>
  <c r="CE44" i="6" s="1"/>
  <c r="AA183" i="24"/>
  <c r="Z183" i="24" s="1"/>
  <c r="Y183" i="24" s="1"/>
  <c r="AA41" i="24"/>
  <c r="Z41" i="24" s="1"/>
  <c r="Y41" i="24" s="1"/>
  <c r="G346" i="24"/>
  <c r="CE346" i="6" s="1"/>
  <c r="H144" i="24"/>
  <c r="J144" i="24" s="1"/>
  <c r="G322" i="24"/>
  <c r="CE322" i="6" s="1"/>
  <c r="G362" i="24"/>
  <c r="CE362" i="6" s="1"/>
  <c r="AA159" i="24"/>
  <c r="Z159" i="24" s="1"/>
  <c r="Y159" i="24" s="1"/>
  <c r="H138" i="24"/>
  <c r="J138" i="24" s="1"/>
  <c r="AA294" i="24"/>
  <c r="Z294" i="24" s="1"/>
  <c r="Y294" i="24" s="1"/>
  <c r="G201" i="24"/>
  <c r="CE201" i="6" s="1"/>
  <c r="G207" i="24"/>
  <c r="CE207" i="6" s="1"/>
  <c r="G331" i="24"/>
  <c r="CE331" i="6" s="1"/>
  <c r="H286" i="24"/>
  <c r="I286" i="24" s="1"/>
  <c r="H57" i="24"/>
  <c r="J57" i="24" s="1"/>
  <c r="AA92" i="24"/>
  <c r="Z92" i="24" s="1"/>
  <c r="Y92" i="24" s="1"/>
  <c r="AA239" i="24"/>
  <c r="Z239" i="24" s="1"/>
  <c r="Y239" i="24" s="1"/>
  <c r="H321" i="24"/>
  <c r="J321" i="24" s="1"/>
  <c r="H151" i="24"/>
  <c r="J151" i="24" s="1"/>
  <c r="AA257" i="24"/>
  <c r="Z257" i="24" s="1"/>
  <c r="Y257" i="24" s="1"/>
  <c r="H307" i="24"/>
  <c r="I307" i="24" s="1"/>
  <c r="G90" i="24"/>
  <c r="CE90" i="6" s="1"/>
  <c r="G367" i="24"/>
  <c r="CE367" i="6" s="1"/>
  <c r="AA359" i="24"/>
  <c r="Z359" i="24" s="1"/>
  <c r="Y359" i="24" s="1"/>
  <c r="AA176" i="24"/>
  <c r="Z176" i="24" s="1"/>
  <c r="Y176" i="24" s="1"/>
  <c r="G86" i="24"/>
  <c r="CE86" i="6" s="1"/>
  <c r="G306" i="24"/>
  <c r="CE306" i="6" s="1"/>
  <c r="AA107" i="24"/>
  <c r="Z107" i="24" s="1"/>
  <c r="Y107" i="24" s="1"/>
  <c r="AA44" i="24"/>
  <c r="Z44" i="24" s="1"/>
  <c r="Y44" i="24" s="1"/>
  <c r="G183" i="24"/>
  <c r="CE183" i="6" s="1"/>
  <c r="G69" i="19"/>
  <c r="G144" i="24"/>
  <c r="CE144" i="6" s="1"/>
  <c r="H305" i="24"/>
  <c r="I305" i="24" s="1"/>
  <c r="H294" i="24"/>
  <c r="I294" i="24" s="1"/>
  <c r="AA331" i="24"/>
  <c r="Z331" i="24" s="1"/>
  <c r="Y331" i="24" s="1"/>
  <c r="G286" i="24"/>
  <c r="CE286" i="6" s="1"/>
  <c r="AA57" i="24"/>
  <c r="Z57" i="24" s="1"/>
  <c r="Y57" i="24" s="1"/>
  <c r="G281" i="24"/>
  <c r="CE281" i="6" s="1"/>
  <c r="G239" i="24"/>
  <c r="CE239" i="6" s="1"/>
  <c r="G321" i="24"/>
  <c r="CE321" i="6" s="1"/>
  <c r="H371" i="24"/>
  <c r="J371" i="24" s="1"/>
  <c r="G257" i="24"/>
  <c r="CE257" i="6" s="1"/>
  <c r="H90" i="24"/>
  <c r="J90" i="24" s="1"/>
  <c r="G203" i="24"/>
  <c r="CE203" i="6" s="1"/>
  <c r="H36" i="24"/>
  <c r="I36" i="24" s="1"/>
  <c r="H367" i="24"/>
  <c r="J367" i="24" s="1"/>
  <c r="AA219" i="24"/>
  <c r="Z219" i="24" s="1"/>
  <c r="Y219" i="24" s="1"/>
  <c r="H314" i="24"/>
  <c r="J314" i="24" s="1"/>
  <c r="G106" i="24"/>
  <c r="CE106" i="6" s="1"/>
  <c r="AK9" i="20"/>
  <c r="AK11" i="20" s="1"/>
  <c r="AM9" i="20"/>
  <c r="D15" i="19"/>
  <c r="G39" i="19"/>
  <c r="BF15" i="7"/>
  <c r="C16" i="19"/>
  <c r="F40" i="19"/>
  <c r="G248" i="24"/>
  <c r="CE248" i="6" s="1"/>
  <c r="AA259" i="24"/>
  <c r="Z259" i="24" s="1"/>
  <c r="Y259" i="24" s="1"/>
  <c r="H170" i="24"/>
  <c r="I170" i="24" s="1"/>
  <c r="H303" i="24"/>
  <c r="J303" i="24" s="1"/>
  <c r="AA111" i="24"/>
  <c r="Z111" i="24" s="1"/>
  <c r="Y111" i="24" s="1"/>
  <c r="H312" i="24"/>
  <c r="J312" i="24" s="1"/>
  <c r="G359" i="24"/>
  <c r="CE359" i="6" s="1"/>
  <c r="AA306" i="24"/>
  <c r="Z306" i="24" s="1"/>
  <c r="Y306" i="24" s="1"/>
  <c r="AA314" i="24"/>
  <c r="Z314" i="24" s="1"/>
  <c r="Y314" i="24" s="1"/>
  <c r="AA376" i="24"/>
  <c r="Z376" i="24" s="1"/>
  <c r="Y376" i="24" s="1"/>
  <c r="G234" i="24"/>
  <c r="CE234" i="6" s="1"/>
  <c r="AA371" i="24"/>
  <c r="Z371" i="24" s="1"/>
  <c r="Y371" i="24" s="1"/>
  <c r="G352" i="24"/>
  <c r="CE352" i="6" s="1"/>
  <c r="S18" i="24"/>
  <c r="T383" i="24"/>
  <c r="T381" i="24"/>
  <c r="T382" i="24"/>
  <c r="I363" i="23"/>
  <c r="H363" i="24" s="1"/>
  <c r="J363" i="23"/>
  <c r="J88" i="23"/>
  <c r="I88" i="23"/>
  <c r="H88" i="24" s="1"/>
  <c r="J241" i="23"/>
  <c r="I241" i="23"/>
  <c r="H241" i="24" s="1"/>
  <c r="I180" i="23"/>
  <c r="J180" i="23"/>
  <c r="I210" i="23"/>
  <c r="H210" i="24" s="1"/>
  <c r="J210" i="23"/>
  <c r="I149" i="23"/>
  <c r="H149" i="24" s="1"/>
  <c r="J149" i="23"/>
  <c r="J272" i="23"/>
  <c r="I272" i="23"/>
  <c r="H272" i="24" s="1"/>
  <c r="P383" i="23"/>
  <c r="V15" i="23"/>
  <c r="P381" i="23"/>
  <c r="P382" i="23"/>
  <c r="J333" i="23"/>
  <c r="I333" i="23"/>
  <c r="H333" i="24" s="1"/>
  <c r="J302" i="23"/>
  <c r="I302" i="23"/>
  <c r="H302" i="24" s="1"/>
  <c r="AJ13" i="20"/>
  <c r="I380" i="25"/>
  <c r="J380" i="25"/>
  <c r="AJ7" i="22"/>
  <c r="E15" i="22"/>
  <c r="AJ9" i="22" s="1"/>
  <c r="D9" i="22"/>
  <c r="D11" i="22" s="1"/>
  <c r="D381" i="22"/>
  <c r="AJ8" i="22"/>
  <c r="D383" i="22"/>
  <c r="D382" i="22"/>
  <c r="AE381" i="25"/>
  <c r="AE383" i="25"/>
  <c r="AE382" i="25"/>
  <c r="AA15" i="20"/>
  <c r="H15" i="20"/>
  <c r="AM10" i="20"/>
  <c r="AK10" i="20"/>
  <c r="AK12" i="20" s="1"/>
  <c r="F383" i="20"/>
  <c r="F9" i="20"/>
  <c r="F382" i="20"/>
  <c r="G15" i="20"/>
  <c r="CB15" i="6" s="1"/>
  <c r="F381" i="20"/>
  <c r="Q382" i="25"/>
  <c r="Q381" i="25"/>
  <c r="Q383" i="25"/>
  <c r="B15" i="6"/>
  <c r="I381" i="18"/>
  <c r="I382" i="18"/>
  <c r="I383" i="18"/>
  <c r="AD382" i="23"/>
  <c r="AD381" i="23"/>
  <c r="AD383" i="23"/>
  <c r="AL7" i="18"/>
  <c r="Z382" i="18"/>
  <c r="Z9" i="18"/>
  <c r="AL8" i="18"/>
  <c r="Z383" i="18"/>
  <c r="Y15" i="18"/>
  <c r="AL5" i="18" s="1"/>
  <c r="Z381" i="18"/>
  <c r="E7" i="6"/>
  <c r="AC7" i="7"/>
  <c r="J381" i="18"/>
  <c r="C15" i="6"/>
  <c r="J382" i="18"/>
  <c r="J383" i="18"/>
  <c r="AM9" i="22"/>
  <c r="AK9" i="22"/>
  <c r="AK11" i="22"/>
  <c r="AF104" i="24"/>
  <c r="AG383" i="24"/>
  <c r="AG381" i="24"/>
  <c r="AG382" i="24"/>
  <c r="I196" i="24"/>
  <c r="J196" i="24"/>
  <c r="J155" i="24"/>
  <c r="I155" i="24"/>
  <c r="J184" i="24"/>
  <c r="I184" i="24"/>
  <c r="J25" i="24"/>
  <c r="I25" i="24"/>
  <c r="I96" i="24"/>
  <c r="J215" i="24"/>
  <c r="I215" i="24"/>
  <c r="I24" i="24"/>
  <c r="J24" i="24"/>
  <c r="AA333" i="24"/>
  <c r="Z333" i="24" s="1"/>
  <c r="Y333" i="24" s="1"/>
  <c r="G333" i="24"/>
  <c r="CE333" i="6" s="1"/>
  <c r="I297" i="24"/>
  <c r="J297" i="24"/>
  <c r="J61" i="24"/>
  <c r="I61" i="24"/>
  <c r="J150" i="24"/>
  <c r="I150" i="24"/>
  <c r="I162" i="24"/>
  <c r="J162" i="24"/>
  <c r="I278" i="24"/>
  <c r="J278" i="24"/>
  <c r="I378" i="24"/>
  <c r="J378" i="24"/>
  <c r="J132" i="24"/>
  <c r="I132" i="24"/>
  <c r="I291" i="24"/>
  <c r="J291" i="24"/>
  <c r="I181" i="24"/>
  <c r="J181" i="24"/>
  <c r="J182" i="24"/>
  <c r="I182" i="24"/>
  <c r="I23" i="24"/>
  <c r="J23" i="24"/>
  <c r="J32" i="24"/>
  <c r="I32" i="24"/>
  <c r="G149" i="24"/>
  <c r="CE149" i="6" s="1"/>
  <c r="AA149" i="24"/>
  <c r="Z149" i="24" s="1"/>
  <c r="Y149" i="24" s="1"/>
  <c r="G88" i="24"/>
  <c r="CE88" i="6" s="1"/>
  <c r="AA88" i="24"/>
  <c r="Z88" i="24" s="1"/>
  <c r="Y88" i="24" s="1"/>
  <c r="I174" i="24"/>
  <c r="I313" i="24"/>
  <c r="J313" i="24"/>
  <c r="J125" i="24"/>
  <c r="J347" i="24"/>
  <c r="I347" i="24"/>
  <c r="I54" i="24"/>
  <c r="J54" i="24"/>
  <c r="J62" i="24"/>
  <c r="I62" i="24"/>
  <c r="AA227" i="24"/>
  <c r="Z227" i="24" s="1"/>
  <c r="Y227" i="24" s="1"/>
  <c r="H227" i="24"/>
  <c r="G227" i="24"/>
  <c r="CE227" i="6" s="1"/>
  <c r="I68" i="24"/>
  <c r="J68" i="24"/>
  <c r="G319" i="24"/>
  <c r="CE319" i="6" s="1"/>
  <c r="H319" i="24"/>
  <c r="AA319" i="24"/>
  <c r="Z319" i="24" s="1"/>
  <c r="Y319" i="24" s="1"/>
  <c r="H349" i="24"/>
  <c r="AA349" i="24"/>
  <c r="Z349" i="24" s="1"/>
  <c r="Y349" i="24" s="1"/>
  <c r="G349" i="24"/>
  <c r="CE349" i="6" s="1"/>
  <c r="I276" i="24"/>
  <c r="J276" i="24"/>
  <c r="I213" i="24"/>
  <c r="J213" i="24"/>
  <c r="J83" i="24"/>
  <c r="I83" i="24"/>
  <c r="J211" i="24"/>
  <c r="I211" i="24"/>
  <c r="I229" i="24"/>
  <c r="J229" i="24"/>
  <c r="J136" i="24"/>
  <c r="I136" i="24"/>
  <c r="I351" i="24"/>
  <c r="J351" i="24"/>
  <c r="I43" i="24"/>
  <c r="J43" i="24"/>
  <c r="I223" i="24"/>
  <c r="J223" i="24"/>
  <c r="I191" i="24"/>
  <c r="J191" i="24"/>
  <c r="AA46" i="24"/>
  <c r="Z46" i="24" s="1"/>
  <c r="Y46" i="24" s="1"/>
  <c r="G46" i="24"/>
  <c r="CE46" i="6" s="1"/>
  <c r="H46" i="24"/>
  <c r="I148" i="24"/>
  <c r="J148" i="24"/>
  <c r="I300" i="24"/>
  <c r="J300" i="24"/>
  <c r="J142" i="24"/>
  <c r="I142" i="24"/>
  <c r="I209" i="24"/>
  <c r="J209" i="24"/>
  <c r="J269" i="24"/>
  <c r="I269" i="24"/>
  <c r="J101" i="24"/>
  <c r="I101" i="24"/>
  <c r="J124" i="24"/>
  <c r="I124" i="24"/>
  <c r="J139" i="24"/>
  <c r="I139" i="24"/>
  <c r="I248" i="24"/>
  <c r="J248" i="24"/>
  <c r="J165" i="24"/>
  <c r="I165" i="24"/>
  <c r="I20" i="24"/>
  <c r="J20" i="24"/>
  <c r="I234" i="24"/>
  <c r="J234" i="24"/>
  <c r="I98" i="24"/>
  <c r="J98" i="24"/>
  <c r="I360" i="24"/>
  <c r="J360" i="24"/>
  <c r="J232" i="24"/>
  <c r="I232" i="24"/>
  <c r="I257" i="24"/>
  <c r="J257" i="24"/>
  <c r="I299" i="24"/>
  <c r="J299" i="24"/>
  <c r="I259" i="24"/>
  <c r="J259" i="24"/>
  <c r="I100" i="24"/>
  <c r="J100" i="24"/>
  <c r="I352" i="24"/>
  <c r="J352" i="24"/>
  <c r="AA119" i="24"/>
  <c r="Z119" i="24" s="1"/>
  <c r="Y119" i="24" s="1"/>
  <c r="G119" i="24"/>
  <c r="CE119" i="6" s="1"/>
  <c r="H119" i="24"/>
  <c r="J295" i="24"/>
  <c r="I295" i="24"/>
  <c r="I21" i="24"/>
  <c r="J21" i="24"/>
  <c r="I164" i="24"/>
  <c r="J164" i="24"/>
  <c r="I193" i="24"/>
  <c r="J193" i="24"/>
  <c r="J187" i="24"/>
  <c r="I187" i="24"/>
  <c r="I361" i="24"/>
  <c r="J361" i="24"/>
  <c r="I134" i="24"/>
  <c r="J134" i="24"/>
  <c r="I84" i="24"/>
  <c r="J84" i="24"/>
  <c r="J117" i="24"/>
  <c r="I117" i="24"/>
  <c r="I158" i="24"/>
  <c r="J158" i="24"/>
  <c r="J341" i="24"/>
  <c r="I341" i="24"/>
  <c r="I270" i="24"/>
  <c r="J270" i="24"/>
  <c r="J157" i="24"/>
  <c r="I157" i="24"/>
  <c r="J336" i="24"/>
  <c r="I336" i="24"/>
  <c r="J282" i="24"/>
  <c r="I282" i="24"/>
  <c r="I143" i="24"/>
  <c r="J143" i="24"/>
  <c r="I240" i="24"/>
  <c r="J240" i="24"/>
  <c r="J152" i="24"/>
  <c r="I152" i="24"/>
  <c r="J225" i="24"/>
  <c r="I225" i="24"/>
  <c r="J230" i="24"/>
  <c r="I230" i="24"/>
  <c r="J133" i="24"/>
  <c r="I133" i="24"/>
  <c r="J34" i="24"/>
  <c r="I34" i="24"/>
  <c r="J178" i="24"/>
  <c r="I178" i="24"/>
  <c r="J293" i="24"/>
  <c r="I293" i="24"/>
  <c r="J163" i="24"/>
  <c r="I163" i="24"/>
  <c r="J153" i="24"/>
  <c r="I153" i="24"/>
  <c r="J115" i="24"/>
  <c r="I115" i="24"/>
  <c r="I359" i="24"/>
  <c r="J359" i="24"/>
  <c r="I271" i="24"/>
  <c r="J271" i="24"/>
  <c r="I255" i="24"/>
  <c r="J255" i="24"/>
  <c r="I72" i="24"/>
  <c r="J72" i="24"/>
  <c r="I86" i="24"/>
  <c r="J86" i="24"/>
  <c r="J306" i="24"/>
  <c r="I306" i="24"/>
  <c r="I214" i="24"/>
  <c r="J214" i="24"/>
  <c r="J345" i="24"/>
  <c r="I345" i="24"/>
  <c r="G210" i="24"/>
  <c r="CE210" i="6" s="1"/>
  <c r="AA210" i="24"/>
  <c r="Z210" i="24" s="1"/>
  <c r="Y210" i="24" s="1"/>
  <c r="J82" i="24"/>
  <c r="I82" i="24"/>
  <c r="I104" i="24"/>
  <c r="J104" i="24"/>
  <c r="I59" i="24"/>
  <c r="J59" i="24"/>
  <c r="I265" i="24"/>
  <c r="J265" i="24"/>
  <c r="I169" i="24"/>
  <c r="J169" i="24"/>
  <c r="J76" i="24"/>
  <c r="I76" i="24"/>
  <c r="I120" i="24"/>
  <c r="J120" i="24"/>
  <c r="J329" i="24"/>
  <c r="I329" i="24"/>
  <c r="I261" i="24"/>
  <c r="J261" i="24"/>
  <c r="J334" i="24"/>
  <c r="I334" i="24"/>
  <c r="J55" i="24"/>
  <c r="I55" i="24"/>
  <c r="I97" i="24"/>
  <c r="J97" i="24"/>
  <c r="I243" i="24"/>
  <c r="J243" i="24"/>
  <c r="J340" i="24"/>
  <c r="I340" i="24"/>
  <c r="I357" i="24"/>
  <c r="J357" i="24"/>
  <c r="J219" i="24"/>
  <c r="I219" i="24"/>
  <c r="J212" i="24"/>
  <c r="I212" i="24"/>
  <c r="I161" i="24"/>
  <c r="J161" i="24"/>
  <c r="I198" i="24"/>
  <c r="J198" i="24"/>
  <c r="J247" i="24"/>
  <c r="I247" i="24"/>
  <c r="I81" i="24"/>
  <c r="J81" i="24"/>
  <c r="I253" i="24"/>
  <c r="J253" i="24"/>
  <c r="I167" i="24"/>
  <c r="J167" i="24"/>
  <c r="I242" i="24"/>
  <c r="J242" i="24"/>
  <c r="I316" i="24"/>
  <c r="J316" i="24"/>
  <c r="J285" i="24"/>
  <c r="I285" i="24"/>
  <c r="J311" i="24"/>
  <c r="I311" i="24"/>
  <c r="I262" i="24"/>
  <c r="J262" i="24"/>
  <c r="J221" i="24"/>
  <c r="I221" i="24"/>
  <c r="I121" i="24"/>
  <c r="J121" i="24"/>
  <c r="J326" i="24"/>
  <c r="I326" i="24"/>
  <c r="I126" i="24"/>
  <c r="J126" i="24"/>
  <c r="I38" i="24"/>
  <c r="J38" i="24"/>
  <c r="J89" i="24"/>
  <c r="I89" i="24"/>
  <c r="I353" i="24"/>
  <c r="J353" i="24"/>
  <c r="I315" i="24"/>
  <c r="J315" i="24"/>
  <c r="J85" i="24"/>
  <c r="I85" i="24"/>
  <c r="I47" i="24"/>
  <c r="J47" i="24"/>
  <c r="J273" i="24"/>
  <c r="I273" i="24"/>
  <c r="J179" i="24"/>
  <c r="I179" i="24"/>
  <c r="H288" i="24"/>
  <c r="G288" i="24"/>
  <c r="CE288" i="6" s="1"/>
  <c r="AA288" i="24"/>
  <c r="Z288" i="24" s="1"/>
  <c r="Y288" i="24" s="1"/>
  <c r="I51" i="24"/>
  <c r="J51" i="24"/>
  <c r="I267" i="24"/>
  <c r="J267" i="24"/>
  <c r="I346" i="24"/>
  <c r="J346" i="24"/>
  <c r="I122" i="24"/>
  <c r="J122" i="24"/>
  <c r="J355" i="24"/>
  <c r="I355" i="24"/>
  <c r="J53" i="24"/>
  <c r="I53" i="24"/>
  <c r="I220" i="24"/>
  <c r="J220" i="24"/>
  <c r="AA135" i="24"/>
  <c r="Z135" i="24" s="1"/>
  <c r="Y135" i="24" s="1"/>
  <c r="G135" i="24"/>
  <c r="CE135" i="6" s="1"/>
  <c r="H135" i="24"/>
  <c r="I154" i="24"/>
  <c r="J154" i="24"/>
  <c r="AA196" i="24"/>
  <c r="Z196" i="24" s="1"/>
  <c r="Y196" i="24" s="1"/>
  <c r="G196" i="24"/>
  <c r="CE196" i="6" s="1"/>
  <c r="J264" i="24"/>
  <c r="I264" i="24"/>
  <c r="I73" i="24"/>
  <c r="J73" i="24"/>
  <c r="I342" i="24"/>
  <c r="J342" i="24"/>
  <c r="J40" i="24"/>
  <c r="I40" i="24"/>
  <c r="J366" i="24"/>
  <c r="I366" i="24"/>
  <c r="I114" i="24"/>
  <c r="J114" i="24"/>
  <c r="AA241" i="24"/>
  <c r="Z241" i="24" s="1"/>
  <c r="Y241" i="24" s="1"/>
  <c r="G241" i="24"/>
  <c r="CE241" i="6" s="1"/>
  <c r="I112" i="24"/>
  <c r="J112" i="24"/>
  <c r="J335" i="24"/>
  <c r="I335" i="24"/>
  <c r="J77" i="24"/>
  <c r="I77" i="24"/>
  <c r="I238" i="24"/>
  <c r="J238" i="24"/>
  <c r="I324" i="24"/>
  <c r="J324" i="24"/>
  <c r="J330" i="24"/>
  <c r="I330" i="24"/>
  <c r="J322" i="24"/>
  <c r="I322" i="24"/>
  <c r="AA60" i="24"/>
  <c r="Z60" i="24" s="1"/>
  <c r="Y60" i="24" s="1"/>
  <c r="H60" i="24"/>
  <c r="G60" i="24"/>
  <c r="CE60" i="6" s="1"/>
  <c r="I87" i="24"/>
  <c r="J87" i="24"/>
  <c r="I99" i="24"/>
  <c r="J99" i="24"/>
  <c r="G258" i="24"/>
  <c r="CE258" i="6" s="1"/>
  <c r="H258" i="24"/>
  <c r="AA258" i="24"/>
  <c r="Z258" i="24" s="1"/>
  <c r="Y258" i="24" s="1"/>
  <c r="H105" i="24"/>
  <c r="AA105" i="24"/>
  <c r="Z105" i="24" s="1"/>
  <c r="Y105" i="24" s="1"/>
  <c r="G105" i="24"/>
  <c r="CE105" i="6" s="1"/>
  <c r="J373" i="24"/>
  <c r="I373" i="24"/>
  <c r="I146" i="24"/>
  <c r="J146" i="24"/>
  <c r="J338" i="24"/>
  <c r="I338" i="24"/>
  <c r="H74" i="24"/>
  <c r="AA74" i="24"/>
  <c r="Z74" i="24" s="1"/>
  <c r="Y74" i="24" s="1"/>
  <c r="G74" i="24"/>
  <c r="CE74" i="6" s="1"/>
  <c r="J70" i="24"/>
  <c r="I70" i="24"/>
  <c r="I19" i="24"/>
  <c r="J19" i="24"/>
  <c r="J237" i="24"/>
  <c r="I237" i="24"/>
  <c r="J140" i="24"/>
  <c r="I140" i="24"/>
  <c r="J156" i="24"/>
  <c r="I156" i="24"/>
  <c r="I235" i="24"/>
  <c r="J235" i="24"/>
  <c r="G166" i="24"/>
  <c r="CE166" i="6" s="1"/>
  <c r="H166" i="24"/>
  <c r="AA166" i="24"/>
  <c r="Z166" i="24" s="1"/>
  <c r="Y166" i="24" s="1"/>
  <c r="J207" i="24"/>
  <c r="I207" i="24"/>
  <c r="I274" i="24"/>
  <c r="J274" i="24"/>
  <c r="I331" i="24"/>
  <c r="J331" i="24"/>
  <c r="J39" i="24"/>
  <c r="I39" i="24"/>
  <c r="I365" i="24"/>
  <c r="J365" i="24"/>
  <c r="J245" i="24"/>
  <c r="I245" i="24"/>
  <c r="J354" i="24"/>
  <c r="I354" i="24"/>
  <c r="J236" i="24"/>
  <c r="I236" i="24"/>
  <c r="J377" i="24"/>
  <c r="I377" i="24"/>
  <c r="I92" i="24"/>
  <c r="J92" i="24"/>
  <c r="I239" i="24"/>
  <c r="J239" i="24"/>
  <c r="J123" i="24"/>
  <c r="I123" i="24"/>
  <c r="J287" i="24"/>
  <c r="I287" i="24"/>
  <c r="AA363" i="24"/>
  <c r="Z363" i="24" s="1"/>
  <c r="Y363" i="24" s="1"/>
  <c r="G363" i="24"/>
  <c r="CE363" i="6" s="1"/>
  <c r="J103" i="24"/>
  <c r="I103" i="24"/>
  <c r="J188" i="24"/>
  <c r="I188" i="24"/>
  <c r="J78" i="24"/>
  <c r="I78" i="24"/>
  <c r="G272" i="24"/>
  <c r="CE272" i="6" s="1"/>
  <c r="AA272" i="24"/>
  <c r="Z272" i="24" s="1"/>
  <c r="Y272" i="24" s="1"/>
  <c r="G29" i="24"/>
  <c r="CE29" i="6" s="1"/>
  <c r="H29" i="24"/>
  <c r="AA29" i="24"/>
  <c r="Z29" i="24" s="1"/>
  <c r="Y29" i="24" s="1"/>
  <c r="I58" i="24"/>
  <c r="J58" i="24"/>
  <c r="J130" i="24"/>
  <c r="I130" i="24"/>
  <c r="I27" i="24"/>
  <c r="J27" i="24"/>
  <c r="I168" i="24"/>
  <c r="J168" i="24"/>
  <c r="J31" i="24"/>
  <c r="I31" i="24"/>
  <c r="J80" i="24"/>
  <c r="I80" i="24"/>
  <c r="P15" i="24"/>
  <c r="I108" i="24"/>
  <c r="J108" i="24"/>
  <c r="I185" i="24"/>
  <c r="J185" i="24"/>
  <c r="J216" i="24"/>
  <c r="I216" i="24"/>
  <c r="J189" i="24"/>
  <c r="I189" i="24"/>
  <c r="J290" i="24"/>
  <c r="I290" i="24"/>
  <c r="J374" i="24"/>
  <c r="I374" i="24"/>
  <c r="J348" i="24"/>
  <c r="I348" i="24"/>
  <c r="J244" i="24"/>
  <c r="I244" i="24"/>
  <c r="J251" i="24"/>
  <c r="I251" i="24"/>
  <c r="I200" i="24"/>
  <c r="J200" i="24"/>
  <c r="J344" i="24"/>
  <c r="I344" i="24"/>
  <c r="I202" i="24"/>
  <c r="J202" i="24"/>
  <c r="J118" i="24"/>
  <c r="I118" i="24"/>
  <c r="I208" i="24"/>
  <c r="J208" i="24"/>
  <c r="J284" i="24"/>
  <c r="I284" i="24"/>
  <c r="I364" i="24"/>
  <c r="J364" i="24"/>
  <c r="I339" i="24"/>
  <c r="J339" i="24"/>
  <c r="I95" i="24"/>
  <c r="J95" i="24"/>
  <c r="I252" i="24"/>
  <c r="J252" i="24"/>
  <c r="G302" i="24"/>
  <c r="CE302" i="6" s="1"/>
  <c r="AA302" i="24"/>
  <c r="Z302" i="24" s="1"/>
  <c r="Y302" i="24" s="1"/>
  <c r="I203" i="24"/>
  <c r="J203" i="24"/>
  <c r="J48" i="24"/>
  <c r="I48" i="24"/>
  <c r="J145" i="24"/>
  <c r="I145" i="24"/>
  <c r="I79" i="24"/>
  <c r="J79" i="24"/>
  <c r="J292" i="24"/>
  <c r="I292" i="24"/>
  <c r="J69" i="24"/>
  <c r="I69" i="24"/>
  <c r="J177" i="24"/>
  <c r="I177" i="24"/>
  <c r="I301" i="24"/>
  <c r="J301" i="24"/>
  <c r="I318" i="24"/>
  <c r="J318" i="24"/>
  <c r="J375" i="24"/>
  <c r="I375" i="24"/>
  <c r="I171" i="24"/>
  <c r="J171" i="24"/>
  <c r="I266" i="24"/>
  <c r="J266" i="24"/>
  <c r="J175" i="24"/>
  <c r="I175" i="24"/>
  <c r="I323" i="24"/>
  <c r="J323" i="24"/>
  <c r="J279" i="24"/>
  <c r="I279" i="24"/>
  <c r="J204" i="24"/>
  <c r="I204" i="24"/>
  <c r="J63" i="24"/>
  <c r="I63" i="24"/>
  <c r="J49" i="24"/>
  <c r="I49" i="24"/>
  <c r="J254" i="24"/>
  <c r="I254" i="24"/>
  <c r="J42" i="24"/>
  <c r="I42" i="24"/>
  <c r="I44" i="24"/>
  <c r="J44" i="24"/>
  <c r="J91" i="24"/>
  <c r="I91" i="24"/>
  <c r="J183" i="24"/>
  <c r="I183" i="24"/>
  <c r="J50" i="24"/>
  <c r="I50" i="24"/>
  <c r="I217" i="24"/>
  <c r="J217" i="24"/>
  <c r="I358" i="24"/>
  <c r="J358" i="24"/>
  <c r="H379" i="24"/>
  <c r="G379" i="24"/>
  <c r="CE379" i="6" s="1"/>
  <c r="AA379" i="24"/>
  <c r="Z379" i="24" s="1"/>
  <c r="Y379" i="24" s="1"/>
  <c r="J268" i="24" l="1"/>
  <c r="I275" i="24"/>
  <c r="J26" i="24"/>
  <c r="I172" i="24"/>
  <c r="I350" i="24"/>
  <c r="I205" i="24"/>
  <c r="J199" i="24"/>
  <c r="J110" i="24"/>
  <c r="I277" i="24"/>
  <c r="I337" i="24"/>
  <c r="J107" i="24"/>
  <c r="J141" i="24"/>
  <c r="J109" i="24"/>
  <c r="J102" i="24"/>
  <c r="J280" i="24"/>
  <c r="J260" i="24"/>
  <c r="I64" i="24"/>
  <c r="J16" i="24"/>
  <c r="J250" i="24"/>
  <c r="I206" i="24"/>
  <c r="J308" i="24"/>
  <c r="J332" i="24"/>
  <c r="I343" i="24"/>
  <c r="I33" i="24"/>
  <c r="J52" i="24"/>
  <c r="J369" i="24"/>
  <c r="I283" i="24"/>
  <c r="J192" i="24"/>
  <c r="J298" i="24"/>
  <c r="I66" i="24"/>
  <c r="I197" i="24"/>
  <c r="J195" i="24"/>
  <c r="J325" i="24"/>
  <c r="I67" i="24"/>
  <c r="J222" i="24"/>
  <c r="I160" i="24"/>
  <c r="I65" i="24"/>
  <c r="J94" i="24"/>
  <c r="I356" i="24"/>
  <c r="J22" i="24"/>
  <c r="I368" i="24"/>
  <c r="J30" i="24"/>
  <c r="I228" i="24"/>
  <c r="J137" i="24"/>
  <c r="J233" i="24"/>
  <c r="J249" i="24"/>
  <c r="I75" i="24"/>
  <c r="J17" i="24"/>
  <c r="I224" i="24"/>
  <c r="I289" i="24"/>
  <c r="I186" i="24"/>
  <c r="I304" i="24"/>
  <c r="I35" i="24"/>
  <c r="J93" i="24"/>
  <c r="I194" i="24"/>
  <c r="I116" i="24"/>
  <c r="I131" i="24"/>
  <c r="I327" i="24"/>
  <c r="I263" i="24"/>
  <c r="I231" i="24"/>
  <c r="I127" i="24"/>
  <c r="J147" i="24"/>
  <c r="G180" i="24"/>
  <c r="CE180" i="6" s="1"/>
  <c r="I317" i="24"/>
  <c r="J37" i="24"/>
  <c r="J307" i="24"/>
  <c r="I367" i="24"/>
  <c r="I113" i="24"/>
  <c r="D31" i="19"/>
  <c r="U63" i="25"/>
  <c r="T63" i="25" s="1"/>
  <c r="I190" i="24"/>
  <c r="S63" i="25"/>
  <c r="R63" i="25" s="1"/>
  <c r="P63" i="25" s="1"/>
  <c r="V63" i="25" s="1"/>
  <c r="B63" i="25" s="1"/>
  <c r="U334" i="25"/>
  <c r="T334" i="25" s="1"/>
  <c r="U242" i="25"/>
  <c r="T242" i="25" s="1"/>
  <c r="U372" i="25"/>
  <c r="T372" i="25" s="1"/>
  <c r="U166" i="25"/>
  <c r="T166" i="25" s="1"/>
  <c r="U359" i="25"/>
  <c r="T359" i="25" s="1"/>
  <c r="U255" i="25"/>
  <c r="T255" i="25" s="1"/>
  <c r="U354" i="25"/>
  <c r="T354" i="25" s="1"/>
  <c r="U338" i="25"/>
  <c r="T338" i="25" s="1"/>
  <c r="U104" i="25"/>
  <c r="T104" i="25" s="1"/>
  <c r="U149" i="25"/>
  <c r="T149" i="25" s="1"/>
  <c r="AI112" i="25"/>
  <c r="AH112" i="25" s="1"/>
  <c r="AI373" i="25"/>
  <c r="AH373" i="25" s="1"/>
  <c r="AI250" i="25"/>
  <c r="AH250" i="25" s="1"/>
  <c r="AI147" i="25"/>
  <c r="AH147" i="25" s="1"/>
  <c r="AI22" i="25"/>
  <c r="AH22" i="25" s="1"/>
  <c r="AI177" i="25"/>
  <c r="AH177" i="25" s="1"/>
  <c r="AI54" i="25"/>
  <c r="AH54" i="25" s="1"/>
  <c r="AI312" i="25"/>
  <c r="AH312" i="25" s="1"/>
  <c r="AI75" i="25"/>
  <c r="AH75" i="25" s="1"/>
  <c r="AI296" i="25"/>
  <c r="AH296" i="25" s="1"/>
  <c r="AI171" i="25"/>
  <c r="AH171" i="25" s="1"/>
  <c r="AI377" i="25"/>
  <c r="AH377" i="25" s="1"/>
  <c r="AI165" i="25"/>
  <c r="AH165" i="25" s="1"/>
  <c r="AI367" i="25"/>
  <c r="AH367" i="25" s="1"/>
  <c r="AI263" i="25"/>
  <c r="AH263" i="25" s="1"/>
  <c r="AI129" i="25"/>
  <c r="AH129" i="25" s="1"/>
  <c r="AI369" i="25"/>
  <c r="AH369" i="25" s="1"/>
  <c r="AI316" i="25"/>
  <c r="AH316" i="25" s="1"/>
  <c r="AI221" i="25"/>
  <c r="AH221" i="25" s="1"/>
  <c r="AI111" i="25"/>
  <c r="AH111" i="25" s="1"/>
  <c r="AI338" i="25"/>
  <c r="AH338" i="25" s="1"/>
  <c r="AI91" i="25"/>
  <c r="AH91" i="25" s="1"/>
  <c r="AI277" i="25"/>
  <c r="AH277" i="25" s="1"/>
  <c r="AI159" i="25"/>
  <c r="AH159" i="25" s="1"/>
  <c r="AI34" i="25"/>
  <c r="AH34" i="25" s="1"/>
  <c r="AI291" i="25"/>
  <c r="AH291" i="25" s="1"/>
  <c r="AI119" i="25"/>
  <c r="AH119" i="25" s="1"/>
  <c r="AI38" i="25"/>
  <c r="AH38" i="25" s="1"/>
  <c r="AI225" i="25"/>
  <c r="AH225" i="25" s="1"/>
  <c r="AI142" i="25"/>
  <c r="AH142" i="25" s="1"/>
  <c r="AI345" i="25"/>
  <c r="AH345" i="25" s="1"/>
  <c r="AI95" i="25"/>
  <c r="AH95" i="25" s="1"/>
  <c r="AI340" i="25"/>
  <c r="AH340" i="25" s="1"/>
  <c r="AI219" i="25"/>
  <c r="AH219" i="25" s="1"/>
  <c r="AI31" i="25"/>
  <c r="AH31" i="25" s="1"/>
  <c r="AI137" i="25"/>
  <c r="AH137" i="25" s="1"/>
  <c r="AI379" i="25"/>
  <c r="AH379" i="25" s="1"/>
  <c r="AI275" i="25"/>
  <c r="AH275" i="25" s="1"/>
  <c r="AI189" i="25"/>
  <c r="AH189" i="25" s="1"/>
  <c r="AI146" i="25"/>
  <c r="AH146" i="25" s="1"/>
  <c r="AI349" i="25"/>
  <c r="AH349" i="25" s="1"/>
  <c r="AI232" i="25"/>
  <c r="AH232" i="25" s="1"/>
  <c r="AI114" i="25"/>
  <c r="AH114" i="25" s="1"/>
  <c r="AI332" i="25"/>
  <c r="AH332" i="25" s="1"/>
  <c r="AI124" i="25"/>
  <c r="AH124" i="25" s="1"/>
  <c r="AI299" i="25"/>
  <c r="AH299" i="25" s="1"/>
  <c r="AI130" i="25"/>
  <c r="AH130" i="25" s="1"/>
  <c r="AI51" i="25"/>
  <c r="AH51" i="25" s="1"/>
  <c r="AI305" i="25"/>
  <c r="AH305" i="25" s="1"/>
  <c r="AI208" i="25"/>
  <c r="AH208" i="25" s="1"/>
  <c r="AI43" i="25"/>
  <c r="AH43" i="25" s="1"/>
  <c r="AI255" i="25"/>
  <c r="AH255" i="25" s="1"/>
  <c r="AI118" i="25"/>
  <c r="AH118" i="25" s="1"/>
  <c r="AI341" i="25"/>
  <c r="AH341" i="25" s="1"/>
  <c r="AI144" i="25"/>
  <c r="AH144" i="25" s="1"/>
  <c r="AI372" i="25"/>
  <c r="AH372" i="25" s="1"/>
  <c r="AI199" i="25"/>
  <c r="AH199" i="25" s="1"/>
  <c r="AI55" i="25"/>
  <c r="AH55" i="25" s="1"/>
  <c r="AI203" i="25"/>
  <c r="AH203" i="25" s="1"/>
  <c r="AI72" i="25"/>
  <c r="AH72" i="25" s="1"/>
  <c r="AI297" i="25"/>
  <c r="AH297" i="25" s="1"/>
  <c r="AI162" i="25"/>
  <c r="AH162" i="25" s="1"/>
  <c r="AI122" i="25"/>
  <c r="AH122" i="25" s="1"/>
  <c r="AI363" i="25"/>
  <c r="AH363" i="25" s="1"/>
  <c r="AI244" i="25"/>
  <c r="AH244" i="25" s="1"/>
  <c r="AI164" i="25"/>
  <c r="AH164" i="25" s="1"/>
  <c r="AI356" i="25"/>
  <c r="AH356" i="25" s="1"/>
  <c r="AI116" i="25"/>
  <c r="AH116" i="25" s="1"/>
  <c r="AI313" i="25"/>
  <c r="AH313" i="25" s="1"/>
  <c r="AI218" i="25"/>
  <c r="AH218" i="25" s="1"/>
  <c r="AI69" i="25"/>
  <c r="AH69" i="25" s="1"/>
  <c r="AI335" i="25"/>
  <c r="AH335" i="25" s="1"/>
  <c r="AI184" i="25"/>
  <c r="AH184" i="25" s="1"/>
  <c r="AI58" i="25"/>
  <c r="AH58" i="25" s="1"/>
  <c r="AI248" i="25"/>
  <c r="AH248" i="25" s="1"/>
  <c r="AI168" i="25"/>
  <c r="AH168" i="25" s="1"/>
  <c r="AI366" i="25"/>
  <c r="AH366" i="25" s="1"/>
  <c r="AI120" i="25"/>
  <c r="AH120" i="25" s="1"/>
  <c r="AI23" i="25"/>
  <c r="AH23" i="25" s="1"/>
  <c r="AI222" i="25"/>
  <c r="AH222" i="25" s="1"/>
  <c r="AI73" i="25"/>
  <c r="AH73" i="25" s="1"/>
  <c r="AI176" i="25"/>
  <c r="AH176" i="25" s="1"/>
  <c r="AI92" i="25"/>
  <c r="AH92" i="25" s="1"/>
  <c r="AI311" i="25"/>
  <c r="AH311" i="25" s="1"/>
  <c r="AI214" i="25"/>
  <c r="AH214" i="25" s="1"/>
  <c r="AI185" i="25"/>
  <c r="AH185" i="25" s="1"/>
  <c r="AI42" i="25"/>
  <c r="AH42" i="25" s="1"/>
  <c r="AI273" i="25"/>
  <c r="AH273" i="25" s="1"/>
  <c r="AI136" i="25"/>
  <c r="AH136" i="25" s="1"/>
  <c r="AI281" i="25"/>
  <c r="AH281" i="25" s="1"/>
  <c r="AI166" i="25"/>
  <c r="AH166" i="25" s="1"/>
  <c r="AI346" i="25"/>
  <c r="AH346" i="25" s="1"/>
  <c r="AI216" i="25"/>
  <c r="AH216" i="25" s="1"/>
  <c r="AI85" i="25"/>
  <c r="AH85" i="25" s="1"/>
  <c r="AI329" i="25"/>
  <c r="AH329" i="25" s="1"/>
  <c r="AI231" i="25"/>
  <c r="AH231" i="25" s="1"/>
  <c r="AI64" i="25"/>
  <c r="AH64" i="25" s="1"/>
  <c r="AI289" i="25"/>
  <c r="AH289" i="25" s="1"/>
  <c r="AI140" i="25"/>
  <c r="AH140" i="25" s="1"/>
  <c r="AI287" i="25"/>
  <c r="AH287" i="25" s="1"/>
  <c r="AI180" i="25"/>
  <c r="AH180" i="25" s="1"/>
  <c r="AI15" i="25"/>
  <c r="AI237" i="25"/>
  <c r="AH237" i="25" s="1"/>
  <c r="AI89" i="25"/>
  <c r="AH89" i="25" s="1"/>
  <c r="AI224" i="25"/>
  <c r="AH224" i="25" s="1"/>
  <c r="AI125" i="25"/>
  <c r="AH125" i="25" s="1"/>
  <c r="AI337" i="25"/>
  <c r="AH337" i="25" s="1"/>
  <c r="AI200" i="25"/>
  <c r="AH200" i="25" s="1"/>
  <c r="AI152" i="25"/>
  <c r="AH152" i="25" s="1"/>
  <c r="AI61" i="25"/>
  <c r="AH61" i="25" s="1"/>
  <c r="AI284" i="25"/>
  <c r="AH284" i="25" s="1"/>
  <c r="AI202" i="25"/>
  <c r="AH202" i="25" s="1"/>
  <c r="AI303" i="25"/>
  <c r="AH303" i="25" s="1"/>
  <c r="AI134" i="25"/>
  <c r="AH134" i="25" s="1"/>
  <c r="AI360" i="25"/>
  <c r="AH360" i="25" s="1"/>
  <c r="AI241" i="25"/>
  <c r="AH241" i="25" s="1"/>
  <c r="AI158" i="25"/>
  <c r="AH158" i="25" s="1"/>
  <c r="AI357" i="25"/>
  <c r="AH357" i="25" s="1"/>
  <c r="AI259" i="25"/>
  <c r="AH259" i="25" s="1"/>
  <c r="AI79" i="25"/>
  <c r="AH79" i="25" s="1"/>
  <c r="AI288" i="25"/>
  <c r="AH288" i="25" s="1"/>
  <c r="AI206" i="25"/>
  <c r="AH206" i="25" s="1"/>
  <c r="AI321" i="25"/>
  <c r="AH321" i="25" s="1"/>
  <c r="AI138" i="25"/>
  <c r="AH138" i="25" s="1"/>
  <c r="AI59" i="25"/>
  <c r="AH59" i="25" s="1"/>
  <c r="AI245" i="25"/>
  <c r="AH245" i="25" s="1"/>
  <c r="AI20" i="25"/>
  <c r="AH20" i="25" s="1"/>
  <c r="AI254" i="25"/>
  <c r="AH254" i="25" s="1"/>
  <c r="AI117" i="25"/>
  <c r="AH117" i="25" s="1"/>
  <c r="AI378" i="25"/>
  <c r="AH378" i="25" s="1"/>
  <c r="AI239" i="25"/>
  <c r="AH239" i="25" s="1"/>
  <c r="AI210" i="25"/>
  <c r="AH210" i="25" s="1"/>
  <c r="AI81" i="25"/>
  <c r="AH81" i="25" s="1"/>
  <c r="AI300" i="25"/>
  <c r="AH300" i="25" s="1"/>
  <c r="AI175" i="25"/>
  <c r="AH175" i="25" s="1"/>
  <c r="AI320" i="25"/>
  <c r="AH320" i="25" s="1"/>
  <c r="AI179" i="25"/>
  <c r="AH179" i="25" s="1"/>
  <c r="AI36" i="25"/>
  <c r="AH36" i="25" s="1"/>
  <c r="AI267" i="25"/>
  <c r="AH267" i="25" s="1"/>
  <c r="AI133" i="25"/>
  <c r="AH133" i="25" s="1"/>
  <c r="AI375" i="25"/>
  <c r="AH375" i="25" s="1"/>
  <c r="AI252" i="25"/>
  <c r="AH252" i="25" s="1"/>
  <c r="AI99" i="25"/>
  <c r="AH99" i="25" s="1"/>
  <c r="AI317" i="25"/>
  <c r="AH317" i="25" s="1"/>
  <c r="AI182" i="25"/>
  <c r="AH182" i="25" s="1"/>
  <c r="AI326" i="25"/>
  <c r="AH326" i="25" s="1"/>
  <c r="AI226" i="25"/>
  <c r="AH226" i="25" s="1"/>
  <c r="AI77" i="25"/>
  <c r="AH77" i="25" s="1"/>
  <c r="AI274" i="25"/>
  <c r="AH274" i="25" s="1"/>
  <c r="AI40" i="25"/>
  <c r="AH40" i="25" s="1"/>
  <c r="AI247" i="25"/>
  <c r="AH247" i="25" s="1"/>
  <c r="AI167" i="25"/>
  <c r="AH167" i="25" s="1"/>
  <c r="AI30" i="25"/>
  <c r="AH30" i="25" s="1"/>
  <c r="AI261" i="25"/>
  <c r="AH261" i="25" s="1"/>
  <c r="AI195" i="25"/>
  <c r="AH195" i="25" s="1"/>
  <c r="AI102" i="25"/>
  <c r="AH102" i="25" s="1"/>
  <c r="AI362" i="25"/>
  <c r="AH362" i="25" s="1"/>
  <c r="AI207" i="25"/>
  <c r="AH207" i="25" s="1"/>
  <c r="AI76" i="25"/>
  <c r="AH76" i="25" s="1"/>
  <c r="AI301" i="25"/>
  <c r="AH301" i="25" s="1"/>
  <c r="AI172" i="25"/>
  <c r="AH172" i="25" s="1"/>
  <c r="AI88" i="25"/>
  <c r="AH88" i="25" s="1"/>
  <c r="AI307" i="25"/>
  <c r="AH307" i="25" s="1"/>
  <c r="AI156" i="25"/>
  <c r="AH156" i="25" s="1"/>
  <c r="AI17" i="25"/>
  <c r="AH17" i="25" s="1"/>
  <c r="AI253" i="25"/>
  <c r="AH253" i="25" s="1"/>
  <c r="AI370" i="25"/>
  <c r="AH370" i="25" s="1"/>
  <c r="AI249" i="25"/>
  <c r="AH249" i="25" s="1"/>
  <c r="AI82" i="25"/>
  <c r="AH82" i="25" s="1"/>
  <c r="AI318" i="25"/>
  <c r="AH318" i="25" s="1"/>
  <c r="AI78" i="25"/>
  <c r="AH78" i="25" s="1"/>
  <c r="AI323" i="25"/>
  <c r="AH323" i="25" s="1"/>
  <c r="AI205" i="25"/>
  <c r="AH205" i="25" s="1"/>
  <c r="AI74" i="25"/>
  <c r="AH74" i="25" s="1"/>
  <c r="AI35" i="25"/>
  <c r="AH35" i="25" s="1"/>
  <c r="AI257" i="25"/>
  <c r="AH257" i="25" s="1"/>
  <c r="AI127" i="25"/>
  <c r="AH127" i="25" s="1"/>
  <c r="AI39" i="25"/>
  <c r="AH39" i="25" s="1"/>
  <c r="AI186" i="25"/>
  <c r="AH186" i="25" s="1"/>
  <c r="AI27" i="25"/>
  <c r="AH27" i="25" s="1"/>
  <c r="AI183" i="25"/>
  <c r="AH183" i="25" s="1"/>
  <c r="AI96" i="25"/>
  <c r="AH96" i="25" s="1"/>
  <c r="AI315" i="25"/>
  <c r="AH315" i="25" s="1"/>
  <c r="AI220" i="25"/>
  <c r="AH220" i="25" s="1"/>
  <c r="AI110" i="25"/>
  <c r="AH110" i="25" s="1"/>
  <c r="AI322" i="25"/>
  <c r="AH322" i="25" s="1"/>
  <c r="AI131" i="25"/>
  <c r="AH131" i="25" s="1"/>
  <c r="AI48" i="25"/>
  <c r="AH48" i="25" s="1"/>
  <c r="AI190" i="25"/>
  <c r="AH190" i="25" s="1"/>
  <c r="AI25" i="25"/>
  <c r="AH25" i="25" s="1"/>
  <c r="AI290" i="25"/>
  <c r="AH290" i="25" s="1"/>
  <c r="AI103" i="25"/>
  <c r="AH103" i="25" s="1"/>
  <c r="AI324" i="25"/>
  <c r="AH324" i="25" s="1"/>
  <c r="AI84" i="25"/>
  <c r="AH84" i="25" s="1"/>
  <c r="AI351" i="25"/>
  <c r="AH351" i="25" s="1"/>
  <c r="AI174" i="25"/>
  <c r="AH174" i="25" s="1"/>
  <c r="AI94" i="25"/>
  <c r="AH94" i="25" s="1"/>
  <c r="AI52" i="25"/>
  <c r="AH52" i="25" s="1"/>
  <c r="AI306" i="25"/>
  <c r="AH306" i="25" s="1"/>
  <c r="AI187" i="25"/>
  <c r="AH187" i="25" s="1"/>
  <c r="AI44" i="25"/>
  <c r="AH44" i="25" s="1"/>
  <c r="AI153" i="25"/>
  <c r="AH153" i="25" s="1"/>
  <c r="AI28" i="25"/>
  <c r="AH28" i="25" s="1"/>
  <c r="AI230" i="25"/>
  <c r="AH230" i="25" s="1"/>
  <c r="AI145" i="25"/>
  <c r="AH145" i="25" s="1"/>
  <c r="AI344" i="25"/>
  <c r="AH344" i="25" s="1"/>
  <c r="AI229" i="25"/>
  <c r="AH229" i="25" s="1"/>
  <c r="AI113" i="25"/>
  <c r="AH113" i="25" s="1"/>
  <c r="AI310" i="25"/>
  <c r="AH310" i="25" s="1"/>
  <c r="AI191" i="25"/>
  <c r="AH191" i="25" s="1"/>
  <c r="AI66" i="25"/>
  <c r="AH66" i="25" s="1"/>
  <c r="AI169" i="25"/>
  <c r="AH169" i="25" s="1"/>
  <c r="AI46" i="25"/>
  <c r="AH46" i="25" s="1"/>
  <c r="AI304" i="25"/>
  <c r="AH304" i="25" s="1"/>
  <c r="AI149" i="25"/>
  <c r="AH149" i="25" s="1"/>
  <c r="AI348" i="25"/>
  <c r="AH348" i="25" s="1"/>
  <c r="AI105" i="25"/>
  <c r="AH105" i="25" s="1"/>
  <c r="AI365" i="25"/>
  <c r="AH365" i="25" s="1"/>
  <c r="AI246" i="25"/>
  <c r="AH246" i="25" s="1"/>
  <c r="AI143" i="25"/>
  <c r="AH143" i="25" s="1"/>
  <c r="AI70" i="25"/>
  <c r="AH70" i="25" s="1"/>
  <c r="AI336" i="25"/>
  <c r="AH336" i="25" s="1"/>
  <c r="AI150" i="25"/>
  <c r="AH150" i="25" s="1"/>
  <c r="AI63" i="25"/>
  <c r="AH63" i="25" s="1"/>
  <c r="AI211" i="25"/>
  <c r="AH211" i="25" s="1"/>
  <c r="AI16" i="25"/>
  <c r="AH16" i="25" s="1"/>
  <c r="AI258" i="25"/>
  <c r="AH258" i="25" s="1"/>
  <c r="AI121" i="25"/>
  <c r="AH121" i="25" s="1"/>
  <c r="AI26" i="25"/>
  <c r="AH26" i="25" s="1"/>
  <c r="AI243" i="25"/>
  <c r="AH243" i="25" s="1"/>
  <c r="AI163" i="25"/>
  <c r="AH163" i="25" s="1"/>
  <c r="AI343" i="25"/>
  <c r="AH343" i="25" s="1"/>
  <c r="AI160" i="25"/>
  <c r="AH160" i="25" s="1"/>
  <c r="AI86" i="25"/>
  <c r="AH86" i="25" s="1"/>
  <c r="AI217" i="25"/>
  <c r="AH217" i="25" s="1"/>
  <c r="AI100" i="25"/>
  <c r="AH100" i="25" s="1"/>
  <c r="AI334" i="25"/>
  <c r="AH334" i="25" s="1"/>
  <c r="AI128" i="25"/>
  <c r="AH128" i="25" s="1"/>
  <c r="AI269" i="25"/>
  <c r="AH269" i="25" s="1"/>
  <c r="AI155" i="25"/>
  <c r="AH155" i="25" s="1"/>
  <c r="AI33" i="25"/>
  <c r="AH33" i="25" s="1"/>
  <c r="AI282" i="25"/>
  <c r="AH282" i="25" s="1"/>
  <c r="AI115" i="25"/>
  <c r="AH115" i="25" s="1"/>
  <c r="AI90" i="25"/>
  <c r="AH90" i="25" s="1"/>
  <c r="AI330" i="25"/>
  <c r="AH330" i="25" s="1"/>
  <c r="AI233" i="25"/>
  <c r="AH233" i="25" s="1"/>
  <c r="AI83" i="25"/>
  <c r="AH83" i="25" s="1"/>
  <c r="AI196" i="25"/>
  <c r="AH196" i="25" s="1"/>
  <c r="AI49" i="25"/>
  <c r="AH49" i="25" s="1"/>
  <c r="AI251" i="25"/>
  <c r="AH251" i="25" s="1"/>
  <c r="AI181" i="25"/>
  <c r="AH181" i="25" s="1"/>
  <c r="AI41" i="25"/>
  <c r="AH41" i="25" s="1"/>
  <c r="AI265" i="25"/>
  <c r="AH265" i="25" s="1"/>
  <c r="AI135" i="25"/>
  <c r="AH135" i="25" s="1"/>
  <c r="AI339" i="25"/>
  <c r="AH339" i="25" s="1"/>
  <c r="AI238" i="25"/>
  <c r="AH238" i="25" s="1"/>
  <c r="AI101" i="25"/>
  <c r="AH101" i="25" s="1"/>
  <c r="AI215" i="25"/>
  <c r="AH215" i="25" s="1"/>
  <c r="AI107" i="25"/>
  <c r="AH107" i="25" s="1"/>
  <c r="AI328" i="25"/>
  <c r="AH328" i="25" s="1"/>
  <c r="AI188" i="25"/>
  <c r="AH188" i="25" s="1"/>
  <c r="AI295" i="25"/>
  <c r="AH295" i="25" s="1"/>
  <c r="AI126" i="25"/>
  <c r="AH126" i="25" s="1"/>
  <c r="AI47" i="25"/>
  <c r="AH47" i="25" s="1"/>
  <c r="AI286" i="25"/>
  <c r="AH286" i="25" s="1"/>
  <c r="AI242" i="25"/>
  <c r="AH242" i="25" s="1"/>
  <c r="AI123" i="25"/>
  <c r="AH123" i="25" s="1"/>
  <c r="AI358" i="25"/>
  <c r="AH358" i="25" s="1"/>
  <c r="AI260" i="25"/>
  <c r="AH260" i="25" s="1"/>
  <c r="AI97" i="25"/>
  <c r="AH97" i="25" s="1"/>
  <c r="AI235" i="25"/>
  <c r="AH235" i="25" s="1"/>
  <c r="AI67" i="25"/>
  <c r="AH67" i="25" s="1"/>
  <c r="AI283" i="25"/>
  <c r="AH283" i="25" s="1"/>
  <c r="AI151" i="25"/>
  <c r="AH151" i="25" s="1"/>
  <c r="AI60" i="25"/>
  <c r="AH60" i="25" s="1"/>
  <c r="AI314" i="25"/>
  <c r="AH314" i="25" s="1"/>
  <c r="AI201" i="25"/>
  <c r="AH201" i="25" s="1"/>
  <c r="AI371" i="25"/>
  <c r="AH371" i="25" s="1"/>
  <c r="AI264" i="25"/>
  <c r="AH264" i="25" s="1"/>
  <c r="AI104" i="25"/>
  <c r="AH104" i="25" s="1"/>
  <c r="AI240" i="25"/>
  <c r="AH240" i="25" s="1"/>
  <c r="AI157" i="25"/>
  <c r="AH157" i="25" s="1"/>
  <c r="AI352" i="25"/>
  <c r="AH352" i="25" s="1"/>
  <c r="AI161" i="25"/>
  <c r="AH161" i="25" s="1"/>
  <c r="AI309" i="25"/>
  <c r="AH309" i="25" s="1"/>
  <c r="AI212" i="25"/>
  <c r="AH212" i="25" s="1"/>
  <c r="AI65" i="25"/>
  <c r="AH65" i="25" s="1"/>
  <c r="AI319" i="25"/>
  <c r="AH319" i="25" s="1"/>
  <c r="AI271" i="25"/>
  <c r="AH271" i="25" s="1"/>
  <c r="AI108" i="25"/>
  <c r="AH108" i="25" s="1"/>
  <c r="AI376" i="25"/>
  <c r="AH376" i="25" s="1"/>
  <c r="AI268" i="25"/>
  <c r="AH268" i="25" s="1"/>
  <c r="AI21" i="25"/>
  <c r="AH21" i="25" s="1"/>
  <c r="AI262" i="25"/>
  <c r="AH262" i="25" s="1"/>
  <c r="AI87" i="25"/>
  <c r="AH87" i="25" s="1"/>
  <c r="AI327" i="25"/>
  <c r="AH327" i="25" s="1"/>
  <c r="AI209" i="25"/>
  <c r="AH209" i="25" s="1"/>
  <c r="AI80" i="25"/>
  <c r="AH80" i="25" s="1"/>
  <c r="AI347" i="25"/>
  <c r="AH347" i="25" s="1"/>
  <c r="AI170" i="25"/>
  <c r="AH170" i="25" s="1"/>
  <c r="AI19" i="25"/>
  <c r="AH19" i="25" s="1"/>
  <c r="AI276" i="25"/>
  <c r="AH276" i="25" s="1"/>
  <c r="AI37" i="25"/>
  <c r="AH37" i="25" s="1"/>
  <c r="AI266" i="25"/>
  <c r="AH266" i="25" s="1"/>
  <c r="AI132" i="25"/>
  <c r="AH132" i="25" s="1"/>
  <c r="AI331" i="25"/>
  <c r="AH331" i="25" s="1"/>
  <c r="AI213" i="25"/>
  <c r="AH213" i="25" s="1"/>
  <c r="AI342" i="25"/>
  <c r="AH342" i="25" s="1"/>
  <c r="AI198" i="25"/>
  <c r="AH198" i="25" s="1"/>
  <c r="AI62" i="25"/>
  <c r="AH62" i="25" s="1"/>
  <c r="AI325" i="25"/>
  <c r="AH325" i="25" s="1"/>
  <c r="AI280" i="25"/>
  <c r="AH280" i="25" s="1"/>
  <c r="AI197" i="25"/>
  <c r="AH197" i="25" s="1"/>
  <c r="AI18" i="25"/>
  <c r="AH18" i="25" s="1"/>
  <c r="AI223" i="25"/>
  <c r="AH223" i="25" s="1"/>
  <c r="AI350" i="25"/>
  <c r="AH350" i="25" s="1"/>
  <c r="AI141" i="25"/>
  <c r="AH141" i="25" s="1"/>
  <c r="AI24" i="25"/>
  <c r="AH24" i="25" s="1"/>
  <c r="AI279" i="25"/>
  <c r="AH279" i="25" s="1"/>
  <c r="AI193" i="25"/>
  <c r="AH193" i="25" s="1"/>
  <c r="AI68" i="25"/>
  <c r="AH68" i="25" s="1"/>
  <c r="AI293" i="25"/>
  <c r="AH293" i="25" s="1"/>
  <c r="AI106" i="25"/>
  <c r="AH106" i="25" s="1"/>
  <c r="AI368" i="25"/>
  <c r="AH368" i="25" s="1"/>
  <c r="AI227" i="25"/>
  <c r="AH227" i="25" s="1"/>
  <c r="AI354" i="25"/>
  <c r="AH354" i="25" s="1"/>
  <c r="AI256" i="25"/>
  <c r="AH256" i="25" s="1"/>
  <c r="AI93" i="25"/>
  <c r="AH93" i="25" s="1"/>
  <c r="AI285" i="25"/>
  <c r="AH285" i="25" s="1"/>
  <c r="AI45" i="25"/>
  <c r="AH45" i="25" s="1"/>
  <c r="AI272" i="25"/>
  <c r="AH272" i="25" s="1"/>
  <c r="AI139" i="25"/>
  <c r="AH139" i="25" s="1"/>
  <c r="AI56" i="25"/>
  <c r="AH56" i="25" s="1"/>
  <c r="AI374" i="25"/>
  <c r="AH374" i="25" s="1"/>
  <c r="AI234" i="25"/>
  <c r="AH234" i="25" s="1"/>
  <c r="AI148" i="25"/>
  <c r="AH148" i="25" s="1"/>
  <c r="AI29" i="25"/>
  <c r="AH29" i="25" s="1"/>
  <c r="AI228" i="25"/>
  <c r="AH228" i="25" s="1"/>
  <c r="AI364" i="25"/>
  <c r="AH364" i="25" s="1"/>
  <c r="AI294" i="25"/>
  <c r="AH294" i="25" s="1"/>
  <c r="AI53" i="25"/>
  <c r="AH53" i="25" s="1"/>
  <c r="AI270" i="25"/>
  <c r="AH270" i="25" s="1"/>
  <c r="AI109" i="25"/>
  <c r="AH109" i="25" s="1"/>
  <c r="AI355" i="25"/>
  <c r="AH355" i="25" s="1"/>
  <c r="AI178" i="25"/>
  <c r="AH178" i="25" s="1"/>
  <c r="AI98" i="25"/>
  <c r="AH98" i="25" s="1"/>
  <c r="AI361" i="25"/>
  <c r="AH361" i="25" s="1"/>
  <c r="AI204" i="25"/>
  <c r="AH204" i="25" s="1"/>
  <c r="AI32" i="25"/>
  <c r="AH32" i="25" s="1"/>
  <c r="AI298" i="25"/>
  <c r="AH298" i="25" s="1"/>
  <c r="AI57" i="25"/>
  <c r="AH57" i="25" s="1"/>
  <c r="AI278" i="25"/>
  <c r="AH278" i="25" s="1"/>
  <c r="AI192" i="25"/>
  <c r="AH192" i="25" s="1"/>
  <c r="AI359" i="25"/>
  <c r="AH359" i="25" s="1"/>
  <c r="AI194" i="25"/>
  <c r="AH194" i="25" s="1"/>
  <c r="AI333" i="25"/>
  <c r="AH333" i="25" s="1"/>
  <c r="AI236" i="25"/>
  <c r="AH236" i="25" s="1"/>
  <c r="AI154" i="25"/>
  <c r="AH154" i="25" s="1"/>
  <c r="AI353" i="25"/>
  <c r="AH353" i="25" s="1"/>
  <c r="AI302" i="25"/>
  <c r="AH302" i="25" s="1"/>
  <c r="AI173" i="25"/>
  <c r="AH173" i="25" s="1"/>
  <c r="AI50" i="25"/>
  <c r="AH50" i="25" s="1"/>
  <c r="AI308" i="25"/>
  <c r="AH308" i="25" s="1"/>
  <c r="AI71" i="25"/>
  <c r="AH71" i="25" s="1"/>
  <c r="AI292" i="25"/>
  <c r="AH292" i="25" s="1"/>
  <c r="BG16" i="7"/>
  <c r="U270" i="25"/>
  <c r="T270" i="25" s="1"/>
  <c r="U299" i="25"/>
  <c r="T299" i="25" s="1"/>
  <c r="U337" i="25"/>
  <c r="T337" i="25" s="1"/>
  <c r="U96" i="25"/>
  <c r="T96" i="25" s="1"/>
  <c r="U101" i="25"/>
  <c r="T101" i="25" s="1"/>
  <c r="U157" i="25"/>
  <c r="T157" i="25" s="1"/>
  <c r="U348" i="25"/>
  <c r="T348" i="25" s="1"/>
  <c r="U173" i="25"/>
  <c r="T173" i="25" s="1"/>
  <c r="U226" i="25"/>
  <c r="T226" i="25" s="1"/>
  <c r="U168" i="25"/>
  <c r="T168" i="25" s="1"/>
  <c r="U350" i="25"/>
  <c r="T350" i="25" s="1"/>
  <c r="U78" i="25"/>
  <c r="T78" i="25" s="1"/>
  <c r="U225" i="25"/>
  <c r="T225" i="25" s="1"/>
  <c r="U174" i="25"/>
  <c r="T174" i="25" s="1"/>
  <c r="U249" i="25"/>
  <c r="T249" i="25" s="1"/>
  <c r="U47" i="25"/>
  <c r="T47" i="25" s="1"/>
  <c r="U365" i="25"/>
  <c r="T365" i="25" s="1"/>
  <c r="U189" i="25"/>
  <c r="T189" i="25" s="1"/>
  <c r="U110" i="25"/>
  <c r="T110" i="25" s="1"/>
  <c r="S110" i="25" s="1"/>
  <c r="R110" i="25" s="1"/>
  <c r="P110" i="25" s="1"/>
  <c r="V110" i="25" s="1"/>
  <c r="B110" i="25" s="1"/>
  <c r="U56" i="25"/>
  <c r="T56" i="25" s="1"/>
  <c r="U366" i="25"/>
  <c r="T366" i="25" s="1"/>
  <c r="U158" i="25"/>
  <c r="T158" i="25" s="1"/>
  <c r="U117" i="25"/>
  <c r="T117" i="25" s="1"/>
  <c r="U316" i="25"/>
  <c r="T316" i="25" s="1"/>
  <c r="U328" i="25"/>
  <c r="T328" i="25" s="1"/>
  <c r="U306" i="25"/>
  <c r="T306" i="25" s="1"/>
  <c r="U253" i="25"/>
  <c r="T253" i="25" s="1"/>
  <c r="U139" i="25"/>
  <c r="T139" i="25" s="1"/>
  <c r="U126" i="25"/>
  <c r="T126" i="25" s="1"/>
  <c r="U311" i="25"/>
  <c r="T311" i="25" s="1"/>
  <c r="U212" i="25"/>
  <c r="T212" i="25" s="1"/>
  <c r="U172" i="25"/>
  <c r="T172" i="25" s="1"/>
  <c r="U133" i="25"/>
  <c r="T133" i="25" s="1"/>
  <c r="S133" i="25" s="1"/>
  <c r="R133" i="25" s="1"/>
  <c r="P133" i="25" s="1"/>
  <c r="V133" i="25" s="1"/>
  <c r="B133" i="25" s="1"/>
  <c r="U325" i="25"/>
  <c r="T325" i="25" s="1"/>
  <c r="U109" i="25"/>
  <c r="T109" i="25" s="1"/>
  <c r="U196" i="25"/>
  <c r="T196" i="25" s="1"/>
  <c r="U137" i="25"/>
  <c r="T137" i="25" s="1"/>
  <c r="U287" i="25"/>
  <c r="T287" i="25" s="1"/>
  <c r="U26" i="25"/>
  <c r="T26" i="25" s="1"/>
  <c r="U326" i="25"/>
  <c r="T326" i="25" s="1"/>
  <c r="U229" i="25"/>
  <c r="T229" i="25" s="1"/>
  <c r="U378" i="25"/>
  <c r="T378" i="25" s="1"/>
  <c r="S378" i="25" s="1"/>
  <c r="R378" i="25" s="1"/>
  <c r="P378" i="25" s="1"/>
  <c r="V378" i="25" s="1"/>
  <c r="B378" i="25" s="1"/>
  <c r="U25" i="25"/>
  <c r="T25" i="25" s="1"/>
  <c r="S25" i="25" s="1"/>
  <c r="R25" i="25" s="1"/>
  <c r="P25" i="25" s="1"/>
  <c r="V25" i="25" s="1"/>
  <c r="B25" i="25" s="1"/>
  <c r="U341" i="25"/>
  <c r="T341" i="25" s="1"/>
  <c r="S341" i="25" s="1"/>
  <c r="R341" i="25" s="1"/>
  <c r="P341" i="25" s="1"/>
  <c r="V341" i="25" s="1"/>
  <c r="B341" i="25" s="1"/>
  <c r="U186" i="25"/>
  <c r="T186" i="25" s="1"/>
  <c r="S186" i="25" s="1"/>
  <c r="R186" i="25" s="1"/>
  <c r="P186" i="25" s="1"/>
  <c r="V186" i="25" s="1"/>
  <c r="B186" i="25" s="1"/>
  <c r="U86" i="25"/>
  <c r="T86" i="25" s="1"/>
  <c r="U69" i="25"/>
  <c r="T69" i="25" s="1"/>
  <c r="U349" i="25"/>
  <c r="T349" i="25" s="1"/>
  <c r="U274" i="25"/>
  <c r="T274" i="25" s="1"/>
  <c r="U64" i="25"/>
  <c r="T64" i="25" s="1"/>
  <c r="U279" i="25"/>
  <c r="T279" i="25" s="1"/>
  <c r="U331" i="25"/>
  <c r="T331" i="25" s="1"/>
  <c r="U292" i="25"/>
  <c r="T292" i="25" s="1"/>
  <c r="U94" i="25"/>
  <c r="T94" i="25" s="1"/>
  <c r="U82" i="25"/>
  <c r="T82" i="25" s="1"/>
  <c r="U163" i="25"/>
  <c r="T163" i="25" s="1"/>
  <c r="U39" i="25"/>
  <c r="T39" i="25" s="1"/>
  <c r="U122" i="25"/>
  <c r="T122" i="25" s="1"/>
  <c r="U177" i="25"/>
  <c r="T177" i="25" s="1"/>
  <c r="U123" i="25"/>
  <c r="T123" i="25" s="1"/>
  <c r="U302" i="25"/>
  <c r="T302" i="25" s="1"/>
  <c r="U330" i="25"/>
  <c r="T330" i="25" s="1"/>
  <c r="U304" i="25"/>
  <c r="T304" i="25" s="1"/>
  <c r="U252" i="25"/>
  <c r="T252" i="25" s="1"/>
  <c r="U37" i="25"/>
  <c r="T37" i="25" s="1"/>
  <c r="U370" i="25"/>
  <c r="T370" i="25" s="1"/>
  <c r="U317" i="25"/>
  <c r="T317" i="25" s="1"/>
  <c r="U206" i="25"/>
  <c r="T206" i="25" s="1"/>
  <c r="U65" i="25"/>
  <c r="T65" i="25" s="1"/>
  <c r="U375" i="25"/>
  <c r="T375" i="25" s="1"/>
  <c r="U18" i="25"/>
  <c r="T18" i="25" s="1"/>
  <c r="U111" i="25"/>
  <c r="T111" i="25" s="1"/>
  <c r="U194" i="25"/>
  <c r="T194" i="25" s="1"/>
  <c r="U205" i="25"/>
  <c r="T205" i="25" s="1"/>
  <c r="U42" i="25"/>
  <c r="T42" i="25" s="1"/>
  <c r="U258" i="25"/>
  <c r="T258" i="25" s="1"/>
  <c r="U204" i="25"/>
  <c r="T204" i="25" s="1"/>
  <c r="U222" i="25"/>
  <c r="T222" i="25" s="1"/>
  <c r="U79" i="25"/>
  <c r="T79" i="25" s="1"/>
  <c r="U263" i="25"/>
  <c r="T263" i="25" s="1"/>
  <c r="U188" i="25"/>
  <c r="T188" i="25" s="1"/>
  <c r="U48" i="25"/>
  <c r="T48" i="25" s="1"/>
  <c r="U198" i="25"/>
  <c r="T198" i="25" s="1"/>
  <c r="U132" i="25"/>
  <c r="T132" i="25" s="1"/>
  <c r="U182" i="25"/>
  <c r="T182" i="25" s="1"/>
  <c r="U217" i="25"/>
  <c r="T217" i="25" s="1"/>
  <c r="U52" i="25"/>
  <c r="T52" i="25" s="1"/>
  <c r="U358" i="25"/>
  <c r="T358" i="25" s="1"/>
  <c r="U27" i="25"/>
  <c r="T27" i="25" s="1"/>
  <c r="U251" i="25"/>
  <c r="T251" i="25" s="1"/>
  <c r="U53" i="25"/>
  <c r="T53" i="25" s="1"/>
  <c r="U113" i="25"/>
  <c r="T113" i="25" s="1"/>
  <c r="U55" i="25"/>
  <c r="T55" i="25" s="1"/>
  <c r="U241" i="25"/>
  <c r="T241" i="25" s="1"/>
  <c r="U71" i="25"/>
  <c r="T71" i="25" s="1"/>
  <c r="U360" i="25"/>
  <c r="T360" i="25" s="1"/>
  <c r="U307" i="25"/>
  <c r="T307" i="25" s="1"/>
  <c r="U246" i="25"/>
  <c r="T246" i="25" s="1"/>
  <c r="U176" i="25"/>
  <c r="T176" i="25" s="1"/>
  <c r="U202" i="25"/>
  <c r="T202" i="25" s="1"/>
  <c r="U68" i="25"/>
  <c r="T68" i="25" s="1"/>
  <c r="U129" i="25"/>
  <c r="T129" i="25" s="1"/>
  <c r="U265" i="25"/>
  <c r="T265" i="25" s="1"/>
  <c r="S265" i="25" s="1"/>
  <c r="R265" i="25" s="1"/>
  <c r="P265" i="25" s="1"/>
  <c r="V265" i="25" s="1"/>
  <c r="B265" i="25" s="1"/>
  <c r="U124" i="25"/>
  <c r="T124" i="25" s="1"/>
  <c r="U88" i="25"/>
  <c r="T88" i="25" s="1"/>
  <c r="U75" i="25"/>
  <c r="T75" i="25" s="1"/>
  <c r="U193" i="25"/>
  <c r="T193" i="25" s="1"/>
  <c r="U138" i="25"/>
  <c r="T138" i="25" s="1"/>
  <c r="U254" i="25"/>
  <c r="T254" i="25" s="1"/>
  <c r="U346" i="25"/>
  <c r="T346" i="25" s="1"/>
  <c r="U321" i="25"/>
  <c r="T321" i="25" s="1"/>
  <c r="U80" i="25"/>
  <c r="T80" i="25" s="1"/>
  <c r="U281" i="25"/>
  <c r="T281" i="25" s="1"/>
  <c r="U35" i="25"/>
  <c r="T35" i="25" s="1"/>
  <c r="U332" i="25"/>
  <c r="T332" i="25" s="1"/>
  <c r="U91" i="25"/>
  <c r="T91" i="25" s="1"/>
  <c r="U210" i="25"/>
  <c r="T210" i="25" s="1"/>
  <c r="S210" i="25" s="1"/>
  <c r="R210" i="25" s="1"/>
  <c r="P210" i="25" s="1"/>
  <c r="U16" i="25"/>
  <c r="T16" i="25" s="1"/>
  <c r="U34" i="25"/>
  <c r="T34" i="25" s="1"/>
  <c r="S34" i="25" s="1"/>
  <c r="R34" i="25" s="1"/>
  <c r="P34" i="25" s="1"/>
  <c r="V34" i="25" s="1"/>
  <c r="B34" i="25" s="1"/>
  <c r="U60" i="25"/>
  <c r="T60" i="25" s="1"/>
  <c r="U209" i="25"/>
  <c r="T209" i="25" s="1"/>
  <c r="U221" i="25"/>
  <c r="T221" i="25" s="1"/>
  <c r="U233" i="25"/>
  <c r="T233" i="25" s="1"/>
  <c r="U29" i="25"/>
  <c r="T29" i="25" s="1"/>
  <c r="S29" i="25" s="1"/>
  <c r="R29" i="25" s="1"/>
  <c r="P29" i="25" s="1"/>
  <c r="U220" i="25"/>
  <c r="T220" i="25" s="1"/>
  <c r="U303" i="25"/>
  <c r="T303" i="25" s="1"/>
  <c r="U95" i="25"/>
  <c r="T95" i="25" s="1"/>
  <c r="S95" i="25" s="1"/>
  <c r="R95" i="25" s="1"/>
  <c r="P95" i="25" s="1"/>
  <c r="V95" i="25" s="1"/>
  <c r="B95" i="25" s="1"/>
  <c r="U40" i="25"/>
  <c r="T40" i="25" s="1"/>
  <c r="S40" i="25" s="1"/>
  <c r="R40" i="25" s="1"/>
  <c r="P40" i="25" s="1"/>
  <c r="V40" i="25" s="1"/>
  <c r="B40" i="25" s="1"/>
  <c r="U112" i="25"/>
  <c r="T112" i="25" s="1"/>
  <c r="U315" i="25"/>
  <c r="T315" i="25" s="1"/>
  <c r="U106" i="25"/>
  <c r="T106" i="25" s="1"/>
  <c r="U175" i="25"/>
  <c r="T175" i="25" s="1"/>
  <c r="U61" i="25"/>
  <c r="T61" i="25" s="1"/>
  <c r="U184" i="25"/>
  <c r="T184" i="25" s="1"/>
  <c r="U19" i="25"/>
  <c r="T19" i="25" s="1"/>
  <c r="U190" i="25"/>
  <c r="T190" i="25" s="1"/>
  <c r="U218" i="25"/>
  <c r="T218" i="25" s="1"/>
  <c r="U376" i="25"/>
  <c r="T376" i="25" s="1"/>
  <c r="U73" i="25"/>
  <c r="T73" i="25" s="1"/>
  <c r="U44" i="25"/>
  <c r="T44" i="25" s="1"/>
  <c r="U268" i="25"/>
  <c r="T268" i="25" s="1"/>
  <c r="U62" i="25"/>
  <c r="T62" i="25" s="1"/>
  <c r="U70" i="25"/>
  <c r="T70" i="25" s="1"/>
  <c r="U191" i="25"/>
  <c r="T191" i="25" s="1"/>
  <c r="U152" i="25"/>
  <c r="T152" i="25" s="1"/>
  <c r="U248" i="25"/>
  <c r="T248" i="25" s="1"/>
  <c r="U31" i="25"/>
  <c r="T31" i="25" s="1"/>
  <c r="U199" i="25"/>
  <c r="T199" i="25" s="1"/>
  <c r="U318" i="25"/>
  <c r="T318" i="25" s="1"/>
  <c r="U283" i="25"/>
  <c r="T283" i="25" s="1"/>
  <c r="U15" i="25"/>
  <c r="U144" i="25"/>
  <c r="T144" i="25" s="1"/>
  <c r="U216" i="25"/>
  <c r="T216" i="25" s="1"/>
  <c r="U77" i="25"/>
  <c r="T77" i="25" s="1"/>
  <c r="U38" i="25"/>
  <c r="T38" i="25" s="1"/>
  <c r="U23" i="25"/>
  <c r="T23" i="25" s="1"/>
  <c r="U275" i="25"/>
  <c r="T275" i="25" s="1"/>
  <c r="U215" i="25"/>
  <c r="T215" i="25" s="1"/>
  <c r="U335" i="25"/>
  <c r="T335" i="25" s="1"/>
  <c r="U127" i="25"/>
  <c r="T127" i="25" s="1"/>
  <c r="U272" i="25"/>
  <c r="T272" i="25" s="1"/>
  <c r="U160" i="25"/>
  <c r="T160" i="25" s="1"/>
  <c r="U297" i="25"/>
  <c r="T297" i="25" s="1"/>
  <c r="U339" i="25"/>
  <c r="T339" i="25" s="1"/>
  <c r="U46" i="25"/>
  <c r="T46" i="25" s="1"/>
  <c r="U107" i="25"/>
  <c r="T107" i="25" s="1"/>
  <c r="U142" i="25"/>
  <c r="T142" i="25" s="1"/>
  <c r="U364" i="25"/>
  <c r="T364" i="25" s="1"/>
  <c r="U213" i="25"/>
  <c r="T213" i="25" s="1"/>
  <c r="U322" i="25"/>
  <c r="T322" i="25" s="1"/>
  <c r="U131" i="25"/>
  <c r="T131" i="25" s="1"/>
  <c r="U24" i="25"/>
  <c r="T24" i="25" s="1"/>
  <c r="U57" i="25"/>
  <c r="T57" i="25" s="1"/>
  <c r="U247" i="25"/>
  <c r="T247" i="25" s="1"/>
  <c r="U145" i="25"/>
  <c r="T145" i="25" s="1"/>
  <c r="U234" i="25"/>
  <c r="T234" i="25" s="1"/>
  <c r="U66" i="25"/>
  <c r="T66" i="25" s="1"/>
  <c r="U333" i="25"/>
  <c r="T333" i="25" s="1"/>
  <c r="U170" i="25"/>
  <c r="T170" i="25" s="1"/>
  <c r="U135" i="25"/>
  <c r="T135" i="25" s="1"/>
  <c r="U74" i="25"/>
  <c r="T74" i="25" s="1"/>
  <c r="U351" i="25"/>
  <c r="T351" i="25" s="1"/>
  <c r="U134" i="25"/>
  <c r="T134" i="25" s="1"/>
  <c r="U130" i="25"/>
  <c r="T130" i="25" s="1"/>
  <c r="U293" i="25"/>
  <c r="T293" i="25" s="1"/>
  <c r="U314" i="25"/>
  <c r="T314" i="25" s="1"/>
  <c r="U320" i="25"/>
  <c r="T320" i="25" s="1"/>
  <c r="U276" i="25"/>
  <c r="T276" i="25" s="1"/>
  <c r="U125" i="25"/>
  <c r="T125" i="25" s="1"/>
  <c r="U150" i="25"/>
  <c r="T150" i="25" s="1"/>
  <c r="U327" i="25"/>
  <c r="T327" i="25" s="1"/>
  <c r="U192" i="25"/>
  <c r="T192" i="25" s="1"/>
  <c r="U151" i="25"/>
  <c r="T151" i="25" s="1"/>
  <c r="U147" i="25"/>
  <c r="T147" i="25" s="1"/>
  <c r="U373" i="25"/>
  <c r="T373" i="25" s="1"/>
  <c r="U85" i="25"/>
  <c r="T85" i="25" s="1"/>
  <c r="U208" i="25"/>
  <c r="T208" i="25" s="1"/>
  <c r="S208" i="25" s="1"/>
  <c r="R208" i="25" s="1"/>
  <c r="P208" i="25" s="1"/>
  <c r="V208" i="25" s="1"/>
  <c r="B208" i="25" s="1"/>
  <c r="U167" i="25"/>
  <c r="T167" i="25" s="1"/>
  <c r="U264" i="25"/>
  <c r="T264" i="25" s="1"/>
  <c r="U33" i="25"/>
  <c r="T33" i="25" s="1"/>
  <c r="U343" i="25"/>
  <c r="T343" i="25" s="1"/>
  <c r="U207" i="25"/>
  <c r="T207" i="25" s="1"/>
  <c r="S207" i="25" s="1"/>
  <c r="R207" i="25" s="1"/>
  <c r="P207" i="25" s="1"/>
  <c r="V207" i="25" s="1"/>
  <c r="B207" i="25" s="1"/>
  <c r="U363" i="25"/>
  <c r="T363" i="25" s="1"/>
  <c r="U21" i="25"/>
  <c r="T21" i="25" s="1"/>
  <c r="U22" i="25"/>
  <c r="T22" i="25" s="1"/>
  <c r="U165" i="25"/>
  <c r="T165" i="25" s="1"/>
  <c r="U93" i="25"/>
  <c r="T93" i="25" s="1"/>
  <c r="U54" i="25"/>
  <c r="T54" i="25" s="1"/>
  <c r="U345" i="25"/>
  <c r="T345" i="25" s="1"/>
  <c r="U291" i="25"/>
  <c r="T291" i="25" s="1"/>
  <c r="U230" i="25"/>
  <c r="T230" i="25" s="1"/>
  <c r="U162" i="25"/>
  <c r="T162" i="25" s="1"/>
  <c r="U379" i="25"/>
  <c r="U288" i="25"/>
  <c r="T288" i="25" s="1"/>
  <c r="S288" i="25" s="1"/>
  <c r="R288" i="25" s="1"/>
  <c r="P288" i="25" s="1"/>
  <c r="V288" i="25" s="1"/>
  <c r="B288" i="25" s="1"/>
  <c r="D288" i="25" s="1"/>
  <c r="E288" i="25" s="1"/>
  <c r="F288" i="25" s="1"/>
  <c r="U236" i="25"/>
  <c r="T236" i="25" s="1"/>
  <c r="S236" i="25" s="1"/>
  <c r="R236" i="25" s="1"/>
  <c r="P236" i="25" s="1"/>
  <c r="V236" i="25" s="1"/>
  <c r="B236" i="25" s="1"/>
  <c r="W236" i="25" s="1"/>
  <c r="U183" i="25"/>
  <c r="T183" i="25" s="1"/>
  <c r="S183" i="25" s="1"/>
  <c r="R183" i="25" s="1"/>
  <c r="P183" i="25" s="1"/>
  <c r="V183" i="25" s="1"/>
  <c r="B183" i="25" s="1"/>
  <c r="U108" i="25"/>
  <c r="T108" i="25" s="1"/>
  <c r="S108" i="25" s="1"/>
  <c r="R108" i="25" s="1"/>
  <c r="P108" i="25" s="1"/>
  <c r="V108" i="25" s="1"/>
  <c r="B108" i="25" s="1"/>
  <c r="W108" i="25" s="1"/>
  <c r="U301" i="25"/>
  <c r="T301" i="25" s="1"/>
  <c r="U161" i="25"/>
  <c r="T161" i="25" s="1"/>
  <c r="U84" i="25"/>
  <c r="T84" i="25" s="1"/>
  <c r="U361" i="25"/>
  <c r="T361" i="25" s="1"/>
  <c r="U89" i="25"/>
  <c r="T89" i="25" s="1"/>
  <c r="U17" i="25"/>
  <c r="T17" i="25" s="1"/>
  <c r="U245" i="25"/>
  <c r="T245" i="25" s="1"/>
  <c r="U336" i="25"/>
  <c r="T336" i="25" s="1"/>
  <c r="U67" i="25"/>
  <c r="T67" i="25" s="1"/>
  <c r="U105" i="25"/>
  <c r="T105" i="25" s="1"/>
  <c r="U235" i="25"/>
  <c r="T235" i="25" s="1"/>
  <c r="U261" i="25"/>
  <c r="T261" i="25" s="1"/>
  <c r="U224" i="25"/>
  <c r="T224" i="25" s="1"/>
  <c r="U30" i="25"/>
  <c r="T30" i="25" s="1"/>
  <c r="U367" i="25"/>
  <c r="T367" i="25" s="1"/>
  <c r="U87" i="25"/>
  <c r="T87" i="25" s="1"/>
  <c r="U214" i="25"/>
  <c r="T214" i="25" s="1"/>
  <c r="U179" i="25"/>
  <c r="T179" i="25" s="1"/>
  <c r="U20" i="25"/>
  <c r="T20" i="25" s="1"/>
  <c r="U273" i="25"/>
  <c r="T273" i="25" s="1"/>
  <c r="U228" i="25"/>
  <c r="T228" i="25" s="1"/>
  <c r="U201" i="25"/>
  <c r="T201" i="25" s="1"/>
  <c r="U102" i="25"/>
  <c r="T102" i="25" s="1"/>
  <c r="U278" i="25"/>
  <c r="T278" i="25" s="1"/>
  <c r="U146" i="25"/>
  <c r="T146" i="25" s="1"/>
  <c r="U169" i="25"/>
  <c r="T169" i="25" s="1"/>
  <c r="U99" i="25"/>
  <c r="T99" i="25" s="1"/>
  <c r="S99" i="25" s="1"/>
  <c r="R99" i="25" s="1"/>
  <c r="P99" i="25" s="1"/>
  <c r="V99" i="25" s="1"/>
  <c r="B99" i="25" s="1"/>
  <c r="U324" i="25"/>
  <c r="T324" i="25" s="1"/>
  <c r="U347" i="25"/>
  <c r="T347" i="25" s="1"/>
  <c r="U289" i="25"/>
  <c r="T289" i="25" s="1"/>
  <c r="U121" i="25"/>
  <c r="T121" i="25" s="1"/>
  <c r="U45" i="25"/>
  <c r="T45" i="25" s="1"/>
  <c r="U355" i="25"/>
  <c r="T355" i="25" s="1"/>
  <c r="U294" i="25"/>
  <c r="T294" i="25" s="1"/>
  <c r="U223" i="25"/>
  <c r="T223" i="25" s="1"/>
  <c r="U232" i="25"/>
  <c r="T232" i="25" s="1"/>
  <c r="U374" i="25"/>
  <c r="T374" i="25" s="1"/>
  <c r="U72" i="25"/>
  <c r="T72" i="25" s="1"/>
  <c r="U357" i="25"/>
  <c r="T357" i="25" s="1"/>
  <c r="U257" i="25"/>
  <c r="T257" i="25" s="1"/>
  <c r="U344" i="25"/>
  <c r="T344" i="25" s="1"/>
  <c r="U323" i="25"/>
  <c r="T323" i="25" s="1"/>
  <c r="U269" i="25"/>
  <c r="T269" i="25" s="1"/>
  <c r="U155" i="25"/>
  <c r="T155" i="25" s="1"/>
  <c r="U143" i="25"/>
  <c r="T143" i="25" s="1"/>
  <c r="U90" i="25"/>
  <c r="T90" i="25" s="1"/>
  <c r="U97" i="25"/>
  <c r="T97" i="25" s="1"/>
  <c r="U250" i="25"/>
  <c r="T250" i="25" s="1"/>
  <c r="U148" i="25"/>
  <c r="T148" i="25" s="1"/>
  <c r="U284" i="25"/>
  <c r="T284" i="25" s="1"/>
  <c r="U58" i="25"/>
  <c r="T58" i="25" s="1"/>
  <c r="U211" i="25"/>
  <c r="T211" i="25" s="1"/>
  <c r="U153" i="25"/>
  <c r="T153" i="25" s="1"/>
  <c r="U239" i="25"/>
  <c r="T239" i="25" s="1"/>
  <c r="U28" i="25"/>
  <c r="T28" i="25" s="1"/>
  <c r="U342" i="25"/>
  <c r="T342" i="25" s="1"/>
  <c r="U51" i="25"/>
  <c r="T51" i="25" s="1"/>
  <c r="U266" i="25"/>
  <c r="T266" i="25" s="1"/>
  <c r="U36" i="25"/>
  <c r="T36" i="25" s="1"/>
  <c r="U356" i="25"/>
  <c r="T356" i="25" s="1"/>
  <c r="U76" i="25"/>
  <c r="T76" i="25" s="1"/>
  <c r="U227" i="25"/>
  <c r="T227" i="25" s="1"/>
  <c r="U43" i="25"/>
  <c r="T43" i="25" s="1"/>
  <c r="U32" i="25"/>
  <c r="T32" i="25" s="1"/>
  <c r="U41" i="25"/>
  <c r="T41" i="25" s="1"/>
  <c r="U231" i="25"/>
  <c r="T231" i="25" s="1"/>
  <c r="U195" i="25"/>
  <c r="T195" i="25" s="1"/>
  <c r="U219" i="25"/>
  <c r="T219" i="25" s="1"/>
  <c r="U50" i="25"/>
  <c r="T50" i="25" s="1"/>
  <c r="U244" i="25"/>
  <c r="T244" i="25" s="1"/>
  <c r="U280" i="25"/>
  <c r="T280" i="25" s="1"/>
  <c r="U119" i="25"/>
  <c r="T119" i="25" s="1"/>
  <c r="U59" i="25"/>
  <c r="T59" i="25" s="1"/>
  <c r="U98" i="25"/>
  <c r="T98" i="25" s="1"/>
  <c r="U185" i="25"/>
  <c r="T185" i="25" s="1"/>
  <c r="U114" i="25"/>
  <c r="T114" i="25" s="1"/>
  <c r="U277" i="25"/>
  <c r="T277" i="25" s="1"/>
  <c r="U362" i="25"/>
  <c r="T362" i="25" s="1"/>
  <c r="U305" i="25"/>
  <c r="T305" i="25" s="1"/>
  <c r="U260" i="25"/>
  <c r="T260" i="25" s="1"/>
  <c r="U296" i="25"/>
  <c r="T296" i="25" s="1"/>
  <c r="U371" i="25"/>
  <c r="T371" i="25" s="1"/>
  <c r="S371" i="25" s="1"/>
  <c r="R371" i="25" s="1"/>
  <c r="P371" i="25" s="1"/>
  <c r="V371" i="25" s="1"/>
  <c r="B371" i="25" s="1"/>
  <c r="U310" i="25"/>
  <c r="T310" i="25" s="1"/>
  <c r="U115" i="25"/>
  <c r="T115" i="25" s="1"/>
  <c r="S115" i="25" s="1"/>
  <c r="R115" i="25" s="1"/>
  <c r="P115" i="25" s="1"/>
  <c r="V115" i="25" s="1"/>
  <c r="B115" i="25" s="1"/>
  <c r="U267" i="25"/>
  <c r="T267" i="25" s="1"/>
  <c r="S267" i="25" s="1"/>
  <c r="R267" i="25" s="1"/>
  <c r="P267" i="25" s="1"/>
  <c r="V267" i="25" s="1"/>
  <c r="B267" i="25" s="1"/>
  <c r="U368" i="25"/>
  <c r="T368" i="25" s="1"/>
  <c r="U285" i="25"/>
  <c r="T285" i="25" s="1"/>
  <c r="U159" i="25"/>
  <c r="T159" i="25" s="1"/>
  <c r="U136" i="25"/>
  <c r="T136" i="25" s="1"/>
  <c r="U243" i="25"/>
  <c r="T243" i="25" s="1"/>
  <c r="U238" i="25"/>
  <c r="T238" i="25" s="1"/>
  <c r="U240" i="25"/>
  <c r="T240" i="25" s="1"/>
  <c r="U200" i="25"/>
  <c r="T200" i="25" s="1"/>
  <c r="U83" i="25"/>
  <c r="T83" i="25" s="1"/>
  <c r="U259" i="25"/>
  <c r="T259" i="25" s="1"/>
  <c r="U81" i="25"/>
  <c r="T81" i="25" s="1"/>
  <c r="U256" i="25"/>
  <c r="T256" i="25" s="1"/>
  <c r="U203" i="25"/>
  <c r="T203" i="25" s="1"/>
  <c r="U100" i="25"/>
  <c r="T100" i="25" s="1"/>
  <c r="U300" i="25"/>
  <c r="T300" i="25" s="1"/>
  <c r="U377" i="25"/>
  <c r="T377" i="25" s="1"/>
  <c r="U290" i="25"/>
  <c r="T290" i="25" s="1"/>
  <c r="U237" i="25"/>
  <c r="T237" i="25" s="1"/>
  <c r="U319" i="25"/>
  <c r="T319" i="25" s="1"/>
  <c r="U103" i="25"/>
  <c r="T103" i="25" s="1"/>
  <c r="U295" i="25"/>
  <c r="T295" i="25" s="1"/>
  <c r="U128" i="25"/>
  <c r="T128" i="25" s="1"/>
  <c r="U282" i="25"/>
  <c r="T282" i="25" s="1"/>
  <c r="U353" i="25"/>
  <c r="T353" i="25" s="1"/>
  <c r="S353" i="25" s="1"/>
  <c r="R353" i="25" s="1"/>
  <c r="P353" i="25" s="1"/>
  <c r="V353" i="25" s="1"/>
  <c r="B353" i="25" s="1"/>
  <c r="D353" i="25" s="1"/>
  <c r="E353" i="25" s="1"/>
  <c r="F353" i="25" s="1"/>
  <c r="U308" i="25"/>
  <c r="T308" i="25" s="1"/>
  <c r="U92" i="25"/>
  <c r="T92" i="25" s="1"/>
  <c r="S92" i="25" s="1"/>
  <c r="R92" i="25" s="1"/>
  <c r="P92" i="25" s="1"/>
  <c r="V92" i="25" s="1"/>
  <c r="B92" i="25" s="1"/>
  <c r="U180" i="25"/>
  <c r="T180" i="25" s="1"/>
  <c r="U120" i="25"/>
  <c r="T120" i="25" s="1"/>
  <c r="U271" i="25"/>
  <c r="T271" i="25" s="1"/>
  <c r="U118" i="25"/>
  <c r="T118" i="25" s="1"/>
  <c r="U181" i="25"/>
  <c r="T181" i="25" s="1"/>
  <c r="U340" i="25"/>
  <c r="T340" i="25" s="1"/>
  <c r="U298" i="25"/>
  <c r="T298" i="25" s="1"/>
  <c r="U369" i="25"/>
  <c r="T369" i="25" s="1"/>
  <c r="U197" i="25"/>
  <c r="T197" i="25" s="1"/>
  <c r="U352" i="25"/>
  <c r="T352" i="25" s="1"/>
  <c r="U116" i="25"/>
  <c r="T116" i="25" s="1"/>
  <c r="U286" i="25"/>
  <c r="T286" i="25" s="1"/>
  <c r="U164" i="25"/>
  <c r="T164" i="25" s="1"/>
  <c r="U313" i="25"/>
  <c r="T313" i="25" s="1"/>
  <c r="U312" i="25"/>
  <c r="T312" i="25" s="1"/>
  <c r="U262" i="25"/>
  <c r="T262" i="25" s="1"/>
  <c r="U187" i="25"/>
  <c r="T187" i="25" s="1"/>
  <c r="U156" i="25"/>
  <c r="T156" i="25" s="1"/>
  <c r="U178" i="25"/>
  <c r="T178" i="25" s="1"/>
  <c r="U140" i="25"/>
  <c r="T140" i="25" s="1"/>
  <c r="U49" i="25"/>
  <c r="T49" i="25" s="1"/>
  <c r="U171" i="25"/>
  <c r="T171" i="25" s="1"/>
  <c r="U154" i="25"/>
  <c r="T154" i="25" s="1"/>
  <c r="U329" i="25"/>
  <c r="T329" i="25" s="1"/>
  <c r="U141" i="25"/>
  <c r="T141" i="25" s="1"/>
  <c r="U309" i="25"/>
  <c r="T309" i="25" s="1"/>
  <c r="I372" i="24"/>
  <c r="I328" i="24"/>
  <c r="J376" i="24"/>
  <c r="I106" i="24"/>
  <c r="I111" i="24"/>
  <c r="I128" i="24"/>
  <c r="I159" i="24"/>
  <c r="J370" i="24"/>
  <c r="J129" i="24"/>
  <c r="J45" i="24"/>
  <c r="I138" i="24"/>
  <c r="J305" i="24"/>
  <c r="I144" i="24"/>
  <c r="J256" i="24"/>
  <c r="J226" i="24"/>
  <c r="I90" i="24"/>
  <c r="I309" i="24"/>
  <c r="I310" i="24"/>
  <c r="I56" i="24"/>
  <c r="I296" i="24"/>
  <c r="J176" i="24"/>
  <c r="I28" i="24"/>
  <c r="I71" i="24"/>
  <c r="J246" i="24"/>
  <c r="J362" i="24"/>
  <c r="I173" i="24"/>
  <c r="I320" i="24"/>
  <c r="I151" i="24"/>
  <c r="I281" i="24"/>
  <c r="I321" i="24"/>
  <c r="I41" i="24"/>
  <c r="J201" i="24"/>
  <c r="J36" i="24"/>
  <c r="I371" i="24"/>
  <c r="J286" i="24"/>
  <c r="J170" i="24"/>
  <c r="I218" i="24"/>
  <c r="I57" i="24"/>
  <c r="I314" i="24"/>
  <c r="J294" i="24"/>
  <c r="I303" i="24"/>
  <c r="H180" i="24"/>
  <c r="I180" i="24" s="1"/>
  <c r="I312" i="24"/>
  <c r="AL9" i="20"/>
  <c r="AM7" i="20"/>
  <c r="AK13" i="20"/>
  <c r="E41" i="19"/>
  <c r="E15" i="19"/>
  <c r="R18" i="24"/>
  <c r="S381" i="24"/>
  <c r="S383" i="24"/>
  <c r="S382" i="24"/>
  <c r="AJ11" i="22"/>
  <c r="V383" i="23"/>
  <c r="V381" i="23"/>
  <c r="V382" i="23"/>
  <c r="B68" i="19"/>
  <c r="N68" i="19" s="1"/>
  <c r="B15" i="23"/>
  <c r="AL11" i="18"/>
  <c r="AJ3" i="18" s="1"/>
  <c r="O15" i="19" s="1"/>
  <c r="M15" i="19" s="1"/>
  <c r="AL6" i="18"/>
  <c r="AL12" i="18" s="1"/>
  <c r="AJ4" i="18" s="1"/>
  <c r="P15" i="19" s="1"/>
  <c r="Y381" i="18"/>
  <c r="AM6" i="18"/>
  <c r="AM12" i="18" s="1"/>
  <c r="Y382" i="18"/>
  <c r="Y383" i="18"/>
  <c r="X9" i="18"/>
  <c r="Z11" i="18" s="1"/>
  <c r="Z5" i="18" s="1"/>
  <c r="H15" i="19" s="1"/>
  <c r="B12" i="6"/>
  <c r="BA15" i="6"/>
  <c r="B13" i="6"/>
  <c r="B11" i="6" s="1"/>
  <c r="AA381" i="20"/>
  <c r="AA382" i="20"/>
  <c r="Z15" i="20"/>
  <c r="AL10" i="20"/>
  <c r="AM8" i="20"/>
  <c r="AA9" i="20"/>
  <c r="AA383" i="20"/>
  <c r="C13" i="6"/>
  <c r="C12" i="6"/>
  <c r="G381" i="20"/>
  <c r="G383" i="20"/>
  <c r="G12" i="20" s="1"/>
  <c r="G382" i="20"/>
  <c r="F11" i="20"/>
  <c r="AB9" i="20"/>
  <c r="G16" i="19"/>
  <c r="J40" i="19" s="1"/>
  <c r="J15" i="20"/>
  <c r="I15" i="20"/>
  <c r="AK8" i="22"/>
  <c r="E383" i="22"/>
  <c r="AJ10" i="22"/>
  <c r="AJ12" i="22" s="1"/>
  <c r="E9" i="22"/>
  <c r="E11" i="22" s="1"/>
  <c r="E382" i="22"/>
  <c r="E381" i="22"/>
  <c r="F15" i="22"/>
  <c r="AF381" i="24"/>
  <c r="AF383" i="24"/>
  <c r="AD104" i="24"/>
  <c r="AF382" i="24"/>
  <c r="AM7" i="22"/>
  <c r="I302" i="24"/>
  <c r="J302" i="24"/>
  <c r="I29" i="24"/>
  <c r="J29" i="24"/>
  <c r="J272" i="24"/>
  <c r="I272" i="24"/>
  <c r="J105" i="24"/>
  <c r="I105" i="24"/>
  <c r="I258" i="24"/>
  <c r="J258" i="24"/>
  <c r="J135" i="24"/>
  <c r="I135" i="24"/>
  <c r="W353" i="25"/>
  <c r="I119" i="24"/>
  <c r="J119" i="24"/>
  <c r="I46" i="24"/>
  <c r="J46" i="24"/>
  <c r="I149" i="24"/>
  <c r="J149" i="24"/>
  <c r="J379" i="24"/>
  <c r="I379" i="24"/>
  <c r="V15" i="24"/>
  <c r="J363" i="24"/>
  <c r="I363" i="24"/>
  <c r="J166" i="24"/>
  <c r="I166" i="24"/>
  <c r="I74" i="24"/>
  <c r="J74" i="24"/>
  <c r="J60" i="24"/>
  <c r="I60" i="24"/>
  <c r="I241" i="24"/>
  <c r="J241" i="24"/>
  <c r="J288" i="24"/>
  <c r="I288" i="24"/>
  <c r="J210" i="24"/>
  <c r="I210" i="24"/>
  <c r="J349" i="24"/>
  <c r="I349" i="24"/>
  <c r="J319" i="24"/>
  <c r="I319" i="24"/>
  <c r="I227" i="24"/>
  <c r="J227" i="24"/>
  <c r="I88" i="24"/>
  <c r="J88" i="24"/>
  <c r="J333" i="24"/>
  <c r="I333" i="24"/>
  <c r="AJ5" i="23" l="1"/>
  <c r="AK5" i="23"/>
  <c r="D108" i="25"/>
  <c r="E108" i="25" s="1"/>
  <c r="F108" i="25" s="1"/>
  <c r="H108" i="25" s="1"/>
  <c r="W288" i="25"/>
  <c r="H31" i="19"/>
  <c r="D236" i="25"/>
  <c r="E236" i="25" s="1"/>
  <c r="F236" i="25" s="1"/>
  <c r="H236" i="25" s="1"/>
  <c r="F15" i="19"/>
  <c r="F31" i="19" s="1"/>
  <c r="E31" i="19"/>
  <c r="W63" i="25"/>
  <c r="D63" i="25"/>
  <c r="E63" i="25" s="1"/>
  <c r="F63" i="25" s="1"/>
  <c r="S141" i="25"/>
  <c r="R141" i="25" s="1"/>
  <c r="P141" i="25" s="1"/>
  <c r="V141" i="25" s="1"/>
  <c r="B141" i="25" s="1"/>
  <c r="S154" i="25"/>
  <c r="R154" i="25" s="1"/>
  <c r="P154" i="25" s="1"/>
  <c r="V154" i="25" s="1"/>
  <c r="B154" i="25" s="1"/>
  <c r="S49" i="25"/>
  <c r="R49" i="25" s="1"/>
  <c r="P49" i="25" s="1"/>
  <c r="V49" i="25" s="1"/>
  <c r="B49" i="25" s="1"/>
  <c r="S178" i="25"/>
  <c r="R178" i="25" s="1"/>
  <c r="P178" i="25" s="1"/>
  <c r="V178" i="25" s="1"/>
  <c r="B178" i="25" s="1"/>
  <c r="S187" i="25"/>
  <c r="R187" i="25" s="1"/>
  <c r="P187" i="25" s="1"/>
  <c r="V187" i="25" s="1"/>
  <c r="B187" i="25" s="1"/>
  <c r="S312" i="25"/>
  <c r="R312" i="25" s="1"/>
  <c r="P312" i="25" s="1"/>
  <c r="V312" i="25" s="1"/>
  <c r="B312" i="25" s="1"/>
  <c r="S164" i="25"/>
  <c r="R164" i="25" s="1"/>
  <c r="P164" i="25" s="1"/>
  <c r="V164" i="25" s="1"/>
  <c r="B164" i="25" s="1"/>
  <c r="S116" i="25"/>
  <c r="R116" i="25" s="1"/>
  <c r="P116" i="25" s="1"/>
  <c r="V116" i="25" s="1"/>
  <c r="B116" i="25" s="1"/>
  <c r="S197" i="25"/>
  <c r="R197" i="25" s="1"/>
  <c r="P197" i="25" s="1"/>
  <c r="V197" i="25" s="1"/>
  <c r="B197" i="25" s="1"/>
  <c r="S298" i="25"/>
  <c r="R298" i="25" s="1"/>
  <c r="P298" i="25" s="1"/>
  <c r="V298" i="25" s="1"/>
  <c r="B298" i="25" s="1"/>
  <c r="S181" i="25"/>
  <c r="R181" i="25" s="1"/>
  <c r="P181" i="25" s="1"/>
  <c r="V181" i="25" s="1"/>
  <c r="B181" i="25" s="1"/>
  <c r="S271" i="25"/>
  <c r="R271" i="25" s="1"/>
  <c r="P271" i="25" s="1"/>
  <c r="V271" i="25" s="1"/>
  <c r="B271" i="25" s="1"/>
  <c r="S180" i="25"/>
  <c r="R180" i="25" s="1"/>
  <c r="P180" i="25" s="1"/>
  <c r="S308" i="25"/>
  <c r="R308" i="25" s="1"/>
  <c r="P308" i="25" s="1"/>
  <c r="V308" i="25" s="1"/>
  <c r="B308" i="25" s="1"/>
  <c r="S282" i="25"/>
  <c r="R282" i="25" s="1"/>
  <c r="P282" i="25" s="1"/>
  <c r="V282" i="25" s="1"/>
  <c r="B282" i="25" s="1"/>
  <c r="S295" i="25"/>
  <c r="R295" i="25" s="1"/>
  <c r="P295" i="25" s="1"/>
  <c r="V295" i="25" s="1"/>
  <c r="B295" i="25" s="1"/>
  <c r="S319" i="25"/>
  <c r="R319" i="25" s="1"/>
  <c r="P319" i="25" s="1"/>
  <c r="V319" i="25" s="1"/>
  <c r="S290" i="25"/>
  <c r="R290" i="25" s="1"/>
  <c r="P290" i="25" s="1"/>
  <c r="V290" i="25" s="1"/>
  <c r="B290" i="25" s="1"/>
  <c r="S300" i="25"/>
  <c r="R300" i="25" s="1"/>
  <c r="P300" i="25" s="1"/>
  <c r="V300" i="25" s="1"/>
  <c r="B300" i="25" s="1"/>
  <c r="S203" i="25"/>
  <c r="R203" i="25" s="1"/>
  <c r="P203" i="25" s="1"/>
  <c r="V203" i="25" s="1"/>
  <c r="B203" i="25" s="1"/>
  <c r="S81" i="25"/>
  <c r="R81" i="25" s="1"/>
  <c r="P81" i="25" s="1"/>
  <c r="V81" i="25" s="1"/>
  <c r="B81" i="25" s="1"/>
  <c r="S83" i="25"/>
  <c r="R83" i="25" s="1"/>
  <c r="P83" i="25" s="1"/>
  <c r="V83" i="25" s="1"/>
  <c r="B83" i="25" s="1"/>
  <c r="S240" i="25"/>
  <c r="R240" i="25" s="1"/>
  <c r="P240" i="25" s="1"/>
  <c r="V240" i="25" s="1"/>
  <c r="B240" i="25" s="1"/>
  <c r="S243" i="25"/>
  <c r="R243" i="25" s="1"/>
  <c r="P243" i="25" s="1"/>
  <c r="V243" i="25" s="1"/>
  <c r="B243" i="25" s="1"/>
  <c r="S159" i="25"/>
  <c r="R159" i="25" s="1"/>
  <c r="P159" i="25" s="1"/>
  <c r="V159" i="25" s="1"/>
  <c r="B159" i="25" s="1"/>
  <c r="S368" i="25"/>
  <c r="R368" i="25" s="1"/>
  <c r="P368" i="25" s="1"/>
  <c r="V368" i="25" s="1"/>
  <c r="B368" i="25" s="1"/>
  <c r="W115" i="25"/>
  <c r="D115" i="25"/>
  <c r="E115" i="25" s="1"/>
  <c r="F115" i="25" s="1"/>
  <c r="D371" i="25"/>
  <c r="E371" i="25" s="1"/>
  <c r="F371" i="25" s="1"/>
  <c r="W371" i="25"/>
  <c r="S260" i="25"/>
  <c r="R260" i="25" s="1"/>
  <c r="P260" i="25" s="1"/>
  <c r="V260" i="25" s="1"/>
  <c r="B260" i="25" s="1"/>
  <c r="S362" i="25"/>
  <c r="R362" i="25" s="1"/>
  <c r="P362" i="25" s="1"/>
  <c r="V362" i="25" s="1"/>
  <c r="B362" i="25" s="1"/>
  <c r="S114" i="25"/>
  <c r="R114" i="25" s="1"/>
  <c r="P114" i="25" s="1"/>
  <c r="V114" i="25" s="1"/>
  <c r="B114" i="25" s="1"/>
  <c r="S98" i="25"/>
  <c r="R98" i="25" s="1"/>
  <c r="P98" i="25" s="1"/>
  <c r="V98" i="25" s="1"/>
  <c r="B98" i="25" s="1"/>
  <c r="S119" i="25"/>
  <c r="R119" i="25" s="1"/>
  <c r="P119" i="25" s="1"/>
  <c r="S244" i="25"/>
  <c r="R244" i="25" s="1"/>
  <c r="P244" i="25" s="1"/>
  <c r="V244" i="25" s="1"/>
  <c r="B244" i="25" s="1"/>
  <c r="S219" i="25"/>
  <c r="R219" i="25" s="1"/>
  <c r="P219" i="25" s="1"/>
  <c r="V219" i="25" s="1"/>
  <c r="B219" i="25" s="1"/>
  <c r="S231" i="25"/>
  <c r="R231" i="25" s="1"/>
  <c r="P231" i="25" s="1"/>
  <c r="V231" i="25" s="1"/>
  <c r="B231" i="25" s="1"/>
  <c r="S32" i="25"/>
  <c r="R32" i="25" s="1"/>
  <c r="P32" i="25" s="1"/>
  <c r="V32" i="25" s="1"/>
  <c r="B32" i="25" s="1"/>
  <c r="S227" i="25"/>
  <c r="R227" i="25" s="1"/>
  <c r="P227" i="25" s="1"/>
  <c r="V227" i="25" s="1"/>
  <c r="S356" i="25"/>
  <c r="R356" i="25" s="1"/>
  <c r="P356" i="25" s="1"/>
  <c r="V356" i="25" s="1"/>
  <c r="B356" i="25" s="1"/>
  <c r="S266" i="25"/>
  <c r="R266" i="25" s="1"/>
  <c r="P266" i="25" s="1"/>
  <c r="V266" i="25" s="1"/>
  <c r="B266" i="25" s="1"/>
  <c r="S342" i="25"/>
  <c r="R342" i="25" s="1"/>
  <c r="P342" i="25" s="1"/>
  <c r="V342" i="25" s="1"/>
  <c r="B342" i="25" s="1"/>
  <c r="S239" i="25"/>
  <c r="R239" i="25" s="1"/>
  <c r="P239" i="25" s="1"/>
  <c r="V239" i="25" s="1"/>
  <c r="B239" i="25" s="1"/>
  <c r="S211" i="25"/>
  <c r="R211" i="25" s="1"/>
  <c r="P211" i="25" s="1"/>
  <c r="V211" i="25" s="1"/>
  <c r="B211" i="25" s="1"/>
  <c r="S284" i="25"/>
  <c r="R284" i="25" s="1"/>
  <c r="P284" i="25" s="1"/>
  <c r="V284" i="25" s="1"/>
  <c r="B284" i="25" s="1"/>
  <c r="S250" i="25"/>
  <c r="R250" i="25" s="1"/>
  <c r="P250" i="25" s="1"/>
  <c r="V250" i="25" s="1"/>
  <c r="B250" i="25" s="1"/>
  <c r="S90" i="25"/>
  <c r="R90" i="25" s="1"/>
  <c r="P90" i="25" s="1"/>
  <c r="V90" i="25" s="1"/>
  <c r="B90" i="25" s="1"/>
  <c r="S155" i="25"/>
  <c r="R155" i="25" s="1"/>
  <c r="P155" i="25" s="1"/>
  <c r="V155" i="25" s="1"/>
  <c r="B155" i="25" s="1"/>
  <c r="S323" i="25"/>
  <c r="R323" i="25" s="1"/>
  <c r="P323" i="25" s="1"/>
  <c r="V323" i="25" s="1"/>
  <c r="B323" i="25" s="1"/>
  <c r="S257" i="25"/>
  <c r="R257" i="25" s="1"/>
  <c r="P257" i="25" s="1"/>
  <c r="V257" i="25" s="1"/>
  <c r="B257" i="25" s="1"/>
  <c r="S72" i="25"/>
  <c r="R72" i="25" s="1"/>
  <c r="P72" i="25" s="1"/>
  <c r="V72" i="25" s="1"/>
  <c r="B72" i="25" s="1"/>
  <c r="S232" i="25"/>
  <c r="R232" i="25" s="1"/>
  <c r="P232" i="25" s="1"/>
  <c r="V232" i="25" s="1"/>
  <c r="B232" i="25" s="1"/>
  <c r="S294" i="25"/>
  <c r="R294" i="25" s="1"/>
  <c r="P294" i="25" s="1"/>
  <c r="V294" i="25" s="1"/>
  <c r="B294" i="25" s="1"/>
  <c r="S45" i="25"/>
  <c r="R45" i="25" s="1"/>
  <c r="P45" i="25" s="1"/>
  <c r="V45" i="25" s="1"/>
  <c r="B45" i="25" s="1"/>
  <c r="S289" i="25"/>
  <c r="R289" i="25" s="1"/>
  <c r="P289" i="25" s="1"/>
  <c r="V289" i="25" s="1"/>
  <c r="S324" i="25"/>
  <c r="R324" i="25" s="1"/>
  <c r="P324" i="25" s="1"/>
  <c r="V324" i="25" s="1"/>
  <c r="B324" i="25" s="1"/>
  <c r="S169" i="25"/>
  <c r="R169" i="25" s="1"/>
  <c r="P169" i="25" s="1"/>
  <c r="V169" i="25" s="1"/>
  <c r="B169" i="25" s="1"/>
  <c r="S278" i="25"/>
  <c r="R278" i="25" s="1"/>
  <c r="P278" i="25" s="1"/>
  <c r="V278" i="25" s="1"/>
  <c r="B278" i="25" s="1"/>
  <c r="S201" i="25"/>
  <c r="R201" i="25" s="1"/>
  <c r="P201" i="25" s="1"/>
  <c r="V201" i="25" s="1"/>
  <c r="B201" i="25" s="1"/>
  <c r="S273" i="25"/>
  <c r="R273" i="25" s="1"/>
  <c r="P273" i="25" s="1"/>
  <c r="V273" i="25" s="1"/>
  <c r="B273" i="25" s="1"/>
  <c r="S179" i="25"/>
  <c r="R179" i="25" s="1"/>
  <c r="P179" i="25" s="1"/>
  <c r="V179" i="25" s="1"/>
  <c r="B179" i="25" s="1"/>
  <c r="S87" i="25"/>
  <c r="R87" i="25" s="1"/>
  <c r="P87" i="25" s="1"/>
  <c r="V87" i="25" s="1"/>
  <c r="B87" i="25" s="1"/>
  <c r="S30" i="25"/>
  <c r="R30" i="25" s="1"/>
  <c r="P30" i="25" s="1"/>
  <c r="V30" i="25" s="1"/>
  <c r="B30" i="25" s="1"/>
  <c r="S261" i="25"/>
  <c r="R261" i="25" s="1"/>
  <c r="P261" i="25" s="1"/>
  <c r="V261" i="25" s="1"/>
  <c r="B261" i="25" s="1"/>
  <c r="S105" i="25"/>
  <c r="R105" i="25" s="1"/>
  <c r="P105" i="25" s="1"/>
  <c r="V105" i="25" s="1"/>
  <c r="S336" i="25"/>
  <c r="R336" i="25" s="1"/>
  <c r="P336" i="25" s="1"/>
  <c r="V336" i="25" s="1"/>
  <c r="B336" i="25" s="1"/>
  <c r="S17" i="25"/>
  <c r="R17" i="25" s="1"/>
  <c r="P17" i="25" s="1"/>
  <c r="V17" i="25" s="1"/>
  <c r="B17" i="25" s="1"/>
  <c r="S361" i="25"/>
  <c r="R361" i="25" s="1"/>
  <c r="P361" i="25" s="1"/>
  <c r="V361" i="25" s="1"/>
  <c r="B361" i="25" s="1"/>
  <c r="S161" i="25"/>
  <c r="R161" i="25" s="1"/>
  <c r="P161" i="25" s="1"/>
  <c r="V161" i="25" s="1"/>
  <c r="B161" i="25" s="1"/>
  <c r="BF16" i="7"/>
  <c r="T379" i="25"/>
  <c r="S230" i="25"/>
  <c r="R230" i="25" s="1"/>
  <c r="P230" i="25" s="1"/>
  <c r="V230" i="25" s="1"/>
  <c r="B230" i="25" s="1"/>
  <c r="S345" i="25"/>
  <c r="R345" i="25" s="1"/>
  <c r="P345" i="25" s="1"/>
  <c r="V345" i="25" s="1"/>
  <c r="B345" i="25" s="1"/>
  <c r="S93" i="25"/>
  <c r="R93" i="25" s="1"/>
  <c r="P93" i="25" s="1"/>
  <c r="V93" i="25" s="1"/>
  <c r="B93" i="25" s="1"/>
  <c r="S22" i="25"/>
  <c r="R22" i="25" s="1"/>
  <c r="P22" i="25" s="1"/>
  <c r="V22" i="25" s="1"/>
  <c r="B22" i="25" s="1"/>
  <c r="S363" i="25"/>
  <c r="R363" i="25" s="1"/>
  <c r="P363" i="25" s="1"/>
  <c r="S343" i="25"/>
  <c r="R343" i="25" s="1"/>
  <c r="P343" i="25" s="1"/>
  <c r="V343" i="25" s="1"/>
  <c r="B343" i="25" s="1"/>
  <c r="S264" i="25"/>
  <c r="R264" i="25" s="1"/>
  <c r="P264" i="25" s="1"/>
  <c r="V264" i="25" s="1"/>
  <c r="B264" i="25" s="1"/>
  <c r="W208" i="25"/>
  <c r="D208" i="25"/>
  <c r="E208" i="25" s="1"/>
  <c r="F208" i="25" s="1"/>
  <c r="S373" i="25"/>
  <c r="R373" i="25" s="1"/>
  <c r="P373" i="25" s="1"/>
  <c r="V373" i="25" s="1"/>
  <c r="B373" i="25" s="1"/>
  <c r="S151" i="25"/>
  <c r="R151" i="25" s="1"/>
  <c r="P151" i="25" s="1"/>
  <c r="V151" i="25" s="1"/>
  <c r="B151" i="25" s="1"/>
  <c r="S327" i="25"/>
  <c r="R327" i="25" s="1"/>
  <c r="P327" i="25" s="1"/>
  <c r="V327" i="25" s="1"/>
  <c r="B327" i="25" s="1"/>
  <c r="S125" i="25"/>
  <c r="R125" i="25" s="1"/>
  <c r="P125" i="25" s="1"/>
  <c r="V125" i="25" s="1"/>
  <c r="B125" i="25" s="1"/>
  <c r="S320" i="25"/>
  <c r="R320" i="25" s="1"/>
  <c r="P320" i="25" s="1"/>
  <c r="V320" i="25" s="1"/>
  <c r="B320" i="25" s="1"/>
  <c r="S293" i="25"/>
  <c r="R293" i="25" s="1"/>
  <c r="P293" i="25" s="1"/>
  <c r="V293" i="25" s="1"/>
  <c r="B293" i="25" s="1"/>
  <c r="S134" i="25"/>
  <c r="R134" i="25" s="1"/>
  <c r="P134" i="25" s="1"/>
  <c r="V134" i="25" s="1"/>
  <c r="B134" i="25" s="1"/>
  <c r="S74" i="25"/>
  <c r="R74" i="25" s="1"/>
  <c r="P74" i="25" s="1"/>
  <c r="V74" i="25" s="1"/>
  <c r="S170" i="25"/>
  <c r="R170" i="25" s="1"/>
  <c r="P170" i="25" s="1"/>
  <c r="V170" i="25" s="1"/>
  <c r="B170" i="25" s="1"/>
  <c r="S66" i="25"/>
  <c r="R66" i="25" s="1"/>
  <c r="P66" i="25" s="1"/>
  <c r="V66" i="25" s="1"/>
  <c r="B66" i="25" s="1"/>
  <c r="S145" i="25"/>
  <c r="R145" i="25" s="1"/>
  <c r="P145" i="25" s="1"/>
  <c r="V145" i="25" s="1"/>
  <c r="B145" i="25" s="1"/>
  <c r="S57" i="25"/>
  <c r="R57" i="25" s="1"/>
  <c r="P57" i="25" s="1"/>
  <c r="V57" i="25" s="1"/>
  <c r="B57" i="25" s="1"/>
  <c r="S131" i="25"/>
  <c r="R131" i="25" s="1"/>
  <c r="P131" i="25" s="1"/>
  <c r="V131" i="25" s="1"/>
  <c r="B131" i="25" s="1"/>
  <c r="S213" i="25"/>
  <c r="R213" i="25" s="1"/>
  <c r="P213" i="25" s="1"/>
  <c r="V213" i="25" s="1"/>
  <c r="B213" i="25" s="1"/>
  <c r="S142" i="25"/>
  <c r="R142" i="25" s="1"/>
  <c r="P142" i="25" s="1"/>
  <c r="V142" i="25" s="1"/>
  <c r="B142" i="25" s="1"/>
  <c r="S46" i="25"/>
  <c r="R46" i="25" s="1"/>
  <c r="P46" i="25" s="1"/>
  <c r="V46" i="25" s="1"/>
  <c r="S297" i="25"/>
  <c r="R297" i="25" s="1"/>
  <c r="P297" i="25" s="1"/>
  <c r="V297" i="25" s="1"/>
  <c r="B297" i="25" s="1"/>
  <c r="S272" i="25"/>
  <c r="R272" i="25" s="1"/>
  <c r="P272" i="25" s="1"/>
  <c r="S335" i="25"/>
  <c r="R335" i="25" s="1"/>
  <c r="P335" i="25" s="1"/>
  <c r="V335" i="25" s="1"/>
  <c r="B335" i="25" s="1"/>
  <c r="S275" i="25"/>
  <c r="R275" i="25" s="1"/>
  <c r="P275" i="25" s="1"/>
  <c r="V275" i="25" s="1"/>
  <c r="B275" i="25" s="1"/>
  <c r="S38" i="25"/>
  <c r="R38" i="25" s="1"/>
  <c r="P38" i="25" s="1"/>
  <c r="V38" i="25" s="1"/>
  <c r="B38" i="25" s="1"/>
  <c r="S216" i="25"/>
  <c r="R216" i="25" s="1"/>
  <c r="P216" i="25" s="1"/>
  <c r="V216" i="25" s="1"/>
  <c r="B216" i="25" s="1"/>
  <c r="U383" i="25"/>
  <c r="U381" i="25"/>
  <c r="U382" i="25"/>
  <c r="T15" i="25"/>
  <c r="S318" i="25"/>
  <c r="R318" i="25" s="1"/>
  <c r="P318" i="25" s="1"/>
  <c r="V318" i="25" s="1"/>
  <c r="B318" i="25" s="1"/>
  <c r="S31" i="25"/>
  <c r="R31" i="25" s="1"/>
  <c r="P31" i="25" s="1"/>
  <c r="V31" i="25" s="1"/>
  <c r="B31" i="25" s="1"/>
  <c r="S152" i="25"/>
  <c r="R152" i="25" s="1"/>
  <c r="P152" i="25" s="1"/>
  <c r="V152" i="25" s="1"/>
  <c r="B152" i="25" s="1"/>
  <c r="S70" i="25"/>
  <c r="R70" i="25" s="1"/>
  <c r="P70" i="25" s="1"/>
  <c r="V70" i="25" s="1"/>
  <c r="B70" i="25" s="1"/>
  <c r="S268" i="25"/>
  <c r="R268" i="25" s="1"/>
  <c r="P268" i="25" s="1"/>
  <c r="V268" i="25" s="1"/>
  <c r="B268" i="25" s="1"/>
  <c r="S73" i="25"/>
  <c r="R73" i="25" s="1"/>
  <c r="P73" i="25" s="1"/>
  <c r="V73" i="25" s="1"/>
  <c r="B73" i="25" s="1"/>
  <c r="S218" i="25"/>
  <c r="R218" i="25" s="1"/>
  <c r="P218" i="25" s="1"/>
  <c r="V218" i="25" s="1"/>
  <c r="B218" i="25" s="1"/>
  <c r="S19" i="25"/>
  <c r="R19" i="25" s="1"/>
  <c r="P19" i="25" s="1"/>
  <c r="V19" i="25" s="1"/>
  <c r="B19" i="25" s="1"/>
  <c r="S61" i="25"/>
  <c r="R61" i="25" s="1"/>
  <c r="P61" i="25" s="1"/>
  <c r="V61" i="25" s="1"/>
  <c r="B61" i="25" s="1"/>
  <c r="S106" i="25"/>
  <c r="R106" i="25" s="1"/>
  <c r="P106" i="25" s="1"/>
  <c r="V106" i="25" s="1"/>
  <c r="B106" i="25" s="1"/>
  <c r="S112" i="25"/>
  <c r="R112" i="25" s="1"/>
  <c r="P112" i="25" s="1"/>
  <c r="V112" i="25" s="1"/>
  <c r="B112" i="25" s="1"/>
  <c r="D95" i="25"/>
  <c r="E95" i="25" s="1"/>
  <c r="F95" i="25" s="1"/>
  <c r="W95" i="25"/>
  <c r="S220" i="25"/>
  <c r="R220" i="25" s="1"/>
  <c r="P220" i="25" s="1"/>
  <c r="V220" i="25" s="1"/>
  <c r="B220" i="25" s="1"/>
  <c r="S233" i="25"/>
  <c r="R233" i="25" s="1"/>
  <c r="P233" i="25" s="1"/>
  <c r="V233" i="25" s="1"/>
  <c r="B233" i="25" s="1"/>
  <c r="S209" i="25"/>
  <c r="R209" i="25" s="1"/>
  <c r="P209" i="25" s="1"/>
  <c r="V209" i="25" s="1"/>
  <c r="B209" i="25" s="1"/>
  <c r="D34" i="25"/>
  <c r="E34" i="25" s="1"/>
  <c r="F34" i="25" s="1"/>
  <c r="W34" i="25"/>
  <c r="AH74" i="7"/>
  <c r="V210" i="25"/>
  <c r="B210" i="25" s="1"/>
  <c r="S332" i="25"/>
  <c r="R332" i="25" s="1"/>
  <c r="P332" i="25" s="1"/>
  <c r="V332" i="25" s="1"/>
  <c r="B332" i="25" s="1"/>
  <c r="S281" i="25"/>
  <c r="R281" i="25" s="1"/>
  <c r="P281" i="25" s="1"/>
  <c r="V281" i="25" s="1"/>
  <c r="B281" i="25" s="1"/>
  <c r="S321" i="25"/>
  <c r="R321" i="25" s="1"/>
  <c r="P321" i="25" s="1"/>
  <c r="V321" i="25" s="1"/>
  <c r="B321" i="25" s="1"/>
  <c r="S254" i="25"/>
  <c r="R254" i="25" s="1"/>
  <c r="P254" i="25" s="1"/>
  <c r="V254" i="25" s="1"/>
  <c r="B254" i="25" s="1"/>
  <c r="S193" i="25"/>
  <c r="R193" i="25" s="1"/>
  <c r="P193" i="25" s="1"/>
  <c r="V193" i="25" s="1"/>
  <c r="B193" i="25" s="1"/>
  <c r="S88" i="25"/>
  <c r="R88" i="25" s="1"/>
  <c r="P88" i="25" s="1"/>
  <c r="W265" i="25"/>
  <c r="D265" i="25"/>
  <c r="E265" i="25" s="1"/>
  <c r="F265" i="25" s="1"/>
  <c r="S68" i="25"/>
  <c r="R68" i="25" s="1"/>
  <c r="P68" i="25" s="1"/>
  <c r="V68" i="25" s="1"/>
  <c r="B68" i="25" s="1"/>
  <c r="S176" i="25"/>
  <c r="R176" i="25" s="1"/>
  <c r="P176" i="25" s="1"/>
  <c r="V176" i="25" s="1"/>
  <c r="B176" i="25" s="1"/>
  <c r="S307" i="25"/>
  <c r="R307" i="25" s="1"/>
  <c r="P307" i="25" s="1"/>
  <c r="V307" i="25" s="1"/>
  <c r="B307" i="25" s="1"/>
  <c r="S71" i="25"/>
  <c r="R71" i="25" s="1"/>
  <c r="P71" i="25" s="1"/>
  <c r="V71" i="25" s="1"/>
  <c r="B71" i="25" s="1"/>
  <c r="S55" i="25"/>
  <c r="R55" i="25" s="1"/>
  <c r="P55" i="25" s="1"/>
  <c r="V55" i="25" s="1"/>
  <c r="B55" i="25" s="1"/>
  <c r="S53" i="25"/>
  <c r="R53" i="25" s="1"/>
  <c r="P53" i="25" s="1"/>
  <c r="V53" i="25" s="1"/>
  <c r="B53" i="25" s="1"/>
  <c r="S27" i="25"/>
  <c r="R27" i="25" s="1"/>
  <c r="P27" i="25" s="1"/>
  <c r="V27" i="25" s="1"/>
  <c r="B27" i="25" s="1"/>
  <c r="S52" i="25"/>
  <c r="R52" i="25" s="1"/>
  <c r="P52" i="25" s="1"/>
  <c r="V52" i="25" s="1"/>
  <c r="B52" i="25" s="1"/>
  <c r="S182" i="25"/>
  <c r="R182" i="25" s="1"/>
  <c r="P182" i="25" s="1"/>
  <c r="V182" i="25" s="1"/>
  <c r="B182" i="25" s="1"/>
  <c r="S198" i="25"/>
  <c r="R198" i="25" s="1"/>
  <c r="P198" i="25" s="1"/>
  <c r="V198" i="25" s="1"/>
  <c r="B198" i="25" s="1"/>
  <c r="S188" i="25"/>
  <c r="R188" i="25" s="1"/>
  <c r="P188" i="25" s="1"/>
  <c r="V188" i="25" s="1"/>
  <c r="B188" i="25" s="1"/>
  <c r="S79" i="25"/>
  <c r="R79" i="25" s="1"/>
  <c r="P79" i="25" s="1"/>
  <c r="V79" i="25" s="1"/>
  <c r="B79" i="25" s="1"/>
  <c r="S204" i="25"/>
  <c r="R204" i="25" s="1"/>
  <c r="P204" i="25" s="1"/>
  <c r="V204" i="25" s="1"/>
  <c r="B204" i="25" s="1"/>
  <c r="S42" i="25"/>
  <c r="R42" i="25" s="1"/>
  <c r="P42" i="25" s="1"/>
  <c r="V42" i="25" s="1"/>
  <c r="B42" i="25" s="1"/>
  <c r="S194" i="25"/>
  <c r="R194" i="25" s="1"/>
  <c r="P194" i="25" s="1"/>
  <c r="V194" i="25" s="1"/>
  <c r="B194" i="25" s="1"/>
  <c r="S18" i="25"/>
  <c r="R18" i="25" s="1"/>
  <c r="P18" i="25" s="1"/>
  <c r="V18" i="25" s="1"/>
  <c r="S65" i="25"/>
  <c r="R65" i="25" s="1"/>
  <c r="P65" i="25" s="1"/>
  <c r="V65" i="25" s="1"/>
  <c r="B65" i="25" s="1"/>
  <c r="S317" i="25"/>
  <c r="R317" i="25" s="1"/>
  <c r="P317" i="25" s="1"/>
  <c r="V317" i="25" s="1"/>
  <c r="B317" i="25" s="1"/>
  <c r="S37" i="25"/>
  <c r="R37" i="25" s="1"/>
  <c r="P37" i="25" s="1"/>
  <c r="V37" i="25" s="1"/>
  <c r="B37" i="25" s="1"/>
  <c r="S304" i="25"/>
  <c r="R304" i="25" s="1"/>
  <c r="P304" i="25" s="1"/>
  <c r="V304" i="25" s="1"/>
  <c r="B304" i="25" s="1"/>
  <c r="S302" i="25"/>
  <c r="R302" i="25" s="1"/>
  <c r="P302" i="25" s="1"/>
  <c r="S177" i="25"/>
  <c r="R177" i="25" s="1"/>
  <c r="P177" i="25" s="1"/>
  <c r="V177" i="25" s="1"/>
  <c r="B177" i="25" s="1"/>
  <c r="S39" i="25"/>
  <c r="R39" i="25" s="1"/>
  <c r="P39" i="25" s="1"/>
  <c r="V39" i="25" s="1"/>
  <c r="B39" i="25" s="1"/>
  <c r="S82" i="25"/>
  <c r="R82" i="25" s="1"/>
  <c r="P82" i="25" s="1"/>
  <c r="V82" i="25" s="1"/>
  <c r="B82" i="25" s="1"/>
  <c r="S292" i="25"/>
  <c r="R292" i="25" s="1"/>
  <c r="P292" i="25" s="1"/>
  <c r="V292" i="25" s="1"/>
  <c r="B292" i="25" s="1"/>
  <c r="S279" i="25"/>
  <c r="R279" i="25" s="1"/>
  <c r="P279" i="25" s="1"/>
  <c r="V279" i="25" s="1"/>
  <c r="B279" i="25" s="1"/>
  <c r="S274" i="25"/>
  <c r="R274" i="25" s="1"/>
  <c r="P274" i="25" s="1"/>
  <c r="V274" i="25" s="1"/>
  <c r="B274" i="25" s="1"/>
  <c r="S69" i="25"/>
  <c r="R69" i="25" s="1"/>
  <c r="P69" i="25" s="1"/>
  <c r="V69" i="25" s="1"/>
  <c r="B69" i="25" s="1"/>
  <c r="D186" i="25"/>
  <c r="E186" i="25" s="1"/>
  <c r="F186" i="25" s="1"/>
  <c r="W186" i="25"/>
  <c r="D25" i="25"/>
  <c r="E25" i="25" s="1"/>
  <c r="F25" i="25" s="1"/>
  <c r="W25" i="25"/>
  <c r="S229" i="25"/>
  <c r="R229" i="25" s="1"/>
  <c r="P229" i="25" s="1"/>
  <c r="V229" i="25" s="1"/>
  <c r="B229" i="25" s="1"/>
  <c r="S26" i="25"/>
  <c r="R26" i="25" s="1"/>
  <c r="P26" i="25" s="1"/>
  <c r="V26" i="25" s="1"/>
  <c r="B26" i="25" s="1"/>
  <c r="S137" i="25"/>
  <c r="R137" i="25" s="1"/>
  <c r="P137" i="25" s="1"/>
  <c r="V137" i="25" s="1"/>
  <c r="B137" i="25" s="1"/>
  <c r="S109" i="25"/>
  <c r="R109" i="25" s="1"/>
  <c r="P109" i="25" s="1"/>
  <c r="V109" i="25" s="1"/>
  <c r="B109" i="25" s="1"/>
  <c r="W133" i="25"/>
  <c r="D133" i="25"/>
  <c r="E133" i="25" s="1"/>
  <c r="F133" i="25" s="1"/>
  <c r="S212" i="25"/>
  <c r="R212" i="25" s="1"/>
  <c r="P212" i="25" s="1"/>
  <c r="V212" i="25" s="1"/>
  <c r="B212" i="25" s="1"/>
  <c r="S126" i="25"/>
  <c r="R126" i="25" s="1"/>
  <c r="P126" i="25" s="1"/>
  <c r="V126" i="25" s="1"/>
  <c r="B126" i="25" s="1"/>
  <c r="S253" i="25"/>
  <c r="R253" i="25" s="1"/>
  <c r="P253" i="25" s="1"/>
  <c r="V253" i="25" s="1"/>
  <c r="B253" i="25" s="1"/>
  <c r="S328" i="25"/>
  <c r="R328" i="25" s="1"/>
  <c r="P328" i="25" s="1"/>
  <c r="V328" i="25" s="1"/>
  <c r="B328" i="25" s="1"/>
  <c r="S117" i="25"/>
  <c r="R117" i="25" s="1"/>
  <c r="P117" i="25" s="1"/>
  <c r="V117" i="25" s="1"/>
  <c r="B117" i="25" s="1"/>
  <c r="S366" i="25"/>
  <c r="R366" i="25" s="1"/>
  <c r="P366" i="25" s="1"/>
  <c r="V366" i="25" s="1"/>
  <c r="B366" i="25" s="1"/>
  <c r="W110" i="25"/>
  <c r="D110" i="25"/>
  <c r="E110" i="25" s="1"/>
  <c r="F110" i="25" s="1"/>
  <c r="S365" i="25"/>
  <c r="R365" i="25" s="1"/>
  <c r="P365" i="25" s="1"/>
  <c r="V365" i="25" s="1"/>
  <c r="B365" i="25" s="1"/>
  <c r="S249" i="25"/>
  <c r="R249" i="25" s="1"/>
  <c r="P249" i="25" s="1"/>
  <c r="V249" i="25" s="1"/>
  <c r="B249" i="25" s="1"/>
  <c r="S225" i="25"/>
  <c r="R225" i="25" s="1"/>
  <c r="P225" i="25" s="1"/>
  <c r="V225" i="25" s="1"/>
  <c r="B225" i="25" s="1"/>
  <c r="S350" i="25"/>
  <c r="R350" i="25" s="1"/>
  <c r="P350" i="25" s="1"/>
  <c r="V350" i="25" s="1"/>
  <c r="B350" i="25" s="1"/>
  <c r="S226" i="25"/>
  <c r="R226" i="25" s="1"/>
  <c r="P226" i="25" s="1"/>
  <c r="V226" i="25" s="1"/>
  <c r="B226" i="25" s="1"/>
  <c r="S348" i="25"/>
  <c r="R348" i="25" s="1"/>
  <c r="P348" i="25" s="1"/>
  <c r="V348" i="25" s="1"/>
  <c r="B348" i="25" s="1"/>
  <c r="S101" i="25"/>
  <c r="R101" i="25" s="1"/>
  <c r="P101" i="25" s="1"/>
  <c r="V101" i="25" s="1"/>
  <c r="B101" i="25" s="1"/>
  <c r="S337" i="25"/>
  <c r="R337" i="25" s="1"/>
  <c r="P337" i="25" s="1"/>
  <c r="V337" i="25" s="1"/>
  <c r="B337" i="25" s="1"/>
  <c r="S270" i="25"/>
  <c r="R270" i="25" s="1"/>
  <c r="P270" i="25" s="1"/>
  <c r="V270" i="25" s="1"/>
  <c r="B270" i="25" s="1"/>
  <c r="AG292" i="25"/>
  <c r="AF292" i="25" s="1"/>
  <c r="AD292" i="25" s="1"/>
  <c r="AG308" i="25"/>
  <c r="AF308" i="25" s="1"/>
  <c r="AD308" i="25" s="1"/>
  <c r="AG173" i="25"/>
  <c r="AF173" i="25" s="1"/>
  <c r="AD173" i="25" s="1"/>
  <c r="AG353" i="25"/>
  <c r="AF353" i="25" s="1"/>
  <c r="AD353" i="25" s="1"/>
  <c r="AA353" i="25" s="1"/>
  <c r="Z353" i="25" s="1"/>
  <c r="Y353" i="25" s="1"/>
  <c r="AG236" i="25"/>
  <c r="AF236" i="25" s="1"/>
  <c r="AD236" i="25" s="1"/>
  <c r="AG194" i="25"/>
  <c r="AF194" i="25" s="1"/>
  <c r="AD194" i="25" s="1"/>
  <c r="AG192" i="25"/>
  <c r="AF192" i="25" s="1"/>
  <c r="AD192" i="25" s="1"/>
  <c r="AG57" i="25"/>
  <c r="AF57" i="25" s="1"/>
  <c r="AD57" i="25" s="1"/>
  <c r="AG32" i="25"/>
  <c r="AF32" i="25" s="1"/>
  <c r="AD32" i="25" s="1"/>
  <c r="AG361" i="25"/>
  <c r="AF361" i="25" s="1"/>
  <c r="AD361" i="25" s="1"/>
  <c r="AG178" i="25"/>
  <c r="AF178" i="25" s="1"/>
  <c r="AD178" i="25" s="1"/>
  <c r="AG109" i="25"/>
  <c r="AF109" i="25" s="1"/>
  <c r="AD109" i="25" s="1"/>
  <c r="AG53" i="25"/>
  <c r="AF53" i="25" s="1"/>
  <c r="AD53" i="25" s="1"/>
  <c r="AG364" i="25"/>
  <c r="AF364" i="25" s="1"/>
  <c r="AD364" i="25" s="1"/>
  <c r="AG29" i="25"/>
  <c r="AF29" i="25" s="1"/>
  <c r="AD29" i="25" s="1"/>
  <c r="AG234" i="25"/>
  <c r="AF234" i="25" s="1"/>
  <c r="AD234" i="25" s="1"/>
  <c r="AG56" i="25"/>
  <c r="AF56" i="25" s="1"/>
  <c r="AD56" i="25" s="1"/>
  <c r="AG272" i="25"/>
  <c r="AF272" i="25" s="1"/>
  <c r="AD272" i="25" s="1"/>
  <c r="AG285" i="25"/>
  <c r="AF285" i="25" s="1"/>
  <c r="AD285" i="25" s="1"/>
  <c r="AG256" i="25"/>
  <c r="AF256" i="25" s="1"/>
  <c r="AD256" i="25" s="1"/>
  <c r="AG227" i="25"/>
  <c r="AF227" i="25" s="1"/>
  <c r="AD227" i="25" s="1"/>
  <c r="AG106" i="25"/>
  <c r="AF106" i="25" s="1"/>
  <c r="AD106" i="25" s="1"/>
  <c r="AG68" i="25"/>
  <c r="AF68" i="25" s="1"/>
  <c r="AD68" i="25" s="1"/>
  <c r="AG279" i="25"/>
  <c r="AF279" i="25" s="1"/>
  <c r="AD279" i="25" s="1"/>
  <c r="AG141" i="25"/>
  <c r="AF141" i="25" s="1"/>
  <c r="AD141" i="25" s="1"/>
  <c r="AG223" i="25"/>
  <c r="AF223" i="25" s="1"/>
  <c r="AD223" i="25" s="1"/>
  <c r="AG197" i="25"/>
  <c r="AF197" i="25" s="1"/>
  <c r="AD197" i="25" s="1"/>
  <c r="AG325" i="25"/>
  <c r="AF325" i="25" s="1"/>
  <c r="AD325" i="25" s="1"/>
  <c r="AG198" i="25"/>
  <c r="AF198" i="25" s="1"/>
  <c r="AD198" i="25" s="1"/>
  <c r="AG213" i="25"/>
  <c r="AF213" i="25" s="1"/>
  <c r="AD213" i="25" s="1"/>
  <c r="AG132" i="25"/>
  <c r="AF132" i="25" s="1"/>
  <c r="AD132" i="25" s="1"/>
  <c r="AG37" i="25"/>
  <c r="AF37" i="25" s="1"/>
  <c r="AD37" i="25" s="1"/>
  <c r="AG19" i="25"/>
  <c r="AF19" i="25" s="1"/>
  <c r="AD19" i="25" s="1"/>
  <c r="AG347" i="25"/>
  <c r="AF347" i="25" s="1"/>
  <c r="AD347" i="25" s="1"/>
  <c r="AG209" i="25"/>
  <c r="AF209" i="25" s="1"/>
  <c r="AD209" i="25" s="1"/>
  <c r="AG87" i="25"/>
  <c r="AF87" i="25" s="1"/>
  <c r="AD87" i="25" s="1"/>
  <c r="AG21" i="25"/>
  <c r="AF21" i="25" s="1"/>
  <c r="AD21" i="25" s="1"/>
  <c r="AG376" i="25"/>
  <c r="AF376" i="25" s="1"/>
  <c r="AD376" i="25" s="1"/>
  <c r="AG271" i="25"/>
  <c r="AF271" i="25" s="1"/>
  <c r="AD271" i="25" s="1"/>
  <c r="AG65" i="25"/>
  <c r="AF65" i="25" s="1"/>
  <c r="AD65" i="25" s="1"/>
  <c r="AG309" i="25"/>
  <c r="AF309" i="25" s="1"/>
  <c r="AD309" i="25" s="1"/>
  <c r="AG352" i="25"/>
  <c r="AF352" i="25" s="1"/>
  <c r="AD352" i="25" s="1"/>
  <c r="AG240" i="25"/>
  <c r="AF240" i="25" s="1"/>
  <c r="AD240" i="25" s="1"/>
  <c r="AG264" i="25"/>
  <c r="AF264" i="25" s="1"/>
  <c r="AD264" i="25" s="1"/>
  <c r="AG201" i="25"/>
  <c r="AF201" i="25" s="1"/>
  <c r="AD201" i="25" s="1"/>
  <c r="AG60" i="25"/>
  <c r="AF60" i="25" s="1"/>
  <c r="AD60" i="25" s="1"/>
  <c r="AG283" i="25"/>
  <c r="AF283" i="25" s="1"/>
  <c r="AD283" i="25" s="1"/>
  <c r="AG235" i="25"/>
  <c r="AF235" i="25" s="1"/>
  <c r="AD235" i="25" s="1"/>
  <c r="AG260" i="25"/>
  <c r="AF260" i="25" s="1"/>
  <c r="AD260" i="25" s="1"/>
  <c r="AG123" i="25"/>
  <c r="AF123" i="25" s="1"/>
  <c r="AD123" i="25" s="1"/>
  <c r="AG286" i="25"/>
  <c r="AF286" i="25" s="1"/>
  <c r="AD286" i="25" s="1"/>
  <c r="AG126" i="25"/>
  <c r="AF126" i="25" s="1"/>
  <c r="AD126" i="25" s="1"/>
  <c r="AG188" i="25"/>
  <c r="AF188" i="25" s="1"/>
  <c r="AD188" i="25" s="1"/>
  <c r="AG107" i="25"/>
  <c r="AF107" i="25" s="1"/>
  <c r="AD107" i="25" s="1"/>
  <c r="AG101" i="25"/>
  <c r="AF101" i="25" s="1"/>
  <c r="AD101" i="25" s="1"/>
  <c r="AG339" i="25"/>
  <c r="AF339" i="25" s="1"/>
  <c r="AD339" i="25" s="1"/>
  <c r="AG265" i="25"/>
  <c r="AF265" i="25" s="1"/>
  <c r="AD265" i="25" s="1"/>
  <c r="AG181" i="25"/>
  <c r="AF181" i="25" s="1"/>
  <c r="AD181" i="25" s="1"/>
  <c r="AG49" i="25"/>
  <c r="AF49" i="25" s="1"/>
  <c r="AD49" i="25" s="1"/>
  <c r="AG83" i="25"/>
  <c r="AF83" i="25" s="1"/>
  <c r="AD83" i="25" s="1"/>
  <c r="AG330" i="25"/>
  <c r="AF330" i="25" s="1"/>
  <c r="AD330" i="25" s="1"/>
  <c r="AG115" i="25"/>
  <c r="AF115" i="25" s="1"/>
  <c r="AD115" i="25" s="1"/>
  <c r="AG33" i="25"/>
  <c r="AF33" i="25" s="1"/>
  <c r="AD33" i="25" s="1"/>
  <c r="AG269" i="25"/>
  <c r="AF269" i="25" s="1"/>
  <c r="AD269" i="25" s="1"/>
  <c r="AG334" i="25"/>
  <c r="AF334" i="25" s="1"/>
  <c r="AD334" i="25" s="1"/>
  <c r="AG217" i="25"/>
  <c r="AF217" i="25" s="1"/>
  <c r="AD217" i="25" s="1"/>
  <c r="AG160" i="25"/>
  <c r="AF160" i="25" s="1"/>
  <c r="AD160" i="25" s="1"/>
  <c r="AG163" i="25"/>
  <c r="AF163" i="25" s="1"/>
  <c r="AD163" i="25" s="1"/>
  <c r="AG26" i="25"/>
  <c r="AF26" i="25" s="1"/>
  <c r="AD26" i="25" s="1"/>
  <c r="AG258" i="25"/>
  <c r="AF258" i="25" s="1"/>
  <c r="AD258" i="25" s="1"/>
  <c r="AG211" i="25"/>
  <c r="AF211" i="25" s="1"/>
  <c r="AD211" i="25" s="1"/>
  <c r="AG150" i="25"/>
  <c r="AF150" i="25" s="1"/>
  <c r="AD150" i="25" s="1"/>
  <c r="AG70" i="25"/>
  <c r="AF70" i="25" s="1"/>
  <c r="AD70" i="25" s="1"/>
  <c r="AG246" i="25"/>
  <c r="AF246" i="25" s="1"/>
  <c r="AD246" i="25" s="1"/>
  <c r="AG105" i="25"/>
  <c r="AF105" i="25" s="1"/>
  <c r="AD105" i="25" s="1"/>
  <c r="AG149" i="25"/>
  <c r="AF149" i="25" s="1"/>
  <c r="AD149" i="25" s="1"/>
  <c r="AG46" i="25"/>
  <c r="AF46" i="25" s="1"/>
  <c r="AD46" i="25" s="1"/>
  <c r="AG66" i="25"/>
  <c r="AF66" i="25" s="1"/>
  <c r="AD66" i="25" s="1"/>
  <c r="AG310" i="25"/>
  <c r="AF310" i="25" s="1"/>
  <c r="AD310" i="25" s="1"/>
  <c r="AG229" i="25"/>
  <c r="AF229" i="25" s="1"/>
  <c r="AD229" i="25" s="1"/>
  <c r="AG145" i="25"/>
  <c r="AF145" i="25" s="1"/>
  <c r="AD145" i="25" s="1"/>
  <c r="AG28" i="25"/>
  <c r="AF28" i="25" s="1"/>
  <c r="AD28" i="25" s="1"/>
  <c r="AG44" i="25"/>
  <c r="AF44" i="25" s="1"/>
  <c r="AD44" i="25" s="1"/>
  <c r="AG306" i="25"/>
  <c r="AF306" i="25" s="1"/>
  <c r="AD306" i="25" s="1"/>
  <c r="AG94" i="25"/>
  <c r="AF94" i="25" s="1"/>
  <c r="AD94" i="25" s="1"/>
  <c r="AG351" i="25"/>
  <c r="AF351" i="25" s="1"/>
  <c r="AD351" i="25" s="1"/>
  <c r="AG324" i="25"/>
  <c r="AF324" i="25" s="1"/>
  <c r="AD324" i="25" s="1"/>
  <c r="AG290" i="25"/>
  <c r="AF290" i="25" s="1"/>
  <c r="AD290" i="25" s="1"/>
  <c r="AG190" i="25"/>
  <c r="AF190" i="25" s="1"/>
  <c r="AD190" i="25" s="1"/>
  <c r="AG131" i="25"/>
  <c r="AF131" i="25" s="1"/>
  <c r="AD131" i="25" s="1"/>
  <c r="AG110" i="25"/>
  <c r="AF110" i="25" s="1"/>
  <c r="AD110" i="25" s="1"/>
  <c r="AG315" i="25"/>
  <c r="AF315" i="25" s="1"/>
  <c r="AD315" i="25" s="1"/>
  <c r="AG183" i="25"/>
  <c r="AF183" i="25" s="1"/>
  <c r="AD183" i="25" s="1"/>
  <c r="AG186" i="25"/>
  <c r="AF186" i="25" s="1"/>
  <c r="AD186" i="25" s="1"/>
  <c r="AG127" i="25"/>
  <c r="AF127" i="25" s="1"/>
  <c r="AD127" i="25" s="1"/>
  <c r="AG35" i="25"/>
  <c r="AF35" i="25" s="1"/>
  <c r="AD35" i="25" s="1"/>
  <c r="AG205" i="25"/>
  <c r="AF205" i="25" s="1"/>
  <c r="AD205" i="25" s="1"/>
  <c r="AG78" i="25"/>
  <c r="AF78" i="25" s="1"/>
  <c r="AD78" i="25" s="1"/>
  <c r="AG82" i="25"/>
  <c r="AF82" i="25" s="1"/>
  <c r="AD82" i="25" s="1"/>
  <c r="AG370" i="25"/>
  <c r="AF370" i="25" s="1"/>
  <c r="AD370" i="25" s="1"/>
  <c r="AG17" i="25"/>
  <c r="AF17" i="25" s="1"/>
  <c r="AD17" i="25" s="1"/>
  <c r="AG307" i="25"/>
  <c r="AF307" i="25" s="1"/>
  <c r="AD307" i="25" s="1"/>
  <c r="AG172" i="25"/>
  <c r="AF172" i="25" s="1"/>
  <c r="AD172" i="25" s="1"/>
  <c r="AG76" i="25"/>
  <c r="AF76" i="25" s="1"/>
  <c r="AD76" i="25" s="1"/>
  <c r="AG362" i="25"/>
  <c r="AF362" i="25" s="1"/>
  <c r="AD362" i="25" s="1"/>
  <c r="AG195" i="25"/>
  <c r="AF195" i="25" s="1"/>
  <c r="AD195" i="25" s="1"/>
  <c r="AG30" i="25"/>
  <c r="AF30" i="25" s="1"/>
  <c r="AD30" i="25" s="1"/>
  <c r="AG247" i="25"/>
  <c r="AF247" i="25" s="1"/>
  <c r="AD247" i="25" s="1"/>
  <c r="AG274" i="25"/>
  <c r="AF274" i="25" s="1"/>
  <c r="AD274" i="25" s="1"/>
  <c r="AG226" i="25"/>
  <c r="AF226" i="25" s="1"/>
  <c r="AD226" i="25" s="1"/>
  <c r="AG182" i="25"/>
  <c r="AF182" i="25" s="1"/>
  <c r="AD182" i="25" s="1"/>
  <c r="AG99" i="25"/>
  <c r="AF99" i="25" s="1"/>
  <c r="AD99" i="25" s="1"/>
  <c r="AG375" i="25"/>
  <c r="AF375" i="25" s="1"/>
  <c r="AD375" i="25" s="1"/>
  <c r="AG267" i="25"/>
  <c r="AF267" i="25" s="1"/>
  <c r="AD267" i="25" s="1"/>
  <c r="AG179" i="25"/>
  <c r="AF179" i="25" s="1"/>
  <c r="AD179" i="25" s="1"/>
  <c r="AG175" i="25"/>
  <c r="AF175" i="25" s="1"/>
  <c r="AD175" i="25" s="1"/>
  <c r="AG81" i="25"/>
  <c r="AF81" i="25" s="1"/>
  <c r="AD81" i="25" s="1"/>
  <c r="AG239" i="25"/>
  <c r="AF239" i="25" s="1"/>
  <c r="AD239" i="25" s="1"/>
  <c r="AG117" i="25"/>
  <c r="AF117" i="25" s="1"/>
  <c r="AD117" i="25" s="1"/>
  <c r="AG20" i="25"/>
  <c r="AF20" i="25" s="1"/>
  <c r="AD20" i="25" s="1"/>
  <c r="AG59" i="25"/>
  <c r="AF59" i="25" s="1"/>
  <c r="AD59" i="25" s="1"/>
  <c r="AG321" i="25"/>
  <c r="AF321" i="25" s="1"/>
  <c r="AD321" i="25" s="1"/>
  <c r="AG288" i="25"/>
  <c r="AF288" i="25" s="1"/>
  <c r="AD288" i="25" s="1"/>
  <c r="AA288" i="25" s="1"/>
  <c r="Z288" i="25" s="1"/>
  <c r="Y288" i="25" s="1"/>
  <c r="AG259" i="25"/>
  <c r="AF259" i="25" s="1"/>
  <c r="AD259" i="25" s="1"/>
  <c r="AG158" i="25"/>
  <c r="AF158" i="25" s="1"/>
  <c r="AD158" i="25" s="1"/>
  <c r="AG360" i="25"/>
  <c r="AF360" i="25" s="1"/>
  <c r="AD360" i="25" s="1"/>
  <c r="AG303" i="25"/>
  <c r="AF303" i="25" s="1"/>
  <c r="AD303" i="25" s="1"/>
  <c r="AG284" i="25"/>
  <c r="AF284" i="25" s="1"/>
  <c r="AD284" i="25" s="1"/>
  <c r="AG152" i="25"/>
  <c r="AF152" i="25" s="1"/>
  <c r="AD152" i="25" s="1"/>
  <c r="AG337" i="25"/>
  <c r="AF337" i="25" s="1"/>
  <c r="AD337" i="25" s="1"/>
  <c r="AG224" i="25"/>
  <c r="AF224" i="25" s="1"/>
  <c r="AD224" i="25" s="1"/>
  <c r="AG237" i="25"/>
  <c r="AF237" i="25" s="1"/>
  <c r="AD237" i="25" s="1"/>
  <c r="AG180" i="25"/>
  <c r="AF180" i="25" s="1"/>
  <c r="AD180" i="25" s="1"/>
  <c r="AG140" i="25"/>
  <c r="AF140" i="25" s="1"/>
  <c r="AD140" i="25" s="1"/>
  <c r="AG64" i="25"/>
  <c r="AF64" i="25" s="1"/>
  <c r="AD64" i="25" s="1"/>
  <c r="AG329" i="25"/>
  <c r="AF329" i="25" s="1"/>
  <c r="AD329" i="25" s="1"/>
  <c r="AG216" i="25"/>
  <c r="AF216" i="25" s="1"/>
  <c r="AD216" i="25" s="1"/>
  <c r="AG166" i="25"/>
  <c r="AF166" i="25" s="1"/>
  <c r="AD166" i="25" s="1"/>
  <c r="AG136" i="25"/>
  <c r="AF136" i="25" s="1"/>
  <c r="AD136" i="25" s="1"/>
  <c r="AG42" i="25"/>
  <c r="AF42" i="25" s="1"/>
  <c r="AD42" i="25" s="1"/>
  <c r="AG214" i="25"/>
  <c r="AF214" i="25" s="1"/>
  <c r="AD214" i="25" s="1"/>
  <c r="AG92" i="25"/>
  <c r="AF92" i="25" s="1"/>
  <c r="AD92" i="25" s="1"/>
  <c r="AG73" i="25"/>
  <c r="AF73" i="25" s="1"/>
  <c r="AD73" i="25" s="1"/>
  <c r="AG23" i="25"/>
  <c r="AF23" i="25" s="1"/>
  <c r="AD23" i="25" s="1"/>
  <c r="AG366" i="25"/>
  <c r="AF366" i="25" s="1"/>
  <c r="AD366" i="25" s="1"/>
  <c r="AG248" i="25"/>
  <c r="AF248" i="25" s="1"/>
  <c r="AD248" i="25" s="1"/>
  <c r="AG184" i="25"/>
  <c r="AF184" i="25" s="1"/>
  <c r="AD184" i="25" s="1"/>
  <c r="AG69" i="25"/>
  <c r="AF69" i="25" s="1"/>
  <c r="AD69" i="25" s="1"/>
  <c r="AG313" i="25"/>
  <c r="AF313" i="25" s="1"/>
  <c r="AD313" i="25" s="1"/>
  <c r="AG356" i="25"/>
  <c r="AF356" i="25" s="1"/>
  <c r="AD356" i="25" s="1"/>
  <c r="AG244" i="25"/>
  <c r="AF244" i="25" s="1"/>
  <c r="AD244" i="25" s="1"/>
  <c r="AG122" i="25"/>
  <c r="AF122" i="25" s="1"/>
  <c r="AD122" i="25" s="1"/>
  <c r="AG297" i="25"/>
  <c r="AF297" i="25" s="1"/>
  <c r="AD297" i="25" s="1"/>
  <c r="AG203" i="25"/>
  <c r="AF203" i="25" s="1"/>
  <c r="AD203" i="25" s="1"/>
  <c r="AG199" i="25"/>
  <c r="AF199" i="25" s="1"/>
  <c r="AD199" i="25" s="1"/>
  <c r="AG144" i="25"/>
  <c r="AF144" i="25" s="1"/>
  <c r="AD144" i="25" s="1"/>
  <c r="AG118" i="25"/>
  <c r="AF118" i="25" s="1"/>
  <c r="AD118" i="25" s="1"/>
  <c r="AG43" i="25"/>
  <c r="AF43" i="25" s="1"/>
  <c r="AD43" i="25" s="1"/>
  <c r="AG305" i="25"/>
  <c r="AF305" i="25" s="1"/>
  <c r="AD305" i="25" s="1"/>
  <c r="AG130" i="25"/>
  <c r="AF130" i="25" s="1"/>
  <c r="AD130" i="25" s="1"/>
  <c r="AG124" i="25"/>
  <c r="AF124" i="25" s="1"/>
  <c r="AD124" i="25" s="1"/>
  <c r="AG114" i="25"/>
  <c r="AF114" i="25" s="1"/>
  <c r="AD114" i="25" s="1"/>
  <c r="AG349" i="25"/>
  <c r="AF349" i="25" s="1"/>
  <c r="AD349" i="25" s="1"/>
  <c r="AG189" i="25"/>
  <c r="AF189" i="25" s="1"/>
  <c r="AD189" i="25" s="1"/>
  <c r="AG379" i="25"/>
  <c r="AF379" i="25" s="1"/>
  <c r="AD379" i="25" s="1"/>
  <c r="AG31" i="25"/>
  <c r="AF31" i="25" s="1"/>
  <c r="AD31" i="25" s="1"/>
  <c r="AG340" i="25"/>
  <c r="AF340" i="25" s="1"/>
  <c r="AD340" i="25" s="1"/>
  <c r="AG345" i="25"/>
  <c r="AF345" i="25" s="1"/>
  <c r="AD345" i="25" s="1"/>
  <c r="AG225" i="25"/>
  <c r="AF225" i="25" s="1"/>
  <c r="AD225" i="25" s="1"/>
  <c r="AG119" i="25"/>
  <c r="AF119" i="25" s="1"/>
  <c r="AD119" i="25" s="1"/>
  <c r="AG34" i="25"/>
  <c r="AF34" i="25" s="1"/>
  <c r="AD34" i="25" s="1"/>
  <c r="AG277" i="25"/>
  <c r="AF277" i="25" s="1"/>
  <c r="AD277" i="25" s="1"/>
  <c r="AG338" i="25"/>
  <c r="AF338" i="25" s="1"/>
  <c r="AD338" i="25" s="1"/>
  <c r="AG221" i="25"/>
  <c r="AF221" i="25" s="1"/>
  <c r="AD221" i="25" s="1"/>
  <c r="AG369" i="25"/>
  <c r="AF369" i="25" s="1"/>
  <c r="AD369" i="25" s="1"/>
  <c r="AG263" i="25"/>
  <c r="AF263" i="25" s="1"/>
  <c r="AD263" i="25" s="1"/>
  <c r="AG165" i="25"/>
  <c r="AF165" i="25" s="1"/>
  <c r="AD165" i="25" s="1"/>
  <c r="AG171" i="25"/>
  <c r="AF171" i="25" s="1"/>
  <c r="AD171" i="25" s="1"/>
  <c r="AG75" i="25"/>
  <c r="AF75" i="25" s="1"/>
  <c r="AD75" i="25" s="1"/>
  <c r="AG54" i="25"/>
  <c r="AF54" i="25" s="1"/>
  <c r="AD54" i="25" s="1"/>
  <c r="AG22" i="25"/>
  <c r="AF22" i="25" s="1"/>
  <c r="AD22" i="25" s="1"/>
  <c r="AG250" i="25"/>
  <c r="AF250" i="25" s="1"/>
  <c r="AD250" i="25" s="1"/>
  <c r="AG112" i="25"/>
  <c r="AF112" i="25" s="1"/>
  <c r="AD112" i="25" s="1"/>
  <c r="S149" i="25"/>
  <c r="R149" i="25" s="1"/>
  <c r="P149" i="25" s="1"/>
  <c r="S338" i="25"/>
  <c r="R338" i="25" s="1"/>
  <c r="P338" i="25" s="1"/>
  <c r="V338" i="25" s="1"/>
  <c r="B338" i="25" s="1"/>
  <c r="S255" i="25"/>
  <c r="R255" i="25" s="1"/>
  <c r="P255" i="25" s="1"/>
  <c r="V255" i="25" s="1"/>
  <c r="B255" i="25" s="1"/>
  <c r="S166" i="25"/>
  <c r="R166" i="25" s="1"/>
  <c r="P166" i="25" s="1"/>
  <c r="V166" i="25" s="1"/>
  <c r="S242" i="25"/>
  <c r="R242" i="25" s="1"/>
  <c r="P242" i="25" s="1"/>
  <c r="V242" i="25" s="1"/>
  <c r="B242" i="25" s="1"/>
  <c r="H371" i="25"/>
  <c r="I371" i="25" s="1"/>
  <c r="S309" i="25"/>
  <c r="R309" i="25" s="1"/>
  <c r="P309" i="25" s="1"/>
  <c r="V309" i="25" s="1"/>
  <c r="B309" i="25" s="1"/>
  <c r="S329" i="25"/>
  <c r="R329" i="25" s="1"/>
  <c r="P329" i="25" s="1"/>
  <c r="V329" i="25" s="1"/>
  <c r="B329" i="25" s="1"/>
  <c r="S171" i="25"/>
  <c r="R171" i="25" s="1"/>
  <c r="P171" i="25" s="1"/>
  <c r="V171" i="25" s="1"/>
  <c r="B171" i="25" s="1"/>
  <c r="S140" i="25"/>
  <c r="R140" i="25" s="1"/>
  <c r="P140" i="25" s="1"/>
  <c r="V140" i="25" s="1"/>
  <c r="B140" i="25" s="1"/>
  <c r="S156" i="25"/>
  <c r="R156" i="25" s="1"/>
  <c r="P156" i="25" s="1"/>
  <c r="V156" i="25" s="1"/>
  <c r="B156" i="25" s="1"/>
  <c r="S262" i="25"/>
  <c r="R262" i="25" s="1"/>
  <c r="P262" i="25" s="1"/>
  <c r="V262" i="25" s="1"/>
  <c r="B262" i="25" s="1"/>
  <c r="S313" i="25"/>
  <c r="R313" i="25" s="1"/>
  <c r="P313" i="25" s="1"/>
  <c r="V313" i="25" s="1"/>
  <c r="B313" i="25" s="1"/>
  <c r="S286" i="25"/>
  <c r="R286" i="25" s="1"/>
  <c r="P286" i="25" s="1"/>
  <c r="V286" i="25" s="1"/>
  <c r="B286" i="25" s="1"/>
  <c r="S352" i="25"/>
  <c r="R352" i="25" s="1"/>
  <c r="P352" i="25" s="1"/>
  <c r="V352" i="25" s="1"/>
  <c r="B352" i="25" s="1"/>
  <c r="S369" i="25"/>
  <c r="R369" i="25" s="1"/>
  <c r="P369" i="25" s="1"/>
  <c r="V369" i="25" s="1"/>
  <c r="B369" i="25" s="1"/>
  <c r="S340" i="25"/>
  <c r="R340" i="25" s="1"/>
  <c r="P340" i="25" s="1"/>
  <c r="V340" i="25" s="1"/>
  <c r="B340" i="25" s="1"/>
  <c r="S118" i="25"/>
  <c r="R118" i="25" s="1"/>
  <c r="P118" i="25" s="1"/>
  <c r="V118" i="25" s="1"/>
  <c r="B118" i="25" s="1"/>
  <c r="S120" i="25"/>
  <c r="R120" i="25" s="1"/>
  <c r="P120" i="25" s="1"/>
  <c r="V120" i="25" s="1"/>
  <c r="B120" i="25" s="1"/>
  <c r="W92" i="25"/>
  <c r="D92" i="25"/>
  <c r="E92" i="25" s="1"/>
  <c r="F92" i="25" s="1"/>
  <c r="S128" i="25"/>
  <c r="R128" i="25" s="1"/>
  <c r="P128" i="25" s="1"/>
  <c r="V128" i="25" s="1"/>
  <c r="B128" i="25" s="1"/>
  <c r="S103" i="25"/>
  <c r="R103" i="25" s="1"/>
  <c r="P103" i="25" s="1"/>
  <c r="V103" i="25" s="1"/>
  <c r="B103" i="25" s="1"/>
  <c r="S237" i="25"/>
  <c r="R237" i="25" s="1"/>
  <c r="P237" i="25" s="1"/>
  <c r="V237" i="25" s="1"/>
  <c r="B237" i="25" s="1"/>
  <c r="S377" i="25"/>
  <c r="R377" i="25" s="1"/>
  <c r="P377" i="25" s="1"/>
  <c r="V377" i="25" s="1"/>
  <c r="B377" i="25" s="1"/>
  <c r="S100" i="25"/>
  <c r="R100" i="25" s="1"/>
  <c r="P100" i="25" s="1"/>
  <c r="V100" i="25" s="1"/>
  <c r="B100" i="25" s="1"/>
  <c r="S256" i="25"/>
  <c r="R256" i="25" s="1"/>
  <c r="P256" i="25" s="1"/>
  <c r="V256" i="25" s="1"/>
  <c r="B256" i="25" s="1"/>
  <c r="S259" i="25"/>
  <c r="R259" i="25" s="1"/>
  <c r="P259" i="25" s="1"/>
  <c r="V259" i="25" s="1"/>
  <c r="B259" i="25" s="1"/>
  <c r="S200" i="25"/>
  <c r="R200" i="25" s="1"/>
  <c r="P200" i="25" s="1"/>
  <c r="V200" i="25" s="1"/>
  <c r="B200" i="25" s="1"/>
  <c r="S238" i="25"/>
  <c r="R238" i="25" s="1"/>
  <c r="P238" i="25" s="1"/>
  <c r="V238" i="25" s="1"/>
  <c r="B238" i="25" s="1"/>
  <c r="S136" i="25"/>
  <c r="R136" i="25" s="1"/>
  <c r="P136" i="25" s="1"/>
  <c r="V136" i="25" s="1"/>
  <c r="B136" i="25" s="1"/>
  <c r="S285" i="25"/>
  <c r="R285" i="25" s="1"/>
  <c r="P285" i="25" s="1"/>
  <c r="V285" i="25" s="1"/>
  <c r="B285" i="25" s="1"/>
  <c r="D267" i="25"/>
  <c r="E267" i="25" s="1"/>
  <c r="F267" i="25" s="1"/>
  <c r="W267" i="25"/>
  <c r="S310" i="25"/>
  <c r="R310" i="25" s="1"/>
  <c r="P310" i="25" s="1"/>
  <c r="V310" i="25" s="1"/>
  <c r="B310" i="25" s="1"/>
  <c r="S296" i="25"/>
  <c r="R296" i="25" s="1"/>
  <c r="P296" i="25" s="1"/>
  <c r="V296" i="25" s="1"/>
  <c r="B296" i="25" s="1"/>
  <c r="S305" i="25"/>
  <c r="R305" i="25" s="1"/>
  <c r="P305" i="25" s="1"/>
  <c r="V305" i="25" s="1"/>
  <c r="B305" i="25" s="1"/>
  <c r="S277" i="25"/>
  <c r="R277" i="25" s="1"/>
  <c r="P277" i="25" s="1"/>
  <c r="V277" i="25" s="1"/>
  <c r="B277" i="25" s="1"/>
  <c r="S185" i="25"/>
  <c r="R185" i="25" s="1"/>
  <c r="P185" i="25" s="1"/>
  <c r="V185" i="25" s="1"/>
  <c r="B185" i="25" s="1"/>
  <c r="S59" i="25"/>
  <c r="R59" i="25" s="1"/>
  <c r="P59" i="25" s="1"/>
  <c r="V59" i="25" s="1"/>
  <c r="B59" i="25" s="1"/>
  <c r="S280" i="25"/>
  <c r="R280" i="25" s="1"/>
  <c r="P280" i="25" s="1"/>
  <c r="V280" i="25" s="1"/>
  <c r="B280" i="25" s="1"/>
  <c r="S50" i="25"/>
  <c r="R50" i="25" s="1"/>
  <c r="P50" i="25" s="1"/>
  <c r="V50" i="25" s="1"/>
  <c r="B50" i="25" s="1"/>
  <c r="S195" i="25"/>
  <c r="R195" i="25" s="1"/>
  <c r="P195" i="25" s="1"/>
  <c r="V195" i="25" s="1"/>
  <c r="B195" i="25" s="1"/>
  <c r="S41" i="25"/>
  <c r="R41" i="25" s="1"/>
  <c r="P41" i="25" s="1"/>
  <c r="V41" i="25" s="1"/>
  <c r="B41" i="25" s="1"/>
  <c r="S43" i="25"/>
  <c r="R43" i="25" s="1"/>
  <c r="P43" i="25" s="1"/>
  <c r="V43" i="25" s="1"/>
  <c r="B43" i="25" s="1"/>
  <c r="S76" i="25"/>
  <c r="R76" i="25" s="1"/>
  <c r="P76" i="25" s="1"/>
  <c r="V76" i="25" s="1"/>
  <c r="B76" i="25" s="1"/>
  <c r="S36" i="25"/>
  <c r="R36" i="25" s="1"/>
  <c r="P36" i="25" s="1"/>
  <c r="V36" i="25" s="1"/>
  <c r="B36" i="25" s="1"/>
  <c r="S51" i="25"/>
  <c r="R51" i="25" s="1"/>
  <c r="P51" i="25" s="1"/>
  <c r="V51" i="25" s="1"/>
  <c r="B51" i="25" s="1"/>
  <c r="S28" i="25"/>
  <c r="R28" i="25" s="1"/>
  <c r="P28" i="25" s="1"/>
  <c r="V28" i="25" s="1"/>
  <c r="B28" i="25" s="1"/>
  <c r="S153" i="25"/>
  <c r="R153" i="25" s="1"/>
  <c r="P153" i="25" s="1"/>
  <c r="V153" i="25" s="1"/>
  <c r="B153" i="25" s="1"/>
  <c r="S58" i="25"/>
  <c r="R58" i="25" s="1"/>
  <c r="P58" i="25" s="1"/>
  <c r="V58" i="25" s="1"/>
  <c r="B58" i="25" s="1"/>
  <c r="S148" i="25"/>
  <c r="R148" i="25" s="1"/>
  <c r="P148" i="25" s="1"/>
  <c r="V148" i="25" s="1"/>
  <c r="B148" i="25" s="1"/>
  <c r="S97" i="25"/>
  <c r="R97" i="25" s="1"/>
  <c r="P97" i="25" s="1"/>
  <c r="V97" i="25" s="1"/>
  <c r="B97" i="25" s="1"/>
  <c r="S143" i="25"/>
  <c r="R143" i="25" s="1"/>
  <c r="P143" i="25" s="1"/>
  <c r="V143" i="25" s="1"/>
  <c r="B143" i="25" s="1"/>
  <c r="S269" i="25"/>
  <c r="R269" i="25" s="1"/>
  <c r="P269" i="25" s="1"/>
  <c r="V269" i="25" s="1"/>
  <c r="B269" i="25" s="1"/>
  <c r="S344" i="25"/>
  <c r="R344" i="25" s="1"/>
  <c r="P344" i="25" s="1"/>
  <c r="V344" i="25" s="1"/>
  <c r="B344" i="25" s="1"/>
  <c r="S357" i="25"/>
  <c r="R357" i="25" s="1"/>
  <c r="P357" i="25" s="1"/>
  <c r="V357" i="25" s="1"/>
  <c r="B357" i="25" s="1"/>
  <c r="S374" i="25"/>
  <c r="R374" i="25" s="1"/>
  <c r="P374" i="25" s="1"/>
  <c r="V374" i="25" s="1"/>
  <c r="B374" i="25" s="1"/>
  <c r="S223" i="25"/>
  <c r="R223" i="25" s="1"/>
  <c r="P223" i="25" s="1"/>
  <c r="V223" i="25" s="1"/>
  <c r="B223" i="25" s="1"/>
  <c r="S355" i="25"/>
  <c r="R355" i="25" s="1"/>
  <c r="P355" i="25" s="1"/>
  <c r="V355" i="25" s="1"/>
  <c r="B355" i="25" s="1"/>
  <c r="S121" i="25"/>
  <c r="R121" i="25" s="1"/>
  <c r="P121" i="25" s="1"/>
  <c r="V121" i="25" s="1"/>
  <c r="B121" i="25" s="1"/>
  <c r="S347" i="25"/>
  <c r="R347" i="25" s="1"/>
  <c r="P347" i="25" s="1"/>
  <c r="V347" i="25" s="1"/>
  <c r="B347" i="25" s="1"/>
  <c r="D99" i="25"/>
  <c r="E99" i="25" s="1"/>
  <c r="F99" i="25" s="1"/>
  <c r="W99" i="25"/>
  <c r="S146" i="25"/>
  <c r="R146" i="25" s="1"/>
  <c r="P146" i="25" s="1"/>
  <c r="V146" i="25" s="1"/>
  <c r="B146" i="25" s="1"/>
  <c r="S102" i="25"/>
  <c r="R102" i="25" s="1"/>
  <c r="P102" i="25" s="1"/>
  <c r="V102" i="25" s="1"/>
  <c r="B102" i="25" s="1"/>
  <c r="S228" i="25"/>
  <c r="R228" i="25" s="1"/>
  <c r="P228" i="25" s="1"/>
  <c r="V228" i="25" s="1"/>
  <c r="B228" i="25" s="1"/>
  <c r="S20" i="25"/>
  <c r="R20" i="25" s="1"/>
  <c r="P20" i="25" s="1"/>
  <c r="V20" i="25" s="1"/>
  <c r="B20" i="25" s="1"/>
  <c r="S214" i="25"/>
  <c r="R214" i="25" s="1"/>
  <c r="P214" i="25" s="1"/>
  <c r="V214" i="25" s="1"/>
  <c r="B214" i="25" s="1"/>
  <c r="S367" i="25"/>
  <c r="R367" i="25" s="1"/>
  <c r="P367" i="25" s="1"/>
  <c r="V367" i="25" s="1"/>
  <c r="B367" i="25" s="1"/>
  <c r="S224" i="25"/>
  <c r="R224" i="25" s="1"/>
  <c r="P224" i="25" s="1"/>
  <c r="V224" i="25" s="1"/>
  <c r="B224" i="25" s="1"/>
  <c r="S235" i="25"/>
  <c r="R235" i="25" s="1"/>
  <c r="P235" i="25" s="1"/>
  <c r="V235" i="25" s="1"/>
  <c r="B235" i="25" s="1"/>
  <c r="S67" i="25"/>
  <c r="R67" i="25" s="1"/>
  <c r="P67" i="25" s="1"/>
  <c r="V67" i="25" s="1"/>
  <c r="B67" i="25" s="1"/>
  <c r="S245" i="25"/>
  <c r="R245" i="25" s="1"/>
  <c r="P245" i="25" s="1"/>
  <c r="V245" i="25" s="1"/>
  <c r="B245" i="25" s="1"/>
  <c r="S89" i="25"/>
  <c r="R89" i="25" s="1"/>
  <c r="P89" i="25" s="1"/>
  <c r="V89" i="25" s="1"/>
  <c r="B89" i="25" s="1"/>
  <c r="S84" i="25"/>
  <c r="R84" i="25" s="1"/>
  <c r="P84" i="25" s="1"/>
  <c r="V84" i="25" s="1"/>
  <c r="B84" i="25" s="1"/>
  <c r="S301" i="25"/>
  <c r="R301" i="25" s="1"/>
  <c r="P301" i="25" s="1"/>
  <c r="V301" i="25" s="1"/>
  <c r="B301" i="25" s="1"/>
  <c r="W183" i="25"/>
  <c r="D183" i="25"/>
  <c r="E183" i="25" s="1"/>
  <c r="F183" i="25" s="1"/>
  <c r="S162" i="25"/>
  <c r="R162" i="25" s="1"/>
  <c r="P162" i="25" s="1"/>
  <c r="V162" i="25" s="1"/>
  <c r="B162" i="25" s="1"/>
  <c r="S291" i="25"/>
  <c r="R291" i="25" s="1"/>
  <c r="P291" i="25" s="1"/>
  <c r="V291" i="25" s="1"/>
  <c r="B291" i="25" s="1"/>
  <c r="S54" i="25"/>
  <c r="R54" i="25" s="1"/>
  <c r="P54" i="25" s="1"/>
  <c r="V54" i="25" s="1"/>
  <c r="B54" i="25" s="1"/>
  <c r="S165" i="25"/>
  <c r="R165" i="25" s="1"/>
  <c r="P165" i="25" s="1"/>
  <c r="V165" i="25" s="1"/>
  <c r="B165" i="25" s="1"/>
  <c r="S21" i="25"/>
  <c r="R21" i="25" s="1"/>
  <c r="P21" i="25" s="1"/>
  <c r="V21" i="25" s="1"/>
  <c r="B21" i="25" s="1"/>
  <c r="D207" i="25"/>
  <c r="E207" i="25" s="1"/>
  <c r="F207" i="25" s="1"/>
  <c r="W207" i="25"/>
  <c r="S33" i="25"/>
  <c r="R33" i="25" s="1"/>
  <c r="P33" i="25" s="1"/>
  <c r="V33" i="25" s="1"/>
  <c r="B33" i="25" s="1"/>
  <c r="S167" i="25"/>
  <c r="R167" i="25" s="1"/>
  <c r="P167" i="25" s="1"/>
  <c r="V167" i="25" s="1"/>
  <c r="B167" i="25" s="1"/>
  <c r="S85" i="25"/>
  <c r="R85" i="25" s="1"/>
  <c r="P85" i="25" s="1"/>
  <c r="V85" i="25" s="1"/>
  <c r="B85" i="25" s="1"/>
  <c r="S147" i="25"/>
  <c r="R147" i="25" s="1"/>
  <c r="P147" i="25" s="1"/>
  <c r="V147" i="25" s="1"/>
  <c r="B147" i="25" s="1"/>
  <c r="S192" i="25"/>
  <c r="R192" i="25" s="1"/>
  <c r="P192" i="25" s="1"/>
  <c r="V192" i="25" s="1"/>
  <c r="B192" i="25" s="1"/>
  <c r="S150" i="25"/>
  <c r="R150" i="25" s="1"/>
  <c r="P150" i="25" s="1"/>
  <c r="V150" i="25" s="1"/>
  <c r="B150" i="25" s="1"/>
  <c r="S276" i="25"/>
  <c r="R276" i="25" s="1"/>
  <c r="P276" i="25" s="1"/>
  <c r="V276" i="25" s="1"/>
  <c r="B276" i="25" s="1"/>
  <c r="S314" i="25"/>
  <c r="R314" i="25" s="1"/>
  <c r="P314" i="25" s="1"/>
  <c r="V314" i="25" s="1"/>
  <c r="B314" i="25" s="1"/>
  <c r="S130" i="25"/>
  <c r="R130" i="25" s="1"/>
  <c r="P130" i="25" s="1"/>
  <c r="V130" i="25" s="1"/>
  <c r="B130" i="25" s="1"/>
  <c r="S351" i="25"/>
  <c r="R351" i="25" s="1"/>
  <c r="P351" i="25" s="1"/>
  <c r="V351" i="25" s="1"/>
  <c r="B351" i="25" s="1"/>
  <c r="S135" i="25"/>
  <c r="R135" i="25" s="1"/>
  <c r="P135" i="25" s="1"/>
  <c r="V135" i="25" s="1"/>
  <c r="S333" i="25"/>
  <c r="R333" i="25" s="1"/>
  <c r="P333" i="25" s="1"/>
  <c r="S234" i="25"/>
  <c r="R234" i="25" s="1"/>
  <c r="P234" i="25" s="1"/>
  <c r="V234" i="25" s="1"/>
  <c r="B234" i="25" s="1"/>
  <c r="S247" i="25"/>
  <c r="R247" i="25" s="1"/>
  <c r="P247" i="25" s="1"/>
  <c r="V247" i="25" s="1"/>
  <c r="B247" i="25" s="1"/>
  <c r="S24" i="25"/>
  <c r="R24" i="25" s="1"/>
  <c r="P24" i="25" s="1"/>
  <c r="V24" i="25" s="1"/>
  <c r="B24" i="25" s="1"/>
  <c r="S322" i="25"/>
  <c r="R322" i="25" s="1"/>
  <c r="P322" i="25" s="1"/>
  <c r="V322" i="25" s="1"/>
  <c r="B322" i="25" s="1"/>
  <c r="S364" i="25"/>
  <c r="R364" i="25" s="1"/>
  <c r="P364" i="25" s="1"/>
  <c r="V364" i="25" s="1"/>
  <c r="B364" i="25" s="1"/>
  <c r="S107" i="25"/>
  <c r="R107" i="25" s="1"/>
  <c r="P107" i="25" s="1"/>
  <c r="V107" i="25" s="1"/>
  <c r="B107" i="25" s="1"/>
  <c r="S339" i="25"/>
  <c r="R339" i="25" s="1"/>
  <c r="P339" i="25" s="1"/>
  <c r="V339" i="25" s="1"/>
  <c r="B339" i="25" s="1"/>
  <c r="S160" i="25"/>
  <c r="R160" i="25" s="1"/>
  <c r="P160" i="25" s="1"/>
  <c r="V160" i="25" s="1"/>
  <c r="B160" i="25" s="1"/>
  <c r="S127" i="25"/>
  <c r="R127" i="25" s="1"/>
  <c r="P127" i="25" s="1"/>
  <c r="V127" i="25" s="1"/>
  <c r="B127" i="25" s="1"/>
  <c r="S215" i="25"/>
  <c r="R215" i="25" s="1"/>
  <c r="P215" i="25" s="1"/>
  <c r="V215" i="25" s="1"/>
  <c r="B215" i="25" s="1"/>
  <c r="S23" i="25"/>
  <c r="R23" i="25" s="1"/>
  <c r="P23" i="25" s="1"/>
  <c r="V23" i="25" s="1"/>
  <c r="B23" i="25" s="1"/>
  <c r="S77" i="25"/>
  <c r="R77" i="25" s="1"/>
  <c r="P77" i="25" s="1"/>
  <c r="V77" i="25" s="1"/>
  <c r="B77" i="25" s="1"/>
  <c r="S144" i="25"/>
  <c r="R144" i="25" s="1"/>
  <c r="P144" i="25" s="1"/>
  <c r="V144" i="25" s="1"/>
  <c r="B144" i="25" s="1"/>
  <c r="S283" i="25"/>
  <c r="R283" i="25" s="1"/>
  <c r="P283" i="25" s="1"/>
  <c r="V283" i="25" s="1"/>
  <c r="B283" i="25" s="1"/>
  <c r="S199" i="25"/>
  <c r="R199" i="25" s="1"/>
  <c r="P199" i="25" s="1"/>
  <c r="V199" i="25" s="1"/>
  <c r="B199" i="25" s="1"/>
  <c r="S248" i="25"/>
  <c r="R248" i="25" s="1"/>
  <c r="P248" i="25" s="1"/>
  <c r="V248" i="25" s="1"/>
  <c r="B248" i="25" s="1"/>
  <c r="S191" i="25"/>
  <c r="R191" i="25" s="1"/>
  <c r="P191" i="25" s="1"/>
  <c r="V191" i="25" s="1"/>
  <c r="B191" i="25" s="1"/>
  <c r="S62" i="25"/>
  <c r="R62" i="25" s="1"/>
  <c r="P62" i="25" s="1"/>
  <c r="V62" i="25" s="1"/>
  <c r="B62" i="25" s="1"/>
  <c r="S44" i="25"/>
  <c r="R44" i="25" s="1"/>
  <c r="P44" i="25" s="1"/>
  <c r="V44" i="25" s="1"/>
  <c r="B44" i="25" s="1"/>
  <c r="S376" i="25"/>
  <c r="R376" i="25" s="1"/>
  <c r="P376" i="25" s="1"/>
  <c r="V376" i="25" s="1"/>
  <c r="B376" i="25" s="1"/>
  <c r="S190" i="25"/>
  <c r="R190" i="25" s="1"/>
  <c r="P190" i="25" s="1"/>
  <c r="V190" i="25" s="1"/>
  <c r="B190" i="25" s="1"/>
  <c r="S184" i="25"/>
  <c r="R184" i="25" s="1"/>
  <c r="P184" i="25" s="1"/>
  <c r="V184" i="25" s="1"/>
  <c r="B184" i="25" s="1"/>
  <c r="S175" i="25"/>
  <c r="R175" i="25" s="1"/>
  <c r="P175" i="25" s="1"/>
  <c r="V175" i="25" s="1"/>
  <c r="B175" i="25" s="1"/>
  <c r="S315" i="25"/>
  <c r="R315" i="25" s="1"/>
  <c r="P315" i="25" s="1"/>
  <c r="V315" i="25" s="1"/>
  <c r="B315" i="25" s="1"/>
  <c r="D40" i="25"/>
  <c r="E40" i="25" s="1"/>
  <c r="F40" i="25" s="1"/>
  <c r="W40" i="25"/>
  <c r="S303" i="25"/>
  <c r="R303" i="25" s="1"/>
  <c r="P303" i="25" s="1"/>
  <c r="V303" i="25" s="1"/>
  <c r="B303" i="25" s="1"/>
  <c r="AH68" i="7"/>
  <c r="V29" i="25"/>
  <c r="B29" i="25" s="1"/>
  <c r="S221" i="25"/>
  <c r="R221" i="25" s="1"/>
  <c r="P221" i="25" s="1"/>
  <c r="V221" i="25" s="1"/>
  <c r="B221" i="25" s="1"/>
  <c r="S60" i="25"/>
  <c r="R60" i="25" s="1"/>
  <c r="P60" i="25" s="1"/>
  <c r="S16" i="25"/>
  <c r="R16" i="25" s="1"/>
  <c r="P16" i="25" s="1"/>
  <c r="V16" i="25" s="1"/>
  <c r="B16" i="25" s="1"/>
  <c r="S91" i="25"/>
  <c r="R91" i="25" s="1"/>
  <c r="P91" i="25" s="1"/>
  <c r="V91" i="25" s="1"/>
  <c r="B91" i="25" s="1"/>
  <c r="S35" i="25"/>
  <c r="R35" i="25" s="1"/>
  <c r="P35" i="25" s="1"/>
  <c r="V35" i="25" s="1"/>
  <c r="B35" i="25" s="1"/>
  <c r="S80" i="25"/>
  <c r="R80" i="25" s="1"/>
  <c r="P80" i="25" s="1"/>
  <c r="V80" i="25" s="1"/>
  <c r="B80" i="25" s="1"/>
  <c r="S346" i="25"/>
  <c r="R346" i="25" s="1"/>
  <c r="P346" i="25" s="1"/>
  <c r="V346" i="25" s="1"/>
  <c r="B346" i="25" s="1"/>
  <c r="S138" i="25"/>
  <c r="R138" i="25" s="1"/>
  <c r="P138" i="25" s="1"/>
  <c r="V138" i="25" s="1"/>
  <c r="B138" i="25" s="1"/>
  <c r="S75" i="25"/>
  <c r="R75" i="25" s="1"/>
  <c r="P75" i="25" s="1"/>
  <c r="V75" i="25" s="1"/>
  <c r="B75" i="25" s="1"/>
  <c r="S124" i="25"/>
  <c r="R124" i="25" s="1"/>
  <c r="P124" i="25" s="1"/>
  <c r="V124" i="25" s="1"/>
  <c r="B124" i="25" s="1"/>
  <c r="S129" i="25"/>
  <c r="R129" i="25" s="1"/>
  <c r="P129" i="25" s="1"/>
  <c r="V129" i="25" s="1"/>
  <c r="B129" i="25" s="1"/>
  <c r="S202" i="25"/>
  <c r="R202" i="25" s="1"/>
  <c r="P202" i="25" s="1"/>
  <c r="V202" i="25" s="1"/>
  <c r="B202" i="25" s="1"/>
  <c r="S246" i="25"/>
  <c r="R246" i="25" s="1"/>
  <c r="P246" i="25" s="1"/>
  <c r="V246" i="25" s="1"/>
  <c r="B246" i="25" s="1"/>
  <c r="S360" i="25"/>
  <c r="R360" i="25" s="1"/>
  <c r="P360" i="25" s="1"/>
  <c r="V360" i="25" s="1"/>
  <c r="B360" i="25" s="1"/>
  <c r="S241" i="25"/>
  <c r="R241" i="25" s="1"/>
  <c r="P241" i="25" s="1"/>
  <c r="S113" i="25"/>
  <c r="R113" i="25" s="1"/>
  <c r="P113" i="25" s="1"/>
  <c r="V113" i="25" s="1"/>
  <c r="B113" i="25" s="1"/>
  <c r="S251" i="25"/>
  <c r="R251" i="25" s="1"/>
  <c r="P251" i="25" s="1"/>
  <c r="V251" i="25" s="1"/>
  <c r="B251" i="25" s="1"/>
  <c r="S358" i="25"/>
  <c r="R358" i="25" s="1"/>
  <c r="P358" i="25" s="1"/>
  <c r="V358" i="25" s="1"/>
  <c r="B358" i="25" s="1"/>
  <c r="S217" i="25"/>
  <c r="R217" i="25" s="1"/>
  <c r="P217" i="25" s="1"/>
  <c r="V217" i="25" s="1"/>
  <c r="B217" i="25" s="1"/>
  <c r="S132" i="25"/>
  <c r="R132" i="25" s="1"/>
  <c r="P132" i="25" s="1"/>
  <c r="V132" i="25" s="1"/>
  <c r="B132" i="25" s="1"/>
  <c r="S48" i="25"/>
  <c r="R48" i="25" s="1"/>
  <c r="P48" i="25" s="1"/>
  <c r="V48" i="25" s="1"/>
  <c r="B48" i="25" s="1"/>
  <c r="S263" i="25"/>
  <c r="R263" i="25" s="1"/>
  <c r="P263" i="25" s="1"/>
  <c r="V263" i="25" s="1"/>
  <c r="B263" i="25" s="1"/>
  <c r="S222" i="25"/>
  <c r="R222" i="25" s="1"/>
  <c r="P222" i="25" s="1"/>
  <c r="V222" i="25" s="1"/>
  <c r="B222" i="25" s="1"/>
  <c r="S258" i="25"/>
  <c r="R258" i="25" s="1"/>
  <c r="P258" i="25" s="1"/>
  <c r="V258" i="25" s="1"/>
  <c r="S205" i="25"/>
  <c r="R205" i="25" s="1"/>
  <c r="P205" i="25" s="1"/>
  <c r="V205" i="25" s="1"/>
  <c r="B205" i="25" s="1"/>
  <c r="S111" i="25"/>
  <c r="R111" i="25" s="1"/>
  <c r="P111" i="25" s="1"/>
  <c r="V111" i="25" s="1"/>
  <c r="B111" i="25" s="1"/>
  <c r="S375" i="25"/>
  <c r="R375" i="25" s="1"/>
  <c r="P375" i="25" s="1"/>
  <c r="V375" i="25" s="1"/>
  <c r="B375" i="25" s="1"/>
  <c r="S206" i="25"/>
  <c r="R206" i="25" s="1"/>
  <c r="P206" i="25" s="1"/>
  <c r="V206" i="25" s="1"/>
  <c r="B206" i="25" s="1"/>
  <c r="S370" i="25"/>
  <c r="R370" i="25" s="1"/>
  <c r="P370" i="25" s="1"/>
  <c r="V370" i="25" s="1"/>
  <c r="B370" i="25" s="1"/>
  <c r="S252" i="25"/>
  <c r="R252" i="25" s="1"/>
  <c r="P252" i="25" s="1"/>
  <c r="V252" i="25" s="1"/>
  <c r="B252" i="25" s="1"/>
  <c r="S330" i="25"/>
  <c r="R330" i="25" s="1"/>
  <c r="P330" i="25" s="1"/>
  <c r="V330" i="25" s="1"/>
  <c r="B330" i="25" s="1"/>
  <c r="S123" i="25"/>
  <c r="R123" i="25" s="1"/>
  <c r="P123" i="25" s="1"/>
  <c r="V123" i="25" s="1"/>
  <c r="B123" i="25" s="1"/>
  <c r="S122" i="25"/>
  <c r="R122" i="25" s="1"/>
  <c r="P122" i="25" s="1"/>
  <c r="V122" i="25" s="1"/>
  <c r="B122" i="25" s="1"/>
  <c r="S163" i="25"/>
  <c r="R163" i="25" s="1"/>
  <c r="P163" i="25" s="1"/>
  <c r="V163" i="25" s="1"/>
  <c r="B163" i="25" s="1"/>
  <c r="S94" i="25"/>
  <c r="R94" i="25" s="1"/>
  <c r="P94" i="25" s="1"/>
  <c r="V94" i="25" s="1"/>
  <c r="B94" i="25" s="1"/>
  <c r="S331" i="25"/>
  <c r="R331" i="25" s="1"/>
  <c r="P331" i="25" s="1"/>
  <c r="V331" i="25" s="1"/>
  <c r="B331" i="25" s="1"/>
  <c r="S64" i="25"/>
  <c r="R64" i="25" s="1"/>
  <c r="P64" i="25" s="1"/>
  <c r="V64" i="25" s="1"/>
  <c r="B64" i="25" s="1"/>
  <c r="S349" i="25"/>
  <c r="R349" i="25" s="1"/>
  <c r="P349" i="25" s="1"/>
  <c r="V349" i="25" s="1"/>
  <c r="S86" i="25"/>
  <c r="R86" i="25" s="1"/>
  <c r="P86" i="25" s="1"/>
  <c r="V86" i="25" s="1"/>
  <c r="B86" i="25" s="1"/>
  <c r="D341" i="25"/>
  <c r="E341" i="25" s="1"/>
  <c r="F341" i="25" s="1"/>
  <c r="W341" i="25"/>
  <c r="D378" i="25"/>
  <c r="E378" i="25" s="1"/>
  <c r="F378" i="25" s="1"/>
  <c r="W378" i="25"/>
  <c r="S326" i="25"/>
  <c r="R326" i="25" s="1"/>
  <c r="P326" i="25" s="1"/>
  <c r="V326" i="25" s="1"/>
  <c r="B326" i="25" s="1"/>
  <c r="S287" i="25"/>
  <c r="R287" i="25" s="1"/>
  <c r="P287" i="25" s="1"/>
  <c r="V287" i="25" s="1"/>
  <c r="B287" i="25" s="1"/>
  <c r="S196" i="25"/>
  <c r="R196" i="25" s="1"/>
  <c r="P196" i="25" s="1"/>
  <c r="V196" i="25" s="1"/>
  <c r="S325" i="25"/>
  <c r="R325" i="25" s="1"/>
  <c r="P325" i="25" s="1"/>
  <c r="V325" i="25" s="1"/>
  <c r="B325" i="25" s="1"/>
  <c r="S172" i="25"/>
  <c r="R172" i="25" s="1"/>
  <c r="P172" i="25" s="1"/>
  <c r="V172" i="25" s="1"/>
  <c r="B172" i="25" s="1"/>
  <c r="S311" i="25"/>
  <c r="R311" i="25" s="1"/>
  <c r="P311" i="25" s="1"/>
  <c r="V311" i="25" s="1"/>
  <c r="B311" i="25" s="1"/>
  <c r="S139" i="25"/>
  <c r="R139" i="25" s="1"/>
  <c r="P139" i="25" s="1"/>
  <c r="V139" i="25" s="1"/>
  <c r="B139" i="25" s="1"/>
  <c r="S306" i="25"/>
  <c r="R306" i="25" s="1"/>
  <c r="P306" i="25" s="1"/>
  <c r="V306" i="25" s="1"/>
  <c r="B306" i="25" s="1"/>
  <c r="S316" i="25"/>
  <c r="R316" i="25" s="1"/>
  <c r="P316" i="25" s="1"/>
  <c r="V316" i="25" s="1"/>
  <c r="B316" i="25" s="1"/>
  <c r="S158" i="25"/>
  <c r="R158" i="25" s="1"/>
  <c r="P158" i="25" s="1"/>
  <c r="V158" i="25" s="1"/>
  <c r="B158" i="25" s="1"/>
  <c r="S56" i="25"/>
  <c r="R56" i="25" s="1"/>
  <c r="P56" i="25" s="1"/>
  <c r="V56" i="25" s="1"/>
  <c r="B56" i="25" s="1"/>
  <c r="S189" i="25"/>
  <c r="R189" i="25" s="1"/>
  <c r="P189" i="25" s="1"/>
  <c r="V189" i="25" s="1"/>
  <c r="B189" i="25" s="1"/>
  <c r="S47" i="25"/>
  <c r="R47" i="25" s="1"/>
  <c r="P47" i="25" s="1"/>
  <c r="V47" i="25" s="1"/>
  <c r="B47" i="25" s="1"/>
  <c r="S174" i="25"/>
  <c r="R174" i="25" s="1"/>
  <c r="P174" i="25" s="1"/>
  <c r="V174" i="25" s="1"/>
  <c r="B174" i="25" s="1"/>
  <c r="S78" i="25"/>
  <c r="R78" i="25" s="1"/>
  <c r="P78" i="25" s="1"/>
  <c r="V78" i="25" s="1"/>
  <c r="B78" i="25" s="1"/>
  <c r="S168" i="25"/>
  <c r="R168" i="25" s="1"/>
  <c r="P168" i="25" s="1"/>
  <c r="V168" i="25" s="1"/>
  <c r="B168" i="25" s="1"/>
  <c r="S173" i="25"/>
  <c r="R173" i="25" s="1"/>
  <c r="P173" i="25" s="1"/>
  <c r="V173" i="25" s="1"/>
  <c r="B173" i="25" s="1"/>
  <c r="S157" i="25"/>
  <c r="R157" i="25" s="1"/>
  <c r="P157" i="25" s="1"/>
  <c r="V157" i="25" s="1"/>
  <c r="B157" i="25" s="1"/>
  <c r="S96" i="25"/>
  <c r="R96" i="25" s="1"/>
  <c r="P96" i="25" s="1"/>
  <c r="V96" i="25" s="1"/>
  <c r="B96" i="25" s="1"/>
  <c r="S299" i="25"/>
  <c r="R299" i="25" s="1"/>
  <c r="P299" i="25" s="1"/>
  <c r="V299" i="25" s="1"/>
  <c r="B299" i="25" s="1"/>
  <c r="AG71" i="25"/>
  <c r="AF71" i="25" s="1"/>
  <c r="AD71" i="25" s="1"/>
  <c r="AG50" i="25"/>
  <c r="AF50" i="25" s="1"/>
  <c r="AD50" i="25" s="1"/>
  <c r="AG302" i="25"/>
  <c r="AF302" i="25" s="1"/>
  <c r="AD302" i="25" s="1"/>
  <c r="AG154" i="25"/>
  <c r="AF154" i="25" s="1"/>
  <c r="AD154" i="25" s="1"/>
  <c r="AG333" i="25"/>
  <c r="AF333" i="25" s="1"/>
  <c r="AD333" i="25" s="1"/>
  <c r="AG359" i="25"/>
  <c r="AF359" i="25" s="1"/>
  <c r="AD359" i="25" s="1"/>
  <c r="AG278" i="25"/>
  <c r="AF278" i="25" s="1"/>
  <c r="AD278" i="25" s="1"/>
  <c r="AG298" i="25"/>
  <c r="AF298" i="25" s="1"/>
  <c r="AD298" i="25" s="1"/>
  <c r="AG204" i="25"/>
  <c r="AF204" i="25" s="1"/>
  <c r="AD204" i="25" s="1"/>
  <c r="AG98" i="25"/>
  <c r="AF98" i="25" s="1"/>
  <c r="AD98" i="25" s="1"/>
  <c r="AG355" i="25"/>
  <c r="AF355" i="25" s="1"/>
  <c r="AD355" i="25" s="1"/>
  <c r="AG270" i="25"/>
  <c r="AF270" i="25" s="1"/>
  <c r="AD270" i="25" s="1"/>
  <c r="AG294" i="25"/>
  <c r="AF294" i="25" s="1"/>
  <c r="AD294" i="25" s="1"/>
  <c r="AG228" i="25"/>
  <c r="AF228" i="25" s="1"/>
  <c r="AD228" i="25" s="1"/>
  <c r="AG148" i="25"/>
  <c r="AF148" i="25" s="1"/>
  <c r="AD148" i="25" s="1"/>
  <c r="AG374" i="25"/>
  <c r="AF374" i="25" s="1"/>
  <c r="AD374" i="25" s="1"/>
  <c r="AG139" i="25"/>
  <c r="AF139" i="25" s="1"/>
  <c r="AD139" i="25" s="1"/>
  <c r="AG45" i="25"/>
  <c r="AF45" i="25" s="1"/>
  <c r="AD45" i="25" s="1"/>
  <c r="AG93" i="25"/>
  <c r="AF93" i="25" s="1"/>
  <c r="AD93" i="25" s="1"/>
  <c r="AG354" i="25"/>
  <c r="AF354" i="25" s="1"/>
  <c r="AD354" i="25" s="1"/>
  <c r="AG368" i="25"/>
  <c r="AF368" i="25" s="1"/>
  <c r="AD368" i="25" s="1"/>
  <c r="AG293" i="25"/>
  <c r="AF293" i="25" s="1"/>
  <c r="AD293" i="25" s="1"/>
  <c r="AG193" i="25"/>
  <c r="AF193" i="25" s="1"/>
  <c r="AD193" i="25" s="1"/>
  <c r="AG24" i="25"/>
  <c r="AF24" i="25" s="1"/>
  <c r="AD24" i="25" s="1"/>
  <c r="AG350" i="25"/>
  <c r="AF350" i="25" s="1"/>
  <c r="AD350" i="25" s="1"/>
  <c r="AG18" i="25"/>
  <c r="AF18" i="25" s="1"/>
  <c r="AD18" i="25" s="1"/>
  <c r="AG280" i="25"/>
  <c r="AF280" i="25" s="1"/>
  <c r="AD280" i="25" s="1"/>
  <c r="AG62" i="25"/>
  <c r="AF62" i="25" s="1"/>
  <c r="AD62" i="25" s="1"/>
  <c r="AG342" i="25"/>
  <c r="AF342" i="25" s="1"/>
  <c r="AD342" i="25" s="1"/>
  <c r="AG331" i="25"/>
  <c r="AF331" i="25" s="1"/>
  <c r="AD331" i="25" s="1"/>
  <c r="AG266" i="25"/>
  <c r="AF266" i="25" s="1"/>
  <c r="AD266" i="25" s="1"/>
  <c r="AG276" i="25"/>
  <c r="AF276" i="25" s="1"/>
  <c r="AD276" i="25" s="1"/>
  <c r="AG170" i="25"/>
  <c r="AF170" i="25" s="1"/>
  <c r="AD170" i="25" s="1"/>
  <c r="AG80" i="25"/>
  <c r="AF80" i="25" s="1"/>
  <c r="AD80" i="25" s="1"/>
  <c r="AG327" i="25"/>
  <c r="AF327" i="25" s="1"/>
  <c r="AD327" i="25" s="1"/>
  <c r="AG262" i="25"/>
  <c r="AF262" i="25" s="1"/>
  <c r="AD262" i="25" s="1"/>
  <c r="AG268" i="25"/>
  <c r="AF268" i="25" s="1"/>
  <c r="AD268" i="25" s="1"/>
  <c r="AG108" i="25"/>
  <c r="AF108" i="25" s="1"/>
  <c r="AD108" i="25" s="1"/>
  <c r="AA108" i="25" s="1"/>
  <c r="Z108" i="25" s="1"/>
  <c r="Y108" i="25" s="1"/>
  <c r="AG319" i="25"/>
  <c r="AF319" i="25" s="1"/>
  <c r="AD319" i="25" s="1"/>
  <c r="AG212" i="25"/>
  <c r="AF212" i="25" s="1"/>
  <c r="AD212" i="25" s="1"/>
  <c r="AG161" i="25"/>
  <c r="AF161" i="25" s="1"/>
  <c r="AD161" i="25" s="1"/>
  <c r="AG157" i="25"/>
  <c r="AF157" i="25" s="1"/>
  <c r="AD157" i="25" s="1"/>
  <c r="AG104" i="25"/>
  <c r="AF104" i="25" s="1"/>
  <c r="AD104" i="25" s="1"/>
  <c r="AG371" i="25"/>
  <c r="AF371" i="25" s="1"/>
  <c r="AD371" i="25" s="1"/>
  <c r="AG314" i="25"/>
  <c r="AF314" i="25" s="1"/>
  <c r="AD314" i="25" s="1"/>
  <c r="AG151" i="25"/>
  <c r="AF151" i="25" s="1"/>
  <c r="AD151" i="25" s="1"/>
  <c r="AG67" i="25"/>
  <c r="AF67" i="25" s="1"/>
  <c r="AD67" i="25" s="1"/>
  <c r="AG97" i="25"/>
  <c r="AF97" i="25" s="1"/>
  <c r="AD97" i="25" s="1"/>
  <c r="AG358" i="25"/>
  <c r="AF358" i="25" s="1"/>
  <c r="AD358" i="25" s="1"/>
  <c r="AG242" i="25"/>
  <c r="AF242" i="25" s="1"/>
  <c r="AD242" i="25" s="1"/>
  <c r="AG47" i="25"/>
  <c r="AF47" i="25" s="1"/>
  <c r="AD47" i="25" s="1"/>
  <c r="AG295" i="25"/>
  <c r="AF295" i="25" s="1"/>
  <c r="AD295" i="25" s="1"/>
  <c r="AG328" i="25"/>
  <c r="AF328" i="25" s="1"/>
  <c r="AD328" i="25" s="1"/>
  <c r="AG215" i="25"/>
  <c r="AF215" i="25" s="1"/>
  <c r="AD215" i="25" s="1"/>
  <c r="AG238" i="25"/>
  <c r="AF238" i="25" s="1"/>
  <c r="AD238" i="25" s="1"/>
  <c r="AG135" i="25"/>
  <c r="AF135" i="25" s="1"/>
  <c r="AD135" i="25" s="1"/>
  <c r="AG41" i="25"/>
  <c r="AF41" i="25" s="1"/>
  <c r="AD41" i="25" s="1"/>
  <c r="AG251" i="25"/>
  <c r="AF251" i="25" s="1"/>
  <c r="AD251" i="25" s="1"/>
  <c r="AG196" i="25"/>
  <c r="AF196" i="25" s="1"/>
  <c r="AD196" i="25" s="1"/>
  <c r="AG233" i="25"/>
  <c r="AF233" i="25" s="1"/>
  <c r="AD233" i="25" s="1"/>
  <c r="AG90" i="25"/>
  <c r="AF90" i="25" s="1"/>
  <c r="AD90" i="25" s="1"/>
  <c r="AG282" i="25"/>
  <c r="AF282" i="25" s="1"/>
  <c r="AD282" i="25" s="1"/>
  <c r="AG155" i="25"/>
  <c r="AF155" i="25" s="1"/>
  <c r="AD155" i="25" s="1"/>
  <c r="AG128" i="25"/>
  <c r="AF128" i="25" s="1"/>
  <c r="AD128" i="25" s="1"/>
  <c r="AG100" i="25"/>
  <c r="AF100" i="25" s="1"/>
  <c r="AD100" i="25" s="1"/>
  <c r="AG86" i="25"/>
  <c r="AF86" i="25" s="1"/>
  <c r="AD86" i="25" s="1"/>
  <c r="AG343" i="25"/>
  <c r="AF343" i="25" s="1"/>
  <c r="AD343" i="25" s="1"/>
  <c r="AG243" i="25"/>
  <c r="AF243" i="25" s="1"/>
  <c r="AD243" i="25" s="1"/>
  <c r="AG121" i="25"/>
  <c r="AF121" i="25" s="1"/>
  <c r="AD121" i="25" s="1"/>
  <c r="AG16" i="25"/>
  <c r="AF16" i="25" s="1"/>
  <c r="AD16" i="25" s="1"/>
  <c r="AG63" i="25"/>
  <c r="AF63" i="25" s="1"/>
  <c r="AD63" i="25" s="1"/>
  <c r="AG336" i="25"/>
  <c r="AF336" i="25" s="1"/>
  <c r="AD336" i="25" s="1"/>
  <c r="AG143" i="25"/>
  <c r="AF143" i="25" s="1"/>
  <c r="AD143" i="25" s="1"/>
  <c r="AG365" i="25"/>
  <c r="AF365" i="25" s="1"/>
  <c r="AD365" i="25" s="1"/>
  <c r="AG348" i="25"/>
  <c r="AF348" i="25" s="1"/>
  <c r="AD348" i="25" s="1"/>
  <c r="AG304" i="25"/>
  <c r="AF304" i="25" s="1"/>
  <c r="AD304" i="25" s="1"/>
  <c r="AG169" i="25"/>
  <c r="AF169" i="25" s="1"/>
  <c r="AD169" i="25" s="1"/>
  <c r="AG191" i="25"/>
  <c r="AF191" i="25" s="1"/>
  <c r="AD191" i="25" s="1"/>
  <c r="AG113" i="25"/>
  <c r="AF113" i="25" s="1"/>
  <c r="AD113" i="25" s="1"/>
  <c r="AG344" i="25"/>
  <c r="AF344" i="25" s="1"/>
  <c r="AD344" i="25" s="1"/>
  <c r="AG230" i="25"/>
  <c r="AF230" i="25" s="1"/>
  <c r="AD230" i="25" s="1"/>
  <c r="AG153" i="25"/>
  <c r="AF153" i="25" s="1"/>
  <c r="AD153" i="25" s="1"/>
  <c r="AG187" i="25"/>
  <c r="AF187" i="25" s="1"/>
  <c r="AD187" i="25" s="1"/>
  <c r="AG52" i="25"/>
  <c r="AF52" i="25" s="1"/>
  <c r="AD52" i="25" s="1"/>
  <c r="AG174" i="25"/>
  <c r="AF174" i="25" s="1"/>
  <c r="AD174" i="25" s="1"/>
  <c r="AG84" i="25"/>
  <c r="AF84" i="25" s="1"/>
  <c r="AD84" i="25" s="1"/>
  <c r="AG103" i="25"/>
  <c r="AF103" i="25" s="1"/>
  <c r="AD103" i="25" s="1"/>
  <c r="AG25" i="25"/>
  <c r="AF25" i="25" s="1"/>
  <c r="AD25" i="25" s="1"/>
  <c r="AG48" i="25"/>
  <c r="AF48" i="25" s="1"/>
  <c r="AD48" i="25" s="1"/>
  <c r="AG322" i="25"/>
  <c r="AF322" i="25" s="1"/>
  <c r="AD322" i="25" s="1"/>
  <c r="AG220" i="25"/>
  <c r="AF220" i="25" s="1"/>
  <c r="AD220" i="25" s="1"/>
  <c r="AG96" i="25"/>
  <c r="AF96" i="25" s="1"/>
  <c r="AD96" i="25" s="1"/>
  <c r="AG27" i="25"/>
  <c r="AF27" i="25" s="1"/>
  <c r="AD27" i="25" s="1"/>
  <c r="AG39" i="25"/>
  <c r="AF39" i="25" s="1"/>
  <c r="AD39" i="25" s="1"/>
  <c r="AG257" i="25"/>
  <c r="AF257" i="25" s="1"/>
  <c r="AD257" i="25" s="1"/>
  <c r="AG74" i="25"/>
  <c r="AF74" i="25" s="1"/>
  <c r="AD74" i="25" s="1"/>
  <c r="AG323" i="25"/>
  <c r="AF323" i="25" s="1"/>
  <c r="AD323" i="25" s="1"/>
  <c r="AG318" i="25"/>
  <c r="AF318" i="25" s="1"/>
  <c r="AD318" i="25" s="1"/>
  <c r="AG249" i="25"/>
  <c r="AF249" i="25" s="1"/>
  <c r="AD249" i="25" s="1"/>
  <c r="AG253" i="25"/>
  <c r="AF253" i="25" s="1"/>
  <c r="AD253" i="25" s="1"/>
  <c r="AG156" i="25"/>
  <c r="AF156" i="25" s="1"/>
  <c r="AD156" i="25" s="1"/>
  <c r="AG88" i="25"/>
  <c r="AF88" i="25" s="1"/>
  <c r="AD88" i="25" s="1"/>
  <c r="AG301" i="25"/>
  <c r="AF301" i="25" s="1"/>
  <c r="AD301" i="25" s="1"/>
  <c r="AG207" i="25"/>
  <c r="AF207" i="25" s="1"/>
  <c r="AD207" i="25" s="1"/>
  <c r="AG102" i="25"/>
  <c r="AF102" i="25" s="1"/>
  <c r="AD102" i="25" s="1"/>
  <c r="AG261" i="25"/>
  <c r="AF261" i="25" s="1"/>
  <c r="AD261" i="25" s="1"/>
  <c r="AG167" i="25"/>
  <c r="AF167" i="25" s="1"/>
  <c r="AD167" i="25" s="1"/>
  <c r="AG40" i="25"/>
  <c r="AF40" i="25" s="1"/>
  <c r="AD40" i="25" s="1"/>
  <c r="AG77" i="25"/>
  <c r="AF77" i="25" s="1"/>
  <c r="AD77" i="25" s="1"/>
  <c r="AG326" i="25"/>
  <c r="AF326" i="25" s="1"/>
  <c r="AD326" i="25" s="1"/>
  <c r="AG317" i="25"/>
  <c r="AF317" i="25" s="1"/>
  <c r="AD317" i="25" s="1"/>
  <c r="AG252" i="25"/>
  <c r="AF252" i="25" s="1"/>
  <c r="AD252" i="25" s="1"/>
  <c r="AG133" i="25"/>
  <c r="AF133" i="25" s="1"/>
  <c r="AD133" i="25" s="1"/>
  <c r="AG36" i="25"/>
  <c r="AF36" i="25" s="1"/>
  <c r="AD36" i="25" s="1"/>
  <c r="AG320" i="25"/>
  <c r="AF320" i="25" s="1"/>
  <c r="AD320" i="25" s="1"/>
  <c r="AG300" i="25"/>
  <c r="AF300" i="25" s="1"/>
  <c r="AD300" i="25" s="1"/>
  <c r="AG210" i="25"/>
  <c r="AF210" i="25" s="1"/>
  <c r="AD210" i="25" s="1"/>
  <c r="AG378" i="25"/>
  <c r="AF378" i="25" s="1"/>
  <c r="AD378" i="25" s="1"/>
  <c r="AG254" i="25"/>
  <c r="AF254" i="25" s="1"/>
  <c r="AD254" i="25" s="1"/>
  <c r="AG245" i="25"/>
  <c r="AF245" i="25" s="1"/>
  <c r="AD245" i="25" s="1"/>
  <c r="AG138" i="25"/>
  <c r="AF138" i="25" s="1"/>
  <c r="AD138" i="25" s="1"/>
  <c r="AG206" i="25"/>
  <c r="AF206" i="25" s="1"/>
  <c r="AD206" i="25" s="1"/>
  <c r="AG79" i="25"/>
  <c r="AF79" i="25" s="1"/>
  <c r="AD79" i="25" s="1"/>
  <c r="AG357" i="25"/>
  <c r="AF357" i="25" s="1"/>
  <c r="AD357" i="25" s="1"/>
  <c r="AG241" i="25"/>
  <c r="AF241" i="25" s="1"/>
  <c r="AD241" i="25" s="1"/>
  <c r="AG134" i="25"/>
  <c r="AF134" i="25" s="1"/>
  <c r="AD134" i="25" s="1"/>
  <c r="AG202" i="25"/>
  <c r="AF202" i="25" s="1"/>
  <c r="AD202" i="25" s="1"/>
  <c r="AG61" i="25"/>
  <c r="AF61" i="25" s="1"/>
  <c r="AD61" i="25" s="1"/>
  <c r="AG200" i="25"/>
  <c r="AF200" i="25" s="1"/>
  <c r="AD200" i="25" s="1"/>
  <c r="AG125" i="25"/>
  <c r="AF125" i="25" s="1"/>
  <c r="AD125" i="25" s="1"/>
  <c r="AG89" i="25"/>
  <c r="AF89" i="25" s="1"/>
  <c r="AD89" i="25" s="1"/>
  <c r="AI382" i="25"/>
  <c r="AI383" i="25"/>
  <c r="AH15" i="25"/>
  <c r="AI381" i="25"/>
  <c r="AG287" i="25"/>
  <c r="AF287" i="25" s="1"/>
  <c r="AD287" i="25" s="1"/>
  <c r="AG289" i="25"/>
  <c r="AF289" i="25" s="1"/>
  <c r="AD289" i="25" s="1"/>
  <c r="AG231" i="25"/>
  <c r="AF231" i="25" s="1"/>
  <c r="AD231" i="25" s="1"/>
  <c r="AG85" i="25"/>
  <c r="AF85" i="25" s="1"/>
  <c r="AD85" i="25" s="1"/>
  <c r="AG346" i="25"/>
  <c r="AF346" i="25" s="1"/>
  <c r="AD346" i="25" s="1"/>
  <c r="AG281" i="25"/>
  <c r="AF281" i="25" s="1"/>
  <c r="AD281" i="25" s="1"/>
  <c r="AG273" i="25"/>
  <c r="AF273" i="25" s="1"/>
  <c r="AD273" i="25" s="1"/>
  <c r="AG185" i="25"/>
  <c r="AF185" i="25" s="1"/>
  <c r="AD185" i="25" s="1"/>
  <c r="AG311" i="25"/>
  <c r="AF311" i="25" s="1"/>
  <c r="AD311" i="25" s="1"/>
  <c r="AG176" i="25"/>
  <c r="AF176" i="25" s="1"/>
  <c r="AD176" i="25" s="1"/>
  <c r="AG222" i="25"/>
  <c r="AF222" i="25" s="1"/>
  <c r="AD222" i="25" s="1"/>
  <c r="AG120" i="25"/>
  <c r="AF120" i="25" s="1"/>
  <c r="AD120" i="25" s="1"/>
  <c r="AG168" i="25"/>
  <c r="AF168" i="25" s="1"/>
  <c r="AD168" i="25" s="1"/>
  <c r="AG58" i="25"/>
  <c r="AF58" i="25" s="1"/>
  <c r="AD58" i="25" s="1"/>
  <c r="AG335" i="25"/>
  <c r="AF335" i="25" s="1"/>
  <c r="AD335" i="25" s="1"/>
  <c r="AG218" i="25"/>
  <c r="AF218" i="25" s="1"/>
  <c r="AD218" i="25" s="1"/>
  <c r="AG116" i="25"/>
  <c r="AF116" i="25" s="1"/>
  <c r="AD116" i="25" s="1"/>
  <c r="AG164" i="25"/>
  <c r="AF164" i="25" s="1"/>
  <c r="AD164" i="25" s="1"/>
  <c r="AG363" i="25"/>
  <c r="AF363" i="25" s="1"/>
  <c r="AD363" i="25" s="1"/>
  <c r="AG162" i="25"/>
  <c r="AF162" i="25" s="1"/>
  <c r="AD162" i="25" s="1"/>
  <c r="AG72" i="25"/>
  <c r="AF72" i="25" s="1"/>
  <c r="AD72" i="25" s="1"/>
  <c r="AG55" i="25"/>
  <c r="AF55" i="25" s="1"/>
  <c r="AD55" i="25" s="1"/>
  <c r="AG372" i="25"/>
  <c r="AF372" i="25" s="1"/>
  <c r="AD372" i="25" s="1"/>
  <c r="AG341" i="25"/>
  <c r="AF341" i="25" s="1"/>
  <c r="AD341" i="25" s="1"/>
  <c r="AG255" i="25"/>
  <c r="AF255" i="25" s="1"/>
  <c r="AD255" i="25" s="1"/>
  <c r="AG208" i="25"/>
  <c r="AF208" i="25" s="1"/>
  <c r="AD208" i="25" s="1"/>
  <c r="AG51" i="25"/>
  <c r="AF51" i="25" s="1"/>
  <c r="AD51" i="25" s="1"/>
  <c r="AG299" i="25"/>
  <c r="AF299" i="25" s="1"/>
  <c r="AD299" i="25" s="1"/>
  <c r="AG332" i="25"/>
  <c r="AF332" i="25" s="1"/>
  <c r="AD332" i="25" s="1"/>
  <c r="AG232" i="25"/>
  <c r="AF232" i="25" s="1"/>
  <c r="AD232" i="25" s="1"/>
  <c r="AG146" i="25"/>
  <c r="AF146" i="25" s="1"/>
  <c r="AD146" i="25" s="1"/>
  <c r="AG275" i="25"/>
  <c r="AF275" i="25" s="1"/>
  <c r="AD275" i="25" s="1"/>
  <c r="AG137" i="25"/>
  <c r="AF137" i="25" s="1"/>
  <c r="AD137" i="25" s="1"/>
  <c r="AG219" i="25"/>
  <c r="AF219" i="25" s="1"/>
  <c r="AD219" i="25" s="1"/>
  <c r="AG95" i="25"/>
  <c r="AF95" i="25" s="1"/>
  <c r="AD95" i="25" s="1"/>
  <c r="AG142" i="25"/>
  <c r="AF142" i="25" s="1"/>
  <c r="AD142" i="25" s="1"/>
  <c r="AG38" i="25"/>
  <c r="AF38" i="25" s="1"/>
  <c r="AD38" i="25" s="1"/>
  <c r="AG291" i="25"/>
  <c r="AF291" i="25" s="1"/>
  <c r="AD291" i="25" s="1"/>
  <c r="AG159" i="25"/>
  <c r="AF159" i="25" s="1"/>
  <c r="AD159" i="25" s="1"/>
  <c r="AG91" i="25"/>
  <c r="AF91" i="25" s="1"/>
  <c r="AD91" i="25" s="1"/>
  <c r="AG111" i="25"/>
  <c r="AF111" i="25" s="1"/>
  <c r="AD111" i="25" s="1"/>
  <c r="AG316" i="25"/>
  <c r="AF316" i="25" s="1"/>
  <c r="AD316" i="25" s="1"/>
  <c r="AG129" i="25"/>
  <c r="AF129" i="25" s="1"/>
  <c r="AD129" i="25" s="1"/>
  <c r="AG367" i="25"/>
  <c r="AF367" i="25" s="1"/>
  <c r="AD367" i="25" s="1"/>
  <c r="AG377" i="25"/>
  <c r="AF377" i="25" s="1"/>
  <c r="AD377" i="25" s="1"/>
  <c r="AG296" i="25"/>
  <c r="AF296" i="25" s="1"/>
  <c r="AD296" i="25" s="1"/>
  <c r="AG312" i="25"/>
  <c r="AF312" i="25" s="1"/>
  <c r="AD312" i="25" s="1"/>
  <c r="AG177" i="25"/>
  <c r="AF177" i="25" s="1"/>
  <c r="AD177" i="25" s="1"/>
  <c r="AG147" i="25"/>
  <c r="AF147" i="25" s="1"/>
  <c r="AD147" i="25" s="1"/>
  <c r="AG373" i="25"/>
  <c r="AF373" i="25" s="1"/>
  <c r="AD373" i="25" s="1"/>
  <c r="S104" i="25"/>
  <c r="R104" i="25" s="1"/>
  <c r="P104" i="25" s="1"/>
  <c r="V104" i="25" s="1"/>
  <c r="B104" i="25" s="1"/>
  <c r="S354" i="25"/>
  <c r="R354" i="25" s="1"/>
  <c r="P354" i="25" s="1"/>
  <c r="V354" i="25" s="1"/>
  <c r="B354" i="25" s="1"/>
  <c r="S359" i="25"/>
  <c r="R359" i="25" s="1"/>
  <c r="P359" i="25" s="1"/>
  <c r="V359" i="25" s="1"/>
  <c r="B359" i="25" s="1"/>
  <c r="S372" i="25"/>
  <c r="R372" i="25" s="1"/>
  <c r="P372" i="25" s="1"/>
  <c r="V372" i="25" s="1"/>
  <c r="B372" i="25" s="1"/>
  <c r="S334" i="25"/>
  <c r="R334" i="25" s="1"/>
  <c r="P334" i="25" s="1"/>
  <c r="V334" i="25" s="1"/>
  <c r="B334" i="25" s="1"/>
  <c r="J180" i="24"/>
  <c r="C17" i="19"/>
  <c r="F41" i="19"/>
  <c r="D16" i="19"/>
  <c r="G40" i="19"/>
  <c r="H39" i="19"/>
  <c r="AJ13" i="22"/>
  <c r="P18" i="24"/>
  <c r="R382" i="24"/>
  <c r="R383" i="24"/>
  <c r="R381" i="24"/>
  <c r="AJ6" i="23"/>
  <c r="AK6" i="23"/>
  <c r="B383" i="23"/>
  <c r="H9" i="23"/>
  <c r="B18" i="19" s="1"/>
  <c r="W15" i="23"/>
  <c r="B381" i="23"/>
  <c r="D15" i="23"/>
  <c r="B382" i="23"/>
  <c r="I382" i="20"/>
  <c r="I383" i="20"/>
  <c r="I381" i="20"/>
  <c r="AI7" i="7"/>
  <c r="F7" i="6"/>
  <c r="AL7" i="20"/>
  <c r="Z382" i="20"/>
  <c r="AL8" i="20"/>
  <c r="Y15" i="20"/>
  <c r="Z9" i="20"/>
  <c r="Z381" i="20"/>
  <c r="Z383" i="20"/>
  <c r="D15" i="6"/>
  <c r="N4" i="6"/>
  <c r="AA11" i="18"/>
  <c r="AA5" i="18" s="1"/>
  <c r="I15" i="19" s="1"/>
  <c r="J15" i="19"/>
  <c r="J31" i="19" s="1"/>
  <c r="Y11" i="18"/>
  <c r="AL13" i="18"/>
  <c r="F381" i="22"/>
  <c r="F383" i="22"/>
  <c r="AK10" i="22"/>
  <c r="AK12" i="22" s="1"/>
  <c r="AK13" i="22" s="1"/>
  <c r="AM10" i="22"/>
  <c r="AA15" i="22"/>
  <c r="AL9" i="22" s="1"/>
  <c r="F382" i="22"/>
  <c r="G15" i="22"/>
  <c r="CC15" i="6" s="1"/>
  <c r="H15" i="22"/>
  <c r="F9" i="22"/>
  <c r="J382" i="20"/>
  <c r="J383" i="20"/>
  <c r="J381" i="20"/>
  <c r="AK4" i="18"/>
  <c r="R15" i="19" s="1"/>
  <c r="AM13" i="18"/>
  <c r="AA104" i="24"/>
  <c r="Z104" i="24" s="1"/>
  <c r="Y104" i="24" s="1"/>
  <c r="AD383" i="24"/>
  <c r="AD381" i="24"/>
  <c r="AD382" i="24"/>
  <c r="G108" i="25"/>
  <c r="CF108" i="6" s="1"/>
  <c r="G288" i="25"/>
  <c r="CF288" i="6" s="1"/>
  <c r="H288" i="25"/>
  <c r="B15" i="24"/>
  <c r="G353" i="25"/>
  <c r="CF353" i="6" s="1"/>
  <c r="H353" i="25"/>
  <c r="G236" i="25" l="1"/>
  <c r="CF236" i="6" s="1"/>
  <c r="AA236" i="25"/>
  <c r="Z236" i="25" s="1"/>
  <c r="Y236" i="25" s="1"/>
  <c r="I31" i="19"/>
  <c r="J371" i="25"/>
  <c r="D372" i="25"/>
  <c r="E372" i="25" s="1"/>
  <c r="F372" i="25" s="1"/>
  <c r="W372" i="25"/>
  <c r="D354" i="25"/>
  <c r="E354" i="25" s="1"/>
  <c r="F354" i="25" s="1"/>
  <c r="W354" i="25"/>
  <c r="D96" i="25"/>
  <c r="E96" i="25" s="1"/>
  <c r="F96" i="25" s="1"/>
  <c r="W96" i="25"/>
  <c r="D173" i="25"/>
  <c r="E173" i="25" s="1"/>
  <c r="F173" i="25" s="1"/>
  <c r="W173" i="25"/>
  <c r="W78" i="25"/>
  <c r="D78" i="25"/>
  <c r="E78" i="25" s="1"/>
  <c r="F78" i="25" s="1"/>
  <c r="D47" i="25"/>
  <c r="E47" i="25" s="1"/>
  <c r="F47" i="25" s="1"/>
  <c r="W47" i="25"/>
  <c r="W56" i="25"/>
  <c r="D56" i="25"/>
  <c r="E56" i="25" s="1"/>
  <c r="F56" i="25" s="1"/>
  <c r="D316" i="25"/>
  <c r="E316" i="25" s="1"/>
  <c r="F316" i="25" s="1"/>
  <c r="W316" i="25"/>
  <c r="D139" i="25"/>
  <c r="E139" i="25" s="1"/>
  <c r="F139" i="25" s="1"/>
  <c r="W139" i="25"/>
  <c r="W172" i="25"/>
  <c r="D172" i="25"/>
  <c r="E172" i="25" s="1"/>
  <c r="F172" i="25" s="1"/>
  <c r="B196" i="25"/>
  <c r="H70" i="19"/>
  <c r="D326" i="25"/>
  <c r="E326" i="25" s="1"/>
  <c r="F326" i="25" s="1"/>
  <c r="W326" i="25"/>
  <c r="B349" i="25"/>
  <c r="W331" i="25"/>
  <c r="D331" i="25"/>
  <c r="E331" i="25" s="1"/>
  <c r="F331" i="25" s="1"/>
  <c r="W163" i="25"/>
  <c r="D163" i="25"/>
  <c r="E163" i="25" s="1"/>
  <c r="F163" i="25" s="1"/>
  <c r="D123" i="25"/>
  <c r="E123" i="25" s="1"/>
  <c r="F123" i="25" s="1"/>
  <c r="W123" i="25"/>
  <c r="W252" i="25"/>
  <c r="D252" i="25"/>
  <c r="E252" i="25" s="1"/>
  <c r="F252" i="25" s="1"/>
  <c r="D206" i="25"/>
  <c r="E206" i="25" s="1"/>
  <c r="F206" i="25" s="1"/>
  <c r="W206" i="25"/>
  <c r="D111" i="25"/>
  <c r="E111" i="25" s="1"/>
  <c r="F111" i="25" s="1"/>
  <c r="W111" i="25"/>
  <c r="B258" i="25"/>
  <c r="W263" i="25"/>
  <c r="D263" i="25"/>
  <c r="E263" i="25" s="1"/>
  <c r="F263" i="25" s="1"/>
  <c r="W132" i="25"/>
  <c r="D132" i="25"/>
  <c r="E132" i="25" s="1"/>
  <c r="F132" i="25" s="1"/>
  <c r="D358" i="25"/>
  <c r="E358" i="25" s="1"/>
  <c r="F358" i="25" s="1"/>
  <c r="W358" i="25"/>
  <c r="D113" i="25"/>
  <c r="E113" i="25" s="1"/>
  <c r="F113" i="25" s="1"/>
  <c r="W113" i="25"/>
  <c r="W360" i="25"/>
  <c r="D360" i="25"/>
  <c r="E360" i="25" s="1"/>
  <c r="F360" i="25" s="1"/>
  <c r="W202" i="25"/>
  <c r="D202" i="25"/>
  <c r="E202" i="25" s="1"/>
  <c r="F202" i="25" s="1"/>
  <c r="W124" i="25"/>
  <c r="D124" i="25"/>
  <c r="E124" i="25" s="1"/>
  <c r="F124" i="25" s="1"/>
  <c r="W138" i="25"/>
  <c r="D138" i="25"/>
  <c r="E138" i="25" s="1"/>
  <c r="F138" i="25" s="1"/>
  <c r="D80" i="25"/>
  <c r="E80" i="25" s="1"/>
  <c r="F80" i="25" s="1"/>
  <c r="W80" i="25"/>
  <c r="W91" i="25"/>
  <c r="D91" i="25"/>
  <c r="E91" i="25" s="1"/>
  <c r="F91" i="25" s="1"/>
  <c r="V60" i="25"/>
  <c r="B60" i="25" s="1"/>
  <c r="AH69" i="7"/>
  <c r="W303" i="25"/>
  <c r="D303" i="25"/>
  <c r="E303" i="25" s="1"/>
  <c r="F303" i="25" s="1"/>
  <c r="W175" i="25"/>
  <c r="D175" i="25"/>
  <c r="E175" i="25" s="1"/>
  <c r="F175" i="25" s="1"/>
  <c r="W190" i="25"/>
  <c r="D190" i="25"/>
  <c r="E190" i="25" s="1"/>
  <c r="F190" i="25" s="1"/>
  <c r="D44" i="25"/>
  <c r="E44" i="25" s="1"/>
  <c r="F44" i="25" s="1"/>
  <c r="W44" i="25"/>
  <c r="W191" i="25"/>
  <c r="D191" i="25"/>
  <c r="E191" i="25" s="1"/>
  <c r="F191" i="25" s="1"/>
  <c r="W199" i="25"/>
  <c r="D199" i="25"/>
  <c r="E199" i="25" s="1"/>
  <c r="F199" i="25" s="1"/>
  <c r="W144" i="25"/>
  <c r="D144" i="25"/>
  <c r="E144" i="25" s="1"/>
  <c r="F144" i="25" s="1"/>
  <c r="D23" i="25"/>
  <c r="E23" i="25" s="1"/>
  <c r="F23" i="25" s="1"/>
  <c r="W23" i="25"/>
  <c r="W127" i="25"/>
  <c r="D127" i="25"/>
  <c r="E127" i="25" s="1"/>
  <c r="F127" i="25" s="1"/>
  <c r="W339" i="25"/>
  <c r="D339" i="25"/>
  <c r="E339" i="25" s="1"/>
  <c r="F339" i="25" s="1"/>
  <c r="W364" i="25"/>
  <c r="D364" i="25"/>
  <c r="E364" i="25" s="1"/>
  <c r="F364" i="25" s="1"/>
  <c r="D24" i="25"/>
  <c r="E24" i="25" s="1"/>
  <c r="F24" i="25" s="1"/>
  <c r="W24" i="25"/>
  <c r="D234" i="25"/>
  <c r="E234" i="25" s="1"/>
  <c r="F234" i="25" s="1"/>
  <c r="W234" i="25"/>
  <c r="B135" i="25"/>
  <c r="D130" i="25"/>
  <c r="E130" i="25" s="1"/>
  <c r="F130" i="25" s="1"/>
  <c r="W130" i="25"/>
  <c r="W276" i="25"/>
  <c r="D276" i="25"/>
  <c r="E276" i="25" s="1"/>
  <c r="F276" i="25" s="1"/>
  <c r="D192" i="25"/>
  <c r="E192" i="25" s="1"/>
  <c r="F192" i="25" s="1"/>
  <c r="W192" i="25"/>
  <c r="W85" i="25"/>
  <c r="D85" i="25"/>
  <c r="E85" i="25" s="1"/>
  <c r="F85" i="25" s="1"/>
  <c r="W33" i="25"/>
  <c r="D33" i="25"/>
  <c r="E33" i="25" s="1"/>
  <c r="F33" i="25" s="1"/>
  <c r="W165" i="25"/>
  <c r="D165" i="25"/>
  <c r="E165" i="25" s="1"/>
  <c r="F165" i="25" s="1"/>
  <c r="W291" i="25"/>
  <c r="D291" i="25"/>
  <c r="E291" i="25" s="1"/>
  <c r="F291" i="25" s="1"/>
  <c r="D301" i="25"/>
  <c r="E301" i="25" s="1"/>
  <c r="F301" i="25" s="1"/>
  <c r="W301" i="25"/>
  <c r="D89" i="25"/>
  <c r="E89" i="25" s="1"/>
  <c r="F89" i="25" s="1"/>
  <c r="W89" i="25"/>
  <c r="W67" i="25"/>
  <c r="D67" i="25"/>
  <c r="E67" i="25" s="1"/>
  <c r="F67" i="25" s="1"/>
  <c r="W224" i="25"/>
  <c r="D224" i="25"/>
  <c r="E224" i="25" s="1"/>
  <c r="F224" i="25" s="1"/>
  <c r="W214" i="25"/>
  <c r="D214" i="25"/>
  <c r="E214" i="25" s="1"/>
  <c r="F214" i="25" s="1"/>
  <c r="W228" i="25"/>
  <c r="D228" i="25"/>
  <c r="E228" i="25" s="1"/>
  <c r="F228" i="25" s="1"/>
  <c r="D146" i="25"/>
  <c r="E146" i="25" s="1"/>
  <c r="F146" i="25" s="1"/>
  <c r="W146" i="25"/>
  <c r="W121" i="25"/>
  <c r="D121" i="25"/>
  <c r="E121" i="25" s="1"/>
  <c r="F121" i="25" s="1"/>
  <c r="D223" i="25"/>
  <c r="E223" i="25" s="1"/>
  <c r="F223" i="25" s="1"/>
  <c r="W223" i="25"/>
  <c r="W357" i="25"/>
  <c r="D357" i="25"/>
  <c r="E357" i="25" s="1"/>
  <c r="F357" i="25" s="1"/>
  <c r="W269" i="25"/>
  <c r="D269" i="25"/>
  <c r="E269" i="25" s="1"/>
  <c r="F269" i="25" s="1"/>
  <c r="D97" i="25"/>
  <c r="E97" i="25" s="1"/>
  <c r="F97" i="25" s="1"/>
  <c r="W97" i="25"/>
  <c r="W58" i="25"/>
  <c r="D58" i="25"/>
  <c r="E58" i="25" s="1"/>
  <c r="F58" i="25" s="1"/>
  <c r="D28" i="25"/>
  <c r="E28" i="25" s="1"/>
  <c r="F28" i="25" s="1"/>
  <c r="W28" i="25"/>
  <c r="D36" i="25"/>
  <c r="E36" i="25" s="1"/>
  <c r="F36" i="25" s="1"/>
  <c r="W36" i="25"/>
  <c r="W43" i="25"/>
  <c r="D43" i="25"/>
  <c r="E43" i="25" s="1"/>
  <c r="F43" i="25" s="1"/>
  <c r="D195" i="25"/>
  <c r="E195" i="25" s="1"/>
  <c r="F195" i="25" s="1"/>
  <c r="W195" i="25"/>
  <c r="W280" i="25"/>
  <c r="D280" i="25"/>
  <c r="E280" i="25" s="1"/>
  <c r="F280" i="25" s="1"/>
  <c r="W185" i="25"/>
  <c r="D185" i="25"/>
  <c r="E185" i="25" s="1"/>
  <c r="F185" i="25" s="1"/>
  <c r="W305" i="25"/>
  <c r="D305" i="25"/>
  <c r="E305" i="25" s="1"/>
  <c r="F305" i="25" s="1"/>
  <c r="D310" i="25"/>
  <c r="E310" i="25" s="1"/>
  <c r="F310" i="25" s="1"/>
  <c r="W310" i="25"/>
  <c r="W136" i="25"/>
  <c r="D136" i="25"/>
  <c r="E136" i="25" s="1"/>
  <c r="F136" i="25" s="1"/>
  <c r="D200" i="25"/>
  <c r="E200" i="25" s="1"/>
  <c r="F200" i="25" s="1"/>
  <c r="W200" i="25"/>
  <c r="D256" i="25"/>
  <c r="E256" i="25" s="1"/>
  <c r="F256" i="25" s="1"/>
  <c r="W256" i="25"/>
  <c r="W377" i="25"/>
  <c r="D377" i="25"/>
  <c r="E377" i="25" s="1"/>
  <c r="F377" i="25" s="1"/>
  <c r="D103" i="25"/>
  <c r="E103" i="25" s="1"/>
  <c r="F103" i="25" s="1"/>
  <c r="W103" i="25"/>
  <c r="D120" i="25"/>
  <c r="E120" i="25" s="1"/>
  <c r="F120" i="25" s="1"/>
  <c r="W120" i="25"/>
  <c r="W340" i="25"/>
  <c r="D340" i="25"/>
  <c r="E340" i="25" s="1"/>
  <c r="F340" i="25" s="1"/>
  <c r="D352" i="25"/>
  <c r="E352" i="25" s="1"/>
  <c r="F352" i="25" s="1"/>
  <c r="W352" i="25"/>
  <c r="D313" i="25"/>
  <c r="E313" i="25" s="1"/>
  <c r="F313" i="25" s="1"/>
  <c r="W313" i="25"/>
  <c r="D156" i="25"/>
  <c r="E156" i="25" s="1"/>
  <c r="F156" i="25" s="1"/>
  <c r="W156" i="25"/>
  <c r="W171" i="25"/>
  <c r="D171" i="25"/>
  <c r="E171" i="25" s="1"/>
  <c r="F171" i="25" s="1"/>
  <c r="D309" i="25"/>
  <c r="E309" i="25" s="1"/>
  <c r="F309" i="25" s="1"/>
  <c r="W309" i="25"/>
  <c r="W334" i="25"/>
  <c r="D334" i="25"/>
  <c r="E334" i="25" s="1"/>
  <c r="F334" i="25" s="1"/>
  <c r="W359" i="25"/>
  <c r="D359" i="25"/>
  <c r="E359" i="25" s="1"/>
  <c r="F359" i="25" s="1"/>
  <c r="W104" i="25"/>
  <c r="D104" i="25"/>
  <c r="E104" i="25" s="1"/>
  <c r="F104" i="25" s="1"/>
  <c r="W299" i="25"/>
  <c r="D299" i="25"/>
  <c r="E299" i="25" s="1"/>
  <c r="F299" i="25" s="1"/>
  <c r="W157" i="25"/>
  <c r="D157" i="25"/>
  <c r="E157" i="25" s="1"/>
  <c r="F157" i="25" s="1"/>
  <c r="W168" i="25"/>
  <c r="D168" i="25"/>
  <c r="E168" i="25" s="1"/>
  <c r="F168" i="25" s="1"/>
  <c r="W174" i="25"/>
  <c r="D174" i="25"/>
  <c r="E174" i="25" s="1"/>
  <c r="F174" i="25" s="1"/>
  <c r="D189" i="25"/>
  <c r="E189" i="25" s="1"/>
  <c r="F189" i="25" s="1"/>
  <c r="W189" i="25"/>
  <c r="W158" i="25"/>
  <c r="D158" i="25"/>
  <c r="E158" i="25" s="1"/>
  <c r="F158" i="25" s="1"/>
  <c r="W306" i="25"/>
  <c r="D306" i="25"/>
  <c r="E306" i="25" s="1"/>
  <c r="F306" i="25" s="1"/>
  <c r="D311" i="25"/>
  <c r="E311" i="25" s="1"/>
  <c r="F311" i="25" s="1"/>
  <c r="W311" i="25"/>
  <c r="W325" i="25"/>
  <c r="D325" i="25"/>
  <c r="E325" i="25" s="1"/>
  <c r="F325" i="25" s="1"/>
  <c r="W287" i="25"/>
  <c r="D287" i="25"/>
  <c r="E287" i="25" s="1"/>
  <c r="F287" i="25" s="1"/>
  <c r="D86" i="25"/>
  <c r="E86" i="25" s="1"/>
  <c r="F86" i="25" s="1"/>
  <c r="W86" i="25"/>
  <c r="W64" i="25"/>
  <c r="D64" i="25"/>
  <c r="E64" i="25" s="1"/>
  <c r="F64" i="25" s="1"/>
  <c r="D94" i="25"/>
  <c r="E94" i="25" s="1"/>
  <c r="F94" i="25" s="1"/>
  <c r="W94" i="25"/>
  <c r="W122" i="25"/>
  <c r="D122" i="25"/>
  <c r="E122" i="25" s="1"/>
  <c r="F122" i="25" s="1"/>
  <c r="D330" i="25"/>
  <c r="E330" i="25" s="1"/>
  <c r="F330" i="25" s="1"/>
  <c r="W330" i="25"/>
  <c r="D370" i="25"/>
  <c r="E370" i="25" s="1"/>
  <c r="F370" i="25" s="1"/>
  <c r="W370" i="25"/>
  <c r="W375" i="25"/>
  <c r="D375" i="25"/>
  <c r="E375" i="25" s="1"/>
  <c r="F375" i="25" s="1"/>
  <c r="W205" i="25"/>
  <c r="D205" i="25"/>
  <c r="E205" i="25" s="1"/>
  <c r="F205" i="25" s="1"/>
  <c r="W222" i="25"/>
  <c r="D222" i="25"/>
  <c r="E222" i="25" s="1"/>
  <c r="F222" i="25" s="1"/>
  <c r="W48" i="25"/>
  <c r="D48" i="25"/>
  <c r="E48" i="25" s="1"/>
  <c r="F48" i="25" s="1"/>
  <c r="W217" i="25"/>
  <c r="D217" i="25"/>
  <c r="E217" i="25" s="1"/>
  <c r="F217" i="25" s="1"/>
  <c r="W251" i="25"/>
  <c r="D251" i="25"/>
  <c r="E251" i="25" s="1"/>
  <c r="F251" i="25" s="1"/>
  <c r="V241" i="25"/>
  <c r="B241" i="25" s="1"/>
  <c r="AH75" i="7"/>
  <c r="W246" i="25"/>
  <c r="D246" i="25"/>
  <c r="E246" i="25" s="1"/>
  <c r="F246" i="25" s="1"/>
  <c r="D129" i="25"/>
  <c r="E129" i="25" s="1"/>
  <c r="F129" i="25" s="1"/>
  <c r="W129" i="25"/>
  <c r="D75" i="25"/>
  <c r="E75" i="25" s="1"/>
  <c r="F75" i="25" s="1"/>
  <c r="W75" i="25"/>
  <c r="D346" i="25"/>
  <c r="E346" i="25" s="1"/>
  <c r="F346" i="25" s="1"/>
  <c r="W346" i="25"/>
  <c r="W35" i="25"/>
  <c r="D35" i="25"/>
  <c r="E35" i="25" s="1"/>
  <c r="F35" i="25" s="1"/>
  <c r="D16" i="25"/>
  <c r="E16" i="25" s="1"/>
  <c r="F16" i="25" s="1"/>
  <c r="W16" i="25"/>
  <c r="D221" i="25"/>
  <c r="E221" i="25" s="1"/>
  <c r="F221" i="25" s="1"/>
  <c r="W221" i="25"/>
  <c r="W315" i="25"/>
  <c r="D315" i="25"/>
  <c r="E315" i="25" s="1"/>
  <c r="F315" i="25" s="1"/>
  <c r="D184" i="25"/>
  <c r="E184" i="25" s="1"/>
  <c r="F184" i="25" s="1"/>
  <c r="W184" i="25"/>
  <c r="D376" i="25"/>
  <c r="E376" i="25" s="1"/>
  <c r="F376" i="25" s="1"/>
  <c r="W376" i="25"/>
  <c r="W62" i="25"/>
  <c r="D62" i="25"/>
  <c r="E62" i="25" s="1"/>
  <c r="F62" i="25" s="1"/>
  <c r="W248" i="25"/>
  <c r="D248" i="25"/>
  <c r="E248" i="25" s="1"/>
  <c r="F248" i="25" s="1"/>
  <c r="W283" i="25"/>
  <c r="D283" i="25"/>
  <c r="E283" i="25" s="1"/>
  <c r="F283" i="25" s="1"/>
  <c r="D77" i="25"/>
  <c r="E77" i="25" s="1"/>
  <c r="F77" i="25" s="1"/>
  <c r="W77" i="25"/>
  <c r="W215" i="25"/>
  <c r="D215" i="25"/>
  <c r="E215" i="25" s="1"/>
  <c r="F215" i="25" s="1"/>
  <c r="D160" i="25"/>
  <c r="E160" i="25" s="1"/>
  <c r="F160" i="25" s="1"/>
  <c r="W160" i="25"/>
  <c r="W107" i="25"/>
  <c r="D107" i="25"/>
  <c r="E107" i="25" s="1"/>
  <c r="F107" i="25" s="1"/>
  <c r="D322" i="25"/>
  <c r="E322" i="25" s="1"/>
  <c r="F322" i="25" s="1"/>
  <c r="W322" i="25"/>
  <c r="W247" i="25"/>
  <c r="D247" i="25"/>
  <c r="E247" i="25" s="1"/>
  <c r="F247" i="25" s="1"/>
  <c r="AH78" i="7"/>
  <c r="V333" i="25"/>
  <c r="B333" i="25" s="1"/>
  <c r="D351" i="25"/>
  <c r="E351" i="25" s="1"/>
  <c r="F351" i="25" s="1"/>
  <c r="W351" i="25"/>
  <c r="W314" i="25"/>
  <c r="D314" i="25"/>
  <c r="E314" i="25" s="1"/>
  <c r="F314" i="25" s="1"/>
  <c r="W150" i="25"/>
  <c r="D150" i="25"/>
  <c r="E150" i="25" s="1"/>
  <c r="F150" i="25" s="1"/>
  <c r="W147" i="25"/>
  <c r="D147" i="25"/>
  <c r="E147" i="25" s="1"/>
  <c r="F147" i="25" s="1"/>
  <c r="D167" i="25"/>
  <c r="E167" i="25" s="1"/>
  <c r="F167" i="25" s="1"/>
  <c r="W167" i="25"/>
  <c r="D21" i="25"/>
  <c r="E21" i="25" s="1"/>
  <c r="F21" i="25" s="1"/>
  <c r="W21" i="25"/>
  <c r="D54" i="25"/>
  <c r="E54" i="25" s="1"/>
  <c r="F54" i="25" s="1"/>
  <c r="W54" i="25"/>
  <c r="W162" i="25"/>
  <c r="D162" i="25"/>
  <c r="E162" i="25" s="1"/>
  <c r="F162" i="25" s="1"/>
  <c r="W84" i="25"/>
  <c r="D84" i="25"/>
  <c r="E84" i="25" s="1"/>
  <c r="F84" i="25" s="1"/>
  <c r="W245" i="25"/>
  <c r="D245" i="25"/>
  <c r="E245" i="25" s="1"/>
  <c r="F245" i="25" s="1"/>
  <c r="D235" i="25"/>
  <c r="E235" i="25" s="1"/>
  <c r="F235" i="25" s="1"/>
  <c r="W235" i="25"/>
  <c r="W367" i="25"/>
  <c r="D367" i="25"/>
  <c r="E367" i="25" s="1"/>
  <c r="F367" i="25" s="1"/>
  <c r="D20" i="25"/>
  <c r="E20" i="25" s="1"/>
  <c r="F20" i="25" s="1"/>
  <c r="W20" i="25"/>
  <c r="W102" i="25"/>
  <c r="D102" i="25"/>
  <c r="E102" i="25" s="1"/>
  <c r="F102" i="25" s="1"/>
  <c r="D347" i="25"/>
  <c r="E347" i="25" s="1"/>
  <c r="F347" i="25" s="1"/>
  <c r="W347" i="25"/>
  <c r="W355" i="25"/>
  <c r="D355" i="25"/>
  <c r="E355" i="25" s="1"/>
  <c r="F355" i="25" s="1"/>
  <c r="W374" i="25"/>
  <c r="D374" i="25"/>
  <c r="E374" i="25" s="1"/>
  <c r="F374" i="25" s="1"/>
  <c r="D344" i="25"/>
  <c r="E344" i="25" s="1"/>
  <c r="F344" i="25" s="1"/>
  <c r="W344" i="25"/>
  <c r="D143" i="25"/>
  <c r="E143" i="25" s="1"/>
  <c r="F143" i="25" s="1"/>
  <c r="W143" i="25"/>
  <c r="W148" i="25"/>
  <c r="D148" i="25"/>
  <c r="E148" i="25" s="1"/>
  <c r="F148" i="25" s="1"/>
  <c r="W153" i="25"/>
  <c r="D153" i="25"/>
  <c r="E153" i="25" s="1"/>
  <c r="F153" i="25" s="1"/>
  <c r="D51" i="25"/>
  <c r="E51" i="25" s="1"/>
  <c r="F51" i="25" s="1"/>
  <c r="W51" i="25"/>
  <c r="D76" i="25"/>
  <c r="E76" i="25" s="1"/>
  <c r="F76" i="25" s="1"/>
  <c r="W76" i="25"/>
  <c r="D41" i="25"/>
  <c r="E41" i="25" s="1"/>
  <c r="F41" i="25" s="1"/>
  <c r="W41" i="25"/>
  <c r="W50" i="25"/>
  <c r="D50" i="25"/>
  <c r="E50" i="25" s="1"/>
  <c r="F50" i="25" s="1"/>
  <c r="D59" i="25"/>
  <c r="E59" i="25" s="1"/>
  <c r="F59" i="25" s="1"/>
  <c r="W59" i="25"/>
  <c r="D277" i="25"/>
  <c r="E277" i="25" s="1"/>
  <c r="F277" i="25" s="1"/>
  <c r="W277" i="25"/>
  <c r="D296" i="25"/>
  <c r="E296" i="25" s="1"/>
  <c r="F296" i="25" s="1"/>
  <c r="W296" i="25"/>
  <c r="W285" i="25"/>
  <c r="D285" i="25"/>
  <c r="E285" i="25" s="1"/>
  <c r="F285" i="25" s="1"/>
  <c r="W238" i="25"/>
  <c r="D238" i="25"/>
  <c r="E238" i="25" s="1"/>
  <c r="F238" i="25" s="1"/>
  <c r="W259" i="25"/>
  <c r="D259" i="25"/>
  <c r="E259" i="25" s="1"/>
  <c r="F259" i="25" s="1"/>
  <c r="D100" i="25"/>
  <c r="E100" i="25" s="1"/>
  <c r="F100" i="25" s="1"/>
  <c r="W100" i="25"/>
  <c r="D237" i="25"/>
  <c r="E237" i="25" s="1"/>
  <c r="F237" i="25" s="1"/>
  <c r="W237" i="25"/>
  <c r="D128" i="25"/>
  <c r="E128" i="25" s="1"/>
  <c r="F128" i="25" s="1"/>
  <c r="W128" i="25"/>
  <c r="W118" i="25"/>
  <c r="D118" i="25"/>
  <c r="E118" i="25" s="1"/>
  <c r="F118" i="25" s="1"/>
  <c r="W369" i="25"/>
  <c r="D369" i="25"/>
  <c r="E369" i="25" s="1"/>
  <c r="F369" i="25" s="1"/>
  <c r="W286" i="25"/>
  <c r="D286" i="25"/>
  <c r="E286" i="25" s="1"/>
  <c r="F286" i="25" s="1"/>
  <c r="W262" i="25"/>
  <c r="D262" i="25"/>
  <c r="E262" i="25" s="1"/>
  <c r="F262" i="25" s="1"/>
  <c r="W140" i="25"/>
  <c r="D140" i="25"/>
  <c r="E140" i="25" s="1"/>
  <c r="F140" i="25" s="1"/>
  <c r="D329" i="25"/>
  <c r="E329" i="25" s="1"/>
  <c r="F329" i="25" s="1"/>
  <c r="W329" i="25"/>
  <c r="AH383" i="25"/>
  <c r="AH382" i="25"/>
  <c r="AG15" i="25"/>
  <c r="AH381" i="25"/>
  <c r="AA341" i="25"/>
  <c r="Z341" i="25" s="1"/>
  <c r="Y341" i="25" s="1"/>
  <c r="H341" i="25"/>
  <c r="G341" i="25"/>
  <c r="CF341" i="6" s="1"/>
  <c r="AA40" i="25"/>
  <c r="Z40" i="25" s="1"/>
  <c r="Y40" i="25" s="1"/>
  <c r="H40" i="25"/>
  <c r="G40" i="25"/>
  <c r="CF40" i="6" s="1"/>
  <c r="G207" i="25"/>
  <c r="CF207" i="6" s="1"/>
  <c r="H207" i="25"/>
  <c r="AA207" i="25"/>
  <c r="Z207" i="25" s="1"/>
  <c r="Y207" i="25" s="1"/>
  <c r="H267" i="25"/>
  <c r="G267" i="25"/>
  <c r="CF267" i="6" s="1"/>
  <c r="AA267" i="25"/>
  <c r="Z267" i="25" s="1"/>
  <c r="Y267" i="25" s="1"/>
  <c r="W242" i="25"/>
  <c r="D242" i="25"/>
  <c r="E242" i="25" s="1"/>
  <c r="F242" i="25" s="1"/>
  <c r="D255" i="25"/>
  <c r="E255" i="25" s="1"/>
  <c r="F255" i="25" s="1"/>
  <c r="W255" i="25"/>
  <c r="AH72" i="7"/>
  <c r="V149" i="25"/>
  <c r="B149" i="25" s="1"/>
  <c r="D270" i="25"/>
  <c r="E270" i="25" s="1"/>
  <c r="F270" i="25" s="1"/>
  <c r="W270" i="25"/>
  <c r="D337" i="25"/>
  <c r="E337" i="25" s="1"/>
  <c r="F337" i="25" s="1"/>
  <c r="W337" i="25"/>
  <c r="W101" i="25"/>
  <c r="D101" i="25"/>
  <c r="E101" i="25" s="1"/>
  <c r="F101" i="25" s="1"/>
  <c r="W348" i="25"/>
  <c r="D348" i="25"/>
  <c r="E348" i="25" s="1"/>
  <c r="F348" i="25" s="1"/>
  <c r="W226" i="25"/>
  <c r="D226" i="25"/>
  <c r="E226" i="25" s="1"/>
  <c r="F226" i="25" s="1"/>
  <c r="W350" i="25"/>
  <c r="D350" i="25"/>
  <c r="E350" i="25" s="1"/>
  <c r="F350" i="25" s="1"/>
  <c r="D225" i="25"/>
  <c r="E225" i="25" s="1"/>
  <c r="F225" i="25" s="1"/>
  <c r="W225" i="25"/>
  <c r="W249" i="25"/>
  <c r="D249" i="25"/>
  <c r="E249" i="25" s="1"/>
  <c r="F249" i="25" s="1"/>
  <c r="W365" i="25"/>
  <c r="D365" i="25"/>
  <c r="E365" i="25" s="1"/>
  <c r="F365" i="25" s="1"/>
  <c r="G110" i="25"/>
  <c r="CF110" i="6" s="1"/>
  <c r="H110" i="25"/>
  <c r="AA110" i="25"/>
  <c r="Z110" i="25" s="1"/>
  <c r="Y110" i="25" s="1"/>
  <c r="W366" i="25"/>
  <c r="D366" i="25"/>
  <c r="E366" i="25" s="1"/>
  <c r="F366" i="25" s="1"/>
  <c r="D117" i="25"/>
  <c r="E117" i="25" s="1"/>
  <c r="F117" i="25" s="1"/>
  <c r="W117" i="25"/>
  <c r="W328" i="25"/>
  <c r="D328" i="25"/>
  <c r="E328" i="25" s="1"/>
  <c r="F328" i="25" s="1"/>
  <c r="W253" i="25"/>
  <c r="D253" i="25"/>
  <c r="E253" i="25" s="1"/>
  <c r="F253" i="25" s="1"/>
  <c r="W126" i="25"/>
  <c r="D126" i="25"/>
  <c r="E126" i="25" s="1"/>
  <c r="F126" i="25" s="1"/>
  <c r="D212" i="25"/>
  <c r="E212" i="25" s="1"/>
  <c r="F212" i="25" s="1"/>
  <c r="W212" i="25"/>
  <c r="H133" i="25"/>
  <c r="AA133" i="25"/>
  <c r="Z133" i="25" s="1"/>
  <c r="Y133" i="25" s="1"/>
  <c r="G133" i="25"/>
  <c r="CF133" i="6" s="1"/>
  <c r="D109" i="25"/>
  <c r="E109" i="25" s="1"/>
  <c r="F109" i="25" s="1"/>
  <c r="W109" i="25"/>
  <c r="D137" i="25"/>
  <c r="E137" i="25" s="1"/>
  <c r="F137" i="25" s="1"/>
  <c r="W137" i="25"/>
  <c r="W26" i="25"/>
  <c r="D26" i="25"/>
  <c r="E26" i="25" s="1"/>
  <c r="F26" i="25" s="1"/>
  <c r="W229" i="25"/>
  <c r="D229" i="25"/>
  <c r="E229" i="25" s="1"/>
  <c r="F229" i="25" s="1"/>
  <c r="D69" i="25"/>
  <c r="E69" i="25" s="1"/>
  <c r="F69" i="25" s="1"/>
  <c r="W69" i="25"/>
  <c r="W274" i="25"/>
  <c r="D274" i="25"/>
  <c r="E274" i="25" s="1"/>
  <c r="F274" i="25" s="1"/>
  <c r="D279" i="25"/>
  <c r="E279" i="25" s="1"/>
  <c r="F279" i="25" s="1"/>
  <c r="W279" i="25"/>
  <c r="D292" i="25"/>
  <c r="E292" i="25" s="1"/>
  <c r="F292" i="25" s="1"/>
  <c r="W292" i="25"/>
  <c r="D82" i="25"/>
  <c r="E82" i="25" s="1"/>
  <c r="F82" i="25" s="1"/>
  <c r="W82" i="25"/>
  <c r="D39" i="25"/>
  <c r="E39" i="25" s="1"/>
  <c r="F39" i="25" s="1"/>
  <c r="W39" i="25"/>
  <c r="W177" i="25"/>
  <c r="D177" i="25"/>
  <c r="E177" i="25" s="1"/>
  <c r="F177" i="25" s="1"/>
  <c r="AH77" i="7"/>
  <c r="V302" i="25"/>
  <c r="B302" i="25" s="1"/>
  <c r="D304" i="25"/>
  <c r="E304" i="25" s="1"/>
  <c r="F304" i="25" s="1"/>
  <c r="W304" i="25"/>
  <c r="D37" i="25"/>
  <c r="E37" i="25" s="1"/>
  <c r="F37" i="25" s="1"/>
  <c r="W37" i="25"/>
  <c r="W317" i="25"/>
  <c r="D317" i="25"/>
  <c r="E317" i="25" s="1"/>
  <c r="F317" i="25" s="1"/>
  <c r="W65" i="25"/>
  <c r="D65" i="25"/>
  <c r="E65" i="25" s="1"/>
  <c r="F65" i="25" s="1"/>
  <c r="D194" i="25"/>
  <c r="E194" i="25" s="1"/>
  <c r="F194" i="25" s="1"/>
  <c r="W194" i="25"/>
  <c r="D42" i="25"/>
  <c r="E42" i="25" s="1"/>
  <c r="F42" i="25" s="1"/>
  <c r="W42" i="25"/>
  <c r="D204" i="25"/>
  <c r="E204" i="25" s="1"/>
  <c r="F204" i="25" s="1"/>
  <c r="W204" i="25"/>
  <c r="D79" i="25"/>
  <c r="E79" i="25" s="1"/>
  <c r="F79" i="25" s="1"/>
  <c r="W79" i="25"/>
  <c r="D188" i="25"/>
  <c r="E188" i="25" s="1"/>
  <c r="F188" i="25" s="1"/>
  <c r="W188" i="25"/>
  <c r="W198" i="25"/>
  <c r="D198" i="25"/>
  <c r="E198" i="25" s="1"/>
  <c r="F198" i="25" s="1"/>
  <c r="D182" i="25"/>
  <c r="E182" i="25" s="1"/>
  <c r="F182" i="25" s="1"/>
  <c r="W182" i="25"/>
  <c r="W52" i="25"/>
  <c r="D52" i="25"/>
  <c r="E52" i="25" s="1"/>
  <c r="F52" i="25" s="1"/>
  <c r="W27" i="25"/>
  <c r="D27" i="25"/>
  <c r="E27" i="25" s="1"/>
  <c r="F27" i="25" s="1"/>
  <c r="W53" i="25"/>
  <c r="D53" i="25"/>
  <c r="E53" i="25" s="1"/>
  <c r="F53" i="25" s="1"/>
  <c r="D55" i="25"/>
  <c r="E55" i="25" s="1"/>
  <c r="F55" i="25" s="1"/>
  <c r="W55" i="25"/>
  <c r="W71" i="25"/>
  <c r="D71" i="25"/>
  <c r="E71" i="25" s="1"/>
  <c r="F71" i="25" s="1"/>
  <c r="D307" i="25"/>
  <c r="E307" i="25" s="1"/>
  <c r="F307" i="25" s="1"/>
  <c r="W307" i="25"/>
  <c r="W176" i="25"/>
  <c r="D176" i="25"/>
  <c r="E176" i="25" s="1"/>
  <c r="F176" i="25" s="1"/>
  <c r="D68" i="25"/>
  <c r="E68" i="25" s="1"/>
  <c r="F68" i="25" s="1"/>
  <c r="W68" i="25"/>
  <c r="G265" i="25"/>
  <c r="CF265" i="6" s="1"/>
  <c r="AA265" i="25"/>
  <c r="Z265" i="25" s="1"/>
  <c r="Y265" i="25" s="1"/>
  <c r="H265" i="25"/>
  <c r="V88" i="25"/>
  <c r="B88" i="25" s="1"/>
  <c r="AH70" i="7"/>
  <c r="W193" i="25"/>
  <c r="D193" i="25"/>
  <c r="E193" i="25" s="1"/>
  <c r="F193" i="25" s="1"/>
  <c r="W254" i="25"/>
  <c r="D254" i="25"/>
  <c r="E254" i="25" s="1"/>
  <c r="F254" i="25" s="1"/>
  <c r="W321" i="25"/>
  <c r="D321" i="25"/>
  <c r="E321" i="25" s="1"/>
  <c r="F321" i="25" s="1"/>
  <c r="W281" i="25"/>
  <c r="D281" i="25"/>
  <c r="E281" i="25" s="1"/>
  <c r="F281" i="25" s="1"/>
  <c r="W332" i="25"/>
  <c r="D332" i="25"/>
  <c r="E332" i="25" s="1"/>
  <c r="F332" i="25" s="1"/>
  <c r="D210" i="25"/>
  <c r="E210" i="25" s="1"/>
  <c r="F210" i="25" s="1"/>
  <c r="W210" i="25"/>
  <c r="W209" i="25"/>
  <c r="D209" i="25"/>
  <c r="E209" i="25" s="1"/>
  <c r="F209" i="25" s="1"/>
  <c r="D233" i="25"/>
  <c r="E233" i="25" s="1"/>
  <c r="F233" i="25" s="1"/>
  <c r="W233" i="25"/>
  <c r="D220" i="25"/>
  <c r="E220" i="25" s="1"/>
  <c r="F220" i="25" s="1"/>
  <c r="W220" i="25"/>
  <c r="W112" i="25"/>
  <c r="D112" i="25"/>
  <c r="E112" i="25" s="1"/>
  <c r="F112" i="25" s="1"/>
  <c r="D106" i="25"/>
  <c r="E106" i="25" s="1"/>
  <c r="F106" i="25" s="1"/>
  <c r="W106" i="25"/>
  <c r="D61" i="25"/>
  <c r="E61" i="25" s="1"/>
  <c r="F61" i="25" s="1"/>
  <c r="W61" i="25"/>
  <c r="W19" i="25"/>
  <c r="D19" i="25"/>
  <c r="E19" i="25" s="1"/>
  <c r="F19" i="25" s="1"/>
  <c r="D218" i="25"/>
  <c r="E218" i="25" s="1"/>
  <c r="F218" i="25" s="1"/>
  <c r="W218" i="25"/>
  <c r="W73" i="25"/>
  <c r="D73" i="25"/>
  <c r="E73" i="25" s="1"/>
  <c r="F73" i="25" s="1"/>
  <c r="D268" i="25"/>
  <c r="E268" i="25" s="1"/>
  <c r="F268" i="25" s="1"/>
  <c r="W268" i="25"/>
  <c r="W70" i="25"/>
  <c r="D70" i="25"/>
  <c r="E70" i="25" s="1"/>
  <c r="F70" i="25" s="1"/>
  <c r="D152" i="25"/>
  <c r="E152" i="25" s="1"/>
  <c r="F152" i="25" s="1"/>
  <c r="W152" i="25"/>
  <c r="W31" i="25"/>
  <c r="D31" i="25"/>
  <c r="E31" i="25" s="1"/>
  <c r="F31" i="25" s="1"/>
  <c r="D318" i="25"/>
  <c r="E318" i="25" s="1"/>
  <c r="F318" i="25" s="1"/>
  <c r="W318" i="25"/>
  <c r="S15" i="25"/>
  <c r="T382" i="25"/>
  <c r="T383" i="25"/>
  <c r="T381" i="25"/>
  <c r="D216" i="25"/>
  <c r="E216" i="25" s="1"/>
  <c r="F216" i="25" s="1"/>
  <c r="W216" i="25"/>
  <c r="D38" i="25"/>
  <c r="E38" i="25" s="1"/>
  <c r="F38" i="25" s="1"/>
  <c r="W38" i="25"/>
  <c r="W275" i="25"/>
  <c r="D275" i="25"/>
  <c r="E275" i="25" s="1"/>
  <c r="F275" i="25" s="1"/>
  <c r="W335" i="25"/>
  <c r="D335" i="25"/>
  <c r="E335" i="25" s="1"/>
  <c r="F335" i="25" s="1"/>
  <c r="V272" i="25"/>
  <c r="B272" i="25" s="1"/>
  <c r="AH76" i="7"/>
  <c r="W297" i="25"/>
  <c r="D297" i="25"/>
  <c r="E297" i="25" s="1"/>
  <c r="F297" i="25" s="1"/>
  <c r="B46" i="25"/>
  <c r="W142" i="25"/>
  <c r="D142" i="25"/>
  <c r="E142" i="25" s="1"/>
  <c r="F142" i="25" s="1"/>
  <c r="D213" i="25"/>
  <c r="E213" i="25" s="1"/>
  <c r="F213" i="25" s="1"/>
  <c r="W213" i="25"/>
  <c r="D131" i="25"/>
  <c r="E131" i="25" s="1"/>
  <c r="F131" i="25" s="1"/>
  <c r="W131" i="25"/>
  <c r="D57" i="25"/>
  <c r="E57" i="25" s="1"/>
  <c r="F57" i="25" s="1"/>
  <c r="W57" i="25"/>
  <c r="W145" i="25"/>
  <c r="D145" i="25"/>
  <c r="E145" i="25" s="1"/>
  <c r="F145" i="25" s="1"/>
  <c r="D66" i="25"/>
  <c r="E66" i="25" s="1"/>
  <c r="F66" i="25" s="1"/>
  <c r="W66" i="25"/>
  <c r="W170" i="25"/>
  <c r="D170" i="25"/>
  <c r="E170" i="25" s="1"/>
  <c r="F170" i="25" s="1"/>
  <c r="B74" i="25"/>
  <c r="W134" i="25"/>
  <c r="D134" i="25"/>
  <c r="E134" i="25" s="1"/>
  <c r="F134" i="25" s="1"/>
  <c r="W293" i="25"/>
  <c r="D293" i="25"/>
  <c r="E293" i="25" s="1"/>
  <c r="F293" i="25" s="1"/>
  <c r="W320" i="25"/>
  <c r="D320" i="25"/>
  <c r="E320" i="25" s="1"/>
  <c r="F320" i="25" s="1"/>
  <c r="W125" i="25"/>
  <c r="D125" i="25"/>
  <c r="E125" i="25" s="1"/>
  <c r="F125" i="25" s="1"/>
  <c r="W327" i="25"/>
  <c r="D327" i="25"/>
  <c r="E327" i="25" s="1"/>
  <c r="F327" i="25" s="1"/>
  <c r="D151" i="25"/>
  <c r="E151" i="25" s="1"/>
  <c r="F151" i="25" s="1"/>
  <c r="W151" i="25"/>
  <c r="W373" i="25"/>
  <c r="D373" i="25"/>
  <c r="E373" i="25" s="1"/>
  <c r="F373" i="25" s="1"/>
  <c r="H208" i="25"/>
  <c r="AA208" i="25"/>
  <c r="Z208" i="25" s="1"/>
  <c r="Y208" i="25" s="1"/>
  <c r="G208" i="25"/>
  <c r="CF208" i="6" s="1"/>
  <c r="W264" i="25"/>
  <c r="D264" i="25"/>
  <c r="E264" i="25" s="1"/>
  <c r="F264" i="25" s="1"/>
  <c r="D343" i="25"/>
  <c r="E343" i="25" s="1"/>
  <c r="F343" i="25" s="1"/>
  <c r="W343" i="25"/>
  <c r="V363" i="25"/>
  <c r="B363" i="25" s="1"/>
  <c r="AH79" i="7"/>
  <c r="W22" i="25"/>
  <c r="D22" i="25"/>
  <c r="E22" i="25" s="1"/>
  <c r="F22" i="25" s="1"/>
  <c r="D93" i="25"/>
  <c r="E93" i="25" s="1"/>
  <c r="F93" i="25" s="1"/>
  <c r="W93" i="25"/>
  <c r="W345" i="25"/>
  <c r="D345" i="25"/>
  <c r="E345" i="25" s="1"/>
  <c r="F345" i="25" s="1"/>
  <c r="D230" i="25"/>
  <c r="E230" i="25" s="1"/>
  <c r="F230" i="25" s="1"/>
  <c r="W230" i="25"/>
  <c r="S379" i="25"/>
  <c r="R379" i="25" s="1"/>
  <c r="P379" i="25" s="1"/>
  <c r="W161" i="25"/>
  <c r="D161" i="25"/>
  <c r="E161" i="25" s="1"/>
  <c r="F161" i="25" s="1"/>
  <c r="D361" i="25"/>
  <c r="E361" i="25" s="1"/>
  <c r="F361" i="25" s="1"/>
  <c r="W361" i="25"/>
  <c r="D17" i="25"/>
  <c r="E17" i="25" s="1"/>
  <c r="F17" i="25" s="1"/>
  <c r="W17" i="25"/>
  <c r="W336" i="25"/>
  <c r="D336" i="25"/>
  <c r="E336" i="25" s="1"/>
  <c r="F336" i="25" s="1"/>
  <c r="B105" i="25"/>
  <c r="W261" i="25"/>
  <c r="D261" i="25"/>
  <c r="E261" i="25" s="1"/>
  <c r="F261" i="25" s="1"/>
  <c r="W30" i="25"/>
  <c r="D30" i="25"/>
  <c r="E30" i="25" s="1"/>
  <c r="F30" i="25" s="1"/>
  <c r="D87" i="25"/>
  <c r="E87" i="25" s="1"/>
  <c r="F87" i="25" s="1"/>
  <c r="W87" i="25"/>
  <c r="D179" i="25"/>
  <c r="E179" i="25" s="1"/>
  <c r="F179" i="25" s="1"/>
  <c r="W179" i="25"/>
  <c r="D273" i="25"/>
  <c r="E273" i="25" s="1"/>
  <c r="F273" i="25" s="1"/>
  <c r="W273" i="25"/>
  <c r="W201" i="25"/>
  <c r="D201" i="25"/>
  <c r="E201" i="25" s="1"/>
  <c r="F201" i="25" s="1"/>
  <c r="D278" i="25"/>
  <c r="E278" i="25" s="1"/>
  <c r="F278" i="25" s="1"/>
  <c r="W278" i="25"/>
  <c r="W169" i="25"/>
  <c r="D169" i="25"/>
  <c r="E169" i="25" s="1"/>
  <c r="F169" i="25" s="1"/>
  <c r="D324" i="25"/>
  <c r="E324" i="25" s="1"/>
  <c r="F324" i="25" s="1"/>
  <c r="W324" i="25"/>
  <c r="B289" i="25"/>
  <c r="K70" i="19"/>
  <c r="D45" i="25"/>
  <c r="E45" i="25" s="1"/>
  <c r="F45" i="25" s="1"/>
  <c r="W45" i="25"/>
  <c r="D294" i="25"/>
  <c r="E294" i="25" s="1"/>
  <c r="F294" i="25" s="1"/>
  <c r="W294" i="25"/>
  <c r="D232" i="25"/>
  <c r="E232" i="25" s="1"/>
  <c r="F232" i="25" s="1"/>
  <c r="W232" i="25"/>
  <c r="D72" i="25"/>
  <c r="E72" i="25" s="1"/>
  <c r="F72" i="25" s="1"/>
  <c r="W72" i="25"/>
  <c r="W257" i="25"/>
  <c r="D257" i="25"/>
  <c r="E257" i="25" s="1"/>
  <c r="F257" i="25" s="1"/>
  <c r="W323" i="25"/>
  <c r="D323" i="25"/>
  <c r="E323" i="25" s="1"/>
  <c r="F323" i="25" s="1"/>
  <c r="W155" i="25"/>
  <c r="D155" i="25"/>
  <c r="E155" i="25" s="1"/>
  <c r="F155" i="25" s="1"/>
  <c r="D90" i="25"/>
  <c r="E90" i="25" s="1"/>
  <c r="F90" i="25" s="1"/>
  <c r="W90" i="25"/>
  <c r="W250" i="25"/>
  <c r="D250" i="25"/>
  <c r="E250" i="25" s="1"/>
  <c r="F250" i="25" s="1"/>
  <c r="D284" i="25"/>
  <c r="E284" i="25" s="1"/>
  <c r="F284" i="25" s="1"/>
  <c r="W284" i="25"/>
  <c r="W211" i="25"/>
  <c r="D211" i="25"/>
  <c r="E211" i="25" s="1"/>
  <c r="F211" i="25" s="1"/>
  <c r="D239" i="25"/>
  <c r="E239" i="25" s="1"/>
  <c r="F239" i="25" s="1"/>
  <c r="W239" i="25"/>
  <c r="W342" i="25"/>
  <c r="D342" i="25"/>
  <c r="E342" i="25" s="1"/>
  <c r="F342" i="25" s="1"/>
  <c r="W266" i="25"/>
  <c r="D266" i="25"/>
  <c r="E266" i="25" s="1"/>
  <c r="F266" i="25" s="1"/>
  <c r="W356" i="25"/>
  <c r="D356" i="25"/>
  <c r="E356" i="25" s="1"/>
  <c r="F356" i="25" s="1"/>
  <c r="B227" i="25"/>
  <c r="D32" i="25"/>
  <c r="E32" i="25" s="1"/>
  <c r="F32" i="25" s="1"/>
  <c r="W32" i="25"/>
  <c r="D231" i="25"/>
  <c r="E231" i="25" s="1"/>
  <c r="F231" i="25" s="1"/>
  <c r="W231" i="25"/>
  <c r="W219" i="25"/>
  <c r="D219" i="25"/>
  <c r="E219" i="25" s="1"/>
  <c r="F219" i="25" s="1"/>
  <c r="W244" i="25"/>
  <c r="D244" i="25"/>
  <c r="E244" i="25" s="1"/>
  <c r="F244" i="25" s="1"/>
  <c r="AH71" i="7"/>
  <c r="V119" i="25"/>
  <c r="B119" i="25" s="1"/>
  <c r="W98" i="25"/>
  <c r="D98" i="25"/>
  <c r="E98" i="25" s="1"/>
  <c r="F98" i="25" s="1"/>
  <c r="W114" i="25"/>
  <c r="D114" i="25"/>
  <c r="E114" i="25" s="1"/>
  <c r="F114" i="25" s="1"/>
  <c r="W362" i="25"/>
  <c r="D362" i="25"/>
  <c r="E362" i="25" s="1"/>
  <c r="F362" i="25" s="1"/>
  <c r="W260" i="25"/>
  <c r="D260" i="25"/>
  <c r="E260" i="25" s="1"/>
  <c r="F260" i="25" s="1"/>
  <c r="AA115" i="25"/>
  <c r="Z115" i="25" s="1"/>
  <c r="Y115" i="25" s="1"/>
  <c r="H115" i="25"/>
  <c r="G115" i="25"/>
  <c r="CF115" i="6" s="1"/>
  <c r="W368" i="25"/>
  <c r="D368" i="25"/>
  <c r="E368" i="25" s="1"/>
  <c r="F368" i="25" s="1"/>
  <c r="W159" i="25"/>
  <c r="D159" i="25"/>
  <c r="E159" i="25" s="1"/>
  <c r="F159" i="25" s="1"/>
  <c r="W243" i="25"/>
  <c r="D243" i="25"/>
  <c r="E243" i="25" s="1"/>
  <c r="F243" i="25" s="1"/>
  <c r="D240" i="25"/>
  <c r="E240" i="25" s="1"/>
  <c r="F240" i="25" s="1"/>
  <c r="W240" i="25"/>
  <c r="W83" i="25"/>
  <c r="D83" i="25"/>
  <c r="E83" i="25" s="1"/>
  <c r="F83" i="25" s="1"/>
  <c r="D81" i="25"/>
  <c r="E81" i="25" s="1"/>
  <c r="F81" i="25" s="1"/>
  <c r="W81" i="25"/>
  <c r="D203" i="25"/>
  <c r="E203" i="25" s="1"/>
  <c r="F203" i="25" s="1"/>
  <c r="W203" i="25"/>
  <c r="D300" i="25"/>
  <c r="E300" i="25" s="1"/>
  <c r="F300" i="25" s="1"/>
  <c r="W300" i="25"/>
  <c r="W290" i="25"/>
  <c r="D290" i="25"/>
  <c r="E290" i="25" s="1"/>
  <c r="F290" i="25" s="1"/>
  <c r="B319" i="25"/>
  <c r="D295" i="25"/>
  <c r="E295" i="25" s="1"/>
  <c r="F295" i="25" s="1"/>
  <c r="W295" i="25"/>
  <c r="W282" i="25"/>
  <c r="D282" i="25"/>
  <c r="E282" i="25" s="1"/>
  <c r="F282" i="25" s="1"/>
  <c r="W308" i="25"/>
  <c r="D308" i="25"/>
  <c r="E308" i="25" s="1"/>
  <c r="F308" i="25" s="1"/>
  <c r="V180" i="25"/>
  <c r="B180" i="25" s="1"/>
  <c r="AH73" i="7"/>
  <c r="D271" i="25"/>
  <c r="E271" i="25" s="1"/>
  <c r="F271" i="25" s="1"/>
  <c r="W271" i="25"/>
  <c r="D181" i="25"/>
  <c r="E181" i="25" s="1"/>
  <c r="F181" i="25" s="1"/>
  <c r="W181" i="25"/>
  <c r="D298" i="25"/>
  <c r="E298" i="25" s="1"/>
  <c r="F298" i="25" s="1"/>
  <c r="W298" i="25"/>
  <c r="W197" i="25"/>
  <c r="D197" i="25"/>
  <c r="E197" i="25" s="1"/>
  <c r="F197" i="25" s="1"/>
  <c r="D116" i="25"/>
  <c r="E116" i="25" s="1"/>
  <c r="F116" i="25" s="1"/>
  <c r="W116" i="25"/>
  <c r="D164" i="25"/>
  <c r="E164" i="25" s="1"/>
  <c r="F164" i="25" s="1"/>
  <c r="W164" i="25"/>
  <c r="W312" i="25"/>
  <c r="D312" i="25"/>
  <c r="E312" i="25" s="1"/>
  <c r="F312" i="25" s="1"/>
  <c r="D187" i="25"/>
  <c r="E187" i="25" s="1"/>
  <c r="F187" i="25" s="1"/>
  <c r="W187" i="25"/>
  <c r="D178" i="25"/>
  <c r="E178" i="25" s="1"/>
  <c r="F178" i="25" s="1"/>
  <c r="W178" i="25"/>
  <c r="W49" i="25"/>
  <c r="D49" i="25"/>
  <c r="E49" i="25" s="1"/>
  <c r="F49" i="25" s="1"/>
  <c r="W154" i="25"/>
  <c r="D154" i="25"/>
  <c r="E154" i="25" s="1"/>
  <c r="F154" i="25" s="1"/>
  <c r="W141" i="25"/>
  <c r="D141" i="25"/>
  <c r="E141" i="25" s="1"/>
  <c r="F141" i="25" s="1"/>
  <c r="AA63" i="25"/>
  <c r="Z63" i="25" s="1"/>
  <c r="Y63" i="25" s="1"/>
  <c r="G63" i="25"/>
  <c r="CF63" i="6" s="1"/>
  <c r="H63" i="25"/>
  <c r="H378" i="25"/>
  <c r="G378" i="25"/>
  <c r="CF378" i="6" s="1"/>
  <c r="AA378" i="25"/>
  <c r="Z378" i="25" s="1"/>
  <c r="Y378" i="25" s="1"/>
  <c r="H99" i="25"/>
  <c r="G99" i="25"/>
  <c r="CF99" i="6" s="1"/>
  <c r="AA99" i="25"/>
  <c r="Z99" i="25" s="1"/>
  <c r="Y99" i="25" s="1"/>
  <c r="B166" i="25"/>
  <c r="G70" i="19"/>
  <c r="W338" i="25"/>
  <c r="D338" i="25"/>
  <c r="E338" i="25" s="1"/>
  <c r="F338" i="25" s="1"/>
  <c r="D29" i="25"/>
  <c r="E29" i="25" s="1"/>
  <c r="F29" i="25" s="1"/>
  <c r="W29" i="25"/>
  <c r="H183" i="25"/>
  <c r="G183" i="25"/>
  <c r="CF183" i="6" s="1"/>
  <c r="AA183" i="25"/>
  <c r="Z183" i="25" s="1"/>
  <c r="Y183" i="25" s="1"/>
  <c r="AA92" i="25"/>
  <c r="Z92" i="25" s="1"/>
  <c r="Y92" i="25" s="1"/>
  <c r="H92" i="25"/>
  <c r="G92" i="25"/>
  <c r="CF92" i="6" s="1"/>
  <c r="AA25" i="25"/>
  <c r="Z25" i="25" s="1"/>
  <c r="Y25" i="25" s="1"/>
  <c r="H25" i="25"/>
  <c r="G25" i="25"/>
  <c r="CF25" i="6" s="1"/>
  <c r="H186" i="25"/>
  <c r="AA186" i="25"/>
  <c r="Z186" i="25" s="1"/>
  <c r="Y186" i="25" s="1"/>
  <c r="G186" i="25"/>
  <c r="CF186" i="6" s="1"/>
  <c r="H34" i="25"/>
  <c r="AA34" i="25"/>
  <c r="Z34" i="25" s="1"/>
  <c r="Y34" i="25" s="1"/>
  <c r="G34" i="25"/>
  <c r="CF34" i="6" s="1"/>
  <c r="H95" i="25"/>
  <c r="AA95" i="25"/>
  <c r="Z95" i="25" s="1"/>
  <c r="Y95" i="25" s="1"/>
  <c r="G95" i="25"/>
  <c r="CF95" i="6" s="1"/>
  <c r="G371" i="25"/>
  <c r="CF371" i="6" s="1"/>
  <c r="AA371" i="25"/>
  <c r="Z371" i="25" s="1"/>
  <c r="Y371" i="25" s="1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E16" i="19"/>
  <c r="F16" i="19" s="1"/>
  <c r="I39" i="19"/>
  <c r="V18" i="24"/>
  <c r="P383" i="24"/>
  <c r="P382" i="24"/>
  <c r="P381" i="24"/>
  <c r="AJ7" i="23"/>
  <c r="AJ8" i="23"/>
  <c r="D381" i="23"/>
  <c r="D9" i="23"/>
  <c r="D11" i="23" s="1"/>
  <c r="D383" i="23"/>
  <c r="D382" i="23"/>
  <c r="E15" i="23"/>
  <c r="J15" i="22"/>
  <c r="I15" i="22"/>
  <c r="F11" i="22"/>
  <c r="G17" i="19"/>
  <c r="J41" i="19" s="1"/>
  <c r="AB9" i="22"/>
  <c r="G382" i="22"/>
  <c r="G383" i="22"/>
  <c r="G12" i="22" s="1"/>
  <c r="G381" i="22"/>
  <c r="AA383" i="22"/>
  <c r="AM8" i="22"/>
  <c r="AA382" i="22"/>
  <c r="AA9" i="22"/>
  <c r="Z15" i="22"/>
  <c r="AA381" i="22"/>
  <c r="AL10" i="22"/>
  <c r="D12" i="6"/>
  <c r="D13" i="6"/>
  <c r="Y381" i="20"/>
  <c r="Y382" i="20"/>
  <c r="X9" i="20"/>
  <c r="AL6" i="20"/>
  <c r="AL12" i="20" s="1"/>
  <c r="AJ4" i="20" s="1"/>
  <c r="P16" i="19" s="1"/>
  <c r="Y383" i="20"/>
  <c r="AM6" i="20"/>
  <c r="AM12" i="20" s="1"/>
  <c r="AK5" i="24"/>
  <c r="AM5" i="22"/>
  <c r="AM11" i="22" s="1"/>
  <c r="AK3" i="22" s="1"/>
  <c r="Q17" i="19" s="1"/>
  <c r="W15" i="24"/>
  <c r="D15" i="24"/>
  <c r="J288" i="25"/>
  <c r="I288" i="25"/>
  <c r="I108" i="25"/>
  <c r="J108" i="25"/>
  <c r="I353" i="25"/>
  <c r="J353" i="25"/>
  <c r="J236" i="25"/>
  <c r="I236" i="25"/>
  <c r="AJ9" i="23" l="1"/>
  <c r="AJ11" i="23" s="1"/>
  <c r="AK7" i="23"/>
  <c r="I70" i="19"/>
  <c r="I58" i="19" s="1"/>
  <c r="L70" i="19"/>
  <c r="L59" i="19" s="1"/>
  <c r="D70" i="19"/>
  <c r="D57" i="19" s="1"/>
  <c r="C70" i="19"/>
  <c r="C59" i="19" s="1"/>
  <c r="J95" i="25"/>
  <c r="I95" i="25"/>
  <c r="I186" i="25"/>
  <c r="J186" i="25"/>
  <c r="J25" i="25"/>
  <c r="I25" i="25"/>
  <c r="G338" i="25"/>
  <c r="CF338" i="6" s="1"/>
  <c r="AA338" i="25"/>
  <c r="Z338" i="25" s="1"/>
  <c r="Y338" i="25" s="1"/>
  <c r="H338" i="25"/>
  <c r="G59" i="19"/>
  <c r="G58" i="19"/>
  <c r="G57" i="19"/>
  <c r="I99" i="25"/>
  <c r="J99" i="25"/>
  <c r="J63" i="25"/>
  <c r="I63" i="25"/>
  <c r="AA178" i="25"/>
  <c r="Z178" i="25" s="1"/>
  <c r="Y178" i="25" s="1"/>
  <c r="G178" i="25"/>
  <c r="CF178" i="6" s="1"/>
  <c r="H178" i="25"/>
  <c r="AA187" i="25"/>
  <c r="Z187" i="25" s="1"/>
  <c r="Y187" i="25" s="1"/>
  <c r="G187" i="25"/>
  <c r="CF187" i="6" s="1"/>
  <c r="H187" i="25"/>
  <c r="AA164" i="25"/>
  <c r="Z164" i="25" s="1"/>
  <c r="Y164" i="25" s="1"/>
  <c r="G164" i="25"/>
  <c r="CF164" i="6" s="1"/>
  <c r="H164" i="25"/>
  <c r="AA116" i="25"/>
  <c r="Z116" i="25" s="1"/>
  <c r="Y116" i="25" s="1"/>
  <c r="G116" i="25"/>
  <c r="CF116" i="6" s="1"/>
  <c r="H116" i="25"/>
  <c r="G298" i="25"/>
  <c r="CF298" i="6" s="1"/>
  <c r="H298" i="25"/>
  <c r="AA298" i="25"/>
  <c r="Z298" i="25" s="1"/>
  <c r="Y298" i="25" s="1"/>
  <c r="AA181" i="25"/>
  <c r="Z181" i="25" s="1"/>
  <c r="Y181" i="25" s="1"/>
  <c r="H181" i="25"/>
  <c r="G181" i="25"/>
  <c r="CF181" i="6" s="1"/>
  <c r="G271" i="25"/>
  <c r="CF271" i="6" s="1"/>
  <c r="H271" i="25"/>
  <c r="AA271" i="25"/>
  <c r="Z271" i="25" s="1"/>
  <c r="Y271" i="25" s="1"/>
  <c r="D180" i="25"/>
  <c r="E180" i="25" s="1"/>
  <c r="F180" i="25" s="1"/>
  <c r="W180" i="25"/>
  <c r="G295" i="25"/>
  <c r="CF295" i="6" s="1"/>
  <c r="H295" i="25"/>
  <c r="AA295" i="25"/>
  <c r="Z295" i="25" s="1"/>
  <c r="Y295" i="25" s="1"/>
  <c r="D319" i="25"/>
  <c r="E319" i="25" s="1"/>
  <c r="F319" i="25" s="1"/>
  <c r="W319" i="25"/>
  <c r="AA300" i="25"/>
  <c r="Z300" i="25" s="1"/>
  <c r="Y300" i="25" s="1"/>
  <c r="H300" i="25"/>
  <c r="G300" i="25"/>
  <c r="CF300" i="6" s="1"/>
  <c r="G203" i="25"/>
  <c r="CF203" i="6" s="1"/>
  <c r="H203" i="25"/>
  <c r="AA203" i="25"/>
  <c r="Z203" i="25" s="1"/>
  <c r="Y203" i="25" s="1"/>
  <c r="G81" i="25"/>
  <c r="CF81" i="6" s="1"/>
  <c r="AA81" i="25"/>
  <c r="Z81" i="25" s="1"/>
  <c r="Y81" i="25" s="1"/>
  <c r="H81" i="25"/>
  <c r="AA240" i="25"/>
  <c r="Z240" i="25" s="1"/>
  <c r="Y240" i="25" s="1"/>
  <c r="H240" i="25"/>
  <c r="G240" i="25"/>
  <c r="CF240" i="6" s="1"/>
  <c r="I115" i="25"/>
  <c r="J115" i="25"/>
  <c r="AA260" i="25"/>
  <c r="Z260" i="25" s="1"/>
  <c r="Y260" i="25" s="1"/>
  <c r="H260" i="25"/>
  <c r="G260" i="25"/>
  <c r="CF260" i="6" s="1"/>
  <c r="AA362" i="25"/>
  <c r="Z362" i="25" s="1"/>
  <c r="Y362" i="25" s="1"/>
  <c r="H362" i="25"/>
  <c r="G362" i="25"/>
  <c r="CF362" i="6" s="1"/>
  <c r="AA114" i="25"/>
  <c r="Z114" i="25" s="1"/>
  <c r="Y114" i="25" s="1"/>
  <c r="G114" i="25"/>
  <c r="CF114" i="6" s="1"/>
  <c r="H114" i="25"/>
  <c r="AA98" i="25"/>
  <c r="Z98" i="25" s="1"/>
  <c r="Y98" i="25" s="1"/>
  <c r="G98" i="25"/>
  <c r="CF98" i="6" s="1"/>
  <c r="H98" i="25"/>
  <c r="W119" i="25"/>
  <c r="D119" i="25"/>
  <c r="E119" i="25" s="1"/>
  <c r="F119" i="25" s="1"/>
  <c r="AA244" i="25"/>
  <c r="Z244" i="25" s="1"/>
  <c r="Y244" i="25" s="1"/>
  <c r="G244" i="25"/>
  <c r="CF244" i="6" s="1"/>
  <c r="H244" i="25"/>
  <c r="AA219" i="25"/>
  <c r="Z219" i="25" s="1"/>
  <c r="Y219" i="25" s="1"/>
  <c r="G219" i="25"/>
  <c r="CF219" i="6" s="1"/>
  <c r="H219" i="25"/>
  <c r="I57" i="19"/>
  <c r="AA356" i="25"/>
  <c r="Z356" i="25" s="1"/>
  <c r="Y356" i="25" s="1"/>
  <c r="G356" i="25"/>
  <c r="CF356" i="6" s="1"/>
  <c r="H356" i="25"/>
  <c r="G266" i="25"/>
  <c r="CF266" i="6" s="1"/>
  <c r="AA266" i="25"/>
  <c r="Z266" i="25" s="1"/>
  <c r="Y266" i="25" s="1"/>
  <c r="H266" i="25"/>
  <c r="AA342" i="25"/>
  <c r="Z342" i="25" s="1"/>
  <c r="Y342" i="25" s="1"/>
  <c r="G342" i="25"/>
  <c r="CF342" i="6" s="1"/>
  <c r="H342" i="25"/>
  <c r="AA211" i="25"/>
  <c r="Z211" i="25" s="1"/>
  <c r="Y211" i="25" s="1"/>
  <c r="G211" i="25"/>
  <c r="CF211" i="6" s="1"/>
  <c r="H211" i="25"/>
  <c r="G250" i="25"/>
  <c r="CF250" i="6" s="1"/>
  <c r="AA250" i="25"/>
  <c r="Z250" i="25" s="1"/>
  <c r="Y250" i="25" s="1"/>
  <c r="H250" i="25"/>
  <c r="G155" i="25"/>
  <c r="CF155" i="6" s="1"/>
  <c r="AA155" i="25"/>
  <c r="Z155" i="25" s="1"/>
  <c r="Y155" i="25" s="1"/>
  <c r="H155" i="25"/>
  <c r="G323" i="25"/>
  <c r="CF323" i="6" s="1"/>
  <c r="H323" i="25"/>
  <c r="AA323" i="25"/>
  <c r="Z323" i="25" s="1"/>
  <c r="Y323" i="25" s="1"/>
  <c r="G257" i="25"/>
  <c r="CF257" i="6" s="1"/>
  <c r="AA257" i="25"/>
  <c r="Z257" i="25" s="1"/>
  <c r="Y257" i="25" s="1"/>
  <c r="H257" i="25"/>
  <c r="K58" i="19"/>
  <c r="K59" i="19"/>
  <c r="K57" i="19"/>
  <c r="AA169" i="25"/>
  <c r="Z169" i="25" s="1"/>
  <c r="Y169" i="25" s="1"/>
  <c r="G169" i="25"/>
  <c r="CF169" i="6" s="1"/>
  <c r="H169" i="25"/>
  <c r="G201" i="25"/>
  <c r="CF201" i="6" s="1"/>
  <c r="AA201" i="25"/>
  <c r="Z201" i="25" s="1"/>
  <c r="Y201" i="25" s="1"/>
  <c r="H201" i="25"/>
  <c r="AA30" i="25"/>
  <c r="Z30" i="25" s="1"/>
  <c r="Y30" i="25" s="1"/>
  <c r="G30" i="25"/>
  <c r="CF30" i="6" s="1"/>
  <c r="H30" i="25"/>
  <c r="AA261" i="25"/>
  <c r="Z261" i="25" s="1"/>
  <c r="Y261" i="25" s="1"/>
  <c r="G261" i="25"/>
  <c r="CF261" i="6" s="1"/>
  <c r="H261" i="25"/>
  <c r="E70" i="19"/>
  <c r="H336" i="25"/>
  <c r="AA336" i="25"/>
  <c r="Z336" i="25" s="1"/>
  <c r="Y336" i="25" s="1"/>
  <c r="G336" i="25"/>
  <c r="CF336" i="6" s="1"/>
  <c r="G161" i="25"/>
  <c r="CF161" i="6" s="1"/>
  <c r="H161" i="25"/>
  <c r="AA161" i="25"/>
  <c r="Z161" i="25" s="1"/>
  <c r="Y161" i="25" s="1"/>
  <c r="V379" i="25"/>
  <c r="B379" i="25" s="1"/>
  <c r="D44" i="19"/>
  <c r="D33" i="19" s="1"/>
  <c r="AA345" i="25"/>
  <c r="Z345" i="25" s="1"/>
  <c r="Y345" i="25" s="1"/>
  <c r="G345" i="25"/>
  <c r="CF345" i="6" s="1"/>
  <c r="H345" i="25"/>
  <c r="G22" i="25"/>
  <c r="CF22" i="6" s="1"/>
  <c r="AA22" i="25"/>
  <c r="Z22" i="25" s="1"/>
  <c r="Y22" i="25" s="1"/>
  <c r="H22" i="25"/>
  <c r="AA264" i="25"/>
  <c r="Z264" i="25" s="1"/>
  <c r="Y264" i="25" s="1"/>
  <c r="G264" i="25"/>
  <c r="CF264" i="6" s="1"/>
  <c r="H264" i="25"/>
  <c r="I208" i="25"/>
  <c r="J208" i="25"/>
  <c r="G151" i="25"/>
  <c r="CF151" i="6" s="1"/>
  <c r="AA151" i="25"/>
  <c r="Z151" i="25" s="1"/>
  <c r="Y151" i="25" s="1"/>
  <c r="H151" i="25"/>
  <c r="W74" i="25"/>
  <c r="D74" i="25"/>
  <c r="E74" i="25" s="1"/>
  <c r="F74" i="25" s="1"/>
  <c r="G66" i="25"/>
  <c r="CF66" i="6" s="1"/>
  <c r="AA66" i="25"/>
  <c r="Z66" i="25" s="1"/>
  <c r="Y66" i="25" s="1"/>
  <c r="H66" i="25"/>
  <c r="G57" i="25"/>
  <c r="CF57" i="6" s="1"/>
  <c r="AA57" i="25"/>
  <c r="Z57" i="25" s="1"/>
  <c r="Y57" i="25" s="1"/>
  <c r="H57" i="25"/>
  <c r="AA131" i="25"/>
  <c r="Z131" i="25" s="1"/>
  <c r="Y131" i="25" s="1"/>
  <c r="H131" i="25"/>
  <c r="G131" i="25"/>
  <c r="CF131" i="6" s="1"/>
  <c r="AA213" i="25"/>
  <c r="Z213" i="25" s="1"/>
  <c r="Y213" i="25" s="1"/>
  <c r="G213" i="25"/>
  <c r="CF213" i="6" s="1"/>
  <c r="H213" i="25"/>
  <c r="D46" i="25"/>
  <c r="E46" i="25" s="1"/>
  <c r="F46" i="25" s="1"/>
  <c r="W46" i="25"/>
  <c r="D272" i="25"/>
  <c r="E272" i="25" s="1"/>
  <c r="F272" i="25" s="1"/>
  <c r="W272" i="25"/>
  <c r="AA38" i="25"/>
  <c r="Z38" i="25" s="1"/>
  <c r="Y38" i="25" s="1"/>
  <c r="G38" i="25"/>
  <c r="CF38" i="6" s="1"/>
  <c r="H38" i="25"/>
  <c r="AA216" i="25"/>
  <c r="Z216" i="25" s="1"/>
  <c r="Y216" i="25" s="1"/>
  <c r="G216" i="25"/>
  <c r="CF216" i="6" s="1"/>
  <c r="H216" i="25"/>
  <c r="S383" i="25"/>
  <c r="S382" i="25"/>
  <c r="S381" i="25"/>
  <c r="R15" i="25"/>
  <c r="AA318" i="25"/>
  <c r="Z318" i="25" s="1"/>
  <c r="Y318" i="25" s="1"/>
  <c r="G318" i="25"/>
  <c r="CF318" i="6" s="1"/>
  <c r="H318" i="25"/>
  <c r="G152" i="25"/>
  <c r="CF152" i="6" s="1"/>
  <c r="H152" i="25"/>
  <c r="AA152" i="25"/>
  <c r="Z152" i="25" s="1"/>
  <c r="Y152" i="25" s="1"/>
  <c r="AA268" i="25"/>
  <c r="Z268" i="25" s="1"/>
  <c r="Y268" i="25" s="1"/>
  <c r="G268" i="25"/>
  <c r="CF268" i="6" s="1"/>
  <c r="H268" i="25"/>
  <c r="AA218" i="25"/>
  <c r="Z218" i="25" s="1"/>
  <c r="Y218" i="25" s="1"/>
  <c r="G218" i="25"/>
  <c r="CF218" i="6" s="1"/>
  <c r="H218" i="25"/>
  <c r="G61" i="25"/>
  <c r="CF61" i="6" s="1"/>
  <c r="AA61" i="25"/>
  <c r="Z61" i="25" s="1"/>
  <c r="Y61" i="25" s="1"/>
  <c r="H61" i="25"/>
  <c r="AA106" i="25"/>
  <c r="Z106" i="25" s="1"/>
  <c r="Y106" i="25" s="1"/>
  <c r="G106" i="25"/>
  <c r="CF106" i="6" s="1"/>
  <c r="H106" i="25"/>
  <c r="G220" i="25"/>
  <c r="CF220" i="6" s="1"/>
  <c r="AA220" i="25"/>
  <c r="Z220" i="25" s="1"/>
  <c r="Y220" i="25" s="1"/>
  <c r="H220" i="25"/>
  <c r="AA233" i="25"/>
  <c r="Z233" i="25" s="1"/>
  <c r="Y233" i="25" s="1"/>
  <c r="G233" i="25"/>
  <c r="CF233" i="6" s="1"/>
  <c r="H233" i="25"/>
  <c r="AA210" i="25"/>
  <c r="Z210" i="25" s="1"/>
  <c r="Y210" i="25" s="1"/>
  <c r="H210" i="25"/>
  <c r="G210" i="25"/>
  <c r="CF210" i="6" s="1"/>
  <c r="W88" i="25"/>
  <c r="D88" i="25"/>
  <c r="E88" i="25" s="1"/>
  <c r="F88" i="25" s="1"/>
  <c r="G176" i="25"/>
  <c r="CF176" i="6" s="1"/>
  <c r="H176" i="25"/>
  <c r="AA176" i="25"/>
  <c r="Z176" i="25" s="1"/>
  <c r="Y176" i="25" s="1"/>
  <c r="G71" i="25"/>
  <c r="CF71" i="6" s="1"/>
  <c r="AA71" i="25"/>
  <c r="Z71" i="25" s="1"/>
  <c r="Y71" i="25" s="1"/>
  <c r="H71" i="25"/>
  <c r="H53" i="25"/>
  <c r="G53" i="25"/>
  <c r="CF53" i="6" s="1"/>
  <c r="AA53" i="25"/>
  <c r="Z53" i="25" s="1"/>
  <c r="Y53" i="25" s="1"/>
  <c r="AA27" i="25"/>
  <c r="Z27" i="25" s="1"/>
  <c r="Y27" i="25" s="1"/>
  <c r="H27" i="25"/>
  <c r="G27" i="25"/>
  <c r="CF27" i="6" s="1"/>
  <c r="G52" i="25"/>
  <c r="CF52" i="6" s="1"/>
  <c r="AA52" i="25"/>
  <c r="Z52" i="25" s="1"/>
  <c r="Y52" i="25" s="1"/>
  <c r="H52" i="25"/>
  <c r="G198" i="25"/>
  <c r="CF198" i="6" s="1"/>
  <c r="H198" i="25"/>
  <c r="AA198" i="25"/>
  <c r="Z198" i="25" s="1"/>
  <c r="Y198" i="25" s="1"/>
  <c r="G65" i="25"/>
  <c r="CF65" i="6" s="1"/>
  <c r="AA65" i="25"/>
  <c r="Z65" i="25" s="1"/>
  <c r="Y65" i="25" s="1"/>
  <c r="H65" i="25"/>
  <c r="AA317" i="25"/>
  <c r="Z317" i="25" s="1"/>
  <c r="Y317" i="25" s="1"/>
  <c r="H317" i="25"/>
  <c r="G317" i="25"/>
  <c r="CF317" i="6" s="1"/>
  <c r="W302" i="25"/>
  <c r="D302" i="25"/>
  <c r="E302" i="25" s="1"/>
  <c r="F302" i="25" s="1"/>
  <c r="G177" i="25"/>
  <c r="CF177" i="6" s="1"/>
  <c r="AA177" i="25"/>
  <c r="Z177" i="25" s="1"/>
  <c r="Y177" i="25" s="1"/>
  <c r="H177" i="25"/>
  <c r="AA274" i="25"/>
  <c r="Z274" i="25" s="1"/>
  <c r="Y274" i="25" s="1"/>
  <c r="G274" i="25"/>
  <c r="CF274" i="6" s="1"/>
  <c r="H274" i="25"/>
  <c r="AA229" i="25"/>
  <c r="Z229" i="25" s="1"/>
  <c r="Y229" i="25" s="1"/>
  <c r="H229" i="25"/>
  <c r="G229" i="25"/>
  <c r="CF229" i="6" s="1"/>
  <c r="AA26" i="25"/>
  <c r="Z26" i="25" s="1"/>
  <c r="Y26" i="25" s="1"/>
  <c r="H26" i="25"/>
  <c r="G26" i="25"/>
  <c r="CF26" i="6" s="1"/>
  <c r="J133" i="25"/>
  <c r="I133" i="25"/>
  <c r="G212" i="25"/>
  <c r="CF212" i="6" s="1"/>
  <c r="AA212" i="25"/>
  <c r="Z212" i="25" s="1"/>
  <c r="Y212" i="25" s="1"/>
  <c r="H212" i="25"/>
  <c r="G117" i="25"/>
  <c r="CF117" i="6" s="1"/>
  <c r="H117" i="25"/>
  <c r="AA117" i="25"/>
  <c r="Z117" i="25" s="1"/>
  <c r="Y117" i="25" s="1"/>
  <c r="I110" i="25"/>
  <c r="J110" i="25"/>
  <c r="AA365" i="25"/>
  <c r="Z365" i="25" s="1"/>
  <c r="Y365" i="25" s="1"/>
  <c r="G365" i="25"/>
  <c r="CF365" i="6" s="1"/>
  <c r="H365" i="25"/>
  <c r="AA249" i="25"/>
  <c r="Z249" i="25" s="1"/>
  <c r="Y249" i="25" s="1"/>
  <c r="H249" i="25"/>
  <c r="G249" i="25"/>
  <c r="CF249" i="6" s="1"/>
  <c r="G350" i="25"/>
  <c r="CF350" i="6" s="1"/>
  <c r="H350" i="25"/>
  <c r="AA350" i="25"/>
  <c r="Z350" i="25" s="1"/>
  <c r="Y350" i="25" s="1"/>
  <c r="G226" i="25"/>
  <c r="CF226" i="6" s="1"/>
  <c r="H226" i="25"/>
  <c r="AA226" i="25"/>
  <c r="Z226" i="25" s="1"/>
  <c r="Y226" i="25" s="1"/>
  <c r="AA348" i="25"/>
  <c r="Z348" i="25" s="1"/>
  <c r="Y348" i="25" s="1"/>
  <c r="H348" i="25"/>
  <c r="G348" i="25"/>
  <c r="CF348" i="6" s="1"/>
  <c r="G101" i="25"/>
  <c r="CF101" i="6" s="1"/>
  <c r="H101" i="25"/>
  <c r="AA101" i="25"/>
  <c r="Z101" i="25" s="1"/>
  <c r="Y101" i="25" s="1"/>
  <c r="W149" i="25"/>
  <c r="D149" i="25"/>
  <c r="E149" i="25" s="1"/>
  <c r="F149" i="25" s="1"/>
  <c r="G242" i="25"/>
  <c r="CF242" i="6" s="1"/>
  <c r="AA242" i="25"/>
  <c r="Z242" i="25" s="1"/>
  <c r="Y242" i="25" s="1"/>
  <c r="H242" i="25"/>
  <c r="I267" i="25"/>
  <c r="J267" i="25"/>
  <c r="I207" i="25"/>
  <c r="J207" i="25"/>
  <c r="J341" i="25"/>
  <c r="I341" i="25"/>
  <c r="G140" i="25"/>
  <c r="CF140" i="6" s="1"/>
  <c r="AA140" i="25"/>
  <c r="Z140" i="25" s="1"/>
  <c r="Y140" i="25" s="1"/>
  <c r="H140" i="25"/>
  <c r="G262" i="25"/>
  <c r="CF262" i="6" s="1"/>
  <c r="AA262" i="25"/>
  <c r="Z262" i="25" s="1"/>
  <c r="Y262" i="25" s="1"/>
  <c r="H262" i="25"/>
  <c r="AA286" i="25"/>
  <c r="Z286" i="25" s="1"/>
  <c r="Y286" i="25" s="1"/>
  <c r="H286" i="25"/>
  <c r="G286" i="25"/>
  <c r="CF286" i="6" s="1"/>
  <c r="G369" i="25"/>
  <c r="CF369" i="6" s="1"/>
  <c r="H369" i="25"/>
  <c r="AA369" i="25"/>
  <c r="Z369" i="25" s="1"/>
  <c r="Y369" i="25" s="1"/>
  <c r="AA118" i="25"/>
  <c r="Z118" i="25" s="1"/>
  <c r="Y118" i="25" s="1"/>
  <c r="H118" i="25"/>
  <c r="G118" i="25"/>
  <c r="CF118" i="6" s="1"/>
  <c r="AA259" i="25"/>
  <c r="Z259" i="25" s="1"/>
  <c r="Y259" i="25" s="1"/>
  <c r="G259" i="25"/>
  <c r="CF259" i="6" s="1"/>
  <c r="H259" i="25"/>
  <c r="AA238" i="25"/>
  <c r="Z238" i="25" s="1"/>
  <c r="Y238" i="25" s="1"/>
  <c r="G238" i="25"/>
  <c r="CF238" i="6" s="1"/>
  <c r="H238" i="25"/>
  <c r="G285" i="25"/>
  <c r="CF285" i="6" s="1"/>
  <c r="AA285" i="25"/>
  <c r="Z285" i="25" s="1"/>
  <c r="Y285" i="25" s="1"/>
  <c r="H285" i="25"/>
  <c r="G50" i="25"/>
  <c r="CF50" i="6" s="1"/>
  <c r="AA50" i="25"/>
  <c r="Z50" i="25" s="1"/>
  <c r="Y50" i="25" s="1"/>
  <c r="H50" i="25"/>
  <c r="G153" i="25"/>
  <c r="CF153" i="6" s="1"/>
  <c r="AA153" i="25"/>
  <c r="Z153" i="25" s="1"/>
  <c r="Y153" i="25" s="1"/>
  <c r="H153" i="25"/>
  <c r="AA148" i="25"/>
  <c r="Z148" i="25" s="1"/>
  <c r="Y148" i="25" s="1"/>
  <c r="G148" i="25"/>
  <c r="CF148" i="6" s="1"/>
  <c r="H148" i="25"/>
  <c r="AA374" i="25"/>
  <c r="Z374" i="25" s="1"/>
  <c r="Y374" i="25" s="1"/>
  <c r="G374" i="25"/>
  <c r="CF374" i="6" s="1"/>
  <c r="H374" i="25"/>
  <c r="AA355" i="25"/>
  <c r="Z355" i="25" s="1"/>
  <c r="Y355" i="25" s="1"/>
  <c r="H355" i="25"/>
  <c r="G355" i="25"/>
  <c r="CF355" i="6" s="1"/>
  <c r="G102" i="25"/>
  <c r="CF102" i="6" s="1"/>
  <c r="AA102" i="25"/>
  <c r="Z102" i="25" s="1"/>
  <c r="Y102" i="25" s="1"/>
  <c r="H102" i="25"/>
  <c r="G367" i="25"/>
  <c r="CF367" i="6" s="1"/>
  <c r="AA367" i="25"/>
  <c r="Z367" i="25" s="1"/>
  <c r="Y367" i="25" s="1"/>
  <c r="H367" i="25"/>
  <c r="AA245" i="25"/>
  <c r="Z245" i="25" s="1"/>
  <c r="Y245" i="25" s="1"/>
  <c r="G245" i="25"/>
  <c r="CF245" i="6" s="1"/>
  <c r="H245" i="25"/>
  <c r="G84" i="25"/>
  <c r="CF84" i="6" s="1"/>
  <c r="AA84" i="25"/>
  <c r="Z84" i="25" s="1"/>
  <c r="Y84" i="25" s="1"/>
  <c r="H84" i="25"/>
  <c r="AA162" i="25"/>
  <c r="Z162" i="25" s="1"/>
  <c r="Y162" i="25" s="1"/>
  <c r="H162" i="25"/>
  <c r="G162" i="25"/>
  <c r="CF162" i="6" s="1"/>
  <c r="AA147" i="25"/>
  <c r="Z147" i="25" s="1"/>
  <c r="Y147" i="25" s="1"/>
  <c r="G147" i="25"/>
  <c r="CF147" i="6" s="1"/>
  <c r="H147" i="25"/>
  <c r="G150" i="25"/>
  <c r="CF150" i="6" s="1"/>
  <c r="AA150" i="25"/>
  <c r="Z150" i="25" s="1"/>
  <c r="Y150" i="25" s="1"/>
  <c r="H150" i="25"/>
  <c r="AA314" i="25"/>
  <c r="Z314" i="25" s="1"/>
  <c r="Y314" i="25" s="1"/>
  <c r="G314" i="25"/>
  <c r="CF314" i="6" s="1"/>
  <c r="H314" i="25"/>
  <c r="D333" i="25"/>
  <c r="E333" i="25" s="1"/>
  <c r="F333" i="25" s="1"/>
  <c r="W333" i="25"/>
  <c r="AA247" i="25"/>
  <c r="Z247" i="25" s="1"/>
  <c r="Y247" i="25" s="1"/>
  <c r="G247" i="25"/>
  <c r="CF247" i="6" s="1"/>
  <c r="H247" i="25"/>
  <c r="G107" i="25"/>
  <c r="CF107" i="6" s="1"/>
  <c r="AA107" i="25"/>
  <c r="Z107" i="25" s="1"/>
  <c r="Y107" i="25" s="1"/>
  <c r="H107" i="25"/>
  <c r="G215" i="25"/>
  <c r="CF215" i="6" s="1"/>
  <c r="H215" i="25"/>
  <c r="AA215" i="25"/>
  <c r="Z215" i="25" s="1"/>
  <c r="Y215" i="25" s="1"/>
  <c r="G283" i="25"/>
  <c r="CF283" i="6" s="1"/>
  <c r="AA283" i="25"/>
  <c r="Z283" i="25" s="1"/>
  <c r="Y283" i="25" s="1"/>
  <c r="H283" i="25"/>
  <c r="AA248" i="25"/>
  <c r="Z248" i="25" s="1"/>
  <c r="Y248" i="25" s="1"/>
  <c r="G248" i="25"/>
  <c r="CF248" i="6" s="1"/>
  <c r="H248" i="25"/>
  <c r="G62" i="25"/>
  <c r="CF62" i="6" s="1"/>
  <c r="H62" i="25"/>
  <c r="AA62" i="25"/>
  <c r="Z62" i="25" s="1"/>
  <c r="Y62" i="25" s="1"/>
  <c r="AA315" i="25"/>
  <c r="Z315" i="25" s="1"/>
  <c r="Y315" i="25" s="1"/>
  <c r="G315" i="25"/>
  <c r="CF315" i="6" s="1"/>
  <c r="H315" i="25"/>
  <c r="G35" i="25"/>
  <c r="CF35" i="6" s="1"/>
  <c r="H35" i="25"/>
  <c r="AA35" i="25"/>
  <c r="Z35" i="25" s="1"/>
  <c r="Y35" i="25" s="1"/>
  <c r="AA246" i="25"/>
  <c r="Z246" i="25" s="1"/>
  <c r="Y246" i="25" s="1"/>
  <c r="G246" i="25"/>
  <c r="CF246" i="6" s="1"/>
  <c r="H246" i="25"/>
  <c r="G251" i="25"/>
  <c r="CF251" i="6" s="1"/>
  <c r="AA251" i="25"/>
  <c r="Z251" i="25" s="1"/>
  <c r="Y251" i="25" s="1"/>
  <c r="H251" i="25"/>
  <c r="G217" i="25"/>
  <c r="CF217" i="6" s="1"/>
  <c r="AA217" i="25"/>
  <c r="Z217" i="25" s="1"/>
  <c r="Y217" i="25" s="1"/>
  <c r="H217" i="25"/>
  <c r="AA48" i="25"/>
  <c r="Z48" i="25" s="1"/>
  <c r="Y48" i="25" s="1"/>
  <c r="H48" i="25"/>
  <c r="G48" i="25"/>
  <c r="CF48" i="6" s="1"/>
  <c r="G222" i="25"/>
  <c r="CF222" i="6" s="1"/>
  <c r="H222" i="25"/>
  <c r="AA222" i="25"/>
  <c r="Z222" i="25" s="1"/>
  <c r="Y222" i="25" s="1"/>
  <c r="AA205" i="25"/>
  <c r="Z205" i="25" s="1"/>
  <c r="Y205" i="25" s="1"/>
  <c r="H205" i="25"/>
  <c r="G205" i="25"/>
  <c r="CF205" i="6" s="1"/>
  <c r="G375" i="25"/>
  <c r="CF375" i="6" s="1"/>
  <c r="H375" i="25"/>
  <c r="AA375" i="25"/>
  <c r="Z375" i="25" s="1"/>
  <c r="Y375" i="25" s="1"/>
  <c r="G122" i="25"/>
  <c r="CF122" i="6" s="1"/>
  <c r="AA122" i="25"/>
  <c r="Z122" i="25" s="1"/>
  <c r="Y122" i="25" s="1"/>
  <c r="H122" i="25"/>
  <c r="G64" i="25"/>
  <c r="CF64" i="6" s="1"/>
  <c r="AA64" i="25"/>
  <c r="Z64" i="25" s="1"/>
  <c r="Y64" i="25" s="1"/>
  <c r="H64" i="25"/>
  <c r="G287" i="25"/>
  <c r="CF287" i="6" s="1"/>
  <c r="H287" i="25"/>
  <c r="AA287" i="25"/>
  <c r="Z287" i="25" s="1"/>
  <c r="Y287" i="25" s="1"/>
  <c r="AA325" i="25"/>
  <c r="Z325" i="25" s="1"/>
  <c r="Y325" i="25" s="1"/>
  <c r="H325" i="25"/>
  <c r="G325" i="25"/>
  <c r="CF325" i="6" s="1"/>
  <c r="AA306" i="25"/>
  <c r="Z306" i="25" s="1"/>
  <c r="Y306" i="25" s="1"/>
  <c r="G306" i="25"/>
  <c r="CF306" i="6" s="1"/>
  <c r="H306" i="25"/>
  <c r="AA158" i="25"/>
  <c r="Z158" i="25" s="1"/>
  <c r="Y158" i="25" s="1"/>
  <c r="H158" i="25"/>
  <c r="G158" i="25"/>
  <c r="CF158" i="6" s="1"/>
  <c r="AA174" i="25"/>
  <c r="Z174" i="25" s="1"/>
  <c r="Y174" i="25" s="1"/>
  <c r="H174" i="25"/>
  <c r="G174" i="25"/>
  <c r="CF174" i="6" s="1"/>
  <c r="G168" i="25"/>
  <c r="CF168" i="6" s="1"/>
  <c r="H168" i="25"/>
  <c r="AA168" i="25"/>
  <c r="Z168" i="25" s="1"/>
  <c r="Y168" i="25" s="1"/>
  <c r="AA157" i="25"/>
  <c r="Z157" i="25" s="1"/>
  <c r="Y157" i="25" s="1"/>
  <c r="G157" i="25"/>
  <c r="CF157" i="6" s="1"/>
  <c r="H157" i="25"/>
  <c r="AA299" i="25"/>
  <c r="Z299" i="25" s="1"/>
  <c r="Y299" i="25" s="1"/>
  <c r="G299" i="25"/>
  <c r="CF299" i="6" s="1"/>
  <c r="H299" i="25"/>
  <c r="G104" i="25"/>
  <c r="CF104" i="6" s="1"/>
  <c r="H104" i="25"/>
  <c r="AA104" i="25"/>
  <c r="Z104" i="25" s="1"/>
  <c r="Y104" i="25" s="1"/>
  <c r="AA359" i="25"/>
  <c r="Z359" i="25" s="1"/>
  <c r="Y359" i="25" s="1"/>
  <c r="G359" i="25"/>
  <c r="CF359" i="6" s="1"/>
  <c r="H359" i="25"/>
  <c r="H334" i="25"/>
  <c r="AA334" i="25"/>
  <c r="Z334" i="25" s="1"/>
  <c r="Y334" i="25" s="1"/>
  <c r="G334" i="25"/>
  <c r="CF334" i="6" s="1"/>
  <c r="G171" i="25"/>
  <c r="CF171" i="6" s="1"/>
  <c r="AA171" i="25"/>
  <c r="Z171" i="25" s="1"/>
  <c r="Y171" i="25" s="1"/>
  <c r="H171" i="25"/>
  <c r="G340" i="25"/>
  <c r="CF340" i="6" s="1"/>
  <c r="AA340" i="25"/>
  <c r="Z340" i="25" s="1"/>
  <c r="Y340" i="25" s="1"/>
  <c r="H340" i="25"/>
  <c r="AA377" i="25"/>
  <c r="Z377" i="25" s="1"/>
  <c r="Y377" i="25" s="1"/>
  <c r="G377" i="25"/>
  <c r="CF377" i="6" s="1"/>
  <c r="H377" i="25"/>
  <c r="AA136" i="25"/>
  <c r="Z136" i="25" s="1"/>
  <c r="Y136" i="25" s="1"/>
  <c r="G136" i="25"/>
  <c r="CF136" i="6" s="1"/>
  <c r="H136" i="25"/>
  <c r="AA305" i="25"/>
  <c r="Z305" i="25" s="1"/>
  <c r="Y305" i="25" s="1"/>
  <c r="H305" i="25"/>
  <c r="G305" i="25"/>
  <c r="CF305" i="6" s="1"/>
  <c r="AA185" i="25"/>
  <c r="Z185" i="25" s="1"/>
  <c r="Y185" i="25" s="1"/>
  <c r="H185" i="25"/>
  <c r="G185" i="25"/>
  <c r="CF185" i="6" s="1"/>
  <c r="G280" i="25"/>
  <c r="CF280" i="6" s="1"/>
  <c r="AA280" i="25"/>
  <c r="Z280" i="25" s="1"/>
  <c r="Y280" i="25" s="1"/>
  <c r="H280" i="25"/>
  <c r="H43" i="25"/>
  <c r="AA43" i="25"/>
  <c r="Z43" i="25" s="1"/>
  <c r="Y43" i="25" s="1"/>
  <c r="G43" i="25"/>
  <c r="CF43" i="6" s="1"/>
  <c r="G58" i="25"/>
  <c r="CF58" i="6" s="1"/>
  <c r="AA58" i="25"/>
  <c r="Z58" i="25" s="1"/>
  <c r="Y58" i="25" s="1"/>
  <c r="H58" i="25"/>
  <c r="AA269" i="25"/>
  <c r="Z269" i="25" s="1"/>
  <c r="Y269" i="25" s="1"/>
  <c r="G269" i="25"/>
  <c r="CF269" i="6" s="1"/>
  <c r="H269" i="25"/>
  <c r="G357" i="25"/>
  <c r="CF357" i="6" s="1"/>
  <c r="H357" i="25"/>
  <c r="AA357" i="25"/>
  <c r="Z357" i="25" s="1"/>
  <c r="Y357" i="25" s="1"/>
  <c r="AA121" i="25"/>
  <c r="Z121" i="25" s="1"/>
  <c r="Y121" i="25" s="1"/>
  <c r="G121" i="25"/>
  <c r="CF121" i="6" s="1"/>
  <c r="H121" i="25"/>
  <c r="AA228" i="25"/>
  <c r="Z228" i="25" s="1"/>
  <c r="Y228" i="25" s="1"/>
  <c r="H228" i="25"/>
  <c r="G228" i="25"/>
  <c r="CF228" i="6" s="1"/>
  <c r="G214" i="25"/>
  <c r="CF214" i="6" s="1"/>
  <c r="AA214" i="25"/>
  <c r="Z214" i="25" s="1"/>
  <c r="Y214" i="25" s="1"/>
  <c r="H214" i="25"/>
  <c r="G224" i="25"/>
  <c r="CF224" i="6" s="1"/>
  <c r="AA224" i="25"/>
  <c r="Z224" i="25" s="1"/>
  <c r="Y224" i="25" s="1"/>
  <c r="H224" i="25"/>
  <c r="G67" i="25"/>
  <c r="CF67" i="6" s="1"/>
  <c r="H67" i="25"/>
  <c r="AA67" i="25"/>
  <c r="Z67" i="25" s="1"/>
  <c r="Y67" i="25" s="1"/>
  <c r="G291" i="25"/>
  <c r="CF291" i="6" s="1"/>
  <c r="AA291" i="25"/>
  <c r="Z291" i="25" s="1"/>
  <c r="Y291" i="25" s="1"/>
  <c r="H291" i="25"/>
  <c r="AA165" i="25"/>
  <c r="Z165" i="25" s="1"/>
  <c r="Y165" i="25" s="1"/>
  <c r="G165" i="25"/>
  <c r="CF165" i="6" s="1"/>
  <c r="H165" i="25"/>
  <c r="G33" i="25"/>
  <c r="CF33" i="6" s="1"/>
  <c r="H33" i="25"/>
  <c r="AA33" i="25"/>
  <c r="Z33" i="25" s="1"/>
  <c r="Y33" i="25" s="1"/>
  <c r="G85" i="25"/>
  <c r="CF85" i="6" s="1"/>
  <c r="AA85" i="25"/>
  <c r="Z85" i="25" s="1"/>
  <c r="Y85" i="25" s="1"/>
  <c r="H85" i="25"/>
  <c r="G276" i="25"/>
  <c r="CF276" i="6" s="1"/>
  <c r="H276" i="25"/>
  <c r="AA276" i="25"/>
  <c r="Z276" i="25" s="1"/>
  <c r="Y276" i="25" s="1"/>
  <c r="F70" i="19"/>
  <c r="AA364" i="25"/>
  <c r="Z364" i="25" s="1"/>
  <c r="Y364" i="25" s="1"/>
  <c r="H364" i="25"/>
  <c r="G364" i="25"/>
  <c r="CF364" i="6" s="1"/>
  <c r="G339" i="25"/>
  <c r="CF339" i="6" s="1"/>
  <c r="AA339" i="25"/>
  <c r="Z339" i="25" s="1"/>
  <c r="Y339" i="25" s="1"/>
  <c r="H339" i="25"/>
  <c r="AA127" i="25"/>
  <c r="Z127" i="25" s="1"/>
  <c r="Y127" i="25" s="1"/>
  <c r="G127" i="25"/>
  <c r="CF127" i="6" s="1"/>
  <c r="H127" i="25"/>
  <c r="AA144" i="25"/>
  <c r="Z144" i="25" s="1"/>
  <c r="Y144" i="25" s="1"/>
  <c r="G144" i="25"/>
  <c r="CF144" i="6" s="1"/>
  <c r="H144" i="25"/>
  <c r="G199" i="25"/>
  <c r="CF199" i="6" s="1"/>
  <c r="AA199" i="25"/>
  <c r="Z199" i="25" s="1"/>
  <c r="Y199" i="25" s="1"/>
  <c r="H199" i="25"/>
  <c r="H191" i="25"/>
  <c r="AA191" i="25"/>
  <c r="Z191" i="25" s="1"/>
  <c r="Y191" i="25" s="1"/>
  <c r="G191" i="25"/>
  <c r="CF191" i="6" s="1"/>
  <c r="G190" i="25"/>
  <c r="CF190" i="6" s="1"/>
  <c r="H190" i="25"/>
  <c r="AA190" i="25"/>
  <c r="Z190" i="25" s="1"/>
  <c r="Y190" i="25" s="1"/>
  <c r="AA175" i="25"/>
  <c r="Z175" i="25" s="1"/>
  <c r="Y175" i="25" s="1"/>
  <c r="H175" i="25"/>
  <c r="G175" i="25"/>
  <c r="CF175" i="6" s="1"/>
  <c r="G303" i="25"/>
  <c r="CF303" i="6" s="1"/>
  <c r="H303" i="25"/>
  <c r="AA303" i="25"/>
  <c r="Z303" i="25" s="1"/>
  <c r="Y303" i="25" s="1"/>
  <c r="G91" i="25"/>
  <c r="CF91" i="6" s="1"/>
  <c r="H91" i="25"/>
  <c r="AA91" i="25"/>
  <c r="Z91" i="25" s="1"/>
  <c r="Y91" i="25" s="1"/>
  <c r="G138" i="25"/>
  <c r="CF138" i="6" s="1"/>
  <c r="AA138" i="25"/>
  <c r="Z138" i="25" s="1"/>
  <c r="Y138" i="25" s="1"/>
  <c r="H138" i="25"/>
  <c r="G124" i="25"/>
  <c r="CF124" i="6" s="1"/>
  <c r="H124" i="25"/>
  <c r="AA124" i="25"/>
  <c r="Z124" i="25" s="1"/>
  <c r="Y124" i="25" s="1"/>
  <c r="AA202" i="25"/>
  <c r="Z202" i="25" s="1"/>
  <c r="Y202" i="25" s="1"/>
  <c r="G202" i="25"/>
  <c r="CF202" i="6" s="1"/>
  <c r="H202" i="25"/>
  <c r="G360" i="25"/>
  <c r="CF360" i="6" s="1"/>
  <c r="AA360" i="25"/>
  <c r="Z360" i="25" s="1"/>
  <c r="Y360" i="25" s="1"/>
  <c r="H360" i="25"/>
  <c r="AA132" i="25"/>
  <c r="Z132" i="25" s="1"/>
  <c r="Y132" i="25" s="1"/>
  <c r="H132" i="25"/>
  <c r="G132" i="25"/>
  <c r="CF132" i="6" s="1"/>
  <c r="AA263" i="25"/>
  <c r="Z263" i="25" s="1"/>
  <c r="Y263" i="25" s="1"/>
  <c r="G263" i="25"/>
  <c r="CF263" i="6" s="1"/>
  <c r="H263" i="25"/>
  <c r="D258" i="25"/>
  <c r="E258" i="25" s="1"/>
  <c r="F258" i="25" s="1"/>
  <c r="W258" i="25"/>
  <c r="G252" i="25"/>
  <c r="CF252" i="6" s="1"/>
  <c r="AA252" i="25"/>
  <c r="Z252" i="25" s="1"/>
  <c r="Y252" i="25" s="1"/>
  <c r="H252" i="25"/>
  <c r="G163" i="25"/>
  <c r="CF163" i="6" s="1"/>
  <c r="H163" i="25"/>
  <c r="AA163" i="25"/>
  <c r="Z163" i="25" s="1"/>
  <c r="Y163" i="25" s="1"/>
  <c r="AA331" i="25"/>
  <c r="Z331" i="25" s="1"/>
  <c r="Y331" i="25" s="1"/>
  <c r="G331" i="25"/>
  <c r="CF331" i="6" s="1"/>
  <c r="H331" i="25"/>
  <c r="M70" i="19"/>
  <c r="H57" i="19"/>
  <c r="H58" i="19"/>
  <c r="H59" i="19"/>
  <c r="G172" i="25"/>
  <c r="CF172" i="6" s="1"/>
  <c r="H172" i="25"/>
  <c r="AA172" i="25"/>
  <c r="Z172" i="25" s="1"/>
  <c r="Y172" i="25" s="1"/>
  <c r="AA56" i="25"/>
  <c r="Z56" i="25" s="1"/>
  <c r="Y56" i="25" s="1"/>
  <c r="G56" i="25"/>
  <c r="CF56" i="6" s="1"/>
  <c r="H56" i="25"/>
  <c r="AA78" i="25"/>
  <c r="Z78" i="25" s="1"/>
  <c r="Y78" i="25" s="1"/>
  <c r="G78" i="25"/>
  <c r="CF78" i="6" s="1"/>
  <c r="H78" i="25"/>
  <c r="I34" i="25"/>
  <c r="J34" i="25"/>
  <c r="J92" i="25"/>
  <c r="I92" i="25"/>
  <c r="J183" i="25"/>
  <c r="I183" i="25"/>
  <c r="AA29" i="25"/>
  <c r="Z29" i="25" s="1"/>
  <c r="Y29" i="25" s="1"/>
  <c r="G29" i="25"/>
  <c r="CF29" i="6" s="1"/>
  <c r="H29" i="25"/>
  <c r="W166" i="25"/>
  <c r="D166" i="25"/>
  <c r="E166" i="25" s="1"/>
  <c r="F166" i="25" s="1"/>
  <c r="I378" i="25"/>
  <c r="J378" i="25"/>
  <c r="AA141" i="25"/>
  <c r="Z141" i="25" s="1"/>
  <c r="Y141" i="25" s="1"/>
  <c r="H141" i="25"/>
  <c r="G141" i="25"/>
  <c r="CF141" i="6" s="1"/>
  <c r="AA154" i="25"/>
  <c r="Z154" i="25" s="1"/>
  <c r="Y154" i="25" s="1"/>
  <c r="G154" i="25"/>
  <c r="CF154" i="6" s="1"/>
  <c r="H154" i="25"/>
  <c r="G49" i="25"/>
  <c r="CF49" i="6" s="1"/>
  <c r="H49" i="25"/>
  <c r="AA49" i="25"/>
  <c r="Z49" i="25" s="1"/>
  <c r="Y49" i="25" s="1"/>
  <c r="G312" i="25"/>
  <c r="CF312" i="6" s="1"/>
  <c r="AA312" i="25"/>
  <c r="Z312" i="25" s="1"/>
  <c r="Y312" i="25" s="1"/>
  <c r="H312" i="25"/>
  <c r="G197" i="25"/>
  <c r="CF197" i="6" s="1"/>
  <c r="AA197" i="25"/>
  <c r="Z197" i="25" s="1"/>
  <c r="Y197" i="25" s="1"/>
  <c r="H197" i="25"/>
  <c r="AA308" i="25"/>
  <c r="Z308" i="25" s="1"/>
  <c r="Y308" i="25" s="1"/>
  <c r="G308" i="25"/>
  <c r="CF308" i="6" s="1"/>
  <c r="H308" i="25"/>
  <c r="G282" i="25"/>
  <c r="CF282" i="6" s="1"/>
  <c r="AA282" i="25"/>
  <c r="Z282" i="25" s="1"/>
  <c r="Y282" i="25" s="1"/>
  <c r="H282" i="25"/>
  <c r="AA290" i="25"/>
  <c r="Z290" i="25" s="1"/>
  <c r="Y290" i="25" s="1"/>
  <c r="H290" i="25"/>
  <c r="G290" i="25"/>
  <c r="CF290" i="6" s="1"/>
  <c r="AA83" i="25"/>
  <c r="Z83" i="25" s="1"/>
  <c r="Y83" i="25" s="1"/>
  <c r="G83" i="25"/>
  <c r="CF83" i="6" s="1"/>
  <c r="H83" i="25"/>
  <c r="G243" i="25"/>
  <c r="CF243" i="6" s="1"/>
  <c r="AA243" i="25"/>
  <c r="Z243" i="25" s="1"/>
  <c r="Y243" i="25" s="1"/>
  <c r="H243" i="25"/>
  <c r="G159" i="25"/>
  <c r="CF159" i="6" s="1"/>
  <c r="H159" i="25"/>
  <c r="AA159" i="25"/>
  <c r="Z159" i="25" s="1"/>
  <c r="Y159" i="25" s="1"/>
  <c r="AA368" i="25"/>
  <c r="Z368" i="25" s="1"/>
  <c r="Y368" i="25" s="1"/>
  <c r="G368" i="25"/>
  <c r="CF368" i="6" s="1"/>
  <c r="H368" i="25"/>
  <c r="AA231" i="25"/>
  <c r="Z231" i="25" s="1"/>
  <c r="Y231" i="25" s="1"/>
  <c r="G231" i="25"/>
  <c r="CF231" i="6" s="1"/>
  <c r="H231" i="25"/>
  <c r="G32" i="25"/>
  <c r="CF32" i="6" s="1"/>
  <c r="AA32" i="25"/>
  <c r="Z32" i="25" s="1"/>
  <c r="Y32" i="25" s="1"/>
  <c r="H32" i="25"/>
  <c r="D227" i="25"/>
  <c r="E227" i="25" s="1"/>
  <c r="F227" i="25" s="1"/>
  <c r="W227" i="25"/>
  <c r="AA239" i="25"/>
  <c r="Z239" i="25" s="1"/>
  <c r="Y239" i="25" s="1"/>
  <c r="G239" i="25"/>
  <c r="CF239" i="6" s="1"/>
  <c r="H239" i="25"/>
  <c r="AA284" i="25"/>
  <c r="Z284" i="25" s="1"/>
  <c r="Y284" i="25" s="1"/>
  <c r="G284" i="25"/>
  <c r="CF284" i="6" s="1"/>
  <c r="H284" i="25"/>
  <c r="AA90" i="25"/>
  <c r="Z90" i="25" s="1"/>
  <c r="Y90" i="25" s="1"/>
  <c r="G90" i="25"/>
  <c r="CF90" i="6" s="1"/>
  <c r="H90" i="25"/>
  <c r="G72" i="25"/>
  <c r="CF72" i="6" s="1"/>
  <c r="AA72" i="25"/>
  <c r="Z72" i="25" s="1"/>
  <c r="Y72" i="25" s="1"/>
  <c r="H72" i="25"/>
  <c r="G232" i="25"/>
  <c r="CF232" i="6" s="1"/>
  <c r="AA232" i="25"/>
  <c r="Z232" i="25" s="1"/>
  <c r="Y232" i="25" s="1"/>
  <c r="H232" i="25"/>
  <c r="AA294" i="25"/>
  <c r="Z294" i="25" s="1"/>
  <c r="Y294" i="25" s="1"/>
  <c r="G294" i="25"/>
  <c r="CF294" i="6" s="1"/>
  <c r="H294" i="25"/>
  <c r="AA45" i="25"/>
  <c r="Z45" i="25" s="1"/>
  <c r="Y45" i="25" s="1"/>
  <c r="G45" i="25"/>
  <c r="CF45" i="6" s="1"/>
  <c r="H45" i="25"/>
  <c r="W289" i="25"/>
  <c r="D289" i="25"/>
  <c r="E289" i="25" s="1"/>
  <c r="F289" i="25" s="1"/>
  <c r="AA324" i="25"/>
  <c r="Z324" i="25" s="1"/>
  <c r="Y324" i="25" s="1"/>
  <c r="H324" i="25"/>
  <c r="G324" i="25"/>
  <c r="CF324" i="6" s="1"/>
  <c r="AA278" i="25"/>
  <c r="Z278" i="25" s="1"/>
  <c r="Y278" i="25" s="1"/>
  <c r="G278" i="25"/>
  <c r="CF278" i="6" s="1"/>
  <c r="H278" i="25"/>
  <c r="G273" i="25"/>
  <c r="CF273" i="6" s="1"/>
  <c r="H273" i="25"/>
  <c r="AA273" i="25"/>
  <c r="Z273" i="25" s="1"/>
  <c r="Y273" i="25" s="1"/>
  <c r="G179" i="25"/>
  <c r="CF179" i="6" s="1"/>
  <c r="AA179" i="25"/>
  <c r="Z179" i="25" s="1"/>
  <c r="Y179" i="25" s="1"/>
  <c r="H179" i="25"/>
  <c r="AA87" i="25"/>
  <c r="Z87" i="25" s="1"/>
  <c r="Y87" i="25" s="1"/>
  <c r="G87" i="25"/>
  <c r="CF87" i="6" s="1"/>
  <c r="H87" i="25"/>
  <c r="W105" i="25"/>
  <c r="D105" i="25"/>
  <c r="E105" i="25" s="1"/>
  <c r="F105" i="25" s="1"/>
  <c r="AA17" i="25"/>
  <c r="Z17" i="25" s="1"/>
  <c r="Y17" i="25" s="1"/>
  <c r="G17" i="25"/>
  <c r="CF17" i="6" s="1"/>
  <c r="H17" i="25"/>
  <c r="G361" i="25"/>
  <c r="CF361" i="6" s="1"/>
  <c r="AA361" i="25"/>
  <c r="Z361" i="25" s="1"/>
  <c r="Y361" i="25" s="1"/>
  <c r="H361" i="25"/>
  <c r="G230" i="25"/>
  <c r="CF230" i="6" s="1"/>
  <c r="AA230" i="25"/>
  <c r="Z230" i="25" s="1"/>
  <c r="Y230" i="25" s="1"/>
  <c r="H230" i="25"/>
  <c r="G93" i="25"/>
  <c r="CF93" i="6" s="1"/>
  <c r="AA93" i="25"/>
  <c r="Z93" i="25" s="1"/>
  <c r="Y93" i="25" s="1"/>
  <c r="H93" i="25"/>
  <c r="D363" i="25"/>
  <c r="E363" i="25" s="1"/>
  <c r="F363" i="25" s="1"/>
  <c r="W363" i="25"/>
  <c r="AA343" i="25"/>
  <c r="Z343" i="25" s="1"/>
  <c r="Y343" i="25" s="1"/>
  <c r="G343" i="25"/>
  <c r="CF343" i="6" s="1"/>
  <c r="H343" i="25"/>
  <c r="G373" i="25"/>
  <c r="CF373" i="6" s="1"/>
  <c r="H373" i="25"/>
  <c r="AA373" i="25"/>
  <c r="Z373" i="25" s="1"/>
  <c r="Y373" i="25" s="1"/>
  <c r="G327" i="25"/>
  <c r="CF327" i="6" s="1"/>
  <c r="H327" i="25"/>
  <c r="AA327" i="25"/>
  <c r="Z327" i="25" s="1"/>
  <c r="Y327" i="25" s="1"/>
  <c r="AA125" i="25"/>
  <c r="Z125" i="25" s="1"/>
  <c r="Y125" i="25" s="1"/>
  <c r="G125" i="25"/>
  <c r="CF125" i="6" s="1"/>
  <c r="H125" i="25"/>
  <c r="G320" i="25"/>
  <c r="CF320" i="6" s="1"/>
  <c r="AA320" i="25"/>
  <c r="Z320" i="25" s="1"/>
  <c r="Y320" i="25" s="1"/>
  <c r="H320" i="25"/>
  <c r="AA293" i="25"/>
  <c r="Z293" i="25" s="1"/>
  <c r="Y293" i="25" s="1"/>
  <c r="G293" i="25"/>
  <c r="CF293" i="6" s="1"/>
  <c r="H293" i="25"/>
  <c r="G134" i="25"/>
  <c r="CF134" i="6" s="1"/>
  <c r="AA134" i="25"/>
  <c r="Z134" i="25" s="1"/>
  <c r="Y134" i="25" s="1"/>
  <c r="H134" i="25"/>
  <c r="D59" i="19"/>
  <c r="AA170" i="25"/>
  <c r="Z170" i="25" s="1"/>
  <c r="Y170" i="25" s="1"/>
  <c r="G170" i="25"/>
  <c r="CF170" i="6" s="1"/>
  <c r="H170" i="25"/>
  <c r="G145" i="25"/>
  <c r="CF145" i="6" s="1"/>
  <c r="AA145" i="25"/>
  <c r="Z145" i="25" s="1"/>
  <c r="Y145" i="25" s="1"/>
  <c r="H145" i="25"/>
  <c r="H142" i="25"/>
  <c r="G142" i="25"/>
  <c r="CF142" i="6" s="1"/>
  <c r="AA142" i="25"/>
  <c r="Z142" i="25" s="1"/>
  <c r="Y142" i="25" s="1"/>
  <c r="G297" i="25"/>
  <c r="CF297" i="6" s="1"/>
  <c r="H297" i="25"/>
  <c r="AA297" i="25"/>
  <c r="Z297" i="25" s="1"/>
  <c r="Y297" i="25" s="1"/>
  <c r="G335" i="25"/>
  <c r="CF335" i="6" s="1"/>
  <c r="AA335" i="25"/>
  <c r="Z335" i="25" s="1"/>
  <c r="Y335" i="25" s="1"/>
  <c r="H335" i="25"/>
  <c r="AA275" i="25"/>
  <c r="Z275" i="25" s="1"/>
  <c r="Y275" i="25" s="1"/>
  <c r="H275" i="25"/>
  <c r="G275" i="25"/>
  <c r="CF275" i="6" s="1"/>
  <c r="G31" i="25"/>
  <c r="CF31" i="6" s="1"/>
  <c r="AA31" i="25"/>
  <c r="Z31" i="25" s="1"/>
  <c r="Y31" i="25" s="1"/>
  <c r="H31" i="25"/>
  <c r="AA70" i="25"/>
  <c r="Z70" i="25" s="1"/>
  <c r="Y70" i="25" s="1"/>
  <c r="H70" i="25"/>
  <c r="G70" i="25"/>
  <c r="CF70" i="6" s="1"/>
  <c r="G73" i="25"/>
  <c r="CF73" i="6" s="1"/>
  <c r="AA73" i="25"/>
  <c r="Z73" i="25" s="1"/>
  <c r="Y73" i="25" s="1"/>
  <c r="H73" i="25"/>
  <c r="AA19" i="25"/>
  <c r="Z19" i="25" s="1"/>
  <c r="Y19" i="25" s="1"/>
  <c r="G19" i="25"/>
  <c r="CF19" i="6" s="1"/>
  <c r="H19" i="25"/>
  <c r="AA112" i="25"/>
  <c r="Z112" i="25" s="1"/>
  <c r="Y112" i="25" s="1"/>
  <c r="G112" i="25"/>
  <c r="CF112" i="6" s="1"/>
  <c r="H112" i="25"/>
  <c r="AA209" i="25"/>
  <c r="Z209" i="25" s="1"/>
  <c r="Y209" i="25" s="1"/>
  <c r="G209" i="25"/>
  <c r="CF209" i="6" s="1"/>
  <c r="H209" i="25"/>
  <c r="G332" i="25"/>
  <c r="CF332" i="6" s="1"/>
  <c r="H332" i="25"/>
  <c r="AA332" i="25"/>
  <c r="Z332" i="25" s="1"/>
  <c r="Y332" i="25" s="1"/>
  <c r="G281" i="25"/>
  <c r="CF281" i="6" s="1"/>
  <c r="AA281" i="25"/>
  <c r="Z281" i="25" s="1"/>
  <c r="Y281" i="25" s="1"/>
  <c r="H281" i="25"/>
  <c r="AA321" i="25"/>
  <c r="Z321" i="25" s="1"/>
  <c r="Y321" i="25" s="1"/>
  <c r="G321" i="25"/>
  <c r="CF321" i="6" s="1"/>
  <c r="H321" i="25"/>
  <c r="AA254" i="25"/>
  <c r="Z254" i="25" s="1"/>
  <c r="Y254" i="25" s="1"/>
  <c r="G254" i="25"/>
  <c r="CF254" i="6" s="1"/>
  <c r="H254" i="25"/>
  <c r="AA193" i="25"/>
  <c r="Z193" i="25" s="1"/>
  <c r="Y193" i="25" s="1"/>
  <c r="G193" i="25"/>
  <c r="CF193" i="6" s="1"/>
  <c r="H193" i="25"/>
  <c r="J265" i="25"/>
  <c r="I265" i="25"/>
  <c r="G68" i="25"/>
  <c r="CF68" i="6" s="1"/>
  <c r="AA68" i="25"/>
  <c r="Z68" i="25" s="1"/>
  <c r="Y68" i="25" s="1"/>
  <c r="H68" i="25"/>
  <c r="AA307" i="25"/>
  <c r="Z307" i="25" s="1"/>
  <c r="Y307" i="25" s="1"/>
  <c r="G307" i="25"/>
  <c r="CF307" i="6" s="1"/>
  <c r="H307" i="25"/>
  <c r="AA55" i="25"/>
  <c r="Z55" i="25" s="1"/>
  <c r="Y55" i="25" s="1"/>
  <c r="G55" i="25"/>
  <c r="CF55" i="6" s="1"/>
  <c r="H55" i="25"/>
  <c r="G182" i="25"/>
  <c r="CF182" i="6" s="1"/>
  <c r="AA182" i="25"/>
  <c r="Z182" i="25" s="1"/>
  <c r="Y182" i="25" s="1"/>
  <c r="H182" i="25"/>
  <c r="AA188" i="25"/>
  <c r="Z188" i="25" s="1"/>
  <c r="Y188" i="25" s="1"/>
  <c r="H188" i="25"/>
  <c r="G188" i="25"/>
  <c r="CF188" i="6" s="1"/>
  <c r="AA79" i="25"/>
  <c r="Z79" i="25" s="1"/>
  <c r="Y79" i="25" s="1"/>
  <c r="H79" i="25"/>
  <c r="G79" i="25"/>
  <c r="CF79" i="6" s="1"/>
  <c r="G204" i="25"/>
  <c r="CF204" i="6" s="1"/>
  <c r="H204" i="25"/>
  <c r="AA204" i="25"/>
  <c r="Z204" i="25" s="1"/>
  <c r="Y204" i="25" s="1"/>
  <c r="AA42" i="25"/>
  <c r="Z42" i="25" s="1"/>
  <c r="Y42" i="25" s="1"/>
  <c r="G42" i="25"/>
  <c r="CF42" i="6" s="1"/>
  <c r="H42" i="25"/>
  <c r="G194" i="25"/>
  <c r="CF194" i="6" s="1"/>
  <c r="AA194" i="25"/>
  <c r="Z194" i="25" s="1"/>
  <c r="Y194" i="25" s="1"/>
  <c r="H194" i="25"/>
  <c r="G37" i="25"/>
  <c r="CF37" i="6" s="1"/>
  <c r="AA37" i="25"/>
  <c r="Z37" i="25" s="1"/>
  <c r="Y37" i="25" s="1"/>
  <c r="H37" i="25"/>
  <c r="AA304" i="25"/>
  <c r="Z304" i="25" s="1"/>
  <c r="Y304" i="25" s="1"/>
  <c r="G304" i="25"/>
  <c r="CF304" i="6" s="1"/>
  <c r="H304" i="25"/>
  <c r="AA39" i="25"/>
  <c r="Z39" i="25" s="1"/>
  <c r="Y39" i="25" s="1"/>
  <c r="G39" i="25"/>
  <c r="CF39" i="6" s="1"/>
  <c r="H39" i="25"/>
  <c r="AA82" i="25"/>
  <c r="Z82" i="25" s="1"/>
  <c r="Y82" i="25" s="1"/>
  <c r="G82" i="25"/>
  <c r="CF82" i="6" s="1"/>
  <c r="H82" i="25"/>
  <c r="G292" i="25"/>
  <c r="CF292" i="6" s="1"/>
  <c r="H292" i="25"/>
  <c r="AA292" i="25"/>
  <c r="Z292" i="25" s="1"/>
  <c r="Y292" i="25" s="1"/>
  <c r="G279" i="25"/>
  <c r="CF279" i="6" s="1"/>
  <c r="AA279" i="25"/>
  <c r="Z279" i="25" s="1"/>
  <c r="Y279" i="25" s="1"/>
  <c r="H279" i="25"/>
  <c r="G69" i="25"/>
  <c r="CF69" i="6" s="1"/>
  <c r="H69" i="25"/>
  <c r="AA69" i="25"/>
  <c r="Z69" i="25" s="1"/>
  <c r="Y69" i="25" s="1"/>
  <c r="G137" i="25"/>
  <c r="CF137" i="6" s="1"/>
  <c r="AA137" i="25"/>
  <c r="Z137" i="25" s="1"/>
  <c r="Y137" i="25" s="1"/>
  <c r="H137" i="25"/>
  <c r="G109" i="25"/>
  <c r="CF109" i="6" s="1"/>
  <c r="AA109" i="25"/>
  <c r="Z109" i="25" s="1"/>
  <c r="Y109" i="25" s="1"/>
  <c r="H109" i="25"/>
  <c r="AA126" i="25"/>
  <c r="Z126" i="25" s="1"/>
  <c r="Y126" i="25" s="1"/>
  <c r="H126" i="25"/>
  <c r="G126" i="25"/>
  <c r="CF126" i="6" s="1"/>
  <c r="G253" i="25"/>
  <c r="CF253" i="6" s="1"/>
  <c r="AA253" i="25"/>
  <c r="Z253" i="25" s="1"/>
  <c r="Y253" i="25" s="1"/>
  <c r="H253" i="25"/>
  <c r="AA328" i="25"/>
  <c r="Z328" i="25" s="1"/>
  <c r="Y328" i="25" s="1"/>
  <c r="H328" i="25"/>
  <c r="G328" i="25"/>
  <c r="CF328" i="6" s="1"/>
  <c r="AA366" i="25"/>
  <c r="Z366" i="25" s="1"/>
  <c r="Y366" i="25" s="1"/>
  <c r="G366" i="25"/>
  <c r="CF366" i="6" s="1"/>
  <c r="H366" i="25"/>
  <c r="G225" i="25"/>
  <c r="CF225" i="6" s="1"/>
  <c r="AA225" i="25"/>
  <c r="Z225" i="25" s="1"/>
  <c r="Y225" i="25" s="1"/>
  <c r="H225" i="25"/>
  <c r="AA337" i="25"/>
  <c r="Z337" i="25" s="1"/>
  <c r="Y337" i="25" s="1"/>
  <c r="H337" i="25"/>
  <c r="G337" i="25"/>
  <c r="CF337" i="6" s="1"/>
  <c r="AA270" i="25"/>
  <c r="Z270" i="25" s="1"/>
  <c r="Y270" i="25" s="1"/>
  <c r="G270" i="25"/>
  <c r="CF270" i="6" s="1"/>
  <c r="H270" i="25"/>
  <c r="G255" i="25"/>
  <c r="CF255" i="6" s="1"/>
  <c r="AA255" i="25"/>
  <c r="Z255" i="25" s="1"/>
  <c r="Y255" i="25" s="1"/>
  <c r="H255" i="25"/>
  <c r="J40" i="25"/>
  <c r="I40" i="25"/>
  <c r="AG382" i="25"/>
  <c r="AF15" i="25"/>
  <c r="AG383" i="25"/>
  <c r="AG381" i="25"/>
  <c r="G329" i="25"/>
  <c r="CF329" i="6" s="1"/>
  <c r="H329" i="25"/>
  <c r="AA329" i="25"/>
  <c r="Z329" i="25" s="1"/>
  <c r="Y329" i="25" s="1"/>
  <c r="G128" i="25"/>
  <c r="CF128" i="6" s="1"/>
  <c r="AA128" i="25"/>
  <c r="Z128" i="25" s="1"/>
  <c r="Y128" i="25" s="1"/>
  <c r="H128" i="25"/>
  <c r="AA237" i="25"/>
  <c r="Z237" i="25" s="1"/>
  <c r="Y237" i="25" s="1"/>
  <c r="G237" i="25"/>
  <c r="CF237" i="6" s="1"/>
  <c r="H237" i="25"/>
  <c r="AA100" i="25"/>
  <c r="Z100" i="25" s="1"/>
  <c r="Y100" i="25" s="1"/>
  <c r="G100" i="25"/>
  <c r="CF100" i="6" s="1"/>
  <c r="H100" i="25"/>
  <c r="AA296" i="25"/>
  <c r="Z296" i="25" s="1"/>
  <c r="Y296" i="25" s="1"/>
  <c r="G296" i="25"/>
  <c r="CF296" i="6" s="1"/>
  <c r="H296" i="25"/>
  <c r="G277" i="25"/>
  <c r="CF277" i="6" s="1"/>
  <c r="H277" i="25"/>
  <c r="AA277" i="25"/>
  <c r="Z277" i="25" s="1"/>
  <c r="Y277" i="25" s="1"/>
  <c r="G59" i="25"/>
  <c r="CF59" i="6" s="1"/>
  <c r="AA59" i="25"/>
  <c r="Z59" i="25" s="1"/>
  <c r="Y59" i="25" s="1"/>
  <c r="H59" i="25"/>
  <c r="G41" i="25"/>
  <c r="CF41" i="6" s="1"/>
  <c r="AA41" i="25"/>
  <c r="Z41" i="25" s="1"/>
  <c r="Y41" i="25" s="1"/>
  <c r="H41" i="25"/>
  <c r="G76" i="25"/>
  <c r="CF76" i="6" s="1"/>
  <c r="AA76" i="25"/>
  <c r="Z76" i="25" s="1"/>
  <c r="Y76" i="25" s="1"/>
  <c r="H76" i="25"/>
  <c r="G51" i="25"/>
  <c r="CF51" i="6" s="1"/>
  <c r="H51" i="25"/>
  <c r="AA51" i="25"/>
  <c r="Z51" i="25" s="1"/>
  <c r="Y51" i="25" s="1"/>
  <c r="G143" i="25"/>
  <c r="CF143" i="6" s="1"/>
  <c r="AA143" i="25"/>
  <c r="Z143" i="25" s="1"/>
  <c r="Y143" i="25" s="1"/>
  <c r="H143" i="25"/>
  <c r="G344" i="25"/>
  <c r="CF344" i="6" s="1"/>
  <c r="AA344" i="25"/>
  <c r="Z344" i="25" s="1"/>
  <c r="Y344" i="25" s="1"/>
  <c r="H344" i="25"/>
  <c r="G347" i="25"/>
  <c r="CF347" i="6" s="1"/>
  <c r="AA347" i="25"/>
  <c r="Z347" i="25" s="1"/>
  <c r="Y347" i="25" s="1"/>
  <c r="H347" i="25"/>
  <c r="AA20" i="25"/>
  <c r="Z20" i="25" s="1"/>
  <c r="Y20" i="25" s="1"/>
  <c r="G20" i="25"/>
  <c r="CF20" i="6" s="1"/>
  <c r="H20" i="25"/>
  <c r="G235" i="25"/>
  <c r="CF235" i="6" s="1"/>
  <c r="AA235" i="25"/>
  <c r="Z235" i="25" s="1"/>
  <c r="Y235" i="25" s="1"/>
  <c r="H235" i="25"/>
  <c r="G54" i="25"/>
  <c r="CF54" i="6" s="1"/>
  <c r="H54" i="25"/>
  <c r="AA54" i="25"/>
  <c r="Z54" i="25" s="1"/>
  <c r="Y54" i="25" s="1"/>
  <c r="G21" i="25"/>
  <c r="CF21" i="6" s="1"/>
  <c r="AA21" i="25"/>
  <c r="Z21" i="25" s="1"/>
  <c r="Y21" i="25" s="1"/>
  <c r="H21" i="25"/>
  <c r="G167" i="25"/>
  <c r="CF167" i="6" s="1"/>
  <c r="AA167" i="25"/>
  <c r="Z167" i="25" s="1"/>
  <c r="Y167" i="25" s="1"/>
  <c r="H167" i="25"/>
  <c r="G351" i="25"/>
  <c r="CF351" i="6" s="1"/>
  <c r="AA351" i="25"/>
  <c r="Z351" i="25" s="1"/>
  <c r="Y351" i="25" s="1"/>
  <c r="H351" i="25"/>
  <c r="AA322" i="25"/>
  <c r="Z322" i="25" s="1"/>
  <c r="Y322" i="25" s="1"/>
  <c r="G322" i="25"/>
  <c r="CF322" i="6" s="1"/>
  <c r="H322" i="25"/>
  <c r="AA160" i="25"/>
  <c r="Z160" i="25" s="1"/>
  <c r="Y160" i="25" s="1"/>
  <c r="G160" i="25"/>
  <c r="CF160" i="6" s="1"/>
  <c r="H160" i="25"/>
  <c r="G77" i="25"/>
  <c r="CF77" i="6" s="1"/>
  <c r="AA77" i="25"/>
  <c r="Z77" i="25" s="1"/>
  <c r="Y77" i="25" s="1"/>
  <c r="H77" i="25"/>
  <c r="G376" i="25"/>
  <c r="CF376" i="6" s="1"/>
  <c r="AA376" i="25"/>
  <c r="Z376" i="25" s="1"/>
  <c r="Y376" i="25" s="1"/>
  <c r="H376" i="25"/>
  <c r="G184" i="25"/>
  <c r="CF184" i="6" s="1"/>
  <c r="AA184" i="25"/>
  <c r="Z184" i="25" s="1"/>
  <c r="Y184" i="25" s="1"/>
  <c r="H184" i="25"/>
  <c r="AA221" i="25"/>
  <c r="Z221" i="25" s="1"/>
  <c r="Y221" i="25" s="1"/>
  <c r="H221" i="25"/>
  <c r="G221" i="25"/>
  <c r="CF221" i="6" s="1"/>
  <c r="H16" i="25"/>
  <c r="AA16" i="25"/>
  <c r="Z16" i="25" s="1"/>
  <c r="Y16" i="25" s="1"/>
  <c r="G16" i="25"/>
  <c r="CF16" i="6" s="1"/>
  <c r="G346" i="25"/>
  <c r="CF346" i="6" s="1"/>
  <c r="AA346" i="25"/>
  <c r="Z346" i="25" s="1"/>
  <c r="Y346" i="25" s="1"/>
  <c r="H346" i="25"/>
  <c r="G75" i="25"/>
  <c r="CF75" i="6" s="1"/>
  <c r="AA75" i="25"/>
  <c r="Z75" i="25" s="1"/>
  <c r="Y75" i="25" s="1"/>
  <c r="H75" i="25"/>
  <c r="G129" i="25"/>
  <c r="CF129" i="6" s="1"/>
  <c r="H129" i="25"/>
  <c r="AA129" i="25"/>
  <c r="Z129" i="25" s="1"/>
  <c r="Y129" i="25" s="1"/>
  <c r="D241" i="25"/>
  <c r="E241" i="25" s="1"/>
  <c r="F241" i="25" s="1"/>
  <c r="W241" i="25"/>
  <c r="AA370" i="25"/>
  <c r="Z370" i="25" s="1"/>
  <c r="Y370" i="25" s="1"/>
  <c r="G370" i="25"/>
  <c r="CF370" i="6" s="1"/>
  <c r="H370" i="25"/>
  <c r="G330" i="25"/>
  <c r="CF330" i="6" s="1"/>
  <c r="AA330" i="25"/>
  <c r="Z330" i="25" s="1"/>
  <c r="Y330" i="25" s="1"/>
  <c r="H330" i="25"/>
  <c r="AA94" i="25"/>
  <c r="Z94" i="25" s="1"/>
  <c r="Y94" i="25" s="1"/>
  <c r="H94" i="25"/>
  <c r="G94" i="25"/>
  <c r="CF94" i="6" s="1"/>
  <c r="AA86" i="25"/>
  <c r="Z86" i="25" s="1"/>
  <c r="Y86" i="25" s="1"/>
  <c r="G86" i="25"/>
  <c r="CF86" i="6" s="1"/>
  <c r="H86" i="25"/>
  <c r="AA311" i="25"/>
  <c r="Z311" i="25" s="1"/>
  <c r="Y311" i="25" s="1"/>
  <c r="G311" i="25"/>
  <c r="CF311" i="6" s="1"/>
  <c r="H311" i="25"/>
  <c r="G189" i="25"/>
  <c r="CF189" i="6" s="1"/>
  <c r="AA189" i="25"/>
  <c r="Z189" i="25" s="1"/>
  <c r="Y189" i="25" s="1"/>
  <c r="H189" i="25"/>
  <c r="G309" i="25"/>
  <c r="CF309" i="6" s="1"/>
  <c r="AA309" i="25"/>
  <c r="Z309" i="25" s="1"/>
  <c r="Y309" i="25" s="1"/>
  <c r="H309" i="25"/>
  <c r="G156" i="25"/>
  <c r="CF156" i="6" s="1"/>
  <c r="AA156" i="25"/>
  <c r="Z156" i="25" s="1"/>
  <c r="Y156" i="25" s="1"/>
  <c r="H156" i="25"/>
  <c r="G313" i="25"/>
  <c r="CF313" i="6" s="1"/>
  <c r="H313" i="25"/>
  <c r="AA313" i="25"/>
  <c r="Z313" i="25" s="1"/>
  <c r="Y313" i="25" s="1"/>
  <c r="AA352" i="25"/>
  <c r="Z352" i="25" s="1"/>
  <c r="Y352" i="25" s="1"/>
  <c r="G352" i="25"/>
  <c r="CF352" i="6" s="1"/>
  <c r="H352" i="25"/>
  <c r="AA120" i="25"/>
  <c r="Z120" i="25" s="1"/>
  <c r="Y120" i="25" s="1"/>
  <c r="G120" i="25"/>
  <c r="CF120" i="6" s="1"/>
  <c r="H120" i="25"/>
  <c r="AA103" i="25"/>
  <c r="Z103" i="25" s="1"/>
  <c r="Y103" i="25" s="1"/>
  <c r="G103" i="25"/>
  <c r="CF103" i="6" s="1"/>
  <c r="H103" i="25"/>
  <c r="AA256" i="25"/>
  <c r="Z256" i="25" s="1"/>
  <c r="Y256" i="25" s="1"/>
  <c r="H256" i="25"/>
  <c r="G256" i="25"/>
  <c r="CF256" i="6" s="1"/>
  <c r="G200" i="25"/>
  <c r="CF200" i="6" s="1"/>
  <c r="H200" i="25"/>
  <c r="AA200" i="25"/>
  <c r="Z200" i="25" s="1"/>
  <c r="Y200" i="25" s="1"/>
  <c r="AA310" i="25"/>
  <c r="Z310" i="25" s="1"/>
  <c r="Y310" i="25" s="1"/>
  <c r="G310" i="25"/>
  <c r="CF310" i="6" s="1"/>
  <c r="H310" i="25"/>
  <c r="G195" i="25"/>
  <c r="CF195" i="6" s="1"/>
  <c r="AA195" i="25"/>
  <c r="Z195" i="25" s="1"/>
  <c r="Y195" i="25" s="1"/>
  <c r="H195" i="25"/>
  <c r="G36" i="25"/>
  <c r="CF36" i="6" s="1"/>
  <c r="AA36" i="25"/>
  <c r="Z36" i="25" s="1"/>
  <c r="Y36" i="25" s="1"/>
  <c r="H36" i="25"/>
  <c r="AA28" i="25"/>
  <c r="Z28" i="25" s="1"/>
  <c r="Y28" i="25" s="1"/>
  <c r="G28" i="25"/>
  <c r="CF28" i="6" s="1"/>
  <c r="H28" i="25"/>
  <c r="AA97" i="25"/>
  <c r="Z97" i="25" s="1"/>
  <c r="Y97" i="25" s="1"/>
  <c r="G97" i="25"/>
  <c r="CF97" i="6" s="1"/>
  <c r="H97" i="25"/>
  <c r="AA223" i="25"/>
  <c r="Z223" i="25" s="1"/>
  <c r="Y223" i="25" s="1"/>
  <c r="H223" i="25"/>
  <c r="G223" i="25"/>
  <c r="CF223" i="6" s="1"/>
  <c r="G146" i="25"/>
  <c r="CF146" i="6" s="1"/>
  <c r="H146" i="25"/>
  <c r="AA146" i="25"/>
  <c r="Z146" i="25" s="1"/>
  <c r="Y146" i="25" s="1"/>
  <c r="AA89" i="25"/>
  <c r="Z89" i="25" s="1"/>
  <c r="Y89" i="25" s="1"/>
  <c r="G89" i="25"/>
  <c r="CF89" i="6" s="1"/>
  <c r="H89" i="25"/>
  <c r="AA301" i="25"/>
  <c r="Z301" i="25" s="1"/>
  <c r="Y301" i="25" s="1"/>
  <c r="G301" i="25"/>
  <c r="CF301" i="6" s="1"/>
  <c r="H301" i="25"/>
  <c r="G192" i="25"/>
  <c r="CF192" i="6" s="1"/>
  <c r="AA192" i="25"/>
  <c r="Z192" i="25" s="1"/>
  <c r="Y192" i="25" s="1"/>
  <c r="H192" i="25"/>
  <c r="AA130" i="25"/>
  <c r="Z130" i="25" s="1"/>
  <c r="Y130" i="25" s="1"/>
  <c r="G130" i="25"/>
  <c r="CF130" i="6" s="1"/>
  <c r="H130" i="25"/>
  <c r="D135" i="25"/>
  <c r="E135" i="25" s="1"/>
  <c r="F135" i="25" s="1"/>
  <c r="W135" i="25"/>
  <c r="AA234" i="25"/>
  <c r="Z234" i="25" s="1"/>
  <c r="Y234" i="25" s="1"/>
  <c r="G234" i="25"/>
  <c r="CF234" i="6" s="1"/>
  <c r="H234" i="25"/>
  <c r="G24" i="25"/>
  <c r="CF24" i="6" s="1"/>
  <c r="AA24" i="25"/>
  <c r="Z24" i="25" s="1"/>
  <c r="Y24" i="25" s="1"/>
  <c r="H24" i="25"/>
  <c r="G23" i="25"/>
  <c r="CF23" i="6" s="1"/>
  <c r="AA23" i="25"/>
  <c r="Z23" i="25" s="1"/>
  <c r="Y23" i="25" s="1"/>
  <c r="H23" i="25"/>
  <c r="AA44" i="25"/>
  <c r="Z44" i="25" s="1"/>
  <c r="Y44" i="25" s="1"/>
  <c r="G44" i="25"/>
  <c r="CF44" i="6" s="1"/>
  <c r="H44" i="25"/>
  <c r="D60" i="25"/>
  <c r="E60" i="25" s="1"/>
  <c r="F60" i="25" s="1"/>
  <c r="W60" i="25"/>
  <c r="G80" i="25"/>
  <c r="CF80" i="6" s="1"/>
  <c r="AA80" i="25"/>
  <c r="Z80" i="25" s="1"/>
  <c r="Y80" i="25" s="1"/>
  <c r="H80" i="25"/>
  <c r="G113" i="25"/>
  <c r="CF113" i="6" s="1"/>
  <c r="AA113" i="25"/>
  <c r="Z113" i="25" s="1"/>
  <c r="Y113" i="25" s="1"/>
  <c r="H113" i="25"/>
  <c r="AA358" i="25"/>
  <c r="Z358" i="25" s="1"/>
  <c r="Y358" i="25" s="1"/>
  <c r="G358" i="25"/>
  <c r="CF358" i="6" s="1"/>
  <c r="H358" i="25"/>
  <c r="J70" i="19"/>
  <c r="AA111" i="25"/>
  <c r="Z111" i="25" s="1"/>
  <c r="Y111" i="25" s="1"/>
  <c r="G111" i="25"/>
  <c r="CF111" i="6" s="1"/>
  <c r="H111" i="25"/>
  <c r="AA206" i="25"/>
  <c r="Z206" i="25" s="1"/>
  <c r="Y206" i="25" s="1"/>
  <c r="H206" i="25"/>
  <c r="G206" i="25"/>
  <c r="CF206" i="6" s="1"/>
  <c r="G123" i="25"/>
  <c r="CF123" i="6" s="1"/>
  <c r="H123" i="25"/>
  <c r="AA123" i="25"/>
  <c r="Z123" i="25" s="1"/>
  <c r="Y123" i="25" s="1"/>
  <c r="W349" i="25"/>
  <c r="D349" i="25"/>
  <c r="E349" i="25" s="1"/>
  <c r="F349" i="25" s="1"/>
  <c r="AA326" i="25"/>
  <c r="Z326" i="25" s="1"/>
  <c r="Y326" i="25" s="1"/>
  <c r="G326" i="25"/>
  <c r="CF326" i="6" s="1"/>
  <c r="H326" i="25"/>
  <c r="D196" i="25"/>
  <c r="E196" i="25" s="1"/>
  <c r="F196" i="25" s="1"/>
  <c r="W196" i="25"/>
  <c r="G139" i="25"/>
  <c r="CF139" i="6" s="1"/>
  <c r="AA139" i="25"/>
  <c r="Z139" i="25" s="1"/>
  <c r="Y139" i="25" s="1"/>
  <c r="H139" i="25"/>
  <c r="G316" i="25"/>
  <c r="CF316" i="6" s="1"/>
  <c r="H316" i="25"/>
  <c r="AA316" i="25"/>
  <c r="Z316" i="25" s="1"/>
  <c r="Y316" i="25" s="1"/>
  <c r="AA47" i="25"/>
  <c r="Z47" i="25" s="1"/>
  <c r="Y47" i="25" s="1"/>
  <c r="G47" i="25"/>
  <c r="CF47" i="6" s="1"/>
  <c r="H47" i="25"/>
  <c r="AA173" i="25"/>
  <c r="Z173" i="25" s="1"/>
  <c r="Y173" i="25" s="1"/>
  <c r="G173" i="25"/>
  <c r="CF173" i="6" s="1"/>
  <c r="H173" i="25"/>
  <c r="AA96" i="25"/>
  <c r="Z96" i="25" s="1"/>
  <c r="Y96" i="25" s="1"/>
  <c r="H96" i="25"/>
  <c r="G96" i="25"/>
  <c r="CF96" i="6" s="1"/>
  <c r="AA354" i="25"/>
  <c r="Z354" i="25" s="1"/>
  <c r="Y354" i="25" s="1"/>
  <c r="G354" i="25"/>
  <c r="CF354" i="6" s="1"/>
  <c r="H354" i="25"/>
  <c r="G372" i="25"/>
  <c r="CF372" i="6" s="1"/>
  <c r="AA372" i="25"/>
  <c r="Z372" i="25" s="1"/>
  <c r="Y372" i="25" s="1"/>
  <c r="H372" i="25"/>
  <c r="E42" i="19"/>
  <c r="D17" i="19"/>
  <c r="G41" i="19"/>
  <c r="B18" i="24"/>
  <c r="AJ5" i="24" s="1"/>
  <c r="V381" i="24"/>
  <c r="B69" i="19"/>
  <c r="N69" i="19" s="1"/>
  <c r="V382" i="24"/>
  <c r="V383" i="24"/>
  <c r="E382" i="23"/>
  <c r="F15" i="23"/>
  <c r="E383" i="23"/>
  <c r="E9" i="23"/>
  <c r="E11" i="23" s="1"/>
  <c r="AJ10" i="23"/>
  <c r="AJ12" i="23" s="1"/>
  <c r="E381" i="23"/>
  <c r="AK8" i="23"/>
  <c r="H15" i="23"/>
  <c r="J15" i="23" s="1"/>
  <c r="AM13" i="20"/>
  <c r="AK4" i="20"/>
  <c r="R16" i="19" s="1"/>
  <c r="N17" i="19" s="1"/>
  <c r="I382" i="22"/>
  <c r="I381" i="22"/>
  <c r="I383" i="22"/>
  <c r="AL13" i="20"/>
  <c r="AA11" i="20"/>
  <c r="AA5" i="20" s="1"/>
  <c r="I16" i="19" s="1"/>
  <c r="Y11" i="20"/>
  <c r="J16" i="19"/>
  <c r="Z11" i="20"/>
  <c r="Z5" i="20" s="1"/>
  <c r="H16" i="19" s="1"/>
  <c r="AL7" i="22"/>
  <c r="AL8" i="22"/>
  <c r="Z383" i="22"/>
  <c r="Z382" i="22"/>
  <c r="Z9" i="22"/>
  <c r="Z381" i="22"/>
  <c r="Y15" i="22"/>
  <c r="AL5" i="22" s="1"/>
  <c r="G7" i="6"/>
  <c r="AO7" i="7"/>
  <c r="J383" i="22"/>
  <c r="J381" i="22"/>
  <c r="J382" i="22"/>
  <c r="E15" i="24"/>
  <c r="C58" i="19" l="1"/>
  <c r="AM9" i="23"/>
  <c r="AK9" i="23"/>
  <c r="AK11" i="23" s="1"/>
  <c r="D58" i="19"/>
  <c r="I59" i="19"/>
  <c r="C57" i="19"/>
  <c r="L57" i="19"/>
  <c r="L58" i="19"/>
  <c r="J354" i="25"/>
  <c r="I354" i="25"/>
  <c r="J96" i="25"/>
  <c r="I96" i="25"/>
  <c r="I173" i="25"/>
  <c r="J173" i="25"/>
  <c r="J326" i="25"/>
  <c r="I326" i="25"/>
  <c r="J123" i="25"/>
  <c r="I123" i="25"/>
  <c r="J57" i="19"/>
  <c r="J58" i="19"/>
  <c r="J59" i="19"/>
  <c r="J113" i="25"/>
  <c r="I113" i="25"/>
  <c r="J44" i="25"/>
  <c r="I44" i="25"/>
  <c r="J24" i="25"/>
  <c r="I24" i="25"/>
  <c r="I130" i="25"/>
  <c r="J130" i="25"/>
  <c r="J301" i="25"/>
  <c r="I301" i="25"/>
  <c r="I223" i="25"/>
  <c r="J223" i="25"/>
  <c r="J97" i="25"/>
  <c r="I97" i="25"/>
  <c r="I36" i="25"/>
  <c r="J36" i="25"/>
  <c r="J310" i="25"/>
  <c r="I310" i="25"/>
  <c r="I200" i="25"/>
  <c r="J200" i="25"/>
  <c r="J120" i="25"/>
  <c r="I120" i="25"/>
  <c r="I309" i="25"/>
  <c r="J309" i="25"/>
  <c r="J311" i="25"/>
  <c r="I311" i="25"/>
  <c r="I370" i="25"/>
  <c r="J370" i="25"/>
  <c r="G241" i="25"/>
  <c r="CF241" i="6" s="1"/>
  <c r="AA241" i="25"/>
  <c r="Z241" i="25" s="1"/>
  <c r="Y241" i="25" s="1"/>
  <c r="H241" i="25"/>
  <c r="I129" i="25"/>
  <c r="J129" i="25"/>
  <c r="I75" i="25"/>
  <c r="J75" i="25"/>
  <c r="I16" i="25"/>
  <c r="J16" i="25"/>
  <c r="I221" i="25"/>
  <c r="J221" i="25"/>
  <c r="I184" i="25"/>
  <c r="J184" i="25"/>
  <c r="J77" i="25"/>
  <c r="I77" i="25"/>
  <c r="I322" i="25"/>
  <c r="J322" i="25"/>
  <c r="I167" i="25"/>
  <c r="J167" i="25"/>
  <c r="I20" i="25"/>
  <c r="J20" i="25"/>
  <c r="I344" i="25"/>
  <c r="J344" i="25"/>
  <c r="I41" i="25"/>
  <c r="J41" i="25"/>
  <c r="I100" i="25"/>
  <c r="J100" i="25"/>
  <c r="J128" i="25"/>
  <c r="I128" i="25"/>
  <c r="I329" i="25"/>
  <c r="J329" i="25"/>
  <c r="AF382" i="25"/>
  <c r="AF381" i="25"/>
  <c r="AF383" i="25"/>
  <c r="AD15" i="25"/>
  <c r="I255" i="25"/>
  <c r="J255" i="25"/>
  <c r="J366" i="25"/>
  <c r="I366" i="25"/>
  <c r="J328" i="25"/>
  <c r="I328" i="25"/>
  <c r="I253" i="25"/>
  <c r="J253" i="25"/>
  <c r="I126" i="25"/>
  <c r="J126" i="25"/>
  <c r="I109" i="25"/>
  <c r="J109" i="25"/>
  <c r="I39" i="25"/>
  <c r="J39" i="25"/>
  <c r="J37" i="25"/>
  <c r="I37" i="25"/>
  <c r="J42" i="25"/>
  <c r="I42" i="25"/>
  <c r="I204" i="25"/>
  <c r="J204" i="25"/>
  <c r="I188" i="25"/>
  <c r="J188" i="25"/>
  <c r="J182" i="25"/>
  <c r="I182" i="25"/>
  <c r="J307" i="25"/>
  <c r="I307" i="25"/>
  <c r="J193" i="25"/>
  <c r="I193" i="25"/>
  <c r="J321" i="25"/>
  <c r="I321" i="25"/>
  <c r="I112" i="25"/>
  <c r="J112" i="25"/>
  <c r="I73" i="25"/>
  <c r="J73" i="25"/>
  <c r="I70" i="25"/>
  <c r="J70" i="25"/>
  <c r="J31" i="25"/>
  <c r="I31" i="25"/>
  <c r="J275" i="25"/>
  <c r="I275" i="25"/>
  <c r="I335" i="25"/>
  <c r="J335" i="25"/>
  <c r="I297" i="25"/>
  <c r="J297" i="25"/>
  <c r="I145" i="25"/>
  <c r="J145" i="25"/>
  <c r="I293" i="25"/>
  <c r="J293" i="25"/>
  <c r="J125" i="25"/>
  <c r="I125" i="25"/>
  <c r="I327" i="25"/>
  <c r="J327" i="25"/>
  <c r="I93" i="25"/>
  <c r="J93" i="25"/>
  <c r="J361" i="25"/>
  <c r="I361" i="25"/>
  <c r="G105" i="25"/>
  <c r="CF105" i="6" s="1"/>
  <c r="AA105" i="25"/>
  <c r="Z105" i="25" s="1"/>
  <c r="Y105" i="25" s="1"/>
  <c r="H105" i="25"/>
  <c r="I87" i="25"/>
  <c r="J87" i="25"/>
  <c r="I294" i="25"/>
  <c r="J294" i="25"/>
  <c r="J72" i="25"/>
  <c r="I72" i="25"/>
  <c r="J284" i="25"/>
  <c r="I284" i="25"/>
  <c r="J32" i="25"/>
  <c r="I32" i="25"/>
  <c r="I368" i="25"/>
  <c r="J368" i="25"/>
  <c r="I159" i="25"/>
  <c r="J159" i="25"/>
  <c r="J243" i="25"/>
  <c r="I243" i="25"/>
  <c r="I282" i="25"/>
  <c r="J282" i="25"/>
  <c r="J197" i="25"/>
  <c r="I197" i="25"/>
  <c r="I78" i="25"/>
  <c r="J78" i="25"/>
  <c r="M58" i="19"/>
  <c r="M59" i="19"/>
  <c r="M57" i="19"/>
  <c r="I263" i="25"/>
  <c r="J263" i="25"/>
  <c r="I132" i="25"/>
  <c r="J132" i="25"/>
  <c r="J360" i="25"/>
  <c r="I360" i="25"/>
  <c r="J303" i="25"/>
  <c r="I303" i="25"/>
  <c r="I190" i="25"/>
  <c r="J190" i="25"/>
  <c r="J191" i="25"/>
  <c r="I191" i="25"/>
  <c r="I144" i="25"/>
  <c r="J144" i="25"/>
  <c r="I339" i="25"/>
  <c r="J339" i="25"/>
  <c r="I364" i="25"/>
  <c r="J364" i="25"/>
  <c r="F59" i="19"/>
  <c r="F58" i="19"/>
  <c r="F57" i="19"/>
  <c r="J276" i="25"/>
  <c r="I276" i="25"/>
  <c r="I85" i="25"/>
  <c r="J85" i="25"/>
  <c r="I33" i="25"/>
  <c r="J33" i="25"/>
  <c r="I165" i="25"/>
  <c r="J165" i="25"/>
  <c r="I214" i="25"/>
  <c r="J214" i="25"/>
  <c r="J228" i="25"/>
  <c r="I228" i="25"/>
  <c r="J121" i="25"/>
  <c r="I121" i="25"/>
  <c r="I357" i="25"/>
  <c r="J357" i="25"/>
  <c r="I269" i="25"/>
  <c r="J269" i="25"/>
  <c r="J43" i="25"/>
  <c r="I43" i="25"/>
  <c r="J305" i="25"/>
  <c r="I305" i="25"/>
  <c r="I136" i="25"/>
  <c r="J136" i="25"/>
  <c r="I340" i="25"/>
  <c r="J340" i="25"/>
  <c r="J334" i="25"/>
  <c r="I334" i="25"/>
  <c r="I157" i="25"/>
  <c r="J157" i="25"/>
  <c r="I168" i="25"/>
  <c r="J168" i="25"/>
  <c r="I158" i="25"/>
  <c r="J158" i="25"/>
  <c r="I306" i="25"/>
  <c r="J306" i="25"/>
  <c r="J325" i="25"/>
  <c r="I325" i="25"/>
  <c r="I122" i="25"/>
  <c r="J122" i="25"/>
  <c r="I375" i="25"/>
  <c r="J375" i="25"/>
  <c r="J222" i="25"/>
  <c r="I222" i="25"/>
  <c r="I251" i="25"/>
  <c r="J251" i="25"/>
  <c r="I283" i="25"/>
  <c r="J283" i="25"/>
  <c r="J215" i="25"/>
  <c r="I215" i="25"/>
  <c r="I107" i="25"/>
  <c r="J107" i="25"/>
  <c r="J314" i="25"/>
  <c r="I314" i="25"/>
  <c r="I147" i="25"/>
  <c r="J147" i="25"/>
  <c r="I162" i="25"/>
  <c r="J162" i="25"/>
  <c r="J84" i="25"/>
  <c r="I84" i="25"/>
  <c r="J367" i="25"/>
  <c r="I367" i="25"/>
  <c r="I148" i="25"/>
  <c r="J148" i="25"/>
  <c r="J50" i="25"/>
  <c r="I50" i="25"/>
  <c r="I238" i="25"/>
  <c r="J238" i="25"/>
  <c r="J369" i="25"/>
  <c r="I369" i="25"/>
  <c r="I140" i="25"/>
  <c r="J140" i="25"/>
  <c r="G149" i="25"/>
  <c r="CF149" i="6" s="1"/>
  <c r="AA149" i="25"/>
  <c r="Z149" i="25" s="1"/>
  <c r="Y149" i="25" s="1"/>
  <c r="H149" i="25"/>
  <c r="J348" i="25"/>
  <c r="I348" i="25"/>
  <c r="J350" i="25"/>
  <c r="I350" i="25"/>
  <c r="I229" i="25"/>
  <c r="J229" i="25"/>
  <c r="I274" i="25"/>
  <c r="J274" i="25"/>
  <c r="AA302" i="25"/>
  <c r="Z302" i="25" s="1"/>
  <c r="Y302" i="25" s="1"/>
  <c r="H302" i="25"/>
  <c r="G302" i="25"/>
  <c r="CF302" i="6" s="1"/>
  <c r="J71" i="25"/>
  <c r="I71" i="25"/>
  <c r="I176" i="25"/>
  <c r="J176" i="25"/>
  <c r="AA88" i="25"/>
  <c r="Z88" i="25" s="1"/>
  <c r="Y88" i="25" s="1"/>
  <c r="G88" i="25"/>
  <c r="CF88" i="6" s="1"/>
  <c r="H88" i="25"/>
  <c r="I220" i="25"/>
  <c r="J220" i="25"/>
  <c r="J61" i="25"/>
  <c r="I61" i="25"/>
  <c r="J268" i="25"/>
  <c r="I268" i="25"/>
  <c r="I152" i="25"/>
  <c r="J152" i="25"/>
  <c r="I318" i="25"/>
  <c r="J318" i="25"/>
  <c r="J38" i="25"/>
  <c r="I38" i="25"/>
  <c r="AA272" i="25"/>
  <c r="Z272" i="25" s="1"/>
  <c r="Y272" i="25" s="1"/>
  <c r="G272" i="25"/>
  <c r="CF272" i="6" s="1"/>
  <c r="H272" i="25"/>
  <c r="G46" i="25"/>
  <c r="CF46" i="6" s="1"/>
  <c r="AA46" i="25"/>
  <c r="Z46" i="25" s="1"/>
  <c r="Y46" i="25" s="1"/>
  <c r="H46" i="25"/>
  <c r="I66" i="25"/>
  <c r="J66" i="25"/>
  <c r="J264" i="25"/>
  <c r="I264" i="25"/>
  <c r="J345" i="25"/>
  <c r="I345" i="25"/>
  <c r="D379" i="25"/>
  <c r="E379" i="25" s="1"/>
  <c r="F379" i="25" s="1"/>
  <c r="W379" i="25"/>
  <c r="J161" i="25"/>
  <c r="I161" i="25"/>
  <c r="J336" i="25"/>
  <c r="I336" i="25"/>
  <c r="I261" i="25"/>
  <c r="J261" i="25"/>
  <c r="J201" i="25"/>
  <c r="I201" i="25"/>
  <c r="I250" i="25"/>
  <c r="J250" i="25"/>
  <c r="J342" i="25"/>
  <c r="I342" i="25"/>
  <c r="I356" i="25"/>
  <c r="J356" i="25"/>
  <c r="J219" i="25"/>
  <c r="I219" i="25"/>
  <c r="AA119" i="25"/>
  <c r="Z119" i="25" s="1"/>
  <c r="Y119" i="25" s="1"/>
  <c r="G119" i="25"/>
  <c r="CF119" i="6" s="1"/>
  <c r="H119" i="25"/>
  <c r="I98" i="25"/>
  <c r="J98" i="25"/>
  <c r="J260" i="25"/>
  <c r="I260" i="25"/>
  <c r="I300" i="25"/>
  <c r="J300" i="25"/>
  <c r="G180" i="25"/>
  <c r="CF180" i="6" s="1"/>
  <c r="AA180" i="25"/>
  <c r="Z180" i="25" s="1"/>
  <c r="Y180" i="25" s="1"/>
  <c r="H180" i="25"/>
  <c r="I271" i="25"/>
  <c r="J271" i="25"/>
  <c r="J298" i="25"/>
  <c r="I298" i="25"/>
  <c r="J116" i="25"/>
  <c r="I116" i="25"/>
  <c r="J187" i="25"/>
  <c r="I187" i="25"/>
  <c r="I372" i="25"/>
  <c r="J372" i="25"/>
  <c r="I47" i="25"/>
  <c r="J47" i="25"/>
  <c r="J316" i="25"/>
  <c r="I316" i="25"/>
  <c r="J139" i="25"/>
  <c r="I139" i="25"/>
  <c r="G196" i="25"/>
  <c r="CF196" i="6" s="1"/>
  <c r="H196" i="25"/>
  <c r="AA196" i="25"/>
  <c r="Z196" i="25" s="1"/>
  <c r="Y196" i="25" s="1"/>
  <c r="AA349" i="25"/>
  <c r="Z349" i="25" s="1"/>
  <c r="Y349" i="25" s="1"/>
  <c r="G349" i="25"/>
  <c r="CF349" i="6" s="1"/>
  <c r="H349" i="25"/>
  <c r="J206" i="25"/>
  <c r="I206" i="25"/>
  <c r="I111" i="25"/>
  <c r="J111" i="25"/>
  <c r="J358" i="25"/>
  <c r="I358" i="25"/>
  <c r="J80" i="25"/>
  <c r="I80" i="25"/>
  <c r="AA60" i="25"/>
  <c r="Z60" i="25" s="1"/>
  <c r="Y60" i="25" s="1"/>
  <c r="G60" i="25"/>
  <c r="CF60" i="6" s="1"/>
  <c r="H60" i="25"/>
  <c r="J23" i="25"/>
  <c r="I23" i="25"/>
  <c r="I234" i="25"/>
  <c r="J234" i="25"/>
  <c r="AA135" i="25"/>
  <c r="Z135" i="25" s="1"/>
  <c r="Y135" i="25" s="1"/>
  <c r="G135" i="25"/>
  <c r="CF135" i="6" s="1"/>
  <c r="H135" i="25"/>
  <c r="I192" i="25"/>
  <c r="J192" i="25"/>
  <c r="J89" i="25"/>
  <c r="I89" i="25"/>
  <c r="I146" i="25"/>
  <c r="J146" i="25"/>
  <c r="J28" i="25"/>
  <c r="I28" i="25"/>
  <c r="I195" i="25"/>
  <c r="J195" i="25"/>
  <c r="J256" i="25"/>
  <c r="I256" i="25"/>
  <c r="I103" i="25"/>
  <c r="J103" i="25"/>
  <c r="J352" i="25"/>
  <c r="I352" i="25"/>
  <c r="J313" i="25"/>
  <c r="I313" i="25"/>
  <c r="I156" i="25"/>
  <c r="J156" i="25"/>
  <c r="I189" i="25"/>
  <c r="J189" i="25"/>
  <c r="I86" i="25"/>
  <c r="J86" i="25"/>
  <c r="I94" i="25"/>
  <c r="J94" i="25"/>
  <c r="I330" i="25"/>
  <c r="J330" i="25"/>
  <c r="J346" i="25"/>
  <c r="I346" i="25"/>
  <c r="I376" i="25"/>
  <c r="J376" i="25"/>
  <c r="J160" i="25"/>
  <c r="I160" i="25"/>
  <c r="J351" i="25"/>
  <c r="I351" i="25"/>
  <c r="J21" i="25"/>
  <c r="I21" i="25"/>
  <c r="J54" i="25"/>
  <c r="I54" i="25"/>
  <c r="I235" i="25"/>
  <c r="J235" i="25"/>
  <c r="I347" i="25"/>
  <c r="J347" i="25"/>
  <c r="I143" i="25"/>
  <c r="J143" i="25"/>
  <c r="J51" i="25"/>
  <c r="I51" i="25"/>
  <c r="I76" i="25"/>
  <c r="J76" i="25"/>
  <c r="J59" i="25"/>
  <c r="I59" i="25"/>
  <c r="I277" i="25"/>
  <c r="J277" i="25"/>
  <c r="I296" i="25"/>
  <c r="J296" i="25"/>
  <c r="I237" i="25"/>
  <c r="J237" i="25"/>
  <c r="I270" i="25"/>
  <c r="J270" i="25"/>
  <c r="I337" i="25"/>
  <c r="J337" i="25"/>
  <c r="J225" i="25"/>
  <c r="I225" i="25"/>
  <c r="I137" i="25"/>
  <c r="J137" i="25"/>
  <c r="I69" i="25"/>
  <c r="J69" i="25"/>
  <c r="J279" i="25"/>
  <c r="I279" i="25"/>
  <c r="I292" i="25"/>
  <c r="J292" i="25"/>
  <c r="J82" i="25"/>
  <c r="I82" i="25"/>
  <c r="I304" i="25"/>
  <c r="J304" i="25"/>
  <c r="J194" i="25"/>
  <c r="I194" i="25"/>
  <c r="I79" i="25"/>
  <c r="J79" i="25"/>
  <c r="J55" i="25"/>
  <c r="I55" i="25"/>
  <c r="I68" i="25"/>
  <c r="J68" i="25"/>
  <c r="I254" i="25"/>
  <c r="J254" i="25"/>
  <c r="I281" i="25"/>
  <c r="J281" i="25"/>
  <c r="I332" i="25"/>
  <c r="J332" i="25"/>
  <c r="J209" i="25"/>
  <c r="I209" i="25"/>
  <c r="J19" i="25"/>
  <c r="I19" i="25"/>
  <c r="J142" i="25"/>
  <c r="I142" i="25"/>
  <c r="I170" i="25"/>
  <c r="J170" i="25"/>
  <c r="I134" i="25"/>
  <c r="J134" i="25"/>
  <c r="J320" i="25"/>
  <c r="I320" i="25"/>
  <c r="I373" i="25"/>
  <c r="J373" i="25"/>
  <c r="J343" i="25"/>
  <c r="I343" i="25"/>
  <c r="AA363" i="25"/>
  <c r="Z363" i="25" s="1"/>
  <c r="Y363" i="25" s="1"/>
  <c r="G363" i="25"/>
  <c r="CF363" i="6" s="1"/>
  <c r="H363" i="25"/>
  <c r="J230" i="25"/>
  <c r="I230" i="25"/>
  <c r="J17" i="25"/>
  <c r="I17" i="25"/>
  <c r="J179" i="25"/>
  <c r="I179" i="25"/>
  <c r="J273" i="25"/>
  <c r="I273" i="25"/>
  <c r="I278" i="25"/>
  <c r="J278" i="25"/>
  <c r="J324" i="25"/>
  <c r="I324" i="25"/>
  <c r="AA289" i="25"/>
  <c r="Z289" i="25" s="1"/>
  <c r="Y289" i="25" s="1"/>
  <c r="H289" i="25"/>
  <c r="G289" i="25"/>
  <c r="CF289" i="6" s="1"/>
  <c r="I45" i="25"/>
  <c r="J45" i="25"/>
  <c r="I232" i="25"/>
  <c r="J232" i="25"/>
  <c r="J90" i="25"/>
  <c r="I90" i="25"/>
  <c r="J239" i="25"/>
  <c r="I239" i="25"/>
  <c r="G227" i="25"/>
  <c r="CF227" i="6" s="1"/>
  <c r="AA227" i="25"/>
  <c r="Z227" i="25" s="1"/>
  <c r="Y227" i="25" s="1"/>
  <c r="H227" i="25"/>
  <c r="J231" i="25"/>
  <c r="I231" i="25"/>
  <c r="J83" i="25"/>
  <c r="I83" i="25"/>
  <c r="I290" i="25"/>
  <c r="J290" i="25"/>
  <c r="J308" i="25"/>
  <c r="I308" i="25"/>
  <c r="I312" i="25"/>
  <c r="J312" i="25"/>
  <c r="I49" i="25"/>
  <c r="J49" i="25"/>
  <c r="J154" i="25"/>
  <c r="I154" i="25"/>
  <c r="J141" i="25"/>
  <c r="I141" i="25"/>
  <c r="G166" i="25"/>
  <c r="CF166" i="6" s="1"/>
  <c r="AA166" i="25"/>
  <c r="Z166" i="25" s="1"/>
  <c r="Y166" i="25" s="1"/>
  <c r="H166" i="25"/>
  <c r="J29" i="25"/>
  <c r="I29" i="25"/>
  <c r="J56" i="25"/>
  <c r="I56" i="25"/>
  <c r="I172" i="25"/>
  <c r="J172" i="25"/>
  <c r="I331" i="25"/>
  <c r="J331" i="25"/>
  <c r="I163" i="25"/>
  <c r="J163" i="25"/>
  <c r="J252" i="25"/>
  <c r="I252" i="25"/>
  <c r="G258" i="25"/>
  <c r="CF258" i="6" s="1"/>
  <c r="H258" i="25"/>
  <c r="AA258" i="25"/>
  <c r="Z258" i="25" s="1"/>
  <c r="Y258" i="25" s="1"/>
  <c r="J202" i="25"/>
  <c r="I202" i="25"/>
  <c r="I124" i="25"/>
  <c r="J124" i="25"/>
  <c r="I138" i="25"/>
  <c r="J138" i="25"/>
  <c r="J91" i="25"/>
  <c r="I91" i="25"/>
  <c r="I175" i="25"/>
  <c r="J175" i="25"/>
  <c r="I199" i="25"/>
  <c r="J199" i="25"/>
  <c r="J127" i="25"/>
  <c r="I127" i="25"/>
  <c r="J291" i="25"/>
  <c r="I291" i="25"/>
  <c r="I67" i="25"/>
  <c r="J67" i="25"/>
  <c r="I224" i="25"/>
  <c r="J224" i="25"/>
  <c r="J58" i="25"/>
  <c r="I58" i="25"/>
  <c r="I280" i="25"/>
  <c r="J280" i="25"/>
  <c r="I185" i="25"/>
  <c r="J185" i="25"/>
  <c r="J377" i="25"/>
  <c r="I377" i="25"/>
  <c r="I171" i="25"/>
  <c r="J171" i="25"/>
  <c r="J359" i="25"/>
  <c r="I359" i="25"/>
  <c r="J104" i="25"/>
  <c r="I104" i="25"/>
  <c r="I299" i="25"/>
  <c r="J299" i="25"/>
  <c r="I174" i="25"/>
  <c r="J174" i="25"/>
  <c r="J287" i="25"/>
  <c r="I287" i="25"/>
  <c r="I64" i="25"/>
  <c r="J64" i="25"/>
  <c r="I205" i="25"/>
  <c r="J205" i="25"/>
  <c r="I48" i="25"/>
  <c r="J48" i="25"/>
  <c r="J217" i="25"/>
  <c r="I217" i="25"/>
  <c r="J246" i="25"/>
  <c r="I246" i="25"/>
  <c r="J35" i="25"/>
  <c r="I35" i="25"/>
  <c r="I315" i="25"/>
  <c r="J315" i="25"/>
  <c r="I62" i="25"/>
  <c r="J62" i="25"/>
  <c r="J248" i="25"/>
  <c r="I248" i="25"/>
  <c r="J247" i="25"/>
  <c r="I247" i="25"/>
  <c r="AA333" i="25"/>
  <c r="Z333" i="25" s="1"/>
  <c r="Y333" i="25" s="1"/>
  <c r="G333" i="25"/>
  <c r="CF333" i="6" s="1"/>
  <c r="H333" i="25"/>
  <c r="J150" i="25"/>
  <c r="I150" i="25"/>
  <c r="I245" i="25"/>
  <c r="J245" i="25"/>
  <c r="I102" i="25"/>
  <c r="J102" i="25"/>
  <c r="J355" i="25"/>
  <c r="I355" i="25"/>
  <c r="I374" i="25"/>
  <c r="J374" i="25"/>
  <c r="I153" i="25"/>
  <c r="J153" i="25"/>
  <c r="I285" i="25"/>
  <c r="J285" i="25"/>
  <c r="I259" i="25"/>
  <c r="J259" i="25"/>
  <c r="J118" i="25"/>
  <c r="I118" i="25"/>
  <c r="J286" i="25"/>
  <c r="I286" i="25"/>
  <c r="I262" i="25"/>
  <c r="J262" i="25"/>
  <c r="I242" i="25"/>
  <c r="J242" i="25"/>
  <c r="I101" i="25"/>
  <c r="J101" i="25"/>
  <c r="J226" i="25"/>
  <c r="I226" i="25"/>
  <c r="J249" i="25"/>
  <c r="I249" i="25"/>
  <c r="J365" i="25"/>
  <c r="I365" i="25"/>
  <c r="J117" i="25"/>
  <c r="I117" i="25"/>
  <c r="I212" i="25"/>
  <c r="J212" i="25"/>
  <c r="I26" i="25"/>
  <c r="J26" i="25"/>
  <c r="I177" i="25"/>
  <c r="J177" i="25"/>
  <c r="J317" i="25"/>
  <c r="I317" i="25"/>
  <c r="J65" i="25"/>
  <c r="I65" i="25"/>
  <c r="I198" i="25"/>
  <c r="J198" i="25"/>
  <c r="I52" i="25"/>
  <c r="J52" i="25"/>
  <c r="I27" i="25"/>
  <c r="J27" i="25"/>
  <c r="J53" i="25"/>
  <c r="I53" i="25"/>
  <c r="I210" i="25"/>
  <c r="J210" i="25"/>
  <c r="J233" i="25"/>
  <c r="I233" i="25"/>
  <c r="J106" i="25"/>
  <c r="I106" i="25"/>
  <c r="J218" i="25"/>
  <c r="I218" i="25"/>
  <c r="R382" i="25"/>
  <c r="P15" i="25"/>
  <c r="R381" i="25"/>
  <c r="R383" i="25"/>
  <c r="I216" i="25"/>
  <c r="J216" i="25"/>
  <c r="J213" i="25"/>
  <c r="I213" i="25"/>
  <c r="J131" i="25"/>
  <c r="I131" i="25"/>
  <c r="I57" i="25"/>
  <c r="J57" i="25"/>
  <c r="G74" i="25"/>
  <c r="CF74" i="6" s="1"/>
  <c r="AA74" i="25"/>
  <c r="Z74" i="25" s="1"/>
  <c r="Y74" i="25" s="1"/>
  <c r="H74" i="25"/>
  <c r="I151" i="25"/>
  <c r="J151" i="25"/>
  <c r="I22" i="25"/>
  <c r="J22" i="25"/>
  <c r="E58" i="19"/>
  <c r="E57" i="19"/>
  <c r="E59" i="19"/>
  <c r="J30" i="25"/>
  <c r="I30" i="25"/>
  <c r="I169" i="25"/>
  <c r="J169" i="25"/>
  <c r="I257" i="25"/>
  <c r="J257" i="25"/>
  <c r="J323" i="25"/>
  <c r="I323" i="25"/>
  <c r="J155" i="25"/>
  <c r="I155" i="25"/>
  <c r="J211" i="25"/>
  <c r="I211" i="25"/>
  <c r="J266" i="25"/>
  <c r="I266" i="25"/>
  <c r="J244" i="25"/>
  <c r="I244" i="25"/>
  <c r="I114" i="25"/>
  <c r="J114" i="25"/>
  <c r="I362" i="25"/>
  <c r="J362" i="25"/>
  <c r="J240" i="25"/>
  <c r="I240" i="25"/>
  <c r="J81" i="25"/>
  <c r="I81" i="25"/>
  <c r="I203" i="25"/>
  <c r="J203" i="25"/>
  <c r="AA319" i="25"/>
  <c r="Z319" i="25" s="1"/>
  <c r="Y319" i="25" s="1"/>
  <c r="G319" i="25"/>
  <c r="CF319" i="6" s="1"/>
  <c r="H319" i="25"/>
  <c r="I295" i="25"/>
  <c r="J295" i="25"/>
  <c r="J181" i="25"/>
  <c r="I181" i="25"/>
  <c r="I164" i="25"/>
  <c r="J164" i="25"/>
  <c r="I178" i="25"/>
  <c r="J178" i="25"/>
  <c r="J338" i="25"/>
  <c r="I338" i="25"/>
  <c r="AJ13" i="23"/>
  <c r="H40" i="19"/>
  <c r="C18" i="19"/>
  <c r="F42" i="19"/>
  <c r="I40" i="19"/>
  <c r="E17" i="19"/>
  <c r="F17" i="19" s="1"/>
  <c r="D18" i="24"/>
  <c r="AJ7" i="24" s="1"/>
  <c r="W18" i="24"/>
  <c r="B18" i="25"/>
  <c r="B381" i="24"/>
  <c r="AJ6" i="24"/>
  <c r="H9" i="24"/>
  <c r="B19" i="19" s="1"/>
  <c r="B383" i="24"/>
  <c r="B382" i="24"/>
  <c r="AK6" i="24"/>
  <c r="I15" i="23"/>
  <c r="I382" i="23" s="1"/>
  <c r="F9" i="23"/>
  <c r="F381" i="23"/>
  <c r="F383" i="23"/>
  <c r="AA15" i="23"/>
  <c r="F382" i="23"/>
  <c r="AK10" i="23"/>
  <c r="AK12" i="23" s="1"/>
  <c r="AM10" i="23"/>
  <c r="G15" i="23"/>
  <c r="CD15" i="6" s="1"/>
  <c r="AL11" i="22"/>
  <c r="AJ3" i="22" s="1"/>
  <c r="O17" i="19" s="1"/>
  <c r="M17" i="19" s="1"/>
  <c r="AL6" i="22"/>
  <c r="AL12" i="22" s="1"/>
  <c r="AJ4" i="22" s="1"/>
  <c r="P17" i="19" s="1"/>
  <c r="Y383" i="22"/>
  <c r="X9" i="22"/>
  <c r="Y382" i="22"/>
  <c r="AM6" i="22"/>
  <c r="AM12" i="22" s="1"/>
  <c r="Y381" i="22"/>
  <c r="AK7" i="24"/>
  <c r="J382" i="23"/>
  <c r="J381" i="23"/>
  <c r="J383" i="23"/>
  <c r="F15" i="24"/>
  <c r="AK13" i="23" l="1"/>
  <c r="AL9" i="23"/>
  <c r="AM7" i="23"/>
  <c r="P382" i="25"/>
  <c r="P381" i="25"/>
  <c r="V15" i="25"/>
  <c r="P383" i="25"/>
  <c r="I333" i="25"/>
  <c r="J333" i="25"/>
  <c r="I258" i="25"/>
  <c r="J258" i="25"/>
  <c r="I166" i="25"/>
  <c r="J166" i="25"/>
  <c r="I135" i="25"/>
  <c r="J135" i="25"/>
  <c r="J349" i="25"/>
  <c r="I349" i="25"/>
  <c r="J196" i="25"/>
  <c r="I196" i="25"/>
  <c r="J180" i="25"/>
  <c r="I180" i="25"/>
  <c r="J46" i="25"/>
  <c r="I46" i="25"/>
  <c r="J88" i="25"/>
  <c r="I88" i="25"/>
  <c r="J302" i="25"/>
  <c r="I302" i="25"/>
  <c r="I149" i="25"/>
  <c r="J149" i="25"/>
  <c r="AD383" i="25"/>
  <c r="AD382" i="25"/>
  <c r="AD381" i="25"/>
  <c r="J241" i="25"/>
  <c r="I241" i="25"/>
  <c r="J319" i="25"/>
  <c r="I319" i="25"/>
  <c r="I74" i="25"/>
  <c r="J74" i="25"/>
  <c r="I227" i="25"/>
  <c r="J227" i="25"/>
  <c r="I289" i="25"/>
  <c r="J289" i="25"/>
  <c r="I363" i="25"/>
  <c r="J363" i="25"/>
  <c r="I60" i="25"/>
  <c r="J60" i="25"/>
  <c r="I119" i="25"/>
  <c r="J119" i="25"/>
  <c r="G379" i="25"/>
  <c r="CF379" i="6" s="1"/>
  <c r="H379" i="25"/>
  <c r="AA379" i="25"/>
  <c r="Z379" i="25" s="1"/>
  <c r="Y379" i="25" s="1"/>
  <c r="I272" i="25"/>
  <c r="J272" i="25"/>
  <c r="I105" i="25"/>
  <c r="J105" i="25"/>
  <c r="AK5" i="25"/>
  <c r="W18" i="25"/>
  <c r="D18" i="25"/>
  <c r="E18" i="24"/>
  <c r="AJ9" i="24" s="1"/>
  <c r="AJ11" i="24" s="1"/>
  <c r="D382" i="24"/>
  <c r="D9" i="24"/>
  <c r="D11" i="24" s="1"/>
  <c r="D383" i="24"/>
  <c r="AJ8" i="24"/>
  <c r="D381" i="24"/>
  <c r="I383" i="23"/>
  <c r="I381" i="23"/>
  <c r="G383" i="23"/>
  <c r="G12" i="23" s="1"/>
  <c r="G381" i="23"/>
  <c r="G382" i="23"/>
  <c r="AM8" i="23"/>
  <c r="Z15" i="23"/>
  <c r="AA381" i="23"/>
  <c r="AA383" i="23"/>
  <c r="AA382" i="23"/>
  <c r="AA9" i="23"/>
  <c r="AL10" i="23"/>
  <c r="G18" i="19"/>
  <c r="J42" i="19" s="1"/>
  <c r="F11" i="23"/>
  <c r="AB9" i="23"/>
  <c r="AL13" i="22"/>
  <c r="AK4" i="22"/>
  <c r="R17" i="19" s="1"/>
  <c r="AM13" i="22"/>
  <c r="J17" i="19"/>
  <c r="AA11" i="22"/>
  <c r="AA5" i="22" s="1"/>
  <c r="I17" i="19" s="1"/>
  <c r="Y11" i="22"/>
  <c r="Z11" i="22"/>
  <c r="Z5" i="22" s="1"/>
  <c r="H17" i="19" s="1"/>
  <c r="AK9" i="24"/>
  <c r="AM9" i="24"/>
  <c r="AK11" i="24"/>
  <c r="G15" i="24"/>
  <c r="CE15" i="6" s="1"/>
  <c r="AA15" i="24"/>
  <c r="H15" i="24"/>
  <c r="I379" i="25" l="1"/>
  <c r="J379" i="25"/>
  <c r="B15" i="25"/>
  <c r="AJ6" i="25" s="1"/>
  <c r="B70" i="19"/>
  <c r="V380" i="25"/>
  <c r="V381" i="25" s="1"/>
  <c r="E43" i="19"/>
  <c r="H41" i="19"/>
  <c r="I41" i="19"/>
  <c r="D18" i="19"/>
  <c r="G42" i="19"/>
  <c r="E18" i="25"/>
  <c r="F18" i="24"/>
  <c r="E382" i="24"/>
  <c r="AJ10" i="24"/>
  <c r="AJ12" i="24" s="1"/>
  <c r="AJ13" i="24" s="1"/>
  <c r="AK8" i="24"/>
  <c r="E381" i="24"/>
  <c r="E383" i="24"/>
  <c r="E9" i="24"/>
  <c r="E11" i="24" s="1"/>
  <c r="AL7" i="23"/>
  <c r="Z382" i="23"/>
  <c r="Z383" i="23"/>
  <c r="AL8" i="23"/>
  <c r="Y15" i="23"/>
  <c r="Z9" i="23"/>
  <c r="Z381" i="23"/>
  <c r="AU7" i="7"/>
  <c r="H7" i="6"/>
  <c r="AM7" i="24"/>
  <c r="J15" i="24"/>
  <c r="I15" i="24"/>
  <c r="Z15" i="24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V383" i="25"/>
  <c r="W15" i="25"/>
  <c r="D15" i="25"/>
  <c r="AJ8" i="25" s="1"/>
  <c r="AK6" i="25"/>
  <c r="B382" i="25"/>
  <c r="AJ5" i="25"/>
  <c r="B383" i="25"/>
  <c r="H9" i="25"/>
  <c r="B20" i="19" s="1"/>
  <c r="B381" i="25"/>
  <c r="V382" i="25"/>
  <c r="B58" i="19"/>
  <c r="B59" i="19"/>
  <c r="N70" i="19"/>
  <c r="B57" i="19"/>
  <c r="AK7" i="25"/>
  <c r="C19" i="19"/>
  <c r="F43" i="19"/>
  <c r="E18" i="19"/>
  <c r="F18" i="19" s="1"/>
  <c r="H18" i="24"/>
  <c r="AA18" i="24"/>
  <c r="AL9" i="24" s="1"/>
  <c r="G18" i="24"/>
  <c r="CE18" i="6" s="1"/>
  <c r="F382" i="24"/>
  <c r="AK10" i="24"/>
  <c r="AK12" i="24" s="1"/>
  <c r="AK13" i="24" s="1"/>
  <c r="AM10" i="24"/>
  <c r="F9" i="24"/>
  <c r="F383" i="24"/>
  <c r="F381" i="24"/>
  <c r="F18" i="25"/>
  <c r="X9" i="23"/>
  <c r="Y383" i="23"/>
  <c r="Y382" i="23"/>
  <c r="AL6" i="23"/>
  <c r="AL12" i="23" s="1"/>
  <c r="AJ4" i="23" s="1"/>
  <c r="P18" i="19" s="1"/>
  <c r="Y381" i="23"/>
  <c r="AM6" i="23"/>
  <c r="AM12" i="23" s="1"/>
  <c r="Y15" i="24"/>
  <c r="N57" i="19" l="1"/>
  <c r="N58" i="19"/>
  <c r="N59" i="19"/>
  <c r="E15" i="25"/>
  <c r="AJ10" i="25" s="1"/>
  <c r="AJ12" i="25" s="1"/>
  <c r="AJ7" i="25"/>
  <c r="D381" i="25"/>
  <c r="D382" i="25"/>
  <c r="D383" i="25"/>
  <c r="D9" i="25"/>
  <c r="D11" i="25" s="1"/>
  <c r="B9" i="19"/>
  <c r="AM9" i="25"/>
  <c r="AK9" i="25"/>
  <c r="AK11" i="25" s="1"/>
  <c r="AA18" i="25"/>
  <c r="G18" i="25"/>
  <c r="CF18" i="6" s="1"/>
  <c r="Z18" i="24"/>
  <c r="AL7" i="24" s="1"/>
  <c r="AA382" i="24"/>
  <c r="AA383" i="24"/>
  <c r="AM8" i="24"/>
  <c r="AA9" i="24"/>
  <c r="AA381" i="24"/>
  <c r="AL10" i="24"/>
  <c r="G19" i="19"/>
  <c r="J43" i="19" s="1"/>
  <c r="AB9" i="24"/>
  <c r="F11" i="24"/>
  <c r="G382" i="24"/>
  <c r="G381" i="24"/>
  <c r="G383" i="24"/>
  <c r="G12" i="24" s="1"/>
  <c r="J18" i="24"/>
  <c r="I18" i="24"/>
  <c r="AM13" i="23"/>
  <c r="AK4" i="23"/>
  <c r="R18" i="19" s="1"/>
  <c r="AL13" i="23"/>
  <c r="Y11" i="23"/>
  <c r="Z11" i="23"/>
  <c r="Z5" i="23" s="1"/>
  <c r="H18" i="19" s="1"/>
  <c r="J18" i="19"/>
  <c r="AA11" i="23"/>
  <c r="AA5" i="23" s="1"/>
  <c r="I18" i="19" s="1"/>
  <c r="AM5" i="24"/>
  <c r="AM11" i="24" s="1"/>
  <c r="AK3" i="24" s="1"/>
  <c r="Q19" i="19" s="1"/>
  <c r="E44" i="19" l="1"/>
  <c r="F15" i="25"/>
  <c r="AJ9" i="25"/>
  <c r="AJ11" i="25" s="1"/>
  <c r="AJ13" i="25" s="1"/>
  <c r="E382" i="25"/>
  <c r="E383" i="25"/>
  <c r="E9" i="25"/>
  <c r="E11" i="25" s="1"/>
  <c r="E381" i="25"/>
  <c r="AK8" i="25"/>
  <c r="AM7" i="25"/>
  <c r="I42" i="19"/>
  <c r="H42" i="19"/>
  <c r="D19" i="19"/>
  <c r="G43" i="19"/>
  <c r="I383" i="24"/>
  <c r="I382" i="24"/>
  <c r="I381" i="24"/>
  <c r="BA7" i="7"/>
  <c r="I7" i="6"/>
  <c r="Y18" i="24"/>
  <c r="AL5" i="24" s="1"/>
  <c r="AL11" i="24" s="1"/>
  <c r="AJ3" i="24" s="1"/>
  <c r="O19" i="19" s="1"/>
  <c r="M19" i="19" s="1"/>
  <c r="Z383" i="24"/>
  <c r="AL8" i="24"/>
  <c r="Z9" i="24"/>
  <c r="Z382" i="24"/>
  <c r="Z381" i="24"/>
  <c r="H18" i="25"/>
  <c r="J381" i="24"/>
  <c r="J382" i="24"/>
  <c r="J383" i="24"/>
  <c r="Z18" i="25"/>
  <c r="N19" i="19"/>
  <c r="E33" i="19" l="1"/>
  <c r="C20" i="19"/>
  <c r="F44" i="19"/>
  <c r="G15" i="25"/>
  <c r="AA15" i="25"/>
  <c r="AL10" i="25" s="1"/>
  <c r="H15" i="25"/>
  <c r="AK10" i="25"/>
  <c r="AK12" i="25" s="1"/>
  <c r="AK13" i="25" s="1"/>
  <c r="F383" i="25"/>
  <c r="AM10" i="25"/>
  <c r="F381" i="25"/>
  <c r="F9" i="25"/>
  <c r="F382" i="25"/>
  <c r="E19" i="19"/>
  <c r="F19" i="19" s="1"/>
  <c r="Y18" i="25"/>
  <c r="AM6" i="24"/>
  <c r="AM12" i="24" s="1"/>
  <c r="Y382" i="24"/>
  <c r="Y381" i="24"/>
  <c r="X9" i="24"/>
  <c r="Z11" i="24" s="1"/>
  <c r="Z5" i="24" s="1"/>
  <c r="H19" i="19" s="1"/>
  <c r="Y383" i="24"/>
  <c r="AL6" i="24"/>
  <c r="AL12" i="24" s="1"/>
  <c r="J18" i="25"/>
  <c r="I18" i="25"/>
  <c r="F33" i="19" l="1"/>
  <c r="I15" i="25"/>
  <c r="I381" i="25" s="1"/>
  <c r="J15" i="25"/>
  <c r="J382" i="25" s="1"/>
  <c r="CF15" i="6"/>
  <c r="J2" i="6" s="1"/>
  <c r="G382" i="25"/>
  <c r="G383" i="25"/>
  <c r="G12" i="25" s="1"/>
  <c r="G381" i="25"/>
  <c r="C9" i="19"/>
  <c r="F11" i="25"/>
  <c r="AB9" i="25"/>
  <c r="G20" i="19"/>
  <c r="Z15" i="25"/>
  <c r="AL8" i="25" s="1"/>
  <c r="AL9" i="25"/>
  <c r="AA9" i="25"/>
  <c r="AA383" i="25"/>
  <c r="AA382" i="25"/>
  <c r="AM8" i="25"/>
  <c r="AA381" i="25"/>
  <c r="AM5" i="25"/>
  <c r="AM11" i="25" s="1"/>
  <c r="AK3" i="25" s="1"/>
  <c r="Q20" i="19" s="1"/>
  <c r="H43" i="19"/>
  <c r="J381" i="25"/>
  <c r="AK4" i="24"/>
  <c r="R19" i="19" s="1"/>
  <c r="AM13" i="24"/>
  <c r="AJ4" i="24"/>
  <c r="P19" i="19" s="1"/>
  <c r="AL13" i="24"/>
  <c r="Y11" i="24"/>
  <c r="J19" i="19"/>
  <c r="AA11" i="24"/>
  <c r="AA5" i="24" s="1"/>
  <c r="I19" i="19" s="1"/>
  <c r="J383" i="25" l="1"/>
  <c r="I382" i="25"/>
  <c r="I383" i="25"/>
  <c r="Y15" i="25"/>
  <c r="AL6" i="25" s="1"/>
  <c r="AL12" i="25" s="1"/>
  <c r="AJ4" i="25" s="1"/>
  <c r="P20" i="19" s="1"/>
  <c r="AL7" i="25"/>
  <c r="Z9" i="25"/>
  <c r="Z382" i="25"/>
  <c r="Z381" i="25"/>
  <c r="Z383" i="25"/>
  <c r="J44" i="19"/>
  <c r="J33" i="19" s="1"/>
  <c r="G9" i="19"/>
  <c r="D20" i="19"/>
  <c r="G44" i="19"/>
  <c r="BG7" i="7"/>
  <c r="J7" i="6"/>
  <c r="N20" i="19"/>
  <c r="I43" i="19"/>
  <c r="G33" i="19" l="1"/>
  <c r="E20" i="19"/>
  <c r="D9" i="19"/>
  <c r="AL5" i="25"/>
  <c r="AL11" i="25" s="1"/>
  <c r="Y382" i="25"/>
  <c r="X9" i="25"/>
  <c r="Y381" i="25"/>
  <c r="AM6" i="25"/>
  <c r="AM12" i="25" s="1"/>
  <c r="Y383" i="25"/>
  <c r="AM13" i="25" l="1"/>
  <c r="AK4" i="25"/>
  <c r="R20" i="19" s="1"/>
  <c r="J20" i="19"/>
  <c r="Y11" i="25"/>
  <c r="AA11" i="25"/>
  <c r="AA5" i="25" s="1"/>
  <c r="I20" i="19" s="1"/>
  <c r="Z11" i="25"/>
  <c r="Z5" i="25" s="1"/>
  <c r="H20" i="19" s="1"/>
  <c r="AJ3" i="25"/>
  <c r="O20" i="19" s="1"/>
  <c r="M20" i="19" s="1"/>
  <c r="AL13" i="25"/>
  <c r="F20" i="19"/>
  <c r="E9" i="19"/>
  <c r="O33" i="19" l="1"/>
  <c r="O35" i="19"/>
  <c r="N35" i="19" s="1"/>
  <c r="O34" i="19"/>
  <c r="N34" i="19" s="1"/>
  <c r="O36" i="19"/>
  <c r="F9" i="19"/>
  <c r="H44" i="19"/>
  <c r="H33" i="19" s="1"/>
  <c r="H9" i="19"/>
  <c r="I9" i="19"/>
  <c r="I44" i="19"/>
  <c r="I33" i="19" s="1"/>
  <c r="J9" i="19"/>
  <c r="N36" i="19" l="1"/>
  <c r="N33" i="19"/>
  <c r="O32" i="19"/>
  <c r="N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J7" authorId="0" shapeId="0">
      <text>
        <r>
          <rPr>
            <sz val="9"/>
            <color indexed="81"/>
            <rFont val="Tahoma"/>
            <family val="2"/>
          </rPr>
          <t>Normale au champ PV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>Hauteur moyenne du champ PV par rapport au sol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186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1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compensation des valeurs exceptionnelles écrasées</t>
        </r>
      </text>
    </comment>
  </commentList>
</comments>
</file>

<file path=xl/sharedStrings.xml><?xml version="1.0" encoding="utf-8"?>
<sst xmlns="http://schemas.openxmlformats.org/spreadsheetml/2006/main" count="2039" uniqueCount="335">
  <si>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</si>
  <si>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</si>
  <si>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</si>
  <si>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</si>
  <si>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</si>
  <si>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</si>
  <si>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</si>
  <si>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</si>
  <si>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</si>
  <si>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</si>
  <si>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</si>
  <si>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</si>
  <si>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</si>
  <si>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</si>
  <si>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</si>
  <si>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Azimut: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</si>
  <si>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</si>
  <si>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</si>
  <si>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</si>
  <si>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</si>
  <si>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</si>
  <si>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</si>
  <si>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</si>
  <si>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</si>
  <si>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</si>
  <si>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</si>
  <si>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</si>
  <si>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</si>
  <si>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</si>
  <si>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</si>
  <si>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</si>
  <si>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</si>
  <si>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</si>
  <si>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</si>
  <si>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</si>
  <si>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</si>
  <si>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</si>
  <si>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</si>
  <si>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</si>
  <si>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</si>
  <si>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</si>
  <si>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</si>
  <si>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</si>
  <si>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</si>
  <si>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</si>
  <si>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</si>
  <si>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</si>
  <si>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</si>
  <si>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</si>
  <si>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</si>
  <si>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</si>
  <si>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</si>
  <si>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</si>
  <si>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</si>
  <si>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</si>
  <si>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</si>
  <si>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</si>
  <si>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</si>
  <si>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</si>
  <si>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</si>
  <si>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</si>
  <si>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</si>
  <si>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</si>
  <si>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</si>
  <si>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</si>
  <si>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</si>
  <si>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</si>
  <si>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</si>
  <si>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</si>
  <si>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</si>
  <si>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</si>
  <si>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</si>
  <si>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</si>
  <si>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</si>
  <si>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</si>
  <si>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</si>
  <si>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Hauteur au centre du champ PV: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</si>
  <si>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</si>
  <si>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</si>
  <si>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</si>
  <si>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</si>
  <si>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</si>
  <si>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</si>
  <si>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</si>
  <si>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</si>
  <si>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</si>
  <si>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</si>
  <si>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</si>
  <si>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</si>
  <si>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</si>
  <si>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</si>
  <si>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</si>
  <si>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</si>
  <si>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</si>
  <si>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h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</si>
  <si>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</si>
  <si>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</si>
  <si>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</si>
  <si>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</si>
  <si>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</si>
  <si>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</si>
  <si>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</si>
  <si>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</si>
  <si>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</si>
  <si>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</si>
  <si>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</si>
  <si>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</si>
  <si>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</si>
  <si>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</si>
  <si>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</si>
  <si>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</si>
  <si>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</si>
  <si>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</si>
  <si>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</si>
  <si>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</si>
  <si>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</si>
  <si>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</si>
  <si>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</si>
  <si>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</si>
  <si>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</si>
  <si>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</si>
  <si>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</si>
  <si>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</si>
  <si>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</si>
  <si>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</si>
  <si>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</si>
  <si>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</si>
  <si>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</si>
  <si>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</si>
  <si>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</si>
  <si>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</si>
  <si>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</si>
  <si>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</si>
  <si>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</si>
  <si>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</si>
  <si>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</si>
  <si>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</si>
  <si>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</si>
  <si>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</si>
  <si>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</si>
  <si>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</si>
  <si>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</si>
  <si>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Répartition panneaux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</si>
  <si>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</si>
  <si>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</si>
  <si>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</si>
  <si>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</si>
  <si>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</si>
  <si>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</si>
  <si>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</si>
  <si>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</si>
  <si>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</si>
  <si>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</si>
  <si>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</si>
  <si>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</si>
  <si>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</si>
  <si>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</si>
  <si>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</si>
  <si>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</si>
  <si>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</si>
  <si>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Centre PV</t>
  </si>
  <si>
    <t>Arbre 1</t>
  </si>
  <si>
    <t>Arbre 2</t>
  </si>
  <si>
    <t>Arbre 3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</si>
  <si>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</si>
  <si>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</si>
  <si>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</si>
  <si>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</si>
  <si>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</si>
  <si>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</si>
  <si>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</si>
  <si>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</si>
  <si>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</si>
  <si>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</si>
  <si>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</si>
  <si>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</si>
  <si>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</si>
  <si>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</si>
  <si>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</si>
  <si>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</si>
  <si>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</si>
  <si>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</si>
  <si>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</si>
  <si>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</si>
  <si>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</si>
  <si>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</si>
  <si>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</si>
  <si>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</si>
  <si>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</si>
  <si>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</si>
  <si>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</si>
  <si>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</si>
  <si>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</si>
  <si>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</si>
  <si>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</si>
  <si>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moyennes: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</si>
  <si>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</si>
  <si>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</si>
  <si>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</si>
  <si>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</si>
  <si>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</si>
  <si>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</si>
  <si>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</si>
  <si>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</si>
  <si>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</si>
  <si>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</si>
  <si>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</si>
  <si>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</si>
  <si>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</si>
  <si>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</si>
  <si>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</si>
  <si>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</si>
  <si>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</si>
  <si>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</si>
  <si>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</si>
  <si>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</si>
  <si>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</si>
  <si>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</si>
  <si>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</si>
  <si>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</si>
  <si>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</si>
  <si>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</si>
  <si>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</si>
  <si>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</si>
  <si>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</si>
  <si>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</si>
  <si>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</si>
  <si>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</si>
  <si>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</si>
  <si>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</si>
  <si>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</si>
  <si>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</si>
  <si>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</si>
  <si>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</si>
  <si>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</si>
  <si>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</si>
  <si>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</si>
  <si>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Erp max: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</si>
  <si>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</si>
  <si>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</si>
  <si>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</si>
  <si>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</si>
  <si>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</si>
  <si>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</si>
  <si>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</si>
  <si>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</si>
  <si>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</si>
  <si>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</si>
  <si>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</si>
  <si>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</si>
  <si>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</si>
  <si>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</si>
  <si>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</si>
  <si>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</si>
  <si>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</si>
  <si>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</si>
  <si>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</si>
  <si>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</si>
  <si>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</si>
  <si>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</si>
  <si>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</si>
  <si>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</si>
  <si>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</si>
  <si>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</si>
  <si>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>Hauteur 0 = sol base verstiaire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</si>
  <si>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</si>
  <si>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</si>
  <si>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</si>
  <si>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</si>
  <si>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</si>
  <si>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</si>
  <si>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</si>
  <si>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</si>
  <si>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</si>
  <si>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</si>
  <si>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</si>
  <si>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</si>
  <si>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</si>
  <si>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</si>
  <si>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</si>
  <si>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</si>
  <si>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</si>
  <si>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</si>
  <si>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</si>
  <si>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</si>
  <si>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</si>
  <si>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</si>
  <si>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</si>
  <si>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</si>
  <si>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</si>
  <si>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</si>
  <si>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</si>
  <si>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</si>
  <si>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</si>
  <si>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Aureville</t>
  </si>
  <si>
    <t>I</t>
  </si>
  <si>
    <t>Poteau vert de cloture ouest</t>
  </si>
  <si>
    <t>Obs.1 angle bosquet</t>
  </si>
  <si>
    <t>Obs.2 panorama depuis PV's</t>
  </si>
  <si>
    <t>Obs.3 près champ PV</t>
  </si>
  <si>
    <t>Photo1: Aureville de loin.jpg</t>
  </si>
  <si>
    <t>Photo 2: Aureville Panoramique.psd</t>
  </si>
  <si>
    <t>Photo 3: Aureville Champ PV</t>
  </si>
  <si>
    <t>Arbre 0</t>
  </si>
  <si>
    <t>Creux 2 -10,4°</t>
  </si>
  <si>
    <t>Arbre 7</t>
  </si>
  <si>
    <t>Creux 3</t>
  </si>
  <si>
    <t>Creux 4</t>
  </si>
  <si>
    <t>Arbre 9</t>
  </si>
  <si>
    <t>Creux 5</t>
  </si>
  <si>
    <t xml:space="preserve">Arbre 10 </t>
  </si>
  <si>
    <t>Arbre 11</t>
  </si>
  <si>
    <t>mettre dernière version des Masques à l'occasion et tester 3 configu's</t>
  </si>
  <si>
    <t>/ Pousse en hauteur initiale</t>
  </si>
  <si>
    <t>Ratios de forte product.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</si>
  <si>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</si>
  <si>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</si>
  <si>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</si>
  <si>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</si>
  <si>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</si>
  <si>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</si>
  <si>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</si>
  <si>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</si>
  <si>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</si>
  <si>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</si>
  <si>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</si>
  <si>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</si>
  <si>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</si>
  <si>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</si>
  <si>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Cumul 22</t>
  </si>
  <si>
    <t>moyennes annuelles</t>
  </si>
  <si>
    <t>action</t>
  </si>
  <si>
    <t>gain/an</t>
  </si>
  <si>
    <t>23 hors net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</si>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</sst>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&quot;an&quot;"/>
    <numFmt numFmtId="174" formatCode="dd\.mm\.yy;@"/>
    <numFmt numFmtId="175" formatCode="[$-40C]d\-mmm\-yy;@"/>
    <numFmt numFmtId="176" formatCode="mmm"/>
    <numFmt numFmtId="177" formatCode="0&quot; j&quot;"/>
    <numFmt numFmtId="178" formatCode="0.0"/>
    <numFmt numFmtId="179" formatCode="#,##0&quot; kWh&quot;"/>
    <numFmt numFmtId="180" formatCode="0.00000"/>
    <numFmt numFmtId="181" formatCode="0.0&quot;m&quot;"/>
    <numFmt numFmtId="182" formatCode="0.00&quot;m&quot;"/>
    <numFmt numFmtId="183" formatCode="[$-40C]mmmmm\-yy;@"/>
    <numFmt numFmtId="184" formatCode="#,##0_ ;\-#,##0\ "/>
    <numFmt numFmtId="185" formatCode="[$-40C]mmm\-yy;@"/>
    <numFmt numFmtId="186" formatCode="#,##0.0_ ;\-#,##0.0\ "/>
    <numFmt numFmtId="187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36" applyNumberFormat="0" applyAlignment="0" applyProtection="0"/>
    <xf numFmtId="0" fontId="14" fillId="0" borderId="37" applyNumberFormat="0" applyFill="0" applyAlignment="0" applyProtection="0"/>
    <xf numFmtId="0" fontId="10" fillId="27" borderId="38" applyNumberFormat="0" applyFont="0" applyAlignment="0" applyProtection="0"/>
    <xf numFmtId="0" fontId="15" fillId="28" borderId="36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3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0" applyNumberFormat="0" applyFill="0" applyAlignment="0" applyProtection="0"/>
    <xf numFmtId="0" fontId="23" fillId="0" borderId="41" applyNumberFormat="0" applyFill="0" applyAlignment="0" applyProtection="0"/>
    <xf numFmtId="0" fontId="24" fillId="0" borderId="4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43" applyNumberFormat="0" applyFill="0" applyAlignment="0" applyProtection="0"/>
    <xf numFmtId="0" fontId="26" fillId="32" borderId="44" applyNumberFormat="0" applyAlignment="0" applyProtection="0"/>
  </cellStyleXfs>
  <cellXfs count="1229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4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8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7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4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4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4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1" fontId="60" fillId="0" borderId="7" xfId="33" applyNumberFormat="1" applyFont="1" applyFill="1" applyBorder="1" applyAlignment="1" applyProtection="1">
      <alignment horizontal="center"/>
    </xf>
    <xf numFmtId="181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1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4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6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3" fontId="29" fillId="0" borderId="0" xfId="0" applyNumberFormat="1" applyFont="1" applyProtection="1"/>
    <xf numFmtId="183" fontId="31" fillId="0" borderId="15" xfId="0" applyNumberFormat="1" applyFont="1" applyBorder="1" applyAlignment="1" applyProtection="1">
      <alignment horizontal="right"/>
    </xf>
    <xf numFmtId="183" fontId="33" fillId="33" borderId="6" xfId="0" applyNumberFormat="1" applyFont="1" applyFill="1" applyBorder="1" applyAlignment="1" applyProtection="1">
      <alignment horizontal="center" vertical="center" wrapText="1"/>
    </xf>
    <xf numFmtId="183" fontId="33" fillId="0" borderId="0" xfId="0" applyNumberFormat="1" applyFont="1" applyBorder="1" applyProtection="1"/>
    <xf numFmtId="183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0" borderId="20" xfId="0" applyNumberFormat="1" applyFont="1" applyBorder="1" applyProtection="1">
      <protection locked="0"/>
    </xf>
    <xf numFmtId="2" fontId="76" fillId="0" borderId="21" xfId="0" applyNumberFormat="1" applyFont="1" applyBorder="1" applyProtection="1">
      <protection locked="0"/>
    </xf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2" fontId="35" fillId="0" borderId="0" xfId="0" applyNumberFormat="1" applyFont="1" applyBorder="1" applyProtection="1"/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2" fontId="30" fillId="0" borderId="0" xfId="0" applyNumberFormat="1" applyFont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4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3" fontId="65" fillId="0" borderId="15" xfId="33" applyNumberFormat="1" applyFont="1" applyFill="1" applyBorder="1" applyAlignment="1" applyProtection="1">
      <alignment horizontal="center"/>
      <protection locked="0"/>
    </xf>
    <xf numFmtId="174" fontId="78" fillId="0" borderId="15" xfId="0" applyNumberFormat="1" applyFont="1" applyFill="1" applyBorder="1" applyAlignment="1" applyProtection="1">
      <alignment horizontal="center"/>
      <protection locked="0"/>
    </xf>
    <xf numFmtId="168" fontId="79" fillId="0" borderId="15" xfId="33" applyNumberFormat="1" applyFont="1" applyFill="1" applyBorder="1" applyAlignment="1" applyProtection="1">
      <alignment horizontal="center"/>
      <protection locked="0"/>
    </xf>
    <xf numFmtId="168" fontId="79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3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3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8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3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8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3" fontId="31" fillId="0" borderId="4" xfId="0" applyNumberFormat="1" applyFont="1" applyFill="1" applyBorder="1" applyAlignment="1" applyProtection="1">
      <alignment horizontal="right"/>
    </xf>
    <xf numFmtId="183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3" fontId="31" fillId="0" borderId="2" xfId="0" applyNumberFormat="1" applyFont="1" applyFill="1" applyBorder="1" applyAlignment="1" applyProtection="1">
      <alignment horizontal="right"/>
    </xf>
    <xf numFmtId="183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3" fontId="41" fillId="0" borderId="2" xfId="31" applyNumberFormat="1" applyFont="1" applyFill="1" applyBorder="1" applyAlignment="1" applyProtection="1">
      <alignment vertical="center"/>
    </xf>
    <xf numFmtId="173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3" fontId="41" fillId="0" borderId="2" xfId="31" applyNumberFormat="1" applyFont="1" applyFill="1" applyBorder="1" applyAlignment="1" applyProtection="1">
      <alignment vertical="center" wrapText="1"/>
    </xf>
    <xf numFmtId="173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7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48" fillId="0" borderId="0" xfId="0" applyFont="1" applyBorder="1" applyAlignment="1" applyProtection="1">
      <alignment horizontal="righ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171" fontId="30" fillId="0" borderId="4" xfId="0" applyNumberFormat="1" applyFont="1" applyBorder="1" applyProtection="1"/>
    <xf numFmtId="0" fontId="79" fillId="35" borderId="5" xfId="0" quotePrefix="1" applyFont="1" applyFill="1" applyBorder="1" applyAlignment="1" applyProtection="1">
      <alignment horizontal="center"/>
      <protection locked="0"/>
    </xf>
    <xf numFmtId="174" fontId="63" fillId="0" borderId="15" xfId="0" applyNumberFormat="1" applyFont="1" applyFill="1" applyBorder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</xf>
    <xf numFmtId="174" fontId="78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3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3" fontId="38" fillId="0" borderId="15" xfId="33" applyNumberFormat="1" applyFont="1" applyFill="1" applyBorder="1" applyAlignment="1" applyProtection="1">
      <alignment horizontal="center"/>
    </xf>
    <xf numFmtId="174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4" fontId="91" fillId="0" borderId="1" xfId="0" applyNumberFormat="1" applyFont="1" applyFill="1" applyBorder="1" applyAlignment="1" applyProtection="1">
      <alignment horizontal="center"/>
    </xf>
    <xf numFmtId="181" fontId="71" fillId="0" borderId="1" xfId="33" applyNumberFormat="1" applyFont="1" applyFill="1" applyBorder="1" applyAlignment="1" applyProtection="1"/>
    <xf numFmtId="174" fontId="78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1" fontId="31" fillId="0" borderId="21" xfId="0" applyNumberFormat="1" applyFont="1" applyBorder="1" applyProtection="1"/>
    <xf numFmtId="1" fontId="31" fillId="0" borderId="24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9" fontId="94" fillId="0" borderId="25" xfId="33" applyFont="1" applyBorder="1" applyAlignment="1" applyProtection="1">
      <alignment horizontal="center" vertical="center"/>
      <protection locked="0"/>
    </xf>
    <xf numFmtId="178" fontId="94" fillId="0" borderId="25" xfId="0" applyNumberFormat="1" applyFont="1" applyBorder="1" applyAlignment="1" applyProtection="1">
      <alignment horizontal="center" vertical="center"/>
      <protection locked="0"/>
    </xf>
    <xf numFmtId="2" fontId="35" fillId="0" borderId="15" xfId="0" applyNumberFormat="1" applyFont="1" applyBorder="1" applyProtection="1">
      <protection locked="0"/>
    </xf>
    <xf numFmtId="178" fontId="95" fillId="0" borderId="14" xfId="0" applyNumberFormat="1" applyFont="1" applyBorder="1" applyAlignment="1" applyProtection="1">
      <alignment horizontal="center"/>
      <protection locked="0"/>
    </xf>
    <xf numFmtId="178" fontId="95" fillId="0" borderId="12" xfId="0" applyNumberFormat="1" applyFont="1" applyBorder="1" applyAlignment="1" applyProtection="1">
      <alignment horizontal="center"/>
      <protection locked="0"/>
    </xf>
    <xf numFmtId="0" fontId="25" fillId="0" borderId="1" xfId="0" applyFont="1" applyBorder="1" applyProtection="1">
      <protection locked="0"/>
    </xf>
    <xf numFmtId="2" fontId="48" fillId="0" borderId="15" xfId="0" applyNumberFormat="1" applyFont="1" applyBorder="1" applyAlignment="1" applyProtection="1">
      <alignment horizontal="center"/>
      <protection locked="0"/>
    </xf>
    <xf numFmtId="0" fontId="25" fillId="0" borderId="15" xfId="0" applyFont="1" applyBorder="1" applyProtection="1">
      <protection locked="0"/>
    </xf>
    <xf numFmtId="178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8" fontId="95" fillId="0" borderId="15" xfId="0" applyNumberFormat="1" applyFont="1" applyBorder="1" applyAlignment="1" applyProtection="1">
      <alignment horizontal="center"/>
      <protection locked="0"/>
    </xf>
    <xf numFmtId="2" fontId="96" fillId="0" borderId="14" xfId="0" applyNumberFormat="1" applyFont="1" applyBorder="1" applyProtection="1">
      <protection locked="0"/>
    </xf>
    <xf numFmtId="2" fontId="96" fillId="0" borderId="15" xfId="0" applyNumberFormat="1" applyFont="1" applyBorder="1" applyProtection="1"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7" fillId="0" borderId="0" xfId="33" applyNumberFormat="1" applyFont="1" applyFill="1" applyBorder="1" applyAlignment="1" applyProtection="1">
      <alignment horizontal="center"/>
    </xf>
    <xf numFmtId="168" fontId="98" fillId="0" borderId="0" xfId="33" applyNumberFormat="1" applyFont="1" applyBorder="1" applyAlignment="1" applyProtection="1">
      <alignment horizontal="center" vertical="center"/>
      <protection locked="0"/>
    </xf>
    <xf numFmtId="1" fontId="54" fillId="0" borderId="15" xfId="0" applyNumberFormat="1" applyFont="1" applyBorder="1" applyAlignment="1" applyProtection="1">
      <alignment horizont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178" fontId="81" fillId="0" borderId="0" xfId="0" applyNumberFormat="1" applyFont="1" applyAlignment="1" applyProtection="1">
      <alignment horizontal="center"/>
    </xf>
    <xf numFmtId="1" fontId="54" fillId="0" borderId="14" xfId="0" applyNumberFormat="1" applyFont="1" applyBorder="1" applyAlignment="1" applyProtection="1">
      <alignment horizontal="center"/>
      <protection locked="0"/>
    </xf>
    <xf numFmtId="166" fontId="54" fillId="0" borderId="12" xfId="0" applyNumberFormat="1" applyFont="1" applyBorder="1" applyAlignment="1" applyProtection="1">
      <alignment horizontal="center"/>
      <protection locked="0"/>
    </xf>
    <xf numFmtId="1" fontId="54" fillId="0" borderId="3" xfId="0" applyNumberFormat="1" applyFont="1" applyBorder="1" applyAlignment="1" applyProtection="1">
      <alignment horizontal="center"/>
      <protection locked="0"/>
    </xf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70" fontId="33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1" fontId="99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1" fontId="99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6" xfId="33" applyNumberFormat="1" applyFont="1" applyBorder="1" applyAlignment="1" applyProtection="1">
      <alignment horizontal="center" vertical="center"/>
    </xf>
    <xf numFmtId="173" fontId="65" fillId="0" borderId="21" xfId="33" applyNumberFormat="1" applyFont="1" applyFill="1" applyBorder="1" applyAlignment="1" applyProtection="1">
      <alignment horizontal="center" vertical="center"/>
      <protection locked="0"/>
    </xf>
    <xf numFmtId="177" fontId="100" fillId="0" borderId="27" xfId="31" applyNumberFormat="1" applyFont="1" applyFill="1" applyBorder="1" applyAlignment="1" applyProtection="1">
      <alignment horizontal="center" vertical="center"/>
    </xf>
    <xf numFmtId="0" fontId="101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2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2" fontId="94" fillId="0" borderId="19" xfId="0" applyNumberFormat="1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/>
      <protection locked="0"/>
    </xf>
    <xf numFmtId="0" fontId="37" fillId="0" borderId="5" xfId="0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8" fontId="37" fillId="0" borderId="2" xfId="0" applyNumberFormat="1" applyFont="1" applyBorder="1" applyAlignment="1" applyProtection="1">
      <alignment horizontal="center"/>
      <protection locked="0"/>
    </xf>
    <xf numFmtId="178" fontId="37" fillId="0" borderId="1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178" fontId="37" fillId="0" borderId="0" xfId="0" applyNumberFormat="1" applyFont="1" applyBorder="1" applyAlignment="1" applyProtection="1">
      <alignment horizontal="center"/>
      <protection locked="0"/>
    </xf>
    <xf numFmtId="184" fontId="33" fillId="0" borderId="0" xfId="31" applyNumberFormat="1" applyFont="1" applyBorder="1" applyProtection="1">
      <protection locked="0"/>
    </xf>
    <xf numFmtId="0" fontId="103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4" fillId="0" borderId="0" xfId="0" applyFont="1" applyProtection="1"/>
    <xf numFmtId="0" fontId="104" fillId="0" borderId="0" xfId="0" applyFont="1" applyBorder="1" applyProtection="1"/>
    <xf numFmtId="0" fontId="104" fillId="0" borderId="0" xfId="0" applyFont="1" applyAlignment="1" applyProtection="1">
      <alignment horizontal="center"/>
    </xf>
    <xf numFmtId="0" fontId="104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0" fontId="33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left"/>
    </xf>
    <xf numFmtId="0" fontId="46" fillId="0" borderId="0" xfId="0" applyFont="1" applyProtection="1"/>
    <xf numFmtId="0" fontId="0" fillId="0" borderId="1" xfId="0" applyBorder="1" applyAlignment="1" applyProtection="1"/>
    <xf numFmtId="0" fontId="29" fillId="0" borderId="0" xfId="0" applyFont="1" applyBorder="1" applyAlignment="1" applyProtection="1">
      <alignment horizontal="center"/>
    </xf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30" fillId="0" borderId="0" xfId="0" applyFont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0" fillId="33" borderId="28" xfId="0" applyFont="1" applyFill="1" applyBorder="1" applyAlignment="1" applyProtection="1">
      <alignment horizontal="right"/>
    </xf>
    <xf numFmtId="0" fontId="32" fillId="0" borderId="0" xfId="0" applyFont="1" applyAlignment="1" applyProtection="1">
      <alignment horizontal="right"/>
    </xf>
    <xf numFmtId="0" fontId="40" fillId="33" borderId="28" xfId="0" applyFont="1" applyFill="1" applyBorder="1" applyAlignment="1" applyProtection="1">
      <alignment horizontal="center"/>
    </xf>
    <xf numFmtId="0" fontId="105" fillId="0" borderId="0" xfId="0" applyFont="1" applyAlignment="1" applyProtection="1">
      <alignment horizontal="left"/>
    </xf>
    <xf numFmtId="0" fontId="82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8" fontId="36" fillId="0" borderId="15" xfId="0" applyNumberFormat="1" applyFont="1" applyBorder="1" applyAlignment="1" applyProtection="1">
      <alignment horizontal="center"/>
    </xf>
    <xf numFmtId="178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7" fillId="0" borderId="7" xfId="0" applyFont="1" applyBorder="1" applyAlignment="1" applyProtection="1">
      <alignment horizontal="left"/>
    </xf>
    <xf numFmtId="0" fontId="35" fillId="33" borderId="11" xfId="0" applyFont="1" applyFill="1" applyBorder="1" applyAlignment="1" applyProtection="1">
      <alignment horizontal="right"/>
    </xf>
    <xf numFmtId="178" fontId="35" fillId="0" borderId="0" xfId="0" applyNumberFormat="1" applyFont="1" applyFill="1" applyBorder="1" applyProtection="1"/>
    <xf numFmtId="178" fontId="37" fillId="0" borderId="11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8" fontId="37" fillId="0" borderId="0" xfId="0" applyNumberFormat="1" applyFont="1" applyFill="1" applyBorder="1" applyProtection="1"/>
    <xf numFmtId="178" fontId="35" fillId="0" borderId="0" xfId="0" applyNumberFormat="1" applyFont="1" applyBorder="1" applyProtection="1"/>
    <xf numFmtId="178" fontId="37" fillId="0" borderId="2" xfId="0" applyNumberFormat="1" applyFont="1" applyBorder="1" applyAlignment="1" applyProtection="1">
      <alignment horizontal="center"/>
    </xf>
    <xf numFmtId="178" fontId="37" fillId="0" borderId="10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8" fontId="36" fillId="0" borderId="0" xfId="0" applyNumberFormat="1" applyFont="1" applyBorder="1" applyProtection="1"/>
    <xf numFmtId="0" fontId="37" fillId="0" borderId="2" xfId="0" applyFont="1" applyBorder="1" applyAlignment="1" applyProtection="1">
      <alignment horizontal="right"/>
    </xf>
    <xf numFmtId="2" fontId="37" fillId="0" borderId="0" xfId="0" applyNumberFormat="1" applyFont="1" applyBorder="1" applyProtection="1"/>
    <xf numFmtId="0" fontId="36" fillId="0" borderId="0" xfId="0" applyFont="1" applyBorder="1" applyAlignment="1" applyProtection="1">
      <alignment horizontal="right"/>
    </xf>
    <xf numFmtId="178" fontId="37" fillId="0" borderId="9" xfId="0" applyNumberFormat="1" applyFont="1" applyBorder="1" applyAlignment="1" applyProtection="1">
      <alignment horizontal="center"/>
    </xf>
    <xf numFmtId="2" fontId="37" fillId="0" borderId="14" xfId="0" applyNumberFormat="1" applyFont="1" applyBorder="1" applyProtection="1"/>
    <xf numFmtId="1" fontId="36" fillId="0" borderId="15" xfId="0" applyNumberFormat="1" applyFont="1" applyBorder="1" applyAlignment="1" applyProtection="1">
      <alignment horizontal="right"/>
    </xf>
    <xf numFmtId="178" fontId="36" fillId="0" borderId="15" xfId="0" applyNumberFormat="1" applyFont="1" applyBorder="1" applyProtection="1"/>
    <xf numFmtId="178" fontId="36" fillId="0" borderId="12" xfId="0" applyNumberFormat="1" applyFont="1" applyBorder="1" applyAlignment="1" applyProtection="1">
      <alignment horizontal="center"/>
    </xf>
    <xf numFmtId="178" fontId="37" fillId="0" borderId="0" xfId="0" applyNumberFormat="1" applyFont="1" applyBorder="1" applyAlignment="1" applyProtection="1">
      <alignment horizontal="center"/>
    </xf>
    <xf numFmtId="2" fontId="33" fillId="0" borderId="0" xfId="0" applyNumberFormat="1" applyFont="1" applyBorder="1" applyProtection="1"/>
    <xf numFmtId="178" fontId="33" fillId="0" borderId="0" xfId="0" applyNumberFormat="1" applyFont="1" applyBorder="1" applyProtection="1"/>
    <xf numFmtId="184" fontId="33" fillId="0" borderId="0" xfId="31" applyNumberFormat="1" applyFont="1" applyBorder="1" applyProtection="1"/>
    <xf numFmtId="1" fontId="31" fillId="0" borderId="2" xfId="0" applyNumberFormat="1" applyFont="1" applyBorder="1" applyAlignment="1" applyProtection="1">
      <alignment horizontal="center"/>
    </xf>
    <xf numFmtId="184" fontId="36" fillId="0" borderId="0" xfId="31" applyNumberFormat="1" applyFont="1" applyBorder="1" applyProtection="1"/>
    <xf numFmtId="0" fontId="36" fillId="0" borderId="0" xfId="0" applyFont="1" applyBorder="1" applyAlignment="1" applyProtection="1">
      <alignment horizontal="left"/>
    </xf>
    <xf numFmtId="0" fontId="35" fillId="0" borderId="0" xfId="0" applyFont="1" applyBorder="1" applyAlignment="1" applyProtection="1">
      <alignment horizontal="right"/>
    </xf>
    <xf numFmtId="178" fontId="36" fillId="0" borderId="0" xfId="0" applyNumberFormat="1" applyFont="1" applyBorder="1" applyAlignment="1" applyProtection="1">
      <alignment horizontal="center"/>
    </xf>
    <xf numFmtId="178" fontId="3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182" fontId="36" fillId="0" borderId="0" xfId="0" applyNumberFormat="1" applyFont="1" applyBorder="1" applyProtection="1"/>
    <xf numFmtId="185" fontId="51" fillId="0" borderId="0" xfId="0" applyNumberFormat="1" applyFont="1" applyBorder="1" applyProtection="1"/>
    <xf numFmtId="0" fontId="49" fillId="0" borderId="0" xfId="0" applyFont="1" applyBorder="1" applyAlignment="1" applyProtection="1">
      <alignment horizontal="center"/>
    </xf>
    <xf numFmtId="182" fontId="35" fillId="0" borderId="3" xfId="33" applyNumberFormat="1" applyFont="1" applyBorder="1" applyAlignment="1" applyProtection="1">
      <alignment horizontal="center"/>
    </xf>
    <xf numFmtId="182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37" fillId="0" borderId="6" xfId="0" applyFont="1" applyBorder="1" applyAlignment="1" applyProtection="1">
      <alignment horizontal="left"/>
    </xf>
    <xf numFmtId="0" fontId="36" fillId="0" borderId="7" xfId="0" applyFont="1" applyBorder="1" applyProtection="1"/>
    <xf numFmtId="0" fontId="37" fillId="0" borderId="8" xfId="0" applyFont="1" applyBorder="1" applyAlignment="1" applyProtection="1">
      <alignment horizontal="left"/>
    </xf>
    <xf numFmtId="178" fontId="37" fillId="0" borderId="1" xfId="0" applyNumberFormat="1" applyFont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0" fontId="37" fillId="33" borderId="12" xfId="0" applyFont="1" applyFill="1" applyBorder="1" applyAlignment="1" applyProtection="1">
      <alignment horizontal="center"/>
    </xf>
    <xf numFmtId="0" fontId="44" fillId="33" borderId="3" xfId="0" applyFont="1" applyFill="1" applyBorder="1" applyAlignment="1" applyProtection="1">
      <alignment horizontal="center"/>
    </xf>
    <xf numFmtId="0" fontId="48" fillId="33" borderId="6" xfId="0" applyFont="1" applyFill="1" applyBorder="1" applyAlignment="1" applyProtection="1">
      <alignment horizontal="center"/>
    </xf>
    <xf numFmtId="178" fontId="48" fillId="0" borderId="5" xfId="0" applyNumberFormat="1" applyFont="1" applyBorder="1" applyAlignment="1" applyProtection="1">
      <alignment horizontal="center"/>
    </xf>
    <xf numFmtId="178" fontId="49" fillId="0" borderId="5" xfId="0" applyNumberFormat="1" applyFont="1" applyBorder="1" applyAlignment="1" applyProtection="1">
      <alignment horizontal="center"/>
    </xf>
    <xf numFmtId="178" fontId="35" fillId="0" borderId="5" xfId="0" applyNumberFormat="1" applyFont="1" applyBorder="1" applyAlignment="1" applyProtection="1">
      <alignment horizontal="center"/>
    </xf>
    <xf numFmtId="178" fontId="36" fillId="0" borderId="5" xfId="0" applyNumberFormat="1" applyFont="1" applyBorder="1" applyAlignment="1" applyProtection="1">
      <alignment horizontal="center"/>
    </xf>
    <xf numFmtId="178" fontId="35" fillId="0" borderId="0" xfId="0" applyNumberFormat="1" applyFont="1" applyBorder="1" applyAlignment="1" applyProtection="1">
      <alignment horizontal="center"/>
    </xf>
    <xf numFmtId="178" fontId="35" fillId="0" borderId="1" xfId="0" applyNumberFormat="1" applyFont="1" applyBorder="1" applyAlignment="1" applyProtection="1">
      <alignment horizontal="center"/>
    </xf>
    <xf numFmtId="178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8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106" fillId="33" borderId="3" xfId="0" applyFont="1" applyFill="1" applyBorder="1" applyAlignment="1" applyProtection="1">
      <alignment horizontal="center"/>
    </xf>
    <xf numFmtId="178" fontId="85" fillId="0" borderId="5" xfId="0" applyNumberFormat="1" applyFont="1" applyBorder="1" applyAlignment="1" applyProtection="1">
      <alignment horizontal="center"/>
    </xf>
    <xf numFmtId="178" fontId="85" fillId="0" borderId="11" xfId="0" applyNumberFormat="1" applyFont="1" applyBorder="1" applyAlignment="1" applyProtection="1">
      <alignment horizontal="center"/>
    </xf>
    <xf numFmtId="178" fontId="37" fillId="0" borderId="5" xfId="0" applyNumberFormat="1" applyFont="1" applyBorder="1" applyAlignment="1" applyProtection="1">
      <alignment horizontal="center"/>
    </xf>
    <xf numFmtId="178" fontId="85" fillId="0" borderId="13" xfId="0" applyNumberFormat="1" applyFont="1" applyBorder="1" applyAlignment="1" applyProtection="1">
      <alignment horizontal="center"/>
    </xf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/>
    <xf numFmtId="182" fontId="10" fillId="0" borderId="3" xfId="33" applyNumberFormat="1" applyFont="1" applyBorder="1" applyAlignment="1" applyProtection="1">
      <alignment horizontal="center" vertical="center"/>
    </xf>
    <xf numFmtId="0" fontId="35" fillId="0" borderId="3" xfId="0" applyFont="1" applyBorder="1" applyAlignment="1" applyProtection="1">
      <alignment horizontal="left"/>
    </xf>
    <xf numFmtId="182" fontId="85" fillId="0" borderId="3" xfId="33" applyNumberFormat="1" applyFont="1" applyBorder="1" applyAlignment="1" applyProtection="1">
      <alignment horizontal="center"/>
    </xf>
    <xf numFmtId="182" fontId="10" fillId="0" borderId="14" xfId="33" applyNumberFormat="1" applyFont="1" applyBorder="1" applyAlignment="1" applyProtection="1">
      <alignment horizontal="center" vertical="center"/>
    </xf>
    <xf numFmtId="182" fontId="25" fillId="0" borderId="19" xfId="33" applyNumberFormat="1" applyFont="1" applyBorder="1" applyAlignment="1" applyProtection="1">
      <alignment horizontal="center" vertical="center"/>
    </xf>
    <xf numFmtId="166" fontId="105" fillId="0" borderId="29" xfId="33" applyNumberFormat="1" applyFont="1" applyBorder="1" applyAlignment="1" applyProtection="1">
      <alignment horizontal="center"/>
      <protection locked="0"/>
    </xf>
    <xf numFmtId="166" fontId="107" fillId="0" borderId="29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7" fillId="0" borderId="21" xfId="33" applyNumberFormat="1" applyFont="1" applyBorder="1" applyAlignment="1" applyProtection="1">
      <alignment horizontal="center"/>
      <protection locked="0"/>
    </xf>
    <xf numFmtId="166" fontId="105" fillId="0" borderId="30" xfId="33" applyNumberFormat="1" applyFont="1" applyBorder="1" applyAlignment="1" applyProtection="1">
      <alignment horizontal="center"/>
      <protection locked="0"/>
    </xf>
    <xf numFmtId="166" fontId="107" fillId="0" borderId="30" xfId="33" applyNumberFormat="1" applyFont="1" applyBorder="1" applyAlignment="1" applyProtection="1">
      <alignment horizontal="center"/>
      <protection locked="0"/>
    </xf>
    <xf numFmtId="166" fontId="105" fillId="0" borderId="31" xfId="33" applyNumberFormat="1" applyFont="1" applyBorder="1" applyAlignment="1" applyProtection="1">
      <alignment horizontal="center"/>
      <protection locked="0"/>
    </xf>
    <xf numFmtId="166" fontId="107" fillId="0" borderId="31" xfId="33" applyNumberFormat="1" applyFont="1" applyBorder="1" applyAlignment="1" applyProtection="1">
      <alignment horizontal="center"/>
      <protection locked="0"/>
    </xf>
    <xf numFmtId="182" fontId="35" fillId="0" borderId="6" xfId="33" applyNumberFormat="1" applyFont="1" applyBorder="1" applyAlignment="1" applyProtection="1">
      <alignment horizontal="center"/>
    </xf>
    <xf numFmtId="182" fontId="35" fillId="0" borderId="8" xfId="33" applyNumberFormat="1" applyFont="1" applyBorder="1" applyAlignment="1" applyProtection="1">
      <alignment horizontal="center"/>
    </xf>
    <xf numFmtId="178" fontId="37" fillId="0" borderId="15" xfId="0" applyNumberFormat="1" applyFont="1" applyBorder="1" applyAlignment="1" applyProtection="1">
      <alignment horizontal="center"/>
    </xf>
    <xf numFmtId="178" fontId="35" fillId="0" borderId="15" xfId="0" applyNumberFormat="1" applyFont="1" applyBorder="1" applyAlignment="1" applyProtection="1">
      <alignment horizontal="center"/>
    </xf>
    <xf numFmtId="178" fontId="37" fillId="0" borderId="12" xfId="0" applyNumberFormat="1" applyFont="1" applyBorder="1" applyAlignment="1" applyProtection="1">
      <alignment horizontal="center"/>
    </xf>
    <xf numFmtId="185" fontId="49" fillId="0" borderId="0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/>
    </xf>
    <xf numFmtId="0" fontId="108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8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7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2" fontId="31" fillId="0" borderId="13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2" fontId="31" fillId="0" borderId="2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1" fontId="31" fillId="0" borderId="4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8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32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9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45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10" fillId="0" borderId="0" xfId="0" applyFont="1" applyFill="1" applyBorder="1" applyAlignment="1" applyProtection="1">
      <alignment horizontal="left"/>
    </xf>
    <xf numFmtId="0" fontId="95" fillId="0" borderId="3" xfId="0" applyFont="1" applyBorder="1" applyAlignment="1" applyProtection="1">
      <alignment horizontal="center"/>
      <protection locked="0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11" fillId="0" borderId="0" xfId="0" applyFont="1" applyAlignment="1" applyProtection="1">
      <alignment horizontal="left"/>
      <protection locked="0"/>
    </xf>
    <xf numFmtId="178" fontId="37" fillId="0" borderId="13" xfId="0" quotePrefix="1" applyNumberFormat="1" applyFont="1" applyBorder="1" applyAlignment="1" applyProtection="1">
      <alignment horizontal="center"/>
      <protection locked="0"/>
    </xf>
    <xf numFmtId="178" fontId="37" fillId="0" borderId="5" xfId="0" quotePrefix="1" applyNumberFormat="1" applyFont="1" applyBorder="1" applyAlignment="1" applyProtection="1">
      <alignment horizontal="center"/>
      <protection locked="0"/>
    </xf>
    <xf numFmtId="178" fontId="37" fillId="0" borderId="11" xfId="0" quotePrefix="1" applyNumberFormat="1" applyFont="1" applyBorder="1" applyAlignment="1" applyProtection="1">
      <alignment horizontal="center"/>
      <protection locked="0"/>
    </xf>
    <xf numFmtId="178" fontId="85" fillId="0" borderId="7" xfId="0" quotePrefix="1" applyNumberFormat="1" applyFont="1" applyBorder="1" applyAlignment="1" applyProtection="1">
      <alignment horizontal="center"/>
      <protection locked="0"/>
    </xf>
    <xf numFmtId="178" fontId="35" fillId="0" borderId="2" xfId="0" applyNumberFormat="1" applyFont="1" applyBorder="1" applyAlignment="1" applyProtection="1">
      <alignment horizontal="center"/>
      <protection locked="0"/>
    </xf>
    <xf numFmtId="178" fontId="35" fillId="0" borderId="0" xfId="0" applyNumberFormat="1" applyFont="1" applyBorder="1" applyAlignment="1" applyProtection="1">
      <alignment horizontal="center"/>
      <protection locked="0"/>
    </xf>
    <xf numFmtId="178" fontId="35" fillId="0" borderId="10" xfId="0" applyNumberFormat="1" applyFont="1" applyBorder="1" applyAlignment="1" applyProtection="1">
      <alignment horizontal="center"/>
      <protection locked="0"/>
    </xf>
    <xf numFmtId="178" fontId="48" fillId="0" borderId="7" xfId="0" applyNumberFormat="1" applyFont="1" applyBorder="1" applyAlignment="1" applyProtection="1">
      <alignment horizontal="center"/>
      <protection locked="0"/>
    </xf>
    <xf numFmtId="178" fontId="85" fillId="0" borderId="7" xfId="0" applyNumberFormat="1" applyFont="1" applyBorder="1" applyAlignment="1" applyProtection="1">
      <alignment horizontal="center"/>
      <protection locked="0"/>
    </xf>
    <xf numFmtId="178" fontId="37" fillId="0" borderId="4" xfId="0" applyNumberFormat="1" applyFont="1" applyBorder="1" applyAlignment="1" applyProtection="1">
      <alignment horizontal="center"/>
      <protection locked="0"/>
    </xf>
    <xf numFmtId="178" fontId="37" fillId="0" borderId="1" xfId="0" applyNumberFormat="1" applyFont="1" applyBorder="1" applyAlignment="1" applyProtection="1">
      <alignment horizontal="center"/>
      <protection locked="0"/>
    </xf>
    <xf numFmtId="178" fontId="37" fillId="0" borderId="9" xfId="0" applyNumberFormat="1" applyFont="1" applyBorder="1" applyAlignment="1" applyProtection="1">
      <alignment horizontal="center"/>
      <protection locked="0"/>
    </xf>
    <xf numFmtId="178" fontId="85" fillId="0" borderId="8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Protection="1">
      <protection locked="0"/>
    </xf>
    <xf numFmtId="167" fontId="82" fillId="0" borderId="0" xfId="0" applyNumberFormat="1" applyFont="1" applyProtection="1"/>
    <xf numFmtId="0" fontId="112" fillId="0" borderId="0" xfId="0" applyFont="1" applyProtection="1"/>
    <xf numFmtId="0" fontId="82" fillId="0" borderId="0" xfId="0" applyFont="1" applyBorder="1" applyAlignment="1" applyProtection="1">
      <alignment horizontal="right"/>
    </xf>
    <xf numFmtId="178" fontId="32" fillId="0" borderId="0" xfId="0" applyNumberFormat="1" applyFont="1" applyBorder="1" applyAlignment="1" applyProtection="1">
      <alignment horizontal="center"/>
    </xf>
    <xf numFmtId="178" fontId="82" fillId="0" borderId="0" xfId="0" applyNumberFormat="1" applyFont="1" applyBorder="1" applyAlignment="1" applyProtection="1">
      <alignment horizontal="center"/>
    </xf>
    <xf numFmtId="178" fontId="37" fillId="0" borderId="13" xfId="0" applyNumberFormat="1" applyFont="1" applyBorder="1" applyAlignment="1" applyProtection="1">
      <alignment horizontal="center"/>
    </xf>
    <xf numFmtId="178" fontId="37" fillId="0" borderId="14" xfId="0" applyNumberFormat="1" applyFont="1" applyBorder="1" applyAlignment="1" applyProtection="1">
      <alignment horizontal="center"/>
    </xf>
    <xf numFmtId="178" fontId="37" fillId="0" borderId="4" xfId="0" applyNumberFormat="1" applyFont="1" applyBorder="1" applyAlignment="1" applyProtection="1">
      <alignment horizontal="center"/>
    </xf>
    <xf numFmtId="166" fontId="96" fillId="0" borderId="33" xfId="33" applyNumberFormat="1" applyFont="1" applyBorder="1" applyAlignment="1" applyProtection="1">
      <alignment horizontal="center"/>
      <protection locked="0"/>
    </xf>
    <xf numFmtId="0" fontId="111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3" fillId="0" borderId="31" xfId="0" applyNumberFormat="1" applyFont="1" applyFill="1" applyBorder="1" applyProtection="1">
      <protection locked="0"/>
    </xf>
    <xf numFmtId="0" fontId="113" fillId="0" borderId="0" xfId="0" applyFont="1" applyAlignment="1" applyProtection="1">
      <alignment horizontal="center"/>
    </xf>
    <xf numFmtId="2" fontId="113" fillId="34" borderId="31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182" fontId="51" fillId="0" borderId="1" xfId="0" applyNumberFormat="1" applyFont="1" applyBorder="1" applyAlignment="1" applyProtection="1">
      <alignment horizontal="center" vertical="center"/>
    </xf>
    <xf numFmtId="0" fontId="108" fillId="0" borderId="0" xfId="0" applyFont="1" applyAlignment="1" applyProtection="1">
      <alignment horizontal="center" vertical="center" wrapText="1"/>
    </xf>
    <xf numFmtId="178" fontId="33" fillId="0" borderId="5" xfId="33" applyNumberFormat="1" applyFont="1" applyFill="1" applyBorder="1" applyAlignment="1" applyProtection="1">
      <alignment horizontal="center"/>
    </xf>
    <xf numFmtId="178" fontId="33" fillId="0" borderId="0" xfId="33" applyNumberFormat="1" applyFont="1" applyBorder="1" applyAlignment="1" applyProtection="1">
      <alignment horizontal="center"/>
    </xf>
    <xf numFmtId="178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3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78" fontId="0" fillId="0" borderId="0" xfId="0" applyNumberFormat="1" applyAlignment="1" applyProtection="1">
      <alignment horizontal="center"/>
    </xf>
    <xf numFmtId="167" fontId="105" fillId="0" borderId="29" xfId="33" applyNumberFormat="1" applyFont="1" applyBorder="1" applyAlignment="1" applyProtection="1">
      <alignment horizontal="center"/>
      <protection locked="0"/>
    </xf>
    <xf numFmtId="167" fontId="105" fillId="0" borderId="31" xfId="33" applyNumberFormat="1" applyFont="1" applyBorder="1" applyAlignment="1" applyProtection="1">
      <alignment horizontal="center"/>
      <protection locked="0"/>
    </xf>
    <xf numFmtId="0" fontId="73" fillId="0" borderId="0" xfId="0" applyFont="1" applyProtection="1"/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0" fontId="37" fillId="0" borderId="1" xfId="0" applyFont="1" applyBorder="1" applyAlignment="1" applyProtection="1">
      <alignment horizontal="right"/>
    </xf>
    <xf numFmtId="0" fontId="37" fillId="0" borderId="7" xfId="0" applyFont="1" applyBorder="1" applyProtection="1"/>
    <xf numFmtId="178" fontId="85" fillId="0" borderId="0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4" fillId="0" borderId="0" xfId="0" applyNumberFormat="1" applyFont="1" applyFill="1" applyBorder="1" applyAlignment="1" applyProtection="1">
      <alignment horizontal="center"/>
    </xf>
    <xf numFmtId="1" fontId="99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3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4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3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5" fontId="31" fillId="0" borderId="13" xfId="0" applyNumberFormat="1" applyFont="1" applyBorder="1" applyAlignment="1" applyProtection="1">
      <alignment horizontal="center"/>
    </xf>
    <xf numFmtId="175" fontId="31" fillId="0" borderId="11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</xf>
    <xf numFmtId="175" fontId="31" fillId="0" borderId="10" xfId="0" applyNumberFormat="1" applyFont="1" applyBorder="1" applyAlignment="1" applyProtection="1">
      <alignment horizontal="center"/>
    </xf>
    <xf numFmtId="175" fontId="31" fillId="0" borderId="17" xfId="0" applyNumberFormat="1" applyFont="1" applyBorder="1" applyAlignment="1" applyProtection="1">
      <alignment horizontal="center"/>
    </xf>
    <xf numFmtId="175" fontId="31" fillId="0" borderId="34" xfId="0" applyNumberFormat="1" applyFont="1" applyBorder="1" applyAlignment="1" applyProtection="1">
      <alignment horizontal="center"/>
    </xf>
    <xf numFmtId="175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5" fillId="0" borderId="13" xfId="0" applyNumberFormat="1" applyFont="1" applyBorder="1" applyAlignment="1" applyProtection="1">
      <alignment horizontal="center"/>
    </xf>
    <xf numFmtId="1" fontId="115" fillId="0" borderId="11" xfId="0" applyNumberFormat="1" applyFont="1" applyBorder="1" applyAlignment="1" applyProtection="1">
      <alignment horizontal="center"/>
    </xf>
    <xf numFmtId="1" fontId="115" fillId="0" borderId="2" xfId="0" applyNumberFormat="1" applyFont="1" applyBorder="1" applyAlignment="1" applyProtection="1">
      <alignment horizontal="center"/>
    </xf>
    <xf numFmtId="1" fontId="115" fillId="0" borderId="10" xfId="0" applyNumberFormat="1" applyFont="1" applyBorder="1" applyAlignment="1" applyProtection="1">
      <alignment horizontal="center"/>
    </xf>
    <xf numFmtId="1" fontId="115" fillId="0" borderId="17" xfId="0" applyNumberFormat="1" applyFont="1" applyBorder="1" applyAlignment="1" applyProtection="1">
      <alignment horizontal="center"/>
    </xf>
    <xf numFmtId="1" fontId="115" fillId="0" borderId="34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  <protection locked="0"/>
    </xf>
    <xf numFmtId="175" fontId="31" fillId="0" borderId="10" xfId="0" applyNumberFormat="1" applyFont="1" applyBorder="1" applyAlignment="1" applyProtection="1">
      <alignment horizontal="center"/>
      <protection locked="0"/>
    </xf>
    <xf numFmtId="175" fontId="31" fillId="0" borderId="4" xfId="0" applyNumberFormat="1" applyFont="1" applyBorder="1" applyAlignment="1" applyProtection="1">
      <alignment horizontal="center"/>
      <protection locked="0"/>
    </xf>
    <xf numFmtId="175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7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8" fillId="0" borderId="0" xfId="0" applyNumberFormat="1" applyFont="1" applyAlignment="1" applyProtection="1">
      <alignment horizontal="center"/>
    </xf>
    <xf numFmtId="2" fontId="48" fillId="0" borderId="1" xfId="0" applyNumberFormat="1" applyFont="1" applyFill="1" applyBorder="1" applyAlignment="1" applyProtection="1">
      <alignment horizontal="center"/>
      <protection locked="0"/>
    </xf>
    <xf numFmtId="0" fontId="36" fillId="0" borderId="13" xfId="0" applyFont="1" applyBorder="1" applyAlignment="1" applyProtection="1">
      <alignment horizontal="right"/>
      <protection locked="0"/>
    </xf>
    <xf numFmtId="2" fontId="35" fillId="0" borderId="5" xfId="0" applyNumberFormat="1" applyFont="1" applyBorder="1" applyProtection="1">
      <protection locked="0"/>
    </xf>
    <xf numFmtId="178" fontId="35" fillId="0" borderId="5" xfId="0" applyNumberFormat="1" applyFont="1" applyBorder="1" applyProtection="1">
      <protection locked="0"/>
    </xf>
    <xf numFmtId="0" fontId="37" fillId="0" borderId="13" xfId="0" applyFont="1" applyBorder="1" applyAlignment="1" applyProtection="1">
      <alignment horizontal="right"/>
      <protection locked="0"/>
    </xf>
    <xf numFmtId="0" fontId="37" fillId="0" borderId="4" xfId="0" applyFont="1" applyBorder="1" applyAlignment="1" applyProtection="1">
      <alignment horizontal="right"/>
      <protection locked="0"/>
    </xf>
    <xf numFmtId="2" fontId="35" fillId="0" borderId="1" xfId="0" applyNumberFormat="1" applyFont="1" applyBorder="1" applyProtection="1">
      <protection locked="0"/>
    </xf>
    <xf numFmtId="178" fontId="35" fillId="0" borderId="1" xfId="0" applyNumberFormat="1" applyFont="1" applyBorder="1" applyProtection="1">
      <protection locked="0"/>
    </xf>
    <xf numFmtId="0" fontId="35" fillId="0" borderId="2" xfId="0" applyFont="1" applyBorder="1" applyAlignment="1" applyProtection="1">
      <alignment horizontal="right"/>
      <protection locked="0"/>
    </xf>
    <xf numFmtId="2" fontId="35" fillId="0" borderId="0" xfId="0" applyNumberFormat="1" applyFont="1" applyBorder="1" applyProtection="1">
      <protection locked="0"/>
    </xf>
    <xf numFmtId="178" fontId="35" fillId="0" borderId="0" xfId="0" applyNumberFormat="1" applyFont="1" applyBorder="1" applyProtection="1">
      <protection locked="0"/>
    </xf>
    <xf numFmtId="178" fontId="36" fillId="0" borderId="0" xfId="0" applyNumberFormat="1" applyFont="1" applyBorder="1" applyProtection="1">
      <protection locked="0"/>
    </xf>
    <xf numFmtId="178" fontId="36" fillId="0" borderId="2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Alignment="1" applyProtection="1">
      <alignment horizontal="right"/>
      <protection locked="0"/>
    </xf>
    <xf numFmtId="0" fontId="35" fillId="0" borderId="0" xfId="0" applyFont="1" applyBorder="1" applyProtection="1">
      <protection locked="0"/>
    </xf>
    <xf numFmtId="0" fontId="36" fillId="0" borderId="2" xfId="0" applyFont="1" applyBorder="1" applyAlignment="1" applyProtection="1">
      <alignment horizontal="right"/>
      <protection locked="0"/>
    </xf>
    <xf numFmtId="178" fontId="36" fillId="33" borderId="5" xfId="0" applyNumberFormat="1" applyFont="1" applyFill="1" applyBorder="1" applyProtection="1">
      <protection locked="0"/>
    </xf>
    <xf numFmtId="178" fontId="36" fillId="33" borderId="13" xfId="0" applyNumberFormat="1" applyFont="1" applyFill="1" applyBorder="1" applyAlignment="1" applyProtection="1">
      <alignment horizontal="center"/>
      <protection locked="0"/>
    </xf>
    <xf numFmtId="178" fontId="35" fillId="33" borderId="11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right"/>
      <protection locked="0"/>
    </xf>
    <xf numFmtId="178" fontId="119" fillId="0" borderId="2" xfId="0" applyNumberFormat="1" applyFont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center"/>
      <protection locked="0"/>
    </xf>
    <xf numFmtId="1" fontId="37" fillId="0" borderId="2" xfId="0" applyNumberFormat="1" applyFont="1" applyBorder="1" applyAlignment="1" applyProtection="1">
      <alignment horizontal="left"/>
    </xf>
    <xf numFmtId="0" fontId="35" fillId="0" borderId="5" xfId="0" applyFont="1" applyBorder="1" applyAlignment="1" applyProtection="1">
      <alignment horizontal="right"/>
    </xf>
    <xf numFmtId="0" fontId="37" fillId="0" borderId="7" xfId="0" applyFont="1" applyBorder="1" applyAlignment="1" applyProtection="1">
      <alignment horizontal="right"/>
    </xf>
    <xf numFmtId="0" fontId="35" fillId="0" borderId="7" xfId="0" applyFont="1" applyBorder="1" applyAlignment="1" applyProtection="1">
      <alignment horizontal="right"/>
    </xf>
    <xf numFmtId="1" fontId="37" fillId="0" borderId="2" xfId="0" applyNumberFormat="1" applyFont="1" applyBorder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right"/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33" fillId="0" borderId="0" xfId="0" applyNumberFormat="1" applyFont="1" applyBorder="1" applyProtection="1">
      <protection locked="0"/>
    </xf>
    <xf numFmtId="1" fontId="33" fillId="0" borderId="2" xfId="0" applyNumberFormat="1" applyFont="1" applyBorder="1" applyAlignment="1" applyProtection="1">
      <alignment horizontal="center"/>
      <protection locked="0"/>
    </xf>
    <xf numFmtId="178" fontId="33" fillId="0" borderId="10" xfId="0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left"/>
      <protection locked="0"/>
    </xf>
    <xf numFmtId="0" fontId="31" fillId="0" borderId="2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2" fontId="30" fillId="0" borderId="0" xfId="0" applyNumberFormat="1" applyFont="1" applyBorder="1" applyProtection="1">
      <protection locked="0"/>
    </xf>
    <xf numFmtId="178" fontId="30" fillId="0" borderId="0" xfId="0" applyNumberFormat="1" applyFont="1" applyBorder="1" applyProtection="1">
      <protection locked="0"/>
    </xf>
    <xf numFmtId="178" fontId="31" fillId="0" borderId="0" xfId="0" applyNumberFormat="1" applyFont="1" applyBorder="1" applyProtection="1">
      <protection locked="0"/>
    </xf>
    <xf numFmtId="1" fontId="31" fillId="0" borderId="2" xfId="0" applyNumberFormat="1" applyFont="1" applyBorder="1" applyAlignment="1" applyProtection="1">
      <alignment horizontal="center"/>
      <protection locked="0"/>
    </xf>
    <xf numFmtId="178" fontId="30" fillId="0" borderId="10" xfId="0" applyNumberFormat="1" applyFont="1" applyBorder="1" applyAlignment="1" applyProtection="1">
      <alignment horizontal="center"/>
      <protection locked="0"/>
    </xf>
    <xf numFmtId="0" fontId="37" fillId="0" borderId="6" xfId="0" applyFont="1" applyBorder="1" applyAlignment="1" applyProtection="1">
      <alignment horizontal="left"/>
      <protection locked="0"/>
    </xf>
    <xf numFmtId="2" fontId="37" fillId="0" borderId="13" xfId="0" applyNumberFormat="1" applyFont="1" applyBorder="1" applyAlignment="1" applyProtection="1">
      <alignment horizontal="center"/>
      <protection locked="0"/>
    </xf>
    <xf numFmtId="2" fontId="37" fillId="0" borderId="5" xfId="0" applyNumberFormat="1" applyFont="1" applyBorder="1" applyAlignment="1" applyProtection="1">
      <alignment horizontal="center"/>
      <protection locked="0"/>
    </xf>
    <xf numFmtId="2" fontId="37" fillId="0" borderId="11" xfId="0" applyNumberFormat="1" applyFont="1" applyBorder="1" applyAlignment="1" applyProtection="1">
      <alignment horizontal="center"/>
      <protection locked="0"/>
    </xf>
    <xf numFmtId="186" fontId="85" fillId="0" borderId="7" xfId="31" applyNumberFormat="1" applyFont="1" applyBorder="1" applyAlignment="1" applyProtection="1">
      <alignment horizontal="center"/>
      <protection locked="0"/>
    </xf>
    <xf numFmtId="186" fontId="37" fillId="0" borderId="13" xfId="31" applyNumberFormat="1" applyFont="1" applyBorder="1" applyAlignment="1" applyProtection="1">
      <alignment horizontal="center"/>
      <protection locked="0"/>
    </xf>
    <xf numFmtId="186" fontId="37" fillId="0" borderId="5" xfId="31" applyNumberFormat="1" applyFont="1" applyBorder="1" applyAlignment="1" applyProtection="1">
      <alignment horizontal="center"/>
      <protection locked="0"/>
    </xf>
    <xf numFmtId="186" fontId="37" fillId="0" borderId="11" xfId="31" applyNumberFormat="1" applyFont="1" applyBorder="1" applyAlignment="1" applyProtection="1">
      <alignment horizontal="center"/>
      <protection locked="0"/>
    </xf>
    <xf numFmtId="186" fontId="37" fillId="0" borderId="2" xfId="31" applyNumberFormat="1" applyFont="1" applyBorder="1" applyAlignment="1" applyProtection="1">
      <alignment horizontal="center"/>
      <protection locked="0"/>
    </xf>
    <xf numFmtId="186" fontId="37" fillId="0" borderId="0" xfId="31" applyNumberFormat="1" applyFont="1" applyBorder="1" applyAlignment="1" applyProtection="1">
      <alignment horizontal="center"/>
      <protection locked="0"/>
    </xf>
    <xf numFmtId="186" fontId="37" fillId="0" borderId="10" xfId="31" applyNumberFormat="1" applyFont="1" applyBorder="1" applyAlignment="1" applyProtection="1">
      <alignment horizontal="center"/>
      <protection locked="0"/>
    </xf>
    <xf numFmtId="0" fontId="36" fillId="0" borderId="7" xfId="0" applyFont="1" applyBorder="1" applyProtection="1">
      <protection locked="0"/>
    </xf>
    <xf numFmtId="186" fontId="36" fillId="0" borderId="2" xfId="31" applyNumberFormat="1" applyFont="1" applyBorder="1" applyAlignment="1" applyProtection="1">
      <alignment horizontal="center"/>
      <protection locked="0"/>
    </xf>
    <xf numFmtId="186" fontId="36" fillId="0" borderId="0" xfId="31" applyNumberFormat="1" applyFont="1" applyBorder="1" applyAlignment="1" applyProtection="1">
      <alignment horizontal="center"/>
      <protection locked="0"/>
    </xf>
    <xf numFmtId="186" fontId="36" fillId="0" borderId="10" xfId="31" applyNumberFormat="1" applyFont="1" applyBorder="1" applyAlignment="1" applyProtection="1">
      <alignment horizontal="center"/>
      <protection locked="0"/>
    </xf>
    <xf numFmtId="186" fontId="49" fillId="0" borderId="7" xfId="31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86" fontId="85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86" fontId="85" fillId="0" borderId="8" xfId="31" applyNumberFormat="1" applyFont="1" applyBorder="1" applyAlignment="1" applyProtection="1">
      <alignment horizontal="center"/>
      <protection locked="0"/>
    </xf>
    <xf numFmtId="186" fontId="37" fillId="0" borderId="4" xfId="31" applyNumberFormat="1" applyFont="1" applyBorder="1" applyAlignment="1" applyProtection="1">
      <alignment horizontal="center"/>
      <protection locked="0"/>
    </xf>
    <xf numFmtId="186" fontId="85" fillId="0" borderId="1" xfId="31" applyNumberFormat="1" applyFont="1" applyBorder="1" applyAlignment="1" applyProtection="1">
      <alignment horizontal="center"/>
      <protection locked="0"/>
    </xf>
    <xf numFmtId="186" fontId="37" fillId="0" borderId="1" xfId="31" applyNumberFormat="1" applyFont="1" applyBorder="1" applyAlignment="1" applyProtection="1">
      <alignment horizontal="center"/>
      <protection locked="0"/>
    </xf>
    <xf numFmtId="186" fontId="37" fillId="0" borderId="9" xfId="31" applyNumberFormat="1" applyFont="1" applyBorder="1" applyAlignment="1" applyProtection="1">
      <alignment horizontal="center"/>
      <protection locked="0"/>
    </xf>
    <xf numFmtId="0" fontId="120" fillId="0" borderId="0" xfId="0" applyFont="1" applyProtection="1"/>
    <xf numFmtId="0" fontId="92" fillId="0" borderId="0" xfId="0" applyFont="1" applyProtection="1">
      <protection locked="0"/>
    </xf>
    <xf numFmtId="0" fontId="35" fillId="0" borderId="0" xfId="0" applyFont="1" applyAlignment="1" applyProtection="1">
      <alignment horizontal="left"/>
    </xf>
    <xf numFmtId="182" fontId="49" fillId="0" borderId="3" xfId="33" applyNumberFormat="1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29" fillId="33" borderId="3" xfId="0" applyNumberFormat="1" applyFont="1" applyFill="1" applyBorder="1" applyAlignment="1" applyProtection="1">
      <alignment horizontal="center" vertical="center" wrapText="1"/>
    </xf>
    <xf numFmtId="166" fontId="31" fillId="0" borderId="3" xfId="0" applyNumberFormat="1" applyFont="1" applyFill="1" applyBorder="1" applyAlignment="1" applyProtection="1">
      <alignment horizontal="center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170" fontId="33" fillId="0" borderId="0" xfId="0" applyNumberFormat="1" applyFont="1" applyAlignment="1" applyProtection="1">
      <alignment horizontal="right"/>
    </xf>
    <xf numFmtId="2" fontId="54" fillId="0" borderId="19" xfId="0" applyNumberFormat="1" applyFont="1" applyBorder="1" applyAlignment="1" applyProtection="1">
      <alignment horizontal="center" vertical="center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173" fontId="65" fillId="37" borderId="15" xfId="33" applyNumberFormat="1" applyFont="1" applyFill="1" applyBorder="1" applyAlignment="1" applyProtection="1">
      <alignment horizont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8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5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5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4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4" xfId="33" applyNumberFormat="1" applyFont="1" applyBorder="1" applyAlignment="1" applyProtection="1">
      <alignment horizontal="center"/>
    </xf>
    <xf numFmtId="10" fontId="115" fillId="0" borderId="34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5" fontId="31" fillId="0" borderId="0" xfId="0" applyNumberFormat="1" applyFont="1" applyBorder="1" applyAlignment="1" applyProtection="1">
      <alignment horizontal="center"/>
      <protection locked="0"/>
    </xf>
    <xf numFmtId="10" fontId="79" fillId="0" borderId="19" xfId="0" applyNumberFormat="1" applyFont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0" fontId="36" fillId="0" borderId="5" xfId="0" applyFont="1" applyBorder="1" applyAlignment="1" applyProtection="1">
      <alignment horizontal="left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2" fontId="92" fillId="0" borderId="21" xfId="0" applyNumberFormat="1" applyFont="1" applyBorder="1" applyProtection="1">
      <protection locked="0"/>
    </xf>
    <xf numFmtId="2" fontId="92" fillId="34" borderId="22" xfId="0" applyNumberFormat="1" applyFont="1" applyFill="1" applyBorder="1" applyProtection="1">
      <protection locked="0"/>
    </xf>
    <xf numFmtId="9" fontId="65" fillId="37" borderId="15" xfId="33" applyNumberFormat="1" applyFont="1" applyFill="1" applyBorder="1" applyAlignment="1" applyProtection="1">
      <alignment horizontal="center"/>
      <protection locked="0"/>
    </xf>
    <xf numFmtId="0" fontId="84" fillId="0" borderId="0" xfId="0" applyFont="1" applyAlignment="1" applyProtection="1">
      <alignment horizontal="left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121" fillId="0" borderId="28" xfId="0" applyFont="1" applyBorder="1" applyAlignment="1" applyProtection="1">
      <alignment horizontal="center"/>
      <protection locked="0"/>
    </xf>
    <xf numFmtId="0" fontId="121" fillId="0" borderId="25" xfId="0" applyFont="1" applyBorder="1" applyAlignment="1" applyProtection="1">
      <alignment horizontal="center"/>
      <protection locked="0"/>
    </xf>
    <xf numFmtId="15" fontId="94" fillId="0" borderId="28" xfId="0" applyNumberFormat="1" applyFont="1" applyBorder="1" applyAlignment="1" applyProtection="1">
      <alignment horizontal="center" vertical="center"/>
      <protection locked="0"/>
    </xf>
    <xf numFmtId="15" fontId="94" fillId="0" borderId="25" xfId="0" applyNumberFormat="1" applyFont="1" applyBorder="1" applyAlignment="1" applyProtection="1">
      <alignment horizontal="center" vertical="center"/>
      <protection locked="0"/>
    </xf>
    <xf numFmtId="0" fontId="51" fillId="33" borderId="5" xfId="0" applyFont="1" applyFill="1" applyBorder="1" applyAlignment="1" applyProtection="1">
      <alignment horizontal="center" wrapText="1"/>
    </xf>
    <xf numFmtId="0" fontId="51" fillId="33" borderId="1" xfId="0" applyFont="1" applyFill="1" applyBorder="1" applyAlignment="1" applyProtection="1">
      <alignment horizont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8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65" fillId="0" borderId="28" xfId="33" applyNumberFormat="1" applyFont="1" applyBorder="1" applyAlignment="1" applyProtection="1">
      <alignment horizontal="center" vertical="center"/>
      <protection locked="0"/>
    </xf>
    <xf numFmtId="168" fontId="65" fillId="0" borderId="25" xfId="33" applyNumberFormat="1" applyFont="1" applyBorder="1" applyAlignment="1" applyProtection="1">
      <alignment horizontal="center" vertical="center"/>
      <protection locked="0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0" fontId="122" fillId="0" borderId="0" xfId="0" applyFont="1" applyBorder="1" applyAlignment="1" applyProtection="1">
      <alignment horizontal="center"/>
    </xf>
    <xf numFmtId="181" fontId="89" fillId="0" borderId="15" xfId="33" applyNumberFormat="1" applyFont="1" applyFill="1" applyBorder="1" applyAlignment="1" applyProtection="1">
      <alignment horizontal="center"/>
    </xf>
    <xf numFmtId="182" fontId="74" fillId="0" borderId="28" xfId="0" applyNumberFormat="1" applyFont="1" applyBorder="1" applyAlignment="1" applyProtection="1">
      <alignment horizontal="center" vertical="center"/>
      <protection locked="0"/>
    </xf>
    <xf numFmtId="182" fontId="74" fillId="0" borderId="25" xfId="0" applyNumberFormat="1" applyFont="1" applyBorder="1" applyAlignment="1" applyProtection="1">
      <alignment horizontal="center" vertical="center"/>
      <protection locked="0"/>
    </xf>
    <xf numFmtId="181" fontId="74" fillId="0" borderId="15" xfId="33" applyNumberFormat="1" applyFont="1" applyFill="1" applyBorder="1" applyAlignment="1" applyProtection="1">
      <alignment horizontal="center"/>
      <protection locked="0"/>
    </xf>
    <xf numFmtId="0" fontId="51" fillId="0" borderId="1" xfId="0" applyFont="1" applyBorder="1" applyAlignment="1" applyProtection="1">
      <alignment horizontal="center" vertical="center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79" fontId="27" fillId="0" borderId="14" xfId="0" applyNumberFormat="1" applyFont="1" applyBorder="1" applyAlignment="1" applyProtection="1">
      <alignment horizontal="center" vertical="center"/>
    </xf>
    <xf numFmtId="179" fontId="27" fillId="0" borderId="15" xfId="0" applyNumberFormat="1" applyFont="1" applyBorder="1" applyAlignment="1" applyProtection="1">
      <alignment horizontal="center" vertical="center"/>
    </xf>
    <xf numFmtId="179" fontId="27" fillId="0" borderId="12" xfId="0" applyNumberFormat="1" applyFont="1" applyBorder="1" applyAlignment="1" applyProtection="1">
      <alignment horizontal="center" vertical="center"/>
    </xf>
    <xf numFmtId="14" fontId="54" fillId="0" borderId="28" xfId="0" applyNumberFormat="1" applyFont="1" applyBorder="1" applyAlignment="1" applyProtection="1">
      <alignment horizontal="center" vertical="center"/>
      <protection locked="0"/>
    </xf>
    <xf numFmtId="14" fontId="54" fillId="0" borderId="25" xfId="0" applyNumberFormat="1" applyFont="1" applyBorder="1" applyAlignment="1" applyProtection="1">
      <alignment horizontal="center" vertical="center"/>
      <protection locked="0"/>
    </xf>
    <xf numFmtId="0" fontId="123" fillId="0" borderId="28" xfId="0" applyFont="1" applyBorder="1" applyAlignment="1" applyProtection="1">
      <alignment horizontal="center" vertical="center"/>
      <protection locked="0"/>
    </xf>
    <xf numFmtId="0" fontId="123" fillId="0" borderId="35" xfId="0" applyFont="1" applyBorder="1" applyAlignment="1" applyProtection="1">
      <alignment horizontal="center" vertical="center"/>
      <protection locked="0"/>
    </xf>
    <xf numFmtId="0" fontId="123" fillId="0" borderId="25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4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rgb="FFFF00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6.5052003713810089</c:v>
                </c:pt>
                <c:pt idx="6">
                  <c:v>6.175402181910286</c:v>
                </c:pt>
                <c:pt idx="7">
                  <c:v>5.7854977042277769</c:v>
                </c:pt>
                <c:pt idx="8">
                  <c:v>5.3232828708512647</c:v>
                </c:pt>
                <c:pt idx="9">
                  <c:v>4.5550365657122889</c:v>
                </c:pt>
                <c:pt idx="10">
                  <c:v>3.544840801026695</c:v>
                </c:pt>
                <c:pt idx="11">
                  <c:v>2.9592962148625324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3.4669739204812746</c:v>
                </c:pt>
                <c:pt idx="1">
                  <c:v>4.4613642429034464</c:v>
                </c:pt>
                <c:pt idx="2">
                  <c:v>5.4273042980076927</c:v>
                </c:pt>
                <c:pt idx="3">
                  <c:v>6.102693092660985</c:v>
                </c:pt>
                <c:pt idx="4">
                  <c:v>6.3050666705295564</c:v>
                </c:pt>
                <c:pt idx="5">
                  <c:v>6.183554536679706</c:v>
                </c:pt>
                <c:pt idx="6">
                  <c:v>5.8750741236261481</c:v>
                </c:pt>
                <c:pt idx="7">
                  <c:v>5.5057766404404944</c:v>
                </c:pt>
                <c:pt idx="8">
                  <c:v>5.059798897614602</c:v>
                </c:pt>
                <c:pt idx="9">
                  <c:v>4.3275116034599508</c:v>
                </c:pt>
                <c:pt idx="10">
                  <c:v>3.3697447331592989</c:v>
                </c:pt>
                <c:pt idx="11">
                  <c:v>2.8151377067161403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3.3021351490003554</c:v>
                </c:pt>
                <c:pt idx="1">
                  <c:v>4.2726377084665321</c:v>
                </c:pt>
                <c:pt idx="2">
                  <c:v>5.2137018113765699</c:v>
                </c:pt>
                <c:pt idx="3">
                  <c:v>5.8515588440549307</c:v>
                </c:pt>
                <c:pt idx="4">
                  <c:v>6.0352467971833441</c:v>
                </c:pt>
                <c:pt idx="5">
                  <c:v>5.9117819247421473</c:v>
                </c:pt>
                <c:pt idx="6">
                  <c:v>5.6215512805585046</c:v>
                </c:pt>
                <c:pt idx="7">
                  <c:v>5.285973425124741</c:v>
                </c:pt>
                <c:pt idx="8">
                  <c:v>4.8710446713105364</c:v>
                </c:pt>
                <c:pt idx="9">
                  <c:v>4.1671129507600959</c:v>
                </c:pt>
                <c:pt idx="10">
                  <c:v>3.2466798546615028</c:v>
                </c:pt>
                <c:pt idx="11">
                  <c:v>2.7404425363137097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3.2198358261126452</c:v>
                </c:pt>
                <c:pt idx="1">
                  <c:v>4.1532469447777576</c:v>
                </c:pt>
                <c:pt idx="2">
                  <c:v>5.0627356661652749</c:v>
                </c:pt>
                <c:pt idx="3">
                  <c:v>5.8818525064761209</c:v>
                </c:pt>
                <c:pt idx="4">
                  <c:v>6.3855563771430424</c:v>
                </c:pt>
                <c:pt idx="5">
                  <c:v>6.2572641534691407</c:v>
                </c:pt>
                <c:pt idx="6">
                  <c:v>5.9477936661758415</c:v>
                </c:pt>
                <c:pt idx="7">
                  <c:v>5.5887895409541972</c:v>
                </c:pt>
                <c:pt idx="8">
                  <c:v>5.1490982792192588</c:v>
                </c:pt>
                <c:pt idx="9">
                  <c:v>4.4078379358008233</c:v>
                </c:pt>
                <c:pt idx="10">
                  <c:v>3.4326787393322236</c:v>
                </c:pt>
                <c:pt idx="11">
                  <c:v>2.8638737456685668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3.3536501048691765</c:v>
                </c:pt>
                <c:pt idx="1">
                  <c:v>4.3032274836150819</c:v>
                </c:pt>
                <c:pt idx="2">
                  <c:v>5.2171978405135224</c:v>
                </c:pt>
                <c:pt idx="3">
                  <c:v>5.8451404631096144</c:v>
                </c:pt>
                <c:pt idx="4">
                  <c:v>6.0074776656820896</c:v>
                </c:pt>
                <c:pt idx="5">
                  <c:v>5.8567791242894858</c:v>
                </c:pt>
                <c:pt idx="6">
                  <c:v>5.5454693048938255</c:v>
                </c:pt>
                <c:pt idx="7">
                  <c:v>5.194841312403172</c:v>
                </c:pt>
                <c:pt idx="8">
                  <c:v>4.7710065840666784</c:v>
                </c:pt>
                <c:pt idx="9">
                  <c:v>4.0734623215467449</c:v>
                </c:pt>
                <c:pt idx="10">
                  <c:v>3.1643982376407762</c:v>
                </c:pt>
                <c:pt idx="11">
                  <c:v>2.6325249932989419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3.0879538752723068</c:v>
                </c:pt>
                <c:pt idx="1">
                  <c:v>3.9871964712540322</c:v>
                </c:pt>
                <c:pt idx="2">
                  <c:v>4.8585286552246876</c:v>
                </c:pt>
                <c:pt idx="3">
                  <c:v>5.4697241135178993</c:v>
                </c:pt>
                <c:pt idx="4">
                  <c:v>5.6429609694343403</c:v>
                </c:pt>
                <c:pt idx="5">
                  <c:v>5.5204864182630269</c:v>
                </c:pt>
                <c:pt idx="6">
                  <c:v>5.2512246583118607</c:v>
                </c:pt>
                <c:pt idx="7">
                  <c:v>4.9459736943249215</c:v>
                </c:pt>
                <c:pt idx="8">
                  <c:v>4.5648068807693427</c:v>
                </c:pt>
                <c:pt idx="9">
                  <c:v>3.9164193719699423</c:v>
                </c:pt>
                <c:pt idx="10">
                  <c:v>3.0555374679414173</c:v>
                </c:pt>
                <c:pt idx="11">
                  <c:v>2.5524399062572138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3.0027159513300776</c:v>
                </c:pt>
                <c:pt idx="1">
                  <c:v>3.8836102196567603</c:v>
                </c:pt>
                <c:pt idx="2">
                  <c:v>4.7349557438544423</c:v>
                </c:pt>
                <c:pt idx="3">
                  <c:v>5.3331599025575418</c:v>
                </c:pt>
                <c:pt idx="4">
                  <c:v>6.2279764828258193</c:v>
                </c:pt>
                <c:pt idx="5">
                  <c:v>6.0872022253747877</c:v>
                </c:pt>
                <c:pt idx="6">
                  <c:v>5.7808151275614916</c:v>
                </c:pt>
                <c:pt idx="7">
                  <c:v>5.4320475920946514</c:v>
                </c:pt>
                <c:pt idx="8">
                  <c:v>4.9978366814164286</c:v>
                </c:pt>
                <c:pt idx="9">
                  <c:v>4.2714034278299939</c:v>
                </c:pt>
                <c:pt idx="10">
                  <c:v>3.3125662019638487</c:v>
                </c:pt>
                <c:pt idx="11">
                  <c:v>2.7577570362526385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3.2359738239986942</c:v>
                </c:pt>
                <c:pt idx="1">
                  <c:v>4.183432010988537</c:v>
                </c:pt>
                <c:pt idx="2">
                  <c:v>5.0927643462038166</c:v>
                </c:pt>
                <c:pt idx="3">
                  <c:v>5.7354757238665615</c:v>
                </c:pt>
                <c:pt idx="4">
                  <c:v>5.925965357900342</c:v>
                </c:pt>
                <c:pt idx="5">
                  <c:v>5.813283488660927</c:v>
                </c:pt>
                <c:pt idx="6">
                  <c:v>5.520051481443419</c:v>
                </c:pt>
                <c:pt idx="7">
                  <c:v>5.1752407566711343</c:v>
                </c:pt>
                <c:pt idx="8">
                  <c:v>4.766190153697627</c:v>
                </c:pt>
                <c:pt idx="9">
                  <c:v>4.0838920679549036</c:v>
                </c:pt>
                <c:pt idx="10">
                  <c:v>3.183751524906508</c:v>
                </c:pt>
                <c:pt idx="11">
                  <c:v>2.6613274645161282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3.1203325101284012</c:v>
                </c:pt>
                <c:pt idx="1">
                  <c:v>4.0177580295315876</c:v>
                </c:pt>
                <c:pt idx="2">
                  <c:v>4.8904152176279441</c:v>
                </c:pt>
                <c:pt idx="3">
                  <c:v>5.5163336544325414</c:v>
                </c:pt>
                <c:pt idx="4">
                  <c:v>6.1446530323197113</c:v>
                </c:pt>
                <c:pt idx="5">
                  <c:v>6.0220721398784516</c:v>
                </c:pt>
                <c:pt idx="6">
                  <c:v>5.7155824959361992</c:v>
                </c:pt>
                <c:pt idx="7">
                  <c:v>5.3571982051990403</c:v>
                </c:pt>
                <c:pt idx="8">
                  <c:v>4.9290428731222757</c:v>
                </c:pt>
                <c:pt idx="9">
                  <c:v>4.2166433716438654</c:v>
                </c:pt>
                <c:pt idx="10">
                  <c:v>3.2814443348599593</c:v>
                </c:pt>
                <c:pt idx="11">
                  <c:v>2.7390576289037658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3.2083302789873911</c:v>
                </c:pt>
                <c:pt idx="1">
                  <c:v>4.1277224451697467</c:v>
                </c:pt>
                <c:pt idx="2">
                  <c:v>5.0205100672057137</c:v>
                </c:pt>
                <c:pt idx="3">
                  <c:v>5.6435908191546895</c:v>
                </c:pt>
                <c:pt idx="4">
                  <c:v>5.825418303096396</c:v>
                </c:pt>
                <c:pt idx="5">
                  <c:v>5.7065350467823901</c:v>
                </c:pt>
                <c:pt idx="6">
                  <c:v>5.4208964406772928</c:v>
                </c:pt>
                <c:pt idx="7">
                  <c:v>5.0898243759977735</c:v>
                </c:pt>
                <c:pt idx="8">
                  <c:v>4.6891835232324306</c:v>
                </c:pt>
                <c:pt idx="9">
                  <c:v>4.0167252934057034</c:v>
                </c:pt>
                <c:pt idx="10">
                  <c:v>3.1310650756563758</c:v>
                </c:pt>
                <c:pt idx="11">
                  <c:v>2.6154484026502463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283448"/>
        <c:axId val="640283840"/>
      </c:lineChart>
      <c:dateAx>
        <c:axId val="64028344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384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40283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34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26.823113608205247</c:v>
                </c:pt>
                <c:pt idx="1">
                  <c:v>27.016223137772212</c:v>
                </c:pt>
                <c:pt idx="2">
                  <c:v>27.215062570223893</c:v>
                </c:pt>
                <c:pt idx="3">
                  <c:v>27.418155909436106</c:v>
                </c:pt>
                <c:pt idx="4">
                  <c:v>27.624028662602257</c:v>
                </c:pt>
                <c:pt idx="5">
                  <c:v>27.831207816842426</c:v>
                </c:pt>
                <c:pt idx="6">
                  <c:v>28.038221829170443</c:v>
                </c:pt>
                <c:pt idx="7">
                  <c:v>28.243600613062469</c:v>
                </c:pt>
                <c:pt idx="8">
                  <c:v>28.449056990960617</c:v>
                </c:pt>
                <c:pt idx="9">
                  <c:v>28.657449557036177</c:v>
                </c:pt>
                <c:pt idx="10">
                  <c:v>28.869029324916372</c:v>
                </c:pt>
                <c:pt idx="11">
                  <c:v>29.084135205576533</c:v>
                </c:pt>
                <c:pt idx="12">
                  <c:v>29.303105706886161</c:v>
                </c:pt>
                <c:pt idx="13">
                  <c:v>29.526278942010546</c:v>
                </c:pt>
                <c:pt idx="14">
                  <c:v>29.75399263045983</c:v>
                </c:pt>
                <c:pt idx="15">
                  <c:v>29.986437088855084</c:v>
                </c:pt>
                <c:pt idx="16">
                  <c:v>30.223757701181921</c:v>
                </c:pt>
                <c:pt idx="17">
                  <c:v>30.466291299244922</c:v>
                </c:pt>
                <c:pt idx="18">
                  <c:v>30.714374373795128</c:v>
                </c:pt>
                <c:pt idx="19">
                  <c:v>30.968342852715001</c:v>
                </c:pt>
                <c:pt idx="20">
                  <c:v>31.228532280245506</c:v>
                </c:pt>
                <c:pt idx="21">
                  <c:v>31.495278090517061</c:v>
                </c:pt>
                <c:pt idx="22">
                  <c:v>31.770467025072016</c:v>
                </c:pt>
                <c:pt idx="23">
                  <c:v>32.054993319448705</c:v>
                </c:pt>
                <c:pt idx="24">
                  <c:v>32.347801380742212</c:v>
                </c:pt>
                <c:pt idx="25">
                  <c:v>32.64777720716949</c:v>
                </c:pt>
                <c:pt idx="26">
                  <c:v>32.953807937060915</c:v>
                </c:pt>
                <c:pt idx="27">
                  <c:v>33.264781856027781</c:v>
                </c:pt>
                <c:pt idx="28">
                  <c:v>33.57958838213618</c:v>
                </c:pt>
                <c:pt idx="29">
                  <c:v>33.897107867910719</c:v>
                </c:pt>
                <c:pt idx="30">
                  <c:v>34.216378091216235</c:v>
                </c:pt>
                <c:pt idx="31">
                  <c:v>34.536291621910131</c:v>
                </c:pt>
                <c:pt idx="32">
                  <c:v>34.855742155313798</c:v>
                </c:pt>
                <c:pt idx="33">
                  <c:v>35.173624509471097</c:v>
                </c:pt>
                <c:pt idx="34">
                  <c:v>35.488834623855944</c:v>
                </c:pt>
                <c:pt idx="35">
                  <c:v>35.800269556102542</c:v>
                </c:pt>
                <c:pt idx="36">
                  <c:v>36.11067700184207</c:v>
                </c:pt>
                <c:pt idx="37">
                  <c:v>36.423199974460339</c:v>
                </c:pt>
                <c:pt idx="38">
                  <c:v>36.737360370902962</c:v>
                </c:pt>
                <c:pt idx="39">
                  <c:v>37.052655306318051</c:v>
                </c:pt>
                <c:pt idx="40">
                  <c:v>37.368582409440975</c:v>
                </c:pt>
                <c:pt idx="41">
                  <c:v>37.6846398175894</c:v>
                </c:pt>
                <c:pt idx="42">
                  <c:v>38.000326174071411</c:v>
                </c:pt>
                <c:pt idx="43">
                  <c:v>38.315143529621217</c:v>
                </c:pt>
                <c:pt idx="44">
                  <c:v>38.62860218197897</c:v>
                </c:pt>
                <c:pt idx="45">
                  <c:v>38.940202393783117</c:v>
                </c:pt>
                <c:pt idx="46">
                  <c:v>39.249444925382761</c:v>
                </c:pt>
                <c:pt idx="47">
                  <c:v>39.555831028887233</c:v>
                </c:pt>
                <c:pt idx="48">
                  <c:v>39.858862445632653</c:v>
                </c:pt>
                <c:pt idx="49">
                  <c:v>40.158041396971626</c:v>
                </c:pt>
                <c:pt idx="50">
                  <c:v>40.453904652236687</c:v>
                </c:pt>
                <c:pt idx="51">
                  <c:v>40.747408463342367</c:v>
                </c:pt>
                <c:pt idx="52">
                  <c:v>41.038658481307138</c:v>
                </c:pt>
                <c:pt idx="53">
                  <c:v>41.32775674240532</c:v>
                </c:pt>
                <c:pt idx="54">
                  <c:v>41.614804974708569</c:v>
                </c:pt>
                <c:pt idx="55">
                  <c:v>41.899904765523729</c:v>
                </c:pt>
                <c:pt idx="56">
                  <c:v>42.183157559381009</c:v>
                </c:pt>
                <c:pt idx="57">
                  <c:v>42.464717123851848</c:v>
                </c:pt>
                <c:pt idx="58">
                  <c:v>42.744681684707508</c:v>
                </c:pt>
                <c:pt idx="59">
                  <c:v>43.023152235445146</c:v>
                </c:pt>
                <c:pt idx="60">
                  <c:v>43.300229613612942</c:v>
                </c:pt>
                <c:pt idx="61">
                  <c:v>43.576014500679861</c:v>
                </c:pt>
                <c:pt idx="62">
                  <c:v>43.850607418853926</c:v>
                </c:pt>
                <c:pt idx="63">
                  <c:v>44.124108731510297</c:v>
                </c:pt>
                <c:pt idx="64">
                  <c:v>44.397017542146848</c:v>
                </c:pt>
                <c:pt idx="65">
                  <c:v>44.669581619274801</c:v>
                </c:pt>
                <c:pt idx="66">
                  <c:v>44.941481877489515</c:v>
                </c:pt>
                <c:pt idx="67">
                  <c:v>45.2124193601082</c:v>
                </c:pt>
                <c:pt idx="68">
                  <c:v>45.482095352672658</c:v>
                </c:pt>
                <c:pt idx="69">
                  <c:v>45.750211384910436</c:v>
                </c:pt>
                <c:pt idx="70">
                  <c:v>46.016469232787429</c:v>
                </c:pt>
                <c:pt idx="71">
                  <c:v>46.280543019662062</c:v>
                </c:pt>
                <c:pt idx="72">
                  <c:v>46.542082450934139</c:v>
                </c:pt>
                <c:pt idx="73">
                  <c:v>46.800790004480874</c:v>
                </c:pt>
                <c:pt idx="74">
                  <c:v>47.05636840095022</c:v>
                </c:pt>
                <c:pt idx="75">
                  <c:v>47.308520609925466</c:v>
                </c:pt>
                <c:pt idx="76">
                  <c:v>47.556949844820195</c:v>
                </c:pt>
                <c:pt idx="77">
                  <c:v>47.801359572474823</c:v>
                </c:pt>
                <c:pt idx="78">
                  <c:v>48.043706133343846</c:v>
                </c:pt>
                <c:pt idx="79">
                  <c:v>48.285665346268345</c:v>
                </c:pt>
                <c:pt idx="80">
                  <c:v>48.526525660296649</c:v>
                </c:pt>
                <c:pt idx="81">
                  <c:v>48.765591434958623</c:v>
                </c:pt>
                <c:pt idx="82">
                  <c:v>49.00216766983786</c:v>
                </c:pt>
                <c:pt idx="83">
                  <c:v>49.23556000735752</c:v>
                </c:pt>
                <c:pt idx="84">
                  <c:v>49.465074737963256</c:v>
                </c:pt>
                <c:pt idx="85">
                  <c:v>49.690002868703445</c:v>
                </c:pt>
                <c:pt idx="86">
                  <c:v>49.909680009196414</c:v>
                </c:pt>
                <c:pt idx="87">
                  <c:v>50.123414418768149</c:v>
                </c:pt>
                <c:pt idx="88">
                  <c:v>50.330515024115137</c:v>
                </c:pt>
                <c:pt idx="89">
                  <c:v>50.530291419723802</c:v>
                </c:pt>
                <c:pt idx="90">
                  <c:v>50.722053881149698</c:v>
                </c:pt>
                <c:pt idx="91">
                  <c:v>50.905113360978831</c:v>
                </c:pt>
                <c:pt idx="92">
                  <c:v>51.079441734404391</c:v>
                </c:pt>
                <c:pt idx="93">
                  <c:v>51.245768139590687</c:v>
                </c:pt>
                <c:pt idx="94">
                  <c:v>51.404605232971967</c:v>
                </c:pt>
                <c:pt idx="95">
                  <c:v>51.556451520149196</c:v>
                </c:pt>
                <c:pt idx="96">
                  <c:v>51.701804985188851</c:v>
                </c:pt>
                <c:pt idx="97">
                  <c:v>51.841163092440858</c:v>
                </c:pt>
                <c:pt idx="98">
                  <c:v>51.975022779702677</c:v>
                </c:pt>
                <c:pt idx="99">
                  <c:v>52.103805019361914</c:v>
                </c:pt>
                <c:pt idx="100">
                  <c:v>52.228021412785232</c:v>
                </c:pt>
                <c:pt idx="101">
                  <c:v>52.348166650261049</c:v>
                </c:pt>
                <c:pt idx="102">
                  <c:v>52.464734826734663</c:v>
                </c:pt>
                <c:pt idx="103">
                  <c:v>52.578219444928905</c:v>
                </c:pt>
                <c:pt idx="104">
                  <c:v>52.689113412053061</c:v>
                </c:pt>
                <c:pt idx="105">
                  <c:v>52.797909033913641</c:v>
                </c:pt>
                <c:pt idx="106">
                  <c:v>52.904078307329137</c:v>
                </c:pt>
                <c:pt idx="107">
                  <c:v>53.006621882110622</c:v>
                </c:pt>
                <c:pt idx="108">
                  <c:v>53.10547631884657</c:v>
                </c:pt>
                <c:pt idx="109">
                  <c:v>53.200541727778983</c:v>
                </c:pt>
                <c:pt idx="110">
                  <c:v>53.29171813996048</c:v>
                </c:pt>
                <c:pt idx="111">
                  <c:v>53.378905561571784</c:v>
                </c:pt>
                <c:pt idx="112">
                  <c:v>53.462004051987108</c:v>
                </c:pt>
                <c:pt idx="113">
                  <c:v>53.540869891332207</c:v>
                </c:pt>
                <c:pt idx="114">
                  <c:v>53.615483187488813</c:v>
                </c:pt>
                <c:pt idx="115">
                  <c:v>53.68574466633531</c:v>
                </c:pt>
                <c:pt idx="116">
                  <c:v>53.751555125045513</c:v>
                </c:pt>
                <c:pt idx="117">
                  <c:v>53.812815440555148</c:v>
                </c:pt>
                <c:pt idx="118">
                  <c:v>53.86942658341929</c:v>
                </c:pt>
                <c:pt idx="119">
                  <c:v>53.921289629219388</c:v>
                </c:pt>
                <c:pt idx="120">
                  <c:v>53.967912510390022</c:v>
                </c:pt>
                <c:pt idx="121">
                  <c:v>54.009022812888766</c:v>
                </c:pt>
                <c:pt idx="122">
                  <c:v>54.044998654313218</c:v>
                </c:pt>
                <c:pt idx="123">
                  <c:v>54.076135504101288</c:v>
                </c:pt>
                <c:pt idx="124">
                  <c:v>54.102728614711978</c:v>
                </c:pt>
                <c:pt idx="125">
                  <c:v>54.125073031319566</c:v>
                </c:pt>
                <c:pt idx="126">
                  <c:v>54.143463603848154</c:v>
                </c:pt>
                <c:pt idx="127">
                  <c:v>54.158192453931683</c:v>
                </c:pt>
                <c:pt idx="128">
                  <c:v>54.169602448685595</c:v>
                </c:pt>
                <c:pt idx="129">
                  <c:v>54.177988984552783</c:v>
                </c:pt>
                <c:pt idx="130">
                  <c:v>54.18364734963771</c:v>
                </c:pt>
                <c:pt idx="131">
                  <c:v>54.186872740610468</c:v>
                </c:pt>
                <c:pt idx="132">
                  <c:v>54.187960268223435</c:v>
                </c:pt>
                <c:pt idx="133">
                  <c:v>54.187204969177444</c:v>
                </c:pt>
                <c:pt idx="134">
                  <c:v>54.183955133192946</c:v>
                </c:pt>
                <c:pt idx="135">
                  <c:v>54.177443688962448</c:v>
                </c:pt>
                <c:pt idx="136">
                  <c:v>54.167820004268023</c:v>
                </c:pt>
                <c:pt idx="137">
                  <c:v>54.155186628530579</c:v>
                </c:pt>
                <c:pt idx="138">
                  <c:v>54.139646336467834</c:v>
                </c:pt>
                <c:pt idx="139">
                  <c:v>54.121302128822109</c:v>
                </c:pt>
                <c:pt idx="140">
                  <c:v>54.100257235437908</c:v>
                </c:pt>
                <c:pt idx="141">
                  <c:v>54.076591972827572</c:v>
                </c:pt>
                <c:pt idx="142">
                  <c:v>54.050413577813565</c:v>
                </c:pt>
                <c:pt idx="143">
                  <c:v>54.021826643261321</c:v>
                </c:pt>
                <c:pt idx="144">
                  <c:v>53.990935042061274</c:v>
                </c:pt>
                <c:pt idx="145">
                  <c:v>53.957842824242221</c:v>
                </c:pt>
                <c:pt idx="146">
                  <c:v>53.922654210452428</c:v>
                </c:pt>
                <c:pt idx="147">
                  <c:v>53.885473575748357</c:v>
                </c:pt>
                <c:pt idx="148">
                  <c:v>53.846372922345267</c:v>
                </c:pt>
                <c:pt idx="149">
                  <c:v>53.805373047276156</c:v>
                </c:pt>
                <c:pt idx="150">
                  <c:v>53.762369807200578</c:v>
                </c:pt>
                <c:pt idx="151">
                  <c:v>53.717274870811472</c:v>
                </c:pt>
                <c:pt idx="152">
                  <c:v>53.670000175457943</c:v>
                </c:pt>
                <c:pt idx="153">
                  <c:v>53.620457896772699</c:v>
                </c:pt>
                <c:pt idx="154">
                  <c:v>53.568560418452428</c:v>
                </c:pt>
                <c:pt idx="155">
                  <c:v>53.514435950523385</c:v>
                </c:pt>
                <c:pt idx="156">
                  <c:v>53.458024995963697</c:v>
                </c:pt>
                <c:pt idx="157">
                  <c:v>53.399244069335644</c:v>
                </c:pt>
                <c:pt idx="158">
                  <c:v>53.338009595011556</c:v>
                </c:pt>
                <c:pt idx="159">
                  <c:v>53.274237864530939</c:v>
                </c:pt>
                <c:pt idx="160">
                  <c:v>53.207844987589382</c:v>
                </c:pt>
                <c:pt idx="161">
                  <c:v>53.138746850832334</c:v>
                </c:pt>
                <c:pt idx="162">
                  <c:v>53.066259971486069</c:v>
                </c:pt>
                <c:pt idx="163">
                  <c:v>52.990099504153541</c:v>
                </c:pt>
                <c:pt idx="164">
                  <c:v>52.910581191216444</c:v>
                </c:pt>
                <c:pt idx="165">
                  <c:v>52.828105234876539</c:v>
                </c:pt>
                <c:pt idx="166">
                  <c:v>52.743070888520108</c:v>
                </c:pt>
                <c:pt idx="167">
                  <c:v>52.655876440588472</c:v>
                </c:pt>
                <c:pt idx="168">
                  <c:v>52.566919188428045</c:v>
                </c:pt>
                <c:pt idx="169">
                  <c:v>52.476672697197543</c:v>
                </c:pt>
                <c:pt idx="170">
                  <c:v>52.38530197417662</c:v>
                </c:pt>
                <c:pt idx="171">
                  <c:v>52.293200006386392</c:v>
                </c:pt>
                <c:pt idx="172">
                  <c:v>52.200758878556549</c:v>
                </c:pt>
                <c:pt idx="173">
                  <c:v>52.108372986665508</c:v>
                </c:pt>
                <c:pt idx="174">
                  <c:v>52.016436040470765</c:v>
                </c:pt>
                <c:pt idx="175">
                  <c:v>51.925337733737621</c:v>
                </c:pt>
                <c:pt idx="176">
                  <c:v>51.8344990515318</c:v>
                </c:pt>
                <c:pt idx="177">
                  <c:v>51.743319688481229</c:v>
                </c:pt>
                <c:pt idx="178">
                  <c:v>51.65172256626574</c:v>
                </c:pt>
                <c:pt idx="179">
                  <c:v>51.559709624693234</c:v>
                </c:pt>
                <c:pt idx="180">
                  <c:v>51.467282215447618</c:v>
                </c:pt>
                <c:pt idx="181">
                  <c:v>51.374441122864503</c:v>
                </c:pt>
                <c:pt idx="182">
                  <c:v>51.281186590505961</c:v>
                </c:pt>
                <c:pt idx="183">
                  <c:v>51.187612163275048</c:v>
                </c:pt>
                <c:pt idx="184">
                  <c:v>51.093635469236375</c:v>
                </c:pt>
                <c:pt idx="185">
                  <c:v>50.999255213562677</c:v>
                </c:pt>
                <c:pt idx="186">
                  <c:v>50.9044696873014</c:v>
                </c:pt>
                <c:pt idx="187">
                  <c:v>50.809276804695997</c:v>
                </c:pt>
                <c:pt idx="188">
                  <c:v>50.713674142453556</c:v>
                </c:pt>
                <c:pt idx="189">
                  <c:v>50.617658979925878</c:v>
                </c:pt>
                <c:pt idx="190">
                  <c:v>50.520810462344798</c:v>
                </c:pt>
                <c:pt idx="191">
                  <c:v>50.422813005259428</c:v>
                </c:pt>
                <c:pt idx="192">
                  <c:v>50.323614627694617</c:v>
                </c:pt>
                <c:pt idx="193">
                  <c:v>50.223404618434621</c:v>
                </c:pt>
                <c:pt idx="194">
                  <c:v>50.122372095037697</c:v>
                </c:pt>
                <c:pt idx="195">
                  <c:v>50.020706028857028</c:v>
                </c:pt>
                <c:pt idx="196">
                  <c:v>49.918595270542937</c:v>
                </c:pt>
                <c:pt idx="197">
                  <c:v>49.816247551894662</c:v>
                </c:pt>
                <c:pt idx="198">
                  <c:v>49.713755545459755</c:v>
                </c:pt>
                <c:pt idx="199">
                  <c:v>49.611307670608696</c:v>
                </c:pt>
                <c:pt idx="200">
                  <c:v>49.509092337345791</c:v>
                </c:pt>
                <c:pt idx="201">
                  <c:v>49.407297957389019</c:v>
                </c:pt>
                <c:pt idx="202">
                  <c:v>49.306112953761762</c:v>
                </c:pt>
                <c:pt idx="203">
                  <c:v>49.205725768649344</c:v>
                </c:pt>
                <c:pt idx="204">
                  <c:v>49.106052895718548</c:v>
                </c:pt>
                <c:pt idx="205">
                  <c:v>49.006814995040301</c:v>
                </c:pt>
                <c:pt idx="206">
                  <c:v>48.907935698283239</c:v>
                </c:pt>
                <c:pt idx="207">
                  <c:v>48.809316100941594</c:v>
                </c:pt>
                <c:pt idx="208">
                  <c:v>48.710857583200038</c:v>
                </c:pt>
                <c:pt idx="209">
                  <c:v>48.612461806476567</c:v>
                </c:pt>
                <c:pt idx="210">
                  <c:v>48.514030708815035</c:v>
                </c:pt>
                <c:pt idx="211">
                  <c:v>48.415400209800723</c:v>
                </c:pt>
                <c:pt idx="212">
                  <c:v>48.316453660623026</c:v>
                </c:pt>
                <c:pt idx="213">
                  <c:v>48.217093758112057</c:v>
                </c:pt>
                <c:pt idx="214">
                  <c:v>48.117223462825933</c:v>
                </c:pt>
                <c:pt idx="215">
                  <c:v>48.016745989159226</c:v>
                </c:pt>
                <c:pt idx="216">
                  <c:v>47.915564793845846</c:v>
                </c:pt>
                <c:pt idx="217">
                  <c:v>47.813583566206376</c:v>
                </c:pt>
                <c:pt idx="218">
                  <c:v>47.71077428974418</c:v>
                </c:pt>
                <c:pt idx="219">
                  <c:v>47.607154402591284</c:v>
                </c:pt>
                <c:pt idx="220">
                  <c:v>47.502806940671725</c:v>
                </c:pt>
                <c:pt idx="221">
                  <c:v>47.39781091527761</c:v>
                </c:pt>
                <c:pt idx="222">
                  <c:v>47.2922453673932</c:v>
                </c:pt>
                <c:pt idx="223">
                  <c:v>47.186189359081837</c:v>
                </c:pt>
                <c:pt idx="224">
                  <c:v>47.079721965668028</c:v>
                </c:pt>
                <c:pt idx="225">
                  <c:v>46.972795523055233</c:v>
                </c:pt>
                <c:pt idx="226">
                  <c:v>46.865555498841417</c:v>
                </c:pt>
                <c:pt idx="227">
                  <c:v>46.758081027086192</c:v>
                </c:pt>
                <c:pt idx="228">
                  <c:v>46.650451237305489</c:v>
                </c:pt>
                <c:pt idx="229">
                  <c:v>46.542745249682568</c:v>
                </c:pt>
                <c:pt idx="230">
                  <c:v>46.43504217178706</c:v>
                </c:pt>
                <c:pt idx="231">
                  <c:v>46.327421095490458</c:v>
                </c:pt>
                <c:pt idx="232">
                  <c:v>46.220725066031328</c:v>
                </c:pt>
                <c:pt idx="233">
                  <c:v>46.11531676470215</c:v>
                </c:pt>
                <c:pt idx="234">
                  <c:v>46.010823425263659</c:v>
                </c:pt>
                <c:pt idx="235">
                  <c:v>45.906801585128534</c:v>
                </c:pt>
                <c:pt idx="236">
                  <c:v>45.802808241180394</c:v>
                </c:pt>
                <c:pt idx="237">
                  <c:v>45.69840089184634</c:v>
                </c:pt>
                <c:pt idx="238">
                  <c:v>45.593137503473457</c:v>
                </c:pt>
                <c:pt idx="239">
                  <c:v>45.486508649570176</c:v>
                </c:pt>
                <c:pt idx="240">
                  <c:v>45.378199236455423</c:v>
                </c:pt>
                <c:pt idx="241">
                  <c:v>45.267768478315375</c:v>
                </c:pt>
                <c:pt idx="242">
                  <c:v>45.15477604406972</c:v>
                </c:pt>
                <c:pt idx="243">
                  <c:v>45.038782059001242</c:v>
                </c:pt>
                <c:pt idx="244">
                  <c:v>44.919347102284348</c:v>
                </c:pt>
                <c:pt idx="245">
                  <c:v>44.796032209505796</c:v>
                </c:pt>
                <c:pt idx="246">
                  <c:v>44.670126836918911</c:v>
                </c:pt>
                <c:pt idx="247">
                  <c:v>44.542994995188614</c:v>
                </c:pt>
                <c:pt idx="248">
                  <c:v>44.414481813510129</c:v>
                </c:pt>
                <c:pt idx="249">
                  <c:v>44.284302268790746</c:v>
                </c:pt>
                <c:pt idx="250">
                  <c:v>44.152171649213294</c:v>
                </c:pt>
                <c:pt idx="251">
                  <c:v>44.017805550533616</c:v>
                </c:pt>
                <c:pt idx="252">
                  <c:v>43.880919880260279</c:v>
                </c:pt>
                <c:pt idx="253">
                  <c:v>43.741214423660644</c:v>
                </c:pt>
                <c:pt idx="254">
                  <c:v>43.598472778851693</c:v>
                </c:pt>
                <c:pt idx="255">
                  <c:v>43.452411598230078</c:v>
                </c:pt>
                <c:pt idx="256">
                  <c:v>43.302747815546176</c:v>
                </c:pt>
                <c:pt idx="257">
                  <c:v>43.149198637757536</c:v>
                </c:pt>
                <c:pt idx="258">
                  <c:v>42.991481546342087</c:v>
                </c:pt>
                <c:pt idx="259">
                  <c:v>42.829314283051339</c:v>
                </c:pt>
                <c:pt idx="260">
                  <c:v>42.662993193008425</c:v>
                </c:pt>
                <c:pt idx="261">
                  <c:v>42.493008389846224</c:v>
                </c:pt>
                <c:pt idx="262">
                  <c:v>42.319454677207148</c:v>
                </c:pt>
                <c:pt idx="263">
                  <c:v>42.142399595301441</c:v>
                </c:pt>
                <c:pt idx="264">
                  <c:v>41.961910634482429</c:v>
                </c:pt>
                <c:pt idx="265">
                  <c:v>41.778054935142556</c:v>
                </c:pt>
                <c:pt idx="266">
                  <c:v>41.590899698135118</c:v>
                </c:pt>
                <c:pt idx="267">
                  <c:v>41.40054576799109</c:v>
                </c:pt>
                <c:pt idx="268">
                  <c:v>41.20707611233221</c:v>
                </c:pt>
                <c:pt idx="269">
                  <c:v>41.010557545403564</c:v>
                </c:pt>
                <c:pt idx="270">
                  <c:v>40.811056759885247</c:v>
                </c:pt>
                <c:pt idx="271">
                  <c:v>40.608640314441466</c:v>
                </c:pt>
                <c:pt idx="272">
                  <c:v>40.403374626179364</c:v>
                </c:pt>
                <c:pt idx="273">
                  <c:v>40.195325955018873</c:v>
                </c:pt>
                <c:pt idx="274">
                  <c:v>39.98395731191858</c:v>
                </c:pt>
                <c:pt idx="275">
                  <c:v>39.768914007717086</c:v>
                </c:pt>
                <c:pt idx="276">
                  <c:v>39.550441018401322</c:v>
                </c:pt>
                <c:pt idx="277">
                  <c:v>39.328744773372279</c:v>
                </c:pt>
                <c:pt idx="278">
                  <c:v>39.104031275221935</c:v>
                </c:pt>
                <c:pt idx="279">
                  <c:v>38.876506093698346</c:v>
                </c:pt>
                <c:pt idx="280">
                  <c:v>38.646374352165147</c:v>
                </c:pt>
                <c:pt idx="281">
                  <c:v>38.413876984303123</c:v>
                </c:pt>
                <c:pt idx="282">
                  <c:v>38.17918579217185</c:v>
                </c:pt>
                <c:pt idx="283">
                  <c:v>37.942504449979808</c:v>
                </c:pt>
                <c:pt idx="284">
                  <c:v>37.704036159033464</c:v>
                </c:pt>
                <c:pt idx="285">
                  <c:v>37.463983648612874</c:v>
                </c:pt>
                <c:pt idx="286">
                  <c:v>37.222549177941637</c:v>
                </c:pt>
                <c:pt idx="287">
                  <c:v>36.979934539001079</c:v>
                </c:pt>
                <c:pt idx="288">
                  <c:v>36.736033875941978</c:v>
                </c:pt>
                <c:pt idx="289">
                  <c:v>36.490550299348918</c:v>
                </c:pt>
                <c:pt idx="290">
                  <c:v>36.243303450767641</c:v>
                </c:pt>
                <c:pt idx="291">
                  <c:v>35.994196102955449</c:v>
                </c:pt>
                <c:pt idx="292">
                  <c:v>35.743130845106982</c:v>
                </c:pt>
                <c:pt idx="293">
                  <c:v>35.49001009369379</c:v>
                </c:pt>
                <c:pt idx="294">
                  <c:v>35.234736103958753</c:v>
                </c:pt>
                <c:pt idx="295">
                  <c:v>34.977201784406383</c:v>
                </c:pt>
                <c:pt idx="296">
                  <c:v>34.71727493527208</c:v>
                </c:pt>
                <c:pt idx="297">
                  <c:v>34.454857725296819</c:v>
                </c:pt>
                <c:pt idx="298">
                  <c:v>34.189852815506924</c:v>
                </c:pt>
                <c:pt idx="299">
                  <c:v>33.92216281953614</c:v>
                </c:pt>
                <c:pt idx="300">
                  <c:v>33.651690318659007</c:v>
                </c:pt>
                <c:pt idx="301">
                  <c:v>33.378337883966609</c:v>
                </c:pt>
                <c:pt idx="302">
                  <c:v>33.09938583549102</c:v>
                </c:pt>
                <c:pt idx="303">
                  <c:v>32.81289728307619</c:v>
                </c:pt>
                <c:pt idx="304">
                  <c:v>32.52018502283498</c:v>
                </c:pt>
                <c:pt idx="305">
                  <c:v>32.222569121084817</c:v>
                </c:pt>
                <c:pt idx="306">
                  <c:v>31.921368936533018</c:v>
                </c:pt>
                <c:pt idx="307">
                  <c:v>31.617903137295642</c:v>
                </c:pt>
                <c:pt idx="308">
                  <c:v>31.313489709491527</c:v>
                </c:pt>
                <c:pt idx="309">
                  <c:v>31.009289834087422</c:v>
                </c:pt>
                <c:pt idx="310">
                  <c:v>30.706631794782187</c:v>
                </c:pt>
                <c:pt idx="311">
                  <c:v>30.406834681438919</c:v>
                </c:pt>
                <c:pt idx="312">
                  <c:v>30.111216857109373</c:v>
                </c:pt>
                <c:pt idx="313">
                  <c:v>29.821095932650284</c:v>
                </c:pt>
                <c:pt idx="314">
                  <c:v>29.537788749388632</c:v>
                </c:pt>
                <c:pt idx="315">
                  <c:v>29.262611349497458</c:v>
                </c:pt>
                <c:pt idx="316">
                  <c:v>28.992773198871181</c:v>
                </c:pt>
                <c:pt idx="317">
                  <c:v>28.724838450598536</c:v>
                </c:pt>
                <c:pt idx="318">
                  <c:v>28.459329565360264</c:v>
                </c:pt>
                <c:pt idx="319">
                  <c:v>28.196621127516917</c:v>
                </c:pt>
                <c:pt idx="320">
                  <c:v>27.937087499560942</c:v>
                </c:pt>
                <c:pt idx="321">
                  <c:v>27.681102827211205</c:v>
                </c:pt>
                <c:pt idx="322">
                  <c:v>27.429041027598256</c:v>
                </c:pt>
                <c:pt idx="323">
                  <c:v>27.181356990901335</c:v>
                </c:pt>
                <c:pt idx="324">
                  <c:v>26.938563567926419</c:v>
                </c:pt>
                <c:pt idx="325">
                  <c:v>26.701030015784053</c:v>
                </c:pt>
                <c:pt idx="326">
                  <c:v>26.469126235742216</c:v>
                </c:pt>
                <c:pt idx="327">
                  <c:v>26.24322178327775</c:v>
                </c:pt>
                <c:pt idx="328">
                  <c:v>26.023685712273895</c:v>
                </c:pt>
                <c:pt idx="329">
                  <c:v>25.810887060648856</c:v>
                </c:pt>
                <c:pt idx="330">
                  <c:v>25.600800797750544</c:v>
                </c:pt>
                <c:pt idx="331">
                  <c:v>25.390431597154311</c:v>
                </c:pt>
                <c:pt idx="332">
                  <c:v>25.181386812792486</c:v>
                </c:pt>
                <c:pt idx="333">
                  <c:v>24.975254765846103</c:v>
                </c:pt>
                <c:pt idx="334">
                  <c:v>24.773623300548934</c:v>
                </c:pt>
                <c:pt idx="335">
                  <c:v>24.578079745335017</c:v>
                </c:pt>
                <c:pt idx="336">
                  <c:v>24.390210884685644</c:v>
                </c:pt>
                <c:pt idx="337">
                  <c:v>24.211665822219874</c:v>
                </c:pt>
                <c:pt idx="338">
                  <c:v>24.043954177127532</c:v>
                </c:pt>
                <c:pt idx="339">
                  <c:v>23.888661041418761</c:v>
                </c:pt>
                <c:pt idx="340">
                  <c:v>23.747370769591718</c:v>
                </c:pt>
                <c:pt idx="341">
                  <c:v>23.621666961567112</c:v>
                </c:pt>
                <c:pt idx="342">
                  <c:v>23.51313241108625</c:v>
                </c:pt>
                <c:pt idx="343">
                  <c:v>23.42334904350399</c:v>
                </c:pt>
                <c:pt idx="344">
                  <c:v>23.350893043886813</c:v>
                </c:pt>
                <c:pt idx="345">
                  <c:v>23.292982040593849</c:v>
                </c:pt>
                <c:pt idx="346">
                  <c:v>23.248871225591991</c:v>
                </c:pt>
                <c:pt idx="347">
                  <c:v>23.218106968050147</c:v>
                </c:pt>
                <c:pt idx="348">
                  <c:v>23.200235881331441</c:v>
                </c:pt>
                <c:pt idx="349">
                  <c:v>23.194804814959394</c:v>
                </c:pt>
                <c:pt idx="350">
                  <c:v>23.201360864220547</c:v>
                </c:pt>
                <c:pt idx="351">
                  <c:v>23.219365793122297</c:v>
                </c:pt>
                <c:pt idx="352">
                  <c:v>23.248307106557306</c:v>
                </c:pt>
                <c:pt idx="353">
                  <c:v>23.287733170226442</c:v>
                </c:pt>
                <c:pt idx="354">
                  <c:v>23.337192476796961</c:v>
                </c:pt>
                <c:pt idx="355">
                  <c:v>23.396233645533119</c:v>
                </c:pt>
                <c:pt idx="356">
                  <c:v>23.464405951624247</c:v>
                </c:pt>
                <c:pt idx="357">
                  <c:v>23.541257914432673</c:v>
                </c:pt>
                <c:pt idx="358">
                  <c:v>23.630625202544511</c:v>
                </c:pt>
                <c:pt idx="359">
                  <c:v>23.735734233211677</c:v>
                </c:pt>
                <c:pt idx="360">
                  <c:v>23.855281289722978</c:v>
                </c:pt>
                <c:pt idx="361">
                  <c:v>23.987988207379619</c:v>
                </c:pt>
                <c:pt idx="362">
                  <c:v>24.132492889587542</c:v>
                </c:pt>
                <c:pt idx="363">
                  <c:v>24.287434215907805</c:v>
                </c:pt>
                <c:pt idx="364">
                  <c:v>24.451452038038589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26.35</c:v>
                </c:pt>
                <c:pt idx="1">
                  <c:v>18.411999999999999</c:v>
                </c:pt>
                <c:pt idx="2">
                  <c:v>19.501000000000001</c:v>
                </c:pt>
                <c:pt idx="3">
                  <c:v>20.385999999999999</c:v>
                </c:pt>
                <c:pt idx="4">
                  <c:v>14.398</c:v>
                </c:pt>
                <c:pt idx="5">
                  <c:v>26.477</c:v>
                </c:pt>
                <c:pt idx="6">
                  <c:v>9.6219999999999999</c:v>
                </c:pt>
                <c:pt idx="7">
                  <c:v>5.577</c:v>
                </c:pt>
                <c:pt idx="8">
                  <c:v>1.6580000000000001</c:v>
                </c:pt>
                <c:pt idx="9">
                  <c:v>1.534</c:v>
                </c:pt>
                <c:pt idx="10">
                  <c:v>28.456</c:v>
                </c:pt>
                <c:pt idx="11">
                  <c:v>23.076000000000001</c:v>
                </c:pt>
                <c:pt idx="12">
                  <c:v>5.391</c:v>
                </c:pt>
                <c:pt idx="13">
                  <c:v>29.524000000000001</c:v>
                </c:pt>
                <c:pt idx="14">
                  <c:v>29.355</c:v>
                </c:pt>
                <c:pt idx="15">
                  <c:v>29.032</c:v>
                </c:pt>
                <c:pt idx="16">
                  <c:v>20.119</c:v>
                </c:pt>
                <c:pt idx="17">
                  <c:v>4.3040000000000003</c:v>
                </c:pt>
                <c:pt idx="18">
                  <c:v>10.425000000000001</c:v>
                </c:pt>
                <c:pt idx="19">
                  <c:v>5.7540000000000004</c:v>
                </c:pt>
                <c:pt idx="20">
                  <c:v>16.926000000000002</c:v>
                </c:pt>
                <c:pt idx="21">
                  <c:v>30.571999999999999</c:v>
                </c:pt>
                <c:pt idx="22">
                  <c:v>30.629000000000001</c:v>
                </c:pt>
                <c:pt idx="23">
                  <c:v>30.913</c:v>
                </c:pt>
                <c:pt idx="24">
                  <c:v>30.443999999999999</c:v>
                </c:pt>
                <c:pt idx="25">
                  <c:v>31.224</c:v>
                </c:pt>
                <c:pt idx="26">
                  <c:v>30.933</c:v>
                </c:pt>
                <c:pt idx="27">
                  <c:v>4.1900000000000004</c:v>
                </c:pt>
                <c:pt idx="28">
                  <c:v>6.2279999999999998</c:v>
                </c:pt>
                <c:pt idx="29">
                  <c:v>5.1059999999999999</c:v>
                </c:pt>
                <c:pt idx="30">
                  <c:v>7.0049999999999999</c:v>
                </c:pt>
                <c:pt idx="31">
                  <c:v>14.49</c:v>
                </c:pt>
                <c:pt idx="32">
                  <c:v>5.452</c:v>
                </c:pt>
                <c:pt idx="33">
                  <c:v>11.923</c:v>
                </c:pt>
                <c:pt idx="34">
                  <c:v>11.433</c:v>
                </c:pt>
                <c:pt idx="35">
                  <c:v>10.8</c:v>
                </c:pt>
                <c:pt idx="36">
                  <c:v>23.829000000000001</c:v>
                </c:pt>
                <c:pt idx="37">
                  <c:v>9.3830000000000009</c:v>
                </c:pt>
                <c:pt idx="38">
                  <c:v>36.234999999999999</c:v>
                </c:pt>
                <c:pt idx="39">
                  <c:v>36.31</c:v>
                </c:pt>
                <c:pt idx="40">
                  <c:v>33.731999999999999</c:v>
                </c:pt>
                <c:pt idx="41">
                  <c:v>16.978000000000002</c:v>
                </c:pt>
                <c:pt idx="42">
                  <c:v>28.234000000000002</c:v>
                </c:pt>
                <c:pt idx="43">
                  <c:v>34.497999999999998</c:v>
                </c:pt>
                <c:pt idx="44">
                  <c:v>19.135000000000002</c:v>
                </c:pt>
                <c:pt idx="45">
                  <c:v>18.853999999999999</c:v>
                </c:pt>
                <c:pt idx="46">
                  <c:v>8.1989999999999998</c:v>
                </c:pt>
                <c:pt idx="47">
                  <c:v>9.58</c:v>
                </c:pt>
                <c:pt idx="48">
                  <c:v>31.393000000000001</c:v>
                </c:pt>
                <c:pt idx="49">
                  <c:v>19.138999999999999</c:v>
                </c:pt>
                <c:pt idx="50">
                  <c:v>22.556000000000001</c:v>
                </c:pt>
                <c:pt idx="51">
                  <c:v>22.206</c:v>
                </c:pt>
                <c:pt idx="52">
                  <c:v>36.356999999999999</c:v>
                </c:pt>
                <c:pt idx="53">
                  <c:v>37.917999999999999</c:v>
                </c:pt>
                <c:pt idx="54">
                  <c:v>21.565999999999999</c:v>
                </c:pt>
                <c:pt idx="55">
                  <c:v>31.361000000000001</c:v>
                </c:pt>
                <c:pt idx="56">
                  <c:v>42.322499999999998</c:v>
                </c:pt>
                <c:pt idx="57">
                  <c:v>29.204000000000001</c:v>
                </c:pt>
                <c:pt idx="58">
                  <c:v>33.831000000000003</c:v>
                </c:pt>
                <c:pt idx="59">
                  <c:v>43.234999999999999</c:v>
                </c:pt>
                <c:pt idx="60">
                  <c:v>10.902000000000001</c:v>
                </c:pt>
                <c:pt idx="61">
                  <c:v>40.869</c:v>
                </c:pt>
                <c:pt idx="62">
                  <c:v>4.3689999999999998</c:v>
                </c:pt>
                <c:pt idx="63">
                  <c:v>15.531000000000001</c:v>
                </c:pt>
                <c:pt idx="64">
                  <c:v>21.986000000000001</c:v>
                </c:pt>
                <c:pt idx="65">
                  <c:v>33.355000000000004</c:v>
                </c:pt>
                <c:pt idx="66">
                  <c:v>31.993000000000002</c:v>
                </c:pt>
                <c:pt idx="67">
                  <c:v>33.765000000000001</c:v>
                </c:pt>
                <c:pt idx="68">
                  <c:v>24.434000000000001</c:v>
                </c:pt>
                <c:pt idx="69">
                  <c:v>16.289000000000001</c:v>
                </c:pt>
                <c:pt idx="70">
                  <c:v>13.449</c:v>
                </c:pt>
                <c:pt idx="71">
                  <c:v>12.657999999999999</c:v>
                </c:pt>
                <c:pt idx="72">
                  <c:v>13.371</c:v>
                </c:pt>
                <c:pt idx="73">
                  <c:v>15.178000000000001</c:v>
                </c:pt>
                <c:pt idx="74">
                  <c:v>10.417</c:v>
                </c:pt>
                <c:pt idx="75">
                  <c:v>11.279</c:v>
                </c:pt>
                <c:pt idx="76">
                  <c:v>13.832000000000001</c:v>
                </c:pt>
                <c:pt idx="77">
                  <c:v>31.69</c:v>
                </c:pt>
                <c:pt idx="78">
                  <c:v>32.669000000000004</c:v>
                </c:pt>
                <c:pt idx="79">
                  <c:v>47.103000000000002</c:v>
                </c:pt>
                <c:pt idx="80">
                  <c:v>41.561</c:v>
                </c:pt>
                <c:pt idx="81">
                  <c:v>48.933999999999997</c:v>
                </c:pt>
                <c:pt idx="82">
                  <c:v>46.053000000000004</c:v>
                </c:pt>
                <c:pt idx="83">
                  <c:v>41.92</c:v>
                </c:pt>
                <c:pt idx="84">
                  <c:v>45.527999999999999</c:v>
                </c:pt>
                <c:pt idx="85">
                  <c:v>46.271000000000001</c:v>
                </c:pt>
                <c:pt idx="86">
                  <c:v>35.494</c:v>
                </c:pt>
                <c:pt idx="87">
                  <c:v>27.969000000000001</c:v>
                </c:pt>
                <c:pt idx="88">
                  <c:v>7.3</c:v>
                </c:pt>
                <c:pt idx="89">
                  <c:v>21.727</c:v>
                </c:pt>
                <c:pt idx="90">
                  <c:v>32.36</c:v>
                </c:pt>
                <c:pt idx="91">
                  <c:v>19.847000000000001</c:v>
                </c:pt>
                <c:pt idx="92">
                  <c:v>25.343</c:v>
                </c:pt>
                <c:pt idx="93">
                  <c:v>44.438000000000002</c:v>
                </c:pt>
                <c:pt idx="94">
                  <c:v>51.204000000000001</c:v>
                </c:pt>
                <c:pt idx="95">
                  <c:v>12.024000000000001</c:v>
                </c:pt>
                <c:pt idx="96">
                  <c:v>39.600999999999999</c:v>
                </c:pt>
                <c:pt idx="97">
                  <c:v>32.127000000000002</c:v>
                </c:pt>
                <c:pt idx="98">
                  <c:v>35.058999999999997</c:v>
                </c:pt>
                <c:pt idx="99">
                  <c:v>53.588999999999999</c:v>
                </c:pt>
                <c:pt idx="100">
                  <c:v>44.215000000000003</c:v>
                </c:pt>
                <c:pt idx="101">
                  <c:v>2.4980000000000002</c:v>
                </c:pt>
                <c:pt idx="102">
                  <c:v>0</c:v>
                </c:pt>
                <c:pt idx="103">
                  <c:v>41.947000000000003</c:v>
                </c:pt>
                <c:pt idx="104">
                  <c:v>46.68</c:v>
                </c:pt>
                <c:pt idx="105">
                  <c:v>41.994</c:v>
                </c:pt>
                <c:pt idx="106">
                  <c:v>53.021999999999998</c:v>
                </c:pt>
                <c:pt idx="107">
                  <c:v>37.804000000000002</c:v>
                </c:pt>
                <c:pt idx="108">
                  <c:v>9.048</c:v>
                </c:pt>
                <c:pt idx="109">
                  <c:v>10.207000000000001</c:v>
                </c:pt>
                <c:pt idx="110">
                  <c:v>9.2170000000000005</c:v>
                </c:pt>
                <c:pt idx="111">
                  <c:v>27.864000000000001</c:v>
                </c:pt>
                <c:pt idx="112">
                  <c:v>9.5730000000000004</c:v>
                </c:pt>
                <c:pt idx="113">
                  <c:v>24.603999999999999</c:v>
                </c:pt>
                <c:pt idx="114">
                  <c:v>46.657000000000004</c:v>
                </c:pt>
                <c:pt idx="115">
                  <c:v>52.173999999999999</c:v>
                </c:pt>
                <c:pt idx="116">
                  <c:v>38.451999999999998</c:v>
                </c:pt>
                <c:pt idx="117">
                  <c:v>20.677</c:v>
                </c:pt>
                <c:pt idx="118">
                  <c:v>41.853999999999999</c:v>
                </c:pt>
                <c:pt idx="119">
                  <c:v>40.805999999999997</c:v>
                </c:pt>
                <c:pt idx="120">
                  <c:v>45.669000000000004</c:v>
                </c:pt>
                <c:pt idx="121">
                  <c:v>26.748000000000001</c:v>
                </c:pt>
                <c:pt idx="122">
                  <c:v>30.545999999999999</c:v>
                </c:pt>
                <c:pt idx="123">
                  <c:v>18.013999999999999</c:v>
                </c:pt>
                <c:pt idx="124">
                  <c:v>37.826000000000001</c:v>
                </c:pt>
                <c:pt idx="125">
                  <c:v>35.32</c:v>
                </c:pt>
                <c:pt idx="126">
                  <c:v>45.695999999999998</c:v>
                </c:pt>
                <c:pt idx="127">
                  <c:v>47.664000000000001</c:v>
                </c:pt>
                <c:pt idx="128">
                  <c:v>51.841999999999999</c:v>
                </c:pt>
                <c:pt idx="129">
                  <c:v>49.402000000000001</c:v>
                </c:pt>
                <c:pt idx="130">
                  <c:v>52.987000000000002</c:v>
                </c:pt>
                <c:pt idx="131">
                  <c:v>40.783999999999999</c:v>
                </c:pt>
                <c:pt idx="132">
                  <c:v>37.338999999999999</c:v>
                </c:pt>
                <c:pt idx="133">
                  <c:v>48.727000000000004</c:v>
                </c:pt>
                <c:pt idx="134">
                  <c:v>49.704999999999998</c:v>
                </c:pt>
                <c:pt idx="135">
                  <c:v>47.853999999999999</c:v>
                </c:pt>
                <c:pt idx="136">
                  <c:v>51.231000000000002</c:v>
                </c:pt>
                <c:pt idx="137">
                  <c:v>49.624000000000002</c:v>
                </c:pt>
                <c:pt idx="138">
                  <c:v>51.832000000000001</c:v>
                </c:pt>
                <c:pt idx="139">
                  <c:v>47.006</c:v>
                </c:pt>
                <c:pt idx="140">
                  <c:v>47.573999999999998</c:v>
                </c:pt>
                <c:pt idx="141">
                  <c:v>36.386000000000003</c:v>
                </c:pt>
                <c:pt idx="142">
                  <c:v>16.992000000000001</c:v>
                </c:pt>
                <c:pt idx="143">
                  <c:v>16.149999999999999</c:v>
                </c:pt>
                <c:pt idx="144">
                  <c:v>37.615000000000002</c:v>
                </c:pt>
                <c:pt idx="145">
                  <c:v>25.593</c:v>
                </c:pt>
                <c:pt idx="146">
                  <c:v>40.780999999999999</c:v>
                </c:pt>
                <c:pt idx="147">
                  <c:v>50.222999999999999</c:v>
                </c:pt>
                <c:pt idx="148">
                  <c:v>54.369</c:v>
                </c:pt>
                <c:pt idx="149">
                  <c:v>45.548999999999999</c:v>
                </c:pt>
                <c:pt idx="150">
                  <c:v>50.602000000000004</c:v>
                </c:pt>
                <c:pt idx="151">
                  <c:v>51.426000000000002</c:v>
                </c:pt>
                <c:pt idx="152">
                  <c:v>40.703000000000003</c:v>
                </c:pt>
                <c:pt idx="153">
                  <c:v>51.121000000000002</c:v>
                </c:pt>
                <c:pt idx="154">
                  <c:v>21.169</c:v>
                </c:pt>
                <c:pt idx="155">
                  <c:v>29.862000000000002</c:v>
                </c:pt>
                <c:pt idx="156">
                  <c:v>44.733000000000004</c:v>
                </c:pt>
                <c:pt idx="157">
                  <c:v>26.186</c:v>
                </c:pt>
                <c:pt idx="158">
                  <c:v>19.466999999999999</c:v>
                </c:pt>
                <c:pt idx="159">
                  <c:v>43.246000000000002</c:v>
                </c:pt>
                <c:pt idx="160">
                  <c:v>52.945</c:v>
                </c:pt>
                <c:pt idx="161">
                  <c:v>51.497</c:v>
                </c:pt>
                <c:pt idx="162">
                  <c:v>39.468000000000004</c:v>
                </c:pt>
                <c:pt idx="163">
                  <c:v>48.478999999999999</c:v>
                </c:pt>
                <c:pt idx="164">
                  <c:v>46.151000000000003</c:v>
                </c:pt>
                <c:pt idx="165">
                  <c:v>49.54</c:v>
                </c:pt>
                <c:pt idx="166">
                  <c:v>48.07</c:v>
                </c:pt>
                <c:pt idx="167">
                  <c:v>48.692</c:v>
                </c:pt>
                <c:pt idx="168">
                  <c:v>50.326999999999998</c:v>
                </c:pt>
                <c:pt idx="169">
                  <c:v>51.38</c:v>
                </c:pt>
                <c:pt idx="170">
                  <c:v>32.404000000000003</c:v>
                </c:pt>
                <c:pt idx="171">
                  <c:v>22.907</c:v>
                </c:pt>
                <c:pt idx="172">
                  <c:v>40.445</c:v>
                </c:pt>
                <c:pt idx="173">
                  <c:v>40.088000000000001</c:v>
                </c:pt>
                <c:pt idx="174">
                  <c:v>38.18</c:v>
                </c:pt>
                <c:pt idx="175">
                  <c:v>32.755000000000003</c:v>
                </c:pt>
                <c:pt idx="176">
                  <c:v>10.612</c:v>
                </c:pt>
                <c:pt idx="177">
                  <c:v>9.9489999999999998</c:v>
                </c:pt>
                <c:pt idx="178">
                  <c:v>51.228000000000002</c:v>
                </c:pt>
                <c:pt idx="179">
                  <c:v>52.024000000000001</c:v>
                </c:pt>
                <c:pt idx="180">
                  <c:v>11.846</c:v>
                </c:pt>
                <c:pt idx="181">
                  <c:v>44.331000000000003</c:v>
                </c:pt>
                <c:pt idx="182">
                  <c:v>51.015999999999998</c:v>
                </c:pt>
                <c:pt idx="183">
                  <c:v>44.119</c:v>
                </c:pt>
                <c:pt idx="184">
                  <c:v>42.070999999999998</c:v>
                </c:pt>
                <c:pt idx="185">
                  <c:v>51.225000000000001</c:v>
                </c:pt>
                <c:pt idx="186">
                  <c:v>41.960999999999999</c:v>
                </c:pt>
                <c:pt idx="187">
                  <c:v>49.564</c:v>
                </c:pt>
                <c:pt idx="188">
                  <c:v>51.942999999999998</c:v>
                </c:pt>
                <c:pt idx="189">
                  <c:v>51.350999999999999</c:v>
                </c:pt>
                <c:pt idx="190">
                  <c:v>51.011000000000003</c:v>
                </c:pt>
                <c:pt idx="191">
                  <c:v>49.794000000000004</c:v>
                </c:pt>
                <c:pt idx="192">
                  <c:v>49.364000000000004</c:v>
                </c:pt>
                <c:pt idx="193">
                  <c:v>49.612000000000002</c:v>
                </c:pt>
                <c:pt idx="194">
                  <c:v>48.838999999999999</c:v>
                </c:pt>
                <c:pt idx="195">
                  <c:v>46.841000000000001</c:v>
                </c:pt>
                <c:pt idx="196">
                  <c:v>48.614000000000004</c:v>
                </c:pt>
                <c:pt idx="197">
                  <c:v>48.585999999999999</c:v>
                </c:pt>
                <c:pt idx="198">
                  <c:v>49.344000000000001</c:v>
                </c:pt>
                <c:pt idx="199">
                  <c:v>33.704999999999998</c:v>
                </c:pt>
                <c:pt idx="200">
                  <c:v>38.366999999999997</c:v>
                </c:pt>
                <c:pt idx="201">
                  <c:v>47.883000000000003</c:v>
                </c:pt>
                <c:pt idx="202">
                  <c:v>36.545000000000002</c:v>
                </c:pt>
                <c:pt idx="203">
                  <c:v>40.771000000000001</c:v>
                </c:pt>
                <c:pt idx="204">
                  <c:v>48.27</c:v>
                </c:pt>
                <c:pt idx="205">
                  <c:v>24.811</c:v>
                </c:pt>
                <c:pt idx="206">
                  <c:v>47.166000000000004</c:v>
                </c:pt>
                <c:pt idx="207">
                  <c:v>51.067</c:v>
                </c:pt>
                <c:pt idx="208">
                  <c:v>40.57</c:v>
                </c:pt>
                <c:pt idx="209">
                  <c:v>27.023</c:v>
                </c:pt>
                <c:pt idx="210">
                  <c:v>40.722000000000001</c:v>
                </c:pt>
                <c:pt idx="211">
                  <c:v>48.95</c:v>
                </c:pt>
                <c:pt idx="212">
                  <c:v>48.877000000000002</c:v>
                </c:pt>
                <c:pt idx="213">
                  <c:v>48.920999999999999</c:v>
                </c:pt>
                <c:pt idx="214">
                  <c:v>47.371000000000002</c:v>
                </c:pt>
                <c:pt idx="215">
                  <c:v>46.856999999999999</c:v>
                </c:pt>
                <c:pt idx="216">
                  <c:v>42.246000000000002</c:v>
                </c:pt>
                <c:pt idx="217">
                  <c:v>44.658999999999999</c:v>
                </c:pt>
                <c:pt idx="218">
                  <c:v>47.639000000000003</c:v>
                </c:pt>
                <c:pt idx="219">
                  <c:v>48.218000000000004</c:v>
                </c:pt>
                <c:pt idx="220">
                  <c:v>46.454999999999998</c:v>
                </c:pt>
                <c:pt idx="221">
                  <c:v>45.12</c:v>
                </c:pt>
                <c:pt idx="222">
                  <c:v>42.69</c:v>
                </c:pt>
                <c:pt idx="223">
                  <c:v>44.023000000000003</c:v>
                </c:pt>
                <c:pt idx="224">
                  <c:v>34.554000000000002</c:v>
                </c:pt>
                <c:pt idx="225">
                  <c:v>31.648</c:v>
                </c:pt>
                <c:pt idx="226">
                  <c:v>35.889000000000003</c:v>
                </c:pt>
                <c:pt idx="227">
                  <c:v>33.234999999999999</c:v>
                </c:pt>
                <c:pt idx="228">
                  <c:v>24.259</c:v>
                </c:pt>
                <c:pt idx="229">
                  <c:v>32.274000000000001</c:v>
                </c:pt>
                <c:pt idx="230">
                  <c:v>32.930999999999997</c:v>
                </c:pt>
                <c:pt idx="231">
                  <c:v>46.445</c:v>
                </c:pt>
                <c:pt idx="232">
                  <c:v>30.863</c:v>
                </c:pt>
                <c:pt idx="233">
                  <c:v>22.093</c:v>
                </c:pt>
                <c:pt idx="234">
                  <c:v>42.864000000000004</c:v>
                </c:pt>
                <c:pt idx="235">
                  <c:v>44.246000000000002</c:v>
                </c:pt>
                <c:pt idx="236">
                  <c:v>28.571000000000002</c:v>
                </c:pt>
                <c:pt idx="237">
                  <c:v>39.231999999999999</c:v>
                </c:pt>
                <c:pt idx="238">
                  <c:v>44.069000000000003</c:v>
                </c:pt>
                <c:pt idx="239">
                  <c:v>44.170999999999999</c:v>
                </c:pt>
                <c:pt idx="240">
                  <c:v>31.036999999999999</c:v>
                </c:pt>
                <c:pt idx="241">
                  <c:v>43.868000000000002</c:v>
                </c:pt>
                <c:pt idx="242">
                  <c:v>19.943999999999999</c:v>
                </c:pt>
                <c:pt idx="243">
                  <c:v>40.532000000000004</c:v>
                </c:pt>
                <c:pt idx="244">
                  <c:v>37.795999999999999</c:v>
                </c:pt>
                <c:pt idx="245">
                  <c:v>35.917999999999999</c:v>
                </c:pt>
                <c:pt idx="246">
                  <c:v>42.919000000000004</c:v>
                </c:pt>
                <c:pt idx="247">
                  <c:v>39.399000000000001</c:v>
                </c:pt>
                <c:pt idx="248">
                  <c:v>42.414999999999999</c:v>
                </c:pt>
                <c:pt idx="249">
                  <c:v>33.93</c:v>
                </c:pt>
                <c:pt idx="250">
                  <c:v>37.216999999999999</c:v>
                </c:pt>
                <c:pt idx="251">
                  <c:v>19.256</c:v>
                </c:pt>
                <c:pt idx="252">
                  <c:v>42.033000000000001</c:v>
                </c:pt>
                <c:pt idx="253">
                  <c:v>42.814</c:v>
                </c:pt>
                <c:pt idx="254">
                  <c:v>30.113</c:v>
                </c:pt>
                <c:pt idx="255">
                  <c:v>10.879</c:v>
                </c:pt>
                <c:pt idx="256">
                  <c:v>32.883000000000003</c:v>
                </c:pt>
                <c:pt idx="257">
                  <c:v>37.734000000000002</c:v>
                </c:pt>
                <c:pt idx="258">
                  <c:v>25.128</c:v>
                </c:pt>
                <c:pt idx="259">
                  <c:v>44.314999999999998</c:v>
                </c:pt>
                <c:pt idx="260">
                  <c:v>42.855000000000004</c:v>
                </c:pt>
                <c:pt idx="261">
                  <c:v>42.32</c:v>
                </c:pt>
                <c:pt idx="262">
                  <c:v>43.588999999999999</c:v>
                </c:pt>
                <c:pt idx="263">
                  <c:v>42.625</c:v>
                </c:pt>
                <c:pt idx="264">
                  <c:v>41.447000000000003</c:v>
                </c:pt>
                <c:pt idx="265">
                  <c:v>27.321000000000002</c:v>
                </c:pt>
                <c:pt idx="266">
                  <c:v>19.966999999999999</c:v>
                </c:pt>
                <c:pt idx="267">
                  <c:v>29.445</c:v>
                </c:pt>
                <c:pt idx="268">
                  <c:v>30.763999999999999</c:v>
                </c:pt>
                <c:pt idx="269">
                  <c:v>14.778</c:v>
                </c:pt>
                <c:pt idx="270">
                  <c:v>14.450000000000001</c:v>
                </c:pt>
                <c:pt idx="271">
                  <c:v>20.818999999999999</c:v>
                </c:pt>
                <c:pt idx="272">
                  <c:v>30.009</c:v>
                </c:pt>
                <c:pt idx="273">
                  <c:v>36.323999999999998</c:v>
                </c:pt>
                <c:pt idx="274">
                  <c:v>35.765999999999998</c:v>
                </c:pt>
                <c:pt idx="275">
                  <c:v>33.433999999999997</c:v>
                </c:pt>
                <c:pt idx="276">
                  <c:v>39.152999999999999</c:v>
                </c:pt>
                <c:pt idx="277">
                  <c:v>39.097999999999999</c:v>
                </c:pt>
                <c:pt idx="278">
                  <c:v>14.496</c:v>
                </c:pt>
                <c:pt idx="279">
                  <c:v>28.902000000000001</c:v>
                </c:pt>
                <c:pt idx="280">
                  <c:v>16.716000000000001</c:v>
                </c:pt>
                <c:pt idx="281">
                  <c:v>36.460999999999999</c:v>
                </c:pt>
                <c:pt idx="282">
                  <c:v>29.76</c:v>
                </c:pt>
                <c:pt idx="283">
                  <c:v>21.22</c:v>
                </c:pt>
                <c:pt idx="284">
                  <c:v>29.669</c:v>
                </c:pt>
                <c:pt idx="285">
                  <c:v>21.47</c:v>
                </c:pt>
                <c:pt idx="286">
                  <c:v>16.036999999999999</c:v>
                </c:pt>
                <c:pt idx="287">
                  <c:v>35.811</c:v>
                </c:pt>
                <c:pt idx="288">
                  <c:v>32.33</c:v>
                </c:pt>
                <c:pt idx="289">
                  <c:v>21.772000000000002</c:v>
                </c:pt>
                <c:pt idx="290">
                  <c:v>33.317999999999998</c:v>
                </c:pt>
                <c:pt idx="291">
                  <c:v>14.184000000000001</c:v>
                </c:pt>
                <c:pt idx="292">
                  <c:v>8.1349999999999998</c:v>
                </c:pt>
                <c:pt idx="293">
                  <c:v>14.868</c:v>
                </c:pt>
                <c:pt idx="294">
                  <c:v>32.072000000000003</c:v>
                </c:pt>
                <c:pt idx="295">
                  <c:v>18.266999999999999</c:v>
                </c:pt>
                <c:pt idx="296">
                  <c:v>24.368000000000002</c:v>
                </c:pt>
                <c:pt idx="297">
                  <c:v>21.52</c:v>
                </c:pt>
                <c:pt idx="298">
                  <c:v>12.029</c:v>
                </c:pt>
                <c:pt idx="299">
                  <c:v>13.179</c:v>
                </c:pt>
                <c:pt idx="300">
                  <c:v>16.600999999999999</c:v>
                </c:pt>
                <c:pt idx="301">
                  <c:v>24.792000000000002</c:v>
                </c:pt>
                <c:pt idx="302">
                  <c:v>20.301000000000002</c:v>
                </c:pt>
                <c:pt idx="303">
                  <c:v>20.988</c:v>
                </c:pt>
                <c:pt idx="304">
                  <c:v>22.614000000000001</c:v>
                </c:pt>
                <c:pt idx="305">
                  <c:v>28.338000000000001</c:v>
                </c:pt>
                <c:pt idx="306">
                  <c:v>9.8550000000000004</c:v>
                </c:pt>
                <c:pt idx="307">
                  <c:v>11.505000000000001</c:v>
                </c:pt>
                <c:pt idx="308">
                  <c:v>30.227</c:v>
                </c:pt>
                <c:pt idx="309">
                  <c:v>29.874000000000002</c:v>
                </c:pt>
                <c:pt idx="310">
                  <c:v>28.556000000000001</c:v>
                </c:pt>
                <c:pt idx="311">
                  <c:v>19.535</c:v>
                </c:pt>
                <c:pt idx="312">
                  <c:v>10.333</c:v>
                </c:pt>
                <c:pt idx="313">
                  <c:v>23.045999999999999</c:v>
                </c:pt>
                <c:pt idx="314">
                  <c:v>28.725000000000001</c:v>
                </c:pt>
                <c:pt idx="315">
                  <c:v>27.428000000000001</c:v>
                </c:pt>
                <c:pt idx="316">
                  <c:v>27.608000000000001</c:v>
                </c:pt>
                <c:pt idx="317">
                  <c:v>10.319000000000001</c:v>
                </c:pt>
                <c:pt idx="318">
                  <c:v>12.323</c:v>
                </c:pt>
                <c:pt idx="319">
                  <c:v>27.303000000000001</c:v>
                </c:pt>
                <c:pt idx="320">
                  <c:v>14.588000000000001</c:v>
                </c:pt>
                <c:pt idx="321">
                  <c:v>13.319000000000001</c:v>
                </c:pt>
                <c:pt idx="322">
                  <c:v>5.7439999999999998</c:v>
                </c:pt>
                <c:pt idx="323">
                  <c:v>17.010999999999999</c:v>
                </c:pt>
                <c:pt idx="324">
                  <c:v>3.395</c:v>
                </c:pt>
                <c:pt idx="325">
                  <c:v>7.5200000000000005</c:v>
                </c:pt>
                <c:pt idx="326">
                  <c:v>11.667</c:v>
                </c:pt>
                <c:pt idx="327">
                  <c:v>13.780000000000001</c:v>
                </c:pt>
                <c:pt idx="328">
                  <c:v>4.2380000000000004</c:v>
                </c:pt>
                <c:pt idx="329">
                  <c:v>13.145</c:v>
                </c:pt>
                <c:pt idx="330">
                  <c:v>14</c:v>
                </c:pt>
                <c:pt idx="331">
                  <c:v>9.0370000000000008</c:v>
                </c:pt>
                <c:pt idx="332">
                  <c:v>12.714</c:v>
                </c:pt>
                <c:pt idx="333">
                  <c:v>4.1349999999999998</c:v>
                </c:pt>
                <c:pt idx="334">
                  <c:v>3.3439999999999999</c:v>
                </c:pt>
                <c:pt idx="335">
                  <c:v>6.3150000000000004</c:v>
                </c:pt>
                <c:pt idx="336">
                  <c:v>7.1070000000000002</c:v>
                </c:pt>
                <c:pt idx="337">
                  <c:v>19.696000000000002</c:v>
                </c:pt>
                <c:pt idx="338">
                  <c:v>25.007000000000001</c:v>
                </c:pt>
                <c:pt idx="339">
                  <c:v>10.911</c:v>
                </c:pt>
                <c:pt idx="340">
                  <c:v>19.600000000000001</c:v>
                </c:pt>
                <c:pt idx="341">
                  <c:v>4.4950000000000001</c:v>
                </c:pt>
                <c:pt idx="342">
                  <c:v>5.4729999999999999</c:v>
                </c:pt>
                <c:pt idx="343">
                  <c:v>13.636000000000001</c:v>
                </c:pt>
                <c:pt idx="344">
                  <c:v>16.623999999999999</c:v>
                </c:pt>
                <c:pt idx="345">
                  <c:v>4.9089999999999998</c:v>
                </c:pt>
                <c:pt idx="346">
                  <c:v>5.3819999999999997</c:v>
                </c:pt>
                <c:pt idx="347">
                  <c:v>16.535</c:v>
                </c:pt>
                <c:pt idx="348">
                  <c:v>6.9249999999999998</c:v>
                </c:pt>
                <c:pt idx="349">
                  <c:v>4.7039999999999997</c:v>
                </c:pt>
                <c:pt idx="350">
                  <c:v>2.6310000000000002</c:v>
                </c:pt>
                <c:pt idx="351">
                  <c:v>20.741</c:v>
                </c:pt>
                <c:pt idx="352">
                  <c:v>17.556000000000001</c:v>
                </c:pt>
                <c:pt idx="353">
                  <c:v>4.2770000000000001</c:v>
                </c:pt>
                <c:pt idx="354">
                  <c:v>21.614000000000001</c:v>
                </c:pt>
                <c:pt idx="355">
                  <c:v>16.713000000000001</c:v>
                </c:pt>
                <c:pt idx="356">
                  <c:v>17.239000000000001</c:v>
                </c:pt>
                <c:pt idx="357">
                  <c:v>22.594000000000001</c:v>
                </c:pt>
                <c:pt idx="358">
                  <c:v>13.234</c:v>
                </c:pt>
                <c:pt idx="359">
                  <c:v>21.847000000000001</c:v>
                </c:pt>
                <c:pt idx="360">
                  <c:v>5.9329999999999998</c:v>
                </c:pt>
                <c:pt idx="361">
                  <c:v>23.128</c:v>
                </c:pt>
                <c:pt idx="362">
                  <c:v>10.07</c:v>
                </c:pt>
                <c:pt idx="363">
                  <c:v>14.462</c:v>
                </c:pt>
                <c:pt idx="364">
                  <c:v>10.936</c:v>
                </c:pt>
                <c:pt idx="365">
                  <c:v>2.2275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94032"/>
        <c:axId val="640294424"/>
      </c:lineChart>
      <c:dateAx>
        <c:axId val="640294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4424"/>
        <c:crosses val="autoZero"/>
        <c:auto val="1"/>
        <c:lblOffset val="100"/>
        <c:baseTimeUnit val="days"/>
        <c:majorUnit val="1"/>
        <c:majorTimeUnit val="months"/>
      </c:dateAx>
      <c:valAx>
        <c:axId val="6402944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40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25.687725302530687</c:v>
                </c:pt>
                <c:pt idx="1">
                  <c:v>25.877558252077755</c:v>
                </c:pt>
                <c:pt idx="2">
                  <c:v>26.072801595983297</c:v>
                </c:pt>
                <c:pt idx="3">
                  <c:v>26.272046042300907</c:v>
                </c:pt>
                <c:pt idx="4">
                  <c:v>26.473882574444772</c:v>
                </c:pt>
                <c:pt idx="5">
                  <c:v>26.67690244054565</c:v>
                </c:pt>
                <c:pt idx="6">
                  <c:v>26.87969715470264</c:v>
                </c:pt>
                <c:pt idx="7">
                  <c:v>27.080858494225197</c:v>
                </c:pt>
                <c:pt idx="8">
                  <c:v>27.282026449724249</c:v>
                </c:pt>
                <c:pt idx="9">
                  <c:v>27.485976302002914</c:v>
                </c:pt>
                <c:pt idx="10">
                  <c:v>27.69299502690555</c:v>
                </c:pt>
                <c:pt idx="11">
                  <c:v>27.903409184551329</c:v>
                </c:pt>
                <c:pt idx="12">
                  <c:v>28.117545193479366</c:v>
                </c:pt>
                <c:pt idx="13">
                  <c:v>28.335729340101686</c:v>
                </c:pt>
                <c:pt idx="14">
                  <c:v>28.55828778123611</c:v>
                </c:pt>
                <c:pt idx="15">
                  <c:v>28.785477040245567</c:v>
                </c:pt>
                <c:pt idx="16">
                  <c:v>29.017535080321263</c:v>
                </c:pt>
                <c:pt idx="17">
                  <c:v>29.254787657486364</c:v>
                </c:pt>
                <c:pt idx="18">
                  <c:v>29.497560430556074</c:v>
                </c:pt>
                <c:pt idx="19">
                  <c:v>29.746178823568346</c:v>
                </c:pt>
                <c:pt idx="20">
                  <c:v>30.000968133946532</c:v>
                </c:pt>
                <c:pt idx="21">
                  <c:v>30.262253707542339</c:v>
                </c:pt>
                <c:pt idx="22">
                  <c:v>30.531851377052661</c:v>
                </c:pt>
                <c:pt idx="23">
                  <c:v>30.810631666753082</c:v>
                </c:pt>
                <c:pt idx="24">
                  <c:v>31.097549213346785</c:v>
                </c:pt>
                <c:pt idx="25">
                  <c:v>31.391537608486555</c:v>
                </c:pt>
                <c:pt idx="26">
                  <c:v>31.69153071203899</c:v>
                </c:pt>
                <c:pt idx="27">
                  <c:v>31.996462664518635</c:v>
                </c:pt>
                <c:pt idx="28">
                  <c:v>32.30526787801481</c:v>
                </c:pt>
                <c:pt idx="29">
                  <c:v>32.616874689824165</c:v>
                </c:pt>
                <c:pt idx="30">
                  <c:v>32.930287666913635</c:v>
                </c:pt>
                <c:pt idx="31">
                  <c:v>33.244442101557084</c:v>
                </c:pt>
                <c:pt idx="32">
                  <c:v>33.55827357880996</c:v>
                </c:pt>
                <c:pt idx="33">
                  <c:v>33.870717977302697</c:v>
                </c:pt>
                <c:pt idx="34">
                  <c:v>34.180711471064235</c:v>
                </c:pt>
                <c:pt idx="35">
                  <c:v>34.48719052906732</c:v>
                </c:pt>
                <c:pt idx="36">
                  <c:v>34.792799900799608</c:v>
                </c:pt>
                <c:pt idx="37">
                  <c:v>35.100567755827143</c:v>
                </c:pt>
                <c:pt idx="38">
                  <c:v>35.410027532252251</c:v>
                </c:pt>
                <c:pt idx="39">
                  <c:v>35.720695618132169</c:v>
                </c:pt>
                <c:pt idx="40">
                  <c:v>36.032088545122001</c:v>
                </c:pt>
                <c:pt idx="41">
                  <c:v>36.343722983121275</c:v>
                </c:pt>
                <c:pt idx="42">
                  <c:v>36.6551157370345</c:v>
                </c:pt>
                <c:pt idx="43">
                  <c:v>36.965783278148415</c:v>
                </c:pt>
                <c:pt idx="44">
                  <c:v>37.275249037697861</c:v>
                </c:pt>
                <c:pt idx="45">
                  <c:v>37.583030200408359</c:v>
                </c:pt>
                <c:pt idx="46">
                  <c:v>37.888644063174262</c:v>
                </c:pt>
                <c:pt idx="47">
                  <c:v>38.191608027335704</c:v>
                </c:pt>
                <c:pt idx="48">
                  <c:v>38.491439594208138</c:v>
                </c:pt>
                <c:pt idx="49">
                  <c:v>38.787656354162017</c:v>
                </c:pt>
                <c:pt idx="50">
                  <c:v>39.080774678691888</c:v>
                </c:pt>
                <c:pt idx="51">
                  <c:v>39.371713093765649</c:v>
                </c:pt>
                <c:pt idx="52">
                  <c:v>39.660571819294809</c:v>
                </c:pt>
                <c:pt idx="53">
                  <c:v>39.947448154286022</c:v>
                </c:pt>
                <c:pt idx="54">
                  <c:v>40.232439202541421</c:v>
                </c:pt>
                <c:pt idx="55">
                  <c:v>40.515641978975339</c:v>
                </c:pt>
                <c:pt idx="56">
                  <c:v>40.797153405692775</c:v>
                </c:pt>
                <c:pt idx="57">
                  <c:v>41.077111127721388</c:v>
                </c:pt>
                <c:pt idx="58">
                  <c:v>41.355612337800352</c:v>
                </c:pt>
                <c:pt idx="59">
                  <c:v>41.632753673282032</c:v>
                </c:pt>
                <c:pt idx="60">
                  <c:v>41.908631660260866</c:v>
                </c:pt>
                <c:pt idx="61">
                  <c:v>42.183342712514346</c:v>
                </c:pt>
                <c:pt idx="62">
                  <c:v>42.456983127702422</c:v>
                </c:pt>
                <c:pt idx="63">
                  <c:v>42.729649087267632</c:v>
                </c:pt>
                <c:pt idx="64">
                  <c:v>43.00182292409351</c:v>
                </c:pt>
                <c:pt idx="65">
                  <c:v>43.273736182055636</c:v>
                </c:pt>
                <c:pt idx="66">
                  <c:v>43.545082592237968</c:v>
                </c:pt>
                <c:pt idx="67">
                  <c:v>43.81557166595308</c:v>
                </c:pt>
                <c:pt idx="68">
                  <c:v>44.084912899003527</c:v>
                </c:pt>
                <c:pt idx="69">
                  <c:v>44.352815774986794</c:v>
                </c:pt>
                <c:pt idx="70">
                  <c:v>44.618989768904129</c:v>
                </c:pt>
                <c:pt idx="71">
                  <c:v>44.883121154533804</c:v>
                </c:pt>
                <c:pt idx="72">
                  <c:v>45.14487833739129</c:v>
                </c:pt>
                <c:pt idx="73">
                  <c:v>45.403970696178412</c:v>
                </c:pt>
                <c:pt idx="74">
                  <c:v>45.660107608039134</c:v>
                </c:pt>
                <c:pt idx="75">
                  <c:v>45.912998457574957</c:v>
                </c:pt>
                <c:pt idx="76">
                  <c:v>46.162352635093136</c:v>
                </c:pt>
                <c:pt idx="77">
                  <c:v>46.407879549262645</c:v>
                </c:pt>
                <c:pt idx="78">
                  <c:v>46.651475600374809</c:v>
                </c:pt>
                <c:pt idx="79">
                  <c:v>46.894771415141449</c:v>
                </c:pt>
                <c:pt idx="80">
                  <c:v>47.137082663847508</c:v>
                </c:pt>
                <c:pt idx="81">
                  <c:v>47.377732210100213</c:v>
                </c:pt>
                <c:pt idx="82">
                  <c:v>47.616043041785581</c:v>
                </c:pt>
                <c:pt idx="83">
                  <c:v>47.851338279111104</c:v>
                </c:pt>
                <c:pt idx="84">
                  <c:v>48.082941185069842</c:v>
                </c:pt>
                <c:pt idx="85">
                  <c:v>48.310164615992946</c:v>
                </c:pt>
                <c:pt idx="86">
                  <c:v>48.532355587355752</c:v>
                </c:pt>
                <c:pt idx="87">
                  <c:v>48.748837875124281</c:v>
                </c:pt>
                <c:pt idx="88">
                  <c:v>48.958935441060021</c:v>
                </c:pt>
                <c:pt idx="89">
                  <c:v>49.161972438812498</c:v>
                </c:pt>
                <c:pt idx="90">
                  <c:v>49.357273232485923</c:v>
                </c:pt>
                <c:pt idx="91">
                  <c:v>49.544162398310078</c:v>
                </c:pt>
                <c:pt idx="92">
                  <c:v>49.722607363814845</c:v>
                </c:pt>
                <c:pt idx="93">
                  <c:v>49.89332041920872</c:v>
                </c:pt>
                <c:pt idx="94">
                  <c:v>50.056790971020398</c:v>
                </c:pt>
                <c:pt idx="95">
                  <c:v>50.213500165094707</c:v>
                </c:pt>
                <c:pt idx="96">
                  <c:v>50.363929037494977</c:v>
                </c:pt>
                <c:pt idx="97">
                  <c:v>50.508558515685806</c:v>
                </c:pt>
                <c:pt idx="98">
                  <c:v>50.647869411105653</c:v>
                </c:pt>
                <c:pt idx="99">
                  <c:v>50.78228543405158</c:v>
                </c:pt>
                <c:pt idx="100">
                  <c:v>50.91229757504059</c:v>
                </c:pt>
                <c:pt idx="101">
                  <c:v>51.038385740490732</c:v>
                </c:pt>
                <c:pt idx="102">
                  <c:v>51.161029661035641</c:v>
                </c:pt>
                <c:pt idx="103">
                  <c:v>51.280708893436021</c:v>
                </c:pt>
                <c:pt idx="104">
                  <c:v>51.397902816128017</c:v>
                </c:pt>
                <c:pt idx="105">
                  <c:v>51.513090622134527</c:v>
                </c:pt>
                <c:pt idx="106">
                  <c:v>51.625756370858859</c:v>
                </c:pt>
                <c:pt idx="107">
                  <c:v>51.734940548169739</c:v>
                </c:pt>
                <c:pt idx="108">
                  <c:v>51.840571776847781</c:v>
                </c:pt>
                <c:pt idx="109">
                  <c:v>56.315749698936067</c:v>
                </c:pt>
                <c:pt idx="110">
                  <c:v>56.420206101123632</c:v>
                </c:pt>
                <c:pt idx="111">
                  <c:v>56.520548888530314</c:v>
                </c:pt>
                <c:pt idx="112">
                  <c:v>56.616671777315446</c:v>
                </c:pt>
                <c:pt idx="113">
                  <c:v>56.70843247882221</c:v>
                </c:pt>
                <c:pt idx="114">
                  <c:v>56.795790394306614</c:v>
                </c:pt>
                <c:pt idx="115">
                  <c:v>56.878639476755922</c:v>
                </c:pt>
                <c:pt idx="116">
                  <c:v>56.956873615871302</c:v>
                </c:pt>
                <c:pt idx="117">
                  <c:v>57.030386640298303</c:v>
                </c:pt>
                <c:pt idx="118">
                  <c:v>57.099072325459012</c:v>
                </c:pt>
                <c:pt idx="119">
                  <c:v>57.162824398719238</c:v>
                </c:pt>
                <c:pt idx="120">
                  <c:v>57.221119682295459</c:v>
                </c:pt>
                <c:pt idx="121">
                  <c:v>57.273677681672289</c:v>
                </c:pt>
                <c:pt idx="122">
                  <c:v>57.320878115027988</c:v>
                </c:pt>
                <c:pt idx="123">
                  <c:v>57.363032098358296</c:v>
                </c:pt>
                <c:pt idx="124">
                  <c:v>57.400450562272873</c:v>
                </c:pt>
                <c:pt idx="125">
                  <c:v>57.433444259341698</c:v>
                </c:pt>
                <c:pt idx="126">
                  <c:v>57.462323774169043</c:v>
                </c:pt>
                <c:pt idx="127">
                  <c:v>57.487396693384845</c:v>
                </c:pt>
                <c:pt idx="128">
                  <c:v>57.509013340253723</c:v>
                </c:pt>
                <c:pt idx="129">
                  <c:v>57.527484834020626</c:v>
                </c:pt>
                <c:pt idx="130">
                  <c:v>57.54312220834526</c:v>
                </c:pt>
                <c:pt idx="131">
                  <c:v>57.556236429185219</c:v>
                </c:pt>
                <c:pt idx="132">
                  <c:v>57.567138401105801</c:v>
                </c:pt>
                <c:pt idx="133">
                  <c:v>57.576138980869985</c:v>
                </c:pt>
                <c:pt idx="134">
                  <c:v>57.58254341948291</c:v>
                </c:pt>
                <c:pt idx="135">
                  <c:v>57.585528351508245</c:v>
                </c:pt>
                <c:pt idx="136">
                  <c:v>57.585237881290389</c:v>
                </c:pt>
                <c:pt idx="137">
                  <c:v>57.581777219999864</c:v>
                </c:pt>
                <c:pt idx="138">
                  <c:v>57.575251738186061</c:v>
                </c:pt>
                <c:pt idx="139">
                  <c:v>57.565766972885569</c:v>
                </c:pt>
                <c:pt idx="140">
                  <c:v>57.553428638061568</c:v>
                </c:pt>
                <c:pt idx="141">
                  <c:v>57.538324552425578</c:v>
                </c:pt>
                <c:pt idx="142">
                  <c:v>57.520563915443972</c:v>
                </c:pt>
                <c:pt idx="143">
                  <c:v>57.500253033209667</c:v>
                </c:pt>
                <c:pt idx="144">
                  <c:v>57.477497601825732</c:v>
                </c:pt>
                <c:pt idx="145">
                  <c:v>57.45240346057593</c:v>
                </c:pt>
                <c:pt idx="146">
                  <c:v>57.425076597387971</c:v>
                </c:pt>
                <c:pt idx="147">
                  <c:v>57.39562314482184</c:v>
                </c:pt>
                <c:pt idx="148">
                  <c:v>57.364114769055803</c:v>
                </c:pt>
                <c:pt idx="149">
                  <c:v>57.33055320445817</c:v>
                </c:pt>
                <c:pt idx="150">
                  <c:v>57.294827661986602</c:v>
                </c:pt>
                <c:pt idx="151">
                  <c:v>57.256838674636967</c:v>
                </c:pt>
                <c:pt idx="152">
                  <c:v>57.216486992896627</c:v>
                </c:pt>
                <c:pt idx="153">
                  <c:v>57.173673570881675</c:v>
                </c:pt>
                <c:pt idx="154">
                  <c:v>57.128299553046197</c:v>
                </c:pt>
                <c:pt idx="155">
                  <c:v>57.08045051902802</c:v>
                </c:pt>
                <c:pt idx="156">
                  <c:v>57.030054829782003</c:v>
                </c:pt>
                <c:pt idx="157">
                  <c:v>56.977019868803488</c:v>
                </c:pt>
                <c:pt idx="158">
                  <c:v>56.921253061692461</c:v>
                </c:pt>
                <c:pt idx="159">
                  <c:v>56.86266184220667</c:v>
                </c:pt>
                <c:pt idx="160">
                  <c:v>56.801153610334978</c:v>
                </c:pt>
                <c:pt idx="161">
                  <c:v>56.736635697428035</c:v>
                </c:pt>
                <c:pt idx="162">
                  <c:v>56.66837622494873</c:v>
                </c:pt>
                <c:pt idx="163">
                  <c:v>56.596058485601844</c:v>
                </c:pt>
                <c:pt idx="164">
                  <c:v>56.520032298100496</c:v>
                </c:pt>
                <c:pt idx="165">
                  <c:v>56.440721830582191</c:v>
                </c:pt>
                <c:pt idx="166">
                  <c:v>56.358550728964225</c:v>
                </c:pt>
                <c:pt idx="167">
                  <c:v>56.273942098499191</c:v>
                </c:pt>
                <c:pt idx="168">
                  <c:v>56.187318472971292</c:v>
                </c:pt>
                <c:pt idx="169">
                  <c:v>56.099172871121461</c:v>
                </c:pt>
                <c:pt idx="170">
                  <c:v>56.009719588285186</c:v>
                </c:pt>
                <c:pt idx="171">
                  <c:v>55.919375826925091</c:v>
                </c:pt>
                <c:pt idx="172">
                  <c:v>55.828558280114692</c:v>
                </c:pt>
                <c:pt idx="173">
                  <c:v>55.737685928320715</c:v>
                </c:pt>
                <c:pt idx="174">
                  <c:v>55.647177437212441</c:v>
                </c:pt>
                <c:pt idx="175">
                  <c:v>55.557448252365688</c:v>
                </c:pt>
                <c:pt idx="176">
                  <c:v>55.467878819075651</c:v>
                </c:pt>
                <c:pt idx="177">
                  <c:v>55.37779036152542</c:v>
                </c:pt>
                <c:pt idx="178">
                  <c:v>55.287114692410604</c:v>
                </c:pt>
                <c:pt idx="179">
                  <c:v>55.19585539923267</c:v>
                </c:pt>
                <c:pt idx="180">
                  <c:v>55.104015619673547</c:v>
                </c:pt>
                <c:pt idx="181">
                  <c:v>55.011598049289731</c:v>
                </c:pt>
                <c:pt idx="182">
                  <c:v>54.918604954822811</c:v>
                </c:pt>
                <c:pt idx="183">
                  <c:v>54.825121623670604</c:v>
                </c:pt>
                <c:pt idx="184">
                  <c:v>54.731076965501074</c:v>
                </c:pt>
                <c:pt idx="185">
                  <c:v>54.636472518811374</c:v>
                </c:pt>
                <c:pt idx="186">
                  <c:v>54.541309446364906</c:v>
                </c:pt>
                <c:pt idx="187">
                  <c:v>54.445588557542116</c:v>
                </c:pt>
                <c:pt idx="188">
                  <c:v>54.349310333081384</c:v>
                </c:pt>
                <c:pt idx="189">
                  <c:v>54.252474951207446</c:v>
                </c:pt>
                <c:pt idx="190">
                  <c:v>54.15463483910203</c:v>
                </c:pt>
                <c:pt idx="191">
                  <c:v>54.055451044727448</c:v>
                </c:pt>
                <c:pt idx="192">
                  <c:v>53.954899779171058</c:v>
                </c:pt>
                <c:pt idx="193">
                  <c:v>53.853184804963036</c:v>
                </c:pt>
                <c:pt idx="194">
                  <c:v>53.750509815710494</c:v>
                </c:pt>
                <c:pt idx="195">
                  <c:v>53.647078450829696</c:v>
                </c:pt>
                <c:pt idx="196">
                  <c:v>53.543094311259267</c:v>
                </c:pt>
                <c:pt idx="197">
                  <c:v>53.438777560328901</c:v>
                </c:pt>
                <c:pt idx="198">
                  <c:v>53.334245867070003</c:v>
                </c:pt>
                <c:pt idx="199">
                  <c:v>53.229702615868717</c:v>
                </c:pt>
                <c:pt idx="200">
                  <c:v>53.125351224591398</c:v>
                </c:pt>
                <c:pt idx="201">
                  <c:v>53.02139514883239</c:v>
                </c:pt>
                <c:pt idx="202">
                  <c:v>52.918037885365045</c:v>
                </c:pt>
                <c:pt idx="203">
                  <c:v>52.815482974553028</c:v>
                </c:pt>
                <c:pt idx="204">
                  <c:v>52.713642211761282</c:v>
                </c:pt>
                <c:pt idx="205">
                  <c:v>52.61221811524738</c:v>
                </c:pt>
                <c:pt idx="206">
                  <c:v>52.511135964558825</c:v>
                </c:pt>
                <c:pt idx="207">
                  <c:v>52.410291005953859</c:v>
                </c:pt>
                <c:pt idx="208">
                  <c:v>52.309578638126773</c:v>
                </c:pt>
                <c:pt idx="209">
                  <c:v>52.208894409133208</c:v>
                </c:pt>
                <c:pt idx="210">
                  <c:v>52.108134012762115</c:v>
                </c:pt>
                <c:pt idx="211">
                  <c:v>52.00713478285229</c:v>
                </c:pt>
                <c:pt idx="212">
                  <c:v>51.905775435022143</c:v>
                </c:pt>
                <c:pt idx="213">
                  <c:v>51.803951905941545</c:v>
                </c:pt>
                <c:pt idx="214">
                  <c:v>51.70156028006172</c:v>
                </c:pt>
                <c:pt idx="215">
                  <c:v>51.598496782949283</c:v>
                </c:pt>
                <c:pt idx="216">
                  <c:v>51.494657773239155</c:v>
                </c:pt>
                <c:pt idx="217">
                  <c:v>51.38993973674885</c:v>
                </c:pt>
                <c:pt idx="218">
                  <c:v>51.284312410705688</c:v>
                </c:pt>
                <c:pt idx="219">
                  <c:v>51.17780805245247</c:v>
                </c:pt>
                <c:pt idx="220">
                  <c:v>51.070514528867484</c:v>
                </c:pt>
                <c:pt idx="221">
                  <c:v>50.962516382557304</c:v>
                </c:pt>
                <c:pt idx="222">
                  <c:v>50.853898174070984</c:v>
                </c:pt>
                <c:pt idx="223">
                  <c:v>50.744744477086314</c:v>
                </c:pt>
                <c:pt idx="224">
                  <c:v>50.635139874307214</c:v>
                </c:pt>
                <c:pt idx="225">
                  <c:v>50.525054275071227</c:v>
                </c:pt>
                <c:pt idx="226">
                  <c:v>50.414631039883517</c:v>
                </c:pt>
                <c:pt idx="227">
                  <c:v>50.303954760733795</c:v>
                </c:pt>
                <c:pt idx="228">
                  <c:v>50.19311003549204</c:v>
                </c:pt>
                <c:pt idx="229">
                  <c:v>50.082181465470541</c:v>
                </c:pt>
                <c:pt idx="230">
                  <c:v>49.971253654222537</c:v>
                </c:pt>
                <c:pt idx="231">
                  <c:v>49.860411206146878</c:v>
                </c:pt>
                <c:pt idx="232">
                  <c:v>49.750560730638199</c:v>
                </c:pt>
                <c:pt idx="233">
                  <c:v>49.642118555660254</c:v>
                </c:pt>
                <c:pt idx="234">
                  <c:v>49.534669761526899</c:v>
                </c:pt>
                <c:pt idx="235">
                  <c:v>49.427736800016866</c:v>
                </c:pt>
                <c:pt idx="236">
                  <c:v>49.32084239962289</c:v>
                </c:pt>
                <c:pt idx="237">
                  <c:v>49.213509595361039</c:v>
                </c:pt>
                <c:pt idx="238">
                  <c:v>49.105261705680874</c:v>
                </c:pt>
                <c:pt idx="239">
                  <c:v>48.995568733669181</c:v>
                </c:pt>
                <c:pt idx="240">
                  <c:v>48.88406899574062</c:v>
                </c:pt>
                <c:pt idx="241">
                  <c:v>48.770286574987459</c:v>
                </c:pt>
                <c:pt idx="242">
                  <c:v>48.653745822285806</c:v>
                </c:pt>
                <c:pt idx="243">
                  <c:v>48.533971358709174</c:v>
                </c:pt>
                <c:pt idx="244">
                  <c:v>48.410488073492978</c:v>
                </c:pt>
                <c:pt idx="245">
                  <c:v>48.282821127401434</c:v>
                </c:pt>
                <c:pt idx="246">
                  <c:v>48.152357923633595</c:v>
                </c:pt>
                <c:pt idx="247">
                  <c:v>48.02057165672506</c:v>
                </c:pt>
                <c:pt idx="248">
                  <c:v>47.88726823471054</c:v>
                </c:pt>
                <c:pt idx="249">
                  <c:v>47.752139176196813</c:v>
                </c:pt>
                <c:pt idx="250">
                  <c:v>47.614876179491091</c:v>
                </c:pt>
                <c:pt idx="251">
                  <c:v>47.475171119348126</c:v>
                </c:pt>
                <c:pt idx="252">
                  <c:v>47.332716052618608</c:v>
                </c:pt>
                <c:pt idx="253">
                  <c:v>47.187181843744597</c:v>
                </c:pt>
                <c:pt idx="254">
                  <c:v>47.038313927995091</c:v>
                </c:pt>
                <c:pt idx="255">
                  <c:v>46.885804780702586</c:v>
                </c:pt>
                <c:pt idx="256">
                  <c:v>46.729347047884886</c:v>
                </c:pt>
                <c:pt idx="257">
                  <c:v>46.568633541779839</c:v>
                </c:pt>
                <c:pt idx="258">
                  <c:v>46.403357247336089</c:v>
                </c:pt>
                <c:pt idx="259">
                  <c:v>46.233211312700497</c:v>
                </c:pt>
                <c:pt idx="260">
                  <c:v>46.058513109673449</c:v>
                </c:pt>
                <c:pt idx="261">
                  <c:v>45.879787935687304</c:v>
                </c:pt>
                <c:pt idx="262">
                  <c:v>45.697131205888226</c:v>
                </c:pt>
                <c:pt idx="263">
                  <c:v>45.510613758251807</c:v>
                </c:pt>
                <c:pt idx="264">
                  <c:v>45.320306432045719</c:v>
                </c:pt>
                <c:pt idx="265">
                  <c:v>45.126279886309156</c:v>
                </c:pt>
                <c:pt idx="266">
                  <c:v>44.928604852926618</c:v>
                </c:pt>
                <c:pt idx="267">
                  <c:v>44.727375167367491</c:v>
                </c:pt>
                <c:pt idx="268">
                  <c:v>44.522682420717146</c:v>
                </c:pt>
                <c:pt idx="269">
                  <c:v>44.314597174642635</c:v>
                </c:pt>
                <c:pt idx="270">
                  <c:v>44.103189961604393</c:v>
                </c:pt>
                <c:pt idx="271">
                  <c:v>43.888531280706978</c:v>
                </c:pt>
                <c:pt idx="272">
                  <c:v>43.67069159890822</c:v>
                </c:pt>
                <c:pt idx="273">
                  <c:v>43.449741343453134</c:v>
                </c:pt>
                <c:pt idx="274">
                  <c:v>43.225099357033208</c:v>
                </c:pt>
                <c:pt idx="275">
                  <c:v>42.996365968730061</c:v>
                </c:pt>
                <c:pt idx="276">
                  <c:v>42.763806363978532</c:v>
                </c:pt>
                <c:pt idx="277">
                  <c:v>42.527643000545474</c:v>
                </c:pt>
                <c:pt idx="278">
                  <c:v>42.288098110216914</c:v>
                </c:pt>
                <c:pt idx="279">
                  <c:v>42.045393697730496</c:v>
                </c:pt>
                <c:pt idx="280">
                  <c:v>41.799751530722737</c:v>
                </c:pt>
                <c:pt idx="281">
                  <c:v>41.551422417712409</c:v>
                </c:pt>
                <c:pt idx="282">
                  <c:v>41.300605315669834</c:v>
                </c:pt>
                <c:pt idx="283">
                  <c:v>41.047521146734795</c:v>
                </c:pt>
                <c:pt idx="284">
                  <c:v>40.792390573375165</c:v>
                </c:pt>
                <c:pt idx="285">
                  <c:v>40.535433998407527</c:v>
                </c:pt>
                <c:pt idx="286">
                  <c:v>40.27687156497494</c:v>
                </c:pt>
                <c:pt idx="287">
                  <c:v>40.016923156187943</c:v>
                </c:pt>
                <c:pt idx="288">
                  <c:v>39.755476193620105</c:v>
                </c:pt>
                <c:pt idx="289">
                  <c:v>39.49220643612292</c:v>
                </c:pt>
                <c:pt idx="290">
                  <c:v>39.226935529405438</c:v>
                </c:pt>
                <c:pt idx="291">
                  <c:v>38.959560469569645</c:v>
                </c:pt>
                <c:pt idx="292">
                  <c:v>38.689978188900788</c:v>
                </c:pt>
                <c:pt idx="293">
                  <c:v>38.41808556011808</c:v>
                </c:pt>
                <c:pt idx="294">
                  <c:v>38.143779399990031</c:v>
                </c:pt>
                <c:pt idx="295">
                  <c:v>37.866951657533093</c:v>
                </c:pt>
                <c:pt idx="296">
                  <c:v>37.58747147473305</c:v>
                </c:pt>
                <c:pt idx="297">
                  <c:v>37.305235783442001</c:v>
                </c:pt>
                <c:pt idx="298">
                  <c:v>37.020141896716368</c:v>
                </c:pt>
                <c:pt idx="299">
                  <c:v>36.732087125797982</c:v>
                </c:pt>
                <c:pt idx="300">
                  <c:v>36.440968781875291</c:v>
                </c:pt>
                <c:pt idx="301">
                  <c:v>36.146684184795951</c:v>
                </c:pt>
                <c:pt idx="302">
                  <c:v>35.846292619259067</c:v>
                </c:pt>
                <c:pt idx="303">
                  <c:v>35.53786124107674</c:v>
                </c:pt>
                <c:pt idx="304">
                  <c:v>35.222814470532789</c:v>
                </c:pt>
                <c:pt idx="305">
                  <c:v>34.902580005854581</c:v>
                </c:pt>
                <c:pt idx="306">
                  <c:v>34.57858502481858</c:v>
                </c:pt>
                <c:pt idx="307">
                  <c:v>34.252256198002172</c:v>
                </c:pt>
                <c:pt idx="308">
                  <c:v>33.925019695546347</c:v>
                </c:pt>
                <c:pt idx="309">
                  <c:v>33.598270186145825</c:v>
                </c:pt>
                <c:pt idx="310">
                  <c:v>33.273437874741369</c:v>
                </c:pt>
                <c:pt idx="311">
                  <c:v>32.951948038294233</c:v>
                </c:pt>
                <c:pt idx="312">
                  <c:v>32.635225472072278</c:v>
                </c:pt>
                <c:pt idx="313">
                  <c:v>32.324694485511813</c:v>
                </c:pt>
                <c:pt idx="314">
                  <c:v>32.021778908439011</c:v>
                </c:pt>
                <c:pt idx="315">
                  <c:v>31.727902085303523</c:v>
                </c:pt>
                <c:pt idx="316">
                  <c:v>31.440040088481531</c:v>
                </c:pt>
                <c:pt idx="317">
                  <c:v>31.15431830301576</c:v>
                </c:pt>
                <c:pt idx="318">
                  <c:v>30.871158120617377</c:v>
                </c:pt>
                <c:pt idx="319">
                  <c:v>30.59096897082885</c:v>
                </c:pt>
                <c:pt idx="320">
                  <c:v>30.314160031508461</c:v>
                </c:pt>
                <c:pt idx="321">
                  <c:v>30.041140224446405</c:v>
                </c:pt>
                <c:pt idx="322">
                  <c:v>29.772318193764857</c:v>
                </c:pt>
                <c:pt idx="323">
                  <c:v>29.508034612274852</c:v>
                </c:pt>
                <c:pt idx="324">
                  <c:v>29.248726797541767</c:v>
                </c:pt>
                <c:pt idx="325">
                  <c:v>28.994803204773977</c:v>
                </c:pt>
                <c:pt idx="326">
                  <c:v>28.746672243348701</c:v>
                </c:pt>
                <c:pt idx="327">
                  <c:v>28.504741817680813</c:v>
                </c:pt>
                <c:pt idx="328">
                  <c:v>28.269419248472985</c:v>
                </c:pt>
                <c:pt idx="329">
                  <c:v>28.041111481515451</c:v>
                </c:pt>
                <c:pt idx="330">
                  <c:v>27.815462073779397</c:v>
                </c:pt>
                <c:pt idx="331">
                  <c:v>27.58920433620272</c:v>
                </c:pt>
                <c:pt idx="332">
                  <c:v>27.364223524038561</c:v>
                </c:pt>
                <c:pt idx="333">
                  <c:v>27.142243902145267</c:v>
                </c:pt>
                <c:pt idx="334">
                  <c:v>26.924989331187803</c:v>
                </c:pt>
                <c:pt idx="335">
                  <c:v>26.714183256216415</c:v>
                </c:pt>
                <c:pt idx="336">
                  <c:v>26.511548709064073</c:v>
                </c:pt>
                <c:pt idx="337">
                  <c:v>26.318900991125275</c:v>
                </c:pt>
                <c:pt idx="338">
                  <c:v>26.138023970287261</c:v>
                </c:pt>
                <c:pt idx="339">
                  <c:v>25.970637784451466</c:v>
                </c:pt>
                <c:pt idx="340">
                  <c:v>25.818462296065636</c:v>
                </c:pt>
                <c:pt idx="341">
                  <c:v>25.683217104202701</c:v>
                </c:pt>
                <c:pt idx="342">
                  <c:v>25.566621517422636</c:v>
                </c:pt>
                <c:pt idx="343">
                  <c:v>25.470394513159562</c:v>
                </c:pt>
                <c:pt idx="344">
                  <c:v>25.392994118956903</c:v>
                </c:pt>
                <c:pt idx="345">
                  <c:v>25.331403603515373</c:v>
                </c:pt>
                <c:pt idx="346">
                  <c:v>25.284879862433431</c:v>
                </c:pt>
                <c:pt idx="347">
                  <c:v>25.252932000653324</c:v>
                </c:pt>
                <c:pt idx="348">
                  <c:v>25.235069347598316</c:v>
                </c:pt>
                <c:pt idx="349">
                  <c:v>25.230801445526275</c:v>
                </c:pt>
                <c:pt idx="350">
                  <c:v>25.239638056792078</c:v>
                </c:pt>
                <c:pt idx="351">
                  <c:v>25.261035305826208</c:v>
                </c:pt>
                <c:pt idx="352">
                  <c:v>25.294414686919389</c:v>
                </c:pt>
                <c:pt idx="353">
                  <c:v>25.339287098757787</c:v>
                </c:pt>
                <c:pt idx="354">
                  <c:v>25.395163520628088</c:v>
                </c:pt>
                <c:pt idx="355">
                  <c:v>25.461555017016639</c:v>
                </c:pt>
                <c:pt idx="356">
                  <c:v>25.53797334305969</c:v>
                </c:pt>
                <c:pt idx="357">
                  <c:v>25.623929229878293</c:v>
                </c:pt>
                <c:pt idx="358">
                  <c:v>25.723591088357637</c:v>
                </c:pt>
                <c:pt idx="359">
                  <c:v>25.840466994108446</c:v>
                </c:pt>
                <c:pt idx="360">
                  <c:v>25.973167077076969</c:v>
                </c:pt>
                <c:pt idx="361">
                  <c:v>26.120266366306563</c:v>
                </c:pt>
                <c:pt idx="362">
                  <c:v>26.280287324137419</c:v>
                </c:pt>
                <c:pt idx="363">
                  <c:v>26.451753010170922</c:v>
                </c:pt>
                <c:pt idx="364">
                  <c:v>26.633187070627493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11.795</c:v>
                </c:pt>
                <c:pt idx="1">
                  <c:v>4.3959999999999999</c:v>
                </c:pt>
                <c:pt idx="2">
                  <c:v>25.597999999999999</c:v>
                </c:pt>
                <c:pt idx="3">
                  <c:v>18.911999999999999</c:v>
                </c:pt>
                <c:pt idx="4">
                  <c:v>3.0380000000000003</c:v>
                </c:pt>
                <c:pt idx="5">
                  <c:v>8.4589999999999996</c:v>
                </c:pt>
                <c:pt idx="6">
                  <c:v>13.792</c:v>
                </c:pt>
                <c:pt idx="7">
                  <c:v>18.814</c:v>
                </c:pt>
                <c:pt idx="8">
                  <c:v>5.3410000000000002</c:v>
                </c:pt>
                <c:pt idx="9">
                  <c:v>5.6760000000000002</c:v>
                </c:pt>
                <c:pt idx="10">
                  <c:v>5.1319999999999997</c:v>
                </c:pt>
                <c:pt idx="11">
                  <c:v>12.577999999999999</c:v>
                </c:pt>
                <c:pt idx="12">
                  <c:v>9.1609999999999996</c:v>
                </c:pt>
                <c:pt idx="13">
                  <c:v>9.7420000000000009</c:v>
                </c:pt>
                <c:pt idx="14">
                  <c:v>15.613</c:v>
                </c:pt>
                <c:pt idx="15">
                  <c:v>17.862000000000002</c:v>
                </c:pt>
                <c:pt idx="16">
                  <c:v>4.6450000000000005</c:v>
                </c:pt>
                <c:pt idx="17">
                  <c:v>27.818000000000001</c:v>
                </c:pt>
                <c:pt idx="18">
                  <c:v>29.269000000000002</c:v>
                </c:pt>
                <c:pt idx="19">
                  <c:v>5.8159999999999998</c:v>
                </c:pt>
                <c:pt idx="20">
                  <c:v>12.700000000000001</c:v>
                </c:pt>
                <c:pt idx="21">
                  <c:v>5.5490000000000004</c:v>
                </c:pt>
                <c:pt idx="22">
                  <c:v>6.8540000000000001</c:v>
                </c:pt>
                <c:pt idx="23">
                  <c:v>13.98</c:v>
                </c:pt>
                <c:pt idx="24">
                  <c:v>6.6020000000000003</c:v>
                </c:pt>
                <c:pt idx="25">
                  <c:v>19.145</c:v>
                </c:pt>
                <c:pt idx="26">
                  <c:v>6.0200000000000005</c:v>
                </c:pt>
                <c:pt idx="27">
                  <c:v>15.66</c:v>
                </c:pt>
                <c:pt idx="28">
                  <c:v>13.903</c:v>
                </c:pt>
                <c:pt idx="29">
                  <c:v>7.0410000000000004</c:v>
                </c:pt>
                <c:pt idx="30">
                  <c:v>6.4329999999999998</c:v>
                </c:pt>
                <c:pt idx="31">
                  <c:v>7.9880000000000004</c:v>
                </c:pt>
                <c:pt idx="32">
                  <c:v>28.335000000000001</c:v>
                </c:pt>
                <c:pt idx="33">
                  <c:v>23.451000000000001</c:v>
                </c:pt>
                <c:pt idx="34">
                  <c:v>14.870000000000001</c:v>
                </c:pt>
                <c:pt idx="35">
                  <c:v>12.051</c:v>
                </c:pt>
                <c:pt idx="36">
                  <c:v>8.3740000000000006</c:v>
                </c:pt>
                <c:pt idx="37">
                  <c:v>20.907</c:v>
                </c:pt>
                <c:pt idx="38">
                  <c:v>4.3159999999999998</c:v>
                </c:pt>
                <c:pt idx="39">
                  <c:v>11.96</c:v>
                </c:pt>
                <c:pt idx="40">
                  <c:v>11.246</c:v>
                </c:pt>
                <c:pt idx="41">
                  <c:v>28.785</c:v>
                </c:pt>
                <c:pt idx="42">
                  <c:v>4.0999999999999996</c:v>
                </c:pt>
                <c:pt idx="43">
                  <c:v>6.6560000000000006</c:v>
                </c:pt>
                <c:pt idx="44">
                  <c:v>31.73</c:v>
                </c:pt>
                <c:pt idx="45">
                  <c:v>33.707000000000001</c:v>
                </c:pt>
                <c:pt idx="46">
                  <c:v>31.077999999999999</c:v>
                </c:pt>
                <c:pt idx="47">
                  <c:v>34.814</c:v>
                </c:pt>
                <c:pt idx="48">
                  <c:v>16.138999999999999</c:v>
                </c:pt>
                <c:pt idx="49">
                  <c:v>36.622999999999998</c:v>
                </c:pt>
                <c:pt idx="50">
                  <c:v>30.064</c:v>
                </c:pt>
                <c:pt idx="51">
                  <c:v>12.375999999999999</c:v>
                </c:pt>
                <c:pt idx="52">
                  <c:v>4.1950000000000003</c:v>
                </c:pt>
                <c:pt idx="53">
                  <c:v>28.478000000000002</c:v>
                </c:pt>
                <c:pt idx="54">
                  <c:v>37.249000000000002</c:v>
                </c:pt>
                <c:pt idx="55">
                  <c:v>33.015000000000001</c:v>
                </c:pt>
                <c:pt idx="56">
                  <c:v>7.7370000000000001</c:v>
                </c:pt>
                <c:pt idx="57">
                  <c:v>39.233000000000004</c:v>
                </c:pt>
                <c:pt idx="58">
                  <c:v>33.249000000000002</c:v>
                </c:pt>
                <c:pt idx="59">
                  <c:v>36.247999999999998</c:v>
                </c:pt>
                <c:pt idx="60">
                  <c:v>16.094999999999999</c:v>
                </c:pt>
                <c:pt idx="61">
                  <c:v>14.115</c:v>
                </c:pt>
                <c:pt idx="62">
                  <c:v>29.876000000000001</c:v>
                </c:pt>
                <c:pt idx="63">
                  <c:v>34.515999999999998</c:v>
                </c:pt>
                <c:pt idx="64">
                  <c:v>10.524000000000001</c:v>
                </c:pt>
                <c:pt idx="65">
                  <c:v>7.95</c:v>
                </c:pt>
                <c:pt idx="66">
                  <c:v>18.533999999999999</c:v>
                </c:pt>
                <c:pt idx="67">
                  <c:v>39.984000000000002</c:v>
                </c:pt>
                <c:pt idx="68">
                  <c:v>40.588999999999999</c:v>
                </c:pt>
                <c:pt idx="69">
                  <c:v>32.508000000000003</c:v>
                </c:pt>
                <c:pt idx="70">
                  <c:v>27.844999999999999</c:v>
                </c:pt>
                <c:pt idx="71">
                  <c:v>38.350999999999999</c:v>
                </c:pt>
                <c:pt idx="72">
                  <c:v>22.751999999999999</c:v>
                </c:pt>
                <c:pt idx="73">
                  <c:v>15.115</c:v>
                </c:pt>
                <c:pt idx="74">
                  <c:v>29.225999999999999</c:v>
                </c:pt>
                <c:pt idx="75">
                  <c:v>24.289000000000001</c:v>
                </c:pt>
                <c:pt idx="76">
                  <c:v>22.911999999999999</c:v>
                </c:pt>
                <c:pt idx="77">
                  <c:v>8.7580000000000009</c:v>
                </c:pt>
                <c:pt idx="78">
                  <c:v>38.797000000000004</c:v>
                </c:pt>
                <c:pt idx="79">
                  <c:v>40.285000000000004</c:v>
                </c:pt>
                <c:pt idx="80">
                  <c:v>36.488999999999997</c:v>
                </c:pt>
                <c:pt idx="81">
                  <c:v>47.463999999999999</c:v>
                </c:pt>
                <c:pt idx="82">
                  <c:v>46.797000000000004</c:v>
                </c:pt>
                <c:pt idx="83">
                  <c:v>34.686</c:v>
                </c:pt>
                <c:pt idx="84">
                  <c:v>38.905999999999999</c:v>
                </c:pt>
                <c:pt idx="85">
                  <c:v>39.555999999999997</c:v>
                </c:pt>
                <c:pt idx="86">
                  <c:v>47.15</c:v>
                </c:pt>
                <c:pt idx="87">
                  <c:v>49.179000000000002</c:v>
                </c:pt>
                <c:pt idx="88">
                  <c:v>45.963999999999999</c:v>
                </c:pt>
                <c:pt idx="89">
                  <c:v>44.314999999999998</c:v>
                </c:pt>
                <c:pt idx="90">
                  <c:v>44.258000000000003</c:v>
                </c:pt>
                <c:pt idx="91">
                  <c:v>38.447000000000003</c:v>
                </c:pt>
                <c:pt idx="92">
                  <c:v>47.384999999999998</c:v>
                </c:pt>
                <c:pt idx="93">
                  <c:v>48.094000000000001</c:v>
                </c:pt>
                <c:pt idx="94">
                  <c:v>47.372999999999998</c:v>
                </c:pt>
                <c:pt idx="95">
                  <c:v>26.823</c:v>
                </c:pt>
                <c:pt idx="96">
                  <c:v>50.341999999999999</c:v>
                </c:pt>
                <c:pt idx="97">
                  <c:v>50.286999999999999</c:v>
                </c:pt>
                <c:pt idx="98">
                  <c:v>30.346</c:v>
                </c:pt>
                <c:pt idx="99">
                  <c:v>30.972000000000001</c:v>
                </c:pt>
                <c:pt idx="100">
                  <c:v>7.3870000000000005</c:v>
                </c:pt>
                <c:pt idx="101">
                  <c:v>39.707999999999998</c:v>
                </c:pt>
                <c:pt idx="102">
                  <c:v>46.335000000000001</c:v>
                </c:pt>
                <c:pt idx="103">
                  <c:v>50.622999999999998</c:v>
                </c:pt>
                <c:pt idx="104">
                  <c:v>50.953000000000003</c:v>
                </c:pt>
                <c:pt idx="105">
                  <c:v>42.841999999999999</c:v>
                </c:pt>
                <c:pt idx="106">
                  <c:v>46.285000000000004</c:v>
                </c:pt>
                <c:pt idx="107">
                  <c:v>37.783999999999999</c:v>
                </c:pt>
                <c:pt idx="108">
                  <c:v>50.079000000000001</c:v>
                </c:pt>
                <c:pt idx="109">
                  <c:v>39.698</c:v>
                </c:pt>
                <c:pt idx="110">
                  <c:v>47.753</c:v>
                </c:pt>
                <c:pt idx="111">
                  <c:v>58.203000000000003</c:v>
                </c:pt>
                <c:pt idx="112">
                  <c:v>58.597999999999999</c:v>
                </c:pt>
                <c:pt idx="113">
                  <c:v>57.234000000000002</c:v>
                </c:pt>
                <c:pt idx="114">
                  <c:v>29.279</c:v>
                </c:pt>
                <c:pt idx="115">
                  <c:v>7.3280000000000003</c:v>
                </c:pt>
                <c:pt idx="116">
                  <c:v>20.125</c:v>
                </c:pt>
                <c:pt idx="117">
                  <c:v>18.164999999999999</c:v>
                </c:pt>
                <c:pt idx="118">
                  <c:v>25.065999999999999</c:v>
                </c:pt>
                <c:pt idx="119">
                  <c:v>17.115000000000002</c:v>
                </c:pt>
                <c:pt idx="120">
                  <c:v>18.754000000000001</c:v>
                </c:pt>
                <c:pt idx="121">
                  <c:v>50.322000000000003</c:v>
                </c:pt>
                <c:pt idx="122">
                  <c:v>57.646000000000001</c:v>
                </c:pt>
                <c:pt idx="123">
                  <c:v>51.38</c:v>
                </c:pt>
                <c:pt idx="124">
                  <c:v>37.657000000000004</c:v>
                </c:pt>
                <c:pt idx="125">
                  <c:v>35.331000000000003</c:v>
                </c:pt>
                <c:pt idx="126">
                  <c:v>26.834</c:v>
                </c:pt>
                <c:pt idx="127">
                  <c:v>57.201999999999998</c:v>
                </c:pt>
                <c:pt idx="128">
                  <c:v>22.157</c:v>
                </c:pt>
                <c:pt idx="129">
                  <c:v>40.494</c:v>
                </c:pt>
                <c:pt idx="130">
                  <c:v>31.297000000000001</c:v>
                </c:pt>
                <c:pt idx="131">
                  <c:v>38.800000000000004</c:v>
                </c:pt>
                <c:pt idx="132">
                  <c:v>48.884999999999998</c:v>
                </c:pt>
                <c:pt idx="133">
                  <c:v>40.997</c:v>
                </c:pt>
                <c:pt idx="134">
                  <c:v>22.206</c:v>
                </c:pt>
                <c:pt idx="135">
                  <c:v>10.608000000000001</c:v>
                </c:pt>
                <c:pt idx="136">
                  <c:v>52.828000000000003</c:v>
                </c:pt>
                <c:pt idx="137">
                  <c:v>35.96</c:v>
                </c:pt>
                <c:pt idx="138">
                  <c:v>46.426000000000002</c:v>
                </c:pt>
                <c:pt idx="139">
                  <c:v>59.480000000000004</c:v>
                </c:pt>
                <c:pt idx="140">
                  <c:v>42.017000000000003</c:v>
                </c:pt>
                <c:pt idx="141">
                  <c:v>33.207000000000001</c:v>
                </c:pt>
                <c:pt idx="142">
                  <c:v>39.746000000000002</c:v>
                </c:pt>
                <c:pt idx="143">
                  <c:v>24.852</c:v>
                </c:pt>
                <c:pt idx="144">
                  <c:v>53.055</c:v>
                </c:pt>
                <c:pt idx="145">
                  <c:v>52.063000000000002</c:v>
                </c:pt>
                <c:pt idx="146">
                  <c:v>58.239000000000004</c:v>
                </c:pt>
                <c:pt idx="147">
                  <c:v>48.469000000000001</c:v>
                </c:pt>
                <c:pt idx="148">
                  <c:v>34.067999999999998</c:v>
                </c:pt>
                <c:pt idx="149">
                  <c:v>53.767000000000003</c:v>
                </c:pt>
                <c:pt idx="150">
                  <c:v>56.313000000000002</c:v>
                </c:pt>
                <c:pt idx="151">
                  <c:v>36.124000000000002</c:v>
                </c:pt>
                <c:pt idx="152">
                  <c:v>39.593000000000004</c:v>
                </c:pt>
                <c:pt idx="153">
                  <c:v>46.945999999999998</c:v>
                </c:pt>
                <c:pt idx="154">
                  <c:v>8.7149999999999999</c:v>
                </c:pt>
                <c:pt idx="155">
                  <c:v>41.055999999999997</c:v>
                </c:pt>
                <c:pt idx="156">
                  <c:v>46.643999999999998</c:v>
                </c:pt>
                <c:pt idx="157">
                  <c:v>52.931000000000004</c:v>
                </c:pt>
                <c:pt idx="158">
                  <c:v>57.52</c:v>
                </c:pt>
                <c:pt idx="159">
                  <c:v>56.350999999999999</c:v>
                </c:pt>
                <c:pt idx="160">
                  <c:v>56.328000000000003</c:v>
                </c:pt>
                <c:pt idx="161">
                  <c:v>46.664999999999999</c:v>
                </c:pt>
                <c:pt idx="162">
                  <c:v>46.716999999999999</c:v>
                </c:pt>
                <c:pt idx="163">
                  <c:v>55.536999999999999</c:v>
                </c:pt>
                <c:pt idx="164">
                  <c:v>55.152999999999999</c:v>
                </c:pt>
                <c:pt idx="165">
                  <c:v>49.941000000000003</c:v>
                </c:pt>
                <c:pt idx="166">
                  <c:v>49.451000000000001</c:v>
                </c:pt>
                <c:pt idx="167">
                  <c:v>14.087</c:v>
                </c:pt>
                <c:pt idx="168">
                  <c:v>43.697000000000003</c:v>
                </c:pt>
                <c:pt idx="169">
                  <c:v>35.896999999999998</c:v>
                </c:pt>
                <c:pt idx="170">
                  <c:v>33.497999999999998</c:v>
                </c:pt>
                <c:pt idx="171">
                  <c:v>37.448999999999998</c:v>
                </c:pt>
                <c:pt idx="172">
                  <c:v>40.597999999999999</c:v>
                </c:pt>
                <c:pt idx="173">
                  <c:v>24.722999999999999</c:v>
                </c:pt>
                <c:pt idx="174">
                  <c:v>36.459000000000003</c:v>
                </c:pt>
                <c:pt idx="175">
                  <c:v>51.588999999999999</c:v>
                </c:pt>
                <c:pt idx="176">
                  <c:v>56.582999999999998</c:v>
                </c:pt>
                <c:pt idx="177">
                  <c:v>9.35</c:v>
                </c:pt>
                <c:pt idx="178">
                  <c:v>30.706</c:v>
                </c:pt>
                <c:pt idx="179">
                  <c:v>39.811999999999998</c:v>
                </c:pt>
                <c:pt idx="180">
                  <c:v>49.617000000000004</c:v>
                </c:pt>
                <c:pt idx="181">
                  <c:v>52.904000000000003</c:v>
                </c:pt>
                <c:pt idx="182">
                  <c:v>52.893999999999998</c:v>
                </c:pt>
                <c:pt idx="183">
                  <c:v>34.003999999999998</c:v>
                </c:pt>
                <c:pt idx="184">
                  <c:v>32.94</c:v>
                </c:pt>
                <c:pt idx="185">
                  <c:v>56.114000000000004</c:v>
                </c:pt>
                <c:pt idx="186">
                  <c:v>22.091999999999999</c:v>
                </c:pt>
                <c:pt idx="187">
                  <c:v>37.51</c:v>
                </c:pt>
                <c:pt idx="188">
                  <c:v>48.18</c:v>
                </c:pt>
                <c:pt idx="189">
                  <c:v>51.343000000000004</c:v>
                </c:pt>
                <c:pt idx="190">
                  <c:v>48.212000000000003</c:v>
                </c:pt>
                <c:pt idx="191">
                  <c:v>50.823</c:v>
                </c:pt>
                <c:pt idx="192">
                  <c:v>13.814</c:v>
                </c:pt>
                <c:pt idx="193">
                  <c:v>26.422000000000001</c:v>
                </c:pt>
                <c:pt idx="194">
                  <c:v>28.329000000000001</c:v>
                </c:pt>
                <c:pt idx="195">
                  <c:v>28.852</c:v>
                </c:pt>
                <c:pt idx="196">
                  <c:v>43.17</c:v>
                </c:pt>
                <c:pt idx="197">
                  <c:v>54.588999999999999</c:v>
                </c:pt>
                <c:pt idx="198">
                  <c:v>51.027000000000001</c:v>
                </c:pt>
                <c:pt idx="199">
                  <c:v>55.117000000000004</c:v>
                </c:pt>
                <c:pt idx="200">
                  <c:v>47.179000000000002</c:v>
                </c:pt>
                <c:pt idx="201">
                  <c:v>43.883000000000003</c:v>
                </c:pt>
                <c:pt idx="202">
                  <c:v>52.011000000000003</c:v>
                </c:pt>
                <c:pt idx="203">
                  <c:v>44.038000000000004</c:v>
                </c:pt>
                <c:pt idx="204">
                  <c:v>26.408000000000001</c:v>
                </c:pt>
                <c:pt idx="205">
                  <c:v>36.480000000000004</c:v>
                </c:pt>
                <c:pt idx="206">
                  <c:v>32.29</c:v>
                </c:pt>
                <c:pt idx="207">
                  <c:v>48.93</c:v>
                </c:pt>
                <c:pt idx="208">
                  <c:v>26.266999999999999</c:v>
                </c:pt>
                <c:pt idx="209">
                  <c:v>52.262</c:v>
                </c:pt>
                <c:pt idx="210">
                  <c:v>16.852</c:v>
                </c:pt>
                <c:pt idx="211">
                  <c:v>12.197000000000001</c:v>
                </c:pt>
                <c:pt idx="212">
                  <c:v>45.404000000000003</c:v>
                </c:pt>
                <c:pt idx="213">
                  <c:v>47.74</c:v>
                </c:pt>
                <c:pt idx="214">
                  <c:v>35.694000000000003</c:v>
                </c:pt>
                <c:pt idx="215">
                  <c:v>31.626000000000001</c:v>
                </c:pt>
                <c:pt idx="216">
                  <c:v>46.753999999999998</c:v>
                </c:pt>
                <c:pt idx="217">
                  <c:v>17.541</c:v>
                </c:pt>
                <c:pt idx="218">
                  <c:v>22.959</c:v>
                </c:pt>
                <c:pt idx="219">
                  <c:v>36.548999999999999</c:v>
                </c:pt>
                <c:pt idx="220">
                  <c:v>51.983000000000004</c:v>
                </c:pt>
                <c:pt idx="221">
                  <c:v>50.408000000000001</c:v>
                </c:pt>
                <c:pt idx="222">
                  <c:v>48.728999999999999</c:v>
                </c:pt>
                <c:pt idx="223">
                  <c:v>47.204999999999998</c:v>
                </c:pt>
                <c:pt idx="224">
                  <c:v>31.372</c:v>
                </c:pt>
                <c:pt idx="225">
                  <c:v>47.983000000000004</c:v>
                </c:pt>
                <c:pt idx="226">
                  <c:v>19.454000000000001</c:v>
                </c:pt>
                <c:pt idx="227">
                  <c:v>28.868000000000002</c:v>
                </c:pt>
                <c:pt idx="228">
                  <c:v>43.895000000000003</c:v>
                </c:pt>
                <c:pt idx="229">
                  <c:v>46.896000000000001</c:v>
                </c:pt>
                <c:pt idx="230">
                  <c:v>42.14</c:v>
                </c:pt>
                <c:pt idx="231">
                  <c:v>50.09</c:v>
                </c:pt>
                <c:pt idx="232">
                  <c:v>48.151000000000003</c:v>
                </c:pt>
                <c:pt idx="233">
                  <c:v>15.889000000000001</c:v>
                </c:pt>
                <c:pt idx="234">
                  <c:v>45.564</c:v>
                </c:pt>
                <c:pt idx="235">
                  <c:v>44.704999999999998</c:v>
                </c:pt>
                <c:pt idx="236">
                  <c:v>48.298000000000002</c:v>
                </c:pt>
                <c:pt idx="237">
                  <c:v>49.276000000000003</c:v>
                </c:pt>
                <c:pt idx="238">
                  <c:v>44.433999999999997</c:v>
                </c:pt>
                <c:pt idx="239">
                  <c:v>50.820999999999998</c:v>
                </c:pt>
                <c:pt idx="240">
                  <c:v>50.308</c:v>
                </c:pt>
                <c:pt idx="241">
                  <c:v>48.599000000000004</c:v>
                </c:pt>
                <c:pt idx="242">
                  <c:v>49.183</c:v>
                </c:pt>
                <c:pt idx="243">
                  <c:v>35.747</c:v>
                </c:pt>
                <c:pt idx="244">
                  <c:v>18.286000000000001</c:v>
                </c:pt>
                <c:pt idx="245">
                  <c:v>28.182000000000002</c:v>
                </c:pt>
                <c:pt idx="246">
                  <c:v>37.322000000000003</c:v>
                </c:pt>
                <c:pt idx="247">
                  <c:v>44.112000000000002</c:v>
                </c:pt>
                <c:pt idx="248">
                  <c:v>47.474000000000004</c:v>
                </c:pt>
                <c:pt idx="249">
                  <c:v>38.036999999999999</c:v>
                </c:pt>
                <c:pt idx="250">
                  <c:v>30.847000000000001</c:v>
                </c:pt>
                <c:pt idx="251">
                  <c:v>17.638999999999999</c:v>
                </c:pt>
                <c:pt idx="252">
                  <c:v>37.054000000000002</c:v>
                </c:pt>
                <c:pt idx="253">
                  <c:v>36.619999999999997</c:v>
                </c:pt>
                <c:pt idx="254">
                  <c:v>45.797000000000004</c:v>
                </c:pt>
                <c:pt idx="255">
                  <c:v>33.241999999999997</c:v>
                </c:pt>
                <c:pt idx="256">
                  <c:v>19.981000000000002</c:v>
                </c:pt>
                <c:pt idx="257">
                  <c:v>28.574999999999999</c:v>
                </c:pt>
                <c:pt idx="258">
                  <c:v>22.664999999999999</c:v>
                </c:pt>
                <c:pt idx="259">
                  <c:v>42.658999999999999</c:v>
                </c:pt>
                <c:pt idx="260">
                  <c:v>7.9050000000000002</c:v>
                </c:pt>
                <c:pt idx="261">
                  <c:v>29.126999999999999</c:v>
                </c:pt>
                <c:pt idx="262">
                  <c:v>30.381</c:v>
                </c:pt>
                <c:pt idx="263">
                  <c:v>13.3</c:v>
                </c:pt>
                <c:pt idx="264">
                  <c:v>44.347999999999999</c:v>
                </c:pt>
                <c:pt idx="265">
                  <c:v>39.003</c:v>
                </c:pt>
                <c:pt idx="266">
                  <c:v>40.210999999999999</c:v>
                </c:pt>
                <c:pt idx="267">
                  <c:v>33.499000000000002</c:v>
                </c:pt>
                <c:pt idx="268">
                  <c:v>36.512999999999998</c:v>
                </c:pt>
                <c:pt idx="269">
                  <c:v>24.55</c:v>
                </c:pt>
                <c:pt idx="270">
                  <c:v>25.85</c:v>
                </c:pt>
                <c:pt idx="271">
                  <c:v>27.596</c:v>
                </c:pt>
                <c:pt idx="272">
                  <c:v>14.441000000000001</c:v>
                </c:pt>
                <c:pt idx="273">
                  <c:v>31.411000000000001</c:v>
                </c:pt>
                <c:pt idx="274">
                  <c:v>39.789000000000001</c:v>
                </c:pt>
                <c:pt idx="275">
                  <c:v>6.6269999999999998</c:v>
                </c:pt>
                <c:pt idx="276">
                  <c:v>33.783000000000001</c:v>
                </c:pt>
                <c:pt idx="277">
                  <c:v>11.889000000000001</c:v>
                </c:pt>
                <c:pt idx="278">
                  <c:v>39.137</c:v>
                </c:pt>
                <c:pt idx="279">
                  <c:v>42.261000000000003</c:v>
                </c:pt>
                <c:pt idx="280">
                  <c:v>39.582999999999998</c:v>
                </c:pt>
                <c:pt idx="281">
                  <c:v>14.613</c:v>
                </c:pt>
                <c:pt idx="282">
                  <c:v>30.475999999999999</c:v>
                </c:pt>
                <c:pt idx="283">
                  <c:v>41.228000000000002</c:v>
                </c:pt>
                <c:pt idx="284">
                  <c:v>40.552</c:v>
                </c:pt>
                <c:pt idx="285">
                  <c:v>38.447000000000003</c:v>
                </c:pt>
                <c:pt idx="286">
                  <c:v>42.094999999999999</c:v>
                </c:pt>
                <c:pt idx="287">
                  <c:v>35.518000000000001</c:v>
                </c:pt>
                <c:pt idx="288">
                  <c:v>37.274000000000001</c:v>
                </c:pt>
                <c:pt idx="289">
                  <c:v>37.79</c:v>
                </c:pt>
                <c:pt idx="290">
                  <c:v>35.502000000000002</c:v>
                </c:pt>
                <c:pt idx="291">
                  <c:v>34.551000000000002</c:v>
                </c:pt>
                <c:pt idx="292">
                  <c:v>28.432000000000002</c:v>
                </c:pt>
                <c:pt idx="293">
                  <c:v>13.711</c:v>
                </c:pt>
                <c:pt idx="294">
                  <c:v>14.129</c:v>
                </c:pt>
                <c:pt idx="295">
                  <c:v>38.247</c:v>
                </c:pt>
                <c:pt idx="296">
                  <c:v>39.352000000000004</c:v>
                </c:pt>
                <c:pt idx="297">
                  <c:v>34.616</c:v>
                </c:pt>
                <c:pt idx="298">
                  <c:v>29.347000000000001</c:v>
                </c:pt>
                <c:pt idx="299">
                  <c:v>31.406000000000002</c:v>
                </c:pt>
                <c:pt idx="300">
                  <c:v>36.337000000000003</c:v>
                </c:pt>
                <c:pt idx="301">
                  <c:v>17.423000000000002</c:v>
                </c:pt>
                <c:pt idx="302">
                  <c:v>11.609</c:v>
                </c:pt>
                <c:pt idx="303">
                  <c:v>20.519000000000002</c:v>
                </c:pt>
                <c:pt idx="304">
                  <c:v>16.317</c:v>
                </c:pt>
                <c:pt idx="305">
                  <c:v>28.801000000000002</c:v>
                </c:pt>
                <c:pt idx="306">
                  <c:v>18.747</c:v>
                </c:pt>
                <c:pt idx="307">
                  <c:v>16.022000000000002</c:v>
                </c:pt>
                <c:pt idx="308">
                  <c:v>10.355</c:v>
                </c:pt>
                <c:pt idx="309">
                  <c:v>17.972999999999999</c:v>
                </c:pt>
                <c:pt idx="310">
                  <c:v>9.7919999999999998</c:v>
                </c:pt>
                <c:pt idx="311">
                  <c:v>25.92</c:v>
                </c:pt>
                <c:pt idx="312">
                  <c:v>23.858000000000001</c:v>
                </c:pt>
                <c:pt idx="313">
                  <c:v>6.7869999999999999</c:v>
                </c:pt>
                <c:pt idx="314">
                  <c:v>9.1110000000000007</c:v>
                </c:pt>
                <c:pt idx="315">
                  <c:v>10.986000000000001</c:v>
                </c:pt>
                <c:pt idx="316">
                  <c:v>5.7940000000000005</c:v>
                </c:pt>
                <c:pt idx="317">
                  <c:v>4.8479999999999999</c:v>
                </c:pt>
                <c:pt idx="318">
                  <c:v>7.1920000000000002</c:v>
                </c:pt>
                <c:pt idx="319">
                  <c:v>7.6710000000000003</c:v>
                </c:pt>
                <c:pt idx="320">
                  <c:v>3.1619999999999999</c:v>
                </c:pt>
                <c:pt idx="321">
                  <c:v>18.077000000000002</c:v>
                </c:pt>
                <c:pt idx="322">
                  <c:v>29.777000000000001</c:v>
                </c:pt>
                <c:pt idx="323">
                  <c:v>22.193000000000001</c:v>
                </c:pt>
                <c:pt idx="324">
                  <c:v>10.013</c:v>
                </c:pt>
                <c:pt idx="325">
                  <c:v>17.687999999999999</c:v>
                </c:pt>
                <c:pt idx="326">
                  <c:v>10.934000000000001</c:v>
                </c:pt>
                <c:pt idx="327">
                  <c:v>1.48</c:v>
                </c:pt>
                <c:pt idx="328">
                  <c:v>13.215</c:v>
                </c:pt>
                <c:pt idx="329">
                  <c:v>7.7940000000000005</c:v>
                </c:pt>
                <c:pt idx="330">
                  <c:v>13.575000000000001</c:v>
                </c:pt>
                <c:pt idx="331">
                  <c:v>6.0659999999999998</c:v>
                </c:pt>
                <c:pt idx="332">
                  <c:v>8.2360000000000007</c:v>
                </c:pt>
                <c:pt idx="333">
                  <c:v>21.177</c:v>
                </c:pt>
                <c:pt idx="334">
                  <c:v>4.0410000000000004</c:v>
                </c:pt>
                <c:pt idx="335">
                  <c:v>10.811999999999999</c:v>
                </c:pt>
                <c:pt idx="336">
                  <c:v>15.72</c:v>
                </c:pt>
                <c:pt idx="337">
                  <c:v>7.1550000000000002</c:v>
                </c:pt>
                <c:pt idx="338">
                  <c:v>6.5369999999999999</c:v>
                </c:pt>
                <c:pt idx="339">
                  <c:v>10.399000000000001</c:v>
                </c:pt>
                <c:pt idx="340">
                  <c:v>5.9539999999999997</c:v>
                </c:pt>
                <c:pt idx="341">
                  <c:v>8.4930000000000003</c:v>
                </c:pt>
                <c:pt idx="342">
                  <c:v>8.0850000000000009</c:v>
                </c:pt>
                <c:pt idx="343">
                  <c:v>2.6230000000000002</c:v>
                </c:pt>
                <c:pt idx="344">
                  <c:v>15.167</c:v>
                </c:pt>
                <c:pt idx="345">
                  <c:v>25.039000000000001</c:v>
                </c:pt>
                <c:pt idx="346">
                  <c:v>26.179000000000002</c:v>
                </c:pt>
                <c:pt idx="347">
                  <c:v>26.242000000000001</c:v>
                </c:pt>
                <c:pt idx="348">
                  <c:v>24.663</c:v>
                </c:pt>
                <c:pt idx="349">
                  <c:v>25.949000000000002</c:v>
                </c:pt>
                <c:pt idx="350">
                  <c:v>26.283999999999999</c:v>
                </c:pt>
                <c:pt idx="351">
                  <c:v>26.341000000000001</c:v>
                </c:pt>
                <c:pt idx="352">
                  <c:v>25.818000000000001</c:v>
                </c:pt>
                <c:pt idx="353">
                  <c:v>26.382000000000001</c:v>
                </c:pt>
                <c:pt idx="354">
                  <c:v>20.23</c:v>
                </c:pt>
                <c:pt idx="355">
                  <c:v>25.417000000000002</c:v>
                </c:pt>
                <c:pt idx="356">
                  <c:v>9.1560000000000006</c:v>
                </c:pt>
                <c:pt idx="357">
                  <c:v>16.818999999999999</c:v>
                </c:pt>
                <c:pt idx="358">
                  <c:v>11.063000000000001</c:v>
                </c:pt>
                <c:pt idx="359">
                  <c:v>11.221</c:v>
                </c:pt>
                <c:pt idx="360">
                  <c:v>9.3030000000000008</c:v>
                </c:pt>
                <c:pt idx="361">
                  <c:v>4.5680000000000005</c:v>
                </c:pt>
                <c:pt idx="362">
                  <c:v>4.0549999999999997</c:v>
                </c:pt>
                <c:pt idx="363">
                  <c:v>20.003</c:v>
                </c:pt>
                <c:pt idx="364">
                  <c:v>26.315999999999999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95208"/>
        <c:axId val="640295600"/>
      </c:lineChart>
      <c:dateAx>
        <c:axId val="640295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5600"/>
        <c:crosses val="autoZero"/>
        <c:auto val="1"/>
        <c:lblOffset val="100"/>
        <c:baseTimeUnit val="days"/>
        <c:majorUnit val="1"/>
        <c:majorTimeUnit val="months"/>
      </c:dateAx>
      <c:valAx>
        <c:axId val="64029560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5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28.584307493807543</c:v>
                </c:pt>
                <c:pt idx="1">
                  <c:v>28.796819122387198</c:v>
                </c:pt>
                <c:pt idx="2">
                  <c:v>29.015231033552446</c:v>
                </c:pt>
                <c:pt idx="3">
                  <c:v>29.237977574299183</c:v>
                </c:pt>
                <c:pt idx="4">
                  <c:v>29.463493096160072</c:v>
                </c:pt>
                <c:pt idx="5">
                  <c:v>29.690211947247786</c:v>
                </c:pt>
                <c:pt idx="6">
                  <c:v>29.916568476516883</c:v>
                </c:pt>
                <c:pt idx="7">
                  <c:v>30.140997032511713</c:v>
                </c:pt>
                <c:pt idx="8">
                  <c:v>30.365319617619665</c:v>
                </c:pt>
                <c:pt idx="9">
                  <c:v>30.592644277900465</c:v>
                </c:pt>
                <c:pt idx="10">
                  <c:v>30.823334437187317</c:v>
                </c:pt>
                <c:pt idx="11">
                  <c:v>31.05775351799765</c:v>
                </c:pt>
                <c:pt idx="12">
                  <c:v>31.29626493936793</c:v>
                </c:pt>
                <c:pt idx="13">
                  <c:v>31.539232122817545</c:v>
                </c:pt>
                <c:pt idx="14">
                  <c:v>31.787018490276854</c:v>
                </c:pt>
                <c:pt idx="15">
                  <c:v>32.039987462935123</c:v>
                </c:pt>
                <c:pt idx="16">
                  <c:v>32.298502468641736</c:v>
                </c:pt>
                <c:pt idx="17">
                  <c:v>32.562926930157573</c:v>
                </c:pt>
                <c:pt idx="18">
                  <c:v>32.833624272170212</c:v>
                </c:pt>
                <c:pt idx="19">
                  <c:v>33.110957917738574</c:v>
                </c:pt>
                <c:pt idx="20">
                  <c:v>33.395291289974104</c:v>
                </c:pt>
                <c:pt idx="21">
                  <c:v>33.686987814101983</c:v>
                </c:pt>
                <c:pt idx="22">
                  <c:v>33.988068958857298</c:v>
                </c:pt>
                <c:pt idx="23">
                  <c:v>34.299524182866421</c:v>
                </c:pt>
                <c:pt idx="24">
                  <c:v>34.620168881197039</c:v>
                </c:pt>
                <c:pt idx="25">
                  <c:v>34.948818468016462</c:v>
                </c:pt>
                <c:pt idx="26">
                  <c:v>35.284288353482644</c:v>
                </c:pt>
                <c:pt idx="27">
                  <c:v>35.62539395409739</c:v>
                </c:pt>
                <c:pt idx="28">
                  <c:v>35.970950679376642</c:v>
                </c:pt>
                <c:pt idx="29">
                  <c:v>36.319773936288833</c:v>
                </c:pt>
                <c:pt idx="30">
                  <c:v>36.670679131626613</c:v>
                </c:pt>
                <c:pt idx="31">
                  <c:v>37.022481675113873</c:v>
                </c:pt>
                <c:pt idx="32">
                  <c:v>37.373996976293682</c:v>
                </c:pt>
                <c:pt idx="33">
                  <c:v>37.724040443683151</c:v>
                </c:pt>
                <c:pt idx="34">
                  <c:v>38.071427485829361</c:v>
                </c:pt>
                <c:pt idx="35">
                  <c:v>38.4149735106338</c:v>
                </c:pt>
                <c:pt idx="36">
                  <c:v>38.757622023382559</c:v>
                </c:pt>
                <c:pt idx="37">
                  <c:v>39.10274727989929</c:v>
                </c:pt>
                <c:pt idx="38">
                  <c:v>39.44981085293405</c:v>
                </c:pt>
                <c:pt idx="39">
                  <c:v>39.798274288588992</c:v>
                </c:pt>
                <c:pt idx="40">
                  <c:v>40.147599133299913</c:v>
                </c:pt>
                <c:pt idx="41">
                  <c:v>40.497246932178292</c:v>
                </c:pt>
                <c:pt idx="42">
                  <c:v>40.846679230378712</c:v>
                </c:pt>
                <c:pt idx="43">
                  <c:v>41.195357558971438</c:v>
                </c:pt>
                <c:pt idx="44">
                  <c:v>41.542743472361792</c:v>
                </c:pt>
                <c:pt idx="45">
                  <c:v>41.888298514325179</c:v>
                </c:pt>
                <c:pt idx="46">
                  <c:v>42.231484227986229</c:v>
                </c:pt>
                <c:pt idx="47">
                  <c:v>42.571762154754744</c:v>
                </c:pt>
                <c:pt idx="48">
                  <c:v>42.908593837184426</c:v>
                </c:pt>
                <c:pt idx="49">
                  <c:v>43.241440814857761</c:v>
                </c:pt>
                <c:pt idx="50">
                  <c:v>43.570877420932007</c:v>
                </c:pt>
                <c:pt idx="51">
                  <c:v>43.897908811713009</c:v>
                </c:pt>
                <c:pt idx="52">
                  <c:v>44.222642685957439</c:v>
                </c:pt>
                <c:pt idx="53">
                  <c:v>44.545186732212883</c:v>
                </c:pt>
                <c:pt idx="54">
                  <c:v>44.86564863834932</c:v>
                </c:pt>
                <c:pt idx="55">
                  <c:v>45.184136091568071</c:v>
                </c:pt>
                <c:pt idx="56">
                  <c:v>45.500756780482384</c:v>
                </c:pt>
                <c:pt idx="57">
                  <c:v>45.815618614781464</c:v>
                </c:pt>
                <c:pt idx="58">
                  <c:v>46.12882934237475</c:v>
                </c:pt>
                <c:pt idx="59">
                  <c:v>46.4404966890461</c:v>
                </c:pt>
                <c:pt idx="60">
                  <c:v>46.750728383397515</c:v>
                </c:pt>
                <c:pt idx="61">
                  <c:v>47.059632158696111</c:v>
                </c:pt>
                <c:pt idx="62">
                  <c:v>47.367315750810853</c:v>
                </c:pt>
                <c:pt idx="63">
                  <c:v>47.67388689941145</c:v>
                </c:pt>
                <c:pt idx="64">
                  <c:v>47.979884108333231</c:v>
                </c:pt>
                <c:pt idx="65">
                  <c:v>48.285558702580509</c:v>
                </c:pt>
                <c:pt idx="66">
                  <c:v>48.590587544935197</c:v>
                </c:pt>
                <c:pt idx="67">
                  <c:v>48.894647617100247</c:v>
                </c:pt>
                <c:pt idx="68">
                  <c:v>49.197415905471324</c:v>
                </c:pt>
                <c:pt idx="69">
                  <c:v>49.498569400929611</c:v>
                </c:pt>
                <c:pt idx="70">
                  <c:v>49.797785098094373</c:v>
                </c:pt>
                <c:pt idx="71">
                  <c:v>50.094739742600098</c:v>
                </c:pt>
                <c:pt idx="72">
                  <c:v>50.389109879959605</c:v>
                </c:pt>
                <c:pt idx="73">
                  <c:v>50.68057242876489</c:v>
                </c:pt>
                <c:pt idx="74">
                  <c:v>50.968804305320916</c:v>
                </c:pt>
                <c:pt idx="75">
                  <c:v>51.253482427860575</c:v>
                </c:pt>
                <c:pt idx="76">
                  <c:v>51.534283708243883</c:v>
                </c:pt>
                <c:pt idx="77">
                  <c:v>51.810885059267207</c:v>
                </c:pt>
                <c:pt idx="78">
                  <c:v>52.085404353296546</c:v>
                </c:pt>
                <c:pt idx="79">
                  <c:v>52.35967224548282</c:v>
                </c:pt>
                <c:pt idx="80">
                  <c:v>52.63293489443528</c:v>
                </c:pt>
                <c:pt idx="81">
                  <c:v>52.90443844188249</c:v>
                </c:pt>
                <c:pt idx="82">
                  <c:v>53.173429025471663</c:v>
                </c:pt>
                <c:pt idx="83">
                  <c:v>53.439152779059576</c:v>
                </c:pt>
                <c:pt idx="84">
                  <c:v>53.700855835194432</c:v>
                </c:pt>
                <c:pt idx="85">
                  <c:v>53.957784193395945</c:v>
                </c:pt>
                <c:pt idx="86">
                  <c:v>54.209184438314125</c:v>
                </c:pt>
                <c:pt idx="87">
                  <c:v>54.454302731587831</c:v>
                </c:pt>
                <c:pt idx="88">
                  <c:v>54.692385235207915</c:v>
                </c:pt>
                <c:pt idx="89">
                  <c:v>54.922678106501557</c:v>
                </c:pt>
                <c:pt idx="90">
                  <c:v>55.144427506680785</c:v>
                </c:pt>
                <c:pt idx="91">
                  <c:v>55.356879590171857</c:v>
                </c:pt>
                <c:pt idx="92">
                  <c:v>55.559998441249981</c:v>
                </c:pt>
                <c:pt idx="93">
                  <c:v>55.754609056442874</c:v>
                </c:pt>
                <c:pt idx="94">
                  <c:v>55.941249863222893</c:v>
                </c:pt>
                <c:pt idx="95">
                  <c:v>56.120459209575195</c:v>
                </c:pt>
                <c:pt idx="96">
                  <c:v>56.292775436431079</c:v>
                </c:pt>
                <c:pt idx="97">
                  <c:v>56.458736879369205</c:v>
                </c:pt>
                <c:pt idx="98">
                  <c:v>56.618881861024718</c:v>
                </c:pt>
                <c:pt idx="99">
                  <c:v>56.773747069793792</c:v>
                </c:pt>
                <c:pt idx="100">
                  <c:v>56.923870835781116</c:v>
                </c:pt>
                <c:pt idx="101">
                  <c:v>57.069791257816725</c:v>
                </c:pt>
                <c:pt idx="102">
                  <c:v>57.212046401850692</c:v>
                </c:pt>
                <c:pt idx="103">
                  <c:v>57.351174305427413</c:v>
                </c:pt>
                <c:pt idx="104">
                  <c:v>57.487712974897704</c:v>
                </c:pt>
                <c:pt idx="105">
                  <c:v>57.622200379469128</c:v>
                </c:pt>
                <c:pt idx="106">
                  <c:v>57.754061663560428</c:v>
                </c:pt>
                <c:pt idx="107">
                  <c:v>57.882288932092166</c:v>
                </c:pt>
                <c:pt idx="108">
                  <c:v>58.006774749195579</c:v>
                </c:pt>
                <c:pt idx="109">
                  <c:v>58.12741062410651</c:v>
                </c:pt>
                <c:pt idx="110">
                  <c:v>58.244088006962372</c:v>
                </c:pt>
                <c:pt idx="111">
                  <c:v>58.356698287284644</c:v>
                </c:pt>
                <c:pt idx="112">
                  <c:v>58.465132786194125</c:v>
                </c:pt>
                <c:pt idx="113">
                  <c:v>58.569281207499479</c:v>
                </c:pt>
                <c:pt idx="114">
                  <c:v>58.669037564776993</c:v>
                </c:pt>
                <c:pt idx="115">
                  <c:v>58.764293136246593</c:v>
                </c:pt>
                <c:pt idx="116">
                  <c:v>58.8549391359739</c:v>
                </c:pt>
                <c:pt idx="117">
                  <c:v>58.940866709620437</c:v>
                </c:pt>
                <c:pt idx="118">
                  <c:v>59.021966935350356</c:v>
                </c:pt>
                <c:pt idx="119">
                  <c:v>59.098130821354133</c:v>
                </c:pt>
                <c:pt idx="120">
                  <c:v>59.168818544330684</c:v>
                </c:pt>
                <c:pt idx="121">
                  <c:v>59.233775378601102</c:v>
                </c:pt>
                <c:pt idx="122">
                  <c:v>59.293326768634124</c:v>
                </c:pt>
                <c:pt idx="123">
                  <c:v>59.347794421850367</c:v>
                </c:pt>
                <c:pt idx="124">
                  <c:v>59.397499986544318</c:v>
                </c:pt>
                <c:pt idx="125">
                  <c:v>59.44276505013007</c:v>
                </c:pt>
                <c:pt idx="126">
                  <c:v>59.483911139887695</c:v>
                </c:pt>
                <c:pt idx="127">
                  <c:v>59.521259373223906</c:v>
                </c:pt>
                <c:pt idx="128">
                  <c:v>59.555133964416243</c:v>
                </c:pt>
                <c:pt idx="129">
                  <c:v>59.585856563766455</c:v>
                </c:pt>
                <c:pt idx="130">
                  <c:v>59.613748783420483</c:v>
                </c:pt>
                <c:pt idx="131">
                  <c:v>59.639132207485574</c:v>
                </c:pt>
                <c:pt idx="132">
                  <c:v>59.662328390367215</c:v>
                </c:pt>
                <c:pt idx="133">
                  <c:v>59.683658862893793</c:v>
                </c:pt>
                <c:pt idx="134">
                  <c:v>59.702404135999842</c:v>
                </c:pt>
                <c:pt idx="135">
                  <c:v>59.71770127933226</c:v>
                </c:pt>
                <c:pt idx="136">
                  <c:v>59.729659991151046</c:v>
                </c:pt>
                <c:pt idx="137">
                  <c:v>59.738386795430998</c:v>
                </c:pt>
                <c:pt idx="138">
                  <c:v>59.743988239535184</c:v>
                </c:pt>
                <c:pt idx="139">
                  <c:v>59.746570900535424</c:v>
                </c:pt>
                <c:pt idx="140">
                  <c:v>59.746241395979375</c:v>
                </c:pt>
                <c:pt idx="141">
                  <c:v>59.743106237101394</c:v>
                </c:pt>
                <c:pt idx="142">
                  <c:v>59.737272812004392</c:v>
                </c:pt>
                <c:pt idx="143">
                  <c:v>59.719704843331584</c:v>
                </c:pt>
                <c:pt idx="144">
                  <c:v>59.699652299626663</c:v>
                </c:pt>
                <c:pt idx="145">
                  <c:v>59.677223248347211</c:v>
                </c:pt>
                <c:pt idx="146">
                  <c:v>59.652525796968881</c:v>
                </c:pt>
                <c:pt idx="147">
                  <c:v>59.625668095072221</c:v>
                </c:pt>
                <c:pt idx="148">
                  <c:v>59.59672247703184</c:v>
                </c:pt>
                <c:pt idx="149">
                  <c:v>59.565627212070687</c:v>
                </c:pt>
                <c:pt idx="150">
                  <c:v>59.532276207880336</c:v>
                </c:pt>
                <c:pt idx="151">
                  <c:v>59.496563825938381</c:v>
                </c:pt>
                <c:pt idx="152">
                  <c:v>59.458384646144808</c:v>
                </c:pt>
                <c:pt idx="153">
                  <c:v>59.417633464772109</c:v>
                </c:pt>
                <c:pt idx="154">
                  <c:v>59.374205293212242</c:v>
                </c:pt>
                <c:pt idx="155">
                  <c:v>59.328014550449353</c:v>
                </c:pt>
                <c:pt idx="156">
                  <c:v>59.278958522987658</c:v>
                </c:pt>
                <c:pt idx="157">
                  <c:v>59.226934508986361</c:v>
                </c:pt>
                <c:pt idx="158">
                  <c:v>59.171840019628483</c:v>
                </c:pt>
                <c:pt idx="159">
                  <c:v>59.113572770682801</c:v>
                </c:pt>
                <c:pt idx="160">
                  <c:v>59.052030664701746</c:v>
                </c:pt>
                <c:pt idx="161">
                  <c:v>58.987111779209165</c:v>
                </c:pt>
                <c:pt idx="162">
                  <c:v>58.918052297811698</c:v>
                </c:pt>
                <c:pt idx="163">
                  <c:v>58.844466237421123</c:v>
                </c:pt>
                <c:pt idx="164">
                  <c:v>58.766776585678699</c:v>
                </c:pt>
                <c:pt idx="165">
                  <c:v>58.685419094227051</c:v>
                </c:pt>
                <c:pt idx="166">
                  <c:v>58.600829261425389</c:v>
                </c:pt>
                <c:pt idx="167">
                  <c:v>58.513442320613734</c:v>
                </c:pt>
                <c:pt idx="168">
                  <c:v>58.423693213212154</c:v>
                </c:pt>
                <c:pt idx="169">
                  <c:v>58.332038764712237</c:v>
                </c:pt>
                <c:pt idx="170">
                  <c:v>58.238887208520772</c:v>
                </c:pt>
                <c:pt idx="171">
                  <c:v>58.144672220237169</c:v>
                </c:pt>
                <c:pt idx="172">
                  <c:v>58.049827119183718</c:v>
                </c:pt>
                <c:pt idx="173">
                  <c:v>57.954785398063663</c:v>
                </c:pt>
                <c:pt idx="174">
                  <c:v>57.859980229093267</c:v>
                </c:pt>
                <c:pt idx="175">
                  <c:v>57.765843873644776</c:v>
                </c:pt>
                <c:pt idx="176">
                  <c:v>57.671736902078749</c:v>
                </c:pt>
                <c:pt idx="177">
                  <c:v>57.5767654902332</c:v>
                </c:pt>
                <c:pt idx="178">
                  <c:v>57.480908814912027</c:v>
                </c:pt>
                <c:pt idx="179">
                  <c:v>57.384170644290073</c:v>
                </c:pt>
                <c:pt idx="180">
                  <c:v>57.286554550799693</c:v>
                </c:pt>
                <c:pt idx="181">
                  <c:v>57.188063903551054</c:v>
                </c:pt>
                <c:pt idx="182">
                  <c:v>57.088701865308032</c:v>
                </c:pt>
                <c:pt idx="183">
                  <c:v>56.988490907134882</c:v>
                </c:pt>
                <c:pt idx="184">
                  <c:v>56.887406280147928</c:v>
                </c:pt>
                <c:pt idx="185">
                  <c:v>56.785450194528849</c:v>
                </c:pt>
                <c:pt idx="186">
                  <c:v>56.682624670527247</c:v>
                </c:pt>
                <c:pt idx="187">
                  <c:v>56.578931541792642</c:v>
                </c:pt>
                <c:pt idx="188">
                  <c:v>56.474372460699534</c:v>
                </c:pt>
                <c:pt idx="189">
                  <c:v>56.368948904820734</c:v>
                </c:pt>
                <c:pt idx="190">
                  <c:v>56.262198955845442</c:v>
                </c:pt>
                <c:pt idx="191">
                  <c:v>56.153802883198445</c:v>
                </c:pt>
                <c:pt idx="192">
                  <c:v>56.043938546836259</c:v>
                </c:pt>
                <c:pt idx="193">
                  <c:v>55.932819754904969</c:v>
                </c:pt>
                <c:pt idx="194">
                  <c:v>55.820660114876922</c:v>
                </c:pt>
                <c:pt idx="195">
                  <c:v>55.707673041428293</c:v>
                </c:pt>
                <c:pt idx="196">
                  <c:v>55.59407176642916</c:v>
                </c:pt>
                <c:pt idx="197">
                  <c:v>55.480069957428057</c:v>
                </c:pt>
                <c:pt idx="198">
                  <c:v>55.365857940790093</c:v>
                </c:pt>
                <c:pt idx="199">
                  <c:v>55.251647986470076</c:v>
                </c:pt>
                <c:pt idx="200">
                  <c:v>55.137652244343748</c:v>
                </c:pt>
                <c:pt idx="201">
                  <c:v>55.024082749674605</c:v>
                </c:pt>
                <c:pt idx="202">
                  <c:v>54.911151428529841</c:v>
                </c:pt>
                <c:pt idx="203">
                  <c:v>54.799070102840041</c:v>
                </c:pt>
                <c:pt idx="204">
                  <c:v>54.687748322742443</c:v>
                </c:pt>
                <c:pt idx="205">
                  <c:v>54.576880468745657</c:v>
                </c:pt>
                <c:pt idx="206">
                  <c:v>54.466359001540184</c:v>
                </c:pt>
                <c:pt idx="207">
                  <c:v>54.356075995071393</c:v>
                </c:pt>
                <c:pt idx="208">
                  <c:v>54.245923622819994</c:v>
                </c:pt>
                <c:pt idx="209">
                  <c:v>54.135794158945068</c:v>
                </c:pt>
                <c:pt idx="210">
                  <c:v>54.02557997916692</c:v>
                </c:pt>
                <c:pt idx="211">
                  <c:v>53.915159001831277</c:v>
                </c:pt>
                <c:pt idx="212">
                  <c:v>53.804422966325554</c:v>
                </c:pt>
                <c:pt idx="213">
                  <c:v>53.693264384322212</c:v>
                </c:pt>
                <c:pt idx="214">
                  <c:v>53.581575883132388</c:v>
                </c:pt>
                <c:pt idx="215">
                  <c:v>53.469250204736049</c:v>
                </c:pt>
                <c:pt idx="216">
                  <c:v>53.356180203194242</c:v>
                </c:pt>
                <c:pt idx="217">
                  <c:v>53.242258844070633</c:v>
                </c:pt>
                <c:pt idx="218">
                  <c:v>53.127454850338445</c:v>
                </c:pt>
                <c:pt idx="219">
                  <c:v>53.011850404891824</c:v>
                </c:pt>
                <c:pt idx="220">
                  <c:v>52.895534917359747</c:v>
                </c:pt>
                <c:pt idx="221">
                  <c:v>52.778595739468358</c:v>
                </c:pt>
                <c:pt idx="222">
                  <c:v>52.661120219818784</c:v>
                </c:pt>
                <c:pt idx="223">
                  <c:v>52.543195702266921</c:v>
                </c:pt>
                <c:pt idx="224">
                  <c:v>52.424909524600935</c:v>
                </c:pt>
                <c:pt idx="225">
                  <c:v>52.306318664879441</c:v>
                </c:pt>
                <c:pt idx="226">
                  <c:v>52.187525481085935</c:v>
                </c:pt>
                <c:pt idx="227">
                  <c:v>52.068617199181311</c:v>
                </c:pt>
                <c:pt idx="228">
                  <c:v>51.94968104080121</c:v>
                </c:pt>
                <c:pt idx="229">
                  <c:v>51.830804221111528</c:v>
                </c:pt>
                <c:pt idx="230">
                  <c:v>51.712073947581516</c:v>
                </c:pt>
                <c:pt idx="231">
                  <c:v>51.593577418224072</c:v>
                </c:pt>
                <c:pt idx="232">
                  <c:v>51.476251784091239</c:v>
                </c:pt>
                <c:pt idx="233">
                  <c:v>51.360615143089639</c:v>
                </c:pt>
                <c:pt idx="234">
                  <c:v>51.246189534049684</c:v>
                </c:pt>
                <c:pt idx="235">
                  <c:v>51.132480742130014</c:v>
                </c:pt>
                <c:pt idx="236">
                  <c:v>51.018994885212585</c:v>
                </c:pt>
                <c:pt idx="237">
                  <c:v>50.905238417436529</c:v>
                </c:pt>
                <c:pt idx="238">
                  <c:v>50.790718123897683</c:v>
                </c:pt>
                <c:pt idx="239">
                  <c:v>50.674926147840914</c:v>
                </c:pt>
                <c:pt idx="240">
                  <c:v>50.557400871988975</c:v>
                </c:pt>
                <c:pt idx="241">
                  <c:v>50.437650092500505</c:v>
                </c:pt>
                <c:pt idx="242">
                  <c:v>50.315181919920832</c:v>
                </c:pt>
                <c:pt idx="243">
                  <c:v>50.189504779941423</c:v>
                </c:pt>
                <c:pt idx="244">
                  <c:v>50.06012740947012</c:v>
                </c:pt>
                <c:pt idx="245">
                  <c:v>49.92655885819763</c:v>
                </c:pt>
                <c:pt idx="246">
                  <c:v>49.790233041199649</c:v>
                </c:pt>
                <c:pt idx="247">
                  <c:v>49.6526937228519</c:v>
                </c:pt>
                <c:pt idx="248">
                  <c:v>49.513653066361961</c:v>
                </c:pt>
                <c:pt idx="249">
                  <c:v>49.372792058898412</c:v>
                </c:pt>
                <c:pt idx="250">
                  <c:v>49.229791889180184</c:v>
                </c:pt>
                <c:pt idx="251">
                  <c:v>49.08433394292372</c:v>
                </c:pt>
                <c:pt idx="252">
                  <c:v>48.936099807473518</c:v>
                </c:pt>
                <c:pt idx="253">
                  <c:v>48.784769392922115</c:v>
                </c:pt>
                <c:pt idx="254">
                  <c:v>48.630039669346687</c:v>
                </c:pt>
                <c:pt idx="255">
                  <c:v>48.471592792987082</c:v>
                </c:pt>
                <c:pt idx="256">
                  <c:v>48.309111109410345</c:v>
                </c:pt>
                <c:pt idx="257">
                  <c:v>48.142277148326272</c:v>
                </c:pt>
                <c:pt idx="258">
                  <c:v>47.970773629782443</c:v>
                </c:pt>
                <c:pt idx="259">
                  <c:v>47.794283453892845</c:v>
                </c:pt>
                <c:pt idx="260">
                  <c:v>47.613134482725059</c:v>
                </c:pt>
                <c:pt idx="261">
                  <c:v>47.427898745374684</c:v>
                </c:pt>
                <c:pt idx="262">
                  <c:v>47.238653514755818</c:v>
                </c:pt>
                <c:pt idx="263">
                  <c:v>47.045471687494086</c:v>
                </c:pt>
                <c:pt idx="264">
                  <c:v>46.848426126099511</c:v>
                </c:pt>
                <c:pt idx="265">
                  <c:v>46.647589628250635</c:v>
                </c:pt>
                <c:pt idx="266">
                  <c:v>46.443034970504684</c:v>
                </c:pt>
                <c:pt idx="267">
                  <c:v>46.234834167392336</c:v>
                </c:pt>
                <c:pt idx="268">
                  <c:v>46.023061781645708</c:v>
                </c:pt>
                <c:pt idx="269">
                  <c:v>45.807790486469862</c:v>
                </c:pt>
                <c:pt idx="270">
                  <c:v>45.589092911522343</c:v>
                </c:pt>
                <c:pt idx="271">
                  <c:v>45.367041640428845</c:v>
                </c:pt>
                <c:pt idx="272">
                  <c:v>45.141709214011264</c:v>
                </c:pt>
                <c:pt idx="273">
                  <c:v>44.913168124620015</c:v>
                </c:pt>
                <c:pt idx="274">
                  <c:v>44.6808179109251</c:v>
                </c:pt>
                <c:pt idx="275">
                  <c:v>44.444188571098479</c:v>
                </c:pt>
                <c:pt idx="276">
                  <c:v>44.203526162219106</c:v>
                </c:pt>
                <c:pt idx="277">
                  <c:v>43.959061173058018</c:v>
                </c:pt>
                <c:pt idx="278">
                  <c:v>43.711023907416674</c:v>
                </c:pt>
                <c:pt idx="279">
                  <c:v>43.459644487566301</c:v>
                </c:pt>
                <c:pt idx="280">
                  <c:v>43.205152848003934</c:v>
                </c:pt>
                <c:pt idx="281">
                  <c:v>42.947788424720706</c:v>
                </c:pt>
                <c:pt idx="282">
                  <c:v>42.68778137133188</c:v>
                </c:pt>
                <c:pt idx="283">
                  <c:v>42.425360923429196</c:v>
                </c:pt>
                <c:pt idx="284">
                  <c:v>42.160756113250237</c:v>
                </c:pt>
                <c:pt idx="285">
                  <c:v>41.894195771004739</c:v>
                </c:pt>
                <c:pt idx="286">
                  <c:v>41.625908525454825</c:v>
                </c:pt>
                <c:pt idx="287">
                  <c:v>41.356122803412006</c:v>
                </c:pt>
                <c:pt idx="288">
                  <c:v>41.084723878524152</c:v>
                </c:pt>
                <c:pt idx="289">
                  <c:v>40.811371558151805</c:v>
                </c:pt>
                <c:pt idx="290">
                  <c:v>40.535936992323215</c:v>
                </c:pt>
                <c:pt idx="291">
                  <c:v>40.258314899036357</c:v>
                </c:pt>
                <c:pt idx="292">
                  <c:v>39.978399992841759</c:v>
                </c:pt>
                <c:pt idx="293">
                  <c:v>39.696086986425918</c:v>
                </c:pt>
                <c:pt idx="294">
                  <c:v>39.411270591095679</c:v>
                </c:pt>
                <c:pt idx="295">
                  <c:v>39.123843780321714</c:v>
                </c:pt>
                <c:pt idx="296">
                  <c:v>38.833692208333339</c:v>
                </c:pt>
                <c:pt idx="297">
                  <c:v>38.540710735375022</c:v>
                </c:pt>
                <c:pt idx="298">
                  <c:v>38.244794307259887</c:v>
                </c:pt>
                <c:pt idx="299">
                  <c:v>37.945837891724281</c:v>
                </c:pt>
                <c:pt idx="300">
                  <c:v>37.643736476720207</c:v>
                </c:pt>
                <c:pt idx="301">
                  <c:v>37.338385075759405</c:v>
                </c:pt>
                <c:pt idx="302">
                  <c:v>37.026750102823009</c:v>
                </c:pt>
                <c:pt idx="303">
                  <c:v>36.706849239501416</c:v>
                </c:pt>
                <c:pt idx="304">
                  <c:v>36.380159928514601</c:v>
                </c:pt>
                <c:pt idx="305">
                  <c:v>36.048156221773503</c:v>
                </c:pt>
                <c:pt idx="306">
                  <c:v>35.712311438851188</c:v>
                </c:pt>
                <c:pt idx="307">
                  <c:v>35.374098179491163</c:v>
                </c:pt>
                <c:pt idx="308">
                  <c:v>35.034988329754796</c:v>
                </c:pt>
                <c:pt idx="309">
                  <c:v>34.696446080571029</c:v>
                </c:pt>
                <c:pt idx="310">
                  <c:v>34.359943636890094</c:v>
                </c:pt>
                <c:pt idx="311">
                  <c:v>34.026950904610779</c:v>
                </c:pt>
                <c:pt idx="312">
                  <c:v>33.698937104409083</c:v>
                </c:pt>
                <c:pt idx="313">
                  <c:v>33.377370770528145</c:v>
                </c:pt>
                <c:pt idx="314">
                  <c:v>33.063719760487494</c:v>
                </c:pt>
                <c:pt idx="315">
                  <c:v>32.759451252619137</c:v>
                </c:pt>
                <c:pt idx="316">
                  <c:v>32.461444969160624</c:v>
                </c:pt>
                <c:pt idx="317">
                  <c:v>32.165883480588491</c:v>
                </c:pt>
                <c:pt idx="318">
                  <c:v>31.873187399472858</c:v>
                </c:pt>
                <c:pt idx="319">
                  <c:v>31.583775084238837</c:v>
                </c:pt>
                <c:pt idx="320">
                  <c:v>31.298064730996924</c:v>
                </c:pt>
                <c:pt idx="321">
                  <c:v>31.016474382689168</c:v>
                </c:pt>
                <c:pt idx="322">
                  <c:v>30.739421918783062</c:v>
                </c:pt>
                <c:pt idx="323">
                  <c:v>30.46733416024049</c:v>
                </c:pt>
                <c:pt idx="324">
                  <c:v>30.20063481781354</c:v>
                </c:pt>
                <c:pt idx="325">
                  <c:v>29.939741027608608</c:v>
                </c:pt>
                <c:pt idx="326">
                  <c:v>29.685069830593076</c:v>
                </c:pt>
                <c:pt idx="327">
                  <c:v>29.437038089898937</c:v>
                </c:pt>
                <c:pt idx="328">
                  <c:v>29.19606249360287</c:v>
                </c:pt>
                <c:pt idx="329">
                  <c:v>28.962559580062702</c:v>
                </c:pt>
                <c:pt idx="330">
                  <c:v>28.732034719680968</c:v>
                </c:pt>
                <c:pt idx="331">
                  <c:v>28.500899415478951</c:v>
                </c:pt>
                <c:pt idx="332">
                  <c:v>28.270934642952199</c:v>
                </c:pt>
                <c:pt idx="333">
                  <c:v>28.043921924844387</c:v>
                </c:pt>
                <c:pt idx="334">
                  <c:v>27.821641962858283</c:v>
                </c:pt>
                <c:pt idx="335">
                  <c:v>27.605874618893147</c:v>
                </c:pt>
                <c:pt idx="336">
                  <c:v>27.398398912881159</c:v>
                </c:pt>
                <c:pt idx="337">
                  <c:v>27.200990080980496</c:v>
                </c:pt>
                <c:pt idx="338">
                  <c:v>27.015417038493641</c:v>
                </c:pt>
                <c:pt idx="339">
                  <c:v>26.843456361357994</c:v>
                </c:pt>
                <c:pt idx="340">
                  <c:v>26.686883722027442</c:v>
                </c:pt>
                <c:pt idx="341">
                  <c:v>26.547473914209402</c:v>
                </c:pt>
                <c:pt idx="342">
                  <c:v>26.427000839981414</c:v>
                </c:pt>
                <c:pt idx="343">
                  <c:v>26.3272374854579</c:v>
                </c:pt>
                <c:pt idx="344">
                  <c:v>26.246595228627243</c:v>
                </c:pt>
                <c:pt idx="345">
                  <c:v>26.181965258963334</c:v>
                </c:pt>
                <c:pt idx="346">
                  <c:v>26.132847280330751</c:v>
                </c:pt>
                <c:pt idx="347">
                  <c:v>26.098733708295875</c:v>
                </c:pt>
                <c:pt idx="348">
                  <c:v>26.079117209847418</c:v>
                </c:pt>
                <c:pt idx="349">
                  <c:v>26.073490697323656</c:v>
                </c:pt>
                <c:pt idx="350">
                  <c:v>26.081347341660511</c:v>
                </c:pt>
                <c:pt idx="351">
                  <c:v>26.102183477582692</c:v>
                </c:pt>
                <c:pt idx="352">
                  <c:v>26.135495588247519</c:v>
                </c:pt>
                <c:pt idx="353">
                  <c:v>26.180777573854691</c:v>
                </c:pt>
                <c:pt idx="354">
                  <c:v>26.237523597291439</c:v>
                </c:pt>
                <c:pt idx="355">
                  <c:v>26.305228075127932</c:v>
                </c:pt>
                <c:pt idx="356">
                  <c:v>26.383385752612401</c:v>
                </c:pt>
                <c:pt idx="357">
                  <c:v>26.471491479483131</c:v>
                </c:pt>
                <c:pt idx="358">
                  <c:v>26.573838483385828</c:v>
                </c:pt>
                <c:pt idx="359">
                  <c:v>26.694039316519028</c:v>
                </c:pt>
                <c:pt idx="360">
                  <c:v>26.83056586988587</c:v>
                </c:pt>
                <c:pt idx="361">
                  <c:v>26.981890724098395</c:v>
                </c:pt>
                <c:pt idx="362">
                  <c:v>27.146490108124055</c:v>
                </c:pt>
                <c:pt idx="363">
                  <c:v>27.322841019847463</c:v>
                </c:pt>
                <c:pt idx="364">
                  <c:v>27.509421218396398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182" formatCode="0.00">
                  <c:v>5.8369999999999997</c:v>
                </c:pt>
                <c:pt idx="183" formatCode="0.00">
                  <c:v>48.012999999999998</c:v>
                </c:pt>
                <c:pt idx="184" formatCode="0.00">
                  <c:v>46.865000000000002</c:v>
                </c:pt>
                <c:pt idx="185" formatCode="0.00">
                  <c:v>40.027000000000001</c:v>
                </c:pt>
                <c:pt idx="186" formatCode="0.00">
                  <c:v>42.344999999999999</c:v>
                </c:pt>
                <c:pt idx="187" formatCode="0.00">
                  <c:v>56.539000000000001</c:v>
                </c:pt>
                <c:pt idx="188" formatCode="0.00">
                  <c:v>56.567999999999998</c:v>
                </c:pt>
                <c:pt idx="189" formatCode="0.00">
                  <c:v>55.289000000000001</c:v>
                </c:pt>
                <c:pt idx="190" formatCode="0.00">
                  <c:v>56.649000000000001</c:v>
                </c:pt>
                <c:pt idx="191" formatCode="0.00">
                  <c:v>55.442</c:v>
                </c:pt>
                <c:pt idx="192" formatCode="0.00">
                  <c:v>45.756</c:v>
                </c:pt>
                <c:pt idx="193" formatCode="0.00">
                  <c:v>53.93</c:v>
                </c:pt>
                <c:pt idx="194" formatCode="0.00">
                  <c:v>51.232999999999997</c:v>
                </c:pt>
                <c:pt idx="195" formatCode="0.00">
                  <c:v>54.439</c:v>
                </c:pt>
                <c:pt idx="196" formatCode="0.00">
                  <c:v>24.225000000000001</c:v>
                </c:pt>
                <c:pt idx="197" formatCode="0.00">
                  <c:v>46.722000000000001</c:v>
                </c:pt>
                <c:pt idx="198" formatCode="0.00">
                  <c:v>43.283999999999999</c:v>
                </c:pt>
                <c:pt idx="199" formatCode="0.00">
                  <c:v>54.176000000000002</c:v>
                </c:pt>
                <c:pt idx="200" formatCode="0.00">
                  <c:v>23.681999999999999</c:v>
                </c:pt>
                <c:pt idx="201" formatCode="0.00">
                  <c:v>30.847000000000001</c:v>
                </c:pt>
                <c:pt idx="202" formatCode="0.00">
                  <c:v>51.277999999999999</c:v>
                </c:pt>
                <c:pt idx="203" formatCode="0.00">
                  <c:v>55.73</c:v>
                </c:pt>
                <c:pt idx="204" formatCode="0.00">
                  <c:v>46.265999999999998</c:v>
                </c:pt>
                <c:pt idx="205" formatCode="0.00">
                  <c:v>53.968000000000004</c:v>
                </c:pt>
                <c:pt idx="206" formatCode="0.00">
                  <c:v>53.863</c:v>
                </c:pt>
                <c:pt idx="207" formatCode="0.00">
                  <c:v>49.65</c:v>
                </c:pt>
                <c:pt idx="208" formatCode="0.00">
                  <c:v>24.204999999999998</c:v>
                </c:pt>
                <c:pt idx="209" formatCode="0.00">
                  <c:v>53.170999999999999</c:v>
                </c:pt>
                <c:pt idx="210" formatCode="0.00">
                  <c:v>52.948</c:v>
                </c:pt>
                <c:pt idx="211" formatCode="0.00">
                  <c:v>49.58</c:v>
                </c:pt>
                <c:pt idx="212" formatCode="0.00">
                  <c:v>51.976999999999997</c:v>
                </c:pt>
                <c:pt idx="213" formatCode="0.00">
                  <c:v>52.179000000000002</c:v>
                </c:pt>
                <c:pt idx="214" formatCode="0.00">
                  <c:v>52.386000000000003</c:v>
                </c:pt>
                <c:pt idx="215" formatCode="0.00">
                  <c:v>50.515000000000001</c:v>
                </c:pt>
                <c:pt idx="216" formatCode="0.00">
                  <c:v>51.131999999999998</c:v>
                </c:pt>
                <c:pt idx="217" formatCode="0.00">
                  <c:v>51.597999999999999</c:v>
                </c:pt>
                <c:pt idx="218" formatCode="0.00">
                  <c:v>30.280999999999999</c:v>
                </c:pt>
                <c:pt idx="219" formatCode="0.00">
                  <c:v>45.744</c:v>
                </c:pt>
                <c:pt idx="220" formatCode="0.00">
                  <c:v>14.711</c:v>
                </c:pt>
                <c:pt idx="221" formatCode="0.00">
                  <c:v>48.536000000000001</c:v>
                </c:pt>
                <c:pt idx="222" formatCode="0.00">
                  <c:v>52.222000000000001</c:v>
                </c:pt>
                <c:pt idx="223" formatCode="0.00">
                  <c:v>50.585000000000001</c:v>
                </c:pt>
                <c:pt idx="224" formatCode="0.00">
                  <c:v>27.457999999999998</c:v>
                </c:pt>
                <c:pt idx="225" formatCode="0.00">
                  <c:v>36.409999999999997</c:v>
                </c:pt>
                <c:pt idx="226" formatCode="0.00">
                  <c:v>53.106999999999999</c:v>
                </c:pt>
                <c:pt idx="227" formatCode="0.00">
                  <c:v>50.119</c:v>
                </c:pt>
                <c:pt idx="228" formatCode="0.00">
                  <c:v>37.314999999999998</c:v>
                </c:pt>
                <c:pt idx="229" formatCode="0.00">
                  <c:v>30.876000000000001</c:v>
                </c:pt>
                <c:pt idx="230" formatCode="0.00">
                  <c:v>49.295999999999999</c:v>
                </c:pt>
                <c:pt idx="231" formatCode="0.00">
                  <c:v>50.850999999999999</c:v>
                </c:pt>
                <c:pt idx="232" formatCode="0.00">
                  <c:v>50.353000000000002</c:v>
                </c:pt>
                <c:pt idx="233" formatCode="0.00">
                  <c:v>49.588999999999999</c:v>
                </c:pt>
                <c:pt idx="234" formatCode="0.00">
                  <c:v>24.058</c:v>
                </c:pt>
                <c:pt idx="235" formatCode="0.00">
                  <c:v>15.885</c:v>
                </c:pt>
                <c:pt idx="236" formatCode="0.00">
                  <c:v>23.423999999999999</c:v>
                </c:pt>
                <c:pt idx="237" formatCode="0.00">
                  <c:v>52.866999999999997</c:v>
                </c:pt>
                <c:pt idx="238" formatCode="0.00">
                  <c:v>50.658999999999999</c:v>
                </c:pt>
                <c:pt idx="239" formatCode="0.00">
                  <c:v>42.625999999999998</c:v>
                </c:pt>
                <c:pt idx="240" formatCode="0.00">
                  <c:v>31.614999999999998</c:v>
                </c:pt>
                <c:pt idx="241" formatCode="0.00">
                  <c:v>46.749000000000002</c:v>
                </c:pt>
                <c:pt idx="242" formatCode="0.00">
                  <c:v>46.843000000000004</c:v>
                </c:pt>
                <c:pt idx="243" formatCode="0.00">
                  <c:v>51.292999999999999</c:v>
                </c:pt>
                <c:pt idx="244" formatCode="0.00">
                  <c:v>49.728999999999999</c:v>
                </c:pt>
                <c:pt idx="245" formatCode="0.00">
                  <c:v>50.831000000000003</c:v>
                </c:pt>
                <c:pt idx="246" formatCode="0.00">
                  <c:v>46.945</c:v>
                </c:pt>
                <c:pt idx="247" formatCode="0.00">
                  <c:v>43.360999999999997</c:v>
                </c:pt>
                <c:pt idx="248" formatCode="0.00">
                  <c:v>31.773</c:v>
                </c:pt>
                <c:pt idx="249" formatCode="0.00">
                  <c:v>32.715000000000003</c:v>
                </c:pt>
                <c:pt idx="250" formatCode="0.00">
                  <c:v>48.423000000000002</c:v>
                </c:pt>
                <c:pt idx="251" formatCode="0.00">
                  <c:v>30.873000000000001</c:v>
                </c:pt>
                <c:pt idx="252" formatCode="0.00">
                  <c:v>37.555</c:v>
                </c:pt>
                <c:pt idx="253" formatCode="0.00">
                  <c:v>47.23</c:v>
                </c:pt>
                <c:pt idx="254" formatCode="0.00">
                  <c:v>31.661000000000001</c:v>
                </c:pt>
                <c:pt idx="255" formatCode="0.00">
                  <c:v>26.545000000000002</c:v>
                </c:pt>
                <c:pt idx="256" formatCode="0.00">
                  <c:v>28.488</c:v>
                </c:pt>
                <c:pt idx="257" formatCode="0.00">
                  <c:v>39.847000000000001</c:v>
                </c:pt>
                <c:pt idx="258" formatCode="0.00">
                  <c:v>46.442</c:v>
                </c:pt>
                <c:pt idx="259" formatCode="0.00">
                  <c:v>44.305</c:v>
                </c:pt>
                <c:pt idx="260" formatCode="0.00">
                  <c:v>40.895000000000003</c:v>
                </c:pt>
                <c:pt idx="261" formatCode="0.00">
                  <c:v>36.292999999999999</c:v>
                </c:pt>
                <c:pt idx="262" formatCode="0.00">
                  <c:v>45.975999999999999</c:v>
                </c:pt>
                <c:pt idx="263" formatCode="0.00">
                  <c:v>33.662999999999997</c:v>
                </c:pt>
                <c:pt idx="264" formatCode="0.00">
                  <c:v>44.999000000000002</c:v>
                </c:pt>
                <c:pt idx="265" formatCode="0.00">
                  <c:v>45.396999999999998</c:v>
                </c:pt>
                <c:pt idx="266" formatCode="0.00">
                  <c:v>33.628</c:v>
                </c:pt>
                <c:pt idx="267" formatCode="0.00">
                  <c:v>48.006</c:v>
                </c:pt>
                <c:pt idx="268" formatCode="0.00">
                  <c:v>47.082000000000001</c:v>
                </c:pt>
                <c:pt idx="269" formatCode="0.00">
                  <c:v>46.103000000000002</c:v>
                </c:pt>
                <c:pt idx="270" formatCode="0.00">
                  <c:v>43.301000000000002</c:v>
                </c:pt>
                <c:pt idx="271" formatCode="0.00">
                  <c:v>44.597999999999999</c:v>
                </c:pt>
                <c:pt idx="272" formatCode="0.00">
                  <c:v>40.588999999999999</c:v>
                </c:pt>
                <c:pt idx="273" formatCode="0.00">
                  <c:v>30.856999999999999</c:v>
                </c:pt>
                <c:pt idx="274" formatCode="0.00">
                  <c:v>46.716000000000001</c:v>
                </c:pt>
                <c:pt idx="275" formatCode="0.00">
                  <c:v>42.497999999999998</c:v>
                </c:pt>
                <c:pt idx="276" formatCode="0.00">
                  <c:v>43.954999999999998</c:v>
                </c:pt>
                <c:pt idx="277" formatCode="0.00">
                  <c:v>43.790999999999997</c:v>
                </c:pt>
                <c:pt idx="278" formatCode="0.00">
                  <c:v>41.433</c:v>
                </c:pt>
                <c:pt idx="279" formatCode="0.00">
                  <c:v>10.583</c:v>
                </c:pt>
                <c:pt idx="280" formatCode="0.00">
                  <c:v>13.284000000000001</c:v>
                </c:pt>
                <c:pt idx="281" formatCode="0.00">
                  <c:v>35.954000000000001</c:v>
                </c:pt>
                <c:pt idx="282" formatCode="0.00">
                  <c:v>23.152999999999999</c:v>
                </c:pt>
                <c:pt idx="283" formatCode="0.00">
                  <c:v>31.094999999999999</c:v>
                </c:pt>
                <c:pt idx="284" formatCode="0.00">
                  <c:v>39.625999999999998</c:v>
                </c:pt>
                <c:pt idx="285" formatCode="0.00">
                  <c:v>31.007999999999999</c:v>
                </c:pt>
                <c:pt idx="286" formatCode="0.00">
                  <c:v>34.676000000000002</c:v>
                </c:pt>
                <c:pt idx="287" formatCode="0.00">
                  <c:v>11.744999999999999</c:v>
                </c:pt>
                <c:pt idx="288" formatCode="0.00">
                  <c:v>25.49</c:v>
                </c:pt>
                <c:pt idx="289" formatCode="0.00">
                  <c:v>22.975000000000001</c:v>
                </c:pt>
                <c:pt idx="290" formatCode="0.00">
                  <c:v>10.602</c:v>
                </c:pt>
                <c:pt idx="291" formatCode="0.00">
                  <c:v>24.963999999999999</c:v>
                </c:pt>
                <c:pt idx="292" formatCode="0.00">
                  <c:v>9.7059999999999995</c:v>
                </c:pt>
                <c:pt idx="293" formatCode="0.00">
                  <c:v>18.215</c:v>
                </c:pt>
                <c:pt idx="294" formatCode="0.00">
                  <c:v>23.86</c:v>
                </c:pt>
                <c:pt idx="295" formatCode="0.00">
                  <c:v>38.948</c:v>
                </c:pt>
                <c:pt idx="296" formatCode="0.00">
                  <c:v>35.939</c:v>
                </c:pt>
                <c:pt idx="297" formatCode="0.00">
                  <c:v>38.493000000000002</c:v>
                </c:pt>
                <c:pt idx="298" formatCode="0.00">
                  <c:v>4.4669999999999996</c:v>
                </c:pt>
                <c:pt idx="299" formatCode="0.00">
                  <c:v>8.51</c:v>
                </c:pt>
                <c:pt idx="300" formatCode="0.00">
                  <c:v>3.6749999999999998</c:v>
                </c:pt>
                <c:pt idx="301" formatCode="0.00">
                  <c:v>4.617</c:v>
                </c:pt>
                <c:pt idx="302" formatCode="0.00">
                  <c:v>34.393999999999998</c:v>
                </c:pt>
                <c:pt idx="303" formatCode="0.00">
                  <c:v>7.6029999999999998</c:v>
                </c:pt>
                <c:pt idx="304" formatCode="0.00">
                  <c:v>24.800999999999998</c:v>
                </c:pt>
                <c:pt idx="305" formatCode="0.00">
                  <c:v>7.2080000000000002</c:v>
                </c:pt>
                <c:pt idx="306" formatCode="0.00">
                  <c:v>30.452999999999999</c:v>
                </c:pt>
                <c:pt idx="307" formatCode="0.00">
                  <c:v>29.116</c:v>
                </c:pt>
                <c:pt idx="308" formatCode="0.00">
                  <c:v>12.119</c:v>
                </c:pt>
                <c:pt idx="309" formatCode="0.00">
                  <c:v>21.164000000000001</c:v>
                </c:pt>
                <c:pt idx="310" formatCode="0.00">
                  <c:v>10.244</c:v>
                </c:pt>
                <c:pt idx="311" formatCode="0.00">
                  <c:v>17.484999999999999</c:v>
                </c:pt>
                <c:pt idx="312" formatCode="0.00">
                  <c:v>5.2430000000000003</c:v>
                </c:pt>
                <c:pt idx="313" formatCode="0.00">
                  <c:v>21.134</c:v>
                </c:pt>
                <c:pt idx="314" formatCode="0.00">
                  <c:v>28.439</c:v>
                </c:pt>
                <c:pt idx="315" formatCode="0.00">
                  <c:v>27.134</c:v>
                </c:pt>
                <c:pt idx="316" formatCode="0.00">
                  <c:v>8.4469999999999992</c:v>
                </c:pt>
                <c:pt idx="317" formatCode="0.00">
                  <c:v>18.725000000000001</c:v>
                </c:pt>
                <c:pt idx="318" formatCode="0.00">
                  <c:v>21.306000000000001</c:v>
                </c:pt>
                <c:pt idx="319" formatCode="0.00">
                  <c:v>25.712</c:v>
                </c:pt>
                <c:pt idx="320" formatCode="0.00">
                  <c:v>30.687000000000001</c:v>
                </c:pt>
                <c:pt idx="321" formatCode="0.00">
                  <c:v>22.553000000000001</c:v>
                </c:pt>
                <c:pt idx="322" formatCode="0.00">
                  <c:v>22.507000000000001</c:v>
                </c:pt>
                <c:pt idx="323" formatCode="0.00">
                  <c:v>10.316000000000001</c:v>
                </c:pt>
                <c:pt idx="324" formatCode="0.00">
                  <c:v>30.09</c:v>
                </c:pt>
                <c:pt idx="325" formatCode="0.00">
                  <c:v>22.675000000000001</c:v>
                </c:pt>
                <c:pt idx="326" formatCode="0.00">
                  <c:v>12.962</c:v>
                </c:pt>
                <c:pt idx="327" formatCode="0.00">
                  <c:v>22.835999999999999</c:v>
                </c:pt>
                <c:pt idx="328" formatCode="0.00">
                  <c:v>11.73</c:v>
                </c:pt>
                <c:pt idx="329" formatCode="0.00">
                  <c:v>4.3040000000000003</c:v>
                </c:pt>
                <c:pt idx="330" formatCode="0.00">
                  <c:v>26.93</c:v>
                </c:pt>
                <c:pt idx="331" formatCode="0.00">
                  <c:v>19.803999999999998</c:v>
                </c:pt>
                <c:pt idx="332" formatCode="0.00">
                  <c:v>28.76</c:v>
                </c:pt>
                <c:pt idx="333" formatCode="0.00">
                  <c:v>10.721</c:v>
                </c:pt>
                <c:pt idx="334" formatCode="0.00">
                  <c:v>19.683</c:v>
                </c:pt>
                <c:pt idx="335" formatCode="0.00">
                  <c:v>7.6029999999999998</c:v>
                </c:pt>
                <c:pt idx="336" formatCode="0.00">
                  <c:v>9.9179999999999993</c:v>
                </c:pt>
                <c:pt idx="337" formatCode="0.00">
                  <c:v>5.9429999999999996</c:v>
                </c:pt>
                <c:pt idx="338" formatCode="0.00">
                  <c:v>21.015000000000001</c:v>
                </c:pt>
                <c:pt idx="339" formatCode="0.00">
                  <c:v>10.673999999999999</c:v>
                </c:pt>
                <c:pt idx="340" formatCode="0.00">
                  <c:v>22.962</c:v>
                </c:pt>
                <c:pt idx="341" formatCode="0.00">
                  <c:v>17.545000000000002</c:v>
                </c:pt>
                <c:pt idx="342" formatCode="0.00">
                  <c:v>4.5650000000000004</c:v>
                </c:pt>
                <c:pt idx="343" formatCode="0.00">
                  <c:v>15.03</c:v>
                </c:pt>
                <c:pt idx="344" formatCode="0.00">
                  <c:v>22.369</c:v>
                </c:pt>
                <c:pt idx="345" formatCode="0.00">
                  <c:v>3.3620000000000001</c:v>
                </c:pt>
                <c:pt idx="346" formatCode="0.00">
                  <c:v>1.8149999999999999</c:v>
                </c:pt>
                <c:pt idx="347" formatCode="0.00">
                  <c:v>1.6919999999999999</c:v>
                </c:pt>
                <c:pt idx="348" formatCode="0.00">
                  <c:v>6.3929999999999998</c:v>
                </c:pt>
                <c:pt idx="349" formatCode="0.00">
                  <c:v>3.819</c:v>
                </c:pt>
                <c:pt idx="350" formatCode="0.00">
                  <c:v>20.666</c:v>
                </c:pt>
                <c:pt idx="351" formatCode="0.00">
                  <c:v>13.035</c:v>
                </c:pt>
                <c:pt idx="352" formatCode="0.00">
                  <c:v>24.201000000000001</c:v>
                </c:pt>
                <c:pt idx="353" formatCode="0.00">
                  <c:v>15.422000000000001</c:v>
                </c:pt>
                <c:pt idx="354" formatCode="0.00">
                  <c:v>8.6959999999999997</c:v>
                </c:pt>
                <c:pt idx="355" formatCode="0.00">
                  <c:v>6.9550000000000001</c:v>
                </c:pt>
                <c:pt idx="356" formatCode="0.00">
                  <c:v>4.7510000000000003</c:v>
                </c:pt>
                <c:pt idx="357" formatCode="0.00">
                  <c:v>4.4889999999999999</c:v>
                </c:pt>
                <c:pt idx="358" formatCode="0.00">
                  <c:v>13.209</c:v>
                </c:pt>
                <c:pt idx="359" formatCode="0.00">
                  <c:v>25.539000000000001</c:v>
                </c:pt>
                <c:pt idx="360" formatCode="0.00">
                  <c:v>26.783000000000001</c:v>
                </c:pt>
                <c:pt idx="361" formatCode="0.00">
                  <c:v>3.0419999999999998</c:v>
                </c:pt>
                <c:pt idx="362" formatCode="0.00">
                  <c:v>3.3839999999999999</c:v>
                </c:pt>
                <c:pt idx="363" formatCode="0.00">
                  <c:v>3.3420000000000001</c:v>
                </c:pt>
                <c:pt idx="364" formatCode="0.00">
                  <c:v>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96384"/>
        <c:axId val="640296776"/>
      </c:lineChart>
      <c:dateAx>
        <c:axId val="640296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6776"/>
        <c:crosses val="autoZero"/>
        <c:auto val="1"/>
        <c:lblOffset val="100"/>
        <c:baseTimeUnit val="days"/>
        <c:majorUnit val="1"/>
        <c:majorTimeUnit val="months"/>
      </c:dateAx>
      <c:valAx>
        <c:axId val="6402967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63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2.1902566432308035E-5</c:v>
                </c:pt>
                <c:pt idx="144">
                  <c:v>4.3804653142243133E-5</c:v>
                </c:pt>
                <c:pt idx="145">
                  <c:v>6.570626014024139E-5</c:v>
                </c:pt>
                <c:pt idx="146">
                  <c:v>8.7607387436960948E-5</c:v>
                </c:pt>
                <c:pt idx="147">
                  <c:v>1.0950803504261586E-4</c:v>
                </c:pt>
                <c:pt idx="148">
                  <c:v>1.3140820296797528E-4</c:v>
                </c:pt>
                <c:pt idx="149">
                  <c:v>1.5330789122347532E-4</c:v>
                </c:pt>
                <c:pt idx="150">
                  <c:v>1.7520709981955207E-4</c:v>
                </c:pt>
                <c:pt idx="151">
                  <c:v>1.9710582876675264E-4</c:v>
                </c:pt>
                <c:pt idx="152">
                  <c:v>2.1900407807551314E-4</c:v>
                </c:pt>
                <c:pt idx="153">
                  <c:v>2.409018477564917E-4</c:v>
                </c:pt>
                <c:pt idx="154">
                  <c:v>2.6279913782012443E-4</c:v>
                </c:pt>
                <c:pt idx="155">
                  <c:v>2.8469594827695843E-4</c:v>
                </c:pt>
                <c:pt idx="156">
                  <c:v>3.0659227913731879E-4</c:v>
                </c:pt>
                <c:pt idx="157">
                  <c:v>3.2848813041197467E-4</c:v>
                </c:pt>
                <c:pt idx="158">
                  <c:v>3.5038350211114011E-4</c:v>
                </c:pt>
                <c:pt idx="159">
                  <c:v>3.7227839424558429E-4</c:v>
                </c:pt>
                <c:pt idx="160">
                  <c:v>3.9417280682563227E-4</c:v>
                </c:pt>
                <c:pt idx="161">
                  <c:v>4.160667398619422E-4</c:v>
                </c:pt>
                <c:pt idx="162">
                  <c:v>4.3796019336483916E-4</c:v>
                </c:pt>
                <c:pt idx="163">
                  <c:v>4.5985316734498127E-4</c:v>
                </c:pt>
                <c:pt idx="164">
                  <c:v>4.8174566181280465E-4</c:v>
                </c:pt>
                <c:pt idx="165">
                  <c:v>5.0363767677874538E-4</c:v>
                </c:pt>
                <c:pt idx="166">
                  <c:v>5.2552921225346161E-4</c:v>
                </c:pt>
                <c:pt idx="167">
                  <c:v>5.4742026824727841E-4</c:v>
                </c:pt>
                <c:pt idx="168">
                  <c:v>5.6931084477085392E-4</c:v>
                </c:pt>
                <c:pt idx="169">
                  <c:v>5.9120094183462424E-4</c:v>
                </c:pt>
                <c:pt idx="170">
                  <c:v>6.1309055944902546E-4</c:v>
                </c:pt>
                <c:pt idx="171">
                  <c:v>6.3497969762471573E-4</c:v>
                </c:pt>
                <c:pt idx="172">
                  <c:v>6.5686835637202012E-4</c:v>
                </c:pt>
                <c:pt idx="173">
                  <c:v>6.7875653570159677E-4</c:v>
                </c:pt>
                <c:pt idx="174">
                  <c:v>7.0064423562377076E-4</c:v>
                </c:pt>
                <c:pt idx="175">
                  <c:v>7.2253145614920022E-4</c:v>
                </c:pt>
                <c:pt idx="176">
                  <c:v>7.4441819728832126E-4</c:v>
                </c:pt>
                <c:pt idx="177">
                  <c:v>7.6630445905168099E-4</c:v>
                </c:pt>
                <c:pt idx="178">
                  <c:v>7.881902414497155E-4</c:v>
                </c:pt>
                <c:pt idx="179">
                  <c:v>8.100755444928609E-4</c:v>
                </c:pt>
                <c:pt idx="180">
                  <c:v>8.3196036819188635E-4</c:v>
                </c:pt>
                <c:pt idx="181">
                  <c:v>8.5384471255689487E-4</c:v>
                </c:pt>
                <c:pt idx="182">
                  <c:v>8.7572857759876666E-4</c:v>
                </c:pt>
                <c:pt idx="183">
                  <c:v>8.9761196332771576E-4</c:v>
                </c:pt>
                <c:pt idx="184">
                  <c:v>9.1949486975440031E-4</c:v>
                </c:pt>
                <c:pt idx="185">
                  <c:v>9.4137729688936744E-4</c:v>
                </c:pt>
                <c:pt idx="186">
                  <c:v>9.632592447428312E-4</c:v>
                </c:pt>
                <c:pt idx="187">
                  <c:v>9.8514071332567177E-4</c:v>
                </c:pt>
                <c:pt idx="188">
                  <c:v>1.0070217026481032E-3</c:v>
                </c:pt>
                <c:pt idx="189">
                  <c:v>1.0289022127206726E-3</c:v>
                </c:pt>
                <c:pt idx="190">
                  <c:v>1.0507822435539271E-3</c:v>
                </c:pt>
                <c:pt idx="191">
                  <c:v>1.0726617951584139E-3</c:v>
                </c:pt>
                <c:pt idx="192">
                  <c:v>1.0945408675444579E-3</c:v>
                </c:pt>
                <c:pt idx="193">
                  <c:v>1.1164194607228284E-3</c:v>
                </c:pt>
                <c:pt idx="194">
                  <c:v>1.1382975747037394E-3</c:v>
                </c:pt>
                <c:pt idx="195">
                  <c:v>1.160175209497849E-3</c:v>
                </c:pt>
                <c:pt idx="196">
                  <c:v>1.1820523651155934E-3</c:v>
                </c:pt>
                <c:pt idx="197">
                  <c:v>1.2039290415675197E-3</c:v>
                </c:pt>
                <c:pt idx="198">
                  <c:v>1.2258052388639529E-3</c:v>
                </c:pt>
                <c:pt idx="199">
                  <c:v>1.2476809570156622E-3</c:v>
                </c:pt>
                <c:pt idx="200">
                  <c:v>1.2695561960329727E-3</c:v>
                </c:pt>
                <c:pt idx="201">
                  <c:v>1.2914309559264314E-3</c:v>
                </c:pt>
                <c:pt idx="202">
                  <c:v>1.3133052367064746E-3</c:v>
                </c:pt>
                <c:pt idx="203">
                  <c:v>1.3351790383835382E-3</c:v>
                </c:pt>
                <c:pt idx="204">
                  <c:v>1.3570523609683915E-3</c:v>
                </c:pt>
                <c:pt idx="205">
                  <c:v>1.3789252044712486E-3</c:v>
                </c:pt>
                <c:pt idx="206">
                  <c:v>1.4007975689026564E-3</c:v>
                </c:pt>
                <c:pt idx="207">
                  <c:v>1.4226694542731622E-3</c:v>
                </c:pt>
                <c:pt idx="208">
                  <c:v>1.444540860593313E-3</c:v>
                </c:pt>
                <c:pt idx="209">
                  <c:v>1.466411787873434E-3</c:v>
                </c:pt>
                <c:pt idx="210">
                  <c:v>1.4882822361241832E-3</c:v>
                </c:pt>
                <c:pt idx="211">
                  <c:v>1.5101522053559968E-3</c:v>
                </c:pt>
                <c:pt idx="212">
                  <c:v>1.5320216955794219E-3</c:v>
                </c:pt>
                <c:pt idx="213">
                  <c:v>1.5538907068047836E-3</c:v>
                </c:pt>
                <c:pt idx="214">
                  <c:v>1.5757592390426289E-3</c:v>
                </c:pt>
                <c:pt idx="215">
                  <c:v>1.5976272923036161E-3</c:v>
                </c:pt>
                <c:pt idx="216">
                  <c:v>1.6194948665980702E-3</c:v>
                </c:pt>
                <c:pt idx="217">
                  <c:v>1.6413619619365383E-3</c:v>
                </c:pt>
                <c:pt idx="218">
                  <c:v>1.6632285783294565E-3</c:v>
                </c:pt>
                <c:pt idx="219">
                  <c:v>1.6850947157873719E-3</c:v>
                </c:pt>
                <c:pt idx="220">
                  <c:v>1.7069603743207207E-3</c:v>
                </c:pt>
                <c:pt idx="221">
                  <c:v>1.7288255539400499E-3</c:v>
                </c:pt>
                <c:pt idx="222">
                  <c:v>1.7506902546559067E-3</c:v>
                </c:pt>
                <c:pt idx="223">
                  <c:v>1.7725544764786161E-3</c:v>
                </c:pt>
                <c:pt idx="224">
                  <c:v>1.7944182194188363E-3</c:v>
                </c:pt>
                <c:pt idx="225">
                  <c:v>1.8162814834868923E-3</c:v>
                </c:pt>
                <c:pt idx="226">
                  <c:v>1.8381442686933314E-3</c:v>
                </c:pt>
                <c:pt idx="227">
                  <c:v>1.8600065750488115E-3</c:v>
                </c:pt>
                <c:pt idx="228">
                  <c:v>1.8818684025635468E-3</c:v>
                </c:pt>
                <c:pt idx="229">
                  <c:v>1.9037297512481954E-3</c:v>
                </c:pt>
                <c:pt idx="230">
                  <c:v>1.9255906211131935E-3</c:v>
                </c:pt>
                <c:pt idx="231">
                  <c:v>1.947451012168977E-3</c:v>
                </c:pt>
                <c:pt idx="232">
                  <c:v>1.9693109244262041E-3</c:v>
                </c:pt>
                <c:pt idx="233">
                  <c:v>1.9911703578952E-3</c:v>
                </c:pt>
                <c:pt idx="234">
                  <c:v>2.0130293125865117E-3</c:v>
                </c:pt>
                <c:pt idx="235">
                  <c:v>2.0348877885105754E-3</c:v>
                </c:pt>
                <c:pt idx="236">
                  <c:v>2.0567457856779381E-3</c:v>
                </c:pt>
                <c:pt idx="237">
                  <c:v>2.078603304099147E-3</c:v>
                </c:pt>
                <c:pt idx="238">
                  <c:v>2.1004603437845271E-3</c:v>
                </c:pt>
                <c:pt idx="239">
                  <c:v>2.1223169047446255E-3</c:v>
                </c:pt>
                <c:pt idx="240">
                  <c:v>2.1441729869899895E-3</c:v>
                </c:pt>
                <c:pt idx="241">
                  <c:v>2.166028590531055E-3</c:v>
                </c:pt>
                <c:pt idx="242">
                  <c:v>2.1878837153782582E-3</c:v>
                </c:pt>
                <c:pt idx="243">
                  <c:v>2.2097383615422572E-3</c:v>
                </c:pt>
                <c:pt idx="244">
                  <c:v>2.2315925290332661E-3</c:v>
                </c:pt>
                <c:pt idx="245">
                  <c:v>2.253446217862054E-3</c:v>
                </c:pt>
                <c:pt idx="246">
                  <c:v>2.275299428038835E-3</c:v>
                </c:pt>
                <c:pt idx="247">
                  <c:v>2.2971521595743782E-3</c:v>
                </c:pt>
                <c:pt idx="248">
                  <c:v>2.3190044124788978E-3</c:v>
                </c:pt>
                <c:pt idx="249">
                  <c:v>2.3408561867630517E-3</c:v>
                </c:pt>
                <c:pt idx="250">
                  <c:v>2.3627074824372762E-3</c:v>
                </c:pt>
                <c:pt idx="251">
                  <c:v>2.3845582995120074E-3</c:v>
                </c:pt>
                <c:pt idx="252">
                  <c:v>2.4064086379977923E-3</c:v>
                </c:pt>
                <c:pt idx="253">
                  <c:v>2.428258497905067E-3</c:v>
                </c:pt>
                <c:pt idx="254">
                  <c:v>2.4501078792443787E-3</c:v>
                </c:pt>
                <c:pt idx="255">
                  <c:v>2.4719567820261634E-3</c:v>
                </c:pt>
                <c:pt idx="256">
                  <c:v>2.4938052062608573E-3</c:v>
                </c:pt>
                <c:pt idx="257">
                  <c:v>2.5156531519590075E-3</c:v>
                </c:pt>
                <c:pt idx="258">
                  <c:v>2.5375006191310501E-3</c:v>
                </c:pt>
                <c:pt idx="259">
                  <c:v>2.5593476077875321E-3</c:v>
                </c:pt>
                <c:pt idx="260">
                  <c:v>2.5811941179388898E-3</c:v>
                </c:pt>
                <c:pt idx="261">
                  <c:v>2.6030401495955591E-3</c:v>
                </c:pt>
                <c:pt idx="262">
                  <c:v>2.6248857027680872E-3</c:v>
                </c:pt>
                <c:pt idx="263">
                  <c:v>2.6467307774669102E-3</c:v>
                </c:pt>
                <c:pt idx="264">
                  <c:v>2.6685753737025752E-3</c:v>
                </c:pt>
                <c:pt idx="265">
                  <c:v>2.6904194914855184E-3</c:v>
                </c:pt>
                <c:pt idx="266">
                  <c:v>2.7122631308262868E-3</c:v>
                </c:pt>
                <c:pt idx="267">
                  <c:v>2.7341062917352055E-3</c:v>
                </c:pt>
                <c:pt idx="268">
                  <c:v>2.7559489742228216E-3</c:v>
                </c:pt>
                <c:pt idx="269">
                  <c:v>2.7777911782996823E-3</c:v>
                </c:pt>
                <c:pt idx="270">
                  <c:v>2.7996329039762236E-3</c:v>
                </c:pt>
                <c:pt idx="271">
                  <c:v>2.8214741512629926E-3</c:v>
                </c:pt>
                <c:pt idx="272">
                  <c:v>2.8433149201702035E-3</c:v>
                </c:pt>
                <c:pt idx="273">
                  <c:v>2.8651552107086253E-3</c:v>
                </c:pt>
                <c:pt idx="274">
                  <c:v>2.8869950228886943E-3</c:v>
                </c:pt>
                <c:pt idx="275">
                  <c:v>2.9088343567207353E-3</c:v>
                </c:pt>
                <c:pt idx="276">
                  <c:v>2.9306732122152956E-3</c:v>
                </c:pt>
                <c:pt idx="277">
                  <c:v>2.9525115893829224E-3</c:v>
                </c:pt>
                <c:pt idx="278">
                  <c:v>2.9743494882340515E-3</c:v>
                </c:pt>
                <c:pt idx="279">
                  <c:v>2.9961869087792303E-3</c:v>
                </c:pt>
                <c:pt idx="280">
                  <c:v>3.0180238510286728E-3</c:v>
                </c:pt>
                <c:pt idx="281">
                  <c:v>3.039860314993148E-3</c:v>
                </c:pt>
                <c:pt idx="282">
                  <c:v>3.0616963006829812E-3</c:v>
                </c:pt>
                <c:pt idx="283">
                  <c:v>3.0835318081087193E-3</c:v>
                </c:pt>
                <c:pt idx="284">
                  <c:v>3.1053668372807985E-3</c:v>
                </c:pt>
                <c:pt idx="285">
                  <c:v>3.127201388209766E-3</c:v>
                </c:pt>
                <c:pt idx="286">
                  <c:v>3.1490354609059468E-3</c:v>
                </c:pt>
                <c:pt idx="287">
                  <c:v>3.1708690553798879E-3</c:v>
                </c:pt>
                <c:pt idx="288">
                  <c:v>3.1927021716421367E-3</c:v>
                </c:pt>
                <c:pt idx="289">
                  <c:v>3.214534809703018E-3</c:v>
                </c:pt>
                <c:pt idx="290">
                  <c:v>3.23636696957319E-3</c:v>
                </c:pt>
                <c:pt idx="291">
                  <c:v>3.2581986512629779E-3</c:v>
                </c:pt>
                <c:pt idx="292">
                  <c:v>3.2800298547829287E-3</c:v>
                </c:pt>
                <c:pt idx="293">
                  <c:v>3.3018605801434786E-3</c:v>
                </c:pt>
                <c:pt idx="294">
                  <c:v>3.3236908273550636E-3</c:v>
                </c:pt>
                <c:pt idx="295">
                  <c:v>3.3455205964282309E-3</c:v>
                </c:pt>
                <c:pt idx="296">
                  <c:v>3.3673498873735275E-3</c:v>
                </c:pt>
                <c:pt idx="297">
                  <c:v>3.3891787002012785E-3</c:v>
                </c:pt>
                <c:pt idx="298">
                  <c:v>3.4110070349219201E-3</c:v>
                </c:pt>
                <c:pt idx="299">
                  <c:v>3.4328348915461104E-3</c:v>
                </c:pt>
                <c:pt idx="300">
                  <c:v>3.4546622700841745E-3</c:v>
                </c:pt>
                <c:pt idx="301">
                  <c:v>3.4764891705466594E-3</c:v>
                </c:pt>
                <c:pt idx="302">
                  <c:v>3.4983155929440013E-3</c:v>
                </c:pt>
                <c:pt idx="303">
                  <c:v>3.5201415372866363E-3</c:v>
                </c:pt>
                <c:pt idx="304">
                  <c:v>3.5419670035851114E-3</c:v>
                </c:pt>
                <c:pt idx="305">
                  <c:v>3.5637919918498628E-3</c:v>
                </c:pt>
                <c:pt idx="306">
                  <c:v>3.5856165020914377E-3</c:v>
                </c:pt>
                <c:pt idx="307">
                  <c:v>3.60744053432005E-3</c:v>
                </c:pt>
                <c:pt idx="308">
                  <c:v>3.6292640885464689E-3</c:v>
                </c:pt>
                <c:pt idx="309">
                  <c:v>3.6510871647810195E-3</c:v>
                </c:pt>
                <c:pt idx="310">
                  <c:v>3.6729097630342489E-3</c:v>
                </c:pt>
                <c:pt idx="311">
                  <c:v>3.6947318833164822E-3</c:v>
                </c:pt>
                <c:pt idx="312">
                  <c:v>3.7165535256382665E-3</c:v>
                </c:pt>
                <c:pt idx="313">
                  <c:v>3.7383746900101489E-3</c:v>
                </c:pt>
                <c:pt idx="314">
                  <c:v>3.7601953764424545E-3</c:v>
                </c:pt>
                <c:pt idx="315">
                  <c:v>3.7820155849458414E-3</c:v>
                </c:pt>
                <c:pt idx="316">
                  <c:v>3.8038353155305238E-3</c:v>
                </c:pt>
                <c:pt idx="317">
                  <c:v>3.8256545682071597E-3</c:v>
                </c:pt>
                <c:pt idx="318">
                  <c:v>3.8474733429861852E-3</c:v>
                </c:pt>
                <c:pt idx="319">
                  <c:v>3.8692916398780364E-3</c:v>
                </c:pt>
                <c:pt idx="320">
                  <c:v>3.8911094588932604E-3</c:v>
                </c:pt>
                <c:pt idx="321">
                  <c:v>3.9129268000421824E-3</c:v>
                </c:pt>
                <c:pt idx="322">
                  <c:v>3.9347436633353494E-3</c:v>
                </c:pt>
                <c:pt idx="323">
                  <c:v>3.9565600487831976E-3</c:v>
                </c:pt>
                <c:pt idx="324">
                  <c:v>3.9783759563962739E-3</c:v>
                </c:pt>
                <c:pt idx="325">
                  <c:v>4.0001913861849037E-3</c:v>
                </c:pt>
                <c:pt idx="326">
                  <c:v>4.0220063381596338E-3</c:v>
                </c:pt>
                <c:pt idx="327">
                  <c:v>4.0438208123310115E-3</c:v>
                </c:pt>
                <c:pt idx="328">
                  <c:v>4.0656348087093619E-3</c:v>
                </c:pt>
                <c:pt idx="329">
                  <c:v>4.087448327305232E-3</c:v>
                </c:pt>
                <c:pt idx="330">
                  <c:v>4.109261368129058E-3</c:v>
                </c:pt>
                <c:pt idx="331">
                  <c:v>4.1310739311912759E-3</c:v>
                </c:pt>
                <c:pt idx="332">
                  <c:v>4.1528860165024328E-3</c:v>
                </c:pt>
                <c:pt idx="333">
                  <c:v>4.1746976240728539E-3</c:v>
                </c:pt>
                <c:pt idx="334">
                  <c:v>4.1965087539131973E-3</c:v>
                </c:pt>
                <c:pt idx="335">
                  <c:v>4.2183194060337881E-3</c:v>
                </c:pt>
                <c:pt idx="336">
                  <c:v>4.2401295804450623E-3</c:v>
                </c:pt>
                <c:pt idx="337">
                  <c:v>4.2619392771576781E-3</c:v>
                </c:pt>
                <c:pt idx="338">
                  <c:v>4.2837484961818495E-3</c:v>
                </c:pt>
                <c:pt idx="339">
                  <c:v>4.3055572375281237E-3</c:v>
                </c:pt>
                <c:pt idx="340">
                  <c:v>4.3273655012070478E-3</c:v>
                </c:pt>
                <c:pt idx="341">
                  <c:v>4.3491732872290578E-3</c:v>
                </c:pt>
                <c:pt idx="342">
                  <c:v>4.37098059560459E-3</c:v>
                </c:pt>
                <c:pt idx="343">
                  <c:v>4.3927874263440803E-3</c:v>
                </c:pt>
                <c:pt idx="344">
                  <c:v>4.4145937794579648E-3</c:v>
                </c:pt>
                <c:pt idx="345">
                  <c:v>4.4363996549567908E-3</c:v>
                </c:pt>
                <c:pt idx="346">
                  <c:v>4.4582050528509942E-3</c:v>
                </c:pt>
                <c:pt idx="347">
                  <c:v>4.4800099731510112E-3</c:v>
                </c:pt>
                <c:pt idx="348">
                  <c:v>4.5018144158672779E-3</c:v>
                </c:pt>
                <c:pt idx="349">
                  <c:v>4.5236183810103414E-3</c:v>
                </c:pt>
                <c:pt idx="350">
                  <c:v>4.5454218685905268E-3</c:v>
                </c:pt>
                <c:pt idx="351">
                  <c:v>4.5672248786184921E-3</c:v>
                </c:pt>
                <c:pt idx="352">
                  <c:v>4.5890274111044516E-3</c:v>
                </c:pt>
                <c:pt idx="353">
                  <c:v>4.6108294660590632E-3</c:v>
                </c:pt>
                <c:pt idx="354">
                  <c:v>4.6326310434927631E-3</c:v>
                </c:pt>
                <c:pt idx="355">
                  <c:v>4.6544321434158764E-3</c:v>
                </c:pt>
                <c:pt idx="356">
                  <c:v>4.6762327658390612E-3</c:v>
                </c:pt>
                <c:pt idx="357">
                  <c:v>4.6980329107725316E-3</c:v>
                </c:pt>
                <c:pt idx="358">
                  <c:v>4.7198325782269457E-3</c:v>
                </c:pt>
                <c:pt idx="359">
                  <c:v>4.7416317682127396E-3</c:v>
                </c:pt>
                <c:pt idx="360">
                  <c:v>4.7634304807402383E-3</c:v>
                </c:pt>
                <c:pt idx="361">
                  <c:v>4.7852287158201001E-3</c:v>
                </c:pt>
                <c:pt idx="362">
                  <c:v>4.807026473462539E-3</c:v>
                </c:pt>
                <c:pt idx="363">
                  <c:v>4.828823753678213E-3</c:v>
                </c:pt>
                <c:pt idx="364">
                  <c:v>4.8506205564775584E-3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1.3117840564299526E-4</c:v>
                </c:pt>
                <c:pt idx="144">
                  <c:v>2.6242066313447005E-4</c:v>
                </c:pt>
                <c:pt idx="145">
                  <c:v>3.9372652906546744E-4</c:v>
                </c:pt>
                <c:pt idx="146">
                  <c:v>5.2509531585779191E-4</c:v>
                </c:pt>
                <c:pt idx="147">
                  <c:v>6.5652588840542988E-4</c:v>
                </c:pt>
                <c:pt idx="148">
                  <c:v>7.8801666300957497E-4</c:v>
                </c:pt>
                <c:pt idx="149">
                  <c:v>9.1956560868461487E-4</c:v>
                </c:pt>
                <c:pt idx="150">
                  <c:v>1.0511702508938972E-3</c:v>
                </c:pt>
                <c:pt idx="151">
                  <c:v>1.1828276777557868E-3</c:v>
                </c:pt>
                <c:pt idx="152">
                  <c:v>1.3145345487391934E-3</c:v>
                </c:pt>
                <c:pt idx="153">
                  <c:v>1.4462871058479347E-3</c:v>
                </c:pt>
                <c:pt idx="154">
                  <c:v>1.5780811872706923E-3</c:v>
                </c:pt>
                <c:pt idx="155">
                  <c:v>1.7099122434519999E-3</c:v>
                </c:pt>
                <c:pt idx="156">
                  <c:v>1.841775355517432E-3</c:v>
                </c:pt>
                <c:pt idx="157">
                  <c:v>1.9736652559640064E-3</c:v>
                </c:pt>
                <c:pt idx="158">
                  <c:v>2.1055763515055431E-3</c:v>
                </c:pt>
                <c:pt idx="159">
                  <c:v>2.2375027479414507E-3</c:v>
                </c:pt>
                <c:pt idx="160">
                  <c:v>2.3694382768975979E-3</c:v>
                </c:pt>
                <c:pt idx="161">
                  <c:v>2.5013765242684286E-3</c:v>
                </c:pt>
                <c:pt idx="162">
                  <c:v>2.6333108601723693E-3</c:v>
                </c:pt>
                <c:pt idx="163">
                  <c:v>2.765234470215898E-3</c:v>
                </c:pt>
                <c:pt idx="164">
                  <c:v>2.897140387847638E-3</c:v>
                </c:pt>
                <c:pt idx="165">
                  <c:v>3.029021527571001E-3</c:v>
                </c:pt>
                <c:pt idx="166">
                  <c:v>3.1608707187738682E-3</c:v>
                </c:pt>
                <c:pt idx="167">
                  <c:v>3.2926807399253949E-3</c:v>
                </c:pt>
                <c:pt idx="168">
                  <c:v>3.4244443528844088E-3</c:v>
                </c:pt>
                <c:pt idx="169">
                  <c:v>3.5561543370605134E-3</c:v>
                </c:pt>
                <c:pt idx="170">
                  <c:v>3.6878035231680986E-3</c:v>
                </c:pt>
                <c:pt idx="171">
                  <c:v>3.8193848263155012E-3</c:v>
                </c:pt>
                <c:pt idx="172">
                  <c:v>3.9508912781754434E-3</c:v>
                </c:pt>
                <c:pt idx="173">
                  <c:v>4.0823160579902236E-3</c:v>
                </c:pt>
                <c:pt idx="174">
                  <c:v>4.2136525221742188E-3</c:v>
                </c:pt>
                <c:pt idx="175">
                  <c:v>4.3448942322881767E-3</c:v>
                </c:pt>
                <c:pt idx="176">
                  <c:v>4.4760349811736972E-3</c:v>
                </c:pt>
                <c:pt idx="177">
                  <c:v>4.6070688170530135E-3</c:v>
                </c:pt>
                <c:pt idx="178">
                  <c:v>4.73799006541702E-3</c:v>
                </c:pt>
                <c:pt idx="179">
                  <c:v>4.8687933485448438E-3</c:v>
                </c:pt>
                <c:pt idx="180">
                  <c:v>4.9994736025200772E-3</c:v>
                </c:pt>
                <c:pt idx="181">
                  <c:v>5.1300260916320008E-3</c:v>
                </c:pt>
                <c:pt idx="182">
                  <c:v>5.2604464200740747E-3</c:v>
                </c:pt>
                <c:pt idx="183">
                  <c:v>5.390730540877537E-3</c:v>
                </c:pt>
                <c:pt idx="184">
                  <c:v>5.5208747620438146E-3</c:v>
                </c:pt>
                <c:pt idx="185">
                  <c:v>5.6508757498652147E-3</c:v>
                </c:pt>
                <c:pt idx="186">
                  <c:v>5.7807305294498654E-3</c:v>
                </c:pt>
                <c:pt idx="187">
                  <c:v>5.9104364824927973E-3</c:v>
                </c:pt>
                <c:pt idx="188">
                  <c:v>6.0399913423603803E-3</c:v>
                </c:pt>
                <c:pt idx="189">
                  <c:v>6.1693931865800132E-3</c:v>
                </c:pt>
                <c:pt idx="190">
                  <c:v>6.298640426850472E-3</c:v>
                </c:pt>
                <c:pt idx="191">
                  <c:v>6.427731796710379E-3</c:v>
                </c:pt>
                <c:pt idx="192">
                  <c:v>6.5566663370229972E-3</c:v>
                </c:pt>
                <c:pt idx="193">
                  <c:v>6.6854433794541167E-3</c:v>
                </c:pt>
                <c:pt idx="194">
                  <c:v>6.8140625281365198E-3</c:v>
                </c:pt>
                <c:pt idx="195">
                  <c:v>6.942523639729024E-3</c:v>
                </c:pt>
                <c:pt idx="196">
                  <c:v>7.0708268020899063E-3</c:v>
                </c:pt>
                <c:pt idx="197">
                  <c:v>7.1989723117943565E-3</c:v>
                </c:pt>
                <c:pt idx="198">
                  <c:v>7.3269606507320962E-3</c:v>
                </c:pt>
                <c:pt idx="199">
                  <c:v>7.4547924620257996E-3</c:v>
                </c:pt>
                <c:pt idx="200">
                  <c:v>7.5824685255121175E-3</c:v>
                </c:pt>
                <c:pt idx="201">
                  <c:v>7.7099897330256068E-3</c:v>
                </c:pt>
                <c:pt idx="202">
                  <c:v>7.8373570637224662E-3</c:v>
                </c:pt>
                <c:pt idx="203">
                  <c:v>7.9645715596729678E-3</c:v>
                </c:pt>
                <c:pt idx="204">
                  <c:v>8.091634301943507E-3</c:v>
                </c:pt>
                <c:pt idx="205">
                  <c:v>8.2185463873759908E-3</c:v>
                </c:pt>
                <c:pt idx="206">
                  <c:v>8.3453089062591988E-3</c:v>
                </c:pt>
                <c:pt idx="207">
                  <c:v>8.471922921069748E-3</c:v>
                </c:pt>
                <c:pt idx="208">
                  <c:v>8.5983894464422977E-3</c:v>
                </c:pt>
                <c:pt idx="209">
                  <c:v>8.7247094305085947E-3</c:v>
                </c:pt>
                <c:pt idx="210">
                  <c:v>8.8508837377237748E-3</c:v>
                </c:pt>
                <c:pt idx="211">
                  <c:v>8.9769131332753747E-3</c:v>
                </c:pt>
                <c:pt idx="212">
                  <c:v>9.1027982691473594E-3</c:v>
                </c:pt>
                <c:pt idx="213">
                  <c:v>9.2285396718874615E-3</c:v>
                </c:pt>
                <c:pt idx="214">
                  <c:v>9.3541377321013572E-3</c:v>
                </c:pt>
                <c:pt idx="215">
                  <c:v>9.4795926956735468E-3</c:v>
                </c:pt>
                <c:pt idx="216">
                  <c:v>9.6049046566903159E-3</c:v>
                </c:pt>
                <c:pt idx="217">
                  <c:v>9.7300735520172797E-3</c:v>
                </c:pt>
                <c:pt idx="218">
                  <c:v>9.8550991574614007E-3</c:v>
                </c:pt>
                <c:pt idx="219">
                  <c:v>9.9799810854266802E-3</c:v>
                </c:pt>
                <c:pt idx="220">
                  <c:v>1.0104718783952769E-2</c:v>
                </c:pt>
                <c:pt idx="221">
                  <c:v>1.0229311537008533E-2</c:v>
                </c:pt>
                <c:pt idx="222">
                  <c:v>1.0353758465896777E-2</c:v>
                </c:pt>
                <c:pt idx="223">
                  <c:v>1.0478058531612929E-2</c:v>
                </c:pt>
                <c:pt idx="224">
                  <c:v>1.060221053798952E-2</c:v>
                </c:pt>
                <c:pt idx="225">
                  <c:v>1.0726213135450583E-2</c:v>
                </c:pt>
                <c:pt idx="226">
                  <c:v>1.0850064825193696E-2</c:v>
                </c:pt>
                <c:pt idx="227">
                  <c:v>1.0973763963615456E-2</c:v>
                </c:pt>
                <c:pt idx="228">
                  <c:v>1.109730876679621E-2</c:v>
                </c:pt>
                <c:pt idx="229">
                  <c:v>1.1220697314862804E-2</c:v>
                </c:pt>
                <c:pt idx="230">
                  <c:v>1.1343927556054541E-2</c:v>
                </c:pt>
                <c:pt idx="231">
                  <c:v>1.1466997310326424E-2</c:v>
                </c:pt>
                <c:pt idx="232">
                  <c:v>1.1589904272335042E-2</c:v>
                </c:pt>
                <c:pt idx="233">
                  <c:v>1.1712646013667827E-2</c:v>
                </c:pt>
                <c:pt idx="234">
                  <c:v>1.1835219984191932E-2</c:v>
                </c:pt>
                <c:pt idx="235">
                  <c:v>1.1957623512419382E-2</c:v>
                </c:pt>
                <c:pt idx="236">
                  <c:v>1.2079853804805604E-2</c:v>
                </c:pt>
                <c:pt idx="237">
                  <c:v>1.220190794392154E-2</c:v>
                </c:pt>
                <c:pt idx="238">
                  <c:v>1.23237828854644E-2</c:v>
                </c:pt>
                <c:pt idx="239">
                  <c:v>1.2445475454097433E-2</c:v>
                </c:pt>
                <c:pt idx="240">
                  <c:v>1.2566982338135992E-2</c:v>
                </c:pt>
                <c:pt idx="241">
                  <c:v>1.2688300083124042E-2</c:v>
                </c:pt>
                <c:pt idx="242">
                  <c:v>1.2809425084372822E-2</c:v>
                </c:pt>
                <c:pt idx="243">
                  <c:v>1.2930353578560365E-2</c:v>
                </c:pt>
                <c:pt idx="244">
                  <c:v>1.3051081634516865E-2</c:v>
                </c:pt>
                <c:pt idx="245">
                  <c:v>1.317160514334703E-2</c:v>
                </c:pt>
                <c:pt idx="246">
                  <c:v>1.3291919808064236E-2</c:v>
                </c:pt>
                <c:pt idx="247">
                  <c:v>1.3412021132934247E-2</c:v>
                </c:pt>
                <c:pt idx="248">
                  <c:v>1.3531904412747067E-2</c:v>
                </c:pt>
                <c:pt idx="249">
                  <c:v>1.3651564722252965E-2</c:v>
                </c:pt>
                <c:pt idx="250">
                  <c:v>1.377099690601556E-2</c:v>
                </c:pt>
                <c:pt idx="251">
                  <c:v>1.3890195568946275E-2</c:v>
                </c:pt>
                <c:pt idx="252">
                  <c:v>1.40091550677951E-2</c:v>
                </c:pt>
                <c:pt idx="253">
                  <c:v>1.4127869503878046E-2</c:v>
                </c:pt>
                <c:pt idx="254">
                  <c:v>1.424633271732475E-2</c:v>
                </c:pt>
                <c:pt idx="255">
                  <c:v>1.4364538283128215E-2</c:v>
                </c:pt>
                <c:pt idx="256">
                  <c:v>1.4482479509274336E-2</c:v>
                </c:pt>
                <c:pt idx="257">
                  <c:v>1.4600149437219536E-2</c:v>
                </c:pt>
                <c:pt idx="258">
                  <c:v>1.471754084497285E-2</c:v>
                </c:pt>
                <c:pt idx="259">
                  <c:v>1.4834646253021973E-2</c:v>
                </c:pt>
                <c:pt idx="260">
                  <c:v>1.4951457933322957E-2</c:v>
                </c:pt>
                <c:pt idx="261">
                  <c:v>1.5067967921549639E-2</c:v>
                </c:pt>
                <c:pt idx="262">
                  <c:v>1.5184168032771199E-2</c:v>
                </c:pt>
                <c:pt idx="263">
                  <c:v>1.5300049880696647E-2</c:v>
                </c:pt>
                <c:pt idx="264">
                  <c:v>1.5415604900591221E-2</c:v>
                </c:pt>
                <c:pt idx="265">
                  <c:v>1.5530824375933944E-2</c:v>
                </c:pt>
                <c:pt idx="266">
                  <c:v>1.5645699468847345E-2</c:v>
                </c:pt>
                <c:pt idx="267">
                  <c:v>1.5760221254289955E-2</c:v>
                </c:pt>
                <c:pt idx="268">
                  <c:v>1.5874380757960858E-2</c:v>
                </c:pt>
                <c:pt idx="269">
                  <c:v>1.5988168997822426E-2</c:v>
                </c:pt>
                <c:pt idx="270">
                  <c:v>1.6101577029103704E-2</c:v>
                </c:pt>
                <c:pt idx="271">
                  <c:v>1.6214595992603862E-2</c:v>
                </c:pt>
                <c:pt idx="272">
                  <c:v>1.6327217166071037E-2</c:v>
                </c:pt>
                <c:pt idx="273">
                  <c:v>1.6439432018389506E-2</c:v>
                </c:pt>
                <c:pt idx="274">
                  <c:v>1.6551232266266945E-2</c:v>
                </c:pt>
                <c:pt idx="275">
                  <c:v>1.6662609933073742E-2</c:v>
                </c:pt>
                <c:pt idx="276">
                  <c:v>1.6773557409448622E-2</c:v>
                </c:pt>
                <c:pt idx="277">
                  <c:v>1.6884067515250956E-2</c:v>
                </c:pt>
                <c:pt idx="278">
                  <c:v>1.6994133562407466E-2</c:v>
                </c:pt>
                <c:pt idx="279">
                  <c:v>1.7103749418173927E-2</c:v>
                </c:pt>
                <c:pt idx="280">
                  <c:v>1.7212909568307969E-2</c:v>
                </c:pt>
                <c:pt idx="281">
                  <c:v>1.7321609179628994E-2</c:v>
                </c:pt>
                <c:pt idx="282">
                  <c:v>1.742984416142675E-2</c:v>
                </c:pt>
                <c:pt idx="283">
                  <c:v>1.7537611225169007E-2</c:v>
                </c:pt>
                <c:pt idx="284">
                  <c:v>1.7644907941954016E-2</c:v>
                </c:pt>
                <c:pt idx="285">
                  <c:v>1.7751732797153391E-2</c:v>
                </c:pt>
                <c:pt idx="286">
                  <c:v>1.7858085241696374E-2</c:v>
                </c:pt>
                <c:pt idx="287">
                  <c:v>1.7963965739457619E-2</c:v>
                </c:pt>
                <c:pt idx="288">
                  <c:v>1.8069375810226645E-2</c:v>
                </c:pt>
                <c:pt idx="289">
                  <c:v>1.8174318067759505E-2</c:v>
                </c:pt>
                <c:pt idx="290">
                  <c:v>1.8278796252439798E-2</c:v>
                </c:pt>
                <c:pt idx="291">
                  <c:v>1.8382815258109194E-2</c:v>
                </c:pt>
                <c:pt idx="292">
                  <c:v>1.8486381152664117E-2</c:v>
                </c:pt>
                <c:pt idx="293">
                  <c:v>1.8589501192058405E-2</c:v>
                </c:pt>
                <c:pt idx="294">
                  <c:v>1.8692183827396951E-2</c:v>
                </c:pt>
                <c:pt idx="295">
                  <c:v>1.8794438704856746E-2</c:v>
                </c:pt>
                <c:pt idx="296">
                  <c:v>1.889627665822529E-2</c:v>
                </c:pt>
                <c:pt idx="297">
                  <c:v>1.8997709693903301E-2</c:v>
                </c:pt>
                <c:pt idx="298">
                  <c:v>1.9098750968279048E-2</c:v>
                </c:pt>
                <c:pt idx="299">
                  <c:v>1.9199414757442707E-2</c:v>
                </c:pt>
                <c:pt idx="300">
                  <c:v>1.9299716419273201E-2</c:v>
                </c:pt>
                <c:pt idx="301">
                  <c:v>1.939967234799363E-2</c:v>
                </c:pt>
                <c:pt idx="302">
                  <c:v>1.949929992135695E-2</c:v>
                </c:pt>
                <c:pt idx="303">
                  <c:v>1.9598617440686673E-2</c:v>
                </c:pt>
                <c:pt idx="304">
                  <c:v>1.9697644064062197E-2</c:v>
                </c:pt>
                <c:pt idx="305">
                  <c:v>1.9796399732999306E-2</c:v>
                </c:pt>
                <c:pt idx="306">
                  <c:v>1.9894905093036458E-2</c:v>
                </c:pt>
                <c:pt idx="307">
                  <c:v>1.9993181408695042E-2</c:v>
                </c:pt>
                <c:pt idx="308">
                  <c:v>2.0091250473334602E-2</c:v>
                </c:pt>
                <c:pt idx="309">
                  <c:v>2.0189134514474762E-2</c:v>
                </c:pt>
                <c:pt idx="310">
                  <c:v>2.0286856095200655E-2</c:v>
                </c:pt>
                <c:pt idx="311">
                  <c:v>2.0384438012309308E-2</c:v>
                </c:pt>
                <c:pt idx="312">
                  <c:v>2.0481903191889757E-2</c:v>
                </c:pt>
                <c:pt idx="313">
                  <c:v>2.0579274583059311E-2</c:v>
                </c:pt>
                <c:pt idx="314">
                  <c:v>2.0676575050601855E-2</c:v>
                </c:pt>
                <c:pt idx="315">
                  <c:v>2.0773827267271228E-2</c:v>
                </c:pt>
                <c:pt idx="316">
                  <c:v>2.0871053606533484E-2</c:v>
                </c:pt>
                <c:pt idx="317">
                  <c:v>2.0968276036525475E-2</c:v>
                </c:pt>
                <c:pt idx="318">
                  <c:v>2.1065516016004707E-2</c:v>
                </c:pt>
                <c:pt idx="319">
                  <c:v>2.1162794393055247E-2</c:v>
                </c:pt>
                <c:pt idx="320">
                  <c:v>2.1260131307297786E-2</c:v>
                </c:pt>
                <c:pt idx="321">
                  <c:v>2.1357546096329415E-2</c:v>
                </c:pt>
                <c:pt idx="322">
                  <c:v>2.1455057207087503E-2</c:v>
                </c:pt>
                <c:pt idx="323">
                  <c:v>2.155268211279722E-2</c:v>
                </c:pt>
                <c:pt idx="324">
                  <c:v>2.1650437236118918E-2</c:v>
                </c:pt>
                <c:pt idx="325">
                  <c:v>2.1748337879064359E-2</c:v>
                </c:pt>
                <c:pt idx="326">
                  <c:v>2.1846398160197466E-2</c:v>
                </c:pt>
                <c:pt idx="327">
                  <c:v>2.1944630959576973E-2</c:v>
                </c:pt>
                <c:pt idx="328">
                  <c:v>2.2043047871836724E-2</c:v>
                </c:pt>
                <c:pt idx="329">
                  <c:v>2.214165916773304E-2</c:v>
                </c:pt>
                <c:pt idx="330">
                  <c:v>2.2240473764419448E-2</c:v>
                </c:pt>
                <c:pt idx="331">
                  <c:v>2.2339499204637986E-2</c:v>
                </c:pt>
                <c:pt idx="332">
                  <c:v>2.2438741644942525E-2</c:v>
                </c:pt>
                <c:pt idx="333">
                  <c:v>2.2538205852995263E-2</c:v>
                </c:pt>
                <c:pt idx="334">
                  <c:v>2.2637895213902446E-2</c:v>
                </c:pt>
                <c:pt idx="335">
                  <c:v>2.2737811745481212E-2</c:v>
                </c:pt>
                <c:pt idx="336">
                  <c:v>2.2837956122274791E-2</c:v>
                </c:pt>
                <c:pt idx="337">
                  <c:v>2.2938327708062214E-2</c:v>
                </c:pt>
                <c:pt idx="338">
                  <c:v>2.3038924596538255E-2</c:v>
                </c:pt>
                <c:pt idx="339">
                  <c:v>2.3139743659772848E-2</c:v>
                </c:pt>
                <c:pt idx="340">
                  <c:v>2.3240780603995936E-2</c:v>
                </c:pt>
                <c:pt idx="341">
                  <c:v>2.3342030032194861E-2</c:v>
                </c:pt>
                <c:pt idx="342">
                  <c:v>2.3443485512956982E-2</c:v>
                </c:pt>
                <c:pt idx="343">
                  <c:v>2.3545139654941663E-2</c:v>
                </c:pt>
                <c:pt idx="344">
                  <c:v>2.3646984186321971E-2</c:v>
                </c:pt>
                <c:pt idx="345">
                  <c:v>2.3749010038499978E-2</c:v>
                </c:pt>
                <c:pt idx="346">
                  <c:v>2.385120743336841E-2</c:v>
                </c:pt>
                <c:pt idx="347">
                  <c:v>2.3953565973367796E-2</c:v>
                </c:pt>
                <c:pt idx="348">
                  <c:v>2.4056074733571318E-2</c:v>
                </c:pt>
                <c:pt idx="349">
                  <c:v>2.4158722355019584E-2</c:v>
                </c:pt>
                <c:pt idx="350">
                  <c:v>2.4261497138525059E-2</c:v>
                </c:pt>
                <c:pt idx="351">
                  <c:v>2.4364387138170469E-2</c:v>
                </c:pt>
                <c:pt idx="352">
                  <c:v>2.4467380253736782E-2</c:v>
                </c:pt>
                <c:pt idx="353">
                  <c:v>2.4570464321315481E-2</c:v>
                </c:pt>
                <c:pt idx="354">
                  <c:v>2.4673627201384881E-2</c:v>
                </c:pt>
                <c:pt idx="355">
                  <c:v>2.4776856863662163E-2</c:v>
                </c:pt>
                <c:pt idx="356">
                  <c:v>2.4880141468080926E-2</c:v>
                </c:pt>
                <c:pt idx="357">
                  <c:v>2.4983469441287782E-2</c:v>
                </c:pt>
                <c:pt idx="358">
                  <c:v>2.508682954810074E-2</c:v>
                </c:pt>
                <c:pt idx="359">
                  <c:v>2.5190210957425706E-2</c:v>
                </c:pt>
                <c:pt idx="360">
                  <c:v>2.5293603302186132E-2</c:v>
                </c:pt>
                <c:pt idx="361">
                  <c:v>2.5396996732882114E-2</c:v>
                </c:pt>
                <c:pt idx="362">
                  <c:v>2.5500381964460573E-2</c:v>
                </c:pt>
                <c:pt idx="363">
                  <c:v>2.5603750316245247E-2</c:v>
                </c:pt>
                <c:pt idx="364">
                  <c:v>2.5707093744743881E-2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5.3028345570172775E-10</c:v>
                </c:pt>
                <c:pt idx="1">
                  <c:v>1.3346870060753108E-8</c:v>
                </c:pt>
                <c:pt idx="2">
                  <c:v>2.6452324019177261E-8</c:v>
                </c:pt>
                <c:pt idx="3">
                  <c:v>3.990123197560816E-8</c:v>
                </c:pt>
                <c:pt idx="4">
                  <c:v>5.3753560941749427E-8</c:v>
                </c:pt>
                <c:pt idx="5">
                  <c:v>6.8074899690350113E-8</c:v>
                </c:pt>
                <c:pt idx="6">
                  <c:v>8.2936762121049618E-8</c:v>
                </c:pt>
                <c:pt idx="7">
                  <c:v>9.841696031177966E-8</c:v>
                </c:pt>
                <c:pt idx="8">
                  <c:v>1.1458727023119969E-7</c:v>
                </c:pt>
                <c:pt idx="9">
                  <c:v>1.3134389916612899E-7</c:v>
                </c:pt>
                <c:pt idx="10">
                  <c:v>1.4863275079278154E-7</c:v>
                </c:pt>
                <c:pt idx="11">
                  <c:v>1.66442548240223E-7</c:v>
                </c:pt>
                <c:pt idx="12">
                  <c:v>1.8476015734290163E-7</c:v>
                </c:pt>
                <c:pt idx="13">
                  <c:v>2.0357050559110517E-7</c:v>
                </c:pt>
                <c:pt idx="14">
                  <c:v>2.2285650270742682E-7</c:v>
                </c:pt>
                <c:pt idx="15">
                  <c:v>2.4255033698119806E-7</c:v>
                </c:pt>
                <c:pt idx="16">
                  <c:v>2.6243319914398831E-7</c:v>
                </c:pt>
                <c:pt idx="17">
                  <c:v>2.8242546896624176E-7</c:v>
                </c:pt>
                <c:pt idx="18">
                  <c:v>3.0244224896621271E-7</c:v>
                </c:pt>
                <c:pt idx="19">
                  <c:v>3.2239502351619403E-7</c:v>
                </c:pt>
                <c:pt idx="20">
                  <c:v>3.4219103577360474E-7</c:v>
                </c:pt>
                <c:pt idx="21">
                  <c:v>3.6173092886301908E-7</c:v>
                </c:pt>
                <c:pt idx="22">
                  <c:v>3.8089125503589267E-7</c:v>
                </c:pt>
                <c:pt idx="23">
                  <c:v>3.9992328554758351E-7</c:v>
                </c:pt>
                <c:pt idx="24">
                  <c:v>4.1935448737573167E-7</c:v>
                </c:pt>
                <c:pt idx="25">
                  <c:v>4.3924545381042497E-7</c:v>
                </c:pt>
                <c:pt idx="26">
                  <c:v>4.5966160005211096E-7</c:v>
                </c:pt>
                <c:pt idx="27">
                  <c:v>4.8067328134820706E-7</c:v>
                </c:pt>
                <c:pt idx="28">
                  <c:v>5.0235595435462722E-7</c:v>
                </c:pt>
                <c:pt idx="29">
                  <c:v>5.2494990255858129E-7</c:v>
                </c:pt>
                <c:pt idx="30">
                  <c:v>5.4868605459077822E-7</c:v>
                </c:pt>
                <c:pt idx="31">
                  <c:v>5.7369960772095936E-7</c:v>
                </c:pt>
                <c:pt idx="32">
                  <c:v>6.0013465851862919E-7</c:v>
                </c:pt>
                <c:pt idx="33">
                  <c:v>6.2814491311669239E-7</c:v>
                </c:pt>
                <c:pt idx="34">
                  <c:v>6.5789449474094707E-7</c:v>
                </c:pt>
                <c:pt idx="35">
                  <c:v>6.8955885591341658E-7</c:v>
                </c:pt>
                <c:pt idx="36">
                  <c:v>7.2324876204776681E-7</c:v>
                </c:pt>
                <c:pt idx="37">
                  <c:v>7.5923458729251676E-7</c:v>
                </c:pt>
                <c:pt idx="38">
                  <c:v>7.9694975439260094E-7</c:v>
                </c:pt>
                <c:pt idx="39">
                  <c:v>8.3650941684810986E-7</c:v>
                </c:pt>
                <c:pt idx="40">
                  <c:v>8.7803568019321451E-7</c:v>
                </c:pt>
                <c:pt idx="41">
                  <c:v>9.2165805546033561E-7</c:v>
                </c:pt>
                <c:pt idx="42">
                  <c:v>9.6751395244660051E-7</c:v>
                </c:pt>
                <c:pt idx="43">
                  <c:v>1.0160897854452501E-6</c:v>
                </c:pt>
                <c:pt idx="44">
                  <c:v>1.067273768796218E-6</c:v>
                </c:pt>
                <c:pt idx="45">
                  <c:v>1.1212375111744845E-6</c:v>
                </c:pt>
                <c:pt idx="46">
                  <c:v>1.1781634463538041E-6</c:v>
                </c:pt>
                <c:pt idx="47">
                  <c:v>1.2382456203998601E-6</c:v>
                </c:pt>
                <c:pt idx="48">
                  <c:v>1.3016905470751829E-6</c:v>
                </c:pt>
                <c:pt idx="49">
                  <c:v>1.3687181379507095E-6</c:v>
                </c:pt>
                <c:pt idx="50">
                  <c:v>1.4395259474220053E-6</c:v>
                </c:pt>
                <c:pt idx="51">
                  <c:v>1.5127669919565288E-6</c:v>
                </c:pt>
                <c:pt idx="52">
                  <c:v>1.5881717871856988E-6</c:v>
                </c:pt>
                <c:pt idx="53">
                  <c:v>1.6657377395169334E-6</c:v>
                </c:pt>
                <c:pt idx="54">
                  <c:v>1.7454654694141833E-6</c:v>
                </c:pt>
                <c:pt idx="55">
                  <c:v>1.82735138121814E-6</c:v>
                </c:pt>
                <c:pt idx="56">
                  <c:v>1.911387355513587E-6</c:v>
                </c:pt>
                <c:pt idx="57">
                  <c:v>1.9927178426507967E-6</c:v>
                </c:pt>
                <c:pt idx="58">
                  <c:v>2.0701461776769686E-6</c:v>
                </c:pt>
                <c:pt idx="59">
                  <c:v>2.1429731886674939E-6</c:v>
                </c:pt>
                <c:pt idx="60">
                  <c:v>2.210446837286528E-6</c:v>
                </c:pt>
                <c:pt idx="61">
                  <c:v>2.2717590908383585E-6</c:v>
                </c:pt>
                <c:pt idx="62">
                  <c:v>2.3260426179331726E-6</c:v>
                </c:pt>
                <c:pt idx="63">
                  <c:v>2.3723672939561869E-6</c:v>
                </c:pt>
                <c:pt idx="64">
                  <c:v>2.4097148679619544E-6</c:v>
                </c:pt>
                <c:pt idx="65">
                  <c:v>2.4372037234797143E-6</c:v>
                </c:pt>
                <c:pt idx="66">
                  <c:v>2.4564584693648685E-6</c:v>
                </c:pt>
                <c:pt idx="67">
                  <c:v>2.4666129743387862E-6</c:v>
                </c:pt>
                <c:pt idx="68">
                  <c:v>2.4667405295768349E-6</c:v>
                </c:pt>
                <c:pt idx="69">
                  <c:v>2.4558493828707969E-6</c:v>
                </c:pt>
                <c:pt idx="70">
                  <c:v>2.4328779084128239E-6</c:v>
                </c:pt>
                <c:pt idx="71">
                  <c:v>2.4017595946514579E-6</c:v>
                </c:pt>
                <c:pt idx="72">
                  <c:v>2.370326504362107E-6</c:v>
                </c:pt>
                <c:pt idx="73">
                  <c:v>2.3388405743170719E-6</c:v>
                </c:pt>
                <c:pt idx="74">
                  <c:v>2.3075871603258402E-6</c:v>
                </c:pt>
                <c:pt idx="75">
                  <c:v>2.2768769370908606E-6</c:v>
                </c:pt>
                <c:pt idx="76">
                  <c:v>2.2470479743024014E-6</c:v>
                </c:pt>
                <c:pt idx="77">
                  <c:v>2.2184680031931655E-6</c:v>
                </c:pt>
                <c:pt idx="78">
                  <c:v>2.1914342587603572E-6</c:v>
                </c:pt>
                <c:pt idx="79">
                  <c:v>2.1671111527001818E-6</c:v>
                </c:pt>
                <c:pt idx="80">
                  <c:v>2.1457576953227113E-6</c:v>
                </c:pt>
                <c:pt idx="81">
                  <c:v>2.1279698000024508E-6</c:v>
                </c:pt>
                <c:pt idx="82">
                  <c:v>2.1143895238972224E-6</c:v>
                </c:pt>
                <c:pt idx="83">
                  <c:v>2.1057092204105607E-6</c:v>
                </c:pt>
                <c:pt idx="84">
                  <c:v>2.1026761148391464E-6</c:v>
                </c:pt>
                <c:pt idx="85">
                  <c:v>2.1084381813029912E-6</c:v>
                </c:pt>
                <c:pt idx="86">
                  <c:v>2.115319094090109E-6</c:v>
                </c:pt>
                <c:pt idx="87">
                  <c:v>2.1235470143442276E-6</c:v>
                </c:pt>
                <c:pt idx="88">
                  <c:v>2.1333686079576372E-6</c:v>
                </c:pt>
                <c:pt idx="89">
                  <c:v>2.1450508259464511E-6</c:v>
                </c:pt>
                <c:pt idx="90">
                  <c:v>2.1588828687996117E-6</c:v>
                </c:pt>
                <c:pt idx="91">
                  <c:v>2.1751783525941697E-6</c:v>
                </c:pt>
                <c:pt idx="92">
                  <c:v>2.19424933993199E-6</c:v>
                </c:pt>
                <c:pt idx="93">
                  <c:v>2.2272569470081684E-6</c:v>
                </c:pt>
                <c:pt idx="94">
                  <c:v>2.274410695347226E-6</c:v>
                </c:pt>
                <c:pt idx="95">
                  <c:v>2.3373062033145264E-6</c:v>
                </c:pt>
                <c:pt idx="96">
                  <c:v>2.4176757307712337E-6</c:v>
                </c:pt>
                <c:pt idx="97">
                  <c:v>2.5173970163189248E-6</c:v>
                </c:pt>
                <c:pt idx="98">
                  <c:v>2.6385024403454198E-6</c:v>
                </c:pt>
                <c:pt idx="99">
                  <c:v>2.8117949857544118E-6</c:v>
                </c:pt>
                <c:pt idx="100">
                  <c:v>3.0389108218386266E-6</c:v>
                </c:pt>
                <c:pt idx="101">
                  <c:v>3.3256056050957497E-6</c:v>
                </c:pt>
                <c:pt idx="102">
                  <c:v>3.6780893780974475E-6</c:v>
                </c:pt>
                <c:pt idx="103">
                  <c:v>4.1030515476007558E-6</c:v>
                </c:pt>
                <c:pt idx="104">
                  <c:v>4.6076860857243142E-6</c:v>
                </c:pt>
                <c:pt idx="105">
                  <c:v>5.1997167752771779E-6</c:v>
                </c:pt>
                <c:pt idx="106">
                  <c:v>5.8875357293739619E-6</c:v>
                </c:pt>
                <c:pt idx="107">
                  <c:v>6.7189404438905827E-6</c:v>
                </c:pt>
                <c:pt idx="108">
                  <c:v>7.688792267776127E-6</c:v>
                </c:pt>
                <c:pt idx="109">
                  <c:v>8.8101684578923113E-6</c:v>
                </c:pt>
                <c:pt idx="110">
                  <c:v>1.0097136812587108E-5</c:v>
                </c:pt>
                <c:pt idx="111">
                  <c:v>1.156480016888078E-5</c:v>
                </c:pt>
                <c:pt idx="112">
                  <c:v>1.3229321707598427E-5</c:v>
                </c:pt>
                <c:pt idx="113">
                  <c:v>1.5134514900321237E-5</c:v>
                </c:pt>
                <c:pt idx="114">
                  <c:v>1.725052067019766E-5</c:v>
                </c:pt>
                <c:pt idx="115">
                  <c:v>1.9594341492268924E-5</c:v>
                </c:pt>
                <c:pt idx="116">
                  <c:v>2.2184080339007046E-5</c:v>
                </c:pt>
                <c:pt idx="117">
                  <c:v>2.5038990558912567E-5</c:v>
                </c:pt>
                <c:pt idx="118">
                  <c:v>2.8179525600129699E-5</c:v>
                </c:pt>
                <c:pt idx="119">
                  <c:v>3.1627388255069581E-5</c:v>
                </c:pt>
                <c:pt idx="120">
                  <c:v>3.5405836816237815E-5</c:v>
                </c:pt>
                <c:pt idx="121">
                  <c:v>3.9573078929543953E-5</c:v>
                </c:pt>
                <c:pt idx="122">
                  <c:v>4.4088771158398262E-5</c:v>
                </c:pt>
                <c:pt idx="123">
                  <c:v>4.8975741971504905E-5</c:v>
                </c:pt>
                <c:pt idx="124">
                  <c:v>5.4257835934579965E-5</c:v>
                </c:pt>
                <c:pt idx="125">
                  <c:v>5.9959906904193276E-5</c:v>
                </c:pt>
                <c:pt idx="126">
                  <c:v>6.6107804012652756E-5</c:v>
                </c:pt>
                <c:pt idx="127">
                  <c:v>7.2734239592243382E-5</c:v>
                </c:pt>
                <c:pt idx="128">
                  <c:v>7.9819894247396919E-5</c:v>
                </c:pt>
                <c:pt idx="129">
                  <c:v>8.7388552881214644E-5</c:v>
                </c:pt>
                <c:pt idx="130">
                  <c:v>9.5464520623841706E-5</c:v>
                </c:pt>
                <c:pt idx="131">
                  <c:v>1.0407255619111435E-4</c:v>
                </c:pt>
                <c:pt idx="132">
                  <c:v>1.1323779586001682E-4</c:v>
                </c:pt>
                <c:pt idx="133">
                  <c:v>1.2298566774887439E-4</c:v>
                </c:pt>
                <c:pt idx="134">
                  <c:v>1.3334412091411951E-4</c:v>
                </c:pt>
                <c:pt idx="135">
                  <c:v>1.4433968469725704E-4</c:v>
                </c:pt>
                <c:pt idx="136">
                  <c:v>1.5593978644053806E-4</c:v>
                </c:pt>
                <c:pt idx="137">
                  <c:v>1.6816519367943034E-4</c:v>
                </c:pt>
                <c:pt idx="138">
                  <c:v>1.8103635821667348E-4</c:v>
                </c:pt>
                <c:pt idx="139">
                  <c:v>1.9457331035253558E-4</c:v>
                </c:pt>
                <c:pt idx="140">
                  <c:v>2.0879554851765237E-4</c:v>
                </c:pt>
                <c:pt idx="141">
                  <c:v>2.2372440421361924E-4</c:v>
                </c:pt>
                <c:pt idx="142">
                  <c:v>2.3936665217301183E-4</c:v>
                </c:pt>
                <c:pt idx="143">
                  <c:v>2.5573727898933665E-4</c:v>
                </c:pt>
                <c:pt idx="144">
                  <c:v>2.7285154113612458E-4</c:v>
                </c:pt>
                <c:pt idx="145">
                  <c:v>2.9072359731326374E-4</c:v>
                </c:pt>
                <c:pt idx="146">
                  <c:v>3.0936639940346938E-4</c:v>
                </c:pt>
                <c:pt idx="147">
                  <c:v>3.2879158599125649E-4</c:v>
                </c:pt>
                <c:pt idx="148">
                  <c:v>3.4900958941919304E-4</c:v>
                </c:pt>
                <c:pt idx="149">
                  <c:v>3.6987434531959206E-4</c:v>
                </c:pt>
                <c:pt idx="150">
                  <c:v>3.9138406069450562E-4</c:v>
                </c:pt>
                <c:pt idx="151">
                  <c:v>4.1353114325630387E-4</c:v>
                </c:pt>
                <c:pt idx="152">
                  <c:v>4.3630617719914324E-4</c:v>
                </c:pt>
                <c:pt idx="153">
                  <c:v>4.5969792338537599E-4</c:v>
                </c:pt>
                <c:pt idx="154">
                  <c:v>4.8369333265606897E-4</c:v>
                </c:pt>
                <c:pt idx="155">
                  <c:v>5.0795421825091259E-4</c:v>
                </c:pt>
                <c:pt idx="156">
                  <c:v>5.3243196430792625E-4</c:v>
                </c:pt>
                <c:pt idx="157">
                  <c:v>5.5707933587619603E-4</c:v>
                </c:pt>
                <c:pt idx="158">
                  <c:v>5.8184696187027474E-4</c:v>
                </c:pt>
                <c:pt idx="159">
                  <c:v>6.0668349704560921E-4</c:v>
                </c:pt>
                <c:pt idx="160">
                  <c:v>6.3153579855192924E-4</c:v>
                </c:pt>
                <c:pt idx="161">
                  <c:v>6.563491153180358E-4</c:v>
                </c:pt>
                <c:pt idx="162">
                  <c:v>6.8107493642347906E-4</c:v>
                </c:pt>
                <c:pt idx="163">
                  <c:v>7.0532970029702337E-4</c:v>
                </c:pt>
                <c:pt idx="164">
                  <c:v>7.2926229665700652E-4</c:v>
                </c:pt>
                <c:pt idx="165">
                  <c:v>7.5279979033279645E-4</c:v>
                </c:pt>
                <c:pt idx="166">
                  <c:v>7.758677965079378E-4</c:v>
                </c:pt>
                <c:pt idx="167">
                  <c:v>7.983907567824999E-4</c:v>
                </c:pt>
                <c:pt idx="168">
                  <c:v>8.2029222505193469E-4</c:v>
                </c:pt>
                <c:pt idx="169">
                  <c:v>8.4111507910908162E-4</c:v>
                </c:pt>
                <c:pt idx="170">
                  <c:v>8.6122753258837065E-4</c:v>
                </c:pt>
                <c:pt idx="171">
                  <c:v>8.8055752400886843E-4</c:v>
                </c:pt>
                <c:pt idx="172">
                  <c:v>8.9903328418810397E-4</c:v>
                </c:pt>
                <c:pt idx="173">
                  <c:v>9.1657424103331036E-4</c:v>
                </c:pt>
                <c:pt idx="174">
                  <c:v>9.3309948422030389E-4</c:v>
                </c:pt>
                <c:pt idx="175">
                  <c:v>9.4853805819574029E-4</c:v>
                </c:pt>
                <c:pt idx="176">
                  <c:v>9.6283834714740017E-4</c:v>
                </c:pt>
                <c:pt idx="177">
                  <c:v>9.7541848237021867E-4</c:v>
                </c:pt>
                <c:pt idx="178">
                  <c:v>9.8664573103760217E-4</c:v>
                </c:pt>
                <c:pt idx="179">
                  <c:v>9.9646116287951253E-4</c:v>
                </c:pt>
                <c:pt idx="180">
                  <c:v>1.0048083907813969E-3</c:v>
                </c:pt>
                <c:pt idx="181">
                  <c:v>1.0116336637965655E-3</c:v>
                </c:pt>
                <c:pt idx="182">
                  <c:v>1.0168859358867116E-3</c:v>
                </c:pt>
                <c:pt idx="183">
                  <c:v>1.0201747887082877E-3</c:v>
                </c:pt>
                <c:pt idx="184">
                  <c:v>1.0219356871585283E-3</c:v>
                </c:pt>
                <c:pt idx="185">
                  <c:v>1.0221323497353549E-3</c:v>
                </c:pt>
                <c:pt idx="186">
                  <c:v>1.0207310339539978E-3</c:v>
                </c:pt>
                <c:pt idx="187">
                  <c:v>1.0177004867271647E-3</c:v>
                </c:pt>
                <c:pt idx="188">
                  <c:v>1.01301187777477E-3</c:v>
                </c:pt>
                <c:pt idx="189">
                  <c:v>1.0066387175536894E-3</c:v>
                </c:pt>
                <c:pt idx="190">
                  <c:v>9.9856497470668859E-4</c:v>
                </c:pt>
                <c:pt idx="191">
                  <c:v>9.8878186271950151E-4</c:v>
                </c:pt>
                <c:pt idx="192">
                  <c:v>9.7792876531213927E-4</c:v>
                </c:pt>
                <c:pt idx="193">
                  <c:v>9.6600533315553336E-4</c:v>
                </c:pt>
                <c:pt idx="194">
                  <c:v>9.5301221328782451E-4</c:v>
                </c:pt>
                <c:pt idx="195">
                  <c:v>9.3895097220161275E-4</c:v>
                </c:pt>
                <c:pt idx="196">
                  <c:v>9.2382402120440451E-4</c:v>
                </c:pt>
                <c:pt idx="197">
                  <c:v>9.0762353555944486E-4</c:v>
                </c:pt>
                <c:pt idx="198">
                  <c:v>8.907605111491653E-4</c:v>
                </c:pt>
                <c:pt idx="199">
                  <c:v>8.7325028689114355E-4</c:v>
                </c:pt>
                <c:pt idx="200">
                  <c:v>8.5510831185446113E-4</c:v>
                </c:pt>
                <c:pt idx="201">
                  <c:v>8.3635009559873989E-4</c:v>
                </c:pt>
                <c:pt idx="202">
                  <c:v>8.1699116526278792E-4</c:v>
                </c:pt>
                <c:pt idx="203">
                  <c:v>7.9704702944460035E-4</c:v>
                </c:pt>
                <c:pt idx="204">
                  <c:v>7.7653618309777065E-4</c:v>
                </c:pt>
                <c:pt idx="205">
                  <c:v>7.555150878137399E-4</c:v>
                </c:pt>
                <c:pt idx="206">
                  <c:v>7.3399377157620685E-4</c:v>
                </c:pt>
                <c:pt idx="207">
                  <c:v>7.1199052057173765E-4</c:v>
                </c:pt>
                <c:pt idx="208">
                  <c:v>6.8952301487033895E-4</c:v>
                </c:pt>
                <c:pt idx="209">
                  <c:v>6.6660830324959531E-4</c:v>
                </c:pt>
                <c:pt idx="210">
                  <c:v>6.4326278418712986E-4</c:v>
                </c:pt>
                <c:pt idx="211">
                  <c:v>6.1977207803053287E-4</c:v>
                </c:pt>
                <c:pt idx="212">
                  <c:v>5.961685554221061E-4</c:v>
                </c:pt>
                <c:pt idx="213">
                  <c:v>5.7247159738426441E-4</c:v>
                </c:pt>
                <c:pt idx="214">
                  <c:v>5.4869971625851131E-4</c:v>
                </c:pt>
                <c:pt idx="215">
                  <c:v>5.248705750423374E-4</c:v>
                </c:pt>
                <c:pt idx="216">
                  <c:v>5.0100100938738393E-4</c:v>
                </c:pt>
                <c:pt idx="217">
                  <c:v>4.7710705168130409E-4</c:v>
                </c:pt>
                <c:pt idx="218">
                  <c:v>4.5320331171536256E-4</c:v>
                </c:pt>
                <c:pt idx="219">
                  <c:v>4.2960742940343938E-4</c:v>
                </c:pt>
                <c:pt idx="220">
                  <c:v>4.0629744634297491E-4</c:v>
                </c:pt>
                <c:pt idx="221">
                  <c:v>3.8328953936689699E-4</c:v>
                </c:pt>
                <c:pt idx="222">
                  <c:v>3.6059941611097312E-4</c:v>
                </c:pt>
                <c:pt idx="223">
                  <c:v>3.3824234387128138E-4</c:v>
                </c:pt>
                <c:pt idx="224">
                  <c:v>3.1623317652593755E-4</c:v>
                </c:pt>
                <c:pt idx="225">
                  <c:v>2.9516645323104614E-4</c:v>
                </c:pt>
                <c:pt idx="226">
                  <c:v>2.7477216251156107E-4</c:v>
                </c:pt>
                <c:pt idx="227">
                  <c:v>2.5506764207492138E-4</c:v>
                </c:pt>
                <c:pt idx="228">
                  <c:v>2.3606974848772915E-4</c:v>
                </c:pt>
                <c:pt idx="229">
                  <c:v>2.1779487104553474E-4</c:v>
                </c:pt>
                <c:pt idx="230">
                  <c:v>2.0025894286080555E-4</c:v>
                </c:pt>
                <c:pt idx="231">
                  <c:v>1.8347744926137052E-4</c:v>
                </c:pt>
                <c:pt idx="232">
                  <c:v>1.6746266890482137E-4</c:v>
                </c:pt>
                <c:pt idx="233">
                  <c:v>1.5283398430392399E-4</c:v>
                </c:pt>
                <c:pt idx="234">
                  <c:v>1.3928965012790552E-4</c:v>
                </c:pt>
                <c:pt idx="235">
                  <c:v>1.2684807678363535E-4</c:v>
                </c:pt>
                <c:pt idx="236">
                  <c:v>1.1552647020846367E-4</c:v>
                </c:pt>
                <c:pt idx="237">
                  <c:v>1.0534083231810623E-4</c:v>
                </c:pt>
                <c:pt idx="238">
                  <c:v>9.6306177966940307E-5</c:v>
                </c:pt>
                <c:pt idx="239">
                  <c:v>8.8732015824192451E-5</c:v>
                </c:pt>
                <c:pt idx="240">
                  <c:v>8.2021814432273242E-5</c:v>
                </c:pt>
                <c:pt idx="241">
                  <c:v>7.618550891108118E-5</c:v>
                </c:pt>
                <c:pt idx="242">
                  <c:v>7.1232595170835967E-5</c:v>
                </c:pt>
                <c:pt idx="243">
                  <c:v>6.7172225147345537E-5</c:v>
                </c:pt>
                <c:pt idx="244">
                  <c:v>6.4013303425859401E-5</c:v>
                </c:pt>
                <c:pt idx="245">
                  <c:v>6.1764585230484096E-5</c:v>
                </c:pt>
                <c:pt idx="246">
                  <c:v>6.0432439972975377E-5</c:v>
                </c:pt>
                <c:pt idx="247">
                  <c:v>6.011129081373592E-5</c:v>
                </c:pt>
                <c:pt idx="248">
                  <c:v>6.0176532303049208E-5</c:v>
                </c:pt>
                <c:pt idx="249">
                  <c:v>6.0631835711821132E-5</c:v>
                </c:pt>
                <c:pt idx="250">
                  <c:v>6.1480795819415345E-5</c:v>
                </c:pt>
                <c:pt idx="251">
                  <c:v>6.2726955216374066E-5</c:v>
                </c:pt>
                <c:pt idx="252">
                  <c:v>6.4373828649184835E-5</c:v>
                </c:pt>
                <c:pt idx="253">
                  <c:v>6.6463364466990419E-5</c:v>
                </c:pt>
                <c:pt idx="254">
                  <c:v>6.8691250357315225E-5</c:v>
                </c:pt>
                <c:pt idx="255">
                  <c:v>7.1058923618494264E-5</c:v>
                </c:pt>
                <c:pt idx="256">
                  <c:v>7.3567877161951278E-5</c:v>
                </c:pt>
                <c:pt idx="257">
                  <c:v>7.6219668255685701E-5</c:v>
                </c:pt>
                <c:pt idx="258">
                  <c:v>7.9015927613150126E-5</c:v>
                </c:pt>
                <c:pt idx="259">
                  <c:v>8.1958368954693542E-5</c:v>
                </c:pt>
                <c:pt idx="260">
                  <c:v>8.5047647452616071E-5</c:v>
                </c:pt>
                <c:pt idx="261">
                  <c:v>8.8615782620483466E-5</c:v>
                </c:pt>
                <c:pt idx="262">
                  <c:v>9.2574630887104519E-5</c:v>
                </c:pt>
                <c:pt idx="263">
                  <c:v>9.6927003580992764E-5</c:v>
                </c:pt>
                <c:pt idx="264">
                  <c:v>1.0167566810681616E-4</c:v>
                </c:pt>
                <c:pt idx="265">
                  <c:v>1.0682390479974131E-4</c:v>
                </c:pt>
                <c:pt idx="266">
                  <c:v>1.1237474624711897E-4</c:v>
                </c:pt>
                <c:pt idx="267">
                  <c:v>1.1834676863412917E-4</c:v>
                </c:pt>
                <c:pt idx="268">
                  <c:v>1.2470252716449752E-4</c:v>
                </c:pt>
                <c:pt idx="269">
                  <c:v>1.3144414649491259E-4</c:v>
                </c:pt>
                <c:pt idx="270">
                  <c:v>1.3857361340322867E-4</c:v>
                </c:pt>
                <c:pt idx="271">
                  <c:v>1.4609276297724026E-4</c:v>
                </c:pt>
                <c:pt idx="272">
                  <c:v>1.5400326577524249E-4</c:v>
                </c:pt>
                <c:pt idx="273">
                  <c:v>1.6230661622666735E-4</c:v>
                </c:pt>
                <c:pt idx="274">
                  <c:v>1.7100669739604751E-4</c:v>
                </c:pt>
                <c:pt idx="275">
                  <c:v>1.7955232117201276E-4</c:v>
                </c:pt>
                <c:pt idx="276">
                  <c:v>1.8759531668890498E-4</c:v>
                </c:pt>
                <c:pt idx="277">
                  <c:v>1.9512998803246766E-4</c:v>
                </c:pt>
                <c:pt idx="278">
                  <c:v>2.0215052251789064E-4</c:v>
                </c:pt>
                <c:pt idx="279">
                  <c:v>2.0865103533995217E-4</c:v>
                </c:pt>
                <c:pt idx="280">
                  <c:v>2.1462561465049066E-4</c:v>
                </c:pt>
                <c:pt idx="281">
                  <c:v>2.1984278560274251E-4</c:v>
                </c:pt>
                <c:pt idx="282">
                  <c:v>2.242785962043435E-4</c:v>
                </c:pt>
                <c:pt idx="283">
                  <c:v>2.2792581135012537E-4</c:v>
                </c:pt>
                <c:pt idx="284">
                  <c:v>2.307774495456804E-4</c:v>
                </c:pt>
                <c:pt idx="285">
                  <c:v>2.3282683846069521E-4</c:v>
                </c:pt>
                <c:pt idx="286">
                  <c:v>2.3406766786816387E-4</c:v>
                </c:pt>
                <c:pt idx="287">
                  <c:v>2.3449403949038963E-4</c:v>
                </c:pt>
                <c:pt idx="288">
                  <c:v>2.3410246695869594E-4</c:v>
                </c:pt>
                <c:pt idx="289">
                  <c:v>2.329610297389417E-4</c:v>
                </c:pt>
                <c:pt idx="290">
                  <c:v>2.3164021518838458E-4</c:v>
                </c:pt>
                <c:pt idx="291">
                  <c:v>2.3014083600475529E-4</c:v>
                </c:pt>
                <c:pt idx="292">
                  <c:v>2.2846387455293009E-4</c:v>
                </c:pt>
                <c:pt idx="293">
                  <c:v>2.2661047138131815E-4</c:v>
                </c:pt>
                <c:pt idx="294">
                  <c:v>2.2458191146756338E-4</c:v>
                </c:pt>
                <c:pt idx="295">
                  <c:v>2.2242406256468467E-4</c:v>
                </c:pt>
                <c:pt idx="296">
                  <c:v>2.2037273620735694E-4</c:v>
                </c:pt>
                <c:pt idx="297">
                  <c:v>2.184324119604322E-4</c:v>
                </c:pt>
                <c:pt idx="298">
                  <c:v>2.166057914054514E-4</c:v>
                </c:pt>
                <c:pt idx="299">
                  <c:v>2.1489566292556036E-4</c:v>
                </c:pt>
                <c:pt idx="300">
                  <c:v>2.133049090017709E-4</c:v>
                </c:pt>
                <c:pt idx="301">
                  <c:v>2.1183651448228481E-4</c:v>
                </c:pt>
                <c:pt idx="302">
                  <c:v>2.1051022143217998E-4</c:v>
                </c:pt>
                <c:pt idx="303">
                  <c:v>2.0940217465289344E-4</c:v>
                </c:pt>
                <c:pt idx="304">
                  <c:v>2.0843602546252163E-4</c:v>
                </c:pt>
                <c:pt idx="305">
                  <c:v>2.0760654029450604E-4</c:v>
                </c:pt>
                <c:pt idx="306">
                  <c:v>2.0690853658791541E-4</c:v>
                </c:pt>
                <c:pt idx="307">
                  <c:v>2.0633682261398507E-4</c:v>
                </c:pt>
                <c:pt idx="308">
                  <c:v>2.0588613856981072E-4</c:v>
                </c:pt>
                <c:pt idx="309">
                  <c:v>2.0575256558175224E-4</c:v>
                </c:pt>
                <c:pt idx="310">
                  <c:v>2.058863910729001E-4</c:v>
                </c:pt>
                <c:pt idx="311">
                  <c:v>2.0628303674524593E-4</c:v>
                </c:pt>
                <c:pt idx="312">
                  <c:v>2.0693757134004673E-4</c:v>
                </c:pt>
                <c:pt idx="313">
                  <c:v>2.0784460243456751E-4</c:v>
                </c:pt>
                <c:pt idx="314">
                  <c:v>2.0899816680313791E-4</c:v>
                </c:pt>
                <c:pt idx="315">
                  <c:v>2.1039162038125712E-4</c:v>
                </c:pt>
                <c:pt idx="316">
                  <c:v>2.1204748055080624E-4</c:v>
                </c:pt>
                <c:pt idx="317">
                  <c:v>2.1394786755167568E-4</c:v>
                </c:pt>
                <c:pt idx="318">
                  <c:v>2.160296974959141E-4</c:v>
                </c:pt>
                <c:pt idx="319">
                  <c:v>2.1829370857020053E-4</c:v>
                </c:pt>
                <c:pt idx="320">
                  <c:v>2.2074049919448491E-4</c:v>
                </c:pt>
                <c:pt idx="321">
                  <c:v>2.233704957258946E-4</c:v>
                </c:pt>
                <c:pt idx="322">
                  <c:v>2.2618391762986245E-4</c:v>
                </c:pt>
                <c:pt idx="323">
                  <c:v>2.288823283568297E-4</c:v>
                </c:pt>
                <c:pt idx="324">
                  <c:v>2.3125412425609518E-4</c:v>
                </c:pt>
                <c:pt idx="325">
                  <c:v>2.332946324337661E-4</c:v>
                </c:pt>
                <c:pt idx="326">
                  <c:v>2.3499730274816681E-4</c:v>
                </c:pt>
                <c:pt idx="327">
                  <c:v>2.3635613173675834E-4</c:v>
                </c:pt>
                <c:pt idx="328">
                  <c:v>2.3736596168789009E-4</c:v>
                </c:pt>
                <c:pt idx="329">
                  <c:v>2.3802131794164043E-4</c:v>
                </c:pt>
                <c:pt idx="330">
                  <c:v>2.3835716689234922E-4</c:v>
                </c:pt>
                <c:pt idx="331">
                  <c:v>2.3857102318559342E-4</c:v>
                </c:pt>
                <c:pt idx="332">
                  <c:v>2.3869617034883421E-4</c:v>
                </c:pt>
                <c:pt idx="333">
                  <c:v>2.3871731445520433E-4</c:v>
                </c:pt>
                <c:pt idx="334">
                  <c:v>2.3861834641474656E-4</c:v>
                </c:pt>
                <c:pt idx="335">
                  <c:v>2.3838241289055097E-4</c:v>
                </c:pt>
                <c:pt idx="336">
                  <c:v>2.379920162536631E-4</c:v>
                </c:pt>
                <c:pt idx="337">
                  <c:v>2.3753677786097886E-4</c:v>
                </c:pt>
                <c:pt idx="338">
                  <c:v>2.3731116990263125E-4</c:v>
                </c:pt>
                <c:pt idx="339">
                  <c:v>2.3730008223546724E-4</c:v>
                </c:pt>
                <c:pt idx="340">
                  <c:v>2.3748760495572509E-4</c:v>
                </c:pt>
                <c:pt idx="341">
                  <c:v>2.3785695637436384E-4</c:v>
                </c:pt>
                <c:pt idx="342">
                  <c:v>2.3839043635163405E-4</c:v>
                </c:pt>
                <c:pt idx="343">
                  <c:v>2.3906940869417636E-4</c:v>
                </c:pt>
                <c:pt idx="344">
                  <c:v>2.3990502285273541E-4</c:v>
                </c:pt>
                <c:pt idx="345">
                  <c:v>2.4092229691836795E-4</c:v>
                </c:pt>
                <c:pt idx="346">
                  <c:v>2.4183545414326767E-4</c:v>
                </c:pt>
                <c:pt idx="347">
                  <c:v>2.4264613013480713E-4</c:v>
                </c:pt>
                <c:pt idx="348">
                  <c:v>2.4335632550911724E-4</c:v>
                </c:pt>
                <c:pt idx="349">
                  <c:v>2.4396839023752538E-4</c:v>
                </c:pt>
                <c:pt idx="350">
                  <c:v>2.4448500563678191E-4</c:v>
                </c:pt>
                <c:pt idx="351">
                  <c:v>2.4479775576589263E-4</c:v>
                </c:pt>
                <c:pt idx="352">
                  <c:v>2.448030332029162E-4</c:v>
                </c:pt>
                <c:pt idx="353">
                  <c:v>2.4450647751073101E-4</c:v>
                </c:pt>
                <c:pt idx="354">
                  <c:v>2.4391434962770981E-4</c:v>
                </c:pt>
                <c:pt idx="355">
                  <c:v>2.4303346492807312E-4</c:v>
                </c:pt>
                <c:pt idx="356">
                  <c:v>2.4186806588805097E-4</c:v>
                </c:pt>
                <c:pt idx="357">
                  <c:v>2.4042872432671953E-4</c:v>
                </c:pt>
                <c:pt idx="358">
                  <c:v>2.3867931575078947E-4</c:v>
                </c:pt>
                <c:pt idx="359">
                  <c:v>2.3659225914167875E-4</c:v>
                </c:pt>
                <c:pt idx="360">
                  <c:v>2.3429189100089277E-4</c:v>
                </c:pt>
                <c:pt idx="361">
                  <c:v>2.3190347663275547E-4</c:v>
                </c:pt>
                <c:pt idx="362">
                  <c:v>2.2944318441396163E-4</c:v>
                </c:pt>
                <c:pt idx="363">
                  <c:v>2.2692659640840621E-4</c:v>
                </c:pt>
                <c:pt idx="364">
                  <c:v>2.2436861963048049E-4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97560"/>
        <c:axId val="640297952"/>
      </c:lineChart>
      <c:dateAx>
        <c:axId val="6402975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7952"/>
        <c:crosses val="autoZero"/>
        <c:auto val="1"/>
        <c:lblOffset val="100"/>
        <c:baseTimeUnit val="days"/>
        <c:majorUnit val="1"/>
        <c:majorTimeUnit val="months"/>
      </c:dateAx>
      <c:valAx>
        <c:axId val="6402979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75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4.8724168818709002E-3</c:v>
                </c:pt>
                <c:pt idx="1">
                  <c:v>4.8942127298687854E-3</c:v>
                </c:pt>
                <c:pt idx="2">
                  <c:v>4.9160081004816503E-3</c:v>
                </c:pt>
                <c:pt idx="3">
                  <c:v>4.9378029937200418E-3</c:v>
                </c:pt>
                <c:pt idx="4">
                  <c:v>4.9595974095942852E-3</c:v>
                </c:pt>
                <c:pt idx="5">
                  <c:v>4.9813913481149275E-3</c:v>
                </c:pt>
                <c:pt idx="6">
                  <c:v>5.0031848092922937E-3</c:v>
                </c:pt>
                <c:pt idx="7">
                  <c:v>5.0249777931370421E-3</c:v>
                </c:pt>
                <c:pt idx="8">
                  <c:v>5.0467702996593866E-3</c:v>
                </c:pt>
                <c:pt idx="9">
                  <c:v>5.0685623288699855E-3</c:v>
                </c:pt>
                <c:pt idx="10">
                  <c:v>5.0903538807792748E-3</c:v>
                </c:pt>
                <c:pt idx="11">
                  <c:v>5.1121449553975795E-3</c:v>
                </c:pt>
                <c:pt idx="12">
                  <c:v>5.1339355527353359E-3</c:v>
                </c:pt>
                <c:pt idx="13">
                  <c:v>5.1557256728032019E-3</c:v>
                </c:pt>
                <c:pt idx="14">
                  <c:v>5.1775153156115028E-3</c:v>
                </c:pt>
                <c:pt idx="15">
                  <c:v>5.1993044811706746E-3</c:v>
                </c:pt>
                <c:pt idx="16">
                  <c:v>5.2210931694912643E-3</c:v>
                </c:pt>
                <c:pt idx="17">
                  <c:v>5.2428813805835972E-3</c:v>
                </c:pt>
                <c:pt idx="18">
                  <c:v>5.2646691144582203E-3</c:v>
                </c:pt>
                <c:pt idx="19">
                  <c:v>5.2864563711255697E-3</c:v>
                </c:pt>
                <c:pt idx="20">
                  <c:v>5.3082431505960814E-3</c:v>
                </c:pt>
                <c:pt idx="21">
                  <c:v>5.3300294528800807E-3</c:v>
                </c:pt>
                <c:pt idx="22">
                  <c:v>5.3518152779883366E-3</c:v>
                </c:pt>
                <c:pt idx="23">
                  <c:v>5.3736006259309521E-3</c:v>
                </c:pt>
                <c:pt idx="24">
                  <c:v>5.3953854967185855E-3</c:v>
                </c:pt>
                <c:pt idx="25">
                  <c:v>5.4171698903616727E-3</c:v>
                </c:pt>
                <c:pt idx="26">
                  <c:v>5.43895380687065E-3</c:v>
                </c:pt>
                <c:pt idx="27">
                  <c:v>5.4607372462559534E-3</c:v>
                </c:pt>
                <c:pt idx="28">
                  <c:v>5.4825202085280189E-3</c:v>
                </c:pt>
                <c:pt idx="29">
                  <c:v>5.5043026936972828E-3</c:v>
                </c:pt>
                <c:pt idx="30">
                  <c:v>5.526084701774181E-3</c:v>
                </c:pt>
                <c:pt idx="31">
                  <c:v>5.5478662327692607E-3</c:v>
                </c:pt>
                <c:pt idx="32">
                  <c:v>5.569647286692847E-3</c:v>
                </c:pt>
                <c:pt idx="33">
                  <c:v>5.591427863555487E-3</c:v>
                </c:pt>
                <c:pt idx="34">
                  <c:v>5.6132079633676168E-3</c:v>
                </c:pt>
                <c:pt idx="35">
                  <c:v>5.6349875861396725E-3</c:v>
                </c:pt>
                <c:pt idx="36">
                  <c:v>5.6567667318819792E-3</c:v>
                </c:pt>
                <c:pt idx="37">
                  <c:v>5.678545400605195E-3</c:v>
                </c:pt>
                <c:pt idx="38">
                  <c:v>5.7003235923197559E-3</c:v>
                </c:pt>
                <c:pt idx="39">
                  <c:v>5.7221013070358762E-3</c:v>
                </c:pt>
                <c:pt idx="40">
                  <c:v>5.7438785447642138E-3</c:v>
                </c:pt>
                <c:pt idx="41">
                  <c:v>5.7656553055152049E-3</c:v>
                </c:pt>
                <c:pt idx="42">
                  <c:v>5.7874315892991746E-3</c:v>
                </c:pt>
                <c:pt idx="43">
                  <c:v>5.8092073961266699E-3</c:v>
                </c:pt>
                <c:pt idx="44">
                  <c:v>5.8309827260081271E-3</c:v>
                </c:pt>
                <c:pt idx="45">
                  <c:v>5.8527575789538711E-3</c:v>
                </c:pt>
                <c:pt idx="46">
                  <c:v>5.87453195497456E-3</c:v>
                </c:pt>
                <c:pt idx="47">
                  <c:v>5.8963058540805191E-3</c:v>
                </c:pt>
                <c:pt idx="48">
                  <c:v>5.9180792762821843E-3</c:v>
                </c:pt>
                <c:pt idx="49">
                  <c:v>5.9398522215899918E-3</c:v>
                </c:pt>
                <c:pt idx="50">
                  <c:v>5.9616246900144887E-3</c:v>
                </c:pt>
                <c:pt idx="51">
                  <c:v>5.983396681566E-3</c:v>
                </c:pt>
                <c:pt idx="52">
                  <c:v>6.0051681962550729E-3</c:v>
                </c:pt>
                <c:pt idx="53">
                  <c:v>6.0269392340920325E-3</c:v>
                </c:pt>
                <c:pt idx="54">
                  <c:v>6.0487097950874258E-3</c:v>
                </c:pt>
                <c:pt idx="55">
                  <c:v>6.070479879251689E-3</c:v>
                </c:pt>
                <c:pt idx="56">
                  <c:v>6.0922494865951471E-3</c:v>
                </c:pt>
                <c:pt idx="57">
                  <c:v>6.1140186171284583E-3</c:v>
                </c:pt>
                <c:pt idx="58">
                  <c:v>6.1357872708618366E-3</c:v>
                </c:pt>
                <c:pt idx="59">
                  <c:v>6.1575554478058292E-3</c:v>
                </c:pt>
                <c:pt idx="60">
                  <c:v>6.1793231479709831E-3</c:v>
                </c:pt>
                <c:pt idx="61">
                  <c:v>6.2010903713675125E-3</c:v>
                </c:pt>
                <c:pt idx="62">
                  <c:v>6.2228571180060754E-3</c:v>
                </c:pt>
                <c:pt idx="63">
                  <c:v>6.244623387896997E-3</c:v>
                </c:pt>
                <c:pt idx="64">
                  <c:v>6.2663891810507133E-3</c:v>
                </c:pt>
                <c:pt idx="65">
                  <c:v>6.2881544974777714E-3</c:v>
                </c:pt>
                <c:pt idx="66">
                  <c:v>6.3099193371884965E-3</c:v>
                </c:pt>
                <c:pt idx="67">
                  <c:v>6.3316837001933246E-3</c:v>
                </c:pt>
                <c:pt idx="68">
                  <c:v>6.3534475865028028E-3</c:v>
                </c:pt>
                <c:pt idx="69">
                  <c:v>6.3752109961273673E-3</c:v>
                </c:pt>
                <c:pt idx="70">
                  <c:v>6.3969739290773431E-3</c:v>
                </c:pt>
                <c:pt idx="71">
                  <c:v>6.4187363853632773E-3</c:v>
                </c:pt>
                <c:pt idx="72">
                  <c:v>6.440498364995495E-3</c:v>
                </c:pt>
                <c:pt idx="73">
                  <c:v>6.4622598679845433E-3</c:v>
                </c:pt>
                <c:pt idx="74">
                  <c:v>6.4840208943408584E-3</c:v>
                </c:pt>
                <c:pt idx="75">
                  <c:v>6.5057814440747652E-3</c:v>
                </c:pt>
                <c:pt idx="76">
                  <c:v>6.527541517196811E-3</c:v>
                </c:pt>
                <c:pt idx="77">
                  <c:v>6.5493011137175428E-3</c:v>
                </c:pt>
                <c:pt idx="78">
                  <c:v>6.5710602336470636E-3</c:v>
                </c:pt>
                <c:pt idx="79">
                  <c:v>6.5928188769961427E-3</c:v>
                </c:pt>
                <c:pt idx="80">
                  <c:v>6.614577043775105E-3</c:v>
                </c:pt>
                <c:pt idx="81">
                  <c:v>6.6363347339942758E-3</c:v>
                </c:pt>
                <c:pt idx="82">
                  <c:v>6.658091947664313E-3</c:v>
                </c:pt>
                <c:pt idx="83">
                  <c:v>6.6798486847954308E-3</c:v>
                </c:pt>
                <c:pt idx="84">
                  <c:v>6.7016049453981763E-3</c:v>
                </c:pt>
                <c:pt idx="85">
                  <c:v>6.7233607294829856E-3</c:v>
                </c:pt>
                <c:pt idx="86">
                  <c:v>6.7451160370602947E-3</c:v>
                </c:pt>
                <c:pt idx="87">
                  <c:v>6.7668708681405398E-3</c:v>
                </c:pt>
                <c:pt idx="88">
                  <c:v>6.788625222734157E-3</c:v>
                </c:pt>
                <c:pt idx="89">
                  <c:v>6.8103791008515824E-3</c:v>
                </c:pt>
                <c:pt idx="90">
                  <c:v>6.832132502503252E-3</c:v>
                </c:pt>
                <c:pt idx="91">
                  <c:v>6.853885427699602E-3</c:v>
                </c:pt>
                <c:pt idx="92">
                  <c:v>6.8756378764510684E-3</c:v>
                </c:pt>
                <c:pt idx="93">
                  <c:v>6.8973898487680874E-3</c:v>
                </c:pt>
                <c:pt idx="94">
                  <c:v>6.919141344660984E-3</c:v>
                </c:pt>
                <c:pt idx="95">
                  <c:v>6.9408923641404163E-3</c:v>
                </c:pt>
                <c:pt idx="96">
                  <c:v>6.9626429072165985E-3</c:v>
                </c:pt>
                <c:pt idx="97">
                  <c:v>6.9843929739001887E-3</c:v>
                </c:pt>
                <c:pt idx="98">
                  <c:v>7.0061425642014008E-3</c:v>
                </c:pt>
                <c:pt idx="99">
                  <c:v>7.0278916781307821E-3</c:v>
                </c:pt>
                <c:pt idx="100">
                  <c:v>7.0496403156987686E-3</c:v>
                </c:pt>
                <c:pt idx="101">
                  <c:v>7.0713884769157964E-3</c:v>
                </c:pt>
                <c:pt idx="102">
                  <c:v>7.0931361617923017E-3</c:v>
                </c:pt>
                <c:pt idx="103">
                  <c:v>7.1148833703386094E-3</c:v>
                </c:pt>
                <c:pt idx="104">
                  <c:v>7.1366301025652668E-3</c:v>
                </c:pt>
                <c:pt idx="105">
                  <c:v>7.1583763584827098E-3</c:v>
                </c:pt>
                <c:pt idx="106">
                  <c:v>7.1801221381013747E-3</c:v>
                </c:pt>
                <c:pt idx="107">
                  <c:v>7.2018674414315864E-3</c:v>
                </c:pt>
                <c:pt idx="108">
                  <c:v>7.2236122684837811E-3</c:v>
                </c:pt>
                <c:pt idx="109">
                  <c:v>7.245356619268617E-3</c:v>
                </c:pt>
                <c:pt idx="110">
                  <c:v>7.2671004937961969E-3</c:v>
                </c:pt>
                <c:pt idx="111">
                  <c:v>7.2888438920772902E-3</c:v>
                </c:pt>
                <c:pt idx="112">
                  <c:v>7.3105868141219998E-3</c:v>
                </c:pt>
                <c:pt idx="113">
                  <c:v>7.3323292599409839E-3</c:v>
                </c:pt>
                <c:pt idx="114">
                  <c:v>7.3540712295446786E-3</c:v>
                </c:pt>
                <c:pt idx="115">
                  <c:v>7.3758127229432979E-3</c:v>
                </c:pt>
                <c:pt idx="116">
                  <c:v>7.3975537401475E-3</c:v>
                </c:pt>
                <c:pt idx="117">
                  <c:v>7.4192942811676099E-3</c:v>
                </c:pt>
                <c:pt idx="118">
                  <c:v>7.4410343460141748E-3</c:v>
                </c:pt>
                <c:pt idx="119">
                  <c:v>7.4627739346974087E-3</c:v>
                </c:pt>
                <c:pt idx="120">
                  <c:v>7.4845130472278587E-3</c:v>
                </c:pt>
                <c:pt idx="121">
                  <c:v>7.506251683615961E-3</c:v>
                </c:pt>
                <c:pt idx="122">
                  <c:v>7.5279898438721515E-3</c:v>
                </c:pt>
                <c:pt idx="123">
                  <c:v>7.5497275280068665E-3</c:v>
                </c:pt>
                <c:pt idx="124">
                  <c:v>7.571464736030431E-3</c:v>
                </c:pt>
                <c:pt idx="125">
                  <c:v>7.5932014679533921E-3</c:v>
                </c:pt>
                <c:pt idx="126">
                  <c:v>7.6149377237861859E-3</c:v>
                </c:pt>
                <c:pt idx="127">
                  <c:v>7.6366735035391375E-3</c:v>
                </c:pt>
                <c:pt idx="128">
                  <c:v>7.658408807222794E-3</c:v>
                </c:pt>
                <c:pt idx="129">
                  <c:v>7.6801436348474805E-3</c:v>
                </c:pt>
                <c:pt idx="130">
                  <c:v>7.7018779864236331E-3</c:v>
                </c:pt>
                <c:pt idx="131">
                  <c:v>7.7236118619616878E-3</c:v>
                </c:pt>
                <c:pt idx="132">
                  <c:v>7.7453452614721918E-3</c:v>
                </c:pt>
                <c:pt idx="133">
                  <c:v>7.7670781849653592E-3</c:v>
                </c:pt>
                <c:pt idx="134">
                  <c:v>7.788810632451848E-3</c:v>
                </c:pt>
                <c:pt idx="135">
                  <c:v>7.8105426039418724E-3</c:v>
                </c:pt>
                <c:pt idx="136">
                  <c:v>7.8322740994459794E-3</c:v>
                </c:pt>
                <c:pt idx="137">
                  <c:v>7.8540051189744942E-3</c:v>
                </c:pt>
                <c:pt idx="138">
                  <c:v>7.8757356625379638E-3</c:v>
                </c:pt>
                <c:pt idx="139">
                  <c:v>7.8974657301467133E-3</c:v>
                </c:pt>
                <c:pt idx="140">
                  <c:v>7.9191953218112898E-3</c:v>
                </c:pt>
                <c:pt idx="141">
                  <c:v>7.9409244375420185E-3</c:v>
                </c:pt>
                <c:pt idx="142">
                  <c:v>7.9626530773493354E-3</c:v>
                </c:pt>
                <c:pt idx="143">
                  <c:v>7.9843812412436765E-3</c:v>
                </c:pt>
                <c:pt idx="144">
                  <c:v>8.0061089292354781E-3</c:v>
                </c:pt>
                <c:pt idx="145">
                  <c:v>8.0278361413351762E-3</c:v>
                </c:pt>
                <c:pt idx="146">
                  <c:v>8.0495628775530959E-3</c:v>
                </c:pt>
                <c:pt idx="147">
                  <c:v>8.0712891378997842E-3</c:v>
                </c:pt>
                <c:pt idx="148">
                  <c:v>8.0930149223855663E-3</c:v>
                </c:pt>
                <c:pt idx="149">
                  <c:v>8.1147402310209893E-3</c:v>
                </c:pt>
                <c:pt idx="150">
                  <c:v>8.1364650638162672E-3</c:v>
                </c:pt>
                <c:pt idx="151">
                  <c:v>8.1581894207820582E-3</c:v>
                </c:pt>
                <c:pt idx="152">
                  <c:v>8.1799133019286874E-3</c:v>
                </c:pt>
                <c:pt idx="153">
                  <c:v>8.2016367072664798E-3</c:v>
                </c:pt>
                <c:pt idx="154">
                  <c:v>8.2233596368059825E-3</c:v>
                </c:pt>
                <c:pt idx="155">
                  <c:v>8.2450820905576316E-3</c:v>
                </c:pt>
                <c:pt idx="156">
                  <c:v>8.2668040685317523E-3</c:v>
                </c:pt>
                <c:pt idx="157">
                  <c:v>8.2885255707387806E-3</c:v>
                </c:pt>
                <c:pt idx="158">
                  <c:v>8.3102465971891526E-3</c:v>
                </c:pt>
                <c:pt idx="159">
                  <c:v>8.3319671478934154E-3</c:v>
                </c:pt>
                <c:pt idx="160">
                  <c:v>8.3536872228617831E-3</c:v>
                </c:pt>
                <c:pt idx="161">
                  <c:v>8.3754068221046918E-3</c:v>
                </c:pt>
                <c:pt idx="162">
                  <c:v>8.3971259456327996E-3</c:v>
                </c:pt>
                <c:pt idx="163">
                  <c:v>8.4188445934562095E-3</c:v>
                </c:pt>
                <c:pt idx="164">
                  <c:v>8.4405627655855797E-3</c:v>
                </c:pt>
                <c:pt idx="165">
                  <c:v>8.4622804620312353E-3</c:v>
                </c:pt>
                <c:pt idx="166">
                  <c:v>8.4839976828036123E-3</c:v>
                </c:pt>
                <c:pt idx="167">
                  <c:v>8.5057144279130359E-3</c:v>
                </c:pt>
                <c:pt idx="168">
                  <c:v>8.5274306973701641E-3</c:v>
                </c:pt>
                <c:pt idx="169">
                  <c:v>8.5491464911851001E-3</c:v>
                </c:pt>
                <c:pt idx="170">
                  <c:v>8.5708618093685018E-3</c:v>
                </c:pt>
                <c:pt idx="171">
                  <c:v>8.5925766519306945E-3</c:v>
                </c:pt>
                <c:pt idx="172">
                  <c:v>8.6142910188821142E-3</c:v>
                </c:pt>
                <c:pt idx="173">
                  <c:v>8.636004910233086E-3</c:v>
                </c:pt>
                <c:pt idx="174">
                  <c:v>8.657718325994268E-3</c:v>
                </c:pt>
                <c:pt idx="175">
                  <c:v>8.6794312661757633E-3</c:v>
                </c:pt>
                <c:pt idx="176">
                  <c:v>8.70114373078823E-3</c:v>
                </c:pt>
                <c:pt idx="177">
                  <c:v>8.7228557198419931E-3</c:v>
                </c:pt>
                <c:pt idx="178">
                  <c:v>8.7445672333473778E-3</c:v>
                </c:pt>
                <c:pt idx="179">
                  <c:v>8.7662782713150422E-3</c:v>
                </c:pt>
                <c:pt idx="180">
                  <c:v>8.7879888337552003E-3</c:v>
                </c:pt>
                <c:pt idx="181">
                  <c:v>8.8096989206782883E-3</c:v>
                </c:pt>
                <c:pt idx="182">
                  <c:v>8.8314085320947422E-3</c:v>
                </c:pt>
                <c:pt idx="183">
                  <c:v>8.8531176680149981E-3</c:v>
                </c:pt>
                <c:pt idx="184">
                  <c:v>8.8748263284494922E-3</c:v>
                </c:pt>
                <c:pt idx="185">
                  <c:v>8.8965345134086604E-3</c:v>
                </c:pt>
                <c:pt idx="186">
                  <c:v>8.918242222902828E-3</c:v>
                </c:pt>
                <c:pt idx="187">
                  <c:v>8.9399494569424309E-3</c:v>
                </c:pt>
                <c:pt idx="188">
                  <c:v>8.9616562155379054E-3</c:v>
                </c:pt>
                <c:pt idx="189">
                  <c:v>8.9833624986995764E-3</c:v>
                </c:pt>
                <c:pt idx="190">
                  <c:v>9.0050683064379911E-3</c:v>
                </c:pt>
                <c:pt idx="191">
                  <c:v>9.0267736387635855E-3</c:v>
                </c:pt>
                <c:pt idx="192">
                  <c:v>9.0484784956865738E-3</c:v>
                </c:pt>
                <c:pt idx="193">
                  <c:v>9.0701828772176141E-3</c:v>
                </c:pt>
                <c:pt idx="194">
                  <c:v>9.0918867833669204E-3</c:v>
                </c:pt>
                <c:pt idx="195">
                  <c:v>9.1135902141450398E-3</c:v>
                </c:pt>
                <c:pt idx="196">
                  <c:v>9.1352931695622974E-3</c:v>
                </c:pt>
                <c:pt idx="197">
                  <c:v>9.1569956496290184E-3</c:v>
                </c:pt>
                <c:pt idx="198">
                  <c:v>9.1786976543558607E-3</c:v>
                </c:pt>
                <c:pt idx="199">
                  <c:v>9.2003991837530386E-3</c:v>
                </c:pt>
                <c:pt idx="200">
                  <c:v>9.222100237831099E-3</c:v>
                </c:pt>
                <c:pt idx="201">
                  <c:v>9.2438008166003671E-3</c:v>
                </c:pt>
                <c:pt idx="202">
                  <c:v>9.265500920071168E-3</c:v>
                </c:pt>
                <c:pt idx="203">
                  <c:v>9.2872005482541597E-3</c:v>
                </c:pt>
                <c:pt idx="204">
                  <c:v>9.3088997011595565E-3</c:v>
                </c:pt>
                <c:pt idx="205">
                  <c:v>9.3305983787976832E-3</c:v>
                </c:pt>
                <c:pt idx="206">
                  <c:v>9.352296581179198E-3</c:v>
                </c:pt>
                <c:pt idx="207">
                  <c:v>9.3739943083144261E-3</c:v>
                </c:pt>
                <c:pt idx="208">
                  <c:v>9.3956915602136926E-3</c:v>
                </c:pt>
                <c:pt idx="209">
                  <c:v>9.4173883368874334E-3</c:v>
                </c:pt>
                <c:pt idx="210">
                  <c:v>9.4390846383460847E-3</c:v>
                </c:pt>
                <c:pt idx="211">
                  <c:v>9.4607804646000826E-3</c:v>
                </c:pt>
                <c:pt idx="212">
                  <c:v>9.4824758156598632E-3</c:v>
                </c:pt>
                <c:pt idx="213">
                  <c:v>9.5041706915357516E-3</c:v>
                </c:pt>
                <c:pt idx="214">
                  <c:v>9.5258650922380728E-3</c:v>
                </c:pt>
                <c:pt idx="215">
                  <c:v>9.5475590177774849E-3</c:v>
                </c:pt>
                <c:pt idx="216">
                  <c:v>9.5692524681640911E-3</c:v>
                </c:pt>
                <c:pt idx="217">
                  <c:v>9.5909454434085495E-3</c:v>
                </c:pt>
                <c:pt idx="218">
                  <c:v>9.6126379435211851E-3</c:v>
                </c:pt>
                <c:pt idx="219">
                  <c:v>9.634329968512434E-3</c:v>
                </c:pt>
                <c:pt idx="220">
                  <c:v>9.6560215183926212E-3</c:v>
                </c:pt>
                <c:pt idx="221">
                  <c:v>9.677712593172183E-3</c:v>
                </c:pt>
                <c:pt idx="222">
                  <c:v>9.6994031928615554E-3</c:v>
                </c:pt>
                <c:pt idx="223">
                  <c:v>9.7210933174710634E-3</c:v>
                </c:pt>
                <c:pt idx="224">
                  <c:v>9.7427829670112542E-3</c:v>
                </c:pt>
                <c:pt idx="225">
                  <c:v>9.7644721414924529E-3</c:v>
                </c:pt>
                <c:pt idx="226">
                  <c:v>9.7861608409249845E-3</c:v>
                </c:pt>
                <c:pt idx="227">
                  <c:v>9.8078490653193962E-3</c:v>
                </c:pt>
                <c:pt idx="228">
                  <c:v>9.8295368146860129E-3</c:v>
                </c:pt>
                <c:pt idx="229">
                  <c:v>9.8512240890352709E-3</c:v>
                </c:pt>
                <c:pt idx="230">
                  <c:v>9.8729108883776062E-3</c:v>
                </c:pt>
                <c:pt idx="231">
                  <c:v>9.8945972127233439E-3</c:v>
                </c:pt>
                <c:pt idx="232">
                  <c:v>9.9162830620829201E-3</c:v>
                </c:pt>
                <c:pt idx="233">
                  <c:v>9.9379684364667709E-3</c:v>
                </c:pt>
                <c:pt idx="234">
                  <c:v>9.9596533358852213E-3</c:v>
                </c:pt>
                <c:pt idx="235">
                  <c:v>9.9813377603487075E-3</c:v>
                </c:pt>
                <c:pt idx="236">
                  <c:v>1.0003021709867665E-2</c:v>
                </c:pt>
                <c:pt idx="237">
                  <c:v>1.0024705184452531E-2</c:v>
                </c:pt>
                <c:pt idx="238">
                  <c:v>1.0046388184113519E-2</c:v>
                </c:pt>
                <c:pt idx="239">
                  <c:v>1.0068070708861288E-2</c:v>
                </c:pt>
                <c:pt idx="240">
                  <c:v>1.0089752758706161E-2</c:v>
                </c:pt>
                <c:pt idx="241">
                  <c:v>1.0111434333658353E-2</c:v>
                </c:pt>
                <c:pt idx="242">
                  <c:v>1.0133115433728523E-2</c:v>
                </c:pt>
                <c:pt idx="243">
                  <c:v>1.0154796058926885E-2</c:v>
                </c:pt>
                <c:pt idx="244">
                  <c:v>1.0176476209263985E-2</c:v>
                </c:pt>
                <c:pt idx="245">
                  <c:v>1.0198155884750038E-2</c:v>
                </c:pt>
                <c:pt idx="246">
                  <c:v>1.0219835085395701E-2</c:v>
                </c:pt>
                <c:pt idx="247">
                  <c:v>1.0241513811211078E-2</c:v>
                </c:pt>
                <c:pt idx="248">
                  <c:v>1.0263192062206827E-2</c:v>
                </c:pt>
                <c:pt idx="249">
                  <c:v>1.0284869838393274E-2</c:v>
                </c:pt>
                <c:pt idx="250">
                  <c:v>1.0306547139780742E-2</c:v>
                </c:pt>
                <c:pt idx="251">
                  <c:v>1.0328223966379668E-2</c:v>
                </c:pt>
                <c:pt idx="252">
                  <c:v>1.0349900318200489E-2</c:v>
                </c:pt>
                <c:pt idx="253">
                  <c:v>1.0371576195253529E-2</c:v>
                </c:pt>
                <c:pt idx="254">
                  <c:v>1.0393251597549225E-2</c:v>
                </c:pt>
                <c:pt idx="255">
                  <c:v>1.0414926525098012E-2</c:v>
                </c:pt>
                <c:pt idx="256">
                  <c:v>1.0436600977910215E-2</c:v>
                </c:pt>
                <c:pt idx="257">
                  <c:v>1.0458274955996383E-2</c:v>
                </c:pt>
                <c:pt idx="258">
                  <c:v>1.0479948459366728E-2</c:v>
                </c:pt>
                <c:pt idx="259">
                  <c:v>1.0501621488031687E-2</c:v>
                </c:pt>
                <c:pt idx="260">
                  <c:v>1.0523294042001807E-2</c:v>
                </c:pt>
                <c:pt idx="261">
                  <c:v>1.0544966121287302E-2</c:v>
                </c:pt>
                <c:pt idx="262">
                  <c:v>1.0566637725898609E-2</c:v>
                </c:pt>
                <c:pt idx="263">
                  <c:v>1.0588308855846162E-2</c:v>
                </c:pt>
                <c:pt idx="264">
                  <c:v>1.0609979511140399E-2</c:v>
                </c:pt>
                <c:pt idx="265">
                  <c:v>1.0631649691791645E-2</c:v>
                </c:pt>
                <c:pt idx="266">
                  <c:v>1.0653319397810335E-2</c:v>
                </c:pt>
                <c:pt idx="267">
                  <c:v>1.0674988629206905E-2</c:v>
                </c:pt>
                <c:pt idx="268">
                  <c:v>1.069665738599157E-2</c:v>
                </c:pt>
                <c:pt idx="269">
                  <c:v>1.0718325668174988E-2</c:v>
                </c:pt>
                <c:pt idx="270">
                  <c:v>1.0739993475767262E-2</c:v>
                </c:pt>
                <c:pt idx="271">
                  <c:v>1.076166080877905E-2</c:v>
                </c:pt>
                <c:pt idx="272">
                  <c:v>1.0783327667220677E-2</c:v>
                </c:pt>
                <c:pt idx="273">
                  <c:v>1.0804994051102357E-2</c:v>
                </c:pt>
                <c:pt idx="274">
                  <c:v>1.0826659960434748E-2</c:v>
                </c:pt>
                <c:pt idx="275">
                  <c:v>1.0848325395228064E-2</c:v>
                </c:pt>
                <c:pt idx="276">
                  <c:v>1.0869990355492742E-2</c:v>
                </c:pt>
                <c:pt idx="277">
                  <c:v>1.0891654841239218E-2</c:v>
                </c:pt>
                <c:pt idx="278">
                  <c:v>1.0913318852477816E-2</c:v>
                </c:pt>
                <c:pt idx="279">
                  <c:v>1.0934982389218972E-2</c:v>
                </c:pt>
                <c:pt idx="280">
                  <c:v>1.0956645451473124E-2</c:v>
                </c:pt>
                <c:pt idx="281">
                  <c:v>1.0978308039250595E-2</c:v>
                </c:pt>
                <c:pt idx="282">
                  <c:v>1.0999970152561822E-2</c:v>
                </c:pt>
                <c:pt idx="283">
                  <c:v>1.102163179141713E-2</c:v>
                </c:pt>
                <c:pt idx="284">
                  <c:v>1.1043292955826955E-2</c:v>
                </c:pt>
                <c:pt idx="285">
                  <c:v>1.1064953645801734E-2</c:v>
                </c:pt>
                <c:pt idx="286">
                  <c:v>1.1086613861351791E-2</c:v>
                </c:pt>
                <c:pt idx="287">
                  <c:v>1.1108273602487562E-2</c:v>
                </c:pt>
                <c:pt idx="288">
                  <c:v>1.1129932869219372E-2</c:v>
                </c:pt>
                <c:pt idx="289">
                  <c:v>1.1151591661557658E-2</c:v>
                </c:pt>
                <c:pt idx="290">
                  <c:v>1.1173249979512745E-2</c:v>
                </c:pt>
                <c:pt idx="291">
                  <c:v>1.1194907823095179E-2</c:v>
                </c:pt>
                <c:pt idx="292">
                  <c:v>1.1216565192315286E-2</c:v>
                </c:pt>
                <c:pt idx="293">
                  <c:v>1.1238222087183281E-2</c:v>
                </c:pt>
                <c:pt idx="294">
                  <c:v>1.125987850770982E-2</c:v>
                </c:pt>
                <c:pt idx="295">
                  <c:v>1.1281534453905118E-2</c:v>
                </c:pt>
                <c:pt idx="296">
                  <c:v>1.1303189925779611E-2</c:v>
                </c:pt>
                <c:pt idx="297">
                  <c:v>1.1324844923343735E-2</c:v>
                </c:pt>
                <c:pt idx="298">
                  <c:v>1.1346499446607816E-2</c:v>
                </c:pt>
                <c:pt idx="299">
                  <c:v>1.1368153495582289E-2</c:v>
                </c:pt>
                <c:pt idx="300">
                  <c:v>1.138980707027748E-2</c:v>
                </c:pt>
                <c:pt idx="301">
                  <c:v>1.1411460170703824E-2</c:v>
                </c:pt>
                <c:pt idx="302">
                  <c:v>1.1433112796871647E-2</c:v>
                </c:pt>
                <c:pt idx="303">
                  <c:v>1.1454764948791496E-2</c:v>
                </c:pt>
                <c:pt idx="304">
                  <c:v>1.1476416626473585E-2</c:v>
                </c:pt>
                <c:pt idx="305">
                  <c:v>1.1498067829928349E-2</c:v>
                </c:pt>
                <c:pt idx="306">
                  <c:v>1.1519718559166225E-2</c:v>
                </c:pt>
                <c:pt idx="307">
                  <c:v>1.1541368814197539E-2</c:v>
                </c:pt>
                <c:pt idx="308">
                  <c:v>1.1563018595032615E-2</c:v>
                </c:pt>
                <c:pt idx="309">
                  <c:v>1.1584667901682111E-2</c:v>
                </c:pt>
                <c:pt idx="310">
                  <c:v>1.160631673415613E-2</c:v>
                </c:pt>
                <c:pt idx="311">
                  <c:v>1.1627965092465109E-2</c:v>
                </c:pt>
                <c:pt idx="312">
                  <c:v>1.1649612976619594E-2</c:v>
                </c:pt>
                <c:pt idx="313">
                  <c:v>1.16712603866298E-2</c:v>
                </c:pt>
                <c:pt idx="314">
                  <c:v>1.1692907322506163E-2</c:v>
                </c:pt>
                <c:pt idx="315">
                  <c:v>1.1714553784259119E-2</c:v>
                </c:pt>
                <c:pt idx="316">
                  <c:v>1.1736199771898992E-2</c:v>
                </c:pt>
                <c:pt idx="317">
                  <c:v>1.1757845285436108E-2</c:v>
                </c:pt>
                <c:pt idx="318">
                  <c:v>1.1779490324881015E-2</c:v>
                </c:pt>
                <c:pt idx="319">
                  <c:v>1.1801134890244036E-2</c:v>
                </c:pt>
                <c:pt idx="320">
                  <c:v>1.1822778981535387E-2</c:v>
                </c:pt>
                <c:pt idx="321">
                  <c:v>1.1844422598765725E-2</c:v>
                </c:pt>
                <c:pt idx="322">
                  <c:v>1.1866065741945264E-2</c:v>
                </c:pt>
                <c:pt idx="323">
                  <c:v>1.1887708411084441E-2</c:v>
                </c:pt>
                <c:pt idx="324">
                  <c:v>1.1909350606193581E-2</c:v>
                </c:pt>
                <c:pt idx="325">
                  <c:v>1.1930992327283008E-2</c:v>
                </c:pt>
                <c:pt idx="326">
                  <c:v>1.195263357436338E-2</c:v>
                </c:pt>
                <c:pt idx="327">
                  <c:v>1.1974274347444802E-2</c:v>
                </c:pt>
                <c:pt idx="328">
                  <c:v>1.199591464653782E-2</c:v>
                </c:pt>
                <c:pt idx="329">
                  <c:v>1.2017554471652647E-2</c:v>
                </c:pt>
                <c:pt idx="330">
                  <c:v>1.2039193822799832E-2</c:v>
                </c:pt>
                <c:pt idx="331">
                  <c:v>1.2060832699989699E-2</c:v>
                </c:pt>
                <c:pt idx="332">
                  <c:v>1.2082471103232573E-2</c:v>
                </c:pt>
                <c:pt idx="333">
                  <c:v>1.210410903253889E-2</c:v>
                </c:pt>
                <c:pt idx="334">
                  <c:v>1.2125746487919087E-2</c:v>
                </c:pt>
                <c:pt idx="335">
                  <c:v>1.2147383469383488E-2</c:v>
                </c:pt>
                <c:pt idx="336">
                  <c:v>1.2169019976942308E-2</c:v>
                </c:pt>
                <c:pt idx="337">
                  <c:v>1.2190656010606205E-2</c:v>
                </c:pt>
                <c:pt idx="338">
                  <c:v>1.2212291570385503E-2</c:v>
                </c:pt>
                <c:pt idx="339">
                  <c:v>1.2233926656290417E-2</c:v>
                </c:pt>
                <c:pt idx="340">
                  <c:v>1.2255561268331383E-2</c:v>
                </c:pt>
                <c:pt idx="341">
                  <c:v>1.2277195406518948E-2</c:v>
                </c:pt>
                <c:pt idx="342">
                  <c:v>1.2298829070863326E-2</c:v>
                </c:pt>
                <c:pt idx="343">
                  <c:v>1.2320462261374843E-2</c:v>
                </c:pt>
                <c:pt idx="344">
                  <c:v>1.2342094978064044E-2</c:v>
                </c:pt>
                <c:pt idx="345">
                  <c:v>1.2363727220941256E-2</c:v>
                </c:pt>
                <c:pt idx="346">
                  <c:v>1.2385358990016804E-2</c:v>
                </c:pt>
                <c:pt idx="347">
                  <c:v>1.2406990285301012E-2</c:v>
                </c:pt>
                <c:pt idx="348">
                  <c:v>1.2428621106804427E-2</c:v>
                </c:pt>
                <c:pt idx="349">
                  <c:v>1.2450251454537375E-2</c:v>
                </c:pt>
                <c:pt idx="350">
                  <c:v>1.247188132851007E-2</c:v>
                </c:pt>
                <c:pt idx="351">
                  <c:v>1.2493510728733059E-2</c:v>
                </c:pt>
                <c:pt idx="352">
                  <c:v>1.2515139655216778E-2</c:v>
                </c:pt>
                <c:pt idx="353">
                  <c:v>1.253676810797133E-2</c:v>
                </c:pt>
                <c:pt idx="354">
                  <c:v>1.2558396087007373E-2</c:v>
                </c:pt>
                <c:pt idx="355">
                  <c:v>1.2580023592335121E-2</c:v>
                </c:pt>
                <c:pt idx="356">
                  <c:v>1.2601650623965011E-2</c:v>
                </c:pt>
                <c:pt idx="357">
                  <c:v>1.2623277181907477E-2</c:v>
                </c:pt>
                <c:pt idx="358">
                  <c:v>1.2644903266172736E-2</c:v>
                </c:pt>
                <c:pt idx="359">
                  <c:v>1.2666528876771221E-2</c:v>
                </c:pt>
                <c:pt idx="360">
                  <c:v>1.2688154013713371E-2</c:v>
                </c:pt>
                <c:pt idx="361">
                  <c:v>1.270977867700962E-2</c:v>
                </c:pt>
                <c:pt idx="362">
                  <c:v>1.2731402866670072E-2</c:v>
                </c:pt>
                <c:pt idx="363">
                  <c:v>1.2753026582705385E-2</c:v>
                </c:pt>
                <c:pt idx="364">
                  <c:v>1.2774649825125772E-2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2.581040486922101E-2</c:v>
                </c:pt>
                <c:pt idx="1">
                  <c:v>2.5913676989993677E-2</c:v>
                </c:pt>
                <c:pt idx="2">
                  <c:v>2.6016904099478839E-2</c:v>
                </c:pt>
                <c:pt idx="3">
                  <c:v>2.6120080886089119E-2</c:v>
                </c:pt>
                <c:pt idx="4">
                  <c:v>2.6223202731141447E-2</c:v>
                </c:pt>
                <c:pt idx="5">
                  <c:v>2.6326265699007687E-2</c:v>
                </c:pt>
                <c:pt idx="6">
                  <c:v>2.642926652079837E-2</c:v>
                </c:pt>
                <c:pt idx="7">
                  <c:v>2.653220257192887E-2</c:v>
                </c:pt>
                <c:pt idx="8">
                  <c:v>2.6635071843971743E-2</c:v>
                </c:pt>
                <c:pt idx="9">
                  <c:v>2.6737872911248035E-2</c:v>
                </c:pt>
                <c:pt idx="10">
                  <c:v>2.6840604892655395E-2</c:v>
                </c:pt>
                <c:pt idx="11">
                  <c:v>2.6943267409269191E-2</c:v>
                </c:pt>
                <c:pt idx="12">
                  <c:v>2.7045860538286576E-2</c:v>
                </c:pt>
                <c:pt idx="13">
                  <c:v>2.7148384763909721E-2</c:v>
                </c:pt>
                <c:pt idx="14">
                  <c:v>2.7250840925785825E-2</c:v>
                </c:pt>
                <c:pt idx="15">
                  <c:v>2.7353230165635272E-2</c:v>
                </c:pt>
                <c:pt idx="16">
                  <c:v>2.7455553872707334E-2</c:v>
                </c:pt>
                <c:pt idx="17">
                  <c:v>2.7557813628703316E-2</c:v>
                </c:pt>
                <c:pt idx="18">
                  <c:v>2.7660011152802647E-2</c:v>
                </c:pt>
                <c:pt idx="19">
                  <c:v>2.7762148247414596E-2</c:v>
                </c:pt>
                <c:pt idx="20">
                  <c:v>2.7864226745261074E-2</c:v>
                </c:pt>
                <c:pt idx="21">
                  <c:v>2.7966248458371767E-2</c:v>
                </c:pt>
                <c:pt idx="22">
                  <c:v>2.8068215129543436E-2</c:v>
                </c:pt>
                <c:pt idx="23">
                  <c:v>2.8170128386780461E-2</c:v>
                </c:pt>
                <c:pt idx="24">
                  <c:v>2.8271989701193857E-2</c:v>
                </c:pt>
                <c:pt idx="25">
                  <c:v>2.8373800348792527E-2</c:v>
                </c:pt>
                <c:pt idx="26">
                  <c:v>2.847556137655206E-2</c:v>
                </c:pt>
                <c:pt idx="27">
                  <c:v>2.8577273573095682E-2</c:v>
                </c:pt>
                <c:pt idx="28">
                  <c:v>2.8678937444267832E-2</c:v>
                </c:pt>
                <c:pt idx="29">
                  <c:v>2.8780553193824748E-2</c:v>
                </c:pt>
                <c:pt idx="30">
                  <c:v>2.8882120709409171E-2</c:v>
                </c:pt>
                <c:pt idx="31">
                  <c:v>2.8983639553917178E-2</c:v>
                </c:pt>
                <c:pt idx="32">
                  <c:v>2.9085108962306989E-2</c:v>
                </c:pt>
                <c:pt idx="33">
                  <c:v>2.9186527843840845E-2</c:v>
                </c:pt>
                <c:pt idx="34">
                  <c:v>2.9287894789693337E-2</c:v>
                </c:pt>
                <c:pt idx="35">
                  <c:v>2.9389208085804145E-2</c:v>
                </c:pt>
                <c:pt idx="36">
                  <c:v>2.9490465730798832E-2</c:v>
                </c:pt>
                <c:pt idx="37">
                  <c:v>2.95916654587506E-2</c:v>
                </c:pt>
                <c:pt idx="38">
                  <c:v>2.9692804766507295E-2</c:v>
                </c:pt>
                <c:pt idx="39">
                  <c:v>2.9793880945264514E-2</c:v>
                </c:pt>
                <c:pt idx="40">
                  <c:v>2.9894891116024485E-2</c:v>
                </c:pt>
                <c:pt idx="41">
                  <c:v>2.9995832268545276E-2</c:v>
                </c:pt>
                <c:pt idx="42">
                  <c:v>3.009670130335328E-2</c:v>
                </c:pt>
                <c:pt idx="43">
                  <c:v>3.0197495076366238E-2</c:v>
                </c:pt>
                <c:pt idx="44">
                  <c:v>3.0298210445653062E-2</c:v>
                </c:pt>
                <c:pt idx="45">
                  <c:v>3.0398844319841366E-2</c:v>
                </c:pt>
                <c:pt idx="46">
                  <c:v>3.0499393707673707E-2</c:v>
                </c:pt>
                <c:pt idx="47">
                  <c:v>3.059985576820862E-2</c:v>
                </c:pt>
                <c:pt idx="48">
                  <c:v>3.0700227861164265E-2</c:v>
                </c:pt>
                <c:pt idx="49">
                  <c:v>3.0800507596907938E-2</c:v>
                </c:pt>
                <c:pt idx="50">
                  <c:v>3.0900692885606703E-2</c:v>
                </c:pt>
                <c:pt idx="51">
                  <c:v>3.1000781985070766E-2</c:v>
                </c:pt>
                <c:pt idx="52">
                  <c:v>3.1100773546842004E-2</c:v>
                </c:pt>
                <c:pt idx="53">
                  <c:v>3.1200666660106107E-2</c:v>
                </c:pt>
                <c:pt idx="54">
                  <c:v>3.1300460893035641E-2</c:v>
                </c:pt>
                <c:pt idx="55">
                  <c:v>3.1400156331205159E-2</c:v>
                </c:pt>
                <c:pt idx="56">
                  <c:v>3.1499753612754935E-2</c:v>
                </c:pt>
                <c:pt idx="57">
                  <c:v>3.1599253960019696E-2</c:v>
                </c:pt>
                <c:pt idx="58">
                  <c:v>3.169865920737909E-2</c:v>
                </c:pt>
                <c:pt idx="59">
                  <c:v>3.1797971825129834E-2</c:v>
                </c:pt>
                <c:pt idx="60">
                  <c:v>3.1897194939223293E-2</c:v>
                </c:pt>
                <c:pt idx="61">
                  <c:v>3.1996332346756799E-2</c:v>
                </c:pt>
                <c:pt idx="62">
                  <c:v>3.209538852715129E-2</c:v>
                </c:pt>
                <c:pt idx="63">
                  <c:v>3.21943686489925E-2</c:v>
                </c:pt>
                <c:pt idx="64">
                  <c:v>3.2293278572555366E-2</c:v>
                </c:pt>
                <c:pt idx="65">
                  <c:v>3.2392124848073522E-2</c:v>
                </c:pt>
                <c:pt idx="66">
                  <c:v>3.24909147098549E-2</c:v>
                </c:pt>
                <c:pt idx="67">
                  <c:v>3.2589656066382082E-2</c:v>
                </c:pt>
                <c:pt idx="68">
                  <c:v>3.2688357486570188E-2</c:v>
                </c:pt>
                <c:pt idx="69">
                  <c:v>3.2787028182386518E-2</c:v>
                </c:pt>
                <c:pt idx="70">
                  <c:v>3.2885677988063716E-2</c:v>
                </c:pt>
                <c:pt idx="71">
                  <c:v>3.2984317336162319E-2</c:v>
                </c:pt>
                <c:pt idx="72">
                  <c:v>3.308295723075827E-2</c:v>
                </c:pt>
                <c:pt idx="73">
                  <c:v>3.3181609218047206E-2</c:v>
                </c:pt>
                <c:pt idx="74">
                  <c:v>3.3280285354667836E-2</c:v>
                </c:pt>
                <c:pt idx="75">
                  <c:v>3.3378998174055097E-2</c:v>
                </c:pt>
                <c:pt idx="76">
                  <c:v>3.3477760651135356E-2</c:v>
                </c:pt>
                <c:pt idx="77">
                  <c:v>3.3576586165674903E-2</c:v>
                </c:pt>
                <c:pt idx="78">
                  <c:v>3.3675488464587282E-2</c:v>
                </c:pt>
                <c:pt idx="79">
                  <c:v>3.3774481623494827E-2</c:v>
                </c:pt>
                <c:pt idx="80">
                  <c:v>3.3873580007826413E-2</c:v>
                </c:pt>
                <c:pt idx="81">
                  <c:v>3.3972798233716302E-2</c:v>
                </c:pt>
                <c:pt idx="82">
                  <c:v>3.4072151128948083E-2</c:v>
                </c:pt>
                <c:pt idx="83">
                  <c:v>3.4171653694165104E-2</c:v>
                </c:pt>
                <c:pt idx="84">
                  <c:v>3.4271321064542275E-2</c:v>
                </c:pt>
                <c:pt idx="85">
                  <c:v>3.4371168472086648E-2</c:v>
                </c:pt>
                <c:pt idx="86">
                  <c:v>3.4471211208704278E-2</c:v>
                </c:pt>
                <c:pt idx="87">
                  <c:v>3.4571464590140613E-2</c:v>
                </c:pt>
                <c:pt idx="88">
                  <c:v>3.4671943920869829E-2</c:v>
                </c:pt>
                <c:pt idx="89">
                  <c:v>3.4772664459976878E-2</c:v>
                </c:pt>
                <c:pt idx="90">
                  <c:v>3.4873641388045273E-2</c:v>
                </c:pt>
                <c:pt idx="91">
                  <c:v>3.4974889775032221E-2</c:v>
                </c:pt>
                <c:pt idx="92">
                  <c:v>3.5076424549084308E-2</c:v>
                </c:pt>
                <c:pt idx="93">
                  <c:v>3.5178260466218789E-2</c:v>
                </c:pt>
                <c:pt idx="94">
                  <c:v>3.5280412080770276E-2</c:v>
                </c:pt>
                <c:pt idx="95">
                  <c:v>3.5382893716480131E-2</c:v>
                </c:pt>
                <c:pt idx="96">
                  <c:v>3.5485719438085532E-2</c:v>
                </c:pt>
                <c:pt idx="97">
                  <c:v>3.5588903023248783E-2</c:v>
                </c:pt>
                <c:pt idx="98">
                  <c:v>3.5692457934654767E-2</c:v>
                </c:pt>
                <c:pt idx="99">
                  <c:v>3.5796397292094731E-2</c:v>
                </c:pt>
                <c:pt idx="100">
                  <c:v>3.5900733844349754E-2</c:v>
                </c:pt>
                <c:pt idx="101">
                  <c:v>3.6005479940686508E-2</c:v>
                </c:pt>
                <c:pt idx="102">
                  <c:v>3.6110647501780634E-2</c:v>
                </c:pt>
                <c:pt idx="103">
                  <c:v>3.6216247989891245E-2</c:v>
                </c:pt>
                <c:pt idx="104">
                  <c:v>3.6322292378121394E-2</c:v>
                </c:pt>
                <c:pt idx="105">
                  <c:v>3.6428791118615772E-2</c:v>
                </c:pt>
                <c:pt idx="106">
                  <c:v>3.6535754109566346E-2</c:v>
                </c:pt>
                <c:pt idx="107">
                  <c:v>3.6643190660921185E-2</c:v>
                </c:pt>
                <c:pt idx="108">
                  <c:v>3.6751109458718331E-2</c:v>
                </c:pt>
                <c:pt idx="109">
                  <c:v>3.6859518527997466E-2</c:v>
                </c:pt>
                <c:pt idx="110">
                  <c:v>3.6968425194275865E-2</c:v>
                </c:pt>
                <c:pt idx="111">
                  <c:v>3.707783604361032E-2</c:v>
                </c:pt>
                <c:pt idx="112">
                  <c:v>3.7187756881305309E-2</c:v>
                </c:pt>
                <c:pt idx="113">
                  <c:v>3.7298192689366606E-2</c:v>
                </c:pt>
                <c:pt idx="114">
                  <c:v>3.7409147582840384E-2</c:v>
                </c:pt>
                <c:pt idx="115">
                  <c:v>3.7520624765218155E-2</c:v>
                </c:pt>
                <c:pt idx="116">
                  <c:v>3.7632626483129546E-2</c:v>
                </c:pt>
                <c:pt idx="117">
                  <c:v>3.7745153980584131E-2</c:v>
                </c:pt>
                <c:pt idx="118">
                  <c:v>3.785820745306312E-2</c:v>
                </c:pt>
                <c:pt idx="119">
                  <c:v>3.7971786001798388E-2</c:v>
                </c:pt>
                <c:pt idx="120">
                  <c:v>3.8085887588611485E-2</c:v>
                </c:pt>
                <c:pt idx="121">
                  <c:v>3.8200508991716356E-2</c:v>
                </c:pt>
                <c:pt idx="122">
                  <c:v>3.8315645762918973E-2</c:v>
                </c:pt>
                <c:pt idx="123">
                  <c:v>3.8431292186670331E-2</c:v>
                </c:pt>
                <c:pt idx="124">
                  <c:v>3.8547441241450417E-2</c:v>
                </c:pt>
                <c:pt idx="125">
                  <c:v>3.8664084563975104E-2</c:v>
                </c:pt>
                <c:pt idx="126">
                  <c:v>3.8781212416729195E-2</c:v>
                </c:pt>
                <c:pt idx="127">
                  <c:v>3.889881365933226E-2</c:v>
                </c:pt>
                <c:pt idx="128">
                  <c:v>3.9016875724243803E-2</c:v>
                </c:pt>
                <c:pt idx="129">
                  <c:v>3.913538459730722E-2</c:v>
                </c:pt>
                <c:pt idx="130">
                  <c:v>3.9254324803618644E-2</c:v>
                </c:pt>
                <c:pt idx="131">
                  <c:v>3.937367939918817E-2</c:v>
                </c:pt>
                <c:pt idx="132">
                  <c:v>3.949342996883571E-2</c:v>
                </c:pt>
                <c:pt idx="133">
                  <c:v>3.9613556630732634E-2</c:v>
                </c:pt>
                <c:pt idx="134">
                  <c:v>3.9734038047963216E-2</c:v>
                </c:pt>
                <c:pt idx="135">
                  <c:v>3.9854851447438076E-2</c:v>
                </c:pt>
                <c:pt idx="136">
                  <c:v>3.9975972646442919E-2</c:v>
                </c:pt>
                <c:pt idx="137">
                  <c:v>4.0097376087054215E-2</c:v>
                </c:pt>
                <c:pt idx="138">
                  <c:v>4.0219034878595149E-2</c:v>
                </c:pt>
                <c:pt idx="139">
                  <c:v>4.0340920848244588E-2</c:v>
                </c:pt>
                <c:pt idx="140">
                  <c:v>4.0463004599846635E-2</c:v>
                </c:pt>
                <c:pt idx="141">
                  <c:v>4.0585255580900523E-2</c:v>
                </c:pt>
                <c:pt idx="142">
                  <c:v>4.0707642157640805E-2</c:v>
                </c:pt>
                <c:pt idx="143">
                  <c:v>4.0830131698045884E-2</c:v>
                </c:pt>
                <c:pt idx="144">
                  <c:v>4.0952690662540932E-2</c:v>
                </c:pt>
                <c:pt idx="145">
                  <c:v>4.1075284702087954E-2</c:v>
                </c:pt>
                <c:pt idx="146">
                  <c:v>4.1197878763284027E-2</c:v>
                </c:pt>
                <c:pt idx="147">
                  <c:v>4.1320437200018253E-2</c:v>
                </c:pt>
                <c:pt idx="148">
                  <c:v>4.1442923891168569E-2</c:v>
                </c:pt>
                <c:pt idx="149">
                  <c:v>4.1565302363754615E-2</c:v>
                </c:pt>
                <c:pt idx="150">
                  <c:v>4.1687535920900194E-2</c:v>
                </c:pt>
                <c:pt idx="151">
                  <c:v>4.1809587773900807E-2</c:v>
                </c:pt>
                <c:pt idx="152">
                  <c:v>4.1931421177639205E-2</c:v>
                </c:pt>
                <c:pt idx="153">
                  <c:v>4.205299956854424E-2</c:v>
                </c:pt>
                <c:pt idx="154">
                  <c:v>4.2174286704246861E-2</c:v>
                </c:pt>
                <c:pt idx="155">
                  <c:v>4.2295246804053374E-2</c:v>
                </c:pt>
                <c:pt idx="156">
                  <c:v>4.2415844689327853E-2</c:v>
                </c:pt>
                <c:pt idx="157">
                  <c:v>4.2536045922856487E-2</c:v>
                </c:pt>
                <c:pt idx="158">
                  <c:v>4.2655816946254692E-2</c:v>
                </c:pt>
                <c:pt idx="159">
                  <c:v>4.2775125214473977E-2</c:v>
                </c:pt>
                <c:pt idx="160">
                  <c:v>4.2893939326470676E-2</c:v>
                </c:pt>
                <c:pt idx="161">
                  <c:v>4.3012229151111303E-2</c:v>
                </c:pt>
                <c:pt idx="162">
                  <c:v>4.3129965947411433E-2</c:v>
                </c:pt>
                <c:pt idx="163">
                  <c:v>4.3247122478234472E-2</c:v>
                </c:pt>
                <c:pt idx="164">
                  <c:v>4.3363673116615084E-2</c:v>
                </c:pt>
                <c:pt idx="165">
                  <c:v>4.3479593943918468E-2</c:v>
                </c:pt>
                <c:pt idx="166">
                  <c:v>4.3594862839099503E-2</c:v>
                </c:pt>
                <c:pt idx="167">
                  <c:v>4.3709459558387731E-2</c:v>
                </c:pt>
                <c:pt idx="168">
                  <c:v>4.3823365804790994E-2</c:v>
                </c:pt>
                <c:pt idx="169">
                  <c:v>4.3936565286884707E-2</c:v>
                </c:pt>
                <c:pt idx="170">
                  <c:v>4.404904376643265E-2</c:v>
                </c:pt>
                <c:pt idx="171">
                  <c:v>4.416078909446941E-2</c:v>
                </c:pt>
                <c:pt idx="172">
                  <c:v>4.4271791235562498E-2</c:v>
                </c:pt>
                <c:pt idx="173">
                  <c:v>4.438204228006333E-2</c:v>
                </c:pt>
                <c:pt idx="174">
                  <c:v>4.4491536444250412E-2</c:v>
                </c:pt>
                <c:pt idx="175">
                  <c:v>4.460027005836209E-2</c:v>
                </c:pt>
                <c:pt idx="176">
                  <c:v>4.4708241542613478E-2</c:v>
                </c:pt>
                <c:pt idx="177">
                  <c:v>4.4815451371386164E-2</c:v>
                </c:pt>
                <c:pt idx="178">
                  <c:v>4.49219020258744E-2</c:v>
                </c:pt>
                <c:pt idx="179">
                  <c:v>4.5027597935563192E-2</c:v>
                </c:pt>
                <c:pt idx="180">
                  <c:v>4.513254540900271E-2</c:v>
                </c:pt>
                <c:pt idx="181">
                  <c:v>4.5236752554428585E-2</c:v>
                </c:pt>
                <c:pt idx="182">
                  <c:v>4.5340229190858047E-2</c:v>
                </c:pt>
                <c:pt idx="183">
                  <c:v>4.5442986750366322E-2</c:v>
                </c:pt>
                <c:pt idx="184">
                  <c:v>4.5545038172316754E-2</c:v>
                </c:pt>
                <c:pt idx="185">
                  <c:v>4.5646397790378983E-2</c:v>
                </c:pt>
                <c:pt idx="186">
                  <c:v>4.5747081213223718E-2</c:v>
                </c:pt>
                <c:pt idx="187">
                  <c:v>4.5847105199828431E-2</c:v>
                </c:pt>
                <c:pt idx="188">
                  <c:v>4.5946487530365197E-2</c:v>
                </c:pt>
                <c:pt idx="189">
                  <c:v>4.6045246873669905E-2</c:v>
                </c:pt>
                <c:pt idx="190">
                  <c:v>4.6143402652311413E-2</c:v>
                </c:pt>
                <c:pt idx="191">
                  <c:v>4.6240974906287931E-2</c:v>
                </c:pt>
                <c:pt idx="192">
                  <c:v>4.633798415637784E-2</c:v>
                </c:pt>
                <c:pt idx="193">
                  <c:v>4.6434451268162688E-2</c:v>
                </c:pt>
                <c:pt idx="194">
                  <c:v>4.6530397317720067E-2</c:v>
                </c:pt>
                <c:pt idx="195">
                  <c:v>4.662584345995615E-2</c:v>
                </c:pt>
                <c:pt idx="196">
                  <c:v>4.6720810800509396E-2</c:v>
                </c:pt>
                <c:pt idx="197">
                  <c:v>4.6815320272111362E-2</c:v>
                </c:pt>
                <c:pt idx="198">
                  <c:v>4.6909392516235382E-2</c:v>
                </c:pt>
                <c:pt idx="199">
                  <c:v>4.7003047770802601E-2</c:v>
                </c:pt>
                <c:pt idx="200">
                  <c:v>4.7096305764645567E-2</c:v>
                </c:pt>
                <c:pt idx="201">
                  <c:v>4.7189185619354507E-2</c:v>
                </c:pt>
                <c:pt idx="202">
                  <c:v>4.7281705759051045E-2</c:v>
                </c:pt>
                <c:pt idx="203">
                  <c:v>4.7373883828548707E-2</c:v>
                </c:pt>
                <c:pt idx="204">
                  <c:v>4.7465736620270815E-2</c:v>
                </c:pt>
                <c:pt idx="205">
                  <c:v>4.7557280010205157E-2</c:v>
                </c:pt>
                <c:pt idx="206">
                  <c:v>4.7648528903080356E-2</c:v>
                </c:pt>
                <c:pt idx="207">
                  <c:v>4.7739497186856238E-2</c:v>
                </c:pt>
                <c:pt idx="208">
                  <c:v>4.7830197696524884E-2</c:v>
                </c:pt>
                <c:pt idx="209">
                  <c:v>4.7920642187127105E-2</c:v>
                </c:pt>
                <c:pt idx="210">
                  <c:v>4.8010841315798435E-2</c:v>
                </c:pt>
                <c:pt idx="211">
                  <c:v>4.8100804632570562E-2</c:v>
                </c:pt>
                <c:pt idx="212">
                  <c:v>4.819054057957136E-2</c:v>
                </c:pt>
                <c:pt idx="213">
                  <c:v>4.8385524879725812E-2</c:v>
                </c:pt>
                <c:pt idx="214">
                  <c:v>4.8579305080705973E-2</c:v>
                </c:pt>
                <c:pt idx="215">
                  <c:v>4.8771891391656247E-2</c:v>
                </c:pt>
                <c:pt idx="216">
                  <c:v>4.8963293008344511E-2</c:v>
                </c:pt>
                <c:pt idx="217">
                  <c:v>4.9153518134475806E-2</c:v>
                </c:pt>
                <c:pt idx="218">
                  <c:v>4.9342574008770373E-2</c:v>
                </c:pt>
                <c:pt idx="219">
                  <c:v>4.9530466937072921E-2</c:v>
                </c:pt>
                <c:pt idx="220">
                  <c:v>4.9717202328720213E-2</c:v>
                </c:pt>
                <c:pt idx="221">
                  <c:v>4.9902784736364628E-2</c:v>
                </c:pt>
                <c:pt idx="222">
                  <c:v>5.0087217898431804E-2</c:v>
                </c:pt>
                <c:pt idx="223">
                  <c:v>5.0270504783382332E-2</c:v>
                </c:pt>
                <c:pt idx="224">
                  <c:v>5.0452647634949409E-2</c:v>
                </c:pt>
                <c:pt idx="225">
                  <c:v>5.0633648017537385E-2</c:v>
                </c:pt>
                <c:pt idx="226">
                  <c:v>5.0813506860989871E-2</c:v>
                </c:pt>
                <c:pt idx="227">
                  <c:v>5.099222450396982E-2</c:v>
                </c:pt>
                <c:pt idx="228">
                  <c:v>5.1169800735237601E-2</c:v>
                </c:pt>
                <c:pt idx="229">
                  <c:v>5.1346234832166958E-2</c:v>
                </c:pt>
                <c:pt idx="230">
                  <c:v>5.1521525595899835E-2</c:v>
                </c:pt>
                <c:pt idx="231">
                  <c:v>5.1695671382611934E-2</c:v>
                </c:pt>
                <c:pt idx="232">
                  <c:v>5.1868670130437659E-2</c:v>
                </c:pt>
                <c:pt idx="233">
                  <c:v>5.2040519381686932E-2</c:v>
                </c:pt>
                <c:pt idx="234">
                  <c:v>5.2211216300074983E-2</c:v>
                </c:pt>
                <c:pt idx="235">
                  <c:v>5.2380757682779659E-2</c:v>
                </c:pt>
                <c:pt idx="236">
                  <c:v>5.2549139967236813E-2</c:v>
                </c:pt>
                <c:pt idx="237">
                  <c:v>5.2716359232682489E-2</c:v>
                </c:pt>
                <c:pt idx="238">
                  <c:v>5.2882411196549441E-2</c:v>
                </c:pt>
                <c:pt idx="239">
                  <c:v>5.3047291205924031E-2</c:v>
                </c:pt>
                <c:pt idx="240">
                  <c:v>5.3210994224366107E-2</c:v>
                </c:pt>
                <c:pt idx="241">
                  <c:v>5.3373514814487912E-2</c:v>
                </c:pt>
                <c:pt idx="242">
                  <c:v>5.3534847116778035E-2</c:v>
                </c:pt>
                <c:pt idx="243">
                  <c:v>5.3694984825240273E-2</c:v>
                </c:pt>
                <c:pt idx="244">
                  <c:v>5.3853921160495075E-2</c:v>
                </c:pt>
                <c:pt idx="245">
                  <c:v>5.4011648841061709E-2</c:v>
                </c:pt>
                <c:pt idx="246">
                  <c:v>5.4168160053601165E-2</c:v>
                </c:pt>
                <c:pt idx="247">
                  <c:v>5.4323446422952087E-2</c:v>
                </c:pt>
                <c:pt idx="248">
                  <c:v>5.4477498982834681E-2</c:v>
                </c:pt>
                <c:pt idx="249">
                  <c:v>5.4630308148129185E-2</c:v>
                </c:pt>
                <c:pt idx="250">
                  <c:v>5.4781863689655652E-2</c:v>
                </c:pt>
                <c:pt idx="251">
                  <c:v>5.4932154712390227E-2</c:v>
                </c:pt>
                <c:pt idx="252">
                  <c:v>5.5081169638049612E-2</c:v>
                </c:pt>
                <c:pt idx="253">
                  <c:v>5.5228896192959558E-2</c:v>
                </c:pt>
                <c:pt idx="254">
                  <c:v>5.5375321402094745E-2</c:v>
                </c:pt>
                <c:pt idx="255">
                  <c:v>5.552043159013717E-2</c:v>
                </c:pt>
                <c:pt idx="256">
                  <c:v>5.5664212390347911E-2</c:v>
                </c:pt>
                <c:pt idx="257">
                  <c:v>5.5806648761982977E-2</c:v>
                </c:pt>
                <c:pt idx="258">
                  <c:v>5.5947725016908881E-2</c:v>
                </c:pt>
                <c:pt idx="259">
                  <c:v>5.6087424855988527E-2</c:v>
                </c:pt>
                <c:pt idx="260">
                  <c:v>5.6225731415712576E-2</c:v>
                </c:pt>
                <c:pt idx="261">
                  <c:v>5.6362627325447938E-2</c:v>
                </c:pt>
                <c:pt idx="262">
                  <c:v>5.649809477556357E-2</c:v>
                </c:pt>
                <c:pt idx="263">
                  <c:v>5.6632115596575335E-2</c:v>
                </c:pt>
                <c:pt idx="264">
                  <c:v>5.6764671349328867E-2</c:v>
                </c:pt>
                <c:pt idx="265">
                  <c:v>5.6895743426110958E-2</c:v>
                </c:pt>
                <c:pt idx="266">
                  <c:v>5.7025313162450304E-2</c:v>
                </c:pt>
                <c:pt idx="267">
                  <c:v>5.7153361959235961E-2</c:v>
                </c:pt>
                <c:pt idx="268">
                  <c:v>5.7279871414650525E-2</c:v>
                </c:pt>
                <c:pt idx="269">
                  <c:v>5.7404823465284777E-2</c:v>
                </c:pt>
                <c:pt idx="270">
                  <c:v>5.7528200535672265E-2</c:v>
                </c:pt>
                <c:pt idx="271">
                  <c:v>5.7649985695360659E-2</c:v>
                </c:pt>
                <c:pt idx="272">
                  <c:v>5.7770162822517963E-2</c:v>
                </c:pt>
                <c:pt idx="273">
                  <c:v>5.7888716772962548E-2</c:v>
                </c:pt>
                <c:pt idx="274">
                  <c:v>5.8005633553403865E-2</c:v>
                </c:pt>
                <c:pt idx="275">
                  <c:v>5.8120900497588932E-2</c:v>
                </c:pt>
                <c:pt idx="276">
                  <c:v>5.8234506443968236E-2</c:v>
                </c:pt>
                <c:pt idx="277">
                  <c:v>5.8346441913426333E-2</c:v>
                </c:pt>
                <c:pt idx="278">
                  <c:v>5.8456699285565128E-2</c:v>
                </c:pt>
                <c:pt idx="279">
                  <c:v>5.8565272971986548E-2</c:v>
                </c:pt>
                <c:pt idx="280">
                  <c:v>5.8672159584991966E-2</c:v>
                </c:pt>
                <c:pt idx="281">
                  <c:v>5.8777358100103899E-2</c:v>
                </c:pt>
                <c:pt idx="282">
                  <c:v>5.8880870010816613E-2</c:v>
                </c:pt>
                <c:pt idx="283">
                  <c:v>5.8982699474001282E-2</c:v>
                </c:pt>
                <c:pt idx="284">
                  <c:v>5.9082853444424398E-2</c:v>
                </c:pt>
                <c:pt idx="285">
                  <c:v>5.9181341796887728E-2</c:v>
                </c:pt>
                <c:pt idx="286">
                  <c:v>5.9278177434563144E-2</c:v>
                </c:pt>
                <c:pt idx="287">
                  <c:v>5.9373376382175505E-2</c:v>
                </c:pt>
                <c:pt idx="288">
                  <c:v>5.9466957862781208E-2</c:v>
                </c:pt>
                <c:pt idx="289">
                  <c:v>5.9558944356998739E-2</c:v>
                </c:pt>
                <c:pt idx="290">
                  <c:v>5.9649361643668464E-2</c:v>
                </c:pt>
                <c:pt idx="291">
                  <c:v>5.973823882105285E-2</c:v>
                </c:pt>
                <c:pt idx="292">
                  <c:v>5.9825608307832158E-2</c:v>
                </c:pt>
                <c:pt idx="293">
                  <c:v>5.9911505823305032E-2</c:v>
                </c:pt>
                <c:pt idx="294">
                  <c:v>5.9995970346365411E-2</c:v>
                </c:pt>
                <c:pt idx="295">
                  <c:v>6.0079044052996695E-2</c:v>
                </c:pt>
                <c:pt idx="296">
                  <c:v>6.0160772232198262E-2</c:v>
                </c:pt>
                <c:pt idx="297">
                  <c:v>6.0241203180438095E-2</c:v>
                </c:pt>
                <c:pt idx="298">
                  <c:v>6.0320388074905279E-2</c:v>
                </c:pt>
                <c:pt idx="299">
                  <c:v>6.0398380826017194E-2</c:v>
                </c:pt>
                <c:pt idx="300">
                  <c:v>6.0475237909815571E-2</c:v>
                </c:pt>
                <c:pt idx="301">
                  <c:v>6.0551018181061782E-2</c:v>
                </c:pt>
                <c:pt idx="302">
                  <c:v>6.0625782668013967E-2</c:v>
                </c:pt>
                <c:pt idx="303">
                  <c:v>6.069959435003331E-2</c:v>
                </c:pt>
                <c:pt idx="304">
                  <c:v>6.0772517919324746E-2</c:v>
                </c:pt>
                <c:pt idx="305">
                  <c:v>6.0844619528264289E-2</c:v>
                </c:pt>
                <c:pt idx="306">
                  <c:v>6.0915966523902923E-2</c:v>
                </c:pt>
                <c:pt idx="307">
                  <c:v>6.0986627171360414E-2</c:v>
                </c:pt>
                <c:pt idx="308">
                  <c:v>6.1056670367933448E-2</c:v>
                </c:pt>
                <c:pt idx="309">
                  <c:v>6.1126165349838328E-2</c:v>
                </c:pt>
                <c:pt idx="310">
                  <c:v>6.1195181393588219E-2</c:v>
                </c:pt>
                <c:pt idx="311">
                  <c:v>6.126378751406835E-2</c:v>
                </c:pt>
                <c:pt idx="312">
                  <c:v>6.1332052161418515E-2</c:v>
                </c:pt>
                <c:pt idx="313">
                  <c:v>6.1400042918859789E-2</c:v>
                </c:pt>
                <c:pt idx="314">
                  <c:v>6.1467826203612623E-2</c:v>
                </c:pt>
                <c:pt idx="315">
                  <c:v>6.1535466973043761E-2</c:v>
                </c:pt>
                <c:pt idx="316">
                  <c:v>6.1603028438152588E-2</c:v>
                </c:pt>
                <c:pt idx="317">
                  <c:v>6.1670571786461466E-2</c:v>
                </c:pt>
                <c:pt idx="318">
                  <c:v>6.1738155916310433E-2</c:v>
                </c:pt>
                <c:pt idx="319">
                  <c:v>6.1805837184475666E-2</c:v>
                </c:pt>
                <c:pt idx="320">
                  <c:v>6.1873669168932069E-2</c:v>
                </c:pt>
                <c:pt idx="321">
                  <c:v>6.1941702448466682E-2</c:v>
                </c:pt>
                <c:pt idx="322">
                  <c:v>6.2009984400719365E-2</c:v>
                </c:pt>
                <c:pt idx="323">
                  <c:v>6.2078559020084322E-2</c:v>
                </c:pt>
                <c:pt idx="324">
                  <c:v>6.2147466756749585E-2</c:v>
                </c:pt>
                <c:pt idx="325">
                  <c:v>6.221674437798469E-2</c:v>
                </c:pt>
                <c:pt idx="326">
                  <c:v>6.2286424852609004E-2</c:v>
                </c:pt>
                <c:pt idx="327">
                  <c:v>6.2356537259388736E-2</c:v>
                </c:pt>
                <c:pt idx="328">
                  <c:v>6.2427106719918156E-2</c:v>
                </c:pt>
                <c:pt idx="329">
                  <c:v>6.2498154356344739E-2</c:v>
                </c:pt>
                <c:pt idx="330">
                  <c:v>6.2569697274098154E-2</c:v>
                </c:pt>
                <c:pt idx="331">
                  <c:v>6.2641748569582628E-2</c:v>
                </c:pt>
                <c:pt idx="332">
                  <c:v>6.271431736259242E-2</c:v>
                </c:pt>
                <c:pt idx="333">
                  <c:v>6.2787408853012941E-2</c:v>
                </c:pt>
                <c:pt idx="334">
                  <c:v>6.2861024401176649E-2</c:v>
                </c:pt>
                <c:pt idx="335">
                  <c:v>6.2935161631056766E-2</c:v>
                </c:pt>
                <c:pt idx="336">
                  <c:v>6.3009814555301663E-2</c:v>
                </c:pt>
                <c:pt idx="337">
                  <c:v>6.3084973720944168E-2</c:v>
                </c:pt>
                <c:pt idx="338">
                  <c:v>6.316062637446021E-2</c:v>
                </c:pt>
                <c:pt idx="339">
                  <c:v>6.3236756644705294E-2</c:v>
                </c:pt>
                <c:pt idx="340">
                  <c:v>6.3313345742124369E-2</c:v>
                </c:pt>
                <c:pt idx="341">
                  <c:v>6.3390372172512421E-2</c:v>
                </c:pt>
                <c:pt idx="342">
                  <c:v>6.3467811963500945E-2</c:v>
                </c:pt>
                <c:pt idx="343">
                  <c:v>6.3545638901859755E-2</c:v>
                </c:pt>
                <c:pt idx="344">
                  <c:v>6.3623824779636004E-2</c:v>
                </c:pt>
                <c:pt idx="345">
                  <c:v>6.3702339647100953E-2</c:v>
                </c:pt>
                <c:pt idx="346">
                  <c:v>6.3781152070444186E-2</c:v>
                </c:pt>
                <c:pt idx="347">
                  <c:v>6.3860229392140935E-2</c:v>
                </c:pt>
                <c:pt idx="348">
                  <c:v>6.3939537991923326E-2</c:v>
                </c:pt>
                <c:pt idx="349">
                  <c:v>6.4019043546309523E-2</c:v>
                </c:pt>
                <c:pt idx="350">
                  <c:v>6.4098711284686763E-2</c:v>
                </c:pt>
                <c:pt idx="351">
                  <c:v>6.4178506240002126E-2</c:v>
                </c:pt>
                <c:pt idx="352">
                  <c:v>6.4258393492191437E-2</c:v>
                </c:pt>
                <c:pt idx="353">
                  <c:v>6.4338338402567502E-2</c:v>
                </c:pt>
                <c:pt idx="354">
                  <c:v>6.4418306837496372E-2</c:v>
                </c:pt>
                <c:pt idx="355">
                  <c:v>6.4498265379809641E-2</c:v>
                </c:pt>
                <c:pt idx="356">
                  <c:v>6.45781815265348E-2</c:v>
                </c:pt>
                <c:pt idx="357">
                  <c:v>6.465802387166962E-2</c:v>
                </c:pt>
                <c:pt idx="358">
                  <c:v>6.4737762272880389E-2</c:v>
                </c:pt>
                <c:pt idx="359">
                  <c:v>6.4817368001166442E-2</c:v>
                </c:pt>
                <c:pt idx="360">
                  <c:v>6.489681387270281E-2</c:v>
                </c:pt>
                <c:pt idx="361">
                  <c:v>6.4976074362245576E-2</c:v>
                </c:pt>
                <c:pt idx="362">
                  <c:v>6.5055125697663113E-2</c:v>
                </c:pt>
                <c:pt idx="363">
                  <c:v>6.5133945935334267E-2</c:v>
                </c:pt>
                <c:pt idx="364">
                  <c:v>6.5212515016333322E-2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2.2178395099329071E-4</c:v>
                </c:pt>
                <c:pt idx="1">
                  <c:v>2.1946120508253278E-4</c:v>
                </c:pt>
                <c:pt idx="2">
                  <c:v>2.1739499132376056E-4</c:v>
                </c:pt>
                <c:pt idx="3">
                  <c:v>2.1559114993856927E-4</c:v>
                </c:pt>
                <c:pt idx="4">
                  <c:v>2.1405484588594742E-4</c:v>
                </c:pt>
                <c:pt idx="5">
                  <c:v>2.1279071171815067E-4</c:v>
                </c:pt>
                <c:pt idx="6">
                  <c:v>2.1180299073097843E-4</c:v>
                </c:pt>
                <c:pt idx="7">
                  <c:v>2.1109567943982166E-4</c:v>
                </c:pt>
                <c:pt idx="8">
                  <c:v>2.1064916538101965E-4</c:v>
                </c:pt>
                <c:pt idx="9">
                  <c:v>2.1016346629683339E-4</c:v>
                </c:pt>
                <c:pt idx="10">
                  <c:v>2.0954291021718421E-4</c:v>
                </c:pt>
                <c:pt idx="11">
                  <c:v>2.0878763043823801E-4</c:v>
                </c:pt>
                <c:pt idx="12">
                  <c:v>2.0789792356120849E-4</c:v>
                </c:pt>
                <c:pt idx="13">
                  <c:v>2.0687425660595264E-4</c:v>
                </c:pt>
                <c:pt idx="14">
                  <c:v>2.0571727281749197E-4</c:v>
                </c:pt>
                <c:pt idx="15">
                  <c:v>2.0438682123562009E-4</c:v>
                </c:pt>
                <c:pt idx="16">
                  <c:v>2.0274159716736204E-4</c:v>
                </c:pt>
                <c:pt idx="17">
                  <c:v>2.0078720991161436E-4</c:v>
                </c:pt>
                <c:pt idx="18">
                  <c:v>1.9852953767150134E-4</c:v>
                </c:pt>
                <c:pt idx="19">
                  <c:v>1.9597583227219721E-4</c:v>
                </c:pt>
                <c:pt idx="20">
                  <c:v>1.9313405826658253E-4</c:v>
                </c:pt>
                <c:pt idx="21">
                  <c:v>1.9001154535313835E-4</c:v>
                </c:pt>
                <c:pt idx="22">
                  <c:v>1.8660674682379323E-4</c:v>
                </c:pt>
                <c:pt idx="23">
                  <c:v>1.8309485729000368E-4</c:v>
                </c:pt>
                <c:pt idx="24">
                  <c:v>1.7972949437595573E-4</c:v>
                </c:pt>
                <c:pt idx="25">
                  <c:v>1.7651560801521394E-4</c:v>
                </c:pt>
                <c:pt idx="26">
                  <c:v>1.7345729417764523E-4</c:v>
                </c:pt>
                <c:pt idx="27">
                  <c:v>1.7055787769239546E-4</c:v>
                </c:pt>
                <c:pt idx="28">
                  <c:v>1.6781999556966708E-4</c:v>
                </c:pt>
                <c:pt idx="29">
                  <c:v>1.6529590828018016E-4</c:v>
                </c:pt>
                <c:pt idx="30">
                  <c:v>1.6302158173770899E-4</c:v>
                </c:pt>
                <c:pt idx="31">
                  <c:v>1.6099571229628772E-4</c:v>
                </c:pt>
                <c:pt idx="32">
                  <c:v>1.5921673271781747E-4</c:v>
                </c:pt>
                <c:pt idx="33">
                  <c:v>1.576829053098824E-4</c:v>
                </c:pt>
                <c:pt idx="34">
                  <c:v>1.563924088485406E-4</c:v>
                </c:pt>
                <c:pt idx="35">
                  <c:v>1.5534341960542406E-4</c:v>
                </c:pt>
                <c:pt idx="36">
                  <c:v>1.545177273792851E-4</c:v>
                </c:pt>
                <c:pt idx="37">
                  <c:v>1.5393024662525219E-4</c:v>
                </c:pt>
                <c:pt idx="38">
                  <c:v>1.53428987887749E-4</c:v>
                </c:pt>
                <c:pt idx="39">
                  <c:v>1.5301401266757593E-4</c:v>
                </c:pt>
                <c:pt idx="40">
                  <c:v>1.5268534254415074E-4</c:v>
                </c:pt>
                <c:pt idx="41">
                  <c:v>1.5244297529733614E-4</c:v>
                </c:pt>
                <c:pt idx="42">
                  <c:v>1.5228690043199458E-4</c:v>
                </c:pt>
                <c:pt idx="43">
                  <c:v>1.5226815084110602E-4</c:v>
                </c:pt>
                <c:pt idx="44">
                  <c:v>1.5234141004364629E-4</c:v>
                </c:pt>
                <c:pt idx="45">
                  <c:v>1.5250660876783224E-4</c:v>
                </c:pt>
                <c:pt idx="46">
                  <c:v>1.5276373587295238E-4</c:v>
                </c:pt>
                <c:pt idx="47">
                  <c:v>1.5311285186528448E-4</c:v>
                </c:pt>
                <c:pt idx="48">
                  <c:v>1.5355410207470283E-4</c:v>
                </c:pt>
                <c:pt idx="49">
                  <c:v>1.5408772960692066E-4</c:v>
                </c:pt>
                <c:pt idx="50">
                  <c:v>1.5471013672465407E-4</c:v>
                </c:pt>
                <c:pt idx="51">
                  <c:v>1.5525844990944121E-4</c:v>
                </c:pt>
                <c:pt idx="52">
                  <c:v>1.5570321165132855E-4</c:v>
                </c:pt>
                <c:pt idx="53">
                  <c:v>1.5604549367076448E-4</c:v>
                </c:pt>
                <c:pt idx="54">
                  <c:v>1.5628707266823269E-4</c:v>
                </c:pt>
                <c:pt idx="55">
                  <c:v>1.56429672573512E-4</c:v>
                </c:pt>
                <c:pt idx="56">
                  <c:v>1.564749725630605E-4</c:v>
                </c:pt>
                <c:pt idx="57">
                  <c:v>1.5604540174576174E-4</c:v>
                </c:pt>
                <c:pt idx="58">
                  <c:v>1.551034313726256E-4</c:v>
                </c:pt>
                <c:pt idx="59">
                  <c:v>1.5365801522417564E-4</c:v>
                </c:pt>
                <c:pt idx="60">
                  <c:v>1.5171775021351796E-4</c:v>
                </c:pt>
                <c:pt idx="61">
                  <c:v>1.492908926060326E-4</c:v>
                </c:pt>
                <c:pt idx="62">
                  <c:v>1.4638537049388878E-4</c:v>
                </c:pt>
                <c:pt idx="63">
                  <c:v>1.430087926933847E-4</c:v>
                </c:pt>
                <c:pt idx="64">
                  <c:v>1.3916720483895457E-4</c:v>
                </c:pt>
                <c:pt idx="65">
                  <c:v>1.3487800796441738E-4</c:v>
                </c:pt>
                <c:pt idx="66">
                  <c:v>1.3029345891604313E-4</c:v>
                </c:pt>
                <c:pt idx="67">
                  <c:v>1.2541868964597561E-4</c:v>
                </c:pt>
                <c:pt idx="68">
                  <c:v>1.2025842237870456E-4</c:v>
                </c:pt>
                <c:pt idx="69">
                  <c:v>1.1481694323106153E-4</c:v>
                </c:pt>
                <c:pt idx="70">
                  <c:v>1.090980758648518E-4</c:v>
                </c:pt>
                <c:pt idx="71">
                  <c:v>1.0332327472634419E-4</c:v>
                </c:pt>
                <c:pt idx="72">
                  <c:v>9.7842412468171193E-5</c:v>
                </c:pt>
                <c:pt idx="73">
                  <c:v>9.2650499862275394E-5</c:v>
                </c:pt>
                <c:pt idx="74">
                  <c:v>8.7742640352131632E-5</c:v>
                </c:pt>
                <c:pt idx="75">
                  <c:v>8.3114049008156614E-5</c:v>
                </c:pt>
                <c:pt idx="76">
                  <c:v>7.8760071375676092E-5</c:v>
                </c:pt>
                <c:pt idx="77">
                  <c:v>7.467620218674036E-5</c:v>
                </c:pt>
                <c:pt idx="78">
                  <c:v>7.0854785622558649E-5</c:v>
                </c:pt>
                <c:pt idx="79">
                  <c:v>6.7314728019063721E-5</c:v>
                </c:pt>
                <c:pt idx="80">
                  <c:v>6.4043408252162148E-5</c:v>
                </c:pt>
                <c:pt idx="81">
                  <c:v>6.1038108526142846E-5</c:v>
                </c:pt>
                <c:pt idx="82">
                  <c:v>5.8296151308589768E-5</c:v>
                </c:pt>
                <c:pt idx="83">
                  <c:v>5.5814948551797646E-5</c:v>
                </c:pt>
                <c:pt idx="84">
                  <c:v>5.3592049367245498E-5</c:v>
                </c:pt>
                <c:pt idx="85">
                  <c:v>5.1682565590072231E-5</c:v>
                </c:pt>
                <c:pt idx="86">
                  <c:v>4.9876330472324542E-5</c:v>
                </c:pt>
                <c:pt idx="87">
                  <c:v>4.8172262753077785E-5</c:v>
                </c:pt>
                <c:pt idx="88">
                  <c:v>4.6569311969386252E-5</c:v>
                </c:pt>
                <c:pt idx="89">
                  <c:v>4.5066475598818566E-5</c:v>
                </c:pt>
                <c:pt idx="90">
                  <c:v>4.3662815723129949E-5</c:v>
                </c:pt>
                <c:pt idx="91">
                  <c:v>4.235747530984224E-5</c:v>
                </c:pt>
                <c:pt idx="92">
                  <c:v>4.1149162435774123E-5</c:v>
                </c:pt>
                <c:pt idx="93">
                  <c:v>4.0232217092269661E-5</c:v>
                </c:pt>
                <c:pt idx="94">
                  <c:v>3.9581433977630564E-5</c:v>
                </c:pt>
                <c:pt idx="95">
                  <c:v>3.9196678837274128E-5</c:v>
                </c:pt>
                <c:pt idx="96">
                  <c:v>3.9078375966246045E-5</c:v>
                </c:pt>
                <c:pt idx="97">
                  <c:v>3.9227493315784207E-5</c:v>
                </c:pt>
                <c:pt idx="98">
                  <c:v>3.9645528789481289E-5</c:v>
                </c:pt>
                <c:pt idx="99">
                  <c:v>4.07490682732536E-5</c:v>
                </c:pt>
                <c:pt idx="100">
                  <c:v>4.2486482809175878E-5</c:v>
                </c:pt>
                <c:pt idx="101">
                  <c:v>4.4864820574827803E-5</c:v>
                </c:pt>
                <c:pt idx="102">
                  <c:v>4.7892286384624357E-5</c:v>
                </c:pt>
                <c:pt idx="103">
                  <c:v>5.1578216088894425E-5</c:v>
                </c:pt>
                <c:pt idx="104">
                  <c:v>5.593305030619242E-5</c:v>
                </c:pt>
                <c:pt idx="105">
                  <c:v>6.0968306943262727E-5</c:v>
                </c:pt>
                <c:pt idx="106">
                  <c:v>6.6697837036441775E-5</c:v>
                </c:pt>
                <c:pt idx="107">
                  <c:v>7.3561414643894723E-5</c:v>
                </c:pt>
                <c:pt idx="108">
                  <c:v>8.1376365355381679E-5</c:v>
                </c:pt>
                <c:pt idx="109">
                  <c:v>9.0164906542293557E-5</c:v>
                </c:pt>
                <c:pt idx="110">
                  <c:v>9.9951549652991801E-5</c:v>
                </c:pt>
                <c:pt idx="111">
                  <c:v>1.1076300723786953E-4</c:v>
                </c:pt>
                <c:pt idx="112">
                  <c:v>1.2262793353593954E-4</c:v>
                </c:pt>
                <c:pt idx="113">
                  <c:v>1.3581509902903702E-4</c:v>
                </c:pt>
                <c:pt idx="114">
                  <c:v>1.4991481463781265E-4</c:v>
                </c:pt>
                <c:pt idx="115">
                  <c:v>1.649580368550783E-4</c:v>
                </c:pt>
                <c:pt idx="116">
                  <c:v>1.8097765353429927E-4</c:v>
                </c:pt>
                <c:pt idx="117">
                  <c:v>1.9800852511960454E-4</c:v>
                </c:pt>
                <c:pt idx="118">
                  <c:v>2.1608752361581082E-4</c:v>
                </c:pt>
                <c:pt idx="119">
                  <c:v>2.3525356895325448E-4</c:v>
                </c:pt>
                <c:pt idx="120">
                  <c:v>2.5554952271376706E-4</c:v>
                </c:pt>
                <c:pt idx="121">
                  <c:v>2.7725557779147597E-4</c:v>
                </c:pt>
                <c:pt idx="122">
                  <c:v>2.9994666550066178E-4</c:v>
                </c:pt>
                <c:pt idx="123">
                  <c:v>3.2366102036630439E-4</c:v>
                </c:pt>
                <c:pt idx="124">
                  <c:v>3.4843778138465403E-4</c:v>
                </c:pt>
                <c:pt idx="125">
                  <c:v>3.7431691307448605E-4</c:v>
                </c:pt>
                <c:pt idx="126">
                  <c:v>4.0133911518369306E-4</c:v>
                </c:pt>
                <c:pt idx="127">
                  <c:v>4.2958050690445417E-4</c:v>
                </c:pt>
                <c:pt idx="128">
                  <c:v>4.5880950004542419E-4</c:v>
                </c:pt>
                <c:pt idx="129">
                  <c:v>4.8905986560390921E-4</c:v>
                </c:pt>
                <c:pt idx="130">
                  <c:v>5.203651212677664E-4</c:v>
                </c:pt>
                <c:pt idx="131">
                  <c:v>5.5275839173409621E-4</c:v>
                </c:pt>
                <c:pt idx="132">
                  <c:v>5.8627225822752008E-4</c:v>
                </c:pt>
                <c:pt idx="133">
                  <c:v>6.209385971997221E-4</c:v>
                </c:pt>
                <c:pt idx="134">
                  <c:v>6.5679985910055438E-4</c:v>
                </c:pt>
                <c:pt idx="135">
                  <c:v>6.9388907546046941E-4</c:v>
                </c:pt>
                <c:pt idx="136">
                  <c:v>7.3196042561639242E-4</c:v>
                </c:pt>
                <c:pt idx="137">
                  <c:v>7.7103734958125991E-4</c:v>
                </c:pt>
                <c:pt idx="138">
                  <c:v>8.1114202369858329E-4</c:v>
                </c:pt>
                <c:pt idx="139">
                  <c:v>8.5229522722338256E-4</c:v>
                </c:pt>
                <c:pt idx="140">
                  <c:v>8.9451620707630384E-4</c:v>
                </c:pt>
                <c:pt idx="141">
                  <c:v>9.3783293466959128E-4</c:v>
                </c:pt>
                <c:pt idx="142">
                  <c:v>9.8221410129879327E-4</c:v>
                </c:pt>
                <c:pt idx="143">
                  <c:v>1.0276669072116639E-3</c:v>
                </c:pt>
                <c:pt idx="144">
                  <c:v>1.0742020418808777E-3</c:v>
                </c:pt>
                <c:pt idx="145">
                  <c:v>1.1218281902881985E-3</c:v>
                </c:pt>
                <c:pt idx="146">
                  <c:v>1.1705519311509341E-3</c:v>
                </c:pt>
                <c:pt idx="147">
                  <c:v>1.2203776425632061E-3</c:v>
                </c:pt>
                <c:pt idx="148">
                  <c:v>1.2713081807093028E-3</c:v>
                </c:pt>
                <c:pt idx="149">
                  <c:v>1.3227897161490248E-3</c:v>
                </c:pt>
                <c:pt idx="150">
                  <c:v>1.3748178036450422E-3</c:v>
                </c:pt>
                <c:pt idx="151">
                  <c:v>1.4273711245981237E-3</c:v>
                </c:pt>
                <c:pt idx="152">
                  <c:v>1.4804263430080742E-3</c:v>
                </c:pt>
                <c:pt idx="153">
                  <c:v>1.5339581739087598E-3</c:v>
                </c:pt>
                <c:pt idx="154">
                  <c:v>1.5879394674523783E-3</c:v>
                </c:pt>
                <c:pt idx="155">
                  <c:v>1.6412964892203829E-3</c:v>
                </c:pt>
                <c:pt idx="156">
                  <c:v>1.6939449148232273E-3</c:v>
                </c:pt>
                <c:pt idx="157">
                  <c:v>1.7458107347670625E-3</c:v>
                </c:pt>
                <c:pt idx="158">
                  <c:v>1.7968182721540642E-3</c:v>
                </c:pt>
                <c:pt idx="159">
                  <c:v>1.8468904359706126E-3</c:v>
                </c:pt>
                <c:pt idx="160">
                  <c:v>1.8959489844457605E-3</c:v>
                </c:pt>
                <c:pt idx="161">
                  <c:v>1.9439147955494494E-3</c:v>
                </c:pt>
                <c:pt idx="162">
                  <c:v>1.9907304964073883E-3</c:v>
                </c:pt>
                <c:pt idx="163">
                  <c:v>2.0353738476128346E-3</c:v>
                </c:pt>
                <c:pt idx="164">
                  <c:v>2.0783895083882676E-3</c:v>
                </c:pt>
                <c:pt idx="165">
                  <c:v>2.119668735781146E-3</c:v>
                </c:pt>
                <c:pt idx="166">
                  <c:v>2.1591017009601034E-3</c:v>
                </c:pt>
                <c:pt idx="167">
                  <c:v>2.1965779079967723E-3</c:v>
                </c:pt>
                <c:pt idx="168">
                  <c:v>2.231986617545899E-3</c:v>
                </c:pt>
                <c:pt idx="169">
                  <c:v>2.2641941319862962E-3</c:v>
                </c:pt>
                <c:pt idx="170">
                  <c:v>2.2943092549006549E-3</c:v>
                </c:pt>
                <c:pt idx="171">
                  <c:v>2.3222304196615813E-3</c:v>
                </c:pt>
                <c:pt idx="172">
                  <c:v>2.3478574155878502E-3</c:v>
                </c:pt>
                <c:pt idx="173">
                  <c:v>2.3710675144753271E-3</c:v>
                </c:pt>
                <c:pt idx="174">
                  <c:v>2.3917379372935003E-3</c:v>
                </c:pt>
                <c:pt idx="175">
                  <c:v>2.4097717181647735E-3</c:v>
                </c:pt>
                <c:pt idx="176">
                  <c:v>2.4251199666057112E-3</c:v>
                </c:pt>
                <c:pt idx="177">
                  <c:v>2.4364068984197057E-3</c:v>
                </c:pt>
                <c:pt idx="178">
                  <c:v>2.4446485980528054E-3</c:v>
                </c:pt>
                <c:pt idx="179">
                  <c:v>2.4497761225978723E-3</c:v>
                </c:pt>
                <c:pt idx="180">
                  <c:v>2.4517244716840193E-3</c:v>
                </c:pt>
                <c:pt idx="181">
                  <c:v>2.4504326012701988E-3</c:v>
                </c:pt>
                <c:pt idx="182">
                  <c:v>2.4458434047087379E-3</c:v>
                </c:pt>
                <c:pt idx="183">
                  <c:v>2.4370863702758839E-3</c:v>
                </c:pt>
                <c:pt idx="184">
                  <c:v>2.4252696696192219E-3</c:v>
                </c:pt>
                <c:pt idx="185">
                  <c:v>2.4103559382172607E-3</c:v>
                </c:pt>
                <c:pt idx="186">
                  <c:v>2.3923110551696829E-3</c:v>
                </c:pt>
                <c:pt idx="187">
                  <c:v>2.3711039869155738E-3</c:v>
                </c:pt>
                <c:pt idx="188">
                  <c:v>2.3467066122310311E-3</c:v>
                </c:pt>
                <c:pt idx="189">
                  <c:v>2.3190935309421235E-3</c:v>
                </c:pt>
                <c:pt idx="190">
                  <c:v>2.2882606802884071E-3</c:v>
                </c:pt>
                <c:pt idx="191">
                  <c:v>2.2542175566996974E-3</c:v>
                </c:pt>
                <c:pt idx="192">
                  <c:v>2.2184409563166785E-3</c:v>
                </c:pt>
                <c:pt idx="193">
                  <c:v>2.1809324317872908E-3</c:v>
                </c:pt>
                <c:pt idx="194">
                  <c:v>2.1416944760567621E-3</c:v>
                </c:pt>
                <c:pt idx="195">
                  <c:v>2.1007304199618633E-3</c:v>
                </c:pt>
                <c:pt idx="196">
                  <c:v>2.0580443370604887E-3</c:v>
                </c:pt>
                <c:pt idx="197">
                  <c:v>2.0136165318714698E-3</c:v>
                </c:pt>
                <c:pt idx="198">
                  <c:v>1.9683522020642729E-3</c:v>
                </c:pt>
                <c:pt idx="199">
                  <c:v>1.9222708874391974E-3</c:v>
                </c:pt>
                <c:pt idx="200">
                  <c:v>1.8753920000889328E-3</c:v>
                </c:pt>
                <c:pt idx="201">
                  <c:v>1.8277347834876529E-3</c:v>
                </c:pt>
                <c:pt idx="202">
                  <c:v>1.779318282658009E-3</c:v>
                </c:pt>
                <c:pt idx="203">
                  <c:v>1.7301613252570856E-3</c:v>
                </c:pt>
                <c:pt idx="204">
                  <c:v>1.6802890789277621E-3</c:v>
                </c:pt>
                <c:pt idx="205">
                  <c:v>1.6298084620256343E-3</c:v>
                </c:pt>
                <c:pt idx="206">
                  <c:v>1.5787254578580065E-3</c:v>
                </c:pt>
                <c:pt idx="207">
                  <c:v>1.5270639749579867E-3</c:v>
                </c:pt>
                <c:pt idx="208">
                  <c:v>1.4748466638001053E-3</c:v>
                </c:pt>
                <c:pt idx="209">
                  <c:v>1.4220949153429369E-3</c:v>
                </c:pt>
                <c:pt idx="210">
                  <c:v>1.3688288676635988E-3</c:v>
                </c:pt>
                <c:pt idx="211">
                  <c:v>1.3156403275727156E-3</c:v>
                </c:pt>
                <c:pt idx="212">
                  <c:v>1.2625796155754381E-3</c:v>
                </c:pt>
                <c:pt idx="213">
                  <c:v>1.2096698317664695E-3</c:v>
                </c:pt>
                <c:pt idx="214">
                  <c:v>1.1569327341811558E-3</c:v>
                </c:pt>
                <c:pt idx="215">
                  <c:v>1.1043887960062314E-3</c:v>
                </c:pt>
                <c:pt idx="216">
                  <c:v>1.0520572643924497E-3</c:v>
                </c:pt>
                <c:pt idx="217">
                  <c:v>9.9995621999921761E-4</c:v>
                </c:pt>
                <c:pt idx="218">
                  <c:v>9.481012872230391E-4</c:v>
                </c:pt>
                <c:pt idx="219">
                  <c:v>8.9714143230182634E-4</c:v>
                </c:pt>
                <c:pt idx="220">
                  <c:v>8.4701384666765827E-4</c:v>
                </c:pt>
                <c:pt idx="221">
                  <c:v>7.9773635598192737E-4</c:v>
                </c:pt>
                <c:pt idx="222">
                  <c:v>7.4932649131492334E-4</c:v>
                </c:pt>
                <c:pt idx="223">
                  <c:v>7.0180152998539774E-4</c:v>
                </c:pt>
                <c:pt idx="224">
                  <c:v>6.5517853171813401E-4</c:v>
                </c:pt>
                <c:pt idx="225">
                  <c:v>6.1067449388976509E-4</c:v>
                </c:pt>
                <c:pt idx="226">
                  <c:v>5.6771426879557009E-4</c:v>
                </c:pt>
                <c:pt idx="227">
                  <c:v>5.2631964675996809E-4</c:v>
                </c:pt>
                <c:pt idx="228">
                  <c:v>4.8651212435575175E-4</c:v>
                </c:pt>
                <c:pt idx="229">
                  <c:v>4.4831290601394998E-4</c:v>
                </c:pt>
                <c:pt idx="230">
                  <c:v>4.1174290034672647E-4</c:v>
                </c:pt>
                <c:pt idx="231">
                  <c:v>3.7682271146672491E-4</c:v>
                </c:pt>
                <c:pt idx="232">
                  <c:v>3.4356695352971808E-4</c:v>
                </c:pt>
                <c:pt idx="233">
                  <c:v>3.132350937670096E-4</c:v>
                </c:pt>
                <c:pt idx="234">
                  <c:v>2.8519626742729638E-4</c:v>
                </c:pt>
                <c:pt idx="235">
                  <c:v>2.5947775391071503E-4</c:v>
                </c:pt>
                <c:pt idx="236">
                  <c:v>2.3610495283059237E-4</c:v>
                </c:pt>
                <c:pt idx="237">
                  <c:v>2.1510136493371119E-4</c:v>
                </c:pt>
                <c:pt idx="238">
                  <c:v>1.9648901490926395E-4</c:v>
                </c:pt>
                <c:pt idx="239">
                  <c:v>1.8089080301196146E-4</c:v>
                </c:pt>
                <c:pt idx="240">
                  <c:v>1.6708261820568647E-4</c:v>
                </c:pt>
                <c:pt idx="241">
                  <c:v>1.5507909241017323E-4</c:v>
                </c:pt>
                <c:pt idx="242">
                  <c:v>1.4489430825476098E-4</c:v>
                </c:pt>
                <c:pt idx="243">
                  <c:v>1.3654197610733898E-4</c:v>
                </c:pt>
                <c:pt idx="244">
                  <c:v>1.3003561380880491E-4</c:v>
                </c:pt>
                <c:pt idx="245">
                  <c:v>1.253887291470315E-4</c:v>
                </c:pt>
                <c:pt idx="246">
                  <c:v>1.2261026606695844E-4</c:v>
                </c:pt>
                <c:pt idx="247">
                  <c:v>1.2188798711600412E-4</c:v>
                </c:pt>
                <c:pt idx="248">
                  <c:v>1.2195234567588096E-4</c:v>
                </c:pt>
                <c:pt idx="249">
                  <c:v>1.2280936295451937E-4</c:v>
                </c:pt>
                <c:pt idx="250">
                  <c:v>1.2446499816747258E-4</c:v>
                </c:pt>
                <c:pt idx="251">
                  <c:v>1.2692519253902287E-4</c:v>
                </c:pt>
                <c:pt idx="252">
                  <c:v>1.3019591350208666E-4</c:v>
                </c:pt>
                <c:pt idx="253">
                  <c:v>1.3436090263610316E-4</c:v>
                </c:pt>
                <c:pt idx="254">
                  <c:v>1.3880415113294727E-4</c:v>
                </c:pt>
                <c:pt idx="255">
                  <c:v>1.4352833744275898E-4</c:v>
                </c:pt>
                <c:pt idx="256">
                  <c:v>1.4853626783631622E-4</c:v>
                </c:pt>
                <c:pt idx="257">
                  <c:v>1.5383089285204483E-4</c:v>
                </c:pt>
                <c:pt idx="258">
                  <c:v>1.5941532448082111E-4</c:v>
                </c:pt>
                <c:pt idx="259">
                  <c:v>1.6529285434370401E-4</c:v>
                </c:pt>
                <c:pt idx="260">
                  <c:v>1.7146465114094056E-4</c:v>
                </c:pt>
                <c:pt idx="261">
                  <c:v>1.7859974163968916E-4</c:v>
                </c:pt>
                <c:pt idx="262">
                  <c:v>1.865197768702587E-4</c:v>
                </c:pt>
                <c:pt idx="263">
                  <c:v>1.9522988752639244E-4</c:v>
                </c:pt>
                <c:pt idx="264">
                  <c:v>2.0473515578313934E-4</c:v>
                </c:pt>
                <c:pt idx="265">
                  <c:v>2.1504173378840587E-4</c:v>
                </c:pt>
                <c:pt idx="266">
                  <c:v>2.2615530894198744E-4</c:v>
                </c:pt>
                <c:pt idx="267">
                  <c:v>2.3811287440116688E-4</c:v>
                </c:pt>
                <c:pt idx="268">
                  <c:v>2.508387364545115E-4</c:v>
                </c:pt>
                <c:pt idx="269">
                  <c:v>2.6433688334151056E-4</c:v>
                </c:pt>
                <c:pt idx="270">
                  <c:v>2.7861105092807182E-4</c:v>
                </c:pt>
                <c:pt idx="271">
                  <c:v>2.9366469348938144E-4</c:v>
                </c:pt>
                <c:pt idx="272">
                  <c:v>3.0950095655099557E-4</c:v>
                </c:pt>
                <c:pt idx="273">
                  <c:v>3.2612265231709669E-4</c:v>
                </c:pt>
                <c:pt idx="274">
                  <c:v>3.435374108720864E-4</c:v>
                </c:pt>
                <c:pt idx="275">
                  <c:v>3.6063799402822732E-4</c:v>
                </c:pt>
                <c:pt idx="276">
                  <c:v>3.7672566566089171E-4</c:v>
                </c:pt>
                <c:pt idx="277">
                  <c:v>3.9178977170536218E-4</c:v>
                </c:pt>
                <c:pt idx="278">
                  <c:v>4.0581937391038076E-4</c:v>
                </c:pt>
                <c:pt idx="279">
                  <c:v>4.1880334251186412E-4</c:v>
                </c:pt>
                <c:pt idx="280">
                  <c:v>4.3073044951140888E-4</c:v>
                </c:pt>
                <c:pt idx="281">
                  <c:v>4.4113681053672938E-4</c:v>
                </c:pt>
                <c:pt idx="282">
                  <c:v>4.499751117937788E-4</c:v>
                </c:pt>
                <c:pt idx="283">
                  <c:v>4.5723154192293735E-4</c:v>
                </c:pt>
                <c:pt idx="284">
                  <c:v>4.6289274976132145E-4</c:v>
                </c:pt>
                <c:pt idx="285">
                  <c:v>4.6694595840057496E-4</c:v>
                </c:pt>
                <c:pt idx="286">
                  <c:v>4.6937907380036352E-4</c:v>
                </c:pt>
                <c:pt idx="287">
                  <c:v>4.7018078701684758E-4</c:v>
                </c:pt>
                <c:pt idx="288">
                  <c:v>4.6934458598710743E-4</c:v>
                </c:pt>
                <c:pt idx="289">
                  <c:v>4.6700738550191188E-4</c:v>
                </c:pt>
                <c:pt idx="290">
                  <c:v>4.6431306261601561E-4</c:v>
                </c:pt>
                <c:pt idx="291">
                  <c:v>4.6126324280556114E-4</c:v>
                </c:pt>
                <c:pt idx="292">
                  <c:v>4.5785988730188379E-4</c:v>
                </c:pt>
                <c:pt idx="293">
                  <c:v>4.5410527034642613E-4</c:v>
                </c:pt>
                <c:pt idx="294">
                  <c:v>4.5000195189581781E-4</c:v>
                </c:pt>
                <c:pt idx="295">
                  <c:v>4.4564181314944316E-4</c:v>
                </c:pt>
                <c:pt idx="296">
                  <c:v>4.4149723980182727E-4</c:v>
                </c:pt>
                <c:pt idx="297">
                  <c:v>4.3757705694696963E-4</c:v>
                </c:pt>
                <c:pt idx="298">
                  <c:v>4.3388653405367506E-4</c:v>
                </c:pt>
                <c:pt idx="299">
                  <c:v>4.3043112111466994E-4</c:v>
                </c:pt>
                <c:pt idx="300">
                  <c:v>4.2721646290012124E-4</c:v>
                </c:pt>
                <c:pt idx="301">
                  <c:v>4.2424841517343237E-4</c:v>
                </c:pt>
                <c:pt idx="302">
                  <c:v>4.2156639725289405E-4</c:v>
                </c:pt>
                <c:pt idx="303">
                  <c:v>4.1932277108212417E-4</c:v>
                </c:pt>
                <c:pt idx="304">
                  <c:v>4.1736452390899186E-4</c:v>
                </c:pt>
                <c:pt idx="305">
                  <c:v>4.1568107531578848E-4</c:v>
                </c:pt>
                <c:pt idx="306">
                  <c:v>4.1426195533331259E-4</c:v>
                </c:pt>
                <c:pt idx="307">
                  <c:v>4.1309668337020353E-4</c:v>
                </c:pt>
                <c:pt idx="308">
                  <c:v>4.121746497540918E-4</c:v>
                </c:pt>
                <c:pt idx="309">
                  <c:v>4.1188830835682896E-4</c:v>
                </c:pt>
                <c:pt idx="310">
                  <c:v>4.12138024729644E-4</c:v>
                </c:pt>
                <c:pt idx="311">
                  <c:v>4.1291453440563965E-4</c:v>
                </c:pt>
                <c:pt idx="312">
                  <c:v>4.1420787470747294E-4</c:v>
                </c:pt>
                <c:pt idx="313">
                  <c:v>4.160071677420578E-4</c:v>
                </c:pt>
                <c:pt idx="314">
                  <c:v>4.1830040059025875E-4</c:v>
                </c:pt>
                <c:pt idx="315">
                  <c:v>4.2107420476374054E-4</c:v>
                </c:pt>
                <c:pt idx="316">
                  <c:v>4.2437357971464328E-4</c:v>
                </c:pt>
                <c:pt idx="317">
                  <c:v>4.2816267871964071E-4</c:v>
                </c:pt>
                <c:pt idx="318">
                  <c:v>4.3231520237533796E-4</c:v>
                </c:pt>
                <c:pt idx="319">
                  <c:v>4.3683258649519313E-4</c:v>
                </c:pt>
                <c:pt idx="320">
                  <c:v>4.4171598984530991E-4</c:v>
                </c:pt>
                <c:pt idx="321">
                  <c:v>4.4696622939941339E-4</c:v>
                </c:pt>
                <c:pt idx="322">
                  <c:v>4.5258371054057245E-4</c:v>
                </c:pt>
                <c:pt idx="323">
                  <c:v>4.5797125932184156E-4</c:v>
                </c:pt>
                <c:pt idx="324">
                  <c:v>4.6270550315048053E-4</c:v>
                </c:pt>
                <c:pt idx="325">
                  <c:v>4.6677713640729147E-4</c:v>
                </c:pt>
                <c:pt idx="326">
                  <c:v>4.7017309453980524E-4</c:v>
                </c:pt>
                <c:pt idx="327">
                  <c:v>4.7288140424229283E-4</c:v>
                </c:pt>
                <c:pt idx="328">
                  <c:v>4.7489178182243559E-4</c:v>
                </c:pt>
                <c:pt idx="329">
                  <c:v>4.7619330703606956E-4</c:v>
                </c:pt>
                <c:pt idx="330">
                  <c:v>4.7685596351911696E-4</c:v>
                </c:pt>
                <c:pt idx="331">
                  <c:v>4.7727491378721823E-4</c:v>
                </c:pt>
                <c:pt idx="332">
                  <c:v>4.775167418601853E-4</c:v>
                </c:pt>
                <c:pt idx="333">
                  <c:v>4.7755084809815489E-4</c:v>
                </c:pt>
                <c:pt idx="334">
                  <c:v>4.7734500397475114E-4</c:v>
                </c:pt>
                <c:pt idx="335">
                  <c:v>4.768654938938357E-4</c:v>
                </c:pt>
                <c:pt idx="336">
                  <c:v>4.7607731508087701E-4</c:v>
                </c:pt>
                <c:pt idx="337">
                  <c:v>4.7515974316757057E-4</c:v>
                </c:pt>
                <c:pt idx="338">
                  <c:v>4.7470181348904328E-4</c:v>
                </c:pt>
                <c:pt idx="339">
                  <c:v>4.746732698564453E-4</c:v>
                </c:pt>
                <c:pt idx="340">
                  <c:v>4.7504225991238058E-4</c:v>
                </c:pt>
                <c:pt idx="341">
                  <c:v>4.7577519088298575E-4</c:v>
                </c:pt>
                <c:pt idx="342">
                  <c:v>4.7683663607232248E-4</c:v>
                </c:pt>
                <c:pt idx="343">
                  <c:v>4.7818929950078725E-4</c:v>
                </c:pt>
                <c:pt idx="344">
                  <c:v>4.7985546497244418E-4</c:v>
                </c:pt>
                <c:pt idx="345">
                  <c:v>4.8188515602915291E-4</c:v>
                </c:pt>
                <c:pt idx="346">
                  <c:v>4.8370675949888005E-4</c:v>
                </c:pt>
                <c:pt idx="347">
                  <c:v>4.8532354715772686E-4</c:v>
                </c:pt>
                <c:pt idx="348">
                  <c:v>4.86739520428315E-4</c:v>
                </c:pt>
                <c:pt idx="349">
                  <c:v>4.8795937907700649E-4</c:v>
                </c:pt>
                <c:pt idx="350">
                  <c:v>4.8898848520131509E-4</c:v>
                </c:pt>
                <c:pt idx="351">
                  <c:v>4.8962585614803359E-4</c:v>
                </c:pt>
                <c:pt idx="352">
                  <c:v>4.8964759788760082E-4</c:v>
                </c:pt>
                <c:pt idx="353">
                  <c:v>4.8906499783056198E-4</c:v>
                </c:pt>
                <c:pt idx="354">
                  <c:v>4.8789072778546898E-4</c:v>
                </c:pt>
                <c:pt idx="355">
                  <c:v>4.8613855694627198E-4</c:v>
                </c:pt>
                <c:pt idx="356">
                  <c:v>4.8380766976852498E-4</c:v>
                </c:pt>
                <c:pt idx="357">
                  <c:v>4.8092906801744216E-4</c:v>
                </c:pt>
                <c:pt idx="358">
                  <c:v>4.7743048828488295E-4</c:v>
                </c:pt>
                <c:pt idx="359">
                  <c:v>4.7325675568670459E-4</c:v>
                </c:pt>
                <c:pt idx="360">
                  <c:v>4.6865639994258959E-4</c:v>
                </c:pt>
                <c:pt idx="361">
                  <c:v>4.6387986211499235E-4</c:v>
                </c:pt>
                <c:pt idx="362">
                  <c:v>4.5895948372802649E-4</c:v>
                </c:pt>
                <c:pt idx="363">
                  <c:v>4.5392643385776287E-4</c:v>
                </c:pt>
                <c:pt idx="364">
                  <c:v>4.4881053159115674E-4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16696"/>
        <c:axId val="644417088"/>
      </c:lineChart>
      <c:dateAx>
        <c:axId val="6444166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7088"/>
        <c:crosses val="autoZero"/>
        <c:auto val="1"/>
        <c:lblOffset val="100"/>
        <c:baseTimeUnit val="days"/>
        <c:majorUnit val="1"/>
        <c:majorTimeUnit val="months"/>
      </c:dateAx>
      <c:valAx>
        <c:axId val="6444170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6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27.704709209301104</c:v>
                </c:pt>
                <c:pt idx="1">
                  <c:v>27.907176595691787</c:v>
                </c:pt>
                <c:pt idx="2">
                  <c:v>28.115303756222609</c:v>
                </c:pt>
                <c:pt idx="3">
                  <c:v>28.32757149376058</c:v>
                </c:pt>
                <c:pt idx="4">
                  <c:v>28.542461373455584</c:v>
                </c:pt>
                <c:pt idx="5">
                  <c:v>28.758455714293021</c:v>
                </c:pt>
                <c:pt idx="6">
                  <c:v>28.974037592507226</c:v>
                </c:pt>
                <c:pt idx="7">
                  <c:v>29.187690839708413</c:v>
                </c:pt>
                <c:pt idx="8">
                  <c:v>29.401180824813057</c:v>
                </c:pt>
                <c:pt idx="9">
                  <c:v>29.617525373453358</c:v>
                </c:pt>
                <c:pt idx="10">
                  <c:v>29.837078129160478</c:v>
                </c:pt>
                <c:pt idx="11">
                  <c:v>30.060189749136779</c:v>
                </c:pt>
                <c:pt idx="12">
                  <c:v>30.287210694441846</c:v>
                </c:pt>
                <c:pt idx="13">
                  <c:v>30.518491237097884</c:v>
                </c:pt>
                <c:pt idx="14">
                  <c:v>30.754381459552935</c:v>
                </c:pt>
                <c:pt idx="15">
                  <c:v>30.995232523935432</c:v>
                </c:pt>
                <c:pt idx="16">
                  <c:v>31.241398614347158</c:v>
                </c:pt>
                <c:pt idx="17">
                  <c:v>31.49322925217448</c:v>
                </c:pt>
                <c:pt idx="18">
                  <c:v>31.751073776928774</c:v>
                </c:pt>
                <c:pt idx="19">
                  <c:v>32.015281309608255</c:v>
                </c:pt>
                <c:pt idx="20">
                  <c:v>32.286200776228071</c:v>
                </c:pt>
                <c:pt idx="21">
                  <c:v>32.564180954945186</c:v>
                </c:pt>
                <c:pt idx="22">
                  <c:v>32.851173329529843</c:v>
                </c:pt>
                <c:pt idx="23">
                  <c:v>33.148125225979477</c:v>
                </c:pt>
                <c:pt idx="24">
                  <c:v>33.453879868981971</c:v>
                </c:pt>
                <c:pt idx="25">
                  <c:v>33.767289144643016</c:v>
                </c:pt>
                <c:pt idx="26">
                  <c:v>34.087205525474346</c:v>
                </c:pt>
                <c:pt idx="27">
                  <c:v>34.412482081055643</c:v>
                </c:pt>
                <c:pt idx="28">
                  <c:v>34.741972465731564</c:v>
                </c:pt>
                <c:pt idx="29">
                  <c:v>35.074529166924847</c:v>
                </c:pt>
                <c:pt idx="30">
                  <c:v>35.409005755190933</c:v>
                </c:pt>
                <c:pt idx="31">
                  <c:v>35.744257662966788</c:v>
                </c:pt>
                <c:pt idx="32">
                  <c:v>36.079140914858478</c:v>
                </c:pt>
                <c:pt idx="33">
                  <c:v>36.412512126595018</c:v>
                </c:pt>
                <c:pt idx="34">
                  <c:v>36.743228505589165</c:v>
                </c:pt>
                <c:pt idx="35">
                  <c:v>37.070147849576017</c:v>
                </c:pt>
                <c:pt idx="36">
                  <c:v>37.396112241096525</c:v>
                </c:pt>
                <c:pt idx="37">
                  <c:v>37.724376700033979</c:v>
                </c:pt>
                <c:pt idx="38">
                  <c:v>38.054426637263937</c:v>
                </c:pt>
                <c:pt idx="39">
                  <c:v>38.385742098207835</c:v>
                </c:pt>
                <c:pt idx="40">
                  <c:v>38.717803401906679</c:v>
                </c:pt>
                <c:pt idx="41">
                  <c:v>39.050091137713515</c:v>
                </c:pt>
                <c:pt idx="42">
                  <c:v>39.382086164661928</c:v>
                </c:pt>
                <c:pt idx="43">
                  <c:v>39.713267582044558</c:v>
                </c:pt>
                <c:pt idx="44">
                  <c:v>40.043118545050014</c:v>
                </c:pt>
                <c:pt idx="45">
                  <c:v>40.371120706260378</c:v>
                </c:pt>
                <c:pt idx="46">
                  <c:v>40.696755977248401</c:v>
                </c:pt>
                <c:pt idx="47">
                  <c:v>41.019506524581679</c:v>
                </c:pt>
                <c:pt idx="48">
                  <c:v>41.338854769464341</c:v>
                </c:pt>
                <c:pt idx="49">
                  <c:v>41.65428338054182</c:v>
                </c:pt>
                <c:pt idx="50">
                  <c:v>41.966347251870012</c:v>
                </c:pt>
                <c:pt idx="51">
                  <c:v>42.276022565924087</c:v>
                </c:pt>
                <c:pt idx="52">
                  <c:v>42.583415374465972</c:v>
                </c:pt>
                <c:pt idx="53">
                  <c:v>42.888630384759352</c:v>
                </c:pt>
                <c:pt idx="54">
                  <c:v>43.191772196864662</c:v>
                </c:pt>
                <c:pt idx="55">
                  <c:v>43.492945332972994</c:v>
                </c:pt>
                <c:pt idx="56">
                  <c:v>43.79225423696078</c:v>
                </c:pt>
                <c:pt idx="57">
                  <c:v>44.089819991967346</c:v>
                </c:pt>
                <c:pt idx="58">
                  <c:v>44.385748950222144</c:v>
                </c:pt>
                <c:pt idx="59">
                  <c:v>44.68014534182096</c:v>
                </c:pt>
                <c:pt idx="60">
                  <c:v>44.973113311670836</c:v>
                </c:pt>
                <c:pt idx="61">
                  <c:v>45.264756919903775</c:v>
                </c:pt>
                <c:pt idx="62">
                  <c:v>45.555180138812361</c:v>
                </c:pt>
                <c:pt idx="63">
                  <c:v>45.844486853216452</c:v>
                </c:pt>
                <c:pt idx="64">
                  <c:v>46.133195097530376</c:v>
                </c:pt>
                <c:pt idx="65">
                  <c:v>46.421545992778896</c:v>
                </c:pt>
                <c:pt idx="66">
                  <c:v>46.709222078190955</c:v>
                </c:pt>
                <c:pt idx="67">
                  <c:v>46.995912737692841</c:v>
                </c:pt>
                <c:pt idx="68">
                  <c:v>47.281307473634222</c:v>
                </c:pt>
                <c:pt idx="69">
                  <c:v>47.565095907134058</c:v>
                </c:pt>
                <c:pt idx="70">
                  <c:v>47.846967778222499</c:v>
                </c:pt>
                <c:pt idx="71">
                  <c:v>48.126602449791314</c:v>
                </c:pt>
                <c:pt idx="72">
                  <c:v>48.403672925818007</c:v>
                </c:pt>
                <c:pt idx="73">
                  <c:v>48.677869206697778</c:v>
                </c:pt>
                <c:pt idx="74">
                  <c:v>48.948881406149241</c:v>
                </c:pt>
                <c:pt idx="75">
                  <c:v>49.216399756452432</c:v>
                </c:pt>
                <c:pt idx="76">
                  <c:v>49.480114601870063</c:v>
                </c:pt>
                <c:pt idx="77">
                  <c:v>49.739716407257802</c:v>
                </c:pt>
                <c:pt idx="78">
                  <c:v>49.997239018343528</c:v>
                </c:pt>
                <c:pt idx="79">
                  <c:v>50.254438322502224</c:v>
                </c:pt>
                <c:pt idx="80">
                  <c:v>50.510590577274591</c:v>
                </c:pt>
                <c:pt idx="81">
                  <c:v>50.764971875339917</c:v>
                </c:pt>
                <c:pt idx="82">
                  <c:v>51.016858637578743</c:v>
                </c:pt>
                <c:pt idx="83">
                  <c:v>51.265527615881552</c:v>
                </c:pt>
                <c:pt idx="84">
                  <c:v>51.51025589831135</c:v>
                </c:pt>
                <c:pt idx="85">
                  <c:v>51.750317937389404</c:v>
                </c:pt>
                <c:pt idx="86">
                  <c:v>51.985002275865597</c:v>
                </c:pt>
                <c:pt idx="87">
                  <c:v>52.21358708791054</c:v>
                </c:pt>
                <c:pt idx="88">
                  <c:v>52.435350903782172</c:v>
                </c:pt>
                <c:pt idx="89">
                  <c:v>52.649572609322135</c:v>
                </c:pt>
                <c:pt idx="90">
                  <c:v>52.855531458672473</c:v>
                </c:pt>
                <c:pt idx="91">
                  <c:v>53.052507068775135</c:v>
                </c:pt>
                <c:pt idx="92">
                  <c:v>53.240467415166982</c:v>
                </c:pt>
                <c:pt idx="93">
                  <c:v>53.420195504930589</c:v>
                </c:pt>
                <c:pt idx="94">
                  <c:v>53.592210483285655</c:v>
                </c:pt>
                <c:pt idx="95">
                  <c:v>53.757029930597099</c:v>
                </c:pt>
                <c:pt idx="96">
                  <c:v>53.915171165417753</c:v>
                </c:pt>
                <c:pt idx="97">
                  <c:v>54.067151246700931</c:v>
                </c:pt>
                <c:pt idx="98">
                  <c:v>54.213486966984611</c:v>
                </c:pt>
                <c:pt idx="99">
                  <c:v>54.354672320641399</c:v>
                </c:pt>
                <c:pt idx="100">
                  <c:v>54.491226353377925</c:v>
                </c:pt>
                <c:pt idx="101">
                  <c:v>54.623664710642508</c:v>
                </c:pt>
                <c:pt idx="102">
                  <c:v>54.752502736511666</c:v>
                </c:pt>
                <c:pt idx="103">
                  <c:v>54.878255477654015</c:v>
                </c:pt>
                <c:pt idx="104">
                  <c:v>55.001437680372348</c:v>
                </c:pt>
                <c:pt idx="105">
                  <c:v>55.122563784675719</c:v>
                </c:pt>
                <c:pt idx="106">
                  <c:v>55.241083491044108</c:v>
                </c:pt>
                <c:pt idx="107">
                  <c:v>55.356011307225096</c:v>
                </c:pt>
                <c:pt idx="108">
                  <c:v>55.467254784195305</c:v>
                </c:pt>
                <c:pt idx="109">
                  <c:v>55.574710289207026</c:v>
                </c:pt>
                <c:pt idx="110">
                  <c:v>55.678274181192194</c:v>
                </c:pt>
                <c:pt idx="111">
                  <c:v>55.777842821088051</c:v>
                </c:pt>
                <c:pt idx="112">
                  <c:v>55.873312584656624</c:v>
                </c:pt>
                <c:pt idx="113">
                  <c:v>55.964566544072731</c:v>
                </c:pt>
                <c:pt idx="114">
                  <c:v>56.05152585940948</c:v>
                </c:pt>
                <c:pt idx="115">
                  <c:v>56.134087248574048</c:v>
                </c:pt>
                <c:pt idx="116">
                  <c:v>56.21214746600301</c:v>
                </c:pt>
                <c:pt idx="117">
                  <c:v>56.285603303942985</c:v>
                </c:pt>
                <c:pt idx="118">
                  <c:v>56.35435159883405</c:v>
                </c:pt>
                <c:pt idx="119">
                  <c:v>56.418289234614583</c:v>
                </c:pt>
                <c:pt idx="120">
                  <c:v>56.476901894184849</c:v>
                </c:pt>
                <c:pt idx="121">
                  <c:v>56.529936329488827</c:v>
                </c:pt>
                <c:pt idx="122">
                  <c:v>56.577727455686713</c:v>
                </c:pt>
                <c:pt idx="123">
                  <c:v>56.620583952546987</c:v>
                </c:pt>
                <c:pt idx="124">
                  <c:v>56.658814362214059</c:v>
                </c:pt>
                <c:pt idx="125">
                  <c:v>56.692727090887125</c:v>
                </c:pt>
                <c:pt idx="126">
                  <c:v>56.722630412801259</c:v>
                </c:pt>
                <c:pt idx="127">
                  <c:v>56.748830499262858</c:v>
                </c:pt>
                <c:pt idx="128">
                  <c:v>56.771650901419996</c:v>
                </c:pt>
                <c:pt idx="129">
                  <c:v>56.791400021051878</c:v>
                </c:pt>
                <c:pt idx="130">
                  <c:v>56.808386167091811</c:v>
                </c:pt>
                <c:pt idx="131">
                  <c:v>56.822917566985979</c:v>
                </c:pt>
                <c:pt idx="132">
                  <c:v>56.835302366497075</c:v>
                </c:pt>
                <c:pt idx="133">
                  <c:v>56.84584863658371</c:v>
                </c:pt>
                <c:pt idx="134">
                  <c:v>56.853872526691788</c:v>
                </c:pt>
                <c:pt idx="135">
                  <c:v>56.858554639933587</c:v>
                </c:pt>
                <c:pt idx="136">
                  <c:v>56.860014657436921</c:v>
                </c:pt>
                <c:pt idx="137">
                  <c:v>56.858356978343224</c:v>
                </c:pt>
                <c:pt idx="138">
                  <c:v>56.853686098789453</c:v>
                </c:pt>
                <c:pt idx="139">
                  <c:v>56.846106615058055</c:v>
                </c:pt>
                <c:pt idx="140">
                  <c:v>56.835723230259759</c:v>
                </c:pt>
                <c:pt idx="141">
                  <c:v>56.822640160254984</c:v>
                </c:pt>
                <c:pt idx="142">
                  <c:v>56.806964998870846</c:v>
                </c:pt>
                <c:pt idx="143">
                  <c:v>56.788803145198166</c:v>
                </c:pt>
                <c:pt idx="144">
                  <c:v>56.76825979162404</c:v>
                </c:pt>
                <c:pt idx="145">
                  <c:v>56.745440224711679</c:v>
                </c:pt>
                <c:pt idx="146">
                  <c:v>56.720449827460705</c:v>
                </c:pt>
                <c:pt idx="147">
                  <c:v>56.69339407247594</c:v>
                </c:pt>
                <c:pt idx="148">
                  <c:v>56.664344388237161</c:v>
                </c:pt>
                <c:pt idx="149">
                  <c:v>56.633267426758934</c:v>
                </c:pt>
                <c:pt idx="150">
                  <c:v>56.600064638937667</c:v>
                </c:pt>
                <c:pt idx="151">
                  <c:v>56.564638518323264</c:v>
                </c:pt>
                <c:pt idx="152">
                  <c:v>56.526891750641347</c:v>
                </c:pt>
                <c:pt idx="153">
                  <c:v>56.486727199008264</c:v>
                </c:pt>
                <c:pt idx="154">
                  <c:v>56.444047889756881</c:v>
                </c:pt>
                <c:pt idx="155">
                  <c:v>56.39881602165417</c:v>
                </c:pt>
                <c:pt idx="156">
                  <c:v>56.350937793071566</c:v>
                </c:pt>
                <c:pt idx="157">
                  <c:v>56.300318822479426</c:v>
                </c:pt>
                <c:pt idx="158">
                  <c:v>56.246864809609185</c:v>
                </c:pt>
                <c:pt idx="159">
                  <c:v>56.190481513159725</c:v>
                </c:pt>
                <c:pt idx="160">
                  <c:v>56.131074720219843</c:v>
                </c:pt>
                <c:pt idx="161">
                  <c:v>56.068550222128458</c:v>
                </c:pt>
                <c:pt idx="162">
                  <c:v>56.002183673662401</c:v>
                </c:pt>
                <c:pt idx="163">
                  <c:v>55.931645078929854</c:v>
                </c:pt>
                <c:pt idx="164">
                  <c:v>55.857315103019459</c:v>
                </c:pt>
                <c:pt idx="165">
                  <c:v>55.77961062235282</c:v>
                </c:pt>
                <c:pt idx="166">
                  <c:v>55.698948073556302</c:v>
                </c:pt>
                <c:pt idx="167">
                  <c:v>55.615743438996745</c:v>
                </c:pt>
                <c:pt idx="168">
                  <c:v>55.530412219381375</c:v>
                </c:pt>
                <c:pt idx="169">
                  <c:v>55.4434262756225</c:v>
                </c:pt>
                <c:pt idx="170">
                  <c:v>55.355132213576525</c:v>
                </c:pt>
                <c:pt idx="171">
                  <c:v>55.265943638381813</c:v>
                </c:pt>
                <c:pt idx="172">
                  <c:v>55.176273626085802</c:v>
                </c:pt>
                <c:pt idx="173">
                  <c:v>55.086536054630059</c:v>
                </c:pt>
                <c:pt idx="174">
                  <c:v>54.997144366992003</c:v>
                </c:pt>
                <c:pt idx="175">
                  <c:v>54.908510164399154</c:v>
                </c:pt>
                <c:pt idx="176">
                  <c:v>54.820024684781188</c:v>
                </c:pt>
                <c:pt idx="177">
                  <c:v>54.730880954415476</c:v>
                </c:pt>
                <c:pt idx="178">
                  <c:v>54.641022308437186</c:v>
                </c:pt>
                <c:pt idx="179">
                  <c:v>54.550451645844888</c:v>
                </c:pt>
                <c:pt idx="180">
                  <c:v>54.459171500403329</c:v>
                </c:pt>
                <c:pt idx="181">
                  <c:v>54.367184044410216</c:v>
                </c:pt>
                <c:pt idx="182">
                  <c:v>54.274491097589042</c:v>
                </c:pt>
                <c:pt idx="183">
                  <c:v>54.181138527373463</c:v>
                </c:pt>
                <c:pt idx="184">
                  <c:v>54.087064486227945</c:v>
                </c:pt>
                <c:pt idx="185">
                  <c:v>53.992269450072065</c:v>
                </c:pt>
                <c:pt idx="186">
                  <c:v>53.896753618493328</c:v>
                </c:pt>
                <c:pt idx="187">
                  <c:v>53.800516931494144</c:v>
                </c:pt>
                <c:pt idx="188">
                  <c:v>53.703559088218405</c:v>
                </c:pt>
                <c:pt idx="189">
                  <c:v>53.60587956674641</c:v>
                </c:pt>
                <c:pt idx="190">
                  <c:v>53.50703653100102</c:v>
                </c:pt>
                <c:pt idx="191">
                  <c:v>53.406722931879962</c:v>
                </c:pt>
                <c:pt idx="192">
                  <c:v>53.305061114287248</c:v>
                </c:pt>
                <c:pt idx="193">
                  <c:v>53.20225258567617</c:v>
                </c:pt>
                <c:pt idx="194">
                  <c:v>53.098498713523448</c:v>
                </c:pt>
                <c:pt idx="195">
                  <c:v>52.994000742781239</c:v>
                </c:pt>
                <c:pt idx="196">
                  <c:v>52.8889598146163</c:v>
                </c:pt>
                <c:pt idx="197">
                  <c:v>52.783578273500197</c:v>
                </c:pt>
                <c:pt idx="198">
                  <c:v>52.678009594417254</c:v>
                </c:pt>
                <c:pt idx="199">
                  <c:v>52.572454260995613</c:v>
                </c:pt>
                <c:pt idx="200">
                  <c:v>52.467112748084347</c:v>
                </c:pt>
                <c:pt idx="201">
                  <c:v>52.362185530978884</c:v>
                </c:pt>
                <c:pt idx="202">
                  <c:v>52.257873093805578</c:v>
                </c:pt>
                <c:pt idx="203">
                  <c:v>52.154375936789201</c:v>
                </c:pt>
                <c:pt idx="204">
                  <c:v>52.051606791566158</c:v>
                </c:pt>
                <c:pt idx="205">
                  <c:v>51.949271340250277</c:v>
                </c:pt>
                <c:pt idx="206">
                  <c:v>51.847266662146012</c:v>
                </c:pt>
                <c:pt idx="207">
                  <c:v>51.745489000203783</c:v>
                </c:pt>
                <c:pt idx="208">
                  <c:v>51.643834763158154</c:v>
                </c:pt>
                <c:pt idx="209">
                  <c:v>51.542200524779425</c:v>
                </c:pt>
                <c:pt idx="210">
                  <c:v>51.440483022413503</c:v>
                </c:pt>
                <c:pt idx="211">
                  <c:v>51.338549704216419</c:v>
                </c:pt>
                <c:pt idx="212">
                  <c:v>51.236296133816261</c:v>
                </c:pt>
                <c:pt idx="213">
                  <c:v>51.127952815421601</c:v>
                </c:pt>
                <c:pt idx="214">
                  <c:v>51.01915845987952</c:v>
                </c:pt>
                <c:pt idx="215">
                  <c:v>50.909810099379207</c:v>
                </c:pt>
                <c:pt idx="216">
                  <c:v>50.799804960936022</c:v>
                </c:pt>
                <c:pt idx="217">
                  <c:v>50.689040461152828</c:v>
                </c:pt>
                <c:pt idx="218">
                  <c:v>50.577486252225988</c:v>
                </c:pt>
                <c:pt idx="219">
                  <c:v>50.465203350260865</c:v>
                </c:pt>
                <c:pt idx="220">
                  <c:v>50.352278593109972</c:v>
                </c:pt>
                <c:pt idx="221">
                  <c:v>50.238794725205274</c:v>
                </c:pt>
                <c:pt idx="222">
                  <c:v>50.124834500362603</c:v>
                </c:pt>
                <c:pt idx="223">
                  <c:v>50.01048067761176</c:v>
                </c:pt>
                <c:pt idx="224">
                  <c:v>49.895816017458273</c:v>
                </c:pt>
                <c:pt idx="225">
                  <c:v>49.780863496852142</c:v>
                </c:pt>
                <c:pt idx="226">
                  <c:v>49.665735699871576</c:v>
                </c:pt>
                <c:pt idx="227">
                  <c:v>49.550515321165904</c:v>
                </c:pt>
                <c:pt idx="228">
                  <c:v>49.435285051942955</c:v>
                </c:pt>
                <c:pt idx="229">
                  <c:v>49.32012757674736</c:v>
                </c:pt>
                <c:pt idx="230">
                  <c:v>49.205125571400188</c:v>
                </c:pt>
                <c:pt idx="231">
                  <c:v>49.09036170072568</c:v>
                </c:pt>
                <c:pt idx="232">
                  <c:v>48.976727451711781</c:v>
                </c:pt>
                <c:pt idx="233">
                  <c:v>48.864684314034605</c:v>
                </c:pt>
                <c:pt idx="234">
                  <c:v>48.753793656050242</c:v>
                </c:pt>
                <c:pt idx="235">
                  <c:v>48.643584872144579</c:v>
                </c:pt>
                <c:pt idx="236">
                  <c:v>48.533587798645158</c:v>
                </c:pt>
                <c:pt idx="237">
                  <c:v>48.42333271823378</c:v>
                </c:pt>
                <c:pt idx="238">
                  <c:v>48.312350345319061</c:v>
                </c:pt>
                <c:pt idx="239">
                  <c:v>48.20014278996419</c:v>
                </c:pt>
                <c:pt idx="240">
                  <c:v>48.086301639254039</c:v>
                </c:pt>
                <c:pt idx="241">
                  <c:v>47.970358851151644</c:v>
                </c:pt>
                <c:pt idx="242">
                  <c:v>47.851846780862509</c:v>
                </c:pt>
                <c:pt idx="243">
                  <c:v>47.730298177688105</c:v>
                </c:pt>
                <c:pt idx="244">
                  <c:v>47.605246177492347</c:v>
                </c:pt>
                <c:pt idx="245">
                  <c:v>47.476224300434367</c:v>
                </c:pt>
                <c:pt idx="246">
                  <c:v>47.344596581904476</c:v>
                </c:pt>
                <c:pt idx="247">
                  <c:v>47.211827006127812</c:v>
                </c:pt>
                <c:pt idx="248">
                  <c:v>47.077672650037456</c:v>
                </c:pt>
                <c:pt idx="249">
                  <c:v>46.941830271492307</c:v>
                </c:pt>
                <c:pt idx="250">
                  <c:v>46.803996881256126</c:v>
                </c:pt>
                <c:pt idx="251">
                  <c:v>46.663869735930994</c:v>
                </c:pt>
                <c:pt idx="252">
                  <c:v>46.521146339415296</c:v>
                </c:pt>
                <c:pt idx="253">
                  <c:v>46.375520832259511</c:v>
                </c:pt>
                <c:pt idx="254">
                  <c:v>46.2267199928935</c:v>
                </c:pt>
                <c:pt idx="255">
                  <c:v>46.074441955204811</c:v>
                </c:pt>
                <c:pt idx="256">
                  <c:v>45.918385070108137</c:v>
                </c:pt>
                <c:pt idx="257">
                  <c:v>45.758247895871683</c:v>
                </c:pt>
                <c:pt idx="258">
                  <c:v>45.593729198875849</c:v>
                </c:pt>
                <c:pt idx="259">
                  <c:v>45.424527938320971</c:v>
                </c:pt>
                <c:pt idx="260">
                  <c:v>45.250956106286672</c:v>
                </c:pt>
                <c:pt idx="261">
                  <c:v>45.073542510551967</c:v>
                </c:pt>
                <c:pt idx="262">
                  <c:v>44.892365116747129</c:v>
                </c:pt>
                <c:pt idx="263">
                  <c:v>44.7074935024309</c:v>
                </c:pt>
                <c:pt idx="264">
                  <c:v>44.518997184948084</c:v>
                </c:pt>
                <c:pt idx="265">
                  <c:v>44.326945563912965</c:v>
                </c:pt>
                <c:pt idx="266">
                  <c:v>44.13140799380691</c:v>
                </c:pt>
                <c:pt idx="267">
                  <c:v>43.932452373660844</c:v>
                </c:pt>
                <c:pt idx="268">
                  <c:v>43.730151472804202</c:v>
                </c:pt>
                <c:pt idx="269">
                  <c:v>43.524574438486368</c:v>
                </c:pt>
                <c:pt idx="270">
                  <c:v>43.315790329403583</c:v>
                </c:pt>
                <c:pt idx="271">
                  <c:v>43.103868109635037</c:v>
                </c:pt>
                <c:pt idx="272">
                  <c:v>42.888876647953907</c:v>
                </c:pt>
                <c:pt idx="273">
                  <c:v>42.670884708674684</c:v>
                </c:pt>
                <c:pt idx="274">
                  <c:v>42.449321539313203</c:v>
                </c:pt>
                <c:pt idx="275">
                  <c:v>42.223763954218924</c:v>
                </c:pt>
                <c:pt idx="276">
                  <c:v>41.994459852422395</c:v>
                </c:pt>
                <c:pt idx="277">
                  <c:v>41.761627465524874</c:v>
                </c:pt>
                <c:pt idx="278">
                  <c:v>41.525484734671934</c:v>
                </c:pt>
                <c:pt idx="279">
                  <c:v>41.286249312185383</c:v>
                </c:pt>
                <c:pt idx="280">
                  <c:v>41.044138554515094</c:v>
                </c:pt>
                <c:pt idx="281">
                  <c:v>40.799387996725002</c:v>
                </c:pt>
                <c:pt idx="282">
                  <c:v>40.552215531524169</c:v>
                </c:pt>
                <c:pt idx="283">
                  <c:v>40.302837367184665</c:v>
                </c:pt>
                <c:pt idx="284">
                  <c:v>40.051469395304927</c:v>
                </c:pt>
                <c:pt idx="285">
                  <c:v>39.79832719426124</c:v>
                </c:pt>
                <c:pt idx="286">
                  <c:v>39.543626032758475</c:v>
                </c:pt>
                <c:pt idx="287">
                  <c:v>39.287580873173766</c:v>
                </c:pt>
                <c:pt idx="288">
                  <c:v>39.030080499275236</c:v>
                </c:pt>
                <c:pt idx="289">
                  <c:v>38.770796616112435</c:v>
                </c:pt>
                <c:pt idx="290">
                  <c:v>38.5095822305843</c:v>
                </c:pt>
                <c:pt idx="291">
                  <c:v>38.246335163565391</c:v>
                </c:pt>
                <c:pt idx="292">
                  <c:v>37.980953143130399</c:v>
                </c:pt>
                <c:pt idx="293">
                  <c:v>37.71333381037342</c:v>
                </c:pt>
                <c:pt idx="294">
                  <c:v>37.443374724920737</c:v>
                </c:pt>
                <c:pt idx="295">
                  <c:v>37.170970061496135</c:v>
                </c:pt>
                <c:pt idx="296">
                  <c:v>36.895999990235573</c:v>
                </c:pt>
                <c:pt idx="297">
                  <c:v>36.618362141282674</c:v>
                </c:pt>
                <c:pt idx="298">
                  <c:v>36.3379542475477</c:v>
                </c:pt>
                <c:pt idx="299">
                  <c:v>36.054674021794646</c:v>
                </c:pt>
                <c:pt idx="300">
                  <c:v>35.768419162889337</c:v>
                </c:pt>
                <c:pt idx="301">
                  <c:v>35.479087369115923</c:v>
                </c:pt>
                <c:pt idx="302">
                  <c:v>35.183792902459651</c:v>
                </c:pt>
                <c:pt idx="303">
                  <c:v>34.880646768084368</c:v>
                </c:pt>
                <c:pt idx="304">
                  <c:v>34.571052889299608</c:v>
                </c:pt>
                <c:pt idx="305">
                  <c:v>34.256409578069928</c:v>
                </c:pt>
                <c:pt idx="306">
                  <c:v>33.938114608321762</c:v>
                </c:pt>
                <c:pt idx="307">
                  <c:v>33.617565245942835</c:v>
                </c:pt>
                <c:pt idx="308">
                  <c:v>33.296158271088764</c:v>
                </c:pt>
                <c:pt idx="309">
                  <c:v>32.97527669788758</c:v>
                </c:pt>
                <c:pt idx="310">
                  <c:v>32.656319676644955</c:v>
                </c:pt>
                <c:pt idx="311">
                  <c:v>32.340682872754194</c:v>
                </c:pt>
                <c:pt idx="312">
                  <c:v>32.029761538789884</c:v>
                </c:pt>
                <c:pt idx="313">
                  <c:v>31.724950520238245</c:v>
                </c:pt>
                <c:pt idx="314">
                  <c:v>31.42764426978594</c:v>
                </c:pt>
                <c:pt idx="315">
                  <c:v>31.139236848258637</c:v>
                </c:pt>
                <c:pt idx="316">
                  <c:v>30.856760963740292</c:v>
                </c:pt>
                <c:pt idx="317">
                  <c:v>30.576587673131332</c:v>
                </c:pt>
                <c:pt idx="318">
                  <c:v>30.299117861856089</c:v>
                </c:pt>
                <c:pt idx="319">
                  <c:v>30.02474842684245</c:v>
                </c:pt>
                <c:pt idx="320">
                  <c:v>29.753876260091765</c:v>
                </c:pt>
                <c:pt idx="321">
                  <c:v>29.486898256938009</c:v>
                </c:pt>
                <c:pt idx="322">
                  <c:v>29.224211305029396</c:v>
                </c:pt>
                <c:pt idx="323">
                  <c:v>28.966229596353831</c:v>
                </c:pt>
                <c:pt idx="324">
                  <c:v>28.713361700754721</c:v>
                </c:pt>
                <c:pt idx="325">
                  <c:v>28.466003968409513</c:v>
                </c:pt>
                <c:pt idx="326">
                  <c:v>28.224552852411495</c:v>
                </c:pt>
                <c:pt idx="327">
                  <c:v>27.989404757046934</c:v>
                </c:pt>
                <c:pt idx="328">
                  <c:v>27.760956029522578</c:v>
                </c:pt>
                <c:pt idx="329">
                  <c:v>27.539603013464369</c:v>
                </c:pt>
                <c:pt idx="330">
                  <c:v>27.321071079942886</c:v>
                </c:pt>
                <c:pt idx="331">
                  <c:v>27.101942544533426</c:v>
                </c:pt>
                <c:pt idx="332">
                  <c:v>26.883910104361178</c:v>
                </c:pt>
                <c:pt idx="333">
                  <c:v>26.668668541498111</c:v>
                </c:pt>
                <c:pt idx="334">
                  <c:v>26.45791209513337</c:v>
                </c:pt>
                <c:pt idx="335">
                  <c:v>26.253334432630187</c:v>
                </c:pt>
                <c:pt idx="336">
                  <c:v>26.056628636337781</c:v>
                </c:pt>
                <c:pt idx="337">
                  <c:v>25.8694816074449</c:v>
                </c:pt>
                <c:pt idx="338">
                  <c:v>25.693569227796687</c:v>
                </c:pt>
                <c:pt idx="339">
                  <c:v>25.530582953300673</c:v>
                </c:pt>
                <c:pt idx="340">
                  <c:v>25.382213541989422</c:v>
                </c:pt>
                <c:pt idx="341">
                  <c:v>25.250151069245533</c:v>
                </c:pt>
                <c:pt idx="342">
                  <c:v>25.136084908203078</c:v>
                </c:pt>
                <c:pt idx="343">
                  <c:v>25.041703700299383</c:v>
                </c:pt>
                <c:pt idx="344">
                  <c:v>24.965497926021417</c:v>
                </c:pt>
                <c:pt idx="345">
                  <c:v>24.904511567245688</c:v>
                </c:pt>
                <c:pt idx="346">
                  <c:v>24.85827738423669</c:v>
                </c:pt>
                <c:pt idx="347">
                  <c:v>24.826313972141165</c:v>
                </c:pt>
                <c:pt idx="348">
                  <c:v>24.808140126149329</c:v>
                </c:pt>
                <c:pt idx="349">
                  <c:v>24.803274834793768</c:v>
                </c:pt>
                <c:pt idx="350">
                  <c:v>24.811237291587034</c:v>
                </c:pt>
                <c:pt idx="351">
                  <c:v>24.831552032470437</c:v>
                </c:pt>
                <c:pt idx="352">
                  <c:v>24.863744400698184</c:v>
                </c:pt>
                <c:pt idx="353">
                  <c:v>24.907334133891375</c:v>
                </c:pt>
                <c:pt idx="354">
                  <c:v>24.961841174636646</c:v>
                </c:pt>
                <c:pt idx="355">
                  <c:v>25.02678566399781</c:v>
                </c:pt>
                <c:pt idx="356">
                  <c:v>25.101688324667712</c:v>
                </c:pt>
                <c:pt idx="357">
                  <c:v>25.186069304353058</c:v>
                </c:pt>
                <c:pt idx="358">
                  <c:v>25.284015615267236</c:v>
                </c:pt>
                <c:pt idx="359">
                  <c:v>25.398966795080316</c:v>
                </c:pt>
                <c:pt idx="360">
                  <c:v>25.529467483639863</c:v>
                </c:pt>
                <c:pt idx="361">
                  <c:v>25.674062770702545</c:v>
                </c:pt>
                <c:pt idx="362">
                  <c:v>25.831303830592631</c:v>
                </c:pt>
                <c:pt idx="363">
                  <c:v>25.999742433630178</c:v>
                </c:pt>
                <c:pt idx="364">
                  <c:v>26.177930935618885</c:v>
                </c:pt>
                <c:pt idx="365">
                  <c:v>26.941320072459995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2.0030000000000001</c:v>
                </c:pt>
                <c:pt idx="1">
                  <c:v>5.3070000000000004</c:v>
                </c:pt>
                <c:pt idx="2">
                  <c:v>29.332000000000001</c:v>
                </c:pt>
                <c:pt idx="3">
                  <c:v>25.105</c:v>
                </c:pt>
                <c:pt idx="4">
                  <c:v>28.934999999999999</c:v>
                </c:pt>
                <c:pt idx="5">
                  <c:v>5.101</c:v>
                </c:pt>
                <c:pt idx="6">
                  <c:v>2.8239999999999998</c:v>
                </c:pt>
                <c:pt idx="7">
                  <c:v>5.6879999999999997</c:v>
                </c:pt>
                <c:pt idx="8">
                  <c:v>8.6560000000000006</c:v>
                </c:pt>
                <c:pt idx="9">
                  <c:v>10.48</c:v>
                </c:pt>
                <c:pt idx="10">
                  <c:v>28.016999999999999</c:v>
                </c:pt>
                <c:pt idx="11">
                  <c:v>8.0869999999999997</c:v>
                </c:pt>
                <c:pt idx="12">
                  <c:v>3.1240000000000001</c:v>
                </c:pt>
                <c:pt idx="13">
                  <c:v>6.65</c:v>
                </c:pt>
                <c:pt idx="14">
                  <c:v>30.228999999999999</c:v>
                </c:pt>
                <c:pt idx="15">
                  <c:v>31.154</c:v>
                </c:pt>
                <c:pt idx="16">
                  <c:v>8.8719999999999999</c:v>
                </c:pt>
                <c:pt idx="17">
                  <c:v>15.895</c:v>
                </c:pt>
                <c:pt idx="18">
                  <c:v>17.067</c:v>
                </c:pt>
                <c:pt idx="19">
                  <c:v>5.9180000000000001</c:v>
                </c:pt>
                <c:pt idx="20">
                  <c:v>8.9939999999999998</c:v>
                </c:pt>
                <c:pt idx="21">
                  <c:v>11.553000000000001</c:v>
                </c:pt>
                <c:pt idx="22">
                  <c:v>9.2870000000000008</c:v>
                </c:pt>
                <c:pt idx="23">
                  <c:v>11.295999999999999</c:v>
                </c:pt>
                <c:pt idx="24">
                  <c:v>3.5419999999999998</c:v>
                </c:pt>
                <c:pt idx="25">
                  <c:v>16.916</c:v>
                </c:pt>
                <c:pt idx="26">
                  <c:v>14.497</c:v>
                </c:pt>
                <c:pt idx="27">
                  <c:v>12.852</c:v>
                </c:pt>
                <c:pt idx="28">
                  <c:v>5.2350000000000003</c:v>
                </c:pt>
                <c:pt idx="29">
                  <c:v>7.7690000000000001</c:v>
                </c:pt>
                <c:pt idx="30">
                  <c:v>7.9409999999999998</c:v>
                </c:pt>
                <c:pt idx="31">
                  <c:v>28.454999999999998</c:v>
                </c:pt>
                <c:pt idx="32">
                  <c:v>2.8319999999999999</c:v>
                </c:pt>
                <c:pt idx="33">
                  <c:v>13.759</c:v>
                </c:pt>
                <c:pt idx="34">
                  <c:v>28.881</c:v>
                </c:pt>
                <c:pt idx="35">
                  <c:v>3.3540000000000001</c:v>
                </c:pt>
                <c:pt idx="36">
                  <c:v>9.57</c:v>
                </c:pt>
                <c:pt idx="37">
                  <c:v>5.875</c:v>
                </c:pt>
                <c:pt idx="38">
                  <c:v>30.83</c:v>
                </c:pt>
                <c:pt idx="39">
                  <c:v>30.718</c:v>
                </c:pt>
                <c:pt idx="40">
                  <c:v>8.52</c:v>
                </c:pt>
                <c:pt idx="41">
                  <c:v>25.928000000000001</c:v>
                </c:pt>
                <c:pt idx="42">
                  <c:v>39.517000000000003</c:v>
                </c:pt>
                <c:pt idx="43">
                  <c:v>41.386000000000003</c:v>
                </c:pt>
                <c:pt idx="44">
                  <c:v>41.35</c:v>
                </c:pt>
                <c:pt idx="45">
                  <c:v>41.738999999999997</c:v>
                </c:pt>
                <c:pt idx="46">
                  <c:v>42.04</c:v>
                </c:pt>
                <c:pt idx="47">
                  <c:v>42.726999999999997</c:v>
                </c:pt>
                <c:pt idx="48">
                  <c:v>42.084000000000003</c:v>
                </c:pt>
                <c:pt idx="49">
                  <c:v>30.768999999999998</c:v>
                </c:pt>
                <c:pt idx="50">
                  <c:v>41.627000000000002</c:v>
                </c:pt>
                <c:pt idx="51">
                  <c:v>40.874000000000002</c:v>
                </c:pt>
                <c:pt idx="52">
                  <c:v>40.890999999999998</c:v>
                </c:pt>
                <c:pt idx="53">
                  <c:v>41.874000000000002</c:v>
                </c:pt>
                <c:pt idx="54">
                  <c:v>41.665999999999997</c:v>
                </c:pt>
                <c:pt idx="55">
                  <c:v>42.567999999999998</c:v>
                </c:pt>
                <c:pt idx="56">
                  <c:v>40.348999999999997</c:v>
                </c:pt>
                <c:pt idx="57">
                  <c:v>43.268999999999998</c:v>
                </c:pt>
                <c:pt idx="58">
                  <c:v>35.158999999999999</c:v>
                </c:pt>
                <c:pt idx="59">
                  <c:v>14.284000000000001</c:v>
                </c:pt>
                <c:pt idx="60">
                  <c:v>18.321000000000002</c:v>
                </c:pt>
                <c:pt idx="61">
                  <c:v>38.362000000000002</c:v>
                </c:pt>
                <c:pt idx="62">
                  <c:v>10.797000000000001</c:v>
                </c:pt>
                <c:pt idx="63">
                  <c:v>45.228000000000002</c:v>
                </c:pt>
                <c:pt idx="64">
                  <c:v>23.253</c:v>
                </c:pt>
                <c:pt idx="65">
                  <c:v>41.359000000000002</c:v>
                </c:pt>
                <c:pt idx="66">
                  <c:v>25.588999999999999</c:v>
                </c:pt>
                <c:pt idx="67">
                  <c:v>19.140999999999998</c:v>
                </c:pt>
                <c:pt idx="68">
                  <c:v>12.946</c:v>
                </c:pt>
                <c:pt idx="69">
                  <c:v>33.837000000000003</c:v>
                </c:pt>
                <c:pt idx="70">
                  <c:v>42.215000000000003</c:v>
                </c:pt>
                <c:pt idx="71">
                  <c:v>25.216000000000001</c:v>
                </c:pt>
                <c:pt idx="72">
                  <c:v>22.28</c:v>
                </c:pt>
                <c:pt idx="73">
                  <c:v>12.247999999999999</c:v>
                </c:pt>
                <c:pt idx="74">
                  <c:v>48.792000000000002</c:v>
                </c:pt>
                <c:pt idx="75">
                  <c:v>15.459</c:v>
                </c:pt>
                <c:pt idx="76">
                  <c:v>36.746000000000002</c:v>
                </c:pt>
                <c:pt idx="77">
                  <c:v>12.077999999999999</c:v>
                </c:pt>
                <c:pt idx="78">
                  <c:v>51.009</c:v>
                </c:pt>
                <c:pt idx="79">
                  <c:v>51.08</c:v>
                </c:pt>
                <c:pt idx="80">
                  <c:v>50.015999999999998</c:v>
                </c:pt>
                <c:pt idx="81">
                  <c:v>46.890999999999998</c:v>
                </c:pt>
                <c:pt idx="82">
                  <c:v>50.500999999999998</c:v>
                </c:pt>
                <c:pt idx="83">
                  <c:v>44.89</c:v>
                </c:pt>
                <c:pt idx="84">
                  <c:v>53.793999999999997</c:v>
                </c:pt>
                <c:pt idx="85">
                  <c:v>53.014000000000003</c:v>
                </c:pt>
                <c:pt idx="86">
                  <c:v>51.844000000000001</c:v>
                </c:pt>
                <c:pt idx="87">
                  <c:v>52.521000000000001</c:v>
                </c:pt>
                <c:pt idx="88">
                  <c:v>53.832999999999998</c:v>
                </c:pt>
                <c:pt idx="89">
                  <c:v>45.825000000000003</c:v>
                </c:pt>
                <c:pt idx="90">
                  <c:v>41.273000000000003</c:v>
                </c:pt>
                <c:pt idx="91">
                  <c:v>16.454999999999998</c:v>
                </c:pt>
                <c:pt idx="92">
                  <c:v>14.746</c:v>
                </c:pt>
                <c:pt idx="93">
                  <c:v>39.356000000000002</c:v>
                </c:pt>
                <c:pt idx="94">
                  <c:v>49.722999999999999</c:v>
                </c:pt>
                <c:pt idx="95">
                  <c:v>18.399000000000001</c:v>
                </c:pt>
                <c:pt idx="96">
                  <c:v>35.883000000000003</c:v>
                </c:pt>
                <c:pt idx="97">
                  <c:v>33.503</c:v>
                </c:pt>
                <c:pt idx="98">
                  <c:v>44.039000000000001</c:v>
                </c:pt>
                <c:pt idx="99">
                  <c:v>42.213000000000001</c:v>
                </c:pt>
                <c:pt idx="100">
                  <c:v>8.6210000000000004</c:v>
                </c:pt>
                <c:pt idx="101">
                  <c:v>54.454999999999998</c:v>
                </c:pt>
                <c:pt idx="102">
                  <c:v>55.828000000000003</c:v>
                </c:pt>
                <c:pt idx="103">
                  <c:v>26.609000000000002</c:v>
                </c:pt>
                <c:pt idx="104">
                  <c:v>38.674999999999997</c:v>
                </c:pt>
                <c:pt idx="105">
                  <c:v>34.286999999999999</c:v>
                </c:pt>
                <c:pt idx="106">
                  <c:v>34.411999999999999</c:v>
                </c:pt>
                <c:pt idx="107">
                  <c:v>26.748999999999999</c:v>
                </c:pt>
                <c:pt idx="108">
                  <c:v>50.262</c:v>
                </c:pt>
                <c:pt idx="109">
                  <c:v>52.238999999999997</c:v>
                </c:pt>
                <c:pt idx="110">
                  <c:v>18.547000000000001</c:v>
                </c:pt>
                <c:pt idx="111">
                  <c:v>32.277999999999999</c:v>
                </c:pt>
                <c:pt idx="112">
                  <c:v>36.985999999999997</c:v>
                </c:pt>
                <c:pt idx="113">
                  <c:v>50.750999999999998</c:v>
                </c:pt>
                <c:pt idx="114">
                  <c:v>37.003</c:v>
                </c:pt>
                <c:pt idx="115">
                  <c:v>28.614000000000001</c:v>
                </c:pt>
                <c:pt idx="116">
                  <c:v>27.581</c:v>
                </c:pt>
                <c:pt idx="117">
                  <c:v>42.905000000000001</c:v>
                </c:pt>
                <c:pt idx="118">
                  <c:v>50.616999999999997</c:v>
                </c:pt>
                <c:pt idx="119">
                  <c:v>56.923999999999999</c:v>
                </c:pt>
                <c:pt idx="120">
                  <c:v>54.87</c:v>
                </c:pt>
                <c:pt idx="121">
                  <c:v>37.533000000000001</c:v>
                </c:pt>
                <c:pt idx="122">
                  <c:v>23.899000000000001</c:v>
                </c:pt>
                <c:pt idx="123">
                  <c:v>27.419</c:v>
                </c:pt>
                <c:pt idx="124">
                  <c:v>45.368000000000002</c:v>
                </c:pt>
                <c:pt idx="125">
                  <c:v>58.924999999999997</c:v>
                </c:pt>
                <c:pt idx="126">
                  <c:v>46.83</c:v>
                </c:pt>
                <c:pt idx="127">
                  <c:v>30.768999999999998</c:v>
                </c:pt>
                <c:pt idx="128">
                  <c:v>49.502000000000002</c:v>
                </c:pt>
                <c:pt idx="129">
                  <c:v>41.241</c:v>
                </c:pt>
                <c:pt idx="130">
                  <c:v>36.255000000000003</c:v>
                </c:pt>
                <c:pt idx="131">
                  <c:v>51.774999999999999</c:v>
                </c:pt>
                <c:pt idx="132">
                  <c:v>59.043999999999997</c:v>
                </c:pt>
                <c:pt idx="133">
                  <c:v>58.021000000000001</c:v>
                </c:pt>
                <c:pt idx="134">
                  <c:v>58.192</c:v>
                </c:pt>
                <c:pt idx="135">
                  <c:v>50.517000000000003</c:v>
                </c:pt>
                <c:pt idx="136">
                  <c:v>8.0540000000000003</c:v>
                </c:pt>
                <c:pt idx="137">
                  <c:v>40.918999999999997</c:v>
                </c:pt>
                <c:pt idx="138">
                  <c:v>27.721</c:v>
                </c:pt>
                <c:pt idx="139">
                  <c:v>45.854999999999997</c:v>
                </c:pt>
                <c:pt idx="140">
                  <c:v>47.521999999999998</c:v>
                </c:pt>
                <c:pt idx="141">
                  <c:v>55.798000000000002</c:v>
                </c:pt>
                <c:pt idx="142">
                  <c:v>50.908999999999999</c:v>
                </c:pt>
                <c:pt idx="143">
                  <c:v>12.917999999999999</c:v>
                </c:pt>
                <c:pt idx="144">
                  <c:v>25.373000000000001</c:v>
                </c:pt>
                <c:pt idx="145">
                  <c:v>20.041</c:v>
                </c:pt>
                <c:pt idx="146">
                  <c:v>24.469000000000001</c:v>
                </c:pt>
                <c:pt idx="147">
                  <c:v>26.635000000000002</c:v>
                </c:pt>
                <c:pt idx="148">
                  <c:v>31.343</c:v>
                </c:pt>
                <c:pt idx="149">
                  <c:v>55.564999999999998</c:v>
                </c:pt>
                <c:pt idx="150">
                  <c:v>56.301000000000002</c:v>
                </c:pt>
                <c:pt idx="151">
                  <c:v>57.256</c:v>
                </c:pt>
                <c:pt idx="152">
                  <c:v>56.265999999999998</c:v>
                </c:pt>
                <c:pt idx="153">
                  <c:v>41.716999999999999</c:v>
                </c:pt>
                <c:pt idx="154">
                  <c:v>54.171999999999997</c:v>
                </c:pt>
                <c:pt idx="155">
                  <c:v>11.7</c:v>
                </c:pt>
                <c:pt idx="156">
                  <c:v>53.098999999999997</c:v>
                </c:pt>
                <c:pt idx="157">
                  <c:v>17.350999999999999</c:v>
                </c:pt>
                <c:pt idx="158">
                  <c:v>58.271000000000001</c:v>
                </c:pt>
                <c:pt idx="159">
                  <c:v>43.997999999999998</c:v>
                </c:pt>
                <c:pt idx="160">
                  <c:v>21.4</c:v>
                </c:pt>
                <c:pt idx="161">
                  <c:v>31.946000000000002</c:v>
                </c:pt>
                <c:pt idx="162">
                  <c:v>50.261000000000003</c:v>
                </c:pt>
                <c:pt idx="163">
                  <c:v>58.628</c:v>
                </c:pt>
                <c:pt idx="164">
                  <c:v>22.181000000000001</c:v>
                </c:pt>
                <c:pt idx="165">
                  <c:v>22.878</c:v>
                </c:pt>
                <c:pt idx="166">
                  <c:v>56.430999999999997</c:v>
                </c:pt>
                <c:pt idx="167">
                  <c:v>55.484999999999999</c:v>
                </c:pt>
                <c:pt idx="168">
                  <c:v>53.618000000000002</c:v>
                </c:pt>
                <c:pt idx="169">
                  <c:v>46.914999999999999</c:v>
                </c:pt>
                <c:pt idx="170">
                  <c:v>21.844999999999999</c:v>
                </c:pt>
                <c:pt idx="171">
                  <c:v>10.186</c:v>
                </c:pt>
                <c:pt idx="172">
                  <c:v>50.101999999999997</c:v>
                </c:pt>
                <c:pt idx="173">
                  <c:v>49.84</c:v>
                </c:pt>
                <c:pt idx="174">
                  <c:v>37.372999999999998</c:v>
                </c:pt>
                <c:pt idx="175">
                  <c:v>49.98</c:v>
                </c:pt>
                <c:pt idx="176">
                  <c:v>54.594000000000001</c:v>
                </c:pt>
                <c:pt idx="177">
                  <c:v>54.03</c:v>
                </c:pt>
                <c:pt idx="178">
                  <c:v>49.857999999999997</c:v>
                </c:pt>
                <c:pt idx="179">
                  <c:v>51.674999999999997</c:v>
                </c:pt>
                <c:pt idx="180">
                  <c:v>47.822000000000003</c:v>
                </c:pt>
                <c:pt idx="181">
                  <c:v>19.227</c:v>
                </c:pt>
                <c:pt idx="182">
                  <c:v>29.036999999999999</c:v>
                </c:pt>
                <c:pt idx="183">
                  <c:v>46.685000000000002</c:v>
                </c:pt>
                <c:pt idx="184">
                  <c:v>52.610999999999997</c:v>
                </c:pt>
                <c:pt idx="185">
                  <c:v>51.161000000000001</c:v>
                </c:pt>
                <c:pt idx="186">
                  <c:v>51.539000000000001</c:v>
                </c:pt>
                <c:pt idx="187">
                  <c:v>45.000999999999998</c:v>
                </c:pt>
                <c:pt idx="188">
                  <c:v>32.787999999999997</c:v>
                </c:pt>
                <c:pt idx="189">
                  <c:v>20.248000000000001</c:v>
                </c:pt>
                <c:pt idx="190">
                  <c:v>51.978999999999999</c:v>
                </c:pt>
                <c:pt idx="191">
                  <c:v>53.040999999999997</c:v>
                </c:pt>
                <c:pt idx="192">
                  <c:v>54.343000000000004</c:v>
                </c:pt>
                <c:pt idx="193">
                  <c:v>51.462000000000003</c:v>
                </c:pt>
                <c:pt idx="194">
                  <c:v>53.142000000000003</c:v>
                </c:pt>
                <c:pt idx="195">
                  <c:v>54.517000000000003</c:v>
                </c:pt>
                <c:pt idx="196">
                  <c:v>53.921999999999997</c:v>
                </c:pt>
                <c:pt idx="197">
                  <c:v>47.164000000000001</c:v>
                </c:pt>
                <c:pt idx="198">
                  <c:v>37.347000000000001</c:v>
                </c:pt>
                <c:pt idx="199">
                  <c:v>52.235999999999997</c:v>
                </c:pt>
                <c:pt idx="200">
                  <c:v>26.632999999999999</c:v>
                </c:pt>
                <c:pt idx="201">
                  <c:v>41.392000000000003</c:v>
                </c:pt>
                <c:pt idx="202">
                  <c:v>45.494999999999997</c:v>
                </c:pt>
                <c:pt idx="203">
                  <c:v>50.372999999999998</c:v>
                </c:pt>
                <c:pt idx="204">
                  <c:v>50.52</c:v>
                </c:pt>
                <c:pt idx="205">
                  <c:v>50.99</c:v>
                </c:pt>
                <c:pt idx="206">
                  <c:v>17.149000000000001</c:v>
                </c:pt>
                <c:pt idx="207">
                  <c:v>11.242000000000001</c:v>
                </c:pt>
                <c:pt idx="208">
                  <c:v>48.118000000000002</c:v>
                </c:pt>
                <c:pt idx="209">
                  <c:v>52.476999999999997</c:v>
                </c:pt>
                <c:pt idx="210">
                  <c:v>24.233000000000001</c:v>
                </c:pt>
                <c:pt idx="211">
                  <c:v>51.3</c:v>
                </c:pt>
                <c:pt idx="212">
                  <c:v>41.604999999999997</c:v>
                </c:pt>
                <c:pt idx="213">
                  <c:v>47.104999999999997</c:v>
                </c:pt>
                <c:pt idx="214">
                  <c:v>50.587000000000003</c:v>
                </c:pt>
                <c:pt idx="215">
                  <c:v>49.009</c:v>
                </c:pt>
                <c:pt idx="216">
                  <c:v>48.353000000000002</c:v>
                </c:pt>
                <c:pt idx="217">
                  <c:v>37.316000000000003</c:v>
                </c:pt>
                <c:pt idx="218">
                  <c:v>37.881999999999998</c:v>
                </c:pt>
                <c:pt idx="219">
                  <c:v>48.722000000000001</c:v>
                </c:pt>
                <c:pt idx="220">
                  <c:v>47.567999999999998</c:v>
                </c:pt>
                <c:pt idx="221">
                  <c:v>34.655000000000001</c:v>
                </c:pt>
                <c:pt idx="222">
                  <c:v>22.268999999999998</c:v>
                </c:pt>
                <c:pt idx="223">
                  <c:v>24.413</c:v>
                </c:pt>
                <c:pt idx="224">
                  <c:v>45.612000000000002</c:v>
                </c:pt>
                <c:pt idx="225">
                  <c:v>50.301000000000002</c:v>
                </c:pt>
                <c:pt idx="226">
                  <c:v>24.646999999999998</c:v>
                </c:pt>
                <c:pt idx="227">
                  <c:v>50.500999999999998</c:v>
                </c:pt>
                <c:pt idx="228">
                  <c:v>48.728000000000002</c:v>
                </c:pt>
                <c:pt idx="229">
                  <c:v>31.895</c:v>
                </c:pt>
                <c:pt idx="230">
                  <c:v>30.681000000000001</c:v>
                </c:pt>
                <c:pt idx="231">
                  <c:v>28.629000000000001</c:v>
                </c:pt>
                <c:pt idx="232">
                  <c:v>45.167999999999999</c:v>
                </c:pt>
                <c:pt idx="233">
                  <c:v>50.4</c:v>
                </c:pt>
                <c:pt idx="234">
                  <c:v>48.161000000000001</c:v>
                </c:pt>
                <c:pt idx="235">
                  <c:v>48.048000000000002</c:v>
                </c:pt>
                <c:pt idx="236">
                  <c:v>41.621000000000002</c:v>
                </c:pt>
                <c:pt idx="237">
                  <c:v>42.334000000000003</c:v>
                </c:pt>
                <c:pt idx="238">
                  <c:v>29.751999999999999</c:v>
                </c:pt>
                <c:pt idx="239">
                  <c:v>34.357999999999997</c:v>
                </c:pt>
                <c:pt idx="240">
                  <c:v>46.094999999999999</c:v>
                </c:pt>
                <c:pt idx="241">
                  <c:v>45.640999999999998</c:v>
                </c:pt>
                <c:pt idx="242">
                  <c:v>44.063000000000002</c:v>
                </c:pt>
                <c:pt idx="243">
                  <c:v>14.961</c:v>
                </c:pt>
                <c:pt idx="244">
                  <c:v>46.185000000000002</c:v>
                </c:pt>
                <c:pt idx="245">
                  <c:v>48.637</c:v>
                </c:pt>
                <c:pt idx="246">
                  <c:v>48.08</c:v>
                </c:pt>
                <c:pt idx="247">
                  <c:v>36.912999999999997</c:v>
                </c:pt>
                <c:pt idx="248">
                  <c:v>46.872999999999998</c:v>
                </c:pt>
                <c:pt idx="249">
                  <c:v>48.064999999999998</c:v>
                </c:pt>
                <c:pt idx="250">
                  <c:v>41.645000000000003</c:v>
                </c:pt>
                <c:pt idx="251">
                  <c:v>39.493000000000002</c:v>
                </c:pt>
                <c:pt idx="252">
                  <c:v>13.717000000000001</c:v>
                </c:pt>
                <c:pt idx="253">
                  <c:v>41.984000000000002</c:v>
                </c:pt>
                <c:pt idx="254">
                  <c:v>46.311</c:v>
                </c:pt>
                <c:pt idx="255">
                  <c:v>36.96</c:v>
                </c:pt>
                <c:pt idx="256">
                  <c:v>39.335999999999999</c:v>
                </c:pt>
                <c:pt idx="257">
                  <c:v>38.759</c:v>
                </c:pt>
                <c:pt idx="258">
                  <c:v>40.831000000000003</c:v>
                </c:pt>
                <c:pt idx="259">
                  <c:v>39.969000000000001</c:v>
                </c:pt>
                <c:pt idx="260">
                  <c:v>25.01</c:v>
                </c:pt>
                <c:pt idx="261">
                  <c:v>39.323</c:v>
                </c:pt>
                <c:pt idx="262">
                  <c:v>43.860999999999997</c:v>
                </c:pt>
                <c:pt idx="263">
                  <c:v>32.264000000000003</c:v>
                </c:pt>
                <c:pt idx="264">
                  <c:v>9.4290000000000003</c:v>
                </c:pt>
                <c:pt idx="265">
                  <c:v>37.883000000000003</c:v>
                </c:pt>
                <c:pt idx="266">
                  <c:v>26.064</c:v>
                </c:pt>
                <c:pt idx="267">
                  <c:v>25.943999999999999</c:v>
                </c:pt>
                <c:pt idx="268">
                  <c:v>33.423000000000002</c:v>
                </c:pt>
                <c:pt idx="269">
                  <c:v>34.786000000000001</c:v>
                </c:pt>
                <c:pt idx="270">
                  <c:v>32.801000000000002</c:v>
                </c:pt>
                <c:pt idx="271">
                  <c:v>41.271999999999998</c:v>
                </c:pt>
                <c:pt idx="272">
                  <c:v>24.632000000000001</c:v>
                </c:pt>
                <c:pt idx="273">
                  <c:v>29.626999999999999</c:v>
                </c:pt>
                <c:pt idx="274">
                  <c:v>21.754000000000001</c:v>
                </c:pt>
                <c:pt idx="275">
                  <c:v>32.448999999999998</c:v>
                </c:pt>
                <c:pt idx="276">
                  <c:v>10.349</c:v>
                </c:pt>
                <c:pt idx="277">
                  <c:v>32.648000000000003</c:v>
                </c:pt>
                <c:pt idx="278">
                  <c:v>17.731999999999999</c:v>
                </c:pt>
                <c:pt idx="279">
                  <c:v>30.891999999999999</c:v>
                </c:pt>
                <c:pt idx="280">
                  <c:v>38.061999999999998</c:v>
                </c:pt>
                <c:pt idx="281">
                  <c:v>8.9359999999999999</c:v>
                </c:pt>
                <c:pt idx="282">
                  <c:v>29.606000000000002</c:v>
                </c:pt>
                <c:pt idx="283">
                  <c:v>39.968000000000004</c:v>
                </c:pt>
                <c:pt idx="284">
                  <c:v>19.896000000000001</c:v>
                </c:pt>
                <c:pt idx="285">
                  <c:v>38.165999999999997</c:v>
                </c:pt>
                <c:pt idx="286">
                  <c:v>11.289</c:v>
                </c:pt>
                <c:pt idx="287">
                  <c:v>29.2</c:v>
                </c:pt>
                <c:pt idx="288">
                  <c:v>33.329000000000001</c:v>
                </c:pt>
                <c:pt idx="289">
                  <c:v>19.173999999999999</c:v>
                </c:pt>
                <c:pt idx="290">
                  <c:v>14.994999999999999</c:v>
                </c:pt>
                <c:pt idx="291">
                  <c:v>30.895</c:v>
                </c:pt>
                <c:pt idx="292">
                  <c:v>12.718999999999999</c:v>
                </c:pt>
                <c:pt idx="293">
                  <c:v>23.513000000000002</c:v>
                </c:pt>
                <c:pt idx="294">
                  <c:v>4.194</c:v>
                </c:pt>
                <c:pt idx="295">
                  <c:v>18.202999999999999</c:v>
                </c:pt>
                <c:pt idx="296">
                  <c:v>16.027000000000001</c:v>
                </c:pt>
                <c:pt idx="297">
                  <c:v>29.946999999999999</c:v>
                </c:pt>
                <c:pt idx="298">
                  <c:v>36.171999999999997</c:v>
                </c:pt>
                <c:pt idx="299">
                  <c:v>24.478999999999999</c:v>
                </c:pt>
                <c:pt idx="300">
                  <c:v>9.1620000000000008</c:v>
                </c:pt>
                <c:pt idx="301">
                  <c:v>28.521999999999998</c:v>
                </c:pt>
                <c:pt idx="302">
                  <c:v>20.358000000000001</c:v>
                </c:pt>
                <c:pt idx="303">
                  <c:v>16.513999999999999</c:v>
                </c:pt>
                <c:pt idx="304">
                  <c:v>7.7359999999999998</c:v>
                </c:pt>
                <c:pt idx="305">
                  <c:v>5.9130000000000003</c:v>
                </c:pt>
                <c:pt idx="306">
                  <c:v>9.7880000000000003</c:v>
                </c:pt>
                <c:pt idx="307">
                  <c:v>12.765000000000001</c:v>
                </c:pt>
                <c:pt idx="308">
                  <c:v>11.032999999999999</c:v>
                </c:pt>
                <c:pt idx="309">
                  <c:v>10.904</c:v>
                </c:pt>
                <c:pt idx="310">
                  <c:v>3.68</c:v>
                </c:pt>
                <c:pt idx="311">
                  <c:v>13.041</c:v>
                </c:pt>
                <c:pt idx="312">
                  <c:v>18.353999999999999</c:v>
                </c:pt>
                <c:pt idx="313">
                  <c:v>19.512</c:v>
                </c:pt>
                <c:pt idx="314">
                  <c:v>23.876999999999999</c:v>
                </c:pt>
                <c:pt idx="315">
                  <c:v>16.818000000000001</c:v>
                </c:pt>
                <c:pt idx="316">
                  <c:v>18.085999999999999</c:v>
                </c:pt>
                <c:pt idx="317">
                  <c:v>5.524</c:v>
                </c:pt>
                <c:pt idx="318">
                  <c:v>12.43</c:v>
                </c:pt>
                <c:pt idx="319">
                  <c:v>13.731999999999999</c:v>
                </c:pt>
                <c:pt idx="320">
                  <c:v>8.5289999999999999</c:v>
                </c:pt>
                <c:pt idx="321">
                  <c:v>11.336</c:v>
                </c:pt>
                <c:pt idx="322">
                  <c:v>18.986000000000001</c:v>
                </c:pt>
                <c:pt idx="323">
                  <c:v>29.388000000000002</c:v>
                </c:pt>
                <c:pt idx="324">
                  <c:v>28.141999999999999</c:v>
                </c:pt>
                <c:pt idx="325">
                  <c:v>12.17</c:v>
                </c:pt>
                <c:pt idx="326">
                  <c:v>7.8109999999999999</c:v>
                </c:pt>
                <c:pt idx="327">
                  <c:v>9.5069999999999997</c:v>
                </c:pt>
                <c:pt idx="328">
                  <c:v>12.590999999999999</c:v>
                </c:pt>
                <c:pt idx="329">
                  <c:v>20.663</c:v>
                </c:pt>
                <c:pt idx="330">
                  <c:v>19.943999999999999</c:v>
                </c:pt>
                <c:pt idx="331">
                  <c:v>7.7270000000000003</c:v>
                </c:pt>
                <c:pt idx="332">
                  <c:v>18.824000000000002</c:v>
                </c:pt>
                <c:pt idx="333">
                  <c:v>11.237</c:v>
                </c:pt>
                <c:pt idx="334">
                  <c:v>10.395</c:v>
                </c:pt>
                <c:pt idx="335">
                  <c:v>4.016</c:v>
                </c:pt>
                <c:pt idx="336">
                  <c:v>3.9910000000000001</c:v>
                </c:pt>
                <c:pt idx="337">
                  <c:v>5.8710000000000004</c:v>
                </c:pt>
                <c:pt idx="338">
                  <c:v>9.5350000000000001</c:v>
                </c:pt>
                <c:pt idx="339">
                  <c:v>12.106999999999999</c:v>
                </c:pt>
                <c:pt idx="340">
                  <c:v>14.295</c:v>
                </c:pt>
                <c:pt idx="341">
                  <c:v>17.225999999999999</c:v>
                </c:pt>
                <c:pt idx="342">
                  <c:v>8.7639999999999993</c:v>
                </c:pt>
                <c:pt idx="343">
                  <c:v>20.465</c:v>
                </c:pt>
                <c:pt idx="344">
                  <c:v>1.8049999999999999</c:v>
                </c:pt>
                <c:pt idx="345">
                  <c:v>5.4020000000000001</c:v>
                </c:pt>
                <c:pt idx="346">
                  <c:v>1.5620000000000001</c:v>
                </c:pt>
                <c:pt idx="347">
                  <c:v>11.53</c:v>
                </c:pt>
                <c:pt idx="348">
                  <c:v>25.545000000000002</c:v>
                </c:pt>
                <c:pt idx="349">
                  <c:v>14.397</c:v>
                </c:pt>
                <c:pt idx="350">
                  <c:v>6.718</c:v>
                </c:pt>
                <c:pt idx="351">
                  <c:v>16.391999999999999</c:v>
                </c:pt>
                <c:pt idx="352">
                  <c:v>11.365</c:v>
                </c:pt>
                <c:pt idx="353">
                  <c:v>7.81</c:v>
                </c:pt>
                <c:pt idx="354">
                  <c:v>20.875</c:v>
                </c:pt>
                <c:pt idx="355">
                  <c:v>6.3310000000000004</c:v>
                </c:pt>
                <c:pt idx="356">
                  <c:v>7.008</c:v>
                </c:pt>
                <c:pt idx="357">
                  <c:v>13.968999999999999</c:v>
                </c:pt>
                <c:pt idx="358">
                  <c:v>17.347999999999999</c:v>
                </c:pt>
                <c:pt idx="359">
                  <c:v>6.2350000000000003</c:v>
                </c:pt>
                <c:pt idx="360">
                  <c:v>22.507999999999999</c:v>
                </c:pt>
                <c:pt idx="361">
                  <c:v>3.6709999999999998</c:v>
                </c:pt>
                <c:pt idx="362">
                  <c:v>25.116</c:v>
                </c:pt>
                <c:pt idx="363">
                  <c:v>25.632000000000001</c:v>
                </c:pt>
                <c:pt idx="364">
                  <c:v>15.1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17872"/>
        <c:axId val="644418264"/>
      </c:lineChart>
      <c:dateAx>
        <c:axId val="644417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8264"/>
        <c:crosses val="autoZero"/>
        <c:auto val="1"/>
        <c:lblOffset val="100"/>
        <c:baseTimeUnit val="days"/>
        <c:majorUnit val="1"/>
        <c:majorTimeUnit val="months"/>
      </c:dateAx>
      <c:valAx>
        <c:axId val="64441826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78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1.2796272593941671E-2</c:v>
                </c:pt>
                <c:pt idx="1">
                  <c:v>1.2817894889163517E-2</c:v>
                </c:pt>
                <c:pt idx="2">
                  <c:v>1.2839516710801524E-2</c:v>
                </c:pt>
                <c:pt idx="3">
                  <c:v>1.2861138058866128E-2</c:v>
                </c:pt>
                <c:pt idx="4">
                  <c:v>1.2882758933367766E-2</c:v>
                </c:pt>
                <c:pt idx="5">
                  <c:v>1.2904379334316651E-2</c:v>
                </c:pt>
                <c:pt idx="6">
                  <c:v>1.2925999261723442E-2</c:v>
                </c:pt>
                <c:pt idx="7">
                  <c:v>1.2947618715598241E-2</c:v>
                </c:pt>
                <c:pt idx="8">
                  <c:v>1.2969237695951485E-2</c:v>
                </c:pt>
                <c:pt idx="9">
                  <c:v>1.299085620279361E-2</c:v>
                </c:pt>
                <c:pt idx="10">
                  <c:v>1.3012474236134941E-2</c:v>
                </c:pt>
                <c:pt idx="11">
                  <c:v>1.3034091795985914E-2</c:v>
                </c:pt>
                <c:pt idx="12">
                  <c:v>1.3055708882356853E-2</c:v>
                </c:pt>
                <c:pt idx="13">
                  <c:v>1.3077325495258085E-2</c:v>
                </c:pt>
                <c:pt idx="14">
                  <c:v>1.3098941634700045E-2</c:v>
                </c:pt>
                <c:pt idx="15">
                  <c:v>1.3120557300692948E-2</c:v>
                </c:pt>
                <c:pt idx="16">
                  <c:v>1.314217249324745E-2</c:v>
                </c:pt>
                <c:pt idx="17">
                  <c:v>1.3163787212373657E-2</c:v>
                </c:pt>
                <c:pt idx="18">
                  <c:v>1.3185401458082113E-2</c:v>
                </c:pt>
                <c:pt idx="19">
                  <c:v>1.3207015230383035E-2</c:v>
                </c:pt>
                <c:pt idx="20">
                  <c:v>1.3228628529286968E-2</c:v>
                </c:pt>
                <c:pt idx="21">
                  <c:v>1.3250241354804126E-2</c:v>
                </c:pt>
                <c:pt idx="22">
                  <c:v>1.3271853706944947E-2</c:v>
                </c:pt>
                <c:pt idx="23">
                  <c:v>1.3293465585719866E-2</c:v>
                </c:pt>
                <c:pt idx="24">
                  <c:v>1.3315076991139096E-2</c:v>
                </c:pt>
                <c:pt idx="25">
                  <c:v>1.3336687923213075E-2</c:v>
                </c:pt>
                <c:pt idx="26">
                  <c:v>1.3358298381952127E-2</c:v>
                </c:pt>
                <c:pt idx="27">
                  <c:v>1.33799083673668E-2</c:v>
                </c:pt>
                <c:pt idx="28">
                  <c:v>1.3401517879467306E-2</c:v>
                </c:pt>
                <c:pt idx="29">
                  <c:v>1.3423126918263972E-2</c:v>
                </c:pt>
                <c:pt idx="30">
                  <c:v>1.3444735483767234E-2</c:v>
                </c:pt>
                <c:pt idx="31">
                  <c:v>1.3466343575987527E-2</c:v>
                </c:pt>
                <c:pt idx="32">
                  <c:v>1.3487951194935066E-2</c:v>
                </c:pt>
                <c:pt idx="33">
                  <c:v>1.3509558340620287E-2</c:v>
                </c:pt>
                <c:pt idx="34">
                  <c:v>1.3531165013053625E-2</c:v>
                </c:pt>
                <c:pt idx="35">
                  <c:v>1.3552771212245407E-2</c:v>
                </c:pt>
                <c:pt idx="36">
                  <c:v>1.3574376938205956E-2</c:v>
                </c:pt>
                <c:pt idx="37">
                  <c:v>1.3595982190945599E-2</c:v>
                </c:pt>
                <c:pt idx="38">
                  <c:v>1.3617586970474771E-2</c:v>
                </c:pt>
                <c:pt idx="39">
                  <c:v>1.3639191276803908E-2</c:v>
                </c:pt>
                <c:pt idx="40">
                  <c:v>1.3660795109943225E-2</c:v>
                </c:pt>
                <c:pt idx="41">
                  <c:v>1.3682398469903156E-2</c:v>
                </c:pt>
                <c:pt idx="42">
                  <c:v>1.3704001356694029E-2</c:v>
                </c:pt>
                <c:pt idx="43">
                  <c:v>1.3725603770326278E-2</c:v>
                </c:pt>
                <c:pt idx="44">
                  <c:v>1.3747205710810229E-2</c:v>
                </c:pt>
                <c:pt idx="45">
                  <c:v>1.3768807178156206E-2</c:v>
                </c:pt>
                <c:pt idx="46">
                  <c:v>1.3790408172374646E-2</c:v>
                </c:pt>
                <c:pt idx="47">
                  <c:v>1.3812008693475875E-2</c:v>
                </c:pt>
                <c:pt idx="48">
                  <c:v>1.3833608741470216E-2</c:v>
                </c:pt>
                <c:pt idx="49">
                  <c:v>1.3855208316368106E-2</c:v>
                </c:pt>
                <c:pt idx="50">
                  <c:v>1.3876807418179871E-2</c:v>
                </c:pt>
                <c:pt idx="51">
                  <c:v>1.3898406046915945E-2</c:v>
                </c:pt>
                <c:pt idx="52">
                  <c:v>1.3920004202586544E-2</c:v>
                </c:pt>
                <c:pt idx="53">
                  <c:v>1.3941601885202104E-2</c:v>
                </c:pt>
                <c:pt idx="54">
                  <c:v>1.3963199094772949E-2</c:v>
                </c:pt>
                <c:pt idx="55">
                  <c:v>1.3984795831309516E-2</c:v>
                </c:pt>
                <c:pt idx="56">
                  <c:v>1.4006392094822129E-2</c:v>
                </c:pt>
                <c:pt idx="57">
                  <c:v>1.4027987885321114E-2</c:v>
                </c:pt>
                <c:pt idx="58">
                  <c:v>1.4049583202816907E-2</c:v>
                </c:pt>
                <c:pt idx="59">
                  <c:v>1.4071178047319832E-2</c:v>
                </c:pt>
                <c:pt idx="60">
                  <c:v>1.4092772418840216E-2</c:v>
                </c:pt>
                <c:pt idx="61">
                  <c:v>1.4114366317388383E-2</c:v>
                </c:pt>
                <c:pt idx="62">
                  <c:v>1.413595974297488E-2</c:v>
                </c:pt>
                <c:pt idx="63">
                  <c:v>1.415755269560981E-2</c:v>
                </c:pt>
                <c:pt idx="64">
                  <c:v>1.417914517530372E-2</c:v>
                </c:pt>
                <c:pt idx="65">
                  <c:v>1.4200737182066936E-2</c:v>
                </c:pt>
                <c:pt idx="66">
                  <c:v>1.4222328715909782E-2</c:v>
                </c:pt>
                <c:pt idx="67">
                  <c:v>1.4243919776842584E-2</c:v>
                </c:pt>
                <c:pt idx="68">
                  <c:v>1.4265510364875778E-2</c:v>
                </c:pt>
                <c:pt idx="69">
                  <c:v>1.4287100480019688E-2</c:v>
                </c:pt>
                <c:pt idx="70">
                  <c:v>1.430869012228464E-2</c:v>
                </c:pt>
                <c:pt idx="71">
                  <c:v>1.4330279291680958E-2</c:v>
                </c:pt>
                <c:pt idx="72">
                  <c:v>1.4351867988219191E-2</c:v>
                </c:pt>
                <c:pt idx="73">
                  <c:v>1.4373456211909441E-2</c:v>
                </c:pt>
                <c:pt idx="74">
                  <c:v>1.4395043962762255E-2</c:v>
                </c:pt>
                <c:pt idx="75">
                  <c:v>1.4416631240787958E-2</c:v>
                </c:pt>
                <c:pt idx="76">
                  <c:v>1.4438218045996765E-2</c:v>
                </c:pt>
                <c:pt idx="77">
                  <c:v>1.4459804378399221E-2</c:v>
                </c:pt>
                <c:pt idx="78">
                  <c:v>1.4481390238005543E-2</c:v>
                </c:pt>
                <c:pt idx="79">
                  <c:v>1.4502975624826164E-2</c:v>
                </c:pt>
                <c:pt idx="80">
                  <c:v>1.4524560538871412E-2</c:v>
                </c:pt>
                <c:pt idx="81">
                  <c:v>1.4546144980151721E-2</c:v>
                </c:pt>
                <c:pt idx="82">
                  <c:v>1.4567728948677305E-2</c:v>
                </c:pt>
                <c:pt idx="83">
                  <c:v>1.4589312444458491E-2</c:v>
                </c:pt>
                <c:pt idx="84">
                  <c:v>1.4610895467505824E-2</c:v>
                </c:pt>
                <c:pt idx="85">
                  <c:v>1.4632478017829631E-2</c:v>
                </c:pt>
                <c:pt idx="86">
                  <c:v>1.4654060095440125E-2</c:v>
                </c:pt>
                <c:pt idx="87">
                  <c:v>1.4675641700347741E-2</c:v>
                </c:pt>
                <c:pt idx="88">
                  <c:v>1.4697222832562806E-2</c:v>
                </c:pt>
                <c:pt idx="89">
                  <c:v>1.4718803492095645E-2</c:v>
                </c:pt>
                <c:pt idx="90">
                  <c:v>1.4740383678956692E-2</c:v>
                </c:pt>
                <c:pt idx="91">
                  <c:v>1.4761963393156274E-2</c:v>
                </c:pt>
                <c:pt idx="92">
                  <c:v>1.4783542634704716E-2</c:v>
                </c:pt>
                <c:pt idx="93">
                  <c:v>1.4805121403612453E-2</c:v>
                </c:pt>
                <c:pt idx="94">
                  <c:v>1.48266996998897E-2</c:v>
                </c:pt>
                <c:pt idx="95">
                  <c:v>1.4848277523546893E-2</c:v>
                </c:pt>
                <c:pt idx="96">
                  <c:v>1.4869854874594357E-2</c:v>
                </c:pt>
                <c:pt idx="97">
                  <c:v>1.4891431753042528E-2</c:v>
                </c:pt>
                <c:pt idx="98">
                  <c:v>1.4913008158901619E-2</c:v>
                </c:pt>
                <c:pt idx="99">
                  <c:v>1.4934584092182068E-2</c:v>
                </c:pt>
                <c:pt idx="100">
                  <c:v>1.4956159552894199E-2</c:v>
                </c:pt>
                <c:pt idx="101">
                  <c:v>1.4977734541048338E-2</c:v>
                </c:pt>
                <c:pt idx="102">
                  <c:v>1.4999309056654919E-2</c:v>
                </c:pt>
                <c:pt idx="103">
                  <c:v>1.5020883099724158E-2</c:v>
                </c:pt>
                <c:pt idx="104">
                  <c:v>1.5042456670266602E-2</c:v>
                </c:pt>
                <c:pt idx="105">
                  <c:v>1.5064029768292353E-2</c:v>
                </c:pt>
                <c:pt idx="106">
                  <c:v>1.5085602393811959E-2</c:v>
                </c:pt>
                <c:pt idx="107">
                  <c:v>1.5107174546835744E-2</c:v>
                </c:pt>
                <c:pt idx="108">
                  <c:v>1.5128746227373924E-2</c:v>
                </c:pt>
                <c:pt idx="109">
                  <c:v>1.5150317435437044E-2</c:v>
                </c:pt>
                <c:pt idx="110">
                  <c:v>1.5171888171035208E-2</c:v>
                </c:pt>
                <c:pt idx="111">
                  <c:v>1.5193458434179075E-2</c:v>
                </c:pt>
                <c:pt idx="112">
                  <c:v>1.5215028224878746E-2</c:v>
                </c:pt>
                <c:pt idx="113">
                  <c:v>1.5236597543144548E-2</c:v>
                </c:pt>
                <c:pt idx="114">
                  <c:v>1.5258166388987027E-2</c:v>
                </c:pt>
                <c:pt idx="115">
                  <c:v>1.5279734762416397E-2</c:v>
                </c:pt>
                <c:pt idx="116">
                  <c:v>1.5301302663443095E-2</c:v>
                </c:pt>
                <c:pt idx="117">
                  <c:v>1.5322870092077334E-2</c:v>
                </c:pt>
                <c:pt idx="118">
                  <c:v>1.5344437048329551E-2</c:v>
                </c:pt>
                <c:pt idx="119">
                  <c:v>1.5366003532210071E-2</c:v>
                </c:pt>
                <c:pt idx="120">
                  <c:v>1.5387569543729218E-2</c:v>
                </c:pt>
                <c:pt idx="121">
                  <c:v>1.5409135082897429E-2</c:v>
                </c:pt>
                <c:pt idx="122">
                  <c:v>1.5430700149724919E-2</c:v>
                </c:pt>
                <c:pt idx="123">
                  <c:v>1.5452264744222122E-2</c:v>
                </c:pt>
                <c:pt idx="124">
                  <c:v>1.5473828866399475E-2</c:v>
                </c:pt>
                <c:pt idx="125">
                  <c:v>1.5495392516267081E-2</c:v>
                </c:pt>
                <c:pt idx="126">
                  <c:v>1.5516955693835377E-2</c:v>
                </c:pt>
                <c:pt idx="127">
                  <c:v>1.5538518399114909E-2</c:v>
                </c:pt>
                <c:pt idx="128">
                  <c:v>1.5560080632115669E-2</c:v>
                </c:pt>
                <c:pt idx="129">
                  <c:v>1.5581642392848316E-2</c:v>
                </c:pt>
                <c:pt idx="130">
                  <c:v>1.5603203681323063E-2</c:v>
                </c:pt>
                <c:pt idx="131">
                  <c:v>1.5624764497550236E-2</c:v>
                </c:pt>
                <c:pt idx="132">
                  <c:v>1.564632484154016E-2</c:v>
                </c:pt>
                <c:pt idx="133">
                  <c:v>1.5667884713303271E-2</c:v>
                </c:pt>
                <c:pt idx="134">
                  <c:v>1.5689444112849782E-2</c:v>
                </c:pt>
                <c:pt idx="135">
                  <c:v>1.571100304019013E-2</c:v>
                </c:pt>
                <c:pt idx="136">
                  <c:v>1.573256149533464E-2</c:v>
                </c:pt>
                <c:pt idx="137">
                  <c:v>1.5754119478293749E-2</c:v>
                </c:pt>
                <c:pt idx="138">
                  <c:v>1.5775676989077669E-2</c:v>
                </c:pt>
                <c:pt idx="139">
                  <c:v>1.5797234027696727E-2</c:v>
                </c:pt>
                <c:pt idx="140">
                  <c:v>1.5818790594161358E-2</c:v>
                </c:pt>
                <c:pt idx="141">
                  <c:v>1.5840346688481777E-2</c:v>
                </c:pt>
                <c:pt idx="142">
                  <c:v>1.586190231066853E-2</c:v>
                </c:pt>
                <c:pt idx="143">
                  <c:v>1.588345746073172E-2</c:v>
                </c:pt>
                <c:pt idx="144">
                  <c:v>1.5905012138681895E-2</c:v>
                </c:pt>
                <c:pt idx="145">
                  <c:v>1.5926566344529269E-2</c:v>
                </c:pt>
                <c:pt idx="146">
                  <c:v>1.5948120078284167E-2</c:v>
                </c:pt>
                <c:pt idx="147">
                  <c:v>1.5969673339957025E-2</c:v>
                </c:pt>
                <c:pt idx="148">
                  <c:v>1.5991226129558167E-2</c:v>
                </c:pt>
                <c:pt idx="149">
                  <c:v>1.6012778447097809E-2</c:v>
                </c:pt>
                <c:pt idx="150">
                  <c:v>1.6034330292586496E-2</c:v>
                </c:pt>
                <c:pt idx="151">
                  <c:v>1.6055881666034444E-2</c:v>
                </c:pt>
                <c:pt idx="152">
                  <c:v>1.6077432567451977E-2</c:v>
                </c:pt>
                <c:pt idx="153">
                  <c:v>1.609898299684942E-2</c:v>
                </c:pt>
                <c:pt idx="154">
                  <c:v>1.612053295423721E-2</c:v>
                </c:pt>
                <c:pt idx="155">
                  <c:v>1.614208243962556E-2</c:v>
                </c:pt>
                <c:pt idx="156">
                  <c:v>1.6163631453024907E-2</c:v>
                </c:pt>
                <c:pt idx="157">
                  <c:v>1.6185179994445575E-2</c:v>
                </c:pt>
                <c:pt idx="158">
                  <c:v>1.6206728063897891E-2</c:v>
                </c:pt>
                <c:pt idx="159">
                  <c:v>1.6228275661392177E-2</c:v>
                </c:pt>
                <c:pt idx="160">
                  <c:v>1.6249822786938761E-2</c:v>
                </c:pt>
                <c:pt idx="161">
                  <c:v>1.6271369440547967E-2</c:v>
                </c:pt>
                <c:pt idx="162">
                  <c:v>1.6292915622230231E-2</c:v>
                </c:pt>
                <c:pt idx="163">
                  <c:v>1.6314461331995767E-2</c:v>
                </c:pt>
                <c:pt idx="164">
                  <c:v>1.6336006569855011E-2</c:v>
                </c:pt>
                <c:pt idx="165">
                  <c:v>1.6357551335818177E-2</c:v>
                </c:pt>
                <c:pt idx="166">
                  <c:v>1.6379095629895701E-2</c:v>
                </c:pt>
                <c:pt idx="167">
                  <c:v>1.6400639452097909E-2</c:v>
                </c:pt>
                <c:pt idx="168">
                  <c:v>1.6422182802435126E-2</c:v>
                </c:pt>
                <c:pt idx="169">
                  <c:v>1.6443725680917676E-2</c:v>
                </c:pt>
                <c:pt idx="170">
                  <c:v>1.6465268087555995E-2</c:v>
                </c:pt>
                <c:pt idx="171">
                  <c:v>1.6486810022360188E-2</c:v>
                </c:pt>
                <c:pt idx="172">
                  <c:v>1.65083514853408E-2</c:v>
                </c:pt>
                <c:pt idx="173">
                  <c:v>1.6529892476508046E-2</c:v>
                </c:pt>
                <c:pt idx="174">
                  <c:v>1.6551432995872251E-2</c:v>
                </c:pt>
                <c:pt idx="175">
                  <c:v>1.657297304344385E-2</c:v>
                </c:pt>
                <c:pt idx="176">
                  <c:v>1.659451261923317E-2</c:v>
                </c:pt>
                <c:pt idx="177">
                  <c:v>1.6616051723250425E-2</c:v>
                </c:pt>
                <c:pt idx="178">
                  <c:v>1.6637590355506049E-2</c:v>
                </c:pt>
                <c:pt idx="179">
                  <c:v>1.6659128516010369E-2</c:v>
                </c:pt>
                <c:pt idx="180">
                  <c:v>1.6680666204773709E-2</c:v>
                </c:pt>
                <c:pt idx="181">
                  <c:v>1.6702203421806394E-2</c:v>
                </c:pt>
                <c:pt idx="182">
                  <c:v>1.672374016711875E-2</c:v>
                </c:pt>
                <c:pt idx="183">
                  <c:v>1.6745276440720991E-2</c:v>
                </c:pt>
                <c:pt idx="184">
                  <c:v>1.6766812242623663E-2</c:v>
                </c:pt>
                <c:pt idx="185">
                  <c:v>1.6788347572837092E-2</c:v>
                </c:pt>
                <c:pt idx="186">
                  <c:v>1.6809882431371381E-2</c:v>
                </c:pt>
                <c:pt idx="187">
                  <c:v>1.6831416818237077E-2</c:v>
                </c:pt>
                <c:pt idx="188">
                  <c:v>1.6852950733444394E-2</c:v>
                </c:pt>
                <c:pt idx="189">
                  <c:v>1.6874484177003768E-2</c:v>
                </c:pt>
                <c:pt idx="190">
                  <c:v>1.6896017148925413E-2</c:v>
                </c:pt>
                <c:pt idx="191">
                  <c:v>1.6917549649219654E-2</c:v>
                </c:pt>
                <c:pt idx="192">
                  <c:v>1.6939081677896928E-2</c:v>
                </c:pt>
                <c:pt idx="193">
                  <c:v>1.6960613234967559E-2</c:v>
                </c:pt>
                <c:pt idx="194">
                  <c:v>1.6982144320441761E-2</c:v>
                </c:pt>
                <c:pt idx="195">
                  <c:v>1.7003674934329971E-2</c:v>
                </c:pt>
                <c:pt idx="196">
                  <c:v>1.7025205076642513E-2</c:v>
                </c:pt>
                <c:pt idx="197">
                  <c:v>1.7046734747389602E-2</c:v>
                </c:pt>
                <c:pt idx="198">
                  <c:v>1.7068263946581674E-2</c:v>
                </c:pt>
                <c:pt idx="199">
                  <c:v>1.7089792674229054E-2</c:v>
                </c:pt>
                <c:pt idx="200">
                  <c:v>1.7111320930342067E-2</c:v>
                </c:pt>
                <c:pt idx="201">
                  <c:v>1.7132848714931037E-2</c:v>
                </c:pt>
                <c:pt idx="202">
                  <c:v>1.715437602800618E-2</c:v>
                </c:pt>
                <c:pt idx="203">
                  <c:v>1.717590286957793E-2</c:v>
                </c:pt>
                <c:pt idx="204">
                  <c:v>1.7197429239656725E-2</c:v>
                </c:pt>
                <c:pt idx="205">
                  <c:v>1.7218955138252667E-2</c:v>
                </c:pt>
                <c:pt idx="206">
                  <c:v>1.7240480565376193E-2</c:v>
                </c:pt>
                <c:pt idx="207">
                  <c:v>1.7262005521037627E-2</c:v>
                </c:pt>
                <c:pt idx="208">
                  <c:v>1.7283530005247294E-2</c:v>
                </c:pt>
                <c:pt idx="209">
                  <c:v>1.730505401801552E-2</c:v>
                </c:pt>
                <c:pt idx="210">
                  <c:v>1.7326577559352629E-2</c:v>
                </c:pt>
                <c:pt idx="211">
                  <c:v>1.7348100629268948E-2</c:v>
                </c:pt>
                <c:pt idx="212">
                  <c:v>1.73696232277748E-2</c:v>
                </c:pt>
                <c:pt idx="213">
                  <c:v>1.73911453548804E-2</c:v>
                </c:pt>
                <c:pt idx="214">
                  <c:v>1.7412667010596294E-2</c:v>
                </c:pt>
                <c:pt idx="215">
                  <c:v>1.7434188194932698E-2</c:v>
                </c:pt>
                <c:pt idx="216">
                  <c:v>1.7455708907899936E-2</c:v>
                </c:pt>
                <c:pt idx="217">
                  <c:v>1.7477229149508333E-2</c:v>
                </c:pt>
                <c:pt idx="218">
                  <c:v>1.7498748919768103E-2</c:v>
                </c:pt>
                <c:pt idx="219">
                  <c:v>1.7520268218689794E-2</c:v>
                </c:pt>
                <c:pt idx="220">
                  <c:v>1.7541787046283508E-2</c:v>
                </c:pt>
                <c:pt idx="221">
                  <c:v>1.7563305402559792E-2</c:v>
                </c:pt>
                <c:pt idx="222">
                  <c:v>1.758482328752875E-2</c:v>
                </c:pt>
                <c:pt idx="223">
                  <c:v>1.7606340701200818E-2</c:v>
                </c:pt>
                <c:pt idx="224">
                  <c:v>1.762785764358632E-2</c:v>
                </c:pt>
                <c:pt idx="225">
                  <c:v>1.7649374114695582E-2</c:v>
                </c:pt>
                <c:pt idx="226">
                  <c:v>1.7670890114538929E-2</c:v>
                </c:pt>
                <c:pt idx="227">
                  <c:v>1.7692405643126574E-2</c:v>
                </c:pt>
                <c:pt idx="228">
                  <c:v>1.7713920700469066E-2</c:v>
                </c:pt>
                <c:pt idx="229">
                  <c:v>1.7735435286576395E-2</c:v>
                </c:pt>
                <c:pt idx="230">
                  <c:v>1.7756949401459221E-2</c:v>
                </c:pt>
                <c:pt idx="231">
                  <c:v>1.7778463045127646E-2</c:v>
                </c:pt>
                <c:pt idx="232">
                  <c:v>1.7799976217592106E-2</c:v>
                </c:pt>
                <c:pt idx="233">
                  <c:v>1.7821488918862816E-2</c:v>
                </c:pt>
                <c:pt idx="234">
                  <c:v>1.784300114895021E-2</c:v>
                </c:pt>
                <c:pt idx="235">
                  <c:v>1.7864512907864505E-2</c:v>
                </c:pt>
                <c:pt idx="236">
                  <c:v>1.7886024195616135E-2</c:v>
                </c:pt>
                <c:pt idx="237">
                  <c:v>1.7907535012215314E-2</c:v>
                </c:pt>
                <c:pt idx="238">
                  <c:v>1.792904535767248E-2</c:v>
                </c:pt>
                <c:pt idx="239">
                  <c:v>1.7950555231997734E-2</c:v>
                </c:pt>
                <c:pt idx="240">
                  <c:v>1.7972064635201623E-2</c:v>
                </c:pt>
                <c:pt idx="241">
                  <c:v>1.7993573567294363E-2</c:v>
                </c:pt>
                <c:pt idx="242">
                  <c:v>1.8015082028286278E-2</c:v>
                </c:pt>
                <c:pt idx="243">
                  <c:v>1.8036590018187804E-2</c:v>
                </c:pt>
                <c:pt idx="244">
                  <c:v>1.8058097537009044E-2</c:v>
                </c:pt>
                <c:pt idx="245">
                  <c:v>1.8079604584760434E-2</c:v>
                </c:pt>
                <c:pt idx="246">
                  <c:v>1.8101111161452299E-2</c:v>
                </c:pt>
                <c:pt idx="247">
                  <c:v>1.8122617267094965E-2</c:v>
                </c:pt>
                <c:pt idx="248">
                  <c:v>1.8144122901698645E-2</c:v>
                </c:pt>
                <c:pt idx="249">
                  <c:v>1.8165628065273776E-2</c:v>
                </c:pt>
                <c:pt idx="250">
                  <c:v>1.8187132757830682E-2</c:v>
                </c:pt>
                <c:pt idx="251">
                  <c:v>1.8208636979379578E-2</c:v>
                </c:pt>
                <c:pt idx="252">
                  <c:v>1.8230140729930788E-2</c:v>
                </c:pt>
                <c:pt idx="253">
                  <c:v>1.825164400949475E-2</c:v>
                </c:pt>
                <c:pt idx="254">
                  <c:v>1.8273146818081676E-2</c:v>
                </c:pt>
                <c:pt idx="255">
                  <c:v>1.8294649155701892E-2</c:v>
                </c:pt>
                <c:pt idx="256">
                  <c:v>1.8316151022365723E-2</c:v>
                </c:pt>
                <c:pt idx="257">
                  <c:v>1.8337652418083605E-2</c:v>
                </c:pt>
                <c:pt idx="258">
                  <c:v>1.8359153342865642E-2</c:v>
                </c:pt>
                <c:pt idx="259">
                  <c:v>1.8380653796722268E-2</c:v>
                </c:pt>
                <c:pt idx="260">
                  <c:v>1.8402153779663699E-2</c:v>
                </c:pt>
                <c:pt idx="261">
                  <c:v>1.842365329170037E-2</c:v>
                </c:pt>
                <c:pt idx="262">
                  <c:v>1.8445152332842607E-2</c:v>
                </c:pt>
                <c:pt idx="263">
                  <c:v>1.8466650903100623E-2</c:v>
                </c:pt>
                <c:pt idx="264">
                  <c:v>1.8488149002484744E-2</c:v>
                </c:pt>
                <c:pt idx="265">
                  <c:v>1.8509646631005405E-2</c:v>
                </c:pt>
                <c:pt idx="266">
                  <c:v>1.853114378867271E-2</c:v>
                </c:pt>
                <c:pt idx="267">
                  <c:v>1.8552640475497206E-2</c:v>
                </c:pt>
                <c:pt idx="268">
                  <c:v>1.8574136691488996E-2</c:v>
                </c:pt>
                <c:pt idx="269">
                  <c:v>1.8595632436658627E-2</c:v>
                </c:pt>
                <c:pt idx="270">
                  <c:v>1.861712771101609E-2</c:v>
                </c:pt>
                <c:pt idx="271">
                  <c:v>1.8638622514572045E-2</c:v>
                </c:pt>
                <c:pt idx="272">
                  <c:v>1.8660116847336483E-2</c:v>
                </c:pt>
                <c:pt idx="273">
                  <c:v>1.8681610709319951E-2</c:v>
                </c:pt>
                <c:pt idx="274">
                  <c:v>1.8703104100532664E-2</c:v>
                </c:pt>
                <c:pt idx="275">
                  <c:v>1.8724597020985057E-2</c:v>
                </c:pt>
                <c:pt idx="276">
                  <c:v>1.8746089470687233E-2</c:v>
                </c:pt>
                <c:pt idx="277">
                  <c:v>1.8767581449649517E-2</c:v>
                </c:pt>
                <c:pt idx="278">
                  <c:v>1.8789072957882458E-2</c:v>
                </c:pt>
                <c:pt idx="279">
                  <c:v>1.8810563995396046E-2</c:v>
                </c:pt>
                <c:pt idx="280">
                  <c:v>1.8832054562200939E-2</c:v>
                </c:pt>
                <c:pt idx="281">
                  <c:v>1.8853544658307131E-2</c:v>
                </c:pt>
                <c:pt idx="282">
                  <c:v>1.8875034283725167E-2</c:v>
                </c:pt>
                <c:pt idx="283">
                  <c:v>1.8896523438465151E-2</c:v>
                </c:pt>
                <c:pt idx="284">
                  <c:v>1.891801212253752E-2</c:v>
                </c:pt>
                <c:pt idx="285">
                  <c:v>1.8939500335952597E-2</c:v>
                </c:pt>
                <c:pt idx="286">
                  <c:v>1.8960988078720709E-2</c:v>
                </c:pt>
                <c:pt idx="287">
                  <c:v>1.8982475350851957E-2</c:v>
                </c:pt>
                <c:pt idx="288">
                  <c:v>1.900396215235689E-2</c:v>
                </c:pt>
                <c:pt idx="289">
                  <c:v>1.9025448483245722E-2</c:v>
                </c:pt>
                <c:pt idx="290">
                  <c:v>1.9046934343528776E-2</c:v>
                </c:pt>
                <c:pt idx="291">
                  <c:v>1.906841973321638E-2</c:v>
                </c:pt>
                <c:pt idx="292">
                  <c:v>1.9089904652318745E-2</c:v>
                </c:pt>
                <c:pt idx="293">
                  <c:v>1.9111389100846199E-2</c:v>
                </c:pt>
                <c:pt idx="294">
                  <c:v>1.9132873078809176E-2</c:v>
                </c:pt>
                <c:pt idx="295">
                  <c:v>1.9154356586217891E-2</c:v>
                </c:pt>
                <c:pt idx="296">
                  <c:v>1.9175839623082669E-2</c:v>
                </c:pt>
                <c:pt idx="297">
                  <c:v>1.9197322189413724E-2</c:v>
                </c:pt>
                <c:pt idx="298">
                  <c:v>1.9218804285221491E-2</c:v>
                </c:pt>
                <c:pt idx="299">
                  <c:v>1.9240285910516186E-2</c:v>
                </c:pt>
                <c:pt idx="300">
                  <c:v>1.9261767065308244E-2</c:v>
                </c:pt>
                <c:pt idx="301">
                  <c:v>1.9283247749607879E-2</c:v>
                </c:pt>
                <c:pt idx="302">
                  <c:v>1.9304727963425306E-2</c:v>
                </c:pt>
                <c:pt idx="303">
                  <c:v>1.9326207706770959E-2</c:v>
                </c:pt>
                <c:pt idx="304">
                  <c:v>1.9347686979655165E-2</c:v>
                </c:pt>
                <c:pt idx="305">
                  <c:v>1.9369165782088138E-2</c:v>
                </c:pt>
                <c:pt idx="306">
                  <c:v>1.9390644114080202E-2</c:v>
                </c:pt>
                <c:pt idx="307">
                  <c:v>1.9412121975641683E-2</c:v>
                </c:pt>
                <c:pt idx="308">
                  <c:v>1.9433599366782794E-2</c:v>
                </c:pt>
                <c:pt idx="309">
                  <c:v>1.9455076287514084E-2</c:v>
                </c:pt>
                <c:pt idx="310">
                  <c:v>1.9476552737845543E-2</c:v>
                </c:pt>
                <c:pt idx="311">
                  <c:v>1.9498028717787719E-2</c:v>
                </c:pt>
                <c:pt idx="312">
                  <c:v>1.9519504227350715E-2</c:v>
                </c:pt>
                <c:pt idx="313">
                  <c:v>1.9540979266544967E-2</c:v>
                </c:pt>
                <c:pt idx="314">
                  <c:v>1.95624538353808E-2</c:v>
                </c:pt>
                <c:pt idx="315">
                  <c:v>1.9583927933868428E-2</c:v>
                </c:pt>
                <c:pt idx="316">
                  <c:v>1.9605401562018177E-2</c:v>
                </c:pt>
                <c:pt idx="317">
                  <c:v>1.962687471984037E-2</c:v>
                </c:pt>
                <c:pt idx="318">
                  <c:v>1.9648347407345335E-2</c:v>
                </c:pt>
                <c:pt idx="319">
                  <c:v>1.9669819624543283E-2</c:v>
                </c:pt>
                <c:pt idx="320">
                  <c:v>1.9691291371444652E-2</c:v>
                </c:pt>
                <c:pt idx="321">
                  <c:v>1.9712762648059545E-2</c:v>
                </c:pt>
                <c:pt idx="322">
                  <c:v>1.9734233454398509E-2</c:v>
                </c:pt>
                <c:pt idx="323">
                  <c:v>1.9755703790471535E-2</c:v>
                </c:pt>
                <c:pt idx="324">
                  <c:v>1.9777173656289282E-2</c:v>
                </c:pt>
                <c:pt idx="325">
                  <c:v>1.9798643051861742E-2</c:v>
                </c:pt>
                <c:pt idx="326">
                  <c:v>1.9820111977199351E-2</c:v>
                </c:pt>
                <c:pt idx="327">
                  <c:v>1.9841580432312433E-2</c:v>
                </c:pt>
                <c:pt idx="328">
                  <c:v>1.9863048417211204E-2</c:v>
                </c:pt>
                <c:pt idx="329">
                  <c:v>1.9884515931906099E-2</c:v>
                </c:pt>
                <c:pt idx="330">
                  <c:v>1.9905982976407222E-2</c:v>
                </c:pt>
                <c:pt idx="331">
                  <c:v>1.9927449550725007E-2</c:v>
                </c:pt>
                <c:pt idx="332">
                  <c:v>1.9948915654869781E-2</c:v>
                </c:pt>
                <c:pt idx="333">
                  <c:v>1.9970381288851757E-2</c:v>
                </c:pt>
                <c:pt idx="334">
                  <c:v>1.9991846452681261E-2</c:v>
                </c:pt>
                <c:pt idx="335">
                  <c:v>2.0013311146368506E-2</c:v>
                </c:pt>
                <c:pt idx="336">
                  <c:v>2.0034775369924041E-2</c:v>
                </c:pt>
                <c:pt idx="337">
                  <c:v>2.0056239123357855E-2</c:v>
                </c:pt>
                <c:pt idx="338">
                  <c:v>2.0077702406680387E-2</c:v>
                </c:pt>
                <c:pt idx="339">
                  <c:v>2.009916521990196E-2</c:v>
                </c:pt>
                <c:pt idx="340">
                  <c:v>2.01206275630329E-2</c:v>
                </c:pt>
                <c:pt idx="341">
                  <c:v>2.014208943608331E-2</c:v>
                </c:pt>
                <c:pt idx="342">
                  <c:v>2.0163550839063737E-2</c:v>
                </c:pt>
                <c:pt idx="343">
                  <c:v>2.0185011771984285E-2</c:v>
                </c:pt>
                <c:pt idx="344">
                  <c:v>2.0206472234855388E-2</c:v>
                </c:pt>
                <c:pt idx="345">
                  <c:v>2.0227932227687262E-2</c:v>
                </c:pt>
                <c:pt idx="346">
                  <c:v>2.0249391750490231E-2</c:v>
                </c:pt>
                <c:pt idx="347">
                  <c:v>2.0270850803274509E-2</c:v>
                </c:pt>
                <c:pt idx="348">
                  <c:v>2.0292309386050533E-2</c:v>
                </c:pt>
                <c:pt idx="349">
                  <c:v>2.0313767498828406E-2</c:v>
                </c:pt>
                <c:pt idx="350">
                  <c:v>2.0335225141618674E-2</c:v>
                </c:pt>
                <c:pt idx="351">
                  <c:v>2.035668231443144E-2</c:v>
                </c:pt>
                <c:pt idx="352">
                  <c:v>2.037813901727703E-2</c:v>
                </c:pt>
                <c:pt idx="353">
                  <c:v>2.039959525016577E-2</c:v>
                </c:pt>
                <c:pt idx="354">
                  <c:v>2.0421051013107983E-2</c:v>
                </c:pt>
                <c:pt idx="355">
                  <c:v>2.0442506306113883E-2</c:v>
                </c:pt>
                <c:pt idx="356">
                  <c:v>2.0463961129193797E-2</c:v>
                </c:pt>
                <c:pt idx="357">
                  <c:v>2.0485415482358049E-2</c:v>
                </c:pt>
                <c:pt idx="358">
                  <c:v>2.0506869365616853E-2</c:v>
                </c:pt>
                <c:pt idx="359">
                  <c:v>2.0528322778980646E-2</c:v>
                </c:pt>
                <c:pt idx="360">
                  <c:v>2.054977572245964E-2</c:v>
                </c:pt>
                <c:pt idx="361">
                  <c:v>2.0571228196064051E-2</c:v>
                </c:pt>
                <c:pt idx="362">
                  <c:v>2.0592680199804203E-2</c:v>
                </c:pt>
                <c:pt idx="363">
                  <c:v>2.0614131733690422E-2</c:v>
                </c:pt>
                <c:pt idx="364">
                  <c:v>2.0635582797733032E-2</c:v>
                </c:pt>
                <c:pt idx="365">
                  <c:v>2.0657033391942248E-2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6.529081480349877E-2</c:v>
                </c:pt>
                <c:pt idx="1">
                  <c:v>6.5338204890775436E-2</c:v>
                </c:pt>
                <c:pt idx="2">
                  <c:v>6.5385692455811301E-2</c:v>
                </c:pt>
                <c:pt idx="3">
                  <c:v>6.5433262569857334E-2</c:v>
                </c:pt>
                <c:pt idx="4">
                  <c:v>6.5480902233612664E-2</c:v>
                </c:pt>
                <c:pt idx="5">
                  <c:v>6.552860032073575E-2</c:v>
                </c:pt>
                <c:pt idx="6">
                  <c:v>6.5576347506616464E-2</c:v>
                </c:pt>
                <c:pt idx="7">
                  <c:v>6.5624136183587936E-2</c:v>
                </c:pt>
                <c:pt idx="8">
                  <c:v>6.5671960363857584E-2</c:v>
                </c:pt>
                <c:pt idx="9">
                  <c:v>6.571981557152401E-2</c:v>
                </c:pt>
                <c:pt idx="10">
                  <c:v>6.5767698725118853E-2</c:v>
                </c:pt>
                <c:pt idx="11">
                  <c:v>6.581560801217004E-2</c:v>
                </c:pt>
                <c:pt idx="12">
                  <c:v>6.5863542757325505E-2</c:v>
                </c:pt>
                <c:pt idx="13">
                  <c:v>6.5911503285602552E-2</c:v>
                </c:pt>
                <c:pt idx="14">
                  <c:v>6.595949078233887E-2</c:v>
                </c:pt>
                <c:pt idx="15">
                  <c:v>6.6007507151417538E-2</c:v>
                </c:pt>
                <c:pt idx="16">
                  <c:v>6.6055554873317365E-2</c:v>
                </c:pt>
                <c:pt idx="17">
                  <c:v>6.6103636864506266E-2</c:v>
                </c:pt>
                <c:pt idx="18">
                  <c:v>6.6151756339646442E-2</c:v>
                </c:pt>
                <c:pt idx="19">
                  <c:v>6.6199916678017598E-2</c:v>
                </c:pt>
                <c:pt idx="20">
                  <c:v>6.624812129548964E-2</c:v>
                </c:pt>
                <c:pt idx="21">
                  <c:v>6.6296373523289542E-2</c:v>
                </c:pt>
                <c:pt idx="22">
                  <c:v>6.6344676494709459E-2</c:v>
                </c:pt>
                <c:pt idx="23">
                  <c:v>6.6393033040796495E-2</c:v>
                </c:pt>
                <c:pt idx="24">
                  <c:v>6.6441445595948848E-2</c:v>
                </c:pt>
                <c:pt idx="25">
                  <c:v>6.6489916114220796E-2</c:v>
                </c:pt>
                <c:pt idx="26">
                  <c:v>6.6538445997011267E-2</c:v>
                </c:pt>
                <c:pt idx="27">
                  <c:v>6.658703603267753E-2</c:v>
                </c:pt>
                <c:pt idx="28">
                  <c:v>6.6635686348481632E-2</c:v>
                </c:pt>
                <c:pt idx="29">
                  <c:v>6.6684396375138899E-2</c:v>
                </c:pt>
                <c:pt idx="30">
                  <c:v>6.6733164824102645E-2</c:v>
                </c:pt>
                <c:pt idx="31">
                  <c:v>6.6781989677582615E-2</c:v>
                </c:pt>
                <c:pt idx="32">
                  <c:v>6.6830868191162809E-2</c:v>
                </c:pt>
                <c:pt idx="33">
                  <c:v>6.6879796908755243E-2</c:v>
                </c:pt>
                <c:pt idx="34">
                  <c:v>6.6928771689503078E-2</c:v>
                </c:pt>
                <c:pt idx="35">
                  <c:v>6.697778774612953E-2</c:v>
                </c:pt>
                <c:pt idx="36">
                  <c:v>6.7026839694119725E-2</c:v>
                </c:pt>
                <c:pt idx="37">
                  <c:v>6.707592161102191E-2</c:v>
                </c:pt>
                <c:pt idx="38">
                  <c:v>6.7125027105062879E-2</c:v>
                </c:pt>
                <c:pt idx="39">
                  <c:v>6.7174149392191684E-2</c:v>
                </c:pt>
                <c:pt idx="40">
                  <c:v>6.7223281380595301E-2</c:v>
                </c:pt>
                <c:pt idx="41">
                  <c:v>6.7272415761670964E-2</c:v>
                </c:pt>
                <c:pt idx="42">
                  <c:v>6.7321545106393238E-2</c:v>
                </c:pt>
                <c:pt idx="43">
                  <c:v>6.7370661965978865E-2</c:v>
                </c:pt>
                <c:pt idx="44">
                  <c:v>6.7419758975729147E-2</c:v>
                </c:pt>
                <c:pt idx="45">
                  <c:v>6.7468828960920477E-2</c:v>
                </c:pt>
                <c:pt idx="46">
                  <c:v>6.7517865043613456E-2</c:v>
                </c:pt>
                <c:pt idx="47">
                  <c:v>6.7566860749266114E-2</c:v>
                </c:pt>
                <c:pt idx="48">
                  <c:v>6.7615810112060484E-2</c:v>
                </c:pt>
                <c:pt idx="49">
                  <c:v>6.7664707777887981E-2</c:v>
                </c:pt>
                <c:pt idx="50">
                  <c:v>6.7713549103985207E-2</c:v>
                </c:pt>
                <c:pt idx="51">
                  <c:v>6.7762330254266992E-2</c:v>
                </c:pt>
                <c:pt idx="52">
                  <c:v>6.7811048289468767E-2</c:v>
                </c:pt>
                <c:pt idx="53">
                  <c:v>6.7859701251281754E-2</c:v>
                </c:pt>
                <c:pt idx="54">
                  <c:v>6.7908288239744263E-2</c:v>
                </c:pt>
                <c:pt idx="55">
                  <c:v>6.7956809483237415E-2</c:v>
                </c:pt>
                <c:pt idx="56">
                  <c:v>6.8005266400523373E-2</c:v>
                </c:pt>
                <c:pt idx="57">
                  <c:v>6.8053661654357653E-2</c:v>
                </c:pt>
                <c:pt idx="58">
                  <c:v>6.8101999196303775E-2</c:v>
                </c:pt>
                <c:pt idx="59">
                  <c:v>6.8150284302474884E-2</c:v>
                </c:pt>
                <c:pt idx="60">
                  <c:v>6.8198523600026331E-2</c:v>
                </c:pt>
                <c:pt idx="61">
                  <c:v>6.8246725084318158E-2</c:v>
                </c:pt>
                <c:pt idx="62">
                  <c:v>6.829489812676337E-2</c:v>
                </c:pt>
                <c:pt idx="63">
                  <c:v>6.8343053473467807E-2</c:v>
                </c:pt>
                <c:pt idx="64">
                  <c:v>6.8391203234856798E-2</c:v>
                </c:pt>
                <c:pt idx="65">
                  <c:v>6.843936086656574E-2</c:v>
                </c:pt>
                <c:pt idx="66">
                  <c:v>6.848754114194909E-2</c:v>
                </c:pt>
                <c:pt idx="67">
                  <c:v>6.8535760116632496E-2</c:v>
                </c:pt>
                <c:pt idx="68">
                  <c:v>6.8584035085596476E-2</c:v>
                </c:pt>
                <c:pt idx="69">
                  <c:v>6.8632384533334145E-2</c:v>
                </c:pt>
                <c:pt idx="70">
                  <c:v>6.8680828077673756E-2</c:v>
                </c:pt>
                <c:pt idx="71">
                  <c:v>6.8729386407893792E-2</c:v>
                </c:pt>
                <c:pt idx="72">
                  <c:v>6.8778081217788306E-2</c:v>
                </c:pt>
                <c:pt idx="73">
                  <c:v>6.8826935134359224E-2</c:v>
                </c:pt>
                <c:pt idx="74">
                  <c:v>6.8875971642824649E-2</c:v>
                </c:pt>
                <c:pt idx="75">
                  <c:v>6.8925215008631982E-2</c:v>
                </c:pt>
                <c:pt idx="76">
                  <c:v>6.8974690197159488E-2</c:v>
                </c:pt>
                <c:pt idx="77">
                  <c:v>6.9024422791772594E-2</c:v>
                </c:pt>
                <c:pt idx="78">
                  <c:v>6.9074438910878305E-2</c:v>
                </c:pt>
                <c:pt idx="79">
                  <c:v>6.9124765124588997E-2</c:v>
                </c:pt>
                <c:pt idx="80">
                  <c:v>6.9175428371568662E-2</c:v>
                </c:pt>
                <c:pt idx="81">
                  <c:v>6.9226455876589071E-2</c:v>
                </c:pt>
                <c:pt idx="82">
                  <c:v>6.9277875069273381E-2</c:v>
                </c:pt>
                <c:pt idx="83">
                  <c:v>6.932971350444872E-2</c:v>
                </c:pt>
                <c:pt idx="84">
                  <c:v>6.9381998784470419E-2</c:v>
                </c:pt>
                <c:pt idx="85">
                  <c:v>6.9434758483817624E-2</c:v>
                </c:pt>
                <c:pt idx="86">
                  <c:v>6.9488020076196602E-2</c:v>
                </c:pt>
                <c:pt idx="87">
                  <c:v>6.9541810864321277E-2</c:v>
                </c:pt>
                <c:pt idx="88">
                  <c:v>6.9596157912476544E-2</c:v>
                </c:pt>
                <c:pt idx="89">
                  <c:v>6.9651087981903767E-2</c:v>
                </c:pt>
                <c:pt idx="90">
                  <c:v>6.9706627468985968E-2</c:v>
                </c:pt>
                <c:pt idx="91">
                  <c:v>6.9762802346149802E-2</c:v>
                </c:pt>
                <c:pt idx="92">
                  <c:v>6.9819638105344861E-2</c:v>
                </c:pt>
                <c:pt idx="93">
                  <c:v>6.9877159703908856E-2</c:v>
                </c:pt>
                <c:pt idx="94">
                  <c:v>6.9935391512580755E-2</c:v>
                </c:pt>
                <c:pt idx="95">
                  <c:v>6.9994357265382515E-2</c:v>
                </c:pt>
                <c:pt idx="96">
                  <c:v>7.0054080011056272E-2</c:v>
                </c:pt>
                <c:pt idx="97">
                  <c:v>7.0114582065716094E-2</c:v>
                </c:pt>
                <c:pt idx="98">
                  <c:v>7.0175884966354213E-2</c:v>
                </c:pt>
                <c:pt idx="99">
                  <c:v>7.0238009424829093E-2</c:v>
                </c:pt>
                <c:pt idx="100">
                  <c:v>7.0300975281958986E-2</c:v>
                </c:pt>
                <c:pt idx="101">
                  <c:v>7.0364801461349366E-2</c:v>
                </c:pt>
                <c:pt idx="102">
                  <c:v>7.0429505922594102E-2</c:v>
                </c:pt>
                <c:pt idx="103">
                  <c:v>7.0495105613511327E-2</c:v>
                </c:pt>
                <c:pt idx="104">
                  <c:v>7.0561616421103437E-2</c:v>
                </c:pt>
                <c:pt idx="105">
                  <c:v>7.0629053120965513E-2</c:v>
                </c:pt>
                <c:pt idx="106">
                  <c:v>7.0697429324910743E-2</c:v>
                </c:pt>
                <c:pt idx="107">
                  <c:v>7.0766757426629273E-2</c:v>
                </c:pt>
                <c:pt idx="108">
                  <c:v>7.0837048545253731E-2</c:v>
                </c:pt>
                <c:pt idx="109">
                  <c:v>7.0908312466764392E-2</c:v>
                </c:pt>
                <c:pt idx="110">
                  <c:v>7.0980557583232004E-2</c:v>
                </c:pt>
                <c:pt idx="111">
                  <c:v>7.105379082996531E-2</c:v>
                </c:pt>
                <c:pt idx="112">
                  <c:v>7.1128017620701506E-2</c:v>
                </c:pt>
                <c:pt idx="113">
                  <c:v>7.1203241781050058E-2</c:v>
                </c:pt>
                <c:pt idx="114">
                  <c:v>7.1279465480475007E-2</c:v>
                </c:pt>
                <c:pt idx="115">
                  <c:v>7.1356689163173503E-2</c:v>
                </c:pt>
                <c:pt idx="116">
                  <c:v>7.1434911478280488E-2</c:v>
                </c:pt>
                <c:pt idx="117">
                  <c:v>7.1514129209898927E-2</c:v>
                </c:pt>
                <c:pt idx="118">
                  <c:v>7.1594337207520536E-2</c:v>
                </c:pt>
                <c:pt idx="119">
                  <c:v>7.1675528317465126E-2</c:v>
                </c:pt>
                <c:pt idx="120">
                  <c:v>7.1757693316020735E-2</c:v>
                </c:pt>
                <c:pt idx="121">
                  <c:v>7.1840820845018374E-2</c:v>
                </c:pt>
                <c:pt idx="122">
                  <c:v>7.1924897350617245E-2</c:v>
                </c:pt>
                <c:pt idx="123">
                  <c:v>7.2009907026110959E-2</c:v>
                </c:pt>
                <c:pt idx="124">
                  <c:v>7.2095831759591944E-2</c:v>
                </c:pt>
                <c:pt idx="125">
                  <c:v>7.218265108732734E-2</c:v>
                </c:pt>
                <c:pt idx="126">
                  <c:v>7.2270342153707659E-2</c:v>
                </c:pt>
                <c:pt idx="127">
                  <c:v>7.2358879678625879E-2</c:v>
                </c:pt>
                <c:pt idx="128">
                  <c:v>7.2448235933131114E-2</c:v>
                </c:pt>
                <c:pt idx="129">
                  <c:v>7.253838072417769E-2</c:v>
                </c:pt>
                <c:pt idx="130">
                  <c:v>7.2629281389254438E-2</c:v>
                </c:pt>
                <c:pt idx="131">
                  <c:v>7.2720902801635026E-2</c:v>
                </c:pt>
                <c:pt idx="132">
                  <c:v>7.2813207386933379E-2</c:v>
                </c:pt>
                <c:pt idx="133">
                  <c:v>7.2906155151583496E-2</c:v>
                </c:pt>
                <c:pt idx="134">
                  <c:v>7.2999703723786474E-2</c:v>
                </c:pt>
                <c:pt idx="135">
                  <c:v>7.3093808407384692E-2</c:v>
                </c:pt>
                <c:pt idx="136">
                  <c:v>7.3188422249028759E-2</c:v>
                </c:pt>
                <c:pt idx="137">
                  <c:v>7.3283496118904168E-2</c:v>
                </c:pt>
                <c:pt idx="138">
                  <c:v>7.337897880517652E-2</c:v>
                </c:pt>
                <c:pt idx="139">
                  <c:v>7.347481712220244E-2</c:v>
                </c:pt>
                <c:pt idx="140">
                  <c:v>7.3570956032435297E-2</c:v>
                </c:pt>
                <c:pt idx="141">
                  <c:v>7.3667338781835304E-2</c:v>
                </c:pt>
                <c:pt idx="142">
                  <c:v>7.376390704846926E-2</c:v>
                </c:pt>
                <c:pt idx="143">
                  <c:v>7.3860601103862333E-2</c:v>
                </c:pt>
                <c:pt idx="144">
                  <c:v>7.3957359986539961E-2</c:v>
                </c:pt>
                <c:pt idx="145">
                  <c:v>7.4054121687075786E-2</c:v>
                </c:pt>
                <c:pt idx="146">
                  <c:v>7.4150823343841737E-2</c:v>
                </c:pt>
                <c:pt idx="147">
                  <c:v>7.4247401448542055E-2</c:v>
                </c:pt>
                <c:pt idx="148">
                  <c:v>7.4343792060501748E-2</c:v>
                </c:pt>
                <c:pt idx="149">
                  <c:v>7.4439931028577544E-2</c:v>
                </c:pt>
                <c:pt idx="150">
                  <c:v>7.4535754219463624E-2</c:v>
                </c:pt>
                <c:pt idx="151">
                  <c:v>7.463119775107746E-2</c:v>
                </c:pt>
                <c:pt idx="152">
                  <c:v>7.4726198229634846E-2</c:v>
                </c:pt>
                <c:pt idx="153">
                  <c:v>7.4820692988956938E-2</c:v>
                </c:pt>
                <c:pt idx="154">
                  <c:v>7.4914620330498588E-2</c:v>
                </c:pt>
                <c:pt idx="155">
                  <c:v>7.5007919762545186E-2</c:v>
                </c:pt>
                <c:pt idx="156">
                  <c:v>7.5100532236997267E-2</c:v>
                </c:pt>
                <c:pt idx="157">
                  <c:v>7.519240038214714E-2</c:v>
                </c:pt>
                <c:pt idx="158">
                  <c:v>7.5283468729851172E-2</c:v>
                </c:pt>
                <c:pt idx="159">
                  <c:v>7.5373683935514635E-2</c:v>
                </c:pt>
                <c:pt idx="160">
                  <c:v>7.5462994989333856E-2</c:v>
                </c:pt>
                <c:pt idx="161">
                  <c:v>7.5551353417282696E-2</c:v>
                </c:pt>
                <c:pt idx="162">
                  <c:v>7.5638713470385741E-2</c:v>
                </c:pt>
                <c:pt idx="163">
                  <c:v>7.572503230089124E-2</c:v>
                </c:pt>
                <c:pt idx="164">
                  <c:v>7.5810270124038723E-2</c:v>
                </c:pt>
                <c:pt idx="165">
                  <c:v>7.5894390364212694E-2</c:v>
                </c:pt>
                <c:pt idx="166">
                  <c:v>7.5977359784380166E-2</c:v>
                </c:pt>
                <c:pt idx="167">
                  <c:v>7.6059148597828516E-2</c:v>
                </c:pt>
                <c:pt idx="168">
                  <c:v>7.6139730561347915E-2</c:v>
                </c:pt>
                <c:pt idx="169">
                  <c:v>7.6219083049139602E-2</c:v>
                </c:pt>
                <c:pt idx="170">
                  <c:v>7.62971871068749E-2</c:v>
                </c:pt>
                <c:pt idx="171">
                  <c:v>7.6374027485481513E-2</c:v>
                </c:pt>
                <c:pt idx="172">
                  <c:v>7.6449592654387735E-2</c:v>
                </c:pt>
                <c:pt idx="173">
                  <c:v>7.6523874794115238E-2</c:v>
                </c:pt>
                <c:pt idx="174">
                  <c:v>7.659686976827082E-2</c:v>
                </c:pt>
                <c:pt idx="175">
                  <c:v>7.6668577075149041E-2</c:v>
                </c:pt>
                <c:pt idx="176">
                  <c:v>7.6738999779317807E-2</c:v>
                </c:pt>
                <c:pt idx="177">
                  <c:v>7.6808144423716029E-2</c:v>
                </c:pt>
                <c:pt idx="178">
                  <c:v>7.6876020922945709E-2</c:v>
                </c:pt>
                <c:pt idx="179">
                  <c:v>7.6942642438588699E-2</c:v>
                </c:pt>
                <c:pt idx="180">
                  <c:v>7.7008025237518207E-2</c:v>
                </c:pt>
                <c:pt idx="181">
                  <c:v>7.7072188534308028E-2</c:v>
                </c:pt>
                <c:pt idx="182">
                  <c:v>7.7135154318964116E-2</c:v>
                </c:pt>
                <c:pt idx="183">
                  <c:v>7.7196947171314811E-2</c:v>
                </c:pt>
                <c:pt idx="184">
                  <c:v>7.7257594063495708E-2</c:v>
                </c:pt>
                <c:pt idx="185">
                  <c:v>7.7317124152050956E-2</c:v>
                </c:pt>
                <c:pt idx="186">
                  <c:v>7.7375568561246263E-2</c:v>
                </c:pt>
                <c:pt idx="187">
                  <c:v>7.7432960159245945E-2</c:v>
                </c:pt>
                <c:pt idx="188">
                  <c:v>7.7489333328850232E-2</c:v>
                </c:pt>
                <c:pt idx="189">
                  <c:v>7.7544723734515916E-2</c:v>
                </c:pt>
                <c:pt idx="190">
                  <c:v>7.7599168087395073E-2</c:v>
                </c:pt>
                <c:pt idx="191">
                  <c:v>7.7652703910122675E-2</c:v>
                </c:pt>
                <c:pt idx="192">
                  <c:v>7.7705369303063404E-2</c:v>
                </c:pt>
                <c:pt idx="193">
                  <c:v>7.7757202713692491E-2</c:v>
                </c:pt>
                <c:pt idx="194">
                  <c:v>7.7808242710734526E-2</c:v>
                </c:pt>
                <c:pt idx="195">
                  <c:v>7.7858527764618032E-2</c:v>
                </c:pt>
                <c:pt idx="196">
                  <c:v>7.7908096035724642E-2</c:v>
                </c:pt>
                <c:pt idx="197">
                  <c:v>7.7956985171818205E-2</c:v>
                </c:pt>
                <c:pt idx="198">
                  <c:v>7.8005232115934381E-2</c:v>
                </c:pt>
                <c:pt idx="199">
                  <c:v>7.8052872925894787E-2</c:v>
                </c:pt>
                <c:pt idx="200">
                  <c:v>7.8099942606483883E-2</c:v>
                </c:pt>
                <c:pt idx="201">
                  <c:v>7.8146474955191655E-2</c:v>
                </c:pt>
                <c:pt idx="202">
                  <c:v>7.8192502422283414E-2</c:v>
                </c:pt>
                <c:pt idx="203">
                  <c:v>7.8238055985809768E-2</c:v>
                </c:pt>
                <c:pt idx="204">
                  <c:v>7.8283165042018391E-2</c:v>
                </c:pt>
                <c:pt idx="205">
                  <c:v>7.8327857311474181E-2</c:v>
                </c:pt>
                <c:pt idx="206">
                  <c:v>7.8372158761038591E-2</c:v>
                </c:pt>
                <c:pt idx="207">
                  <c:v>7.8416093541704285E-2</c:v>
                </c:pt>
                <c:pt idx="208">
                  <c:v>7.8459683942127559E-2</c:v>
                </c:pt>
                <c:pt idx="209">
                  <c:v>7.8502950357552601E-2</c:v>
                </c:pt>
                <c:pt idx="210">
                  <c:v>7.8545911273676994E-2</c:v>
                </c:pt>
                <c:pt idx="211">
                  <c:v>7.8588583264871559E-2</c:v>
                </c:pt>
                <c:pt idx="212">
                  <c:v>7.8630981006037937E-2</c:v>
                </c:pt>
                <c:pt idx="213">
                  <c:v>7.8673117297268738E-2</c:v>
                </c:pt>
                <c:pt idx="214">
                  <c:v>7.8715003100365874E-2</c:v>
                </c:pt>
                <c:pt idx="215">
                  <c:v>7.8756647586176606E-2</c:v>
                </c:pt>
                <c:pt idx="216">
                  <c:v>7.8798058191622319E-2</c:v>
                </c:pt>
                <c:pt idx="217">
                  <c:v>7.8839240685225659E-2</c:v>
                </c:pt>
                <c:pt idx="218">
                  <c:v>7.8880199239885221E-2</c:v>
                </c:pt>
                <c:pt idx="219">
                  <c:v>7.8920936511606712E-2</c:v>
                </c:pt>
                <c:pt idx="220">
                  <c:v>7.8961453722873651E-2</c:v>
                </c:pt>
                <c:pt idx="221">
                  <c:v>7.9001750749331454E-2</c:v>
                </c:pt>
                <c:pt idx="222">
                  <c:v>7.9041826208462979E-2</c:v>
                </c:pt>
                <c:pt idx="223">
                  <c:v>7.908167754895673E-2</c:v>
                </c:pt>
                <c:pt idx="224">
                  <c:v>7.9121301139503275E-2</c:v>
                </c:pt>
                <c:pt idx="225">
                  <c:v>7.9160692355807777E-2</c:v>
                </c:pt>
                <c:pt idx="226">
                  <c:v>7.9199845664670893E-2</c:v>
                </c:pt>
                <c:pt idx="227">
                  <c:v>7.92387547040692E-2</c:v>
                </c:pt>
                <c:pt idx="228">
                  <c:v>7.9277412358256499E-2</c:v>
                </c:pt>
                <c:pt idx="229">
                  <c:v>7.9315810827010225E-2</c:v>
                </c:pt>
                <c:pt idx="230">
                  <c:v>7.9353941688258711E-2</c:v>
                </c:pt>
                <c:pt idx="231">
                  <c:v>7.9391795953446934E-2</c:v>
                </c:pt>
                <c:pt idx="232">
                  <c:v>7.9429364115125828E-2</c:v>
                </c:pt>
                <c:pt idx="233">
                  <c:v>7.9466636186386344E-2</c:v>
                </c:pt>
                <c:pt idx="234">
                  <c:v>7.9503601731896328E-2</c:v>
                </c:pt>
                <c:pt idx="235">
                  <c:v>7.9540249890441644E-2</c:v>
                </c:pt>
                <c:pt idx="236">
                  <c:v>7.9576569389014737E-2</c:v>
                </c:pt>
                <c:pt idx="237">
                  <c:v>7.961254854863628E-2</c:v>
                </c:pt>
                <c:pt idx="238">
                  <c:v>7.9648175282235473E-2</c:v>
                </c:pt>
                <c:pt idx="239">
                  <c:v>7.9683437085050587E-2</c:v>
                </c:pt>
                <c:pt idx="240">
                  <c:v>7.9718321018142205E-2</c:v>
                </c:pt>
                <c:pt idx="241">
                  <c:v>7.9752813685734406E-2</c:v>
                </c:pt>
                <c:pt idx="242">
                  <c:v>7.9786901207214905E-2</c:v>
                </c:pt>
                <c:pt idx="243">
                  <c:v>7.9820569184729392E-2</c:v>
                </c:pt>
                <c:pt idx="244">
                  <c:v>7.985380266739929E-2</c:v>
                </c:pt>
                <c:pt idx="245">
                  <c:v>7.9886586113273539E-2</c:v>
                </c:pt>
                <c:pt idx="246">
                  <c:v>7.9918903350191875E-2</c:v>
                </c:pt>
                <c:pt idx="247">
                  <c:v>7.9950737536791175E-2</c:v>
                </c:pt>
                <c:pt idx="248">
                  <c:v>7.9982071124923768E-2</c:v>
                </c:pt>
                <c:pt idx="249">
                  <c:v>8.0012885824778932E-2</c:v>
                </c:pt>
                <c:pt idx="250">
                  <c:v>8.004316257400472E-2</c:v>
                </c:pt>
                <c:pt idx="251">
                  <c:v>8.0072881512116695E-2</c:v>
                </c:pt>
                <c:pt idx="252">
                  <c:v>8.0102021961452496E-2</c:v>
                </c:pt>
                <c:pt idx="253">
                  <c:v>8.0130562415888368E-2</c:v>
                </c:pt>
                <c:pt idx="254">
                  <c:v>8.0158480538472951E-2</c:v>
                </c:pt>
                <c:pt idx="255">
                  <c:v>8.0185753169058571E-2</c:v>
                </c:pt>
                <c:pt idx="256">
                  <c:v>8.021235634292001E-2</c:v>
                </c:pt>
                <c:pt idx="257">
                  <c:v>8.0238265321244576E-2</c:v>
                </c:pt>
                <c:pt idx="258">
                  <c:v>8.0263454634260878E-2</c:v>
                </c:pt>
                <c:pt idx="259">
                  <c:v>8.0287898137641686E-2</c:v>
                </c:pt>
                <c:pt idx="260">
                  <c:v>8.0311569082676573E-2</c:v>
                </c:pt>
                <c:pt idx="261">
                  <c:v>8.0334440200558341E-2</c:v>
                </c:pt>
                <c:pt idx="262">
                  <c:v>8.0356483800969561E-2</c:v>
                </c:pt>
                <c:pt idx="263">
                  <c:v>8.0377671884989788E-2</c:v>
                </c:pt>
                <c:pt idx="264">
                  <c:v>8.0397976272175861E-2</c:v>
                </c:pt>
                <c:pt idx="265">
                  <c:v>8.041736874149423E-2</c:v>
                </c:pt>
                <c:pt idx="266">
                  <c:v>8.0435821185612058E-2</c:v>
                </c:pt>
                <c:pt idx="267">
                  <c:v>8.0453305777880665E-2</c:v>
                </c:pt>
                <c:pt idx="268">
                  <c:v>8.0469795151176332E-2</c:v>
                </c:pt>
                <c:pt idx="269">
                  <c:v>8.0485262587597819E-2</c:v>
                </c:pt>
                <c:pt idx="270">
                  <c:v>8.0499682217861343E-2</c:v>
                </c:pt>
                <c:pt idx="271">
                  <c:v>8.0513029229084571E-2</c:v>
                </c:pt>
                <c:pt idx="272">
                  <c:v>8.0525280079509737E-2</c:v>
                </c:pt>
                <c:pt idx="273">
                  <c:v>8.0536412718587747E-2</c:v>
                </c:pt>
                <c:pt idx="274">
                  <c:v>8.0546406810730192E-2</c:v>
                </c:pt>
                <c:pt idx="275">
                  <c:v>8.055524396093415E-2</c:v>
                </c:pt>
                <c:pt idx="276">
                  <c:v>8.0562907940400205E-2</c:v>
                </c:pt>
                <c:pt idx="277">
                  <c:v>8.0569384910196148E-2</c:v>
                </c:pt>
                <c:pt idx="278">
                  <c:v>8.0574663640967367E-2</c:v>
                </c:pt>
                <c:pt idx="279">
                  <c:v>8.0578735726665449E-2</c:v>
                </c:pt>
                <c:pt idx="280">
                  <c:v>8.0581595790251967E-2</c:v>
                </c:pt>
                <c:pt idx="281">
                  <c:v>8.0583241679344331E-2</c:v>
                </c:pt>
                <c:pt idx="282">
                  <c:v>8.0583674649796419E-2</c:v>
                </c:pt>
                <c:pt idx="283">
                  <c:v>8.0582899535255714E-2</c:v>
                </c:pt>
                <c:pt idx="284">
                  <c:v>8.0580924900805193E-2</c:v>
                </c:pt>
                <c:pt idx="285">
                  <c:v>8.0577763178886042E-2</c:v>
                </c:pt>
                <c:pt idx="286">
                  <c:v>8.0573430785802869E-2</c:v>
                </c:pt>
                <c:pt idx="287">
                  <c:v>8.0567948217237159E-2</c:v>
                </c:pt>
                <c:pt idx="288">
                  <c:v>8.0561340121336186E-2</c:v>
                </c:pt>
                <c:pt idx="289">
                  <c:v>8.0553635348102254E-2</c:v>
                </c:pt>
                <c:pt idx="290">
                  <c:v>8.0544866973978571E-2</c:v>
                </c:pt>
                <c:pt idx="291">
                  <c:v>8.0535072300714342E-2</c:v>
                </c:pt>
                <c:pt idx="292">
                  <c:v>8.0524292827788349E-2</c:v>
                </c:pt>
                <c:pt idx="293">
                  <c:v>8.0512574197877357E-2</c:v>
                </c:pt>
                <c:pt idx="294">
                  <c:v>8.0499966115071389E-2</c:v>
                </c:pt>
                <c:pt idx="295">
                  <c:v>8.0486522235758529E-2</c:v>
                </c:pt>
                <c:pt idx="296">
                  <c:v>8.0472300032328095E-2</c:v>
                </c:pt>
                <c:pt idx="297">
                  <c:v>8.0457360630068295E-2</c:v>
                </c:pt>
                <c:pt idx="298">
                  <c:v>8.0441768617861772E-2</c:v>
                </c:pt>
                <c:pt idx="299">
                  <c:v>8.0425591833508309E-2</c:v>
                </c:pt>
                <c:pt idx="300">
                  <c:v>8.0408901124724402E-2</c:v>
                </c:pt>
                <c:pt idx="301">
                  <c:v>8.0391770087084313E-2</c:v>
                </c:pt>
                <c:pt idx="302">
                  <c:v>8.037427478037304E-2</c:v>
                </c:pt>
                <c:pt idx="303">
                  <c:v>8.0356493425017911E-2</c:v>
                </c:pt>
                <c:pt idx="304">
                  <c:v>8.0338506080447805E-2</c:v>
                </c:pt>
                <c:pt idx="305">
                  <c:v>8.0320394307399082E-2</c:v>
                </c:pt>
                <c:pt idx="306">
                  <c:v>8.0302240816339993E-2</c:v>
                </c:pt>
                <c:pt idx="307">
                  <c:v>8.0284129104322019E-2</c:v>
                </c:pt>
                <c:pt idx="308">
                  <c:v>8.0266143082682456E-2</c:v>
                </c:pt>
                <c:pt idx="309">
                  <c:v>8.0248366698122089E-2</c:v>
                </c:pt>
                <c:pt idx="310">
                  <c:v>8.023088354975566E-2</c:v>
                </c:pt>
                <c:pt idx="311">
                  <c:v>8.0213776504789724E-2</c:v>
                </c:pt>
                <c:pt idx="312">
                  <c:v>8.0197127315513178E-2</c:v>
                </c:pt>
                <c:pt idx="313">
                  <c:v>8.018101624029593E-2</c:v>
                </c:pt>
                <c:pt idx="314">
                  <c:v>8.0165521671277579E-2</c:v>
                </c:pt>
                <c:pt idx="315">
                  <c:v>8.0150719771391099E-2</c:v>
                </c:pt>
                <c:pt idx="316">
                  <c:v>8.0136684123307614E-2</c:v>
                </c:pt>
                <c:pt idx="317">
                  <c:v>8.0123485392806754E-2</c:v>
                </c:pt>
                <c:pt idx="318">
                  <c:v>8.0111191008973084E-2</c:v>
                </c:pt>
                <c:pt idx="319">
                  <c:v>8.0099864863496711E-2</c:v>
                </c:pt>
                <c:pt idx="320">
                  <c:v>8.0089567031210229E-2</c:v>
                </c:pt>
                <c:pt idx="321">
                  <c:v>8.008035351383419E-2</c:v>
                </c:pt>
                <c:pt idx="322">
                  <c:v>8.0072276008722063E-2</c:v>
                </c:pt>
                <c:pt idx="323">
                  <c:v>8.0065381704202299E-2</c:v>
                </c:pt>
                <c:pt idx="324">
                  <c:v>8.0059713102905813E-2</c:v>
                </c:pt>
                <c:pt idx="325">
                  <c:v>8.0055307874247056E-2</c:v>
                </c:pt>
                <c:pt idx="326">
                  <c:v>8.0052198736996538E-2</c:v>
                </c:pt>
                <c:pt idx="327">
                  <c:v>8.0050413372644694E-2</c:v>
                </c:pt>
                <c:pt idx="328">
                  <c:v>8.004997437001253E-2</c:v>
                </c:pt>
                <c:pt idx="329">
                  <c:v>8.0050899201317943E-2</c:v>
                </c:pt>
                <c:pt idx="330">
                  <c:v>8.0053200229657215E-2</c:v>
                </c:pt>
                <c:pt idx="331">
                  <c:v>8.0056884747613924E-2</c:v>
                </c:pt>
                <c:pt idx="332">
                  <c:v>8.0061955046462463E-2</c:v>
                </c:pt>
                <c:pt idx="333">
                  <c:v>8.0068408515194867E-2</c:v>
                </c:pt>
                <c:pt idx="334">
                  <c:v>8.007623776836699E-2</c:v>
                </c:pt>
                <c:pt idx="335">
                  <c:v>8.0085430801538696E-2</c:v>
                </c:pt>
                <c:pt idx="336">
                  <c:v>8.0095971172871608E-2</c:v>
                </c:pt>
                <c:pt idx="337">
                  <c:v>8.0107838209250617E-2</c:v>
                </c:pt>
                <c:pt idx="338">
                  <c:v>8.0121007235113589E-2</c:v>
                </c:pt>
                <c:pt idx="339">
                  <c:v>8.0135449822007807E-2</c:v>
                </c:pt>
                <c:pt idx="340">
                  <c:v>8.0151134056743983E-2</c:v>
                </c:pt>
                <c:pt idx="341">
                  <c:v>8.0168024825891804E-2</c:v>
                </c:pt>
                <c:pt idx="342">
                  <c:v>8.0186084114251363E-2</c:v>
                </c:pt>
                <c:pt idx="343">
                  <c:v>8.020527131485039E-2</c:v>
                </c:pt>
                <c:pt idx="344">
                  <c:v>8.0225543547951292E-2</c:v>
                </c:pt>
                <c:pt idx="345">
                  <c:v>8.0246855986510338E-2</c:v>
                </c:pt>
                <c:pt idx="346">
                  <c:v>8.0269162185511972E-2</c:v>
                </c:pt>
                <c:pt idx="347">
                  <c:v>8.0292414412603971E-2</c:v>
                </c:pt>
                <c:pt idx="348">
                  <c:v>8.0316563977485059E-2</c:v>
                </c:pt>
                <c:pt idx="349">
                  <c:v>8.0341561557543573E-2</c:v>
                </c:pt>
                <c:pt idx="350">
                  <c:v>8.0367357517315594E-2</c:v>
                </c:pt>
                <c:pt idx="351">
                  <c:v>8.0393902219419944E-2</c:v>
                </c:pt>
                <c:pt idx="352">
                  <c:v>8.0421146324736875E-2</c:v>
                </c:pt>
                <c:pt idx="353">
                  <c:v>8.0449041079725184E-2</c:v>
                </c:pt>
                <c:pt idx="354">
                  <c:v>8.0477538588917291E-2</c:v>
                </c:pt>
                <c:pt idx="355">
                  <c:v>8.0506592070792193E-2</c:v>
                </c:pt>
                <c:pt idx="356">
                  <c:v>8.0536156095400643E-2</c:v>
                </c:pt>
                <c:pt idx="357">
                  <c:v>8.0566186802304054E-2</c:v>
                </c:pt>
                <c:pt idx="358">
                  <c:v>8.0596642097585408E-2</c:v>
                </c:pt>
                <c:pt idx="359">
                  <c:v>8.0627481828895953E-2</c:v>
                </c:pt>
                <c:pt idx="360">
                  <c:v>8.0658667937714021E-2</c:v>
                </c:pt>
                <c:pt idx="361">
                  <c:v>8.0690164588208435E-2</c:v>
                </c:pt>
                <c:pt idx="362">
                  <c:v>8.0721938272317453E-2</c:v>
                </c:pt>
                <c:pt idx="363">
                  <c:v>8.0753957890874348E-2</c:v>
                </c:pt>
                <c:pt idx="364">
                  <c:v>8.0786194810826384E-2</c:v>
                </c:pt>
                <c:pt idx="365">
                  <c:v>8.081862289880927E-2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4.4364296909716266E-4</c:v>
                </c:pt>
                <c:pt idx="1">
                  <c:v>4.3904060255740547E-4</c:v>
                </c:pt>
                <c:pt idx="2">
                  <c:v>4.3495150807742685E-4</c:v>
                </c:pt>
                <c:pt idx="3">
                  <c:v>4.3138632063193964E-4</c:v>
                </c:pt>
                <c:pt idx="4">
                  <c:v>4.283542759610866E-4</c:v>
                </c:pt>
                <c:pt idx="5">
                  <c:v>4.2586349226516945E-4</c:v>
                </c:pt>
                <c:pt idx="6">
                  <c:v>4.2392125124824487E-4</c:v>
                </c:pt>
                <c:pt idx="7">
                  <c:v>4.2253427651942603E-4</c:v>
                </c:pt>
                <c:pt idx="8">
                  <c:v>4.2166196071148106E-4</c:v>
                </c:pt>
                <c:pt idx="9">
                  <c:v>4.20704138253755E-4</c:v>
                </c:pt>
                <c:pt idx="10">
                  <c:v>4.1946977917560734E-4</c:v>
                </c:pt>
                <c:pt idx="11">
                  <c:v>4.179584355177575E-4</c:v>
                </c:pt>
                <c:pt idx="12">
                  <c:v>4.1616994999380501E-4</c:v>
                </c:pt>
                <c:pt idx="13">
                  <c:v>4.1410446965000123E-4</c:v>
                </c:pt>
                <c:pt idx="14">
                  <c:v>4.1176245697986815E-4</c:v>
                </c:pt>
                <c:pt idx="15">
                  <c:v>4.0906599621311007E-4</c:v>
                </c:pt>
                <c:pt idx="16">
                  <c:v>4.0573724759529136E-4</c:v>
                </c:pt>
                <c:pt idx="17">
                  <c:v>4.0178836557708877E-4</c:v>
                </c:pt>
                <c:pt idx="18">
                  <c:v>3.9723210327125805E-4</c:v>
                </c:pt>
                <c:pt idx="19">
                  <c:v>3.9208402486278599E-4</c:v>
                </c:pt>
                <c:pt idx="20">
                  <c:v>3.8636118452899988E-4</c:v>
                </c:pt>
                <c:pt idx="21">
                  <c:v>3.8007943250457601E-4</c:v>
                </c:pt>
                <c:pt idx="22">
                  <c:v>3.7323693379462251E-4</c:v>
                </c:pt>
                <c:pt idx="23">
                  <c:v>3.6618515019704544E-4</c:v>
                </c:pt>
                <c:pt idx="24">
                  <c:v>3.5942872263535803E-4</c:v>
                </c:pt>
                <c:pt idx="25">
                  <c:v>3.5297832521839556E-4</c:v>
                </c:pt>
                <c:pt idx="26">
                  <c:v>3.4684296193490021E-4</c:v>
                </c:pt>
                <c:pt idx="27">
                  <c:v>3.4103013535034127E-4</c:v>
                </c:pt>
                <c:pt idx="28">
                  <c:v>3.3554601691297849E-4</c:v>
                </c:pt>
                <c:pt idx="29">
                  <c:v>3.3049605876476156E-4</c:v>
                </c:pt>
                <c:pt idx="30">
                  <c:v>3.2594543332326042E-4</c:v>
                </c:pt>
                <c:pt idx="31">
                  <c:v>3.2189148098499298E-4</c:v>
                </c:pt>
                <c:pt idx="32">
                  <c:v>3.1833101189888675E-4</c:v>
                </c:pt>
                <c:pt idx="33">
                  <c:v>3.152604919612141E-4</c:v>
                </c:pt>
                <c:pt idx="34">
                  <c:v>3.1267621633831891E-4</c:v>
                </c:pt>
                <c:pt idx="35">
                  <c:v>3.105744711534738E-4</c:v>
                </c:pt>
                <c:pt idx="36">
                  <c:v>3.0891877756395066E-4</c:v>
                </c:pt>
                <c:pt idx="37">
                  <c:v>3.0773863955906613E-4</c:v>
                </c:pt>
                <c:pt idx="38">
                  <c:v>3.067305149434167E-4</c:v>
                </c:pt>
                <c:pt idx="39">
                  <c:v>3.0589448126112131E-4</c:v>
                </c:pt>
                <c:pt idx="40">
                  <c:v>3.0523053337596354E-4</c:v>
                </c:pt>
                <c:pt idx="41">
                  <c:v>3.0473861550731562E-4</c:v>
                </c:pt>
                <c:pt idx="42">
                  <c:v>3.044186520533643E-4</c:v>
                </c:pt>
                <c:pt idx="43">
                  <c:v>3.0437136615435348E-4</c:v>
                </c:pt>
                <c:pt idx="44">
                  <c:v>3.0450593700332438E-4</c:v>
                </c:pt>
                <c:pt idx="45">
                  <c:v>3.0482199509729269E-4</c:v>
                </c:pt>
                <c:pt idx="46">
                  <c:v>3.0531927139547242E-4</c:v>
                </c:pt>
                <c:pt idx="47">
                  <c:v>3.059976230827137E-4</c:v>
                </c:pt>
                <c:pt idx="48">
                  <c:v>3.0685705854708662E-4</c:v>
                </c:pt>
                <c:pt idx="49">
                  <c:v>3.07897761791458E-4</c:v>
                </c:pt>
                <c:pt idx="50">
                  <c:v>3.0911222144233436E-4</c:v>
                </c:pt>
                <c:pt idx="51">
                  <c:v>3.1017659159379918E-4</c:v>
                </c:pt>
                <c:pt idx="52">
                  <c:v>3.110323515617755E-4</c:v>
                </c:pt>
                <c:pt idx="53">
                  <c:v>3.1168160765585707E-4</c:v>
                </c:pt>
                <c:pt idx="54">
                  <c:v>3.1212787441402799E-4</c:v>
                </c:pt>
                <c:pt idx="55">
                  <c:v>3.1237456068483165E-4</c:v>
                </c:pt>
                <c:pt idx="56">
                  <c:v>3.124249857195315E-4</c:v>
                </c:pt>
                <c:pt idx="57">
                  <c:v>3.1153054133639283E-4</c:v>
                </c:pt>
                <c:pt idx="58">
                  <c:v>3.0961920203441694E-4</c:v>
                </c:pt>
                <c:pt idx="59">
                  <c:v>3.0670992155385217E-4</c:v>
                </c:pt>
                <c:pt idx="60">
                  <c:v>3.0282101564782363E-4</c:v>
                </c:pt>
                <c:pt idx="61">
                  <c:v>2.9797019898910606E-4</c:v>
                </c:pt>
                <c:pt idx="62">
                  <c:v>2.9217461483555473E-4</c:v>
                </c:pt>
                <c:pt idx="63">
                  <c:v>2.8545085780846399E-4</c:v>
                </c:pt>
                <c:pt idx="64">
                  <c:v>2.7781249603627163E-4</c:v>
                </c:pt>
                <c:pt idx="65">
                  <c:v>2.6929223872118423E-4</c:v>
                </c:pt>
                <c:pt idx="66">
                  <c:v>2.6019191054353717E-4</c:v>
                </c:pt>
                <c:pt idx="67">
                  <c:v>2.5052267298361256E-4</c:v>
                </c:pt>
                <c:pt idx="68">
                  <c:v>2.4029492827282552E-4</c:v>
                </c:pt>
                <c:pt idx="69">
                  <c:v>2.2951827096330784E-4</c:v>
                </c:pt>
                <c:pt idx="70">
                  <c:v>2.1820143990260396E-4</c:v>
                </c:pt>
                <c:pt idx="71">
                  <c:v>2.067804651974915E-4</c:v>
                </c:pt>
                <c:pt idx="72">
                  <c:v>1.9594393365579934E-4</c:v>
                </c:pt>
                <c:pt idx="73">
                  <c:v>1.8568093481625256E-4</c:v>
                </c:pt>
                <c:pt idx="74">
                  <c:v>1.7598066654613012E-4</c:v>
                </c:pt>
                <c:pt idx="75">
                  <c:v>1.6683246671395625E-4</c:v>
                </c:pt>
                <c:pt idx="76">
                  <c:v>1.5822584409894806E-4</c:v>
                </c:pt>
                <c:pt idx="77">
                  <c:v>1.5015050843491447E-4</c:v>
                </c:pt>
                <c:pt idx="78">
                  <c:v>1.4258972169427047E-4</c:v>
                </c:pt>
                <c:pt idx="79">
                  <c:v>1.3558202651525541E-4</c:v>
                </c:pt>
                <c:pt idx="80">
                  <c:v>1.2910717483128088E-4</c:v>
                </c:pt>
                <c:pt idx="81">
                  <c:v>1.2315896946254399E-4</c:v>
                </c:pt>
                <c:pt idx="82">
                  <c:v>1.177312333898486E-4</c:v>
                </c:pt>
                <c:pt idx="83">
                  <c:v>1.1281790259725855E-4</c:v>
                </c:pt>
                <c:pt idx="84">
                  <c:v>1.0841311528091001E-4</c:v>
                </c:pt>
                <c:pt idx="85">
                  <c:v>1.0462579714053314E-4</c:v>
                </c:pt>
                <c:pt idx="86">
                  <c:v>1.010484376147496E-4</c:v>
                </c:pt>
                <c:pt idx="87">
                  <c:v>9.767921260456107E-5</c:v>
                </c:pt>
                <c:pt idx="88">
                  <c:v>9.4516386191119273E-5</c:v>
                </c:pt>
                <c:pt idx="89">
                  <c:v>9.155834726528175E-5</c:v>
                </c:pt>
                <c:pt idx="90">
                  <c:v>8.8803645415009547E-5</c:v>
                </c:pt>
                <c:pt idx="91">
                  <c:v>8.6251026284440117E-5</c:v>
                </c:pt>
                <c:pt idx="92">
                  <c:v>8.3898382397588843E-5</c:v>
                </c:pt>
                <c:pt idx="93">
                  <c:v>8.2121818805267277E-5</c:v>
                </c:pt>
                <c:pt idx="94">
                  <c:v>8.0865949189769663E-5</c:v>
                </c:pt>
                <c:pt idx="95">
                  <c:v>8.0128947674238443E-5</c:v>
                </c:pt>
                <c:pt idx="96">
                  <c:v>7.9909967029876528E-5</c:v>
                </c:pt>
                <c:pt idx="97">
                  <c:v>8.0209099713927711E-5</c:v>
                </c:pt>
                <c:pt idx="98">
                  <c:v>8.1027340943516714E-5</c:v>
                </c:pt>
                <c:pt idx="99">
                  <c:v>8.3162631764465423E-5</c:v>
                </c:pt>
                <c:pt idx="100">
                  <c:v>8.6505888091957788E-5</c:v>
                </c:pt>
                <c:pt idx="101">
                  <c:v>9.1064457260752517E-5</c:v>
                </c:pt>
                <c:pt idx="102">
                  <c:v>9.6847457946092793E-5</c:v>
                </c:pt>
                <c:pt idx="103">
                  <c:v>1.0386569877160384E-4</c:v>
                </c:pt>
                <c:pt idx="104">
                  <c:v>1.1213159528381337E-4</c:v>
                </c:pt>
                <c:pt idx="105">
                  <c:v>1.2165908441348747E-4</c:v>
                </c:pt>
                <c:pt idx="106">
                  <c:v>1.324660878247414E-4</c:v>
                </c:pt>
                <c:pt idx="107">
                  <c:v>1.4537729135888415E-4</c:v>
                </c:pt>
                <c:pt idx="108">
                  <c:v>1.600341072225668E-4</c:v>
                </c:pt>
                <c:pt idx="109">
                  <c:v>1.7646584675163325E-4</c:v>
                </c:pt>
                <c:pt idx="110">
                  <c:v>1.9470527456476653E-4</c:v>
                </c:pt>
                <c:pt idx="111">
                  <c:v>2.1478835426887898E-4</c:v>
                </c:pt>
                <c:pt idx="112">
                  <c:v>2.3675368018861791E-4</c:v>
                </c:pt>
                <c:pt idx="113">
                  <c:v>2.610891355901874E-4</c:v>
                </c:pt>
                <c:pt idx="114">
                  <c:v>2.8700991892939337E-4</c:v>
                </c:pt>
                <c:pt idx="115">
                  <c:v>3.145583580199063E-4</c:v>
                </c:pt>
                <c:pt idx="116">
                  <c:v>3.437793689595741E-4</c:v>
                </c:pt>
                <c:pt idx="117">
                  <c:v>3.7472048068498004E-4</c:v>
                </c:pt>
                <c:pt idx="118">
                  <c:v>4.0743185518693481E-4</c:v>
                </c:pt>
                <c:pt idx="119">
                  <c:v>4.4196630307491772E-4</c:v>
                </c:pt>
                <c:pt idx="120">
                  <c:v>4.78382776671268E-4</c:v>
                </c:pt>
                <c:pt idx="121">
                  <c:v>5.1717635135704963E-4</c:v>
                </c:pt>
                <c:pt idx="122">
                  <c:v>5.5754295060519781E-4</c:v>
                </c:pt>
                <c:pt idx="123">
                  <c:v>5.9953278678117413E-4</c:v>
                </c:pt>
                <c:pt idx="124">
                  <c:v>6.4319670777418568E-4</c:v>
                </c:pt>
                <c:pt idx="125">
                  <c:v>6.8858604686187184E-4</c:v>
                </c:pt>
                <c:pt idx="126">
                  <c:v>7.3575245821371502E-4</c:v>
                </c:pt>
                <c:pt idx="127">
                  <c:v>7.848040997384528E-4</c:v>
                </c:pt>
                <c:pt idx="128">
                  <c:v>8.3529764988877749E-4</c:v>
                </c:pt>
                <c:pt idx="129">
                  <c:v>8.8727226468964806E-4</c:v>
                </c:pt>
                <c:pt idx="130">
                  <c:v>9.4076592406037887E-4</c:v>
                </c:pt>
                <c:pt idx="131">
                  <c:v>9.9581522818043542E-4</c:v>
                </c:pt>
                <c:pt idx="132">
                  <c:v>1.0524551834720354E-3</c:v>
                </c:pt>
                <c:pt idx="133">
                  <c:v>1.1107189785671298E-3</c:v>
                </c:pt>
                <c:pt idx="134">
                  <c:v>1.1706581602854065E-3</c:v>
                </c:pt>
                <c:pt idx="135">
                  <c:v>1.2322789533264252E-3</c:v>
                </c:pt>
                <c:pt idx="136">
                  <c:v>1.2951195070411232E-3</c:v>
                </c:pt>
                <c:pt idx="137">
                  <c:v>1.3591975783816233E-3</c:v>
                </c:pt>
                <c:pt idx="138">
                  <c:v>1.4245284870746688E-3</c:v>
                </c:pt>
                <c:pt idx="139">
                  <c:v>1.4911249738006102E-3</c:v>
                </c:pt>
                <c:pt idx="140">
                  <c:v>1.5589970619986052E-3</c:v>
                </c:pt>
                <c:pt idx="141">
                  <c:v>1.6282387480151968E-3</c:v>
                </c:pt>
                <c:pt idx="142">
                  <c:v>1.6987915709066833E-3</c:v>
                </c:pt>
                <c:pt idx="143">
                  <c:v>1.77065474525546E-3</c:v>
                </c:pt>
                <c:pt idx="144">
                  <c:v>1.8438343894606377E-3</c:v>
                </c:pt>
                <c:pt idx="145">
                  <c:v>1.9183340519450369E-3</c:v>
                </c:pt>
                <c:pt idx="146">
                  <c:v>1.9941546334461386E-3</c:v>
                </c:pt>
                <c:pt idx="147">
                  <c:v>2.0712943200335622E-3</c:v>
                </c:pt>
                <c:pt idx="148">
                  <c:v>2.1497498205945158E-3</c:v>
                </c:pt>
                <c:pt idx="149">
                  <c:v>2.2286095795075742E-3</c:v>
                </c:pt>
                <c:pt idx="150">
                  <c:v>2.3079195248927663E-3</c:v>
                </c:pt>
                <c:pt idx="151">
                  <c:v>2.3876561661703272E-3</c:v>
                </c:pt>
                <c:pt idx="152">
                  <c:v>2.4677944351209099E-3</c:v>
                </c:pt>
                <c:pt idx="153">
                  <c:v>2.5483077989038715E-3</c:v>
                </c:pt>
                <c:pt idx="154">
                  <c:v>2.6291683869578554E-3</c:v>
                </c:pt>
                <c:pt idx="155">
                  <c:v>2.708355401916929E-3</c:v>
                </c:pt>
                <c:pt idx="156">
                  <c:v>2.7856332718444975E-3</c:v>
                </c:pt>
                <c:pt idx="157">
                  <c:v>2.8608867673377233E-3</c:v>
                </c:pt>
                <c:pt idx="158">
                  <c:v>2.9339993581404206E-3</c:v>
                </c:pt>
                <c:pt idx="159">
                  <c:v>3.0048535941937897E-3</c:v>
                </c:pt>
                <c:pt idx="160">
                  <c:v>3.0733314916271373E-3</c:v>
                </c:pt>
                <c:pt idx="161">
                  <c:v>3.1393149191100999E-3</c:v>
                </c:pt>
                <c:pt idx="162">
                  <c:v>3.2027219447838466E-3</c:v>
                </c:pt>
                <c:pt idx="163">
                  <c:v>3.2622152698954408E-3</c:v>
                </c:pt>
                <c:pt idx="164">
                  <c:v>3.3186732154871445E-3</c:v>
                </c:pt>
                <c:pt idx="165">
                  <c:v>3.3719578043903734E-3</c:v>
                </c:pt>
                <c:pt idx="166">
                  <c:v>3.4219307731138716E-3</c:v>
                </c:pt>
                <c:pt idx="167">
                  <c:v>3.4684541118297544E-3</c:v>
                </c:pt>
                <c:pt idx="168">
                  <c:v>3.5113906018362038E-3</c:v>
                </c:pt>
                <c:pt idx="169">
                  <c:v>3.5493276294617762E-3</c:v>
                </c:pt>
                <c:pt idx="170">
                  <c:v>3.5844761438040794E-3</c:v>
                </c:pt>
                <c:pt idx="171">
                  <c:v>3.6167596461598559E-3</c:v>
                </c:pt>
                <c:pt idx="172">
                  <c:v>3.6461038156901074E-3</c:v>
                </c:pt>
                <c:pt idx="173">
                  <c:v>3.6723992041870425E-3</c:v>
                </c:pt>
                <c:pt idx="174">
                  <c:v>3.695536073419394E-3</c:v>
                </c:pt>
                <c:pt idx="175">
                  <c:v>3.7154438870514038E-3</c:v>
                </c:pt>
                <c:pt idx="176">
                  <c:v>3.732124805517541E-3</c:v>
                </c:pt>
                <c:pt idx="177">
                  <c:v>3.7430803035226356E-3</c:v>
                </c:pt>
                <c:pt idx="178">
                  <c:v>3.7495400949508336E-3</c:v>
                </c:pt>
                <c:pt idx="179">
                  <c:v>3.7514288159848524E-3</c:v>
                </c:pt>
                <c:pt idx="180">
                  <c:v>3.7486760107679389E-3</c:v>
                </c:pt>
                <c:pt idx="181">
                  <c:v>3.7412160746000209E-3</c:v>
                </c:pt>
                <c:pt idx="182">
                  <c:v>3.7289881588444831E-3</c:v>
                </c:pt>
                <c:pt idx="183">
                  <c:v>3.7107496185560672E-3</c:v>
                </c:pt>
                <c:pt idx="184">
                  <c:v>3.6877794269654708E-3</c:v>
                </c:pt>
                <c:pt idx="185">
                  <c:v>3.660023457267533E-3</c:v>
                </c:pt>
                <c:pt idx="186">
                  <c:v>3.6274317578086864E-3</c:v>
                </c:pt>
                <c:pt idx="187">
                  <c:v>3.5899583236193278E-3</c:v>
                </c:pt>
                <c:pt idx="188">
                  <c:v>3.5475608433265166E-3</c:v>
                </c:pt>
                <c:pt idx="189">
                  <c:v>3.5002004247914088E-3</c:v>
                </c:pt>
                <c:pt idx="190">
                  <c:v>3.4478696623704511E-3</c:v>
                </c:pt>
                <c:pt idx="191">
                  <c:v>3.390799462082881E-3</c:v>
                </c:pt>
                <c:pt idx="192">
                  <c:v>3.3317608612529583E-3</c:v>
                </c:pt>
                <c:pt idx="193">
                  <c:v>3.270766894547558E-3</c:v>
                </c:pt>
                <c:pt idx="194">
                  <c:v>3.2078309830857426E-3</c:v>
                </c:pt>
                <c:pt idx="195">
                  <c:v>3.1429668139513513E-3</c:v>
                </c:pt>
                <c:pt idx="196">
                  <c:v>3.076188233022525E-3</c:v>
                </c:pt>
                <c:pt idx="197">
                  <c:v>3.0073550416263328E-3</c:v>
                </c:pt>
                <c:pt idx="198">
                  <c:v>2.9377442688659819E-3</c:v>
                </c:pt>
                <c:pt idx="199">
                  <c:v>2.8673798096496002E-3</c:v>
                </c:pt>
                <c:pt idx="200">
                  <c:v>2.7962850420327123E-3</c:v>
                </c:pt>
                <c:pt idx="201">
                  <c:v>2.724482802750808E-3</c:v>
                </c:pt>
                <c:pt idx="202">
                  <c:v>2.6519953770344864E-3</c:v>
                </c:pt>
                <c:pt idx="203">
                  <c:v>2.5788445022749871E-3</c:v>
                </c:pt>
                <c:pt idx="204">
                  <c:v>2.5050611733439259E-3</c:v>
                </c:pt>
                <c:pt idx="205">
                  <c:v>2.4307571021136704E-3</c:v>
                </c:pt>
                <c:pt idx="206">
                  <c:v>2.3556827190940803E-3</c:v>
                </c:pt>
                <c:pt idx="207">
                  <c:v>2.2798604170513165E-3</c:v>
                </c:pt>
                <c:pt idx="208">
                  <c:v>2.2033109806640829E-3</c:v>
                </c:pt>
                <c:pt idx="209">
                  <c:v>2.1260536021029557E-3</c:v>
                </c:pt>
                <c:pt idx="210">
                  <c:v>2.0481059054428975E-3</c:v>
                </c:pt>
                <c:pt idx="211">
                  <c:v>1.9703330481853822E-3</c:v>
                </c:pt>
                <c:pt idx="212">
                  <c:v>1.8929273724438483E-3</c:v>
                </c:pt>
                <c:pt idx="213">
                  <c:v>1.8159121121565014E-3</c:v>
                </c:pt>
                <c:pt idx="214">
                  <c:v>1.7393088604873914E-3</c:v>
                </c:pt>
                <c:pt idx="215">
                  <c:v>1.6631376594670624E-3</c:v>
                </c:pt>
                <c:pt idx="216">
                  <c:v>1.5874170898549081E-3</c:v>
                </c:pt>
                <c:pt idx="217">
                  <c:v>1.5121643601609654E-3</c:v>
                </c:pt>
                <c:pt idx="218">
                  <c:v>1.4373933482946907E-3</c:v>
                </c:pt>
                <c:pt idx="219">
                  <c:v>1.3640460344973495E-3</c:v>
                </c:pt>
                <c:pt idx="220">
                  <c:v>1.2920643966005283E-3</c:v>
                </c:pt>
                <c:pt idx="221">
                  <c:v>1.2214655897867504E-3</c:v>
                </c:pt>
                <c:pt idx="222">
                  <c:v>1.1522666967328805E-3</c:v>
                </c:pt>
                <c:pt idx="223">
                  <c:v>1.0844847753024417E-3</c:v>
                </c:pt>
                <c:pt idx="224">
                  <c:v>1.0181368990970243E-3</c:v>
                </c:pt>
                <c:pt idx="225">
                  <c:v>9.5497651372495446E-4</c:v>
                </c:pt>
                <c:pt idx="226">
                  <c:v>8.9414913761669962E-4</c:v>
                </c:pt>
                <c:pt idx="227">
                  <c:v>8.3567822160181867E-4</c:v>
                </c:pt>
                <c:pt idx="228">
                  <c:v>7.7958716057838272E-4</c:v>
                </c:pt>
                <c:pt idx="229">
                  <c:v>7.258992799707109E-4</c:v>
                </c:pt>
                <c:pt idx="230">
                  <c:v>6.7463781480222478E-4</c:v>
                </c:pt>
                <c:pt idx="231">
                  <c:v>6.2582588183615628E-4</c:v>
                </c:pt>
                <c:pt idx="232">
                  <c:v>5.794768784579083E-4</c:v>
                </c:pt>
                <c:pt idx="233">
                  <c:v>5.3739282006458452E-4</c:v>
                </c:pt>
                <c:pt idx="234">
                  <c:v>4.9864873871619084E-4</c:v>
                </c:pt>
                <c:pt idx="235">
                  <c:v>4.6327850002268907E-4</c:v>
                </c:pt>
                <c:pt idx="236">
                  <c:v>4.3131369783893021E-4</c:v>
                </c:pt>
                <c:pt idx="237">
                  <c:v>4.0278352772529574E-4</c:v>
                </c:pt>
                <c:pt idx="238">
                  <c:v>3.7771543909959619E-4</c:v>
                </c:pt>
                <c:pt idx="239">
                  <c:v>3.569843263292971E-4</c:v>
                </c:pt>
                <c:pt idx="240">
                  <c:v>3.3882530838216779E-4</c:v>
                </c:pt>
                <c:pt idx="241">
                  <c:v>3.2325693601883526E-4</c:v>
                </c:pt>
                <c:pt idx="242">
                  <c:v>3.1029724053678143E-4</c:v>
                </c:pt>
                <c:pt idx="243">
                  <c:v>2.9996397697752177E-4</c:v>
                </c:pt>
                <c:pt idx="244">
                  <c:v>2.9227487133629123E-4</c:v>
                </c:pt>
                <c:pt idx="245">
                  <c:v>2.8724787188397661E-4</c:v>
                </c:pt>
                <c:pt idx="246">
                  <c:v>2.8489039325563871E-4</c:v>
                </c:pt>
                <c:pt idx="247">
                  <c:v>2.8555717070855697E-4</c:v>
                </c:pt>
                <c:pt idx="248">
                  <c:v>2.8743210261348309E-4</c:v>
                </c:pt>
                <c:pt idx="249">
                  <c:v>2.9052417583150274E-4</c:v>
                </c:pt>
                <c:pt idx="250">
                  <c:v>2.9484236412087789E-4</c:v>
                </c:pt>
                <c:pt idx="251">
                  <c:v>3.0039569269990754E-4</c:v>
                </c:pt>
                <c:pt idx="252">
                  <c:v>3.0719330329211726E-4</c:v>
                </c:pt>
                <c:pt idx="253">
                  <c:v>3.1550814381346091E-4</c:v>
                </c:pt>
                <c:pt idx="254">
                  <c:v>3.2447708519950814E-4</c:v>
                </c:pt>
                <c:pt idx="255">
                  <c:v>3.3410655232856578E-4</c:v>
                </c:pt>
                <c:pt idx="256">
                  <c:v>3.4440322874328778E-4</c:v>
                </c:pt>
                <c:pt idx="257">
                  <c:v>3.5537409604817299E-4</c:v>
                </c:pt>
                <c:pt idx="258">
                  <c:v>3.6702647492525045E-4</c:v>
                </c:pt>
                <c:pt idx="259">
                  <c:v>3.7936806834090394E-4</c:v>
                </c:pt>
                <c:pt idx="260">
                  <c:v>3.9240169360258369E-4</c:v>
                </c:pt>
                <c:pt idx="261">
                  <c:v>4.0693952965534008E-4</c:v>
                </c:pt>
                <c:pt idx="262">
                  <c:v>4.2263159553235588E-4</c:v>
                </c:pt>
                <c:pt idx="263">
                  <c:v>4.3948464229815994E-4</c:v>
                </c:pt>
                <c:pt idx="264">
                  <c:v>4.5750531998135828E-4</c:v>
                </c:pt>
                <c:pt idx="265">
                  <c:v>4.7670267443151949E-4</c:v>
                </c:pt>
                <c:pt idx="266">
                  <c:v>4.9708468384770498E-4</c:v>
                </c:pt>
                <c:pt idx="267">
                  <c:v>5.1841845979703702E-4</c:v>
                </c:pt>
                <c:pt idx="268">
                  <c:v>5.4043400774501634E-4</c:v>
                </c:pt>
                <c:pt idx="269">
                  <c:v>5.6313253527394977E-4</c:v>
                </c:pt>
                <c:pt idx="270">
                  <c:v>5.8651486948413367E-4</c:v>
                </c:pt>
                <c:pt idx="271">
                  <c:v>6.1058143708221115E-4</c:v>
                </c:pt>
                <c:pt idx="272">
                  <c:v>6.3533224820254419E-4</c:v>
                </c:pt>
                <c:pt idx="273">
                  <c:v>6.6076688456734843E-4</c:v>
                </c:pt>
                <c:pt idx="274">
                  <c:v>6.8689483514852766E-4</c:v>
                </c:pt>
                <c:pt idx="275">
                  <c:v>7.1224782952311833E-4</c:v>
                </c:pt>
                <c:pt idx="276">
                  <c:v>7.3597505945190676E-4</c:v>
                </c:pt>
                <c:pt idx="277">
                  <c:v>7.5805906363659106E-4</c:v>
                </c:pt>
                <c:pt idx="278">
                  <c:v>7.7848197831720625E-4</c:v>
                </c:pt>
                <c:pt idx="279">
                  <c:v>7.9722568830482713E-4</c:v>
                </c:pt>
                <c:pt idx="280">
                  <c:v>8.1427197868283051E-4</c:v>
                </c:pt>
                <c:pt idx="281">
                  <c:v>8.2902409406317081E-4</c:v>
                </c:pt>
                <c:pt idx="282">
                  <c:v>8.4170862222855767E-4</c:v>
                </c:pt>
                <c:pt idx="283">
                  <c:v>8.5230630988242999E-4</c:v>
                </c:pt>
                <c:pt idx="284">
                  <c:v>8.6079851500853145E-4</c:v>
                </c:pt>
                <c:pt idx="285">
                  <c:v>8.67167365248756E-4</c:v>
                </c:pt>
                <c:pt idx="286">
                  <c:v>8.7139590895390451E-4</c:v>
                </c:pt>
                <c:pt idx="287">
                  <c:v>8.7346825761878012E-4</c:v>
                </c:pt>
                <c:pt idx="288">
                  <c:v>8.7337700710182374E-4</c:v>
                </c:pt>
                <c:pt idx="289">
                  <c:v>8.7113965131645156E-4</c:v>
                </c:pt>
                <c:pt idx="290">
                  <c:v>8.6827119928493089E-4</c:v>
                </c:pt>
                <c:pt idx="291">
                  <c:v>8.6477442735228313E-4</c:v>
                </c:pt>
                <c:pt idx="292">
                  <c:v>8.6065277986744097E-4</c:v>
                </c:pt>
                <c:pt idx="293">
                  <c:v>8.559103360238358E-4</c:v>
                </c:pt>
                <c:pt idx="294">
                  <c:v>8.5055176874665646E-4</c:v>
                </c:pt>
                <c:pt idx="295">
                  <c:v>8.4469041764561204E-4</c:v>
                </c:pt>
                <c:pt idx="296">
                  <c:v>8.3893468372012853E-4</c:v>
                </c:pt>
                <c:pt idx="297">
                  <c:v>8.3330004063038722E-4</c:v>
                </c:pt>
                <c:pt idx="298">
                  <c:v>8.2779530528376494E-4</c:v>
                </c:pt>
                <c:pt idx="299">
                  <c:v>8.2242967350586367E-4</c:v>
                </c:pt>
                <c:pt idx="300">
                  <c:v>8.1721271746729325E-4</c:v>
                </c:pt>
                <c:pt idx="301">
                  <c:v>8.1215438327145748E-4</c:v>
                </c:pt>
                <c:pt idx="302">
                  <c:v>8.0732882627870199E-4</c:v>
                </c:pt>
                <c:pt idx="303">
                  <c:v>8.0302979657367098E-4</c:v>
                </c:pt>
                <c:pt idx="304">
                  <c:v>7.9921747287991542E-4</c:v>
                </c:pt>
                <c:pt idx="305">
                  <c:v>7.9587118374682762E-4</c:v>
                </c:pt>
                <c:pt idx="306">
                  <c:v>7.9297041851962102E-4</c:v>
                </c:pt>
                <c:pt idx="307">
                  <c:v>7.9049461136251572E-4</c:v>
                </c:pt>
                <c:pt idx="308">
                  <c:v>7.8842293145065564E-4</c:v>
                </c:pt>
                <c:pt idx="309">
                  <c:v>7.8739664744849195E-4</c:v>
                </c:pt>
                <c:pt idx="310">
                  <c:v>7.8728787690109906E-4</c:v>
                </c:pt>
                <c:pt idx="311">
                  <c:v>7.880780668676824E-4</c:v>
                </c:pt>
                <c:pt idx="312">
                  <c:v>7.8974741906385039E-4</c:v>
                </c:pt>
                <c:pt idx="313">
                  <c:v>7.9227451738007957E-4</c:v>
                </c:pt>
                <c:pt idx="314">
                  <c:v>7.9563595339633968E-4</c:v>
                </c:pt>
                <c:pt idx="315">
                  <c:v>7.998059537881961E-4</c:v>
                </c:pt>
                <c:pt idx="316">
                  <c:v>8.0486970111720839E-4</c:v>
                </c:pt>
                <c:pt idx="317">
                  <c:v>8.1365940179520735E-4</c:v>
                </c:pt>
                <c:pt idx="318">
                  <c:v>8.2594870259613683E-4</c:v>
                </c:pt>
                <c:pt idx="319">
                  <c:v>8.4176055971813609E-4</c:v>
                </c:pt>
                <c:pt idx="320">
                  <c:v>8.6111847132887926E-4</c:v>
                </c:pt>
                <c:pt idx="321">
                  <c:v>8.8404620713514138E-4</c:v>
                </c:pt>
                <c:pt idx="322">
                  <c:v>9.1056748544356288E-4</c:v>
                </c:pt>
                <c:pt idx="323">
                  <c:v>9.4155174341739947E-4</c:v>
                </c:pt>
                <c:pt idx="324">
                  <c:v>9.7634126757708574E-4</c:v>
                </c:pt>
                <c:pt idx="325">
                  <c:v>1.0149585141222787E-3</c:v>
                </c:pt>
                <c:pt idx="326">
                  <c:v>1.0574173674269666E-3</c:v>
                </c:pt>
                <c:pt idx="327">
                  <c:v>1.1037324737964195E-3</c:v>
                </c:pt>
                <c:pt idx="328">
                  <c:v>1.1539204279320979E-3</c:v>
                </c:pt>
                <c:pt idx="329">
                  <c:v>1.2079940679942873E-3</c:v>
                </c:pt>
                <c:pt idx="330">
                  <c:v>1.2661780453113074E-3</c:v>
                </c:pt>
                <c:pt idx="331">
                  <c:v>1.3251261379778135E-3</c:v>
                </c:pt>
                <c:pt idx="332">
                  <c:v>1.3819750900075833E-3</c:v>
                </c:pt>
                <c:pt idx="333">
                  <c:v>1.4366506108361102E-3</c:v>
                </c:pt>
                <c:pt idx="334">
                  <c:v>1.4890588688437766E-3</c:v>
                </c:pt>
                <c:pt idx="335">
                  <c:v>1.5390870830600529E-3</c:v>
                </c:pt>
                <c:pt idx="336">
                  <c:v>1.5866043734501089E-3</c:v>
                </c:pt>
                <c:pt idx="337">
                  <c:v>1.6298147926606327E-3</c:v>
                </c:pt>
                <c:pt idx="338">
                  <c:v>1.6676554933110648E-3</c:v>
                </c:pt>
                <c:pt idx="339">
                  <c:v>1.6999299561949995E-3</c:v>
                </c:pt>
                <c:pt idx="340">
                  <c:v>1.726436241211549E-3</c:v>
                </c:pt>
                <c:pt idx="341">
                  <c:v>1.7469718924517594E-3</c:v>
                </c:pt>
                <c:pt idx="342">
                  <c:v>1.7613393533575559E-3</c:v>
                </c:pt>
                <c:pt idx="343">
                  <c:v>1.7693518288684198E-3</c:v>
                </c:pt>
                <c:pt idx="344">
                  <c:v>1.7710661872307539E-3</c:v>
                </c:pt>
                <c:pt idx="345">
                  <c:v>1.766664716010618E-3</c:v>
                </c:pt>
                <c:pt idx="346">
                  <c:v>1.760815365237366E-3</c:v>
                </c:pt>
                <c:pt idx="347">
                  <c:v>1.7535464567648459E-3</c:v>
                </c:pt>
                <c:pt idx="348">
                  <c:v>1.7448899957139819E-3</c:v>
                </c:pt>
                <c:pt idx="349">
                  <c:v>1.7348813854473376E-3</c:v>
                </c:pt>
                <c:pt idx="350">
                  <c:v>1.7235591208151744E-3</c:v>
                </c:pt>
                <c:pt idx="351">
                  <c:v>1.7119098254764638E-3</c:v>
                </c:pt>
                <c:pt idx="352">
                  <c:v>1.7016202314397843E-3</c:v>
                </c:pt>
                <c:pt idx="353">
                  <c:v>1.6927117608809593E-3</c:v>
                </c:pt>
                <c:pt idx="354">
                  <c:v>1.6852030881149699E-3</c:v>
                </c:pt>
                <c:pt idx="355">
                  <c:v>1.6791103042212549E-3</c:v>
                </c:pt>
                <c:pt idx="356">
                  <c:v>1.6744323796401789E-3</c:v>
                </c:pt>
                <c:pt idx="357">
                  <c:v>1.6711936087212933E-3</c:v>
                </c:pt>
                <c:pt idx="358">
                  <c:v>1.6690943408553291E-3</c:v>
                </c:pt>
                <c:pt idx="359">
                  <c:v>1.6678814399464668E-3</c:v>
                </c:pt>
                <c:pt idx="360">
                  <c:v>1.6660275090701151E-3</c:v>
                </c:pt>
                <c:pt idx="361">
                  <c:v>1.6627206682342137E-3</c:v>
                </c:pt>
                <c:pt idx="362">
                  <c:v>1.6580726979672437E-3</c:v>
                </c:pt>
                <c:pt idx="363">
                  <c:v>1.6521959749014497E-3</c:v>
                </c:pt>
                <c:pt idx="364">
                  <c:v>1.6452023080135993E-3</c:v>
                </c:pt>
                <c:pt idx="365">
                  <c:v>1.6372019344213634E-3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19048"/>
        <c:axId val="644419440"/>
      </c:lineChart>
      <c:dateAx>
        <c:axId val="644419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9440"/>
        <c:crosses val="autoZero"/>
        <c:auto val="1"/>
        <c:lblOffset val="100"/>
        <c:baseTimeUnit val="days"/>
        <c:majorUnit val="1"/>
        <c:majorTimeUnit val="months"/>
      </c:dateAx>
      <c:valAx>
        <c:axId val="64441944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19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26.364422198935763</c:v>
                </c:pt>
                <c:pt idx="1">
                  <c:v>26.558624257751628</c:v>
                </c:pt>
                <c:pt idx="2">
                  <c:v>26.758224517359036</c:v>
                </c:pt>
                <c:pt idx="3">
                  <c:v>26.961777868660608</c:v>
                </c:pt>
                <c:pt idx="4">
                  <c:v>27.167839576735123</c:v>
                </c:pt>
                <c:pt idx="5">
                  <c:v>27.374965275696589</c:v>
                </c:pt>
                <c:pt idx="6">
                  <c:v>27.581710974846597</c:v>
                </c:pt>
                <c:pt idx="7">
                  <c:v>27.786633059853056</c:v>
                </c:pt>
                <c:pt idx="8">
                  <c:v>27.99141242565997</c:v>
                </c:pt>
                <c:pt idx="9">
                  <c:v>28.198930675056591</c:v>
                </c:pt>
                <c:pt idx="10">
                  <c:v>28.409527728693089</c:v>
                </c:pt>
                <c:pt idx="11">
                  <c:v>28.623538081676728</c:v>
                </c:pt>
                <c:pt idx="12">
                  <c:v>28.84129609336323</c:v>
                </c:pt>
                <c:pt idx="13">
                  <c:v>29.063135995957026</c:v>
                </c:pt>
                <c:pt idx="14">
                  <c:v>29.289391895979229</c:v>
                </c:pt>
                <c:pt idx="15">
                  <c:v>29.520400099652409</c:v>
                </c:pt>
                <c:pt idx="16">
                  <c:v>29.75650283180698</c:v>
                </c:pt>
                <c:pt idx="17">
                  <c:v>29.998033781210459</c:v>
                </c:pt>
                <c:pt idx="18">
                  <c:v>30.245326521426762</c:v>
                </c:pt>
                <c:pt idx="19">
                  <c:v>30.49871444435043</c:v>
                </c:pt>
                <c:pt idx="20">
                  <c:v>30.758530803625927</c:v>
                </c:pt>
                <c:pt idx="21">
                  <c:v>31.025108802665542</c:v>
                </c:pt>
                <c:pt idx="22">
                  <c:v>31.300309040348175</c:v>
                </c:pt>
                <c:pt idx="23">
                  <c:v>31.585030163634556</c:v>
                </c:pt>
                <c:pt idx="24">
                  <c:v>31.878163452955143</c:v>
                </c:pt>
                <c:pt idx="25">
                  <c:v>32.178615797966081</c:v>
                </c:pt>
                <c:pt idx="26">
                  <c:v>32.485294420180693</c:v>
                </c:pt>
                <c:pt idx="27">
                  <c:v>32.797106885835646</c:v>
                </c:pt>
                <c:pt idx="28">
                  <c:v>33.112961096680458</c:v>
                </c:pt>
                <c:pt idx="29">
                  <c:v>33.43176194306006</c:v>
                </c:pt>
                <c:pt idx="30">
                  <c:v>33.752415859475491</c:v>
                </c:pt>
                <c:pt idx="31">
                  <c:v>34.073831833386777</c:v>
                </c:pt>
                <c:pt idx="32">
                  <c:v>34.394919205877606</c:v>
                </c:pt>
                <c:pt idx="33">
                  <c:v>34.714587672024457</c:v>
                </c:pt>
                <c:pt idx="34">
                  <c:v>35.031747282464096</c:v>
                </c:pt>
                <c:pt idx="35">
                  <c:v>35.345308442777693</c:v>
                </c:pt>
                <c:pt idx="36">
                  <c:v>35.657981037123363</c:v>
                </c:pt>
                <c:pt idx="37">
                  <c:v>35.972868144014562</c:v>
                </c:pt>
                <c:pt idx="38">
                  <c:v>36.289484740409769</c:v>
                </c:pt>
                <c:pt idx="39">
                  <c:v>36.607335235530201</c:v>
                </c:pt>
                <c:pt idx="40">
                  <c:v>36.925924208139378</c:v>
                </c:pt>
                <c:pt idx="41">
                  <c:v>37.244756401857465</c:v>
                </c:pt>
                <c:pt idx="42">
                  <c:v>37.563336722766046</c:v>
                </c:pt>
                <c:pt idx="43">
                  <c:v>37.88116641603655</c:v>
                </c:pt>
                <c:pt idx="44">
                  <c:v>38.19775407186124</c:v>
                </c:pt>
                <c:pt idx="45">
                  <c:v>38.512605063069479</c:v>
                </c:pt>
                <c:pt idx="46">
                  <c:v>38.825224905989252</c:v>
                </c:pt>
                <c:pt idx="47">
                  <c:v>39.135119253927009</c:v>
                </c:pt>
                <c:pt idx="48">
                  <c:v>39.441793894021707</c:v>
                </c:pt>
                <c:pt idx="49">
                  <c:v>39.74475473751481</c:v>
                </c:pt>
                <c:pt idx="50">
                  <c:v>40.04453086241687</c:v>
                </c:pt>
                <c:pt idx="51">
                  <c:v>40.34205979848732</c:v>
                </c:pt>
                <c:pt idx="52">
                  <c:v>40.637443704886849</c:v>
                </c:pt>
                <c:pt idx="53">
                  <c:v>40.93078225649672</c:v>
                </c:pt>
                <c:pt idx="54">
                  <c:v>41.222174989775731</c:v>
                </c:pt>
                <c:pt idx="55">
                  <c:v>41.511721358797239</c:v>
                </c:pt>
                <c:pt idx="56">
                  <c:v>41.799520732408119</c:v>
                </c:pt>
                <c:pt idx="57">
                  <c:v>42.085704039873256</c:v>
                </c:pt>
                <c:pt idx="58">
                  <c:v>42.370374294085721</c:v>
                </c:pt>
                <c:pt idx="59">
                  <c:v>42.653630603745817</c:v>
                </c:pt>
                <c:pt idx="60">
                  <c:v>42.935571976815467</c:v>
                </c:pt>
                <c:pt idx="61">
                  <c:v>43.216297319840578</c:v>
                </c:pt>
                <c:pt idx="62">
                  <c:v>43.495905434288908</c:v>
                </c:pt>
                <c:pt idx="63">
                  <c:v>43.774495016501341</c:v>
                </c:pt>
                <c:pt idx="64">
                  <c:v>44.052560267211931</c:v>
                </c:pt>
                <c:pt idx="65">
                  <c:v>44.330330660147609</c:v>
                </c:pt>
                <c:pt idx="66">
                  <c:v>44.607496222061712</c:v>
                </c:pt>
                <c:pt idx="67">
                  <c:v>44.883759689024828</c:v>
                </c:pt>
                <c:pt idx="68">
                  <c:v>45.15882381365487</c:v>
                </c:pt>
                <c:pt idx="69">
                  <c:v>45.432391367281767</c:v>
                </c:pt>
                <c:pt idx="70">
                  <c:v>45.704165142242147</c:v>
                </c:pt>
                <c:pt idx="71">
                  <c:v>45.97382826681573</c:v>
                </c:pt>
                <c:pt idx="72">
                  <c:v>46.24105171878719</c:v>
                </c:pt>
                <c:pt idx="73">
                  <c:v>46.505538287015789</c:v>
                </c:pt>
                <c:pt idx="74">
                  <c:v>46.766990784666106</c:v>
                </c:pt>
                <c:pt idx="75">
                  <c:v>47.025112056896262</c:v>
                </c:pt>
                <c:pt idx="76">
                  <c:v>47.279604977439377</c:v>
                </c:pt>
                <c:pt idx="77">
                  <c:v>47.530172459868332</c:v>
                </c:pt>
                <c:pt idx="78">
                  <c:v>47.778756906252092</c:v>
                </c:pt>
                <c:pt idx="79">
                  <c:v>48.027034103154953</c:v>
                </c:pt>
                <c:pt idx="80">
                  <c:v>48.274311618002635</c:v>
                </c:pt>
                <c:pt idx="81">
                  <c:v>48.51989651081351</c:v>
                </c:pt>
                <c:pt idx="82">
                  <c:v>48.763096009533683</c:v>
                </c:pt>
                <c:pt idx="83">
                  <c:v>49.003217516747419</c:v>
                </c:pt>
                <c:pt idx="84">
                  <c:v>49.239568618808214</c:v>
                </c:pt>
                <c:pt idx="85">
                  <c:v>49.471451423076587</c:v>
                </c:pt>
                <c:pt idx="86">
                  <c:v>49.698193817345462</c:v>
                </c:pt>
                <c:pt idx="87">
                  <c:v>49.919104020983454</c:v>
                </c:pt>
                <c:pt idx="88">
                  <c:v>50.133490475071184</c:v>
                </c:pt>
                <c:pt idx="89">
                  <c:v>50.340661846845464</c:v>
                </c:pt>
                <c:pt idx="90">
                  <c:v>50.539927046868527</c:v>
                </c:pt>
                <c:pt idx="91">
                  <c:v>50.730595228852806</c:v>
                </c:pt>
                <c:pt idx="92">
                  <c:v>50.912633737481428</c:v>
                </c:pt>
                <c:pt idx="93">
                  <c:v>51.086780052092514</c:v>
                </c:pt>
                <c:pt idx="94">
                  <c:v>51.253530220263293</c:v>
                </c:pt>
                <c:pt idx="95">
                  <c:v>51.413377481808439</c:v>
                </c:pt>
                <c:pt idx="96">
                  <c:v>51.56681493733447</c:v>
                </c:pt>
                <c:pt idx="97">
                  <c:v>51.714335549873617</c:v>
                </c:pt>
                <c:pt idx="98">
                  <c:v>51.856432137747703</c:v>
                </c:pt>
                <c:pt idx="99">
                  <c:v>51.99355598233835</c:v>
                </c:pt>
                <c:pt idx="100">
                  <c:v>52.126205125119014</c:v>
                </c:pt>
                <c:pt idx="101">
                  <c:v>52.254871499244722</c:v>
                </c:pt>
                <c:pt idx="102">
                  <c:v>52.380046844945653</c:v>
                </c:pt>
                <c:pt idx="103">
                  <c:v>52.502222712270118</c:v>
                </c:pt>
                <c:pt idx="104">
                  <c:v>52.621890457260307</c:v>
                </c:pt>
                <c:pt idx="105">
                  <c:v>52.739541235362545</c:v>
                </c:pt>
                <c:pt idx="106">
                  <c:v>52.854647484305943</c:v>
                </c:pt>
                <c:pt idx="107">
                  <c:v>52.966245040495103</c:v>
                </c:pt>
                <c:pt idx="108">
                  <c:v>53.074253800320534</c:v>
                </c:pt>
                <c:pt idx="109">
                  <c:v>53.178573357453359</c:v>
                </c:pt>
                <c:pt idx="110">
                  <c:v>53.27910329029551</c:v>
                </c:pt>
                <c:pt idx="111">
                  <c:v>53.375743183341626</c:v>
                </c:pt>
                <c:pt idx="112">
                  <c:v>53.468392659003364</c:v>
                </c:pt>
                <c:pt idx="113">
                  <c:v>53.556927465159717</c:v>
                </c:pt>
                <c:pt idx="114">
                  <c:v>53.641291682979315</c:v>
                </c:pt>
                <c:pt idx="115">
                  <c:v>53.721385434663915</c:v>
                </c:pt>
                <c:pt idx="116">
                  <c:v>53.797108911776981</c:v>
                </c:pt>
                <c:pt idx="117">
                  <c:v>53.868362380527628</c:v>
                </c:pt>
                <c:pt idx="118">
                  <c:v>53.93504619203393</c:v>
                </c:pt>
                <c:pt idx="119">
                  <c:v>53.997060789711767</c:v>
                </c:pt>
                <c:pt idx="120">
                  <c:v>54.053913020767176</c:v>
                </c:pt>
                <c:pt idx="121">
                  <c:v>54.105348904819735</c:v>
                </c:pt>
                <c:pt idx="122">
                  <c:v>54.151709637628201</c:v>
                </c:pt>
                <c:pt idx="123">
                  <c:v>54.193290284675058</c:v>
                </c:pt>
                <c:pt idx="124">
                  <c:v>54.230385898124943</c:v>
                </c:pt>
                <c:pt idx="125">
                  <c:v>54.263291520116219</c:v>
                </c:pt>
                <c:pt idx="126">
                  <c:v>54.29230218815438</c:v>
                </c:pt>
                <c:pt idx="127">
                  <c:v>54.317709876508218</c:v>
                </c:pt>
                <c:pt idx="128">
                  <c:v>54.339836549785943</c:v>
                </c:pt>
                <c:pt idx="129">
                  <c:v>54.358977965019896</c:v>
                </c:pt>
                <c:pt idx="130">
                  <c:v>54.375429924184495</c:v>
                </c:pt>
                <c:pt idx="131">
                  <c:v>54.389488285134874</c:v>
                </c:pt>
                <c:pt idx="132">
                  <c:v>54.401448961168811</c:v>
                </c:pt>
                <c:pt idx="133">
                  <c:v>54.41160792702977</c:v>
                </c:pt>
                <c:pt idx="134">
                  <c:v>54.419311355086343</c:v>
                </c:pt>
                <c:pt idx="135">
                  <c:v>54.423777696661951</c:v>
                </c:pt>
                <c:pt idx="136">
                  <c:v>54.425134655340621</c:v>
                </c:pt>
                <c:pt idx="137">
                  <c:v>54.423483900788156</c:v>
                </c:pt>
                <c:pt idx="138">
                  <c:v>54.418927313875777</c:v>
                </c:pt>
                <c:pt idx="139">
                  <c:v>54.411566985292652</c:v>
                </c:pt>
                <c:pt idx="140">
                  <c:v>54.401505216888566</c:v>
                </c:pt>
                <c:pt idx="141">
                  <c:v>54.388839783201739</c:v>
                </c:pt>
                <c:pt idx="142">
                  <c:v>54.373676805676546</c:v>
                </c:pt>
                <c:pt idx="143">
                  <c:v>54.356119287030033</c:v>
                </c:pt>
                <c:pt idx="144">
                  <c:v>54.336269867612984</c:v>
                </c:pt>
                <c:pt idx="145">
                  <c:v>54.314231324036008</c:v>
                </c:pt>
                <c:pt idx="146">
                  <c:v>54.290106563421318</c:v>
                </c:pt>
                <c:pt idx="147">
                  <c:v>54.263998608632363</c:v>
                </c:pt>
                <c:pt idx="148">
                  <c:v>54.235977890102809</c:v>
                </c:pt>
                <c:pt idx="149">
                  <c:v>54.206033668896453</c:v>
                </c:pt>
                <c:pt idx="150">
                  <c:v>54.174070560078441</c:v>
                </c:pt>
                <c:pt idx="151">
                  <c:v>54.139997009179986</c:v>
                </c:pt>
                <c:pt idx="152">
                  <c:v>54.103721589255279</c:v>
                </c:pt>
                <c:pt idx="153">
                  <c:v>54.065152977241013</c:v>
                </c:pt>
                <c:pt idx="154">
                  <c:v>54.024199931054874</c:v>
                </c:pt>
                <c:pt idx="155">
                  <c:v>53.98087907415097</c:v>
                </c:pt>
                <c:pt idx="156">
                  <c:v>53.935110116786184</c:v>
                </c:pt>
                <c:pt idx="157">
                  <c:v>53.886806158844841</c:v>
                </c:pt>
                <c:pt idx="158">
                  <c:v>53.835880258852981</c:v>
                </c:pt>
                <c:pt idx="159">
                  <c:v>53.78224539749403</c:v>
                </c:pt>
                <c:pt idx="160">
                  <c:v>53.72581443377203</c:v>
                </c:pt>
                <c:pt idx="161">
                  <c:v>53.66650006805267</c:v>
                </c:pt>
                <c:pt idx="162">
                  <c:v>53.603610943810025</c:v>
                </c:pt>
                <c:pt idx="163">
                  <c:v>53.536848668806272</c:v>
                </c:pt>
                <c:pt idx="164">
                  <c:v>53.466559951775132</c:v>
                </c:pt>
                <c:pt idx="165">
                  <c:v>53.393145619320286</c:v>
                </c:pt>
                <c:pt idx="166">
                  <c:v>53.317005917738747</c:v>
                </c:pt>
                <c:pt idx="167">
                  <c:v>53.238540498197196</c:v>
                </c:pt>
                <c:pt idx="168">
                  <c:v>53.158148390910732</c:v>
                </c:pt>
                <c:pt idx="169">
                  <c:v>53.076295999033803</c:v>
                </c:pt>
                <c:pt idx="170">
                  <c:v>52.993256045699141</c:v>
                </c:pt>
                <c:pt idx="171">
                  <c:v>52.909422956239126</c:v>
                </c:pt>
                <c:pt idx="172">
                  <c:v>52.825190555066314</c:v>
                </c:pt>
                <c:pt idx="173">
                  <c:v>52.7409540599255</c:v>
                </c:pt>
                <c:pt idx="174">
                  <c:v>52.657108244527436</c:v>
                </c:pt>
                <c:pt idx="175">
                  <c:v>52.574045378162729</c:v>
                </c:pt>
                <c:pt idx="176">
                  <c:v>52.491179392421124</c:v>
                </c:pt>
                <c:pt idx="177">
                  <c:v>52.407796112065071</c:v>
                </c:pt>
                <c:pt idx="178">
                  <c:v>52.323828925131153</c:v>
                </c:pt>
                <c:pt idx="179">
                  <c:v>52.239279852035331</c:v>
                </c:pt>
                <c:pt idx="180">
                  <c:v>52.154150431355731</c:v>
                </c:pt>
                <c:pt idx="181">
                  <c:v>52.068441732653781</c:v>
                </c:pt>
                <c:pt idx="182">
                  <c:v>51.982154374745512</c:v>
                </c:pt>
                <c:pt idx="183">
                  <c:v>51.895350344819391</c:v>
                </c:pt>
                <c:pt idx="184">
                  <c:v>51.807959908584792</c:v>
                </c:pt>
                <c:pt idx="185">
                  <c:v>51.719982842296588</c:v>
                </c:pt>
                <c:pt idx="186">
                  <c:v>51.631418556977891</c:v>
                </c:pt>
                <c:pt idx="187">
                  <c:v>51.542266124659122</c:v>
                </c:pt>
                <c:pt idx="188">
                  <c:v>51.452524306805017</c:v>
                </c:pt>
                <c:pt idx="189">
                  <c:v>51.362191583960929</c:v>
                </c:pt>
                <c:pt idx="190">
                  <c:v>51.270843015982557</c:v>
                </c:pt>
                <c:pt idx="191">
                  <c:v>51.178171151733693</c:v>
                </c:pt>
                <c:pt idx="192">
                  <c:v>51.084224962573742</c:v>
                </c:pt>
                <c:pt idx="193">
                  <c:v>50.989195534325653</c:v>
                </c:pt>
                <c:pt idx="194">
                  <c:v>50.893273912228878</c:v>
                </c:pt>
                <c:pt idx="195">
                  <c:v>50.796651124719205</c:v>
                </c:pt>
                <c:pt idx="196">
                  <c:v>50.699518207702653</c:v>
                </c:pt>
                <c:pt idx="197">
                  <c:v>50.602074046569854</c:v>
                </c:pt>
                <c:pt idx="198">
                  <c:v>50.50444572484087</c:v>
                </c:pt>
                <c:pt idx="199">
                  <c:v>50.406824248340641</c:v>
                </c:pt>
                <c:pt idx="200">
                  <c:v>50.309400728088697</c:v>
                </c:pt>
                <c:pt idx="201">
                  <c:v>50.212366391338549</c:v>
                </c:pt>
                <c:pt idx="202">
                  <c:v>50.115912591185165</c:v>
                </c:pt>
                <c:pt idx="203">
                  <c:v>50.020230814494049</c:v>
                </c:pt>
                <c:pt idx="204">
                  <c:v>49.925236492364853</c:v>
                </c:pt>
                <c:pt idx="205">
                  <c:v>49.830646525682397</c:v>
                </c:pt>
                <c:pt idx="206">
                  <c:v>49.736374374021942</c:v>
                </c:pt>
                <c:pt idx="207">
                  <c:v>49.642319975314756</c:v>
                </c:pt>
                <c:pt idx="208">
                  <c:v>49.548383464949879</c:v>
                </c:pt>
                <c:pt idx="209">
                  <c:v>49.454465173634389</c:v>
                </c:pt>
                <c:pt idx="210">
                  <c:v>49.360465624226627</c:v>
                </c:pt>
                <c:pt idx="211">
                  <c:v>49.266243614920072</c:v>
                </c:pt>
                <c:pt idx="212">
                  <c:v>49.171691533734524</c:v>
                </c:pt>
                <c:pt idx="213">
                  <c:v>49.076710260808682</c:v>
                </c:pt>
                <c:pt idx="214">
                  <c:v>48.98120086541384</c:v>
                </c:pt>
                <c:pt idx="215">
                  <c:v>48.885064597875761</c:v>
                </c:pt>
                <c:pt idx="216">
                  <c:v>48.788202879788066</c:v>
                </c:pt>
                <c:pt idx="217">
                  <c:v>48.690517295914475</c:v>
                </c:pt>
                <c:pt idx="218">
                  <c:v>48.5919788427776</c:v>
                </c:pt>
                <c:pt idx="219">
                  <c:v>48.492631998075339</c:v>
                </c:pt>
                <c:pt idx="220">
                  <c:v>48.392560237800303</c:v>
                </c:pt>
                <c:pt idx="221">
                  <c:v>48.291843457255133</c:v>
                </c:pt>
                <c:pt idx="222">
                  <c:v>48.19056163332295</c:v>
                </c:pt>
                <c:pt idx="223">
                  <c:v>48.088794816354209</c:v>
                </c:pt>
                <c:pt idx="224">
                  <c:v>47.986623122704387</c:v>
                </c:pt>
                <c:pt idx="225">
                  <c:v>47.884043504365401</c:v>
                </c:pt>
                <c:pt idx="226">
                  <c:v>47.781178424546439</c:v>
                </c:pt>
                <c:pt idx="227">
                  <c:v>47.678108133493353</c:v>
                </c:pt>
                <c:pt idx="228">
                  <c:v>47.574912929793101</c:v>
                </c:pt>
                <c:pt idx="229">
                  <c:v>47.471673154982092</c:v>
                </c:pt>
                <c:pt idx="230">
                  <c:v>47.368469189562276</c:v>
                </c:pt>
                <c:pt idx="231">
                  <c:v>47.265381449097617</c:v>
                </c:pt>
                <c:pt idx="232">
                  <c:v>47.163269451179865</c:v>
                </c:pt>
                <c:pt idx="233">
                  <c:v>47.062553481444517</c:v>
                </c:pt>
                <c:pt idx="234">
                  <c:v>46.962826582160197</c:v>
                </c:pt>
                <c:pt idx="235">
                  <c:v>46.863636497404016</c:v>
                </c:pt>
                <c:pt idx="236">
                  <c:v>46.764531139468957</c:v>
                </c:pt>
                <c:pt idx="237">
                  <c:v>46.665058606460171</c:v>
                </c:pt>
                <c:pt idx="238">
                  <c:v>46.564767165917296</c:v>
                </c:pt>
                <c:pt idx="239">
                  <c:v>46.463165795761171</c:v>
                </c:pt>
                <c:pt idx="240">
                  <c:v>46.359886363889842</c:v>
                </c:pt>
                <c:pt idx="241">
                  <c:v>46.254477599003955</c:v>
                </c:pt>
                <c:pt idx="242">
                  <c:v>46.146488382615871</c:v>
                </c:pt>
                <c:pt idx="243">
                  <c:v>46.035467750565743</c:v>
                </c:pt>
                <c:pt idx="244">
                  <c:v>45.920964890283166</c:v>
                </c:pt>
                <c:pt idx="245">
                  <c:v>45.802529143083156</c:v>
                </c:pt>
                <c:pt idx="246">
                  <c:v>45.681476137345818</c:v>
                </c:pt>
                <c:pt idx="247">
                  <c:v>45.559210983796163</c:v>
                </c:pt>
                <c:pt idx="248">
                  <c:v>45.435524690192175</c:v>
                </c:pt>
                <c:pt idx="249">
                  <c:v>45.310124749484274</c:v>
                </c:pt>
                <c:pt idx="250">
                  <c:v>45.182718763939725</c:v>
                </c:pt>
                <c:pt idx="251">
                  <c:v>45.053014440871564</c:v>
                </c:pt>
                <c:pt idx="252">
                  <c:v>44.920719596439127</c:v>
                </c:pt>
                <c:pt idx="253">
                  <c:v>44.785530341208919</c:v>
                </c:pt>
                <c:pt idx="254">
                  <c:v>44.64719378239306</c:v>
                </c:pt>
                <c:pt idx="255">
                  <c:v>44.505417943047448</c:v>
                </c:pt>
                <c:pt idx="256">
                  <c:v>44.359910934395977</c:v>
                </c:pt>
                <c:pt idx="257">
                  <c:v>44.21038094770082</c:v>
                </c:pt>
                <c:pt idx="258">
                  <c:v>44.056536255988313</c:v>
                </c:pt>
                <c:pt idx="259">
                  <c:v>43.898085200037173</c:v>
                </c:pt>
                <c:pt idx="260">
                  <c:v>43.735328633534429</c:v>
                </c:pt>
                <c:pt idx="261">
                  <c:v>43.568770972238333</c:v>
                </c:pt>
                <c:pt idx="262">
                  <c:v>43.398494810960798</c:v>
                </c:pt>
                <c:pt idx="263">
                  <c:v>43.224567071251684</c:v>
                </c:pt>
                <c:pt idx="264">
                  <c:v>43.047054658939395</c:v>
                </c:pt>
                <c:pt idx="265">
                  <c:v>42.866024346462993</c:v>
                </c:pt>
                <c:pt idx="266">
                  <c:v>42.681542923710523</c:v>
                </c:pt>
                <c:pt idx="267">
                  <c:v>42.493687375989737</c:v>
                </c:pt>
                <c:pt idx="268">
                  <c:v>42.302536023484024</c:v>
                </c:pt>
                <c:pt idx="269">
                  <c:v>42.108155482228192</c:v>
                </c:pt>
                <c:pt idx="270">
                  <c:v>41.91061229825366</c:v>
                </c:pt>
                <c:pt idx="271">
                  <c:v>41.709972938447777</c:v>
                </c:pt>
                <c:pt idx="272">
                  <c:v>41.506303786633211</c:v>
                </c:pt>
                <c:pt idx="273">
                  <c:v>41.299671131503182</c:v>
                </c:pt>
                <c:pt idx="274">
                  <c:v>41.089522021096357</c:v>
                </c:pt>
                <c:pt idx="275">
                  <c:v>40.875460961793088</c:v>
                </c:pt>
                <c:pt idx="276">
                  <c:v>40.657733164175582</c:v>
                </c:pt>
                <c:pt idx="277">
                  <c:v>40.436549153419804</c:v>
                </c:pt>
                <c:pt idx="278">
                  <c:v>40.212119218514424</c:v>
                </c:pt>
                <c:pt idx="279">
                  <c:v>39.984653410286995</c:v>
                </c:pt>
                <c:pt idx="280">
                  <c:v>39.754361531403987</c:v>
                </c:pt>
                <c:pt idx="281">
                  <c:v>39.521476017875067</c:v>
                </c:pt>
                <c:pt idx="282">
                  <c:v>39.286196140869968</c:v>
                </c:pt>
                <c:pt idx="283">
                  <c:v>39.048730759615545</c:v>
                </c:pt>
                <c:pt idx="284">
                  <c:v>38.809288462524854</c:v>
                </c:pt>
                <c:pt idx="285">
                  <c:v>38.568077569552607</c:v>
                </c:pt>
                <c:pt idx="286">
                  <c:v>38.32530613510604</c:v>
                </c:pt>
                <c:pt idx="287">
                  <c:v>38.081181951216529</c:v>
                </c:pt>
                <c:pt idx="288">
                  <c:v>37.83559652095726</c:v>
                </c:pt>
                <c:pt idx="289">
                  <c:v>37.58823526534043</c:v>
                </c:pt>
                <c:pt idx="290">
                  <c:v>37.338940761059227</c:v>
                </c:pt>
                <c:pt idx="291">
                  <c:v>37.087613073645251</c:v>
                </c:pt>
                <c:pt idx="292">
                  <c:v>36.834152101105914</c:v>
                </c:pt>
                <c:pt idx="293">
                  <c:v>36.578457583564266</c:v>
                </c:pt>
                <c:pt idx="294">
                  <c:v>36.320429112976157</c:v>
                </c:pt>
                <c:pt idx="295">
                  <c:v>36.059962244177271</c:v>
                </c:pt>
                <c:pt idx="296">
                  <c:v>35.796934804055745</c:v>
                </c:pt>
                <c:pt idx="297">
                  <c:v>35.531246258443538</c:v>
                </c:pt>
                <c:pt idx="298">
                  <c:v>35.262796248413565</c:v>
                </c:pt>
                <c:pt idx="299">
                  <c:v>34.991484355956423</c:v>
                </c:pt>
                <c:pt idx="300">
                  <c:v>34.717210115647887</c:v>
                </c:pt>
                <c:pt idx="301">
                  <c:v>34.439873033304814</c:v>
                </c:pt>
                <c:pt idx="302">
                  <c:v>34.156669369921502</c:v>
                </c:pt>
                <c:pt idx="303">
                  <c:v>33.865758452786743</c:v>
                </c:pt>
                <c:pt idx="304">
                  <c:v>33.568497463260051</c:v>
                </c:pt>
                <c:pt idx="305">
                  <c:v>33.266242966181366</c:v>
                </c:pt>
                <c:pt idx="306">
                  <c:v>32.96035157674622</c:v>
                </c:pt>
                <c:pt idx="307">
                  <c:v>32.652179983644288</c:v>
                </c:pt>
                <c:pt idx="308">
                  <c:v>32.343084964031299</c:v>
                </c:pt>
                <c:pt idx="309">
                  <c:v>32.03440215811743</c:v>
                </c:pt>
                <c:pt idx="310">
                  <c:v>31.727492535640742</c:v>
                </c:pt>
                <c:pt idx="311">
                  <c:v>31.423713581773878</c:v>
                </c:pt>
                <c:pt idx="312">
                  <c:v>31.124422904113075</c:v>
                </c:pt>
                <c:pt idx="313">
                  <c:v>30.8309782271918</c:v>
                </c:pt>
                <c:pt idx="314">
                  <c:v>30.544737394669497</c:v>
                </c:pt>
                <c:pt idx="315">
                  <c:v>30.267058357943188</c:v>
                </c:pt>
                <c:pt idx="316">
                  <c:v>29.995058371851048</c:v>
                </c:pt>
                <c:pt idx="317">
                  <c:v>29.72512638880178</c:v>
                </c:pt>
                <c:pt idx="318">
                  <c:v>29.457658712422468</c:v>
                </c:pt>
                <c:pt idx="319">
                  <c:v>29.19304421334823</c:v>
                </c:pt>
                <c:pt idx="320">
                  <c:v>28.931671844835549</c:v>
                </c:pt>
                <c:pt idx="321">
                  <c:v>28.673930640499247</c:v>
                </c:pt>
                <c:pt idx="322">
                  <c:v>28.420209693839428</c:v>
                </c:pt>
                <c:pt idx="323">
                  <c:v>28.170874298175615</c:v>
                </c:pt>
                <c:pt idx="324">
                  <c:v>27.926333277760175</c:v>
                </c:pt>
                <c:pt idx="325">
                  <c:v>27.686975924120812</c:v>
                </c:pt>
                <c:pt idx="326">
                  <c:v>27.453191729038963</c:v>
                </c:pt>
                <c:pt idx="327">
                  <c:v>27.225370084509596</c:v>
                </c:pt>
                <c:pt idx="328">
                  <c:v>27.003900233623948</c:v>
                </c:pt>
                <c:pt idx="329">
                  <c:v>26.789171388510006</c:v>
                </c:pt>
                <c:pt idx="330">
                  <c:v>26.577025370301225</c:v>
                </c:pt>
                <c:pt idx="331">
                  <c:v>26.364240212329175</c:v>
                </c:pt>
                <c:pt idx="332">
                  <c:v>26.152540704691255</c:v>
                </c:pt>
                <c:pt idx="333">
                  <c:v>25.943576346171053</c:v>
                </c:pt>
                <c:pt idx="334">
                  <c:v>25.738996673723388</c:v>
                </c:pt>
                <c:pt idx="335">
                  <c:v>25.540451221631592</c:v>
                </c:pt>
                <c:pt idx="336">
                  <c:v>25.349589495248736</c:v>
                </c:pt>
                <c:pt idx="337">
                  <c:v>25.16810248182362</c:v>
                </c:pt>
                <c:pt idx="338">
                  <c:v>24.997661215346046</c:v>
                </c:pt>
                <c:pt idx="339">
                  <c:v>24.839914281589646</c:v>
                </c:pt>
                <c:pt idx="340">
                  <c:v>24.696510169361662</c:v>
                </c:pt>
                <c:pt idx="341">
                  <c:v>24.569097266332598</c:v>
                </c:pt>
                <c:pt idx="342">
                  <c:v>24.459323820173719</c:v>
                </c:pt>
                <c:pt idx="343">
                  <c:v>24.368837889512097</c:v>
                </c:pt>
                <c:pt idx="344">
                  <c:v>24.296171592179949</c:v>
                </c:pt>
                <c:pt idx="345">
                  <c:v>24.238447147688142</c:v>
                </c:pt>
                <c:pt idx="346">
                  <c:v>24.195085201259261</c:v>
                </c:pt>
                <c:pt idx="347">
                  <c:v>24.165619811880859</c:v>
                </c:pt>
                <c:pt idx="348">
                  <c:v>24.149585076004904</c:v>
                </c:pt>
                <c:pt idx="349">
                  <c:v>24.146515122100489</c:v>
                </c:pt>
                <c:pt idx="350">
                  <c:v>24.155944123077386</c:v>
                </c:pt>
                <c:pt idx="351">
                  <c:v>24.177383397593218</c:v>
                </c:pt>
                <c:pt idx="352">
                  <c:v>24.210327258973081</c:v>
                </c:pt>
                <c:pt idx="353">
                  <c:v>24.254310210444839</c:v>
                </c:pt>
                <c:pt idx="354">
                  <c:v>24.308866751064372</c:v>
                </c:pt>
                <c:pt idx="355">
                  <c:v>24.373531371204859</c:v>
                </c:pt>
                <c:pt idx="356">
                  <c:v>24.447838911401764</c:v>
                </c:pt>
                <c:pt idx="357">
                  <c:v>24.531323545036106</c:v>
                </c:pt>
                <c:pt idx="358">
                  <c:v>24.62797300871647</c:v>
                </c:pt>
                <c:pt idx="359">
                  <c:v>24.741144320045741</c:v>
                </c:pt>
                <c:pt idx="360">
                  <c:v>24.869465981501431</c:v>
                </c:pt>
                <c:pt idx="361">
                  <c:v>25.011549594810756</c:v>
                </c:pt>
                <c:pt idx="362">
                  <c:v>25.165984262462203</c:v>
                </c:pt>
                <c:pt idx="363">
                  <c:v>25.331359336998272</c:v>
                </c:pt>
                <c:pt idx="364">
                  <c:v>25.506264416841923</c:v>
                </c:pt>
                <c:pt idx="365">
                  <c:v>25.689289349219596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12.042</c:v>
                </c:pt>
                <c:pt idx="1">
                  <c:v>23.951000000000001</c:v>
                </c:pt>
                <c:pt idx="2">
                  <c:v>8.7759999999999998</c:v>
                </c:pt>
                <c:pt idx="3">
                  <c:v>6.4189999999999996</c:v>
                </c:pt>
                <c:pt idx="4">
                  <c:v>14.082000000000001</c:v>
                </c:pt>
                <c:pt idx="5">
                  <c:v>26.297999999999998</c:v>
                </c:pt>
                <c:pt idx="6">
                  <c:v>7.2960000000000003</c:v>
                </c:pt>
                <c:pt idx="7">
                  <c:v>11.561999999999999</c:v>
                </c:pt>
                <c:pt idx="8">
                  <c:v>25.681999999999999</c:v>
                </c:pt>
                <c:pt idx="9">
                  <c:v>8.1850000000000005</c:v>
                </c:pt>
                <c:pt idx="10">
                  <c:v>27.814</c:v>
                </c:pt>
                <c:pt idx="11">
                  <c:v>27.896000000000001</c:v>
                </c:pt>
                <c:pt idx="12">
                  <c:v>15.74</c:v>
                </c:pt>
                <c:pt idx="13">
                  <c:v>26.937999999999999</c:v>
                </c:pt>
                <c:pt idx="14">
                  <c:v>22.309000000000001</c:v>
                </c:pt>
                <c:pt idx="15">
                  <c:v>27.503</c:v>
                </c:pt>
                <c:pt idx="16">
                  <c:v>4.4189999999999996</c:v>
                </c:pt>
                <c:pt idx="17">
                  <c:v>20.774999999999999</c:v>
                </c:pt>
                <c:pt idx="18">
                  <c:v>27.963999999999999</c:v>
                </c:pt>
                <c:pt idx="19">
                  <c:v>11.042999999999999</c:v>
                </c:pt>
                <c:pt idx="20">
                  <c:v>4.0069999999999997</c:v>
                </c:pt>
                <c:pt idx="21">
                  <c:v>1.982</c:v>
                </c:pt>
                <c:pt idx="22">
                  <c:v>14.2</c:v>
                </c:pt>
                <c:pt idx="23">
                  <c:v>15.438000000000001</c:v>
                </c:pt>
                <c:pt idx="24">
                  <c:v>17.105</c:v>
                </c:pt>
                <c:pt idx="25">
                  <c:v>7.2969999999999997</c:v>
                </c:pt>
                <c:pt idx="26">
                  <c:v>10.266999999999999</c:v>
                </c:pt>
                <c:pt idx="27">
                  <c:v>15.191000000000001</c:v>
                </c:pt>
                <c:pt idx="28">
                  <c:v>20.727</c:v>
                </c:pt>
                <c:pt idx="29">
                  <c:v>9.5980000000000008</c:v>
                </c:pt>
                <c:pt idx="30">
                  <c:v>24.128</c:v>
                </c:pt>
                <c:pt idx="31">
                  <c:v>14.878</c:v>
                </c:pt>
                <c:pt idx="32">
                  <c:v>28.776</c:v>
                </c:pt>
                <c:pt idx="33">
                  <c:v>26.414000000000001</c:v>
                </c:pt>
                <c:pt idx="34">
                  <c:v>17.2</c:v>
                </c:pt>
                <c:pt idx="35">
                  <c:v>34.588000000000001</c:v>
                </c:pt>
                <c:pt idx="36">
                  <c:v>36.569000000000003</c:v>
                </c:pt>
                <c:pt idx="37">
                  <c:v>23.27</c:v>
                </c:pt>
                <c:pt idx="38">
                  <c:v>28.445</c:v>
                </c:pt>
                <c:pt idx="39">
                  <c:v>26.402999999999999</c:v>
                </c:pt>
                <c:pt idx="40">
                  <c:v>7.3179999999999996</c:v>
                </c:pt>
                <c:pt idx="41">
                  <c:v>6.9290000000000003</c:v>
                </c:pt>
                <c:pt idx="42">
                  <c:v>19.186</c:v>
                </c:pt>
                <c:pt idx="43">
                  <c:v>17.577999999999999</c:v>
                </c:pt>
                <c:pt idx="44">
                  <c:v>28.763000000000002</c:v>
                </c:pt>
                <c:pt idx="45">
                  <c:v>36.554000000000002</c:v>
                </c:pt>
                <c:pt idx="46">
                  <c:v>21.596</c:v>
                </c:pt>
                <c:pt idx="47">
                  <c:v>5.7039999999999997</c:v>
                </c:pt>
                <c:pt idx="48">
                  <c:v>34.369999999999997</c:v>
                </c:pt>
                <c:pt idx="49">
                  <c:v>30.841999999999999</c:v>
                </c:pt>
                <c:pt idx="50">
                  <c:v>39.555999999999997</c:v>
                </c:pt>
                <c:pt idx="51">
                  <c:v>16.716000000000001</c:v>
                </c:pt>
                <c:pt idx="52">
                  <c:v>37.956000000000003</c:v>
                </c:pt>
                <c:pt idx="53">
                  <c:v>39.493000000000002</c:v>
                </c:pt>
                <c:pt idx="54">
                  <c:v>40.56</c:v>
                </c:pt>
                <c:pt idx="55">
                  <c:v>13.7</c:v>
                </c:pt>
                <c:pt idx="56">
                  <c:v>15.178000000000001</c:v>
                </c:pt>
                <c:pt idx="57">
                  <c:v>4.6109999999999998</c:v>
                </c:pt>
                <c:pt idx="58">
                  <c:v>19.128</c:v>
                </c:pt>
                <c:pt idx="59">
                  <c:v>15.359</c:v>
                </c:pt>
                <c:pt idx="60">
                  <c:v>30.271000000000001</c:v>
                </c:pt>
                <c:pt idx="61">
                  <c:v>21.905999999999999</c:v>
                </c:pt>
                <c:pt idx="62">
                  <c:v>5.0540000000000003</c:v>
                </c:pt>
                <c:pt idx="63">
                  <c:v>7.1740000000000004</c:v>
                </c:pt>
                <c:pt idx="64">
                  <c:v>10.196</c:v>
                </c:pt>
                <c:pt idx="65">
                  <c:v>17.263000000000002</c:v>
                </c:pt>
                <c:pt idx="66">
                  <c:v>29.140999999999998</c:v>
                </c:pt>
                <c:pt idx="67">
                  <c:v>33.134999999999998</c:v>
                </c:pt>
                <c:pt idx="68">
                  <c:v>24.3</c:v>
                </c:pt>
                <c:pt idx="69">
                  <c:v>32.557000000000002</c:v>
                </c:pt>
                <c:pt idx="70">
                  <c:v>39.25</c:v>
                </c:pt>
                <c:pt idx="71">
                  <c:v>15.474</c:v>
                </c:pt>
                <c:pt idx="72">
                  <c:v>33.856999999999999</c:v>
                </c:pt>
                <c:pt idx="73">
                  <c:v>32.075000000000003</c:v>
                </c:pt>
                <c:pt idx="74">
                  <c:v>47.966000000000001</c:v>
                </c:pt>
                <c:pt idx="75">
                  <c:v>7.3940000000000001</c:v>
                </c:pt>
                <c:pt idx="76">
                  <c:v>11.38</c:v>
                </c:pt>
                <c:pt idx="77">
                  <c:v>42.963000000000001</c:v>
                </c:pt>
                <c:pt idx="78">
                  <c:v>43.72</c:v>
                </c:pt>
                <c:pt idx="79">
                  <c:v>47.05</c:v>
                </c:pt>
                <c:pt idx="80">
                  <c:v>45.137</c:v>
                </c:pt>
                <c:pt idx="81">
                  <c:v>34.767000000000003</c:v>
                </c:pt>
                <c:pt idx="82">
                  <c:v>36.328000000000003</c:v>
                </c:pt>
                <c:pt idx="83">
                  <c:v>43.63</c:v>
                </c:pt>
                <c:pt idx="84">
                  <c:v>49.701999999999998</c:v>
                </c:pt>
                <c:pt idx="85">
                  <c:v>31.452000000000002</c:v>
                </c:pt>
                <c:pt idx="86">
                  <c:v>46.645000000000003</c:v>
                </c:pt>
                <c:pt idx="87">
                  <c:v>45.598999999999997</c:v>
                </c:pt>
                <c:pt idx="88">
                  <c:v>32.200000000000003</c:v>
                </c:pt>
                <c:pt idx="89">
                  <c:v>18.411000000000001</c:v>
                </c:pt>
                <c:pt idx="90">
                  <c:v>42.649000000000001</c:v>
                </c:pt>
                <c:pt idx="91">
                  <c:v>40.764000000000003</c:v>
                </c:pt>
                <c:pt idx="92">
                  <c:v>23.545999999999999</c:v>
                </c:pt>
                <c:pt idx="93">
                  <c:v>51.075000000000003</c:v>
                </c:pt>
                <c:pt idx="94">
                  <c:v>53.375</c:v>
                </c:pt>
                <c:pt idx="95">
                  <c:v>52.847000000000001</c:v>
                </c:pt>
                <c:pt idx="96">
                  <c:v>25.571000000000002</c:v>
                </c:pt>
                <c:pt idx="97">
                  <c:v>33.348999999999997</c:v>
                </c:pt>
                <c:pt idx="98">
                  <c:v>39.085999999999999</c:v>
                </c:pt>
                <c:pt idx="99">
                  <c:v>51.713999999999999</c:v>
                </c:pt>
                <c:pt idx="100">
                  <c:v>52.128</c:v>
                </c:pt>
                <c:pt idx="101">
                  <c:v>51.448</c:v>
                </c:pt>
                <c:pt idx="102">
                  <c:v>40.603999999999999</c:v>
                </c:pt>
                <c:pt idx="103">
                  <c:v>16.279</c:v>
                </c:pt>
                <c:pt idx="104">
                  <c:v>49.320999999999998</c:v>
                </c:pt>
                <c:pt idx="105">
                  <c:v>48.87</c:v>
                </c:pt>
                <c:pt idx="106">
                  <c:v>41.332000000000001</c:v>
                </c:pt>
                <c:pt idx="107">
                  <c:v>29.709</c:v>
                </c:pt>
                <c:pt idx="108">
                  <c:v>40.918999999999997</c:v>
                </c:pt>
                <c:pt idx="109">
                  <c:v>16.091999999999999</c:v>
                </c:pt>
                <c:pt idx="110">
                  <c:v>11.981</c:v>
                </c:pt>
                <c:pt idx="111">
                  <c:v>16.161999999999999</c:v>
                </c:pt>
                <c:pt idx="112">
                  <c:v>8.4570000000000007</c:v>
                </c:pt>
                <c:pt idx="113">
                  <c:v>14.967000000000001</c:v>
                </c:pt>
                <c:pt idx="114">
                  <c:v>50.667000000000002</c:v>
                </c:pt>
                <c:pt idx="115">
                  <c:v>42.76</c:v>
                </c:pt>
                <c:pt idx="116">
                  <c:v>21.02</c:v>
                </c:pt>
                <c:pt idx="117">
                  <c:v>19.497</c:v>
                </c:pt>
                <c:pt idx="118">
                  <c:v>31.262</c:v>
                </c:pt>
                <c:pt idx="119">
                  <c:v>50.244999999999997</c:v>
                </c:pt>
                <c:pt idx="120">
                  <c:v>39.390999999999998</c:v>
                </c:pt>
                <c:pt idx="121">
                  <c:v>18.920000000000002</c:v>
                </c:pt>
                <c:pt idx="122">
                  <c:v>31.760999999999999</c:v>
                </c:pt>
                <c:pt idx="123">
                  <c:v>51.161000000000001</c:v>
                </c:pt>
                <c:pt idx="124">
                  <c:v>53.405999999999999</c:v>
                </c:pt>
                <c:pt idx="125">
                  <c:v>47.170999999999999</c:v>
                </c:pt>
                <c:pt idx="126">
                  <c:v>52.268999999999998</c:v>
                </c:pt>
                <c:pt idx="127">
                  <c:v>46.887</c:v>
                </c:pt>
                <c:pt idx="128">
                  <c:v>46.526000000000003</c:v>
                </c:pt>
                <c:pt idx="129">
                  <c:v>44.570999999999998</c:v>
                </c:pt>
                <c:pt idx="130">
                  <c:v>11.074999999999999</c:v>
                </c:pt>
                <c:pt idx="131">
                  <c:v>5.359</c:v>
                </c:pt>
                <c:pt idx="132">
                  <c:v>18.669</c:v>
                </c:pt>
                <c:pt idx="133">
                  <c:v>29.655999999999999</c:v>
                </c:pt>
                <c:pt idx="134">
                  <c:v>17.96</c:v>
                </c:pt>
                <c:pt idx="135">
                  <c:v>15.401</c:v>
                </c:pt>
                <c:pt idx="136">
                  <c:v>31.707000000000001</c:v>
                </c:pt>
                <c:pt idx="137">
                  <c:v>54.311</c:v>
                </c:pt>
                <c:pt idx="138">
                  <c:v>54.438000000000002</c:v>
                </c:pt>
                <c:pt idx="139">
                  <c:v>51.847000000000001</c:v>
                </c:pt>
                <c:pt idx="140">
                  <c:v>53.027999999999999</c:v>
                </c:pt>
                <c:pt idx="141">
                  <c:v>49.594000000000001</c:v>
                </c:pt>
                <c:pt idx="142">
                  <c:v>49.110999999999997</c:v>
                </c:pt>
                <c:pt idx="143">
                  <c:v>16.334</c:v>
                </c:pt>
                <c:pt idx="144">
                  <c:v>49.579000000000001</c:v>
                </c:pt>
                <c:pt idx="145">
                  <c:v>53.499000000000002</c:v>
                </c:pt>
                <c:pt idx="146">
                  <c:v>53.119</c:v>
                </c:pt>
                <c:pt idx="147">
                  <c:v>52.438000000000002</c:v>
                </c:pt>
                <c:pt idx="148">
                  <c:v>52.661000000000001</c:v>
                </c:pt>
                <c:pt idx="149">
                  <c:v>51.375</c:v>
                </c:pt>
                <c:pt idx="150">
                  <c:v>53.113</c:v>
                </c:pt>
                <c:pt idx="151">
                  <c:v>54.371000000000002</c:v>
                </c:pt>
                <c:pt idx="152">
                  <c:v>25.518999999999998</c:v>
                </c:pt>
                <c:pt idx="153">
                  <c:v>48.021000000000001</c:v>
                </c:pt>
                <c:pt idx="154">
                  <c:v>24.585999999999999</c:v>
                </c:pt>
                <c:pt idx="155">
                  <c:v>32.959000000000003</c:v>
                </c:pt>
                <c:pt idx="156">
                  <c:v>19.620999999999999</c:v>
                </c:pt>
                <c:pt idx="157">
                  <c:v>23.69</c:v>
                </c:pt>
                <c:pt idx="158">
                  <c:v>33.296999999999997</c:v>
                </c:pt>
                <c:pt idx="159">
                  <c:v>40.067999999999998</c:v>
                </c:pt>
                <c:pt idx="160">
                  <c:v>27.266999999999999</c:v>
                </c:pt>
                <c:pt idx="161">
                  <c:v>39.584000000000003</c:v>
                </c:pt>
                <c:pt idx="162">
                  <c:v>23.728999999999999</c:v>
                </c:pt>
                <c:pt idx="163">
                  <c:v>47.293999999999997</c:v>
                </c:pt>
                <c:pt idx="164">
                  <c:v>39.32</c:v>
                </c:pt>
                <c:pt idx="165">
                  <c:v>42.286000000000001</c:v>
                </c:pt>
                <c:pt idx="166">
                  <c:v>43.646999999999998</c:v>
                </c:pt>
                <c:pt idx="167">
                  <c:v>28.311</c:v>
                </c:pt>
                <c:pt idx="168">
                  <c:v>47.500999999999998</c:v>
                </c:pt>
                <c:pt idx="169">
                  <c:v>35.881</c:v>
                </c:pt>
                <c:pt idx="170">
                  <c:v>45.969000000000001</c:v>
                </c:pt>
                <c:pt idx="171">
                  <c:v>45.533999999999999</c:v>
                </c:pt>
                <c:pt idx="172">
                  <c:v>53.079000000000001</c:v>
                </c:pt>
                <c:pt idx="173">
                  <c:v>44.581000000000003</c:v>
                </c:pt>
                <c:pt idx="174">
                  <c:v>52.369</c:v>
                </c:pt>
                <c:pt idx="175">
                  <c:v>50.929000000000002</c:v>
                </c:pt>
                <c:pt idx="176">
                  <c:v>44.982999999999997</c:v>
                </c:pt>
                <c:pt idx="177">
                  <c:v>45.64</c:v>
                </c:pt>
                <c:pt idx="178">
                  <c:v>34.853999999999999</c:v>
                </c:pt>
                <c:pt idx="179">
                  <c:v>48.006</c:v>
                </c:pt>
                <c:pt idx="180">
                  <c:v>13.175000000000001</c:v>
                </c:pt>
                <c:pt idx="181">
                  <c:v>1.2999999999999999E-2</c:v>
                </c:pt>
                <c:pt idx="182">
                  <c:v>39.552</c:v>
                </c:pt>
                <c:pt idx="183">
                  <c:v>15.797000000000001</c:v>
                </c:pt>
                <c:pt idx="184">
                  <c:v>40.162999999999997</c:v>
                </c:pt>
                <c:pt idx="185">
                  <c:v>51.14</c:v>
                </c:pt>
                <c:pt idx="186">
                  <c:v>50.902999999999999</c:v>
                </c:pt>
                <c:pt idx="187">
                  <c:v>28.934000000000001</c:v>
                </c:pt>
                <c:pt idx="188">
                  <c:v>53.869</c:v>
                </c:pt>
                <c:pt idx="189">
                  <c:v>51.737000000000002</c:v>
                </c:pt>
                <c:pt idx="190">
                  <c:v>48.845999999999997</c:v>
                </c:pt>
                <c:pt idx="191">
                  <c:v>42.402999999999999</c:v>
                </c:pt>
                <c:pt idx="192">
                  <c:v>36.786999999999999</c:v>
                </c:pt>
                <c:pt idx="193">
                  <c:v>33.01</c:v>
                </c:pt>
                <c:pt idx="194">
                  <c:v>50.264000000000003</c:v>
                </c:pt>
                <c:pt idx="195">
                  <c:v>42.417000000000002</c:v>
                </c:pt>
                <c:pt idx="196">
                  <c:v>18.670999999999999</c:v>
                </c:pt>
                <c:pt idx="197">
                  <c:v>23.024000000000001</c:v>
                </c:pt>
                <c:pt idx="198">
                  <c:v>24.11</c:v>
                </c:pt>
                <c:pt idx="199">
                  <c:v>51.207999999999998</c:v>
                </c:pt>
                <c:pt idx="200">
                  <c:v>50.314</c:v>
                </c:pt>
                <c:pt idx="201">
                  <c:v>45.688000000000002</c:v>
                </c:pt>
                <c:pt idx="202">
                  <c:v>47.591999999999999</c:v>
                </c:pt>
                <c:pt idx="203">
                  <c:v>45.164999999999999</c:v>
                </c:pt>
                <c:pt idx="204">
                  <c:v>44.866999999999997</c:v>
                </c:pt>
                <c:pt idx="205">
                  <c:v>49.183</c:v>
                </c:pt>
                <c:pt idx="206">
                  <c:v>49.463999999999999</c:v>
                </c:pt>
                <c:pt idx="207">
                  <c:v>39.548000000000002</c:v>
                </c:pt>
                <c:pt idx="208">
                  <c:v>47.476999999999997</c:v>
                </c:pt>
                <c:pt idx="209">
                  <c:v>30.087</c:v>
                </c:pt>
                <c:pt idx="210">
                  <c:v>43.015000000000001</c:v>
                </c:pt>
                <c:pt idx="211">
                  <c:v>47.421999999999997</c:v>
                </c:pt>
                <c:pt idx="212">
                  <c:v>46.23</c:v>
                </c:pt>
                <c:pt idx="213">
                  <c:v>38.340000000000003</c:v>
                </c:pt>
                <c:pt idx="214">
                  <c:v>31.388000000000002</c:v>
                </c:pt>
                <c:pt idx="215">
                  <c:v>42.819000000000003</c:v>
                </c:pt>
                <c:pt idx="216">
                  <c:v>48.222000000000001</c:v>
                </c:pt>
                <c:pt idx="217">
                  <c:v>48.982999999999997</c:v>
                </c:pt>
                <c:pt idx="218">
                  <c:v>47.804000000000002</c:v>
                </c:pt>
                <c:pt idx="219">
                  <c:v>46.445999999999998</c:v>
                </c:pt>
                <c:pt idx="220">
                  <c:v>45.225999999999999</c:v>
                </c:pt>
                <c:pt idx="221">
                  <c:v>37.572000000000003</c:v>
                </c:pt>
                <c:pt idx="222">
                  <c:v>35.747999999999998</c:v>
                </c:pt>
                <c:pt idx="223">
                  <c:v>40.353999999999999</c:v>
                </c:pt>
                <c:pt idx="224">
                  <c:v>23.923999999999999</c:v>
                </c:pt>
                <c:pt idx="225">
                  <c:v>15.898999999999999</c:v>
                </c:pt>
                <c:pt idx="226">
                  <c:v>43.780999999999999</c:v>
                </c:pt>
                <c:pt idx="227">
                  <c:v>43.356999999999999</c:v>
                </c:pt>
                <c:pt idx="228">
                  <c:v>18.72</c:v>
                </c:pt>
                <c:pt idx="229">
                  <c:v>39.917000000000002</c:v>
                </c:pt>
                <c:pt idx="230">
                  <c:v>34.932000000000002</c:v>
                </c:pt>
                <c:pt idx="231">
                  <c:v>45.94</c:v>
                </c:pt>
                <c:pt idx="232">
                  <c:v>46.786000000000001</c:v>
                </c:pt>
                <c:pt idx="233">
                  <c:v>41.898000000000003</c:v>
                </c:pt>
                <c:pt idx="234">
                  <c:v>31.678999999999998</c:v>
                </c:pt>
                <c:pt idx="235">
                  <c:v>36.780999999999999</c:v>
                </c:pt>
                <c:pt idx="236">
                  <c:v>43.128999999999998</c:v>
                </c:pt>
                <c:pt idx="237">
                  <c:v>45.765000000000001</c:v>
                </c:pt>
                <c:pt idx="238">
                  <c:v>21.742999999999999</c:v>
                </c:pt>
                <c:pt idx="239">
                  <c:v>44.64</c:v>
                </c:pt>
                <c:pt idx="240">
                  <c:v>8.5340000000000007</c:v>
                </c:pt>
                <c:pt idx="241">
                  <c:v>22.512</c:v>
                </c:pt>
                <c:pt idx="242">
                  <c:v>24.390999999999998</c:v>
                </c:pt>
                <c:pt idx="243">
                  <c:v>38.948999999999998</c:v>
                </c:pt>
                <c:pt idx="244">
                  <c:v>39.341999999999999</c:v>
                </c:pt>
                <c:pt idx="245">
                  <c:v>47.180999999999997</c:v>
                </c:pt>
                <c:pt idx="246">
                  <c:v>45.472000000000001</c:v>
                </c:pt>
                <c:pt idx="247">
                  <c:v>46.045000000000002</c:v>
                </c:pt>
                <c:pt idx="248">
                  <c:v>41.213000000000001</c:v>
                </c:pt>
                <c:pt idx="249">
                  <c:v>24.533000000000001</c:v>
                </c:pt>
                <c:pt idx="250">
                  <c:v>40.334000000000003</c:v>
                </c:pt>
                <c:pt idx="251">
                  <c:v>44.106999999999999</c:v>
                </c:pt>
                <c:pt idx="252">
                  <c:v>21.669</c:v>
                </c:pt>
                <c:pt idx="253">
                  <c:v>30.875</c:v>
                </c:pt>
                <c:pt idx="254">
                  <c:v>39.103000000000002</c:v>
                </c:pt>
                <c:pt idx="255">
                  <c:v>42.926000000000002</c:v>
                </c:pt>
                <c:pt idx="256">
                  <c:v>42.625999999999998</c:v>
                </c:pt>
                <c:pt idx="257">
                  <c:v>43.338999999999999</c:v>
                </c:pt>
                <c:pt idx="258">
                  <c:v>37.43</c:v>
                </c:pt>
                <c:pt idx="259">
                  <c:v>38.506</c:v>
                </c:pt>
                <c:pt idx="260">
                  <c:v>39.256</c:v>
                </c:pt>
                <c:pt idx="261">
                  <c:v>17.954000000000001</c:v>
                </c:pt>
                <c:pt idx="262">
                  <c:v>30.042000000000002</c:v>
                </c:pt>
                <c:pt idx="263">
                  <c:v>27.881</c:v>
                </c:pt>
                <c:pt idx="264">
                  <c:v>26.396999999999998</c:v>
                </c:pt>
                <c:pt idx="265">
                  <c:v>21.440999999999999</c:v>
                </c:pt>
                <c:pt idx="266">
                  <c:v>35.042000000000002</c:v>
                </c:pt>
                <c:pt idx="267">
                  <c:v>20.484999999999999</c:v>
                </c:pt>
                <c:pt idx="268">
                  <c:v>15.157</c:v>
                </c:pt>
                <c:pt idx="269">
                  <c:v>13.584</c:v>
                </c:pt>
                <c:pt idx="270">
                  <c:v>11.923</c:v>
                </c:pt>
                <c:pt idx="271">
                  <c:v>29.321999999999999</c:v>
                </c:pt>
                <c:pt idx="272">
                  <c:v>31.73</c:v>
                </c:pt>
                <c:pt idx="273">
                  <c:v>39.658999999999999</c:v>
                </c:pt>
                <c:pt idx="274">
                  <c:v>7.5350000000000001</c:v>
                </c:pt>
                <c:pt idx="275">
                  <c:v>4.8609999999999998</c:v>
                </c:pt>
                <c:pt idx="276">
                  <c:v>15.76</c:v>
                </c:pt>
                <c:pt idx="277">
                  <c:v>16.981000000000002</c:v>
                </c:pt>
                <c:pt idx="278">
                  <c:v>27.521999999999998</c:v>
                </c:pt>
                <c:pt idx="279">
                  <c:v>5.82</c:v>
                </c:pt>
                <c:pt idx="280">
                  <c:v>30.757000000000001</c:v>
                </c:pt>
                <c:pt idx="281">
                  <c:v>33.713999999999999</c:v>
                </c:pt>
                <c:pt idx="282">
                  <c:v>23.231999999999999</c:v>
                </c:pt>
                <c:pt idx="283">
                  <c:v>20.503</c:v>
                </c:pt>
                <c:pt idx="284">
                  <c:v>14.680999999999999</c:v>
                </c:pt>
                <c:pt idx="285">
                  <c:v>23.178999999999998</c:v>
                </c:pt>
                <c:pt idx="286">
                  <c:v>19.251999999999999</c:v>
                </c:pt>
                <c:pt idx="287">
                  <c:v>14.426</c:v>
                </c:pt>
                <c:pt idx="288">
                  <c:v>15.44</c:v>
                </c:pt>
                <c:pt idx="289">
                  <c:v>9.7420000000000009</c:v>
                </c:pt>
                <c:pt idx="290">
                  <c:v>36.621000000000002</c:v>
                </c:pt>
                <c:pt idx="291">
                  <c:v>35.646999999999998</c:v>
                </c:pt>
                <c:pt idx="292">
                  <c:v>29.523</c:v>
                </c:pt>
                <c:pt idx="293">
                  <c:v>5.8380000000000001</c:v>
                </c:pt>
                <c:pt idx="294">
                  <c:v>25.201000000000001</c:v>
                </c:pt>
                <c:pt idx="295">
                  <c:v>5.2770000000000001</c:v>
                </c:pt>
                <c:pt idx="296">
                  <c:v>9.8379999999999992</c:v>
                </c:pt>
                <c:pt idx="297">
                  <c:v>30.231000000000002</c:v>
                </c:pt>
                <c:pt idx="298">
                  <c:v>21.856000000000002</c:v>
                </c:pt>
                <c:pt idx="299">
                  <c:v>22.600999999999999</c:v>
                </c:pt>
                <c:pt idx="300">
                  <c:v>21.984999999999999</c:v>
                </c:pt>
                <c:pt idx="301">
                  <c:v>11.914</c:v>
                </c:pt>
                <c:pt idx="302">
                  <c:v>28.870999999999999</c:v>
                </c:pt>
                <c:pt idx="303">
                  <c:v>32.325000000000003</c:v>
                </c:pt>
                <c:pt idx="304">
                  <c:v>28.981999999999999</c:v>
                </c:pt>
                <c:pt idx="305">
                  <c:v>28.224</c:v>
                </c:pt>
                <c:pt idx="306">
                  <c:v>27.805</c:v>
                </c:pt>
                <c:pt idx="307">
                  <c:v>4.8410000000000002</c:v>
                </c:pt>
                <c:pt idx="308">
                  <c:v>13.96</c:v>
                </c:pt>
                <c:pt idx="309">
                  <c:v>21.617999999999999</c:v>
                </c:pt>
                <c:pt idx="310">
                  <c:v>15.45</c:v>
                </c:pt>
                <c:pt idx="311">
                  <c:v>3.9079999999999999</c:v>
                </c:pt>
                <c:pt idx="312">
                  <c:v>23.594000000000001</c:v>
                </c:pt>
                <c:pt idx="313">
                  <c:v>19.379000000000001</c:v>
                </c:pt>
                <c:pt idx="314">
                  <c:v>15.119</c:v>
                </c:pt>
                <c:pt idx="315">
                  <c:v>29.594000000000001</c:v>
                </c:pt>
                <c:pt idx="316">
                  <c:v>27.763999999999999</c:v>
                </c:pt>
                <c:pt idx="317">
                  <c:v>18.71</c:v>
                </c:pt>
                <c:pt idx="318">
                  <c:v>26.585999999999999</c:v>
                </c:pt>
                <c:pt idx="319">
                  <c:v>19.091999999999999</c:v>
                </c:pt>
                <c:pt idx="320">
                  <c:v>21.074999999999999</c:v>
                </c:pt>
                <c:pt idx="321">
                  <c:v>26.978000000000002</c:v>
                </c:pt>
                <c:pt idx="322">
                  <c:v>27.724</c:v>
                </c:pt>
                <c:pt idx="323">
                  <c:v>8.5180000000000007</c:v>
                </c:pt>
                <c:pt idx="324">
                  <c:v>20.904</c:v>
                </c:pt>
                <c:pt idx="325">
                  <c:v>28.44</c:v>
                </c:pt>
                <c:pt idx="326">
                  <c:v>28.422000000000001</c:v>
                </c:pt>
                <c:pt idx="327">
                  <c:v>26.312000000000001</c:v>
                </c:pt>
                <c:pt idx="328">
                  <c:v>24.57</c:v>
                </c:pt>
                <c:pt idx="329">
                  <c:v>25.018000000000001</c:v>
                </c:pt>
                <c:pt idx="330">
                  <c:v>19.797000000000001</c:v>
                </c:pt>
                <c:pt idx="331">
                  <c:v>17.082000000000001</c:v>
                </c:pt>
                <c:pt idx="332">
                  <c:v>10.257</c:v>
                </c:pt>
                <c:pt idx="333">
                  <c:v>24.61</c:v>
                </c:pt>
                <c:pt idx="334">
                  <c:v>25.443000000000001</c:v>
                </c:pt>
                <c:pt idx="335">
                  <c:v>3.956</c:v>
                </c:pt>
                <c:pt idx="336">
                  <c:v>1.0309999999999999</c:v>
                </c:pt>
                <c:pt idx="337">
                  <c:v>12.429</c:v>
                </c:pt>
                <c:pt idx="338">
                  <c:v>8.8710000000000004</c:v>
                </c:pt>
                <c:pt idx="339">
                  <c:v>20.725000000000001</c:v>
                </c:pt>
                <c:pt idx="340">
                  <c:v>12.45</c:v>
                </c:pt>
                <c:pt idx="341">
                  <c:v>2.222</c:v>
                </c:pt>
                <c:pt idx="342">
                  <c:v>7.4189999999999996</c:v>
                </c:pt>
                <c:pt idx="343">
                  <c:v>7.1680000000000001</c:v>
                </c:pt>
                <c:pt idx="344">
                  <c:v>4.4829999999999997</c:v>
                </c:pt>
                <c:pt idx="345">
                  <c:v>6.383</c:v>
                </c:pt>
                <c:pt idx="346">
                  <c:v>10.333</c:v>
                </c:pt>
                <c:pt idx="347">
                  <c:v>8.8569999999999993</c:v>
                </c:pt>
                <c:pt idx="348">
                  <c:v>2.7690000000000001</c:v>
                </c:pt>
                <c:pt idx="349">
                  <c:v>2.0569999999999999</c:v>
                </c:pt>
                <c:pt idx="350">
                  <c:v>13.835000000000001</c:v>
                </c:pt>
                <c:pt idx="351">
                  <c:v>6.766</c:v>
                </c:pt>
                <c:pt idx="352">
                  <c:v>8.8330000000000002</c:v>
                </c:pt>
                <c:pt idx="353">
                  <c:v>7.6020000000000003</c:v>
                </c:pt>
                <c:pt idx="354">
                  <c:v>13.398</c:v>
                </c:pt>
                <c:pt idx="355">
                  <c:v>7.22</c:v>
                </c:pt>
                <c:pt idx="356">
                  <c:v>20.126999999999999</c:v>
                </c:pt>
                <c:pt idx="357">
                  <c:v>10.404999999999999</c:v>
                </c:pt>
                <c:pt idx="358">
                  <c:v>9.984</c:v>
                </c:pt>
                <c:pt idx="359">
                  <c:v>3.7650000000000001</c:v>
                </c:pt>
                <c:pt idx="360">
                  <c:v>18.428000000000001</c:v>
                </c:pt>
                <c:pt idx="361">
                  <c:v>6.117</c:v>
                </c:pt>
                <c:pt idx="362">
                  <c:v>6.4550000000000001</c:v>
                </c:pt>
                <c:pt idx="363">
                  <c:v>5.7489999999999997</c:v>
                </c:pt>
                <c:pt idx="364">
                  <c:v>6.0289999999999999</c:v>
                </c:pt>
                <c:pt idx="365">
                  <c:v>14.057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0224"/>
        <c:axId val="644420616"/>
      </c:lineChart>
      <c:dateAx>
        <c:axId val="644420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0616"/>
        <c:crosses val="autoZero"/>
        <c:auto val="1"/>
        <c:lblOffset val="100"/>
        <c:baseTimeUnit val="days"/>
        <c:majorUnit val="1"/>
        <c:majorTimeUnit val="months"/>
      </c:dateAx>
      <c:valAx>
        <c:axId val="6444206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02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-0.49996118112779597</c:v>
                </c:pt>
                <c:pt idx="1">
                  <c:v>-0.49993196651380173</c:v>
                </c:pt>
                <c:pt idx="2">
                  <c:v>-0.4999015299183121</c:v>
                </c:pt>
                <c:pt idx="3">
                  <c:v>-0.49986982038701699</c:v>
                </c:pt>
                <c:pt idx="4">
                  <c:v>-0.49983678485445532</c:v>
                </c:pt>
                <c:pt idx="5">
                  <c:v>-0.49980236805770462</c:v>
                </c:pt>
                <c:pt idx="6">
                  <c:v>-0.49976651244664144</c:v>
                </c:pt>
                <c:pt idx="7">
                  <c:v>-0.49972915809064428</c:v>
                </c:pt>
                <c:pt idx="8">
                  <c:v>-0.49969024258160916</c:v>
                </c:pt>
                <c:pt idx="9">
                  <c:v>-0.4996497009331396</c:v>
                </c:pt>
                <c:pt idx="10">
                  <c:v>-0.49960746547577362</c:v>
                </c:pt>
                <c:pt idx="11">
                  <c:v>-0.49956346574810251</c:v>
                </c:pt>
                <c:pt idx="12">
                  <c:v>-0.49951762838363339</c:v>
                </c:pt>
                <c:pt idx="13">
                  <c:v>-0.49946987699324391</c:v>
                </c:pt>
                <c:pt idx="14">
                  <c:v>-0.49942013204307156</c:v>
                </c:pt>
                <c:pt idx="15">
                  <c:v>-0.49936831072767829</c:v>
                </c:pt>
                <c:pt idx="16">
                  <c:v>-0.49931432683832416</c:v>
                </c:pt>
                <c:pt idx="17">
                  <c:v>-0.49925809062618248</c:v>
                </c:pt>
                <c:pt idx="18">
                  <c:v>-0.49919950866032159</c:v>
                </c:pt>
                <c:pt idx="19">
                  <c:v>-0.49913848368027897</c:v>
                </c:pt>
                <c:pt idx="20">
                  <c:v>-0.49907491444304275</c:v>
                </c:pt>
                <c:pt idx="21">
                  <c:v>-0.4990086955642607</c:v>
                </c:pt>
                <c:pt idx="22">
                  <c:v>-0.49893971735348336</c:v>
                </c:pt>
                <c:pt idx="23">
                  <c:v>-0.49886786564325392</c:v>
                </c:pt>
                <c:pt idx="24">
                  <c:v>-0.49879302161184569</c:v>
                </c:pt>
                <c:pt idx="25">
                  <c:v>-0.498715061599453</c:v>
                </c:pt>
                <c:pt idx="26">
                  <c:v>-0.49863385691763124</c:v>
                </c:pt>
                <c:pt idx="27">
                  <c:v>-0.49854927365178531</c:v>
                </c:pt>
                <c:pt idx="28">
                  <c:v>-0.49846117245650001</c:v>
                </c:pt>
                <c:pt idx="29">
                  <c:v>-0.49836940834350657</c:v>
                </c:pt>
                <c:pt idx="30">
                  <c:v>-0.49827383046207652</c:v>
                </c:pt>
                <c:pt idx="31">
                  <c:v>-0.49817428187163604</c:v>
                </c:pt>
                <c:pt idx="32">
                  <c:v>-0.49807059930639114</c:v>
                </c:pt>
                <c:pt idx="33">
                  <c:v>-0.49796261293175814</c:v>
                </c:pt>
                <c:pt idx="34">
                  <c:v>-0.4978501460923922</c:v>
                </c:pt>
                <c:pt idx="35">
                  <c:v>-0.49773301505161133</c:v>
                </c:pt>
                <c:pt idx="36">
                  <c:v>-0.49761102872201718</c:v>
                </c:pt>
                <c:pt idx="37">
                  <c:v>-0.49748398838711572</c:v>
                </c:pt>
                <c:pt idx="38">
                  <c:v>-0.49735168741374947</c:v>
                </c:pt>
                <c:pt idx="39">
                  <c:v>-0.49721391095515832</c:v>
                </c:pt>
                <c:pt idx="40">
                  <c:v>-0.49707043564449582</c:v>
                </c:pt>
                <c:pt idx="41">
                  <c:v>-0.49692102927863463</c:v>
                </c:pt>
                <c:pt idx="42">
                  <c:v>-0.49676545049211179</c:v>
                </c:pt>
                <c:pt idx="43">
                  <c:v>-0.49660344842107262</c:v>
                </c:pt>
                <c:pt idx="44">
                  <c:v>-0.49643476235709089</c:v>
                </c:pt>
                <c:pt idx="45">
                  <c:v>-0.49625912139076045</c:v>
                </c:pt>
                <c:pt idx="46">
                  <c:v>-0.49607624404497236</c:v>
                </c:pt>
                <c:pt idx="47">
                  <c:v>-0.49588583789781604</c:v>
                </c:pt>
                <c:pt idx="48">
                  <c:v>-0.49568759919506777</c:v>
                </c:pt>
                <c:pt idx="49">
                  <c:v>-0.49548121245225879</c:v>
                </c:pt>
                <c:pt idx="50">
                  <c:v>-0.4952663500463485</c:v>
                </c:pt>
                <c:pt idx="51">
                  <c:v>-0.49504267179706191</c:v>
                </c:pt>
                <c:pt idx="52">
                  <c:v>-0.4948098245379926</c:v>
                </c:pt>
                <c:pt idx="53">
                  <c:v>-0.49456744167761474</c:v>
                </c:pt>
                <c:pt idx="54">
                  <c:v>-0.49431514275039645</c:v>
                </c:pt>
                <c:pt idx="55">
                  <c:v>-0.4940525329582604</c:v>
                </c:pt>
                <c:pt idx="56">
                  <c:v>-0.4937792027026951</c:v>
                </c:pt>
                <c:pt idx="57">
                  <c:v>-0.493494727107885</c:v>
                </c:pt>
                <c:pt idx="58">
                  <c:v>-0.49319866553529729</c:v>
                </c:pt>
                <c:pt idx="59">
                  <c:v>-0.49289056109023854</c:v>
                </c:pt>
                <c:pt idx="60">
                  <c:v>-0.49256994012097699</c:v>
                </c:pt>
                <c:pt idx="61">
                  <c:v>-0.49223631171111909</c:v>
                </c:pt>
                <c:pt idx="62">
                  <c:v>-0.49188916716602082</c:v>
                </c:pt>
                <c:pt idx="63">
                  <c:v>-0.49152797949412519</c:v>
                </c:pt>
                <c:pt idx="64">
                  <c:v>-0.49115220288422706</c:v>
                </c:pt>
                <c:pt idx="65">
                  <c:v>-0.49076127217979149</c:v>
                </c:pt>
                <c:pt idx="66">
                  <c:v>-0.4903546023515814</c:v>
                </c:pt>
                <c:pt idx="67">
                  <c:v>-0.48993158796999448</c:v>
                </c:pt>
                <c:pt idx="68">
                  <c:v>-0.48949160267865771</c:v>
                </c:pt>
                <c:pt idx="69">
                  <c:v>-0.48903399867099284</c:v>
                </c:pt>
                <c:pt idx="70">
                  <c:v>-0.48855810617163764</c:v>
                </c:pt>
                <c:pt idx="71">
                  <c:v>-0.48806323292479181</c:v>
                </c:pt>
                <c:pt idx="72">
                  <c:v>-0.4875486636917542</c:v>
                </c:pt>
                <c:pt idx="73">
                  <c:v>-0.48701365976012262</c:v>
                </c:pt>
                <c:pt idx="74">
                  <c:v>-0.48645745846735067</c:v>
                </c:pt>
                <c:pt idx="75">
                  <c:v>-0.48587927274158643</c:v>
                </c:pt>
                <c:pt idx="76">
                  <c:v>-0.48527829066296102</c:v>
                </c:pt>
                <c:pt idx="77">
                  <c:v>-0.4846536750487544</c:v>
                </c:pt>
                <c:pt idx="78">
                  <c:v>-0.48400456306613293</c:v>
                </c:pt>
                <c:pt idx="79">
                  <c:v>-0.48333006587643274</c:v>
                </c:pt>
                <c:pt idx="80">
                  <c:v>-0.48262926831525804</c:v>
                </c:pt>
                <c:pt idx="81">
                  <c:v>-0.48190122861296336</c:v>
                </c:pt>
                <c:pt idx="82">
                  <c:v>-0.48114497816040358</c:v>
                </c:pt>
                <c:pt idx="83">
                  <c:v>-0.4803595213251563</c:v>
                </c:pt>
                <c:pt idx="84">
                  <c:v>-0.47954383532375272</c:v>
                </c:pt>
                <c:pt idx="85">
                  <c:v>-0.4786968701557881</c:v>
                </c:pt>
                <c:pt idx="86">
                  <c:v>-0.47781754860612391</c:v>
                </c:pt>
                <c:pt idx="87">
                  <c:v>-0.47690476632173751</c:v>
                </c:pt>
                <c:pt idx="88">
                  <c:v>-0.47595739197011916</c:v>
                </c:pt>
                <c:pt idx="89">
                  <c:v>-0.47497426748645488</c:v>
                </c:pt>
                <c:pt idx="90">
                  <c:v>-0.47395420841716968</c:v>
                </c:pt>
                <c:pt idx="91">
                  <c:v>-0.47289600436773033</c:v>
                </c:pt>
                <c:pt idx="92">
                  <c:v>-0.47179841956291674</c:v>
                </c:pt>
                <c:pt idx="93">
                  <c:v>-0.47066019352806404</c:v>
                </c:pt>
                <c:pt idx="94">
                  <c:v>-0.46948004190004533</c:v>
                </c:pt>
                <c:pt idx="95">
                  <c:v>-0.46825665737700511</c:v>
                </c:pt>
                <c:pt idx="96">
                  <c:v>-0.46698871081605614</c:v>
                </c:pt>
                <c:pt idx="97">
                  <c:v>-0.46567485248831253</c:v>
                </c:pt>
                <c:pt idx="98">
                  <c:v>-0.46431371350074652</c:v>
                </c:pt>
                <c:pt idx="99">
                  <c:v>-0.46290390739440401</c:v>
                </c:pt>
                <c:pt idx="100">
                  <c:v>-0.46144403192850686</c:v>
                </c:pt>
                <c:pt idx="101">
                  <c:v>-0.45993267105987856</c:v>
                </c:pt>
                <c:pt idx="102">
                  <c:v>-0.45836839712695698</c:v>
                </c:pt>
                <c:pt idx="103">
                  <c:v>-0.45674977324739341</c:v>
                </c:pt>
                <c:pt idx="104">
                  <c:v>-0.45507535593786191</c:v>
                </c:pt>
                <c:pt idx="105">
                  <c:v>-0.45334369796421953</c:v>
                </c:pt>
                <c:pt idx="106">
                  <c:v>-0.45155335142954273</c:v>
                </c:pt>
                <c:pt idx="107">
                  <c:v>-0.44970287110681983</c:v>
                </c:pt>
                <c:pt idx="108">
                  <c:v>-0.44779081802218296</c:v>
                </c:pt>
                <c:pt idx="109">
                  <c:v>-0.44581576329351374</c:v>
                </c:pt>
                <c:pt idx="110">
                  <c:v>-0.44377629222804071</c:v>
                </c:pt>
                <c:pt idx="111">
                  <c:v>-0.44167100868115827</c:v>
                </c:pt>
                <c:pt idx="112">
                  <c:v>-0.43949853967712488</c:v>
                </c:pt>
                <c:pt idx="113">
                  <c:v>-0.43725754029054337</c:v>
                </c:pt>
                <c:pt idx="114">
                  <c:v>-0.43494669878557751</c:v>
                </c:pt>
                <c:pt idx="115">
                  <c:v>-0.43256474200771855</c:v>
                </c:pt>
                <c:pt idx="116">
                  <c:v>-0.4301104410205836</c:v>
                </c:pt>
                <c:pt idx="117">
                  <c:v>-0.42758261697770628</c:v>
                </c:pt>
                <c:pt idx="118">
                  <c:v>-0.42498014721657418</c:v>
                </c:pt>
                <c:pt idx="119">
                  <c:v>-0.42230197155929505</c:v>
                </c:pt>
                <c:pt idx="120">
                  <c:v>-0.41954709880123509</c:v>
                </c:pt>
                <c:pt idx="121">
                  <c:v>-0.41671461336580001</c:v>
                </c:pt>
                <c:pt idx="122">
                  <c:v>-0.41380368210023621</c:v>
                </c:pt>
                <c:pt idx="123">
                  <c:v>-0.41081356118394585</c:v>
                </c:pt>
                <c:pt idx="124">
                  <c:v>-0.40774360311736946</c:v>
                </c:pt>
                <c:pt idx="125">
                  <c:v>-0.40459326375602805</c:v>
                </c:pt>
                <c:pt idx="126">
                  <c:v>-0.40136210935087574</c:v>
                </c:pt>
                <c:pt idx="127">
                  <c:v>-0.39804982355274277</c:v>
                </c:pt>
                <c:pt idx="128">
                  <c:v>-0.39465621433539738</c:v>
                </c:pt>
                <c:pt idx="129">
                  <c:v>-0.39118122078867912</c:v>
                </c:pt>
                <c:pt idx="130">
                  <c:v>-0.38762491973031488</c:v>
                </c:pt>
                <c:pt idx="131">
                  <c:v>-0.38398753208248615</c:v>
                </c:pt>
                <c:pt idx="132">
                  <c:v>-0.38026942895703403</c:v>
                </c:pt>
                <c:pt idx="133">
                  <c:v>-0.37647113739143168</c:v>
                </c:pt>
                <c:pt idx="134">
                  <c:v>-0.37259334567639202</c:v>
                </c:pt>
                <c:pt idx="135">
                  <c:v>-0.36863690821526596</c:v>
                </c:pt>
                <c:pt idx="136">
                  <c:v>-0.36460284985529212</c:v>
                </c:pt>
                <c:pt idx="137">
                  <c:v>-0.36049236963133502</c:v>
                </c:pt>
                <c:pt idx="138">
                  <c:v>-0.35630684386403855</c:v>
                </c:pt>
                <c:pt idx="139">
                  <c:v>-0.35204782855637784</c:v>
                </c:pt>
                <c:pt idx="140">
                  <c:v>-0.34771706103543498</c:v>
                </c:pt>
                <c:pt idx="141">
                  <c:v>-0.34331646078987943</c:v>
                </c:pt>
                <c:pt idx="142">
                  <c:v>-0.33884812945810705</c:v>
                </c:pt>
                <c:pt idx="143">
                  <c:v>-0.3343143499272776</c:v>
                </c:pt>
                <c:pt idx="144">
                  <c:v>-0.32971758450956046</c:v>
                </c:pt>
                <c:pt idx="145">
                  <c:v>-0.32506047216872813</c:v>
                </c:pt>
                <c:pt idx="146">
                  <c:v>-0.32034582477775231</c:v>
                </c:pt>
                <c:pt idx="147">
                  <c:v>-0.31557662239620993</c:v>
                </c:pt>
                <c:pt idx="148">
                  <c:v>-0.31075600756498795</c:v>
                </c:pt>
                <c:pt idx="149">
                  <c:v>-0.30588727862490039</c:v>
                </c:pt>
                <c:pt idx="150">
                  <c:v>-0.30097388207527376</c:v>
                </c:pt>
                <c:pt idx="151">
                  <c:v>-0.29601940399819138</c:v>
                </c:pt>
                <c:pt idx="152">
                  <c:v>-0.29102756058377882</c:v>
                </c:pt>
                <c:pt idx="153">
                  <c:v>-0.28600218780150688</c:v>
                </c:pt>
                <c:pt idx="154">
                  <c:v>-0.28094723027184709</c:v>
                </c:pt>
                <c:pt idx="155">
                  <c:v>-0.27586672940157519</c:v>
                </c:pt>
                <c:pt idx="156">
                  <c:v>-0.27076481085443521</c:v>
                </c:pt>
                <c:pt idx="157">
                  <c:v>-0.26564567143660922</c:v>
                </c:pt>
                <c:pt idx="158">
                  <c:v>-0.2605135654833427</c:v>
                </c:pt>
                <c:pt idx="159">
                  <c:v>-0.25537279083903686</c:v>
                </c:pt>
                <c:pt idx="160">
                  <c:v>-0.2502276745280253</c:v>
                </c:pt>
                <c:pt idx="161">
                  <c:v>-0.2450825582170138</c:v>
                </c:pt>
                <c:pt idx="162">
                  <c:v>-0.2399417835727079</c:v>
                </c:pt>
                <c:pt idx="163">
                  <c:v>-0.23480967761944138</c:v>
                </c:pt>
                <c:pt idx="164">
                  <c:v>-0.22969053820161545</c:v>
                </c:pt>
                <c:pt idx="165">
                  <c:v>-0.22458861965447541</c:v>
                </c:pt>
                <c:pt idx="166">
                  <c:v>-0.21950811878420351</c:v>
                </c:pt>
                <c:pt idx="167">
                  <c:v>-0.21445316125454372</c:v>
                </c:pt>
                <c:pt idx="168">
                  <c:v>-0.20942778847227178</c:v>
                </c:pt>
                <c:pt idx="169">
                  <c:v>-0.20443594505785928</c:v>
                </c:pt>
                <c:pt idx="170">
                  <c:v>-0.19948146698077696</c:v>
                </c:pt>
                <c:pt idx="171">
                  <c:v>-0.19456807043115026</c:v>
                </c:pt>
                <c:pt idx="172">
                  <c:v>-0.18969934149106266</c:v>
                </c:pt>
                <c:pt idx="173">
                  <c:v>-0.18487872665984073</c:v>
                </c:pt>
                <c:pt idx="174">
                  <c:v>-0.18010952427829835</c:v>
                </c:pt>
                <c:pt idx="175">
                  <c:v>-0.17539487688732247</c:v>
                </c:pt>
                <c:pt idx="176">
                  <c:v>-0.1707377645464902</c:v>
                </c:pt>
                <c:pt idx="177">
                  <c:v>-0.16614099912877306</c:v>
                </c:pt>
                <c:pt idx="178">
                  <c:v>-0.16160721959794355</c:v>
                </c:pt>
                <c:pt idx="179">
                  <c:v>-0.15713888826617123</c:v>
                </c:pt>
                <c:pt idx="180">
                  <c:v>-0.15273828802061562</c:v>
                </c:pt>
                <c:pt idx="181">
                  <c:v>-0.14840752049967276</c:v>
                </c:pt>
                <c:pt idx="182">
                  <c:v>-0.14414850519201211</c:v>
                </c:pt>
                <c:pt idx="183">
                  <c:v>-0.13996297942471564</c:v>
                </c:pt>
                <c:pt idx="184">
                  <c:v>-0.13585249920075854</c:v>
                </c:pt>
                <c:pt idx="185">
                  <c:v>-0.1318184408407847</c:v>
                </c:pt>
                <c:pt idx="186">
                  <c:v>-0.12786200337965858</c:v>
                </c:pt>
                <c:pt idx="187">
                  <c:v>-0.12398421166461898</c:v>
                </c:pt>
                <c:pt idx="188">
                  <c:v>-0.12018592009901657</c:v>
                </c:pt>
                <c:pt idx="189">
                  <c:v>-0.11646781697356451</c:v>
                </c:pt>
                <c:pt idx="190">
                  <c:v>-0.11283042932573578</c:v>
                </c:pt>
                <c:pt idx="191">
                  <c:v>-0.10927412826737148</c:v>
                </c:pt>
                <c:pt idx="192">
                  <c:v>-0.10579913472065328</c:v>
                </c:pt>
                <c:pt idx="193">
                  <c:v>-0.10240552550330784</c:v>
                </c:pt>
                <c:pt idx="194">
                  <c:v>-9.9093239705174918E-2</c:v>
                </c:pt>
                <c:pt idx="195">
                  <c:v>-9.5862085300022548E-2</c:v>
                </c:pt>
                <c:pt idx="196">
                  <c:v>-9.2711745938681145E-2</c:v>
                </c:pt>
                <c:pt idx="197">
                  <c:v>-8.9641787872104806E-2</c:v>
                </c:pt>
                <c:pt idx="198">
                  <c:v>-8.6651666955814388E-2</c:v>
                </c:pt>
                <c:pt idx="199">
                  <c:v>-8.3740735690250645E-2</c:v>
                </c:pt>
                <c:pt idx="200">
                  <c:v>-8.0908250254815517E-2</c:v>
                </c:pt>
                <c:pt idx="201">
                  <c:v>-7.8153377496755549E-2</c:v>
                </c:pt>
                <c:pt idx="202">
                  <c:v>-7.5475201839476425E-2</c:v>
                </c:pt>
                <c:pt idx="203">
                  <c:v>-7.2872732078344327E-2</c:v>
                </c:pt>
                <c:pt idx="204">
                  <c:v>-7.0344908035467058E-2</c:v>
                </c:pt>
                <c:pt idx="205">
                  <c:v>-6.7890607048332052E-2</c:v>
                </c:pt>
                <c:pt idx="206">
                  <c:v>-6.5508650270473145E-2</c:v>
                </c:pt>
                <c:pt idx="207">
                  <c:v>-6.3197808765507291E-2</c:v>
                </c:pt>
                <c:pt idx="208">
                  <c:v>-6.095680937892578E-2</c:v>
                </c:pt>
                <c:pt idx="209">
                  <c:v>-5.8784340374892385E-2</c:v>
                </c:pt>
                <c:pt idx="210">
                  <c:v>-5.6679056828009944E-2</c:v>
                </c:pt>
                <c:pt idx="211">
                  <c:v>-5.4639585762536858E-2</c:v>
                </c:pt>
                <c:pt idx="212">
                  <c:v>-5.2664531033867645E-2</c:v>
                </c:pt>
                <c:pt idx="213">
                  <c:v>-5.0752477949230823E-2</c:v>
                </c:pt>
                <c:pt idx="214">
                  <c:v>-4.8901997626507876E-2</c:v>
                </c:pt>
                <c:pt idx="215">
                  <c:v>-4.7111651091831075E-2</c:v>
                </c:pt>
                <c:pt idx="216">
                  <c:v>-4.5379993118188744E-2</c:v>
                </c:pt>
                <c:pt idx="217">
                  <c:v>-4.3705575808657193E-2</c:v>
                </c:pt>
                <c:pt idx="218">
                  <c:v>-4.2086951929093619E-2</c:v>
                </c:pt>
                <c:pt idx="219">
                  <c:v>-4.0522677996172096E-2</c:v>
                </c:pt>
                <c:pt idx="220">
                  <c:v>-3.9011317127543799E-2</c:v>
                </c:pt>
                <c:pt idx="221">
                  <c:v>-3.7551441661646645E-2</c:v>
                </c:pt>
                <c:pt idx="222">
                  <c:v>-3.6141635555304141E-2</c:v>
                </c:pt>
                <c:pt idx="223">
                  <c:v>-3.4780496567738073E-2</c:v>
                </c:pt>
                <c:pt idx="224">
                  <c:v>-3.3466638239994462E-2</c:v>
                </c:pt>
                <c:pt idx="225">
                  <c:v>-3.2198691679045544E-2</c:v>
                </c:pt>
                <c:pt idx="226">
                  <c:v>-3.0975307156005327E-2</c:v>
                </c:pt>
                <c:pt idx="227">
                  <c:v>-2.9795155527986561E-2</c:v>
                </c:pt>
                <c:pt idx="228">
                  <c:v>-2.865692949313392E-2</c:v>
                </c:pt>
                <c:pt idx="229">
                  <c:v>-2.7559344688320331E-2</c:v>
                </c:pt>
                <c:pt idx="230">
                  <c:v>-2.6501140638880982E-2</c:v>
                </c:pt>
                <c:pt idx="231">
                  <c:v>-2.548108156959572E-2</c:v>
                </c:pt>
                <c:pt idx="232">
                  <c:v>-2.4497957085931499E-2</c:v>
                </c:pt>
                <c:pt idx="233">
                  <c:v>-2.3550582734313097E-2</c:v>
                </c:pt>
                <c:pt idx="234">
                  <c:v>-2.2637800449926804E-2</c:v>
                </c:pt>
                <c:pt idx="235">
                  <c:v>-2.1758478900262557E-2</c:v>
                </c:pt>
                <c:pt idx="236">
                  <c:v>-2.0911513732297937E-2</c:v>
                </c:pt>
                <c:pt idx="237">
                  <c:v>-2.00958277308943E-2</c:v>
                </c:pt>
                <c:pt idx="238">
                  <c:v>-1.9310370895647078E-2</c:v>
                </c:pt>
                <c:pt idx="239">
                  <c:v>-1.8554120443087241E-2</c:v>
                </c:pt>
                <c:pt idx="240">
                  <c:v>-1.7826080740792616E-2</c:v>
                </c:pt>
                <c:pt idx="241">
                  <c:v>-1.7125283179617923E-2</c:v>
                </c:pt>
                <c:pt idx="242">
                  <c:v>-1.6450785989917727E-2</c:v>
                </c:pt>
                <c:pt idx="243">
                  <c:v>-1.5801674007296262E-2</c:v>
                </c:pt>
                <c:pt idx="244">
                  <c:v>-1.5177058393089637E-2</c:v>
                </c:pt>
                <c:pt idx="245">
                  <c:v>-1.457607631446417E-2</c:v>
                </c:pt>
                <c:pt idx="246">
                  <c:v>-1.3997890588699935E-2</c:v>
                </c:pt>
                <c:pt idx="247">
                  <c:v>-1.3441689295928039E-2</c:v>
                </c:pt>
                <c:pt idx="248">
                  <c:v>-1.29066853642964E-2</c:v>
                </c:pt>
                <c:pt idx="249">
                  <c:v>-1.239211613125879E-2</c:v>
                </c:pt>
                <c:pt idx="250">
                  <c:v>-1.1897242884412962E-2</c:v>
                </c:pt>
                <c:pt idx="251">
                  <c:v>-1.142135038505776E-2</c:v>
                </c:pt>
                <c:pt idx="252">
                  <c:v>-1.0963746377392891E-2</c:v>
                </c:pt>
                <c:pt idx="253">
                  <c:v>-1.0523761086056183E-2</c:v>
                </c:pt>
                <c:pt idx="254">
                  <c:v>-1.0100746704469199E-2</c:v>
                </c:pt>
                <c:pt idx="255">
                  <c:v>-9.6940768762591167E-3</c:v>
                </c:pt>
                <c:pt idx="256">
                  <c:v>-9.3031461718235398E-3</c:v>
                </c:pt>
                <c:pt idx="257">
                  <c:v>-8.9273695619254689E-3</c:v>
                </c:pt>
                <c:pt idx="258">
                  <c:v>-8.5661818900298337E-3</c:v>
                </c:pt>
                <c:pt idx="259">
                  <c:v>-8.2190373449315124E-3</c:v>
                </c:pt>
                <c:pt idx="260">
                  <c:v>-7.8854089350736678E-3</c:v>
                </c:pt>
                <c:pt idx="261">
                  <c:v>-7.5647879658120587E-3</c:v>
                </c:pt>
                <c:pt idx="262">
                  <c:v>-7.2566835207533154E-3</c:v>
                </c:pt>
                <c:pt idx="263">
                  <c:v>-6.9606219481656573E-3</c:v>
                </c:pt>
                <c:pt idx="264">
                  <c:v>-6.6761463533555054E-3</c:v>
                </c:pt>
                <c:pt idx="265">
                  <c:v>-6.4028160977902537E-3</c:v>
                </c:pt>
                <c:pt idx="266">
                  <c:v>-6.1402063056542056E-3</c:v>
                </c:pt>
                <c:pt idx="267">
                  <c:v>-5.8879073784359193E-3</c:v>
                </c:pt>
                <c:pt idx="268">
                  <c:v>-5.6455245180579983E-3</c:v>
                </c:pt>
                <c:pt idx="269">
                  <c:v>-5.4126772589887517E-3</c:v>
                </c:pt>
                <c:pt idx="270">
                  <c:v>-5.1889990097020999E-3</c:v>
                </c:pt>
                <c:pt idx="271">
                  <c:v>-4.9741366037918677E-3</c:v>
                </c:pt>
                <c:pt idx="272">
                  <c:v>-4.7677498609828839E-3</c:v>
                </c:pt>
                <c:pt idx="273">
                  <c:v>-4.5695111582346182E-3</c:v>
                </c:pt>
                <c:pt idx="274">
                  <c:v>-4.3791050110782437E-3</c:v>
                </c:pt>
                <c:pt idx="275">
                  <c:v>-4.1962276652901531E-3</c:v>
                </c:pt>
                <c:pt idx="276">
                  <c:v>-4.0205866989597161E-3</c:v>
                </c:pt>
                <c:pt idx="277">
                  <c:v>-3.8519006349780338E-3</c:v>
                </c:pt>
                <c:pt idx="278">
                  <c:v>-3.6898985639388648E-3</c:v>
                </c:pt>
                <c:pt idx="279">
                  <c:v>-3.5343197774160284E-3</c:v>
                </c:pt>
                <c:pt idx="280">
                  <c:v>-3.3849134115548352E-3</c:v>
                </c:pt>
                <c:pt idx="281">
                  <c:v>-3.2414381008922799E-3</c:v>
                </c:pt>
                <c:pt idx="282">
                  <c:v>-3.103661642301192E-3</c:v>
                </c:pt>
                <c:pt idx="283">
                  <c:v>-2.9713606689348859E-3</c:v>
                </c:pt>
                <c:pt idx="284">
                  <c:v>-2.8443203340334233E-3</c:v>
                </c:pt>
                <c:pt idx="285">
                  <c:v>-2.7223340044392752E-3</c:v>
                </c:pt>
                <c:pt idx="286">
                  <c:v>-2.6052029636584595E-3</c:v>
                </c:pt>
                <c:pt idx="287">
                  <c:v>-2.4927361242924606E-3</c:v>
                </c:pt>
                <c:pt idx="288">
                  <c:v>-2.384749749659465E-3</c:v>
                </c:pt>
                <c:pt idx="289">
                  <c:v>-2.2810671844146202E-3</c:v>
                </c:pt>
                <c:pt idx="290">
                  <c:v>-2.1815185939741411E-3</c:v>
                </c:pt>
                <c:pt idx="291">
                  <c:v>-2.0859407125440321E-3</c:v>
                </c:pt>
                <c:pt idx="292">
                  <c:v>-1.9941765995506455E-3</c:v>
                </c:pt>
                <c:pt idx="293">
                  <c:v>-1.9060754042653505E-3</c:v>
                </c:pt>
                <c:pt idx="294">
                  <c:v>-1.8214921384194227E-3</c:v>
                </c:pt>
                <c:pt idx="295">
                  <c:v>-1.7402874565976556E-3</c:v>
                </c:pt>
                <c:pt idx="296">
                  <c:v>-1.6623274442049696E-3</c:v>
                </c:pt>
                <c:pt idx="297">
                  <c:v>-1.5874834127967419E-3</c:v>
                </c:pt>
                <c:pt idx="298">
                  <c:v>-1.5156317025672439E-3</c:v>
                </c:pt>
                <c:pt idx="299">
                  <c:v>-1.4466534917899621E-3</c:v>
                </c:pt>
                <c:pt idx="300">
                  <c:v>-1.3804346130078526E-3</c:v>
                </c:pt>
                <c:pt idx="301">
                  <c:v>-1.3168653757716919E-3</c:v>
                </c:pt>
                <c:pt idx="302">
                  <c:v>-1.2558403957290132E-3</c:v>
                </c:pt>
                <c:pt idx="303">
                  <c:v>-1.1972584298681199E-3</c:v>
                </c:pt>
                <c:pt idx="304">
                  <c:v>-1.1410222177264395E-3</c:v>
                </c:pt>
                <c:pt idx="305">
                  <c:v>-1.087038328372314E-3</c:v>
                </c:pt>
                <c:pt idx="306">
                  <c:v>-1.035217012979095E-3</c:v>
                </c:pt>
                <c:pt idx="307">
                  <c:v>-9.8547206280674704E-4</c:v>
                </c:pt>
                <c:pt idx="308">
                  <c:v>-9.3772067241731927E-4</c:v>
                </c:pt>
                <c:pt idx="309">
                  <c:v>-8.9188330794814918E-4</c:v>
                </c:pt>
                <c:pt idx="310">
                  <c:v>-8.4788358027704236E-4</c:v>
                </c:pt>
                <c:pt idx="311">
                  <c:v>-8.0564812291100685E-4</c:v>
                </c:pt>
                <c:pt idx="312">
                  <c:v>-7.6510647444150148E-4</c:v>
                </c:pt>
                <c:pt idx="313">
                  <c:v>-7.2619096540632588E-4</c:v>
                </c:pt>
                <c:pt idx="314">
                  <c:v>-6.8883660940921576E-4</c:v>
                </c:pt>
                <c:pt idx="315">
                  <c:v>-6.5298099834598666E-4</c:v>
                </c:pt>
                <c:pt idx="316">
                  <c:v>-6.1856420159528414E-4</c:v>
                </c:pt>
                <c:pt idx="317">
                  <c:v>-5.8552866903360812E-4</c:v>
                </c:pt>
                <c:pt idx="318">
                  <c:v>-5.5381913773849822E-4</c:v>
                </c:pt>
                <c:pt idx="319">
                  <c:v>-5.2338254224892911E-4</c:v>
                </c:pt>
                <c:pt idx="320">
                  <c:v>-4.9416792825468514E-4</c:v>
                </c:pt>
                <c:pt idx="321">
                  <c:v>-4.6612636959131315E-4</c:v>
                </c:pt>
                <c:pt idx="322">
                  <c:v>-4.3921088842080458E-4</c:v>
                </c:pt>
                <c:pt idx="323">
                  <c:v>-4.1337637848176678E-4</c:v>
                </c:pt>
                <c:pt idx="324">
                  <c:v>-3.8857953129667333E-4</c:v>
                </c:pt>
                <c:pt idx="325">
                  <c:v>-3.6477876522805763E-4</c:v>
                </c:pt>
                <c:pt idx="326">
                  <c:v>-3.419341572783452E-4</c:v>
                </c:pt>
                <c:pt idx="327">
                  <c:v>-3.2000737753035136E-4</c:v>
                </c:pt>
                <c:pt idx="328">
                  <c:v>-2.989616261330208E-4</c:v>
                </c:pt>
                <c:pt idx="329">
                  <c:v>-2.7876157273465374E-4</c:v>
                </c:pt>
                <c:pt idx="330">
                  <c:v>-2.5937329827407929E-4</c:v>
                </c:pt>
                <c:pt idx="331">
                  <c:v>-2.4076423903934829E-4</c:v>
                </c:pt>
                <c:pt idx="332">
                  <c:v>-2.2290313291017938E-4</c:v>
                </c:pt>
                <c:pt idx="333">
                  <c:v>-2.0575996770111349E-4</c:v>
                </c:pt>
                <c:pt idx="334">
                  <c:v>-1.8930593152560737E-4</c:v>
                </c:pt>
                <c:pt idx="335">
                  <c:v>-1.7351336510368354E-4</c:v>
                </c:pt>
                <c:pt idx="336">
                  <c:v>-1.5835571594108311E-4</c:v>
                </c:pt>
                <c:pt idx="337">
                  <c:v>-1.4380749430609185E-4</c:v>
                </c:pt>
                <c:pt idx="338">
                  <c:v>-1.2984423093714836E-4</c:v>
                </c:pt>
                <c:pt idx="339">
                  <c:v>-1.1644243641417695E-4</c:v>
                </c:pt>
                <c:pt idx="340">
                  <c:v>-1.0357956212914132E-4</c:v>
                </c:pt>
                <c:pt idx="341">
                  <c:v>-9.1233962795089774E-5</c:v>
                </c:pt>
                <c:pt idx="342">
                  <c:v>-7.9384860435016691E-5</c:v>
                </c:pt>
                <c:pt idx="343">
                  <c:v>-6.8012309790477232E-5</c:v>
                </c:pt>
                <c:pt idx="344">
                  <c:v>-5.7097165099162517E-5</c:v>
                </c:pt>
                <c:pt idx="345">
                  <c:v>-4.6621048184425362E-5</c:v>
                </c:pt>
                <c:pt idx="346">
                  <c:v>-3.6566317808517379E-5</c:v>
                </c:pt>
                <c:pt idx="347">
                  <c:v>-2.691604023918881E-5</c:v>
                </c:pt>
                <c:pt idx="348">
                  <c:v>-1.7653960982688677E-5</c:v>
                </c:pt>
                <c:pt idx="349">
                  <c:v>-8.7644776374795619E-6</c:v>
                </c:pt>
                <c:pt idx="350">
                  <c:v>-2.3261382503525496E-7</c:v>
                </c:pt>
                <c:pt idx="351">
                  <c:v>7.956005844245162E-6</c:v>
                </c:pt>
                <c:pt idx="352">
                  <c:v>1.5815179810474422E-5</c:v>
                </c:pt>
                <c:pt idx="353">
                  <c:v>2.3358152648811359E-5</c:v>
                </c:pt>
                <c:pt idx="354">
                  <c:v>3.0597637235729724E-5</c:v>
                </c:pt>
                <c:pt idx="355">
                  <c:v>3.7545836032992774E-5</c:v>
                </c:pt>
                <c:pt idx="356">
                  <c:v>3.7545836032992774E-5</c:v>
                </c:pt>
                <c:pt idx="357">
                  <c:v>3.7545836032992774E-5</c:v>
                </c:pt>
                <c:pt idx="358">
                  <c:v>3.7545836032992774E-5</c:v>
                </c:pt>
                <c:pt idx="359">
                  <c:v>3.7545836032992774E-5</c:v>
                </c:pt>
                <c:pt idx="360">
                  <c:v>3.7545836032992774E-5</c:v>
                </c:pt>
                <c:pt idx="361">
                  <c:v>3.7545836032992774E-5</c:v>
                </c:pt>
                <c:pt idx="362">
                  <c:v>3.7545836032992774E-5</c:v>
                </c:pt>
                <c:pt idx="363">
                  <c:v>3.7545836032992774E-5</c:v>
                </c:pt>
                <c:pt idx="364">
                  <c:v>3.7545836032992774E-5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1400"/>
        <c:axId val="644421792"/>
      </c:lineChart>
      <c:dateAx>
        <c:axId val="64442140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1792"/>
        <c:crosses val="autoZero"/>
        <c:auto val="1"/>
        <c:lblOffset val="100"/>
        <c:baseTimeUnit val="days"/>
        <c:majorUnit val="1"/>
      </c:dateAx>
      <c:valAx>
        <c:axId val="6444217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1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2.0678483516328505E-2</c:v>
                </c:pt>
                <c:pt idx="1">
                  <c:v>2.0699933170901907E-2</c:v>
                </c:pt>
                <c:pt idx="2">
                  <c:v>2.0721382355672779E-2</c:v>
                </c:pt>
                <c:pt idx="3">
                  <c:v>2.0742831070651557E-2</c:v>
                </c:pt>
                <c:pt idx="4">
                  <c:v>2.0764279315848344E-2</c:v>
                </c:pt>
                <c:pt idx="5">
                  <c:v>2.0785727091273576E-2</c:v>
                </c:pt>
                <c:pt idx="6">
                  <c:v>2.0807174396937467E-2</c:v>
                </c:pt>
                <c:pt idx="7">
                  <c:v>2.0828621232850342E-2</c:v>
                </c:pt>
                <c:pt idx="8">
                  <c:v>2.0850067599022415E-2</c:v>
                </c:pt>
                <c:pt idx="9">
                  <c:v>2.0871513495464011E-2</c:v>
                </c:pt>
                <c:pt idx="10">
                  <c:v>2.0892958922185567E-2</c:v>
                </c:pt>
                <c:pt idx="11">
                  <c:v>2.0914403879197074E-2</c:v>
                </c:pt>
                <c:pt idx="12">
                  <c:v>2.093584836650908E-2</c:v>
                </c:pt>
                <c:pt idx="13">
                  <c:v>2.0957292384131798E-2</c:v>
                </c:pt>
                <c:pt idx="14">
                  <c:v>2.0978735932075443E-2</c:v>
                </c:pt>
                <c:pt idx="15">
                  <c:v>2.1000179010350339E-2</c:v>
                </c:pt>
                <c:pt idx="16">
                  <c:v>2.1021621618966813E-2</c:v>
                </c:pt>
                <c:pt idx="17">
                  <c:v>2.1043063757935188E-2</c:v>
                </c:pt>
                <c:pt idx="18">
                  <c:v>2.1064505427265567E-2</c:v>
                </c:pt>
                <c:pt idx="19">
                  <c:v>2.1085946626968499E-2</c:v>
                </c:pt>
                <c:pt idx="20">
                  <c:v>2.1107387357054086E-2</c:v>
                </c:pt>
                <c:pt idx="21">
                  <c:v>2.1128827617532542E-2</c:v>
                </c:pt>
                <c:pt idx="22">
                  <c:v>2.1150267408414414E-2</c:v>
                </c:pt>
                <c:pt idx="23">
                  <c:v>2.1171706729709805E-2</c:v>
                </c:pt>
                <c:pt idx="24">
                  <c:v>2.1193145581428929E-2</c:v>
                </c:pt>
                <c:pt idx="25">
                  <c:v>2.1214583963582334E-2</c:v>
                </c:pt>
                <c:pt idx="26">
                  <c:v>2.1236021876180122E-2</c:v>
                </c:pt>
                <c:pt idx="27">
                  <c:v>2.1257459319232508E-2</c:v>
                </c:pt>
                <c:pt idx="28">
                  <c:v>2.1278896292749927E-2</c:v>
                </c:pt>
                <c:pt idx="29">
                  <c:v>2.1300332796742594E-2</c:v>
                </c:pt>
                <c:pt idx="30">
                  <c:v>2.1321768831220833E-2</c:v>
                </c:pt>
                <c:pt idx="31">
                  <c:v>2.134320439619497E-2</c:v>
                </c:pt>
                <c:pt idx="32">
                  <c:v>2.1364639491675108E-2</c:v>
                </c:pt>
                <c:pt idx="33">
                  <c:v>2.1386074117671683E-2</c:v>
                </c:pt>
                <c:pt idx="34">
                  <c:v>2.1407508274194909E-2</c:v>
                </c:pt>
                <c:pt idx="35">
                  <c:v>2.142894196125511E-2</c:v>
                </c:pt>
                <c:pt idx="36">
                  <c:v>2.1450375178862613E-2</c:v>
                </c:pt>
                <c:pt idx="37">
                  <c:v>2.1471807927027631E-2</c:v>
                </c:pt>
                <c:pt idx="38">
                  <c:v>2.1493240205760378E-2</c:v>
                </c:pt>
                <c:pt idx="39">
                  <c:v>2.151467201507129E-2</c:v>
                </c:pt>
                <c:pt idx="40">
                  <c:v>2.1536103354970582E-2</c:v>
                </c:pt>
                <c:pt idx="41">
                  <c:v>2.1557534225468467E-2</c:v>
                </c:pt>
                <c:pt idx="42">
                  <c:v>2.1578964626575381E-2</c:v>
                </c:pt>
                <c:pt idx="43">
                  <c:v>2.1600394558301428E-2</c:v>
                </c:pt>
                <c:pt idx="44">
                  <c:v>2.1621824020657043E-2</c:v>
                </c:pt>
                <c:pt idx="45">
                  <c:v>2.164325301365233E-2</c:v>
                </c:pt>
                <c:pt idx="46">
                  <c:v>2.1664681537297725E-2</c:v>
                </c:pt>
                <c:pt idx="47">
                  <c:v>2.1686109591603442E-2</c:v>
                </c:pt>
                <c:pt idx="48">
                  <c:v>2.1707537176579805E-2</c:v>
                </c:pt>
                <c:pt idx="49">
                  <c:v>2.1728964292237141E-2</c:v>
                </c:pt>
                <c:pt idx="50">
                  <c:v>2.1750390938585551E-2</c:v>
                </c:pt>
                <c:pt idx="51">
                  <c:v>2.1771817115635361E-2</c:v>
                </c:pt>
                <c:pt idx="52">
                  <c:v>2.1793242823397008E-2</c:v>
                </c:pt>
                <c:pt idx="53">
                  <c:v>2.1814668061880704E-2</c:v>
                </c:pt>
                <c:pt idx="54">
                  <c:v>2.1836092831096554E-2</c:v>
                </c:pt>
                <c:pt idx="55">
                  <c:v>2.1857517131055104E-2</c:v>
                </c:pt>
                <c:pt idx="56">
                  <c:v>2.1878940961766347E-2</c:v>
                </c:pt>
                <c:pt idx="57">
                  <c:v>2.1900364323240828E-2</c:v>
                </c:pt>
                <c:pt idx="58">
                  <c:v>2.1921787215488764E-2</c:v>
                </c:pt>
                <c:pt idx="59">
                  <c:v>2.1943209638520256E-2</c:v>
                </c:pt>
                <c:pt idx="60">
                  <c:v>2.196463159234574E-2</c:v>
                </c:pt>
                <c:pt idx="61">
                  <c:v>2.1986053076975542E-2</c:v>
                </c:pt>
                <c:pt idx="62">
                  <c:v>2.2007474092419765E-2</c:v>
                </c:pt>
                <c:pt idx="63">
                  <c:v>2.2028894638688734E-2</c:v>
                </c:pt>
                <c:pt idx="64">
                  <c:v>2.2050314715792885E-2</c:v>
                </c:pt>
                <c:pt idx="65">
                  <c:v>2.207173432374232E-2</c:v>
                </c:pt>
                <c:pt idx="66">
                  <c:v>2.2093153462547366E-2</c:v>
                </c:pt>
                <c:pt idx="67">
                  <c:v>2.2114572132218235E-2</c:v>
                </c:pt>
                <c:pt idx="68">
                  <c:v>2.2135990332765365E-2</c:v>
                </c:pt>
                <c:pt idx="69">
                  <c:v>2.2157408064198858E-2</c:v>
                </c:pt>
                <c:pt idx="70">
                  <c:v>2.217882532652915E-2</c:v>
                </c:pt>
                <c:pt idx="71">
                  <c:v>2.2200242119766345E-2</c:v>
                </c:pt>
                <c:pt idx="72">
                  <c:v>2.2221658443920878E-2</c:v>
                </c:pt>
                <c:pt idx="73">
                  <c:v>2.2243074299002963E-2</c:v>
                </c:pt>
                <c:pt idx="74">
                  <c:v>2.2264489685022815E-2</c:v>
                </c:pt>
                <c:pt idx="75">
                  <c:v>2.2285904601990758E-2</c:v>
                </c:pt>
                <c:pt idx="76">
                  <c:v>2.2307319049917007E-2</c:v>
                </c:pt>
                <c:pt idx="77">
                  <c:v>2.2328733028811998E-2</c:v>
                </c:pt>
                <c:pt idx="78">
                  <c:v>2.2350146538685833E-2</c:v>
                </c:pt>
                <c:pt idx="79">
                  <c:v>2.2371559579548839E-2</c:v>
                </c:pt>
                <c:pt idx="80">
                  <c:v>2.2392972151411228E-2</c:v>
                </c:pt>
                <c:pt idx="81">
                  <c:v>2.2414384254283437E-2</c:v>
                </c:pt>
                <c:pt idx="82">
                  <c:v>2.2435795888175569E-2</c:v>
                </c:pt>
                <c:pt idx="83">
                  <c:v>2.2457207053098061E-2</c:v>
                </c:pt>
                <c:pt idx="84">
                  <c:v>2.2478617749061014E-2</c:v>
                </c:pt>
                <c:pt idx="85">
                  <c:v>2.2500027976074866E-2</c:v>
                </c:pt>
                <c:pt idx="86">
                  <c:v>2.2521437734149719E-2</c:v>
                </c:pt>
                <c:pt idx="87">
                  <c:v>2.2542847023295898E-2</c:v>
                </c:pt>
                <c:pt idx="88">
                  <c:v>2.2564255843523728E-2</c:v>
                </c:pt>
                <c:pt idx="89">
                  <c:v>2.2585664194843535E-2</c:v>
                </c:pt>
                <c:pt idx="90">
                  <c:v>2.2607072077265422E-2</c:v>
                </c:pt>
                <c:pt idx="91">
                  <c:v>2.2628479490799713E-2</c:v>
                </c:pt>
                <c:pt idx="92">
                  <c:v>2.2649886435456734E-2</c:v>
                </c:pt>
                <c:pt idx="93">
                  <c:v>2.267129291124681E-2</c:v>
                </c:pt>
                <c:pt idx="94">
                  <c:v>2.2692698918180043E-2</c:v>
                </c:pt>
                <c:pt idx="95">
                  <c:v>2.2714104456266759E-2</c:v>
                </c:pt>
                <c:pt idx="96">
                  <c:v>2.2735509525517283E-2</c:v>
                </c:pt>
                <c:pt idx="97">
                  <c:v>2.2756914125941941E-2</c:v>
                </c:pt>
                <c:pt idx="98">
                  <c:v>2.2778318257550834E-2</c:v>
                </c:pt>
                <c:pt idx="99">
                  <c:v>2.2799721920354288E-2</c:v>
                </c:pt>
                <c:pt idx="100">
                  <c:v>2.2821125114362628E-2</c:v>
                </c:pt>
                <c:pt idx="101">
                  <c:v>2.284252783958618E-2</c:v>
                </c:pt>
                <c:pt idx="102">
                  <c:v>2.2863930096035046E-2</c:v>
                </c:pt>
                <c:pt idx="103">
                  <c:v>2.2885331883719551E-2</c:v>
                </c:pt>
                <c:pt idx="104">
                  <c:v>2.2906733202649909E-2</c:v>
                </c:pt>
                <c:pt idx="105">
                  <c:v>2.2928134052836557E-2</c:v>
                </c:pt>
                <c:pt idx="106">
                  <c:v>2.2949534434289709E-2</c:v>
                </c:pt>
                <c:pt idx="107">
                  <c:v>2.2970934347019467E-2</c:v>
                </c:pt>
                <c:pt idx="108">
                  <c:v>2.2992333791036268E-2</c:v>
                </c:pt>
                <c:pt idx="109">
                  <c:v>2.3013732766350325E-2</c:v>
                </c:pt>
                <c:pt idx="110">
                  <c:v>2.3035131272971854E-2</c:v>
                </c:pt>
                <c:pt idx="111">
                  <c:v>2.3056529310911289E-2</c:v>
                </c:pt>
                <c:pt idx="112">
                  <c:v>2.3077926880178623E-2</c:v>
                </c:pt>
                <c:pt idx="113">
                  <c:v>2.3099323980784403E-2</c:v>
                </c:pt>
                <c:pt idx="114">
                  <c:v>2.3120720612738732E-2</c:v>
                </c:pt>
                <c:pt idx="115">
                  <c:v>2.3142116776051824E-2</c:v>
                </c:pt>
                <c:pt idx="116">
                  <c:v>2.3163512470734116E-2</c:v>
                </c:pt>
                <c:pt idx="117">
                  <c:v>2.318490769679582E-2</c:v>
                </c:pt>
                <c:pt idx="118">
                  <c:v>2.3206302454247041E-2</c:v>
                </c:pt>
                <c:pt idx="119">
                  <c:v>2.3227696743098325E-2</c:v>
                </c:pt>
                <c:pt idx="120">
                  <c:v>2.3249090563359665E-2</c:v>
                </c:pt>
                <c:pt idx="121">
                  <c:v>2.3270483915041384E-2</c:v>
                </c:pt>
                <c:pt idx="122">
                  <c:v>2.3291876798153921E-2</c:v>
                </c:pt>
                <c:pt idx="123">
                  <c:v>2.3313269212707377E-2</c:v>
                </c:pt>
                <c:pt idx="124">
                  <c:v>2.3334661158711967E-2</c:v>
                </c:pt>
                <c:pt idx="125">
                  <c:v>2.3356052636178126E-2</c:v>
                </c:pt>
                <c:pt idx="126">
                  <c:v>2.3377443645116069E-2</c:v>
                </c:pt>
                <c:pt idx="127">
                  <c:v>2.3398834185535899E-2</c:v>
                </c:pt>
                <c:pt idx="128">
                  <c:v>2.3420224257448052E-2</c:v>
                </c:pt>
                <c:pt idx="129">
                  <c:v>2.3441613860862742E-2</c:v>
                </c:pt>
                <c:pt idx="130">
                  <c:v>2.3463002995790294E-2</c:v>
                </c:pt>
                <c:pt idx="131">
                  <c:v>2.3484391662240811E-2</c:v>
                </c:pt>
                <c:pt idx="132">
                  <c:v>2.3505779860224618E-2</c:v>
                </c:pt>
                <c:pt idx="133">
                  <c:v>2.352716758975204E-2</c:v>
                </c:pt>
                <c:pt idx="134">
                  <c:v>2.3548554850833292E-2</c:v>
                </c:pt>
                <c:pt idx="135">
                  <c:v>2.3569941643478587E-2</c:v>
                </c:pt>
                <c:pt idx="136">
                  <c:v>2.3591327967698361E-2</c:v>
                </c:pt>
                <c:pt idx="137">
                  <c:v>2.3612713823502607E-2</c:v>
                </c:pt>
                <c:pt idx="138">
                  <c:v>2.363409921090176E-2</c:v>
                </c:pt>
                <c:pt idx="139">
                  <c:v>2.3655484129906146E-2</c:v>
                </c:pt>
                <c:pt idx="140">
                  <c:v>2.3676868580525867E-2</c:v>
                </c:pt>
                <c:pt idx="141">
                  <c:v>2.3698252562771138E-2</c:v>
                </c:pt>
                <c:pt idx="142">
                  <c:v>2.3719636076652395E-2</c:v>
                </c:pt>
                <c:pt idx="143">
                  <c:v>2.3741019122179852E-2</c:v>
                </c:pt>
                <c:pt idx="144">
                  <c:v>2.3762401699363722E-2</c:v>
                </c:pt>
                <c:pt idx="145">
                  <c:v>2.3783783808214221E-2</c:v>
                </c:pt>
                <c:pt idx="146">
                  <c:v>2.3805165448741672E-2</c:v>
                </c:pt>
                <c:pt idx="147">
                  <c:v>2.3826546620956401E-2</c:v>
                </c:pt>
                <c:pt idx="148">
                  <c:v>2.3847927324868512E-2</c:v>
                </c:pt>
                <c:pt idx="149">
                  <c:v>2.3869307560488329E-2</c:v>
                </c:pt>
                <c:pt idx="150">
                  <c:v>2.3890687327826177E-2</c:v>
                </c:pt>
                <c:pt idx="151">
                  <c:v>2.3912066626892159E-2</c:v>
                </c:pt>
                <c:pt idx="152">
                  <c:v>2.3933445457696712E-2</c:v>
                </c:pt>
                <c:pt idx="153">
                  <c:v>2.3954823820249938E-2</c:v>
                </c:pt>
                <c:pt idx="154">
                  <c:v>2.3976201714562162E-2</c:v>
                </c:pt>
                <c:pt idx="155">
                  <c:v>2.399757914064371E-2</c:v>
                </c:pt>
                <c:pt idx="156">
                  <c:v>2.4018956098504685E-2</c:v>
                </c:pt>
                <c:pt idx="157">
                  <c:v>2.4040332588155522E-2</c:v>
                </c:pt>
                <c:pt idx="158">
                  <c:v>2.4061708609606214E-2</c:v>
                </c:pt>
                <c:pt idx="159">
                  <c:v>2.4083084162867308E-2</c:v>
                </c:pt>
                <c:pt idx="160">
                  <c:v>2.4104459247948906E-2</c:v>
                </c:pt>
                <c:pt idx="161">
                  <c:v>2.4125833864861224E-2</c:v>
                </c:pt>
                <c:pt idx="162">
                  <c:v>2.4147208013614585E-2</c:v>
                </c:pt>
                <c:pt idx="163">
                  <c:v>2.4168581694219315E-2</c:v>
                </c:pt>
                <c:pt idx="164">
                  <c:v>2.4189954906685518E-2</c:v>
                </c:pt>
                <c:pt idx="165">
                  <c:v>2.4211327651023518E-2</c:v>
                </c:pt>
                <c:pt idx="166">
                  <c:v>2.4232699927243528E-2</c:v>
                </c:pt>
                <c:pt idx="167">
                  <c:v>2.4254071735355875E-2</c:v>
                </c:pt>
                <c:pt idx="168">
                  <c:v>2.4275443075370773E-2</c:v>
                </c:pt>
                <c:pt idx="169">
                  <c:v>2.4296813947298546E-2</c:v>
                </c:pt>
                <c:pt idx="170">
                  <c:v>2.4318184351149297E-2</c:v>
                </c:pt>
                <c:pt idx="171">
                  <c:v>2.4339554286933351E-2</c:v>
                </c:pt>
                <c:pt idx="172">
                  <c:v>2.4360923754661035E-2</c:v>
                </c:pt>
                <c:pt idx="173">
                  <c:v>2.4382292754342449E-2</c:v>
                </c:pt>
                <c:pt idx="174">
                  <c:v>2.4403661285988032E-2</c:v>
                </c:pt>
                <c:pt idx="175">
                  <c:v>2.4425029349607885E-2</c:v>
                </c:pt>
                <c:pt idx="176">
                  <c:v>2.4446396945212223E-2</c:v>
                </c:pt>
                <c:pt idx="177">
                  <c:v>2.4467764072811482E-2</c:v>
                </c:pt>
                <c:pt idx="178">
                  <c:v>2.4489130732415765E-2</c:v>
                </c:pt>
                <c:pt idx="179">
                  <c:v>2.4510496924035396E-2</c:v>
                </c:pt>
                <c:pt idx="180">
                  <c:v>2.4531862647680591E-2</c:v>
                </c:pt>
                <c:pt idx="181">
                  <c:v>2.4553227903361563E-2</c:v>
                </c:pt>
                <c:pt idx="182">
                  <c:v>2.4574592691088637E-2</c:v>
                </c:pt>
                <c:pt idx="183">
                  <c:v>2.4595957010872027E-2</c:v>
                </c:pt>
                <c:pt idx="184">
                  <c:v>2.4617320862721948E-2</c:v>
                </c:pt>
                <c:pt idx="185">
                  <c:v>2.4638684246648723E-2</c:v>
                </c:pt>
                <c:pt idx="186">
                  <c:v>2.4660047162662568E-2</c:v>
                </c:pt>
                <c:pt idx="187">
                  <c:v>2.4681409610773697E-2</c:v>
                </c:pt>
                <c:pt idx="188">
                  <c:v>2.4702771590992434E-2</c:v>
                </c:pt>
                <c:pt idx="189">
                  <c:v>2.4724133103328882E-2</c:v>
                </c:pt>
                <c:pt idx="190">
                  <c:v>2.4745494147793479E-2</c:v>
                </c:pt>
                <c:pt idx="191">
                  <c:v>2.4766854724396326E-2</c:v>
                </c:pt>
                <c:pt idx="192">
                  <c:v>2.4788214833147748E-2</c:v>
                </c:pt>
                <c:pt idx="193">
                  <c:v>2.480957447405796E-2</c:v>
                </c:pt>
                <c:pt idx="194">
                  <c:v>2.4830933647137288E-2</c:v>
                </c:pt>
                <c:pt idx="195">
                  <c:v>2.4852292352395833E-2</c:v>
                </c:pt>
                <c:pt idx="196">
                  <c:v>2.4873650589843921E-2</c:v>
                </c:pt>
                <c:pt idx="197">
                  <c:v>2.4895008359491766E-2</c:v>
                </c:pt>
                <c:pt idx="198">
                  <c:v>2.4916365661349693E-2</c:v>
                </c:pt>
                <c:pt idx="199">
                  <c:v>2.4937722495427916E-2</c:v>
                </c:pt>
                <c:pt idx="200">
                  <c:v>2.495907886173665E-2</c:v>
                </c:pt>
                <c:pt idx="201">
                  <c:v>2.4980434760286108E-2</c:v>
                </c:pt>
                <c:pt idx="202">
                  <c:v>2.5001790191086615E-2</c:v>
                </c:pt>
                <c:pt idx="203">
                  <c:v>2.5023145154148385E-2</c:v>
                </c:pt>
                <c:pt idx="204">
                  <c:v>2.5044499649481633E-2</c:v>
                </c:pt>
                <c:pt idx="205">
                  <c:v>2.5065853677096683E-2</c:v>
                </c:pt>
                <c:pt idx="206">
                  <c:v>2.5087207237003639E-2</c:v>
                </c:pt>
                <c:pt idx="207">
                  <c:v>2.5108560329212937E-2</c:v>
                </c:pt>
                <c:pt idx="208">
                  <c:v>2.5129912953734568E-2</c:v>
                </c:pt>
                <c:pt idx="209">
                  <c:v>2.515126511057908E-2</c:v>
                </c:pt>
                <c:pt idx="210">
                  <c:v>2.5172616799756464E-2</c:v>
                </c:pt>
                <c:pt idx="211">
                  <c:v>2.5193968021277047E-2</c:v>
                </c:pt>
                <c:pt idx="212">
                  <c:v>2.5215318775151152E-2</c:v>
                </c:pt>
                <c:pt idx="213">
                  <c:v>2.5236669061388883E-2</c:v>
                </c:pt>
                <c:pt idx="214">
                  <c:v>2.5258018880000566E-2</c:v>
                </c:pt>
                <c:pt idx="215">
                  <c:v>2.5279368230996413E-2</c:v>
                </c:pt>
                <c:pt idx="216">
                  <c:v>2.530071711438675E-2</c:v>
                </c:pt>
                <c:pt idx="217">
                  <c:v>2.5322065530181681E-2</c:v>
                </c:pt>
                <c:pt idx="218">
                  <c:v>2.5343413478391641E-2</c:v>
                </c:pt>
                <c:pt idx="219">
                  <c:v>2.5364760959026622E-2</c:v>
                </c:pt>
                <c:pt idx="220">
                  <c:v>2.538610797209695E-2</c:v>
                </c:pt>
                <c:pt idx="221">
                  <c:v>2.540745451761306E-2</c:v>
                </c:pt>
                <c:pt idx="222">
                  <c:v>2.5428800595584944E-2</c:v>
                </c:pt>
                <c:pt idx="223">
                  <c:v>2.5450146206022928E-2</c:v>
                </c:pt>
                <c:pt idx="224">
                  <c:v>2.5471491348937336E-2</c:v>
                </c:pt>
                <c:pt idx="225">
                  <c:v>2.5492836024338272E-2</c:v>
                </c:pt>
                <c:pt idx="226">
                  <c:v>2.5514180232236061E-2</c:v>
                </c:pt>
                <c:pt idx="227">
                  <c:v>2.5535523972640806E-2</c:v>
                </c:pt>
                <c:pt idx="228">
                  <c:v>2.5556867245563053E-2</c:v>
                </c:pt>
                <c:pt idx="229">
                  <c:v>2.5578210051012684E-2</c:v>
                </c:pt>
                <c:pt idx="230">
                  <c:v>2.5599552389000135E-2</c:v>
                </c:pt>
                <c:pt idx="231">
                  <c:v>2.5620894259535731E-2</c:v>
                </c:pt>
                <c:pt idx="232">
                  <c:v>2.5642235662629465E-2</c:v>
                </c:pt>
                <c:pt idx="233">
                  <c:v>2.5663576598291771E-2</c:v>
                </c:pt>
                <c:pt idx="234">
                  <c:v>2.5684917066532753E-2</c:v>
                </c:pt>
                <c:pt idx="235">
                  <c:v>2.5706257067362737E-2</c:v>
                </c:pt>
                <c:pt idx="236">
                  <c:v>2.5727596600791935E-2</c:v>
                </c:pt>
                <c:pt idx="237">
                  <c:v>2.5748935666830564E-2</c:v>
                </c:pt>
                <c:pt idx="238">
                  <c:v>2.5770274265488946E-2</c:v>
                </c:pt>
                <c:pt idx="239">
                  <c:v>2.5791612396777186E-2</c:v>
                </c:pt>
                <c:pt idx="240">
                  <c:v>2.5812950060705608E-2</c:v>
                </c:pt>
                <c:pt idx="241">
                  <c:v>2.5834287257284427E-2</c:v>
                </c:pt>
                <c:pt idx="242">
                  <c:v>2.5855623986523857E-2</c:v>
                </c:pt>
                <c:pt idx="243">
                  <c:v>2.5876960248434222E-2</c:v>
                </c:pt>
                <c:pt idx="244">
                  <c:v>2.5898296043025626E-2</c:v>
                </c:pt>
                <c:pt idx="245">
                  <c:v>2.5919631370308505E-2</c:v>
                </c:pt>
                <c:pt idx="246">
                  <c:v>2.594096623029285E-2</c:v>
                </c:pt>
                <c:pt idx="247">
                  <c:v>2.5962300622988987E-2</c:v>
                </c:pt>
                <c:pt idx="248">
                  <c:v>2.5983634548407242E-2</c:v>
                </c:pt>
                <c:pt idx="249">
                  <c:v>2.6004968006557716E-2</c:v>
                </c:pt>
                <c:pt idx="250">
                  <c:v>2.6026300997450735E-2</c:v>
                </c:pt>
                <c:pt idx="251">
                  <c:v>2.6047633521096514E-2</c:v>
                </c:pt>
                <c:pt idx="252">
                  <c:v>2.6068965577505265E-2</c:v>
                </c:pt>
                <c:pt idx="253">
                  <c:v>2.6090297166687204E-2</c:v>
                </c:pt>
                <c:pt idx="254">
                  <c:v>2.6111628288652544E-2</c:v>
                </c:pt>
                <c:pt idx="255">
                  <c:v>2.6132958943411722E-2</c:v>
                </c:pt>
                <c:pt idx="256">
                  <c:v>2.6154289130974728E-2</c:v>
                </c:pt>
                <c:pt idx="257">
                  <c:v>2.6175618851351889E-2</c:v>
                </c:pt>
                <c:pt idx="258">
                  <c:v>2.6196948104553419E-2</c:v>
                </c:pt>
                <c:pt idx="259">
                  <c:v>2.6218276890589531E-2</c:v>
                </c:pt>
                <c:pt idx="260">
                  <c:v>2.6239605209470551E-2</c:v>
                </c:pt>
                <c:pt idx="261">
                  <c:v>2.6260933061206693E-2</c:v>
                </c:pt>
                <c:pt idx="262">
                  <c:v>2.6282260445808059E-2</c:v>
                </c:pt>
                <c:pt idx="263">
                  <c:v>2.6303587363284975E-2</c:v>
                </c:pt>
                <c:pt idx="264">
                  <c:v>2.6324913813647766E-2</c:v>
                </c:pt>
                <c:pt idx="265">
                  <c:v>2.6346239796906423E-2</c:v>
                </c:pt>
                <c:pt idx="266">
                  <c:v>2.6367565313071384E-2</c:v>
                </c:pt>
                <c:pt idx="267">
                  <c:v>2.638889036215275E-2</c:v>
                </c:pt>
                <c:pt idx="268">
                  <c:v>2.6410214944160959E-2</c:v>
                </c:pt>
                <c:pt idx="269">
                  <c:v>2.6431539059106002E-2</c:v>
                </c:pt>
                <c:pt idx="270">
                  <c:v>2.6452862706998204E-2</c:v>
                </c:pt>
                <c:pt idx="271">
                  <c:v>2.6474185887847779E-2</c:v>
                </c:pt>
                <c:pt idx="272">
                  <c:v>2.6495508601664941E-2</c:v>
                </c:pt>
                <c:pt idx="273">
                  <c:v>2.6516830848460016E-2</c:v>
                </c:pt>
                <c:pt idx="274">
                  <c:v>2.6538152628243106E-2</c:v>
                </c:pt>
                <c:pt idx="275">
                  <c:v>2.6559473941024536E-2</c:v>
                </c:pt>
                <c:pt idx="276">
                  <c:v>2.658079478681441E-2</c:v>
                </c:pt>
                <c:pt idx="277">
                  <c:v>2.6602115165623164E-2</c:v>
                </c:pt>
                <c:pt idx="278">
                  <c:v>2.6623435077460789E-2</c:v>
                </c:pt>
                <c:pt idx="279">
                  <c:v>2.6644754522337721E-2</c:v>
                </c:pt>
                <c:pt idx="280">
                  <c:v>2.6666073500264065E-2</c:v>
                </c:pt>
                <c:pt idx="281">
                  <c:v>2.6687392011250144E-2</c:v>
                </c:pt>
                <c:pt idx="282">
                  <c:v>2.6708710055306062E-2</c:v>
                </c:pt>
                <c:pt idx="283">
                  <c:v>2.6730027632442033E-2</c:v>
                </c:pt>
                <c:pt idx="284">
                  <c:v>2.6751344742668492E-2</c:v>
                </c:pt>
                <c:pt idx="285">
                  <c:v>2.6772661385995433E-2</c:v>
                </c:pt>
                <c:pt idx="286">
                  <c:v>2.679397756243318E-2</c:v>
                </c:pt>
                <c:pt idx="287">
                  <c:v>2.6815293271991947E-2</c:v>
                </c:pt>
                <c:pt idx="288">
                  <c:v>2.6836608514682059E-2</c:v>
                </c:pt>
                <c:pt idx="289">
                  <c:v>2.6857923290513508E-2</c:v>
                </c:pt>
                <c:pt idx="290">
                  <c:v>2.6879237599496841E-2</c:v>
                </c:pt>
                <c:pt idx="291">
                  <c:v>2.690055144164194E-2</c:v>
                </c:pt>
                <c:pt idx="292">
                  <c:v>2.6921864816959351E-2</c:v>
                </c:pt>
                <c:pt idx="293">
                  <c:v>2.6943177725459067E-2</c:v>
                </c:pt>
                <c:pt idx="294">
                  <c:v>2.69644901671513E-2</c:v>
                </c:pt>
                <c:pt idx="295">
                  <c:v>2.6985802142046489E-2</c:v>
                </c:pt>
                <c:pt idx="296">
                  <c:v>2.7007113650154624E-2</c:v>
                </c:pt>
                <c:pt idx="297">
                  <c:v>2.7028424691486141E-2</c:v>
                </c:pt>
                <c:pt idx="298">
                  <c:v>2.7049735266051145E-2</c:v>
                </c:pt>
                <c:pt idx="299">
                  <c:v>2.7071045373859848E-2</c:v>
                </c:pt>
                <c:pt idx="300">
                  <c:v>2.7092355014922465E-2</c:v>
                </c:pt>
                <c:pt idx="301">
                  <c:v>2.711366418924932E-2</c:v>
                </c:pt>
                <c:pt idx="302">
                  <c:v>2.7134972896850518E-2</c:v>
                </c:pt>
                <c:pt idx="303">
                  <c:v>2.7156281137736382E-2</c:v>
                </c:pt>
                <c:pt idx="304">
                  <c:v>2.7177588911917017E-2</c:v>
                </c:pt>
                <c:pt idx="305">
                  <c:v>2.7198896219402746E-2</c:v>
                </c:pt>
                <c:pt idx="306">
                  <c:v>2.7220203060203785E-2</c:v>
                </c:pt>
                <c:pt idx="307">
                  <c:v>2.7241509434330347E-2</c:v>
                </c:pt>
                <c:pt idx="308">
                  <c:v>2.7262815341792535E-2</c:v>
                </c:pt>
                <c:pt idx="309">
                  <c:v>2.7284120782600785E-2</c:v>
                </c:pt>
                <c:pt idx="310">
                  <c:v>2.7305425756765089E-2</c:v>
                </c:pt>
                <c:pt idx="311">
                  <c:v>2.7326730264295884E-2</c:v>
                </c:pt>
                <c:pt idx="312">
                  <c:v>2.7348034305203162E-2</c:v>
                </c:pt>
                <c:pt idx="313">
                  <c:v>2.7369337879497357E-2</c:v>
                </c:pt>
                <c:pt idx="314">
                  <c:v>2.7390640987188575E-2</c:v>
                </c:pt>
                <c:pt idx="315">
                  <c:v>2.7411943628287139E-2</c:v>
                </c:pt>
                <c:pt idx="316">
                  <c:v>2.7433245802803041E-2</c:v>
                </c:pt>
                <c:pt idx="317">
                  <c:v>2.745454751074683E-2</c:v>
                </c:pt>
                <c:pt idx="318">
                  <c:v>2.7475848752128385E-2</c:v>
                </c:pt>
                <c:pt idx="319">
                  <c:v>2.7497149526958142E-2</c:v>
                </c:pt>
                <c:pt idx="320">
                  <c:v>2.7518449835246317E-2</c:v>
                </c:pt>
                <c:pt idx="321">
                  <c:v>2.7539749677003011E-2</c:v>
                </c:pt>
                <c:pt idx="322">
                  <c:v>2.7561049052238551E-2</c:v>
                </c:pt>
                <c:pt idx="323">
                  <c:v>2.7582347960963038E-2</c:v>
                </c:pt>
                <c:pt idx="324">
                  <c:v>2.7603646403186799E-2</c:v>
                </c:pt>
                <c:pt idx="325">
                  <c:v>2.7624944378920047E-2</c:v>
                </c:pt>
                <c:pt idx="326">
                  <c:v>2.7646241888172995E-2</c:v>
                </c:pt>
                <c:pt idx="327">
                  <c:v>2.7667538930955748E-2</c:v>
                </c:pt>
                <c:pt idx="328">
                  <c:v>2.7688835507278631E-2</c:v>
                </c:pt>
                <c:pt idx="329">
                  <c:v>2.7710131617151856E-2</c:v>
                </c:pt>
                <c:pt idx="330">
                  <c:v>2.7731427260585639E-2</c:v>
                </c:pt>
                <c:pt idx="331">
                  <c:v>2.7752722437590083E-2</c:v>
                </c:pt>
                <c:pt idx="332">
                  <c:v>2.7774017148175623E-2</c:v>
                </c:pt>
                <c:pt idx="333">
                  <c:v>2.7795311392352251E-2</c:v>
                </c:pt>
                <c:pt idx="334">
                  <c:v>2.7816605170130293E-2</c:v>
                </c:pt>
                <c:pt idx="335">
                  <c:v>2.7837898481519963E-2</c:v>
                </c:pt>
                <c:pt idx="336">
                  <c:v>2.7859191326531474E-2</c:v>
                </c:pt>
                <c:pt idx="337">
                  <c:v>2.7880483705175041E-2</c:v>
                </c:pt>
                <c:pt idx="338">
                  <c:v>2.7901775617460878E-2</c:v>
                </c:pt>
                <c:pt idx="339">
                  <c:v>2.7923067063399198E-2</c:v>
                </c:pt>
                <c:pt idx="340">
                  <c:v>2.7944358043000217E-2</c:v>
                </c:pt>
                <c:pt idx="341">
                  <c:v>2.7965648556274147E-2</c:v>
                </c:pt>
                <c:pt idx="342">
                  <c:v>2.7986938603231093E-2</c:v>
                </c:pt>
                <c:pt idx="343">
                  <c:v>2.8008228183881489E-2</c:v>
                </c:pt>
                <c:pt idx="344">
                  <c:v>2.802951729823544E-2</c:v>
                </c:pt>
                <c:pt idx="345">
                  <c:v>2.8050805946303048E-2</c:v>
                </c:pt>
                <c:pt idx="346">
                  <c:v>2.8072094128094638E-2</c:v>
                </c:pt>
                <c:pt idx="347">
                  <c:v>2.8093381843620424E-2</c:v>
                </c:pt>
                <c:pt idx="348">
                  <c:v>2.8114669092890732E-2</c:v>
                </c:pt>
                <c:pt idx="349">
                  <c:v>2.8135955875915553E-2</c:v>
                </c:pt>
                <c:pt idx="350">
                  <c:v>2.8157242192705101E-2</c:v>
                </c:pt>
                <c:pt idx="351">
                  <c:v>2.8178528043269813E-2</c:v>
                </c:pt>
                <c:pt idx="352">
                  <c:v>2.819981342761968E-2</c:v>
                </c:pt>
                <c:pt idx="353">
                  <c:v>2.8221098345765139E-2</c:v>
                </c:pt>
                <c:pt idx="354">
                  <c:v>2.824238279771607E-2</c:v>
                </c:pt>
                <c:pt idx="355">
                  <c:v>2.8263666783483021E-2</c:v>
                </c:pt>
                <c:pt idx="356">
                  <c:v>2.8284950303075984E-2</c:v>
                </c:pt>
                <c:pt idx="357">
                  <c:v>2.8306233356505284E-2</c:v>
                </c:pt>
                <c:pt idx="358">
                  <c:v>2.8327515943781134E-2</c:v>
                </c:pt>
                <c:pt idx="359">
                  <c:v>2.8348798064913638E-2</c:v>
                </c:pt>
                <c:pt idx="360">
                  <c:v>2.8370079719913122E-2</c:v>
                </c:pt>
                <c:pt idx="361">
                  <c:v>2.8391360908789687E-2</c:v>
                </c:pt>
                <c:pt idx="362">
                  <c:v>2.8412641631553659E-2</c:v>
                </c:pt>
                <c:pt idx="363">
                  <c:v>2.8433921888215141E-2</c:v>
                </c:pt>
                <c:pt idx="364">
                  <c:v>2.8455201678784348E-2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8.0854451332278879E-2</c:v>
                </c:pt>
                <c:pt idx="1">
                  <c:v>8.0887012828700686E-2</c:v>
                </c:pt>
                <c:pt idx="2">
                  <c:v>8.0919720857500585E-2</c:v>
                </c:pt>
                <c:pt idx="3">
                  <c:v>8.0952556748984231E-2</c:v>
                </c:pt>
                <c:pt idx="4">
                  <c:v>8.0985504244417181E-2</c:v>
                </c:pt>
                <c:pt idx="5">
                  <c:v>8.1018549422213246E-2</c:v>
                </c:pt>
                <c:pt idx="6">
                  <c:v>8.1051680606068335E-2</c:v>
                </c:pt>
                <c:pt idx="7">
                  <c:v>8.1084888256535675E-2</c:v>
                </c:pt>
                <c:pt idx="8">
                  <c:v>8.1118164847658325E-2</c:v>
                </c:pt>
                <c:pt idx="9">
                  <c:v>8.1151504730378091E-2</c:v>
                </c:pt>
                <c:pt idx="10">
                  <c:v>8.1184903984525603E-2</c:v>
                </c:pt>
                <c:pt idx="11">
                  <c:v>8.1218360261261224E-2</c:v>
                </c:pt>
                <c:pt idx="12">
                  <c:v>8.1251872617885204E-2</c:v>
                </c:pt>
                <c:pt idx="13">
                  <c:v>8.1285441346961473E-2</c:v>
                </c:pt>
                <c:pt idx="14">
                  <c:v>8.1319067801709499E-2</c:v>
                </c:pt>
                <c:pt idx="15">
                  <c:v>8.135275421960729E-2</c:v>
                </c:pt>
                <c:pt idx="16">
                  <c:v>8.1386503546119482E-2</c:v>
                </c:pt>
                <c:pt idx="17">
                  <c:v>8.1420319260416818E-2</c:v>
                </c:pt>
                <c:pt idx="18">
                  <c:v>8.1454205204889885E-2</c:v>
                </c:pt>
                <c:pt idx="19">
                  <c:v>8.1488165420177075E-2</c:v>
                </c:pt>
                <c:pt idx="20">
                  <c:v>8.1522203987331524E-2</c:v>
                </c:pt>
                <c:pt idx="21">
                  <c:v>8.155632487864091E-2</c:v>
                </c:pt>
                <c:pt idx="22">
                  <c:v>8.1590531818490047E-2</c:v>
                </c:pt>
                <c:pt idx="23">
                  <c:v>8.1624828155522161E-2</c:v>
                </c:pt>
                <c:pt idx="24">
                  <c:v>8.1659216747209232E-2</c:v>
                </c:pt>
                <c:pt idx="25">
                  <c:v>8.1693699857789528E-2</c:v>
                </c:pt>
                <c:pt idx="26">
                  <c:v>8.1728279070370766E-2</c:v>
                </c:pt>
                <c:pt idx="27">
                  <c:v>8.1762955213832977E-2</c:v>
                </c:pt>
                <c:pt idx="28">
                  <c:v>8.1797728304998013E-2</c:v>
                </c:pt>
                <c:pt idx="29">
                  <c:v>8.183259750636393E-2</c:v>
                </c:pt>
                <c:pt idx="30">
                  <c:v>8.1867561099534011E-2</c:v>
                </c:pt>
                <c:pt idx="31">
                  <c:v>8.1902616474304565E-2</c:v>
                </c:pt>
                <c:pt idx="32">
                  <c:v>8.193776013321262E-2</c:v>
                </c:pt>
                <c:pt idx="33">
                  <c:v>8.1972987711188425E-2</c:v>
                </c:pt>
                <c:pt idx="34">
                  <c:v>8.2008294009806901E-2</c:v>
                </c:pt>
                <c:pt idx="35">
                  <c:v>8.2043673045490956E-2</c:v>
                </c:pt>
                <c:pt idx="36">
                  <c:v>8.2079118110887209E-2</c:v>
                </c:pt>
                <c:pt idx="37">
                  <c:v>8.2114621848513508E-2</c:v>
                </c:pt>
                <c:pt idx="38">
                  <c:v>8.2150176335667957E-2</c:v>
                </c:pt>
                <c:pt idx="39">
                  <c:v>8.2185773179492702E-2</c:v>
                </c:pt>
                <c:pt idx="40">
                  <c:v>8.2221403621002942E-2</c:v>
                </c:pt>
                <c:pt idx="41">
                  <c:v>8.2257058646821771E-2</c:v>
                </c:pt>
                <c:pt idx="42">
                  <c:v>8.229272910730806E-2</c:v>
                </c:pt>
                <c:pt idx="43">
                  <c:v>8.2328405839724964E-2</c:v>
                </c:pt>
                <c:pt idx="44">
                  <c:v>8.2364079795071252E-2</c:v>
                </c:pt>
                <c:pt idx="45">
                  <c:v>8.2399742167189954E-2</c:v>
                </c:pt>
                <c:pt idx="46">
                  <c:v>8.2435384522771896E-2</c:v>
                </c:pt>
                <c:pt idx="47">
                  <c:v>8.2470998930893366E-2</c:v>
                </c:pt>
                <c:pt idx="48">
                  <c:v>8.2506578090759175E-2</c:v>
                </c:pt>
                <c:pt idx="49">
                  <c:v>8.2542115456369927E-2</c:v>
                </c:pt>
                <c:pt idx="50">
                  <c:v>8.2577605356891237E-2</c:v>
                </c:pt>
                <c:pt idx="51">
                  <c:v>8.2613043111572901E-2</c:v>
                </c:pt>
                <c:pt idx="52">
                  <c:v>8.2648425138148324E-2</c:v>
                </c:pt>
                <c:pt idx="53">
                  <c:v>8.2683749053733255E-2</c:v>
                </c:pt>
                <c:pt idx="54">
                  <c:v>8.2719013767343474E-2</c:v>
                </c:pt>
                <c:pt idx="55">
                  <c:v>8.2754219563255141E-2</c:v>
                </c:pt>
                <c:pt idx="56">
                  <c:v>8.2789368174543396E-2</c:v>
                </c:pt>
                <c:pt idx="57">
                  <c:v>8.282446284624978E-2</c:v>
                </c:pt>
                <c:pt idx="58">
                  <c:v>8.2859508387747555E-2</c:v>
                </c:pt>
                <c:pt idx="59">
                  <c:v>8.2894511213992342E-2</c:v>
                </c:pt>
                <c:pt idx="60">
                  <c:v>8.292947937546663E-2</c:v>
                </c:pt>
                <c:pt idx="61">
                  <c:v>8.2964422576742802E-2</c:v>
                </c:pt>
                <c:pt idx="62">
                  <c:v>8.2999352183706715E-2</c:v>
                </c:pt>
                <c:pt idx="63">
                  <c:v>8.3034281219592943E-2</c:v>
                </c:pt>
                <c:pt idx="64">
                  <c:v>8.3069224350091439E-2</c:v>
                </c:pt>
                <c:pt idx="65">
                  <c:v>8.3104197857883144E-2</c:v>
                </c:pt>
                <c:pt idx="66">
                  <c:v>8.3139219607055712E-2</c:v>
                </c:pt>
                <c:pt idx="67">
                  <c:v>8.3174308997934931E-2</c:v>
                </c:pt>
                <c:pt idx="68">
                  <c:v>8.3209486912941791E-2</c:v>
                </c:pt>
                <c:pt idx="69">
                  <c:v>8.3244775654151434E-2</c:v>
                </c:pt>
                <c:pt idx="70">
                  <c:v>8.3280198873285263E-2</c:v>
                </c:pt>
                <c:pt idx="71">
                  <c:v>8.3315781494911659E-2</c:v>
                </c:pt>
                <c:pt idx="72">
                  <c:v>8.3351549633664382E-2</c:v>
                </c:pt>
                <c:pt idx="73">
                  <c:v>8.3387530506310342E-2</c:v>
                </c:pt>
                <c:pt idx="74">
                  <c:v>8.3423752339509202E-2</c:v>
                </c:pt>
                <c:pt idx="75">
                  <c:v>8.3460244274107295E-2</c:v>
                </c:pt>
                <c:pt idx="76">
                  <c:v>8.3497036266798899E-2</c:v>
                </c:pt>
                <c:pt idx="77">
                  <c:v>8.3534158989964954E-2</c:v>
                </c:pt>
                <c:pt idx="78">
                  <c:v>8.3571643730470685E-2</c:v>
                </c:pt>
                <c:pt idx="79">
                  <c:v>8.3609522288162333E-2</c:v>
                </c:pt>
                <c:pt idx="80">
                  <c:v>8.3647826874755027E-2</c:v>
                </c:pt>
                <c:pt idx="81">
                  <c:v>8.3686590013748452E-2</c:v>
                </c:pt>
                <c:pt idx="82">
                  <c:v>8.3725844441943864E-2</c:v>
                </c:pt>
                <c:pt idx="83">
                  <c:v>8.3765623013068002E-2</c:v>
                </c:pt>
                <c:pt idx="84">
                  <c:v>8.3805958603936678E-2</c:v>
                </c:pt>
                <c:pt idx="85">
                  <c:v>8.384688402351477E-2</c:v>
                </c:pt>
                <c:pt idx="86">
                  <c:v>8.3888431925150636E-2</c:v>
                </c:pt>
                <c:pt idx="87">
                  <c:v>8.3930634722183775E-2</c:v>
                </c:pt>
                <c:pt idx="88">
                  <c:v>8.3973524507044636E-2</c:v>
                </c:pt>
                <c:pt idx="89">
                  <c:v>8.4017132973887715E-2</c:v>
                </c:pt>
                <c:pt idx="90">
                  <c:v>8.4061491344722947E-2</c:v>
                </c:pt>
                <c:pt idx="91">
                  <c:v>8.4106630298938029E-2</c:v>
                </c:pt>
                <c:pt idx="92">
                  <c:v>8.4152579906036876E-2</c:v>
                </c:pt>
                <c:pt idx="93">
                  <c:v>8.4199369561356555E-2</c:v>
                </c:pt>
                <c:pt idx="94">
                  <c:v>8.4247027924470072E-2</c:v>
                </c:pt>
                <c:pt idx="95">
                  <c:v>8.4295582859932799E-2</c:v>
                </c:pt>
                <c:pt idx="96">
                  <c:v>8.4345061379990871E-2</c:v>
                </c:pt>
                <c:pt idx="97">
                  <c:v>8.4395489588836664E-2</c:v>
                </c:pt>
                <c:pt idx="98">
                  <c:v>8.4446892627975251E-2</c:v>
                </c:pt>
                <c:pt idx="99">
                  <c:v>8.4499294622250129E-2</c:v>
                </c:pt>
                <c:pt idx="100">
                  <c:v>8.4552718626074927E-2</c:v>
                </c:pt>
                <c:pt idx="101">
                  <c:v>8.4607186569422357E-2</c:v>
                </c:pt>
                <c:pt idx="102">
                  <c:v>8.4662719203138281E-2</c:v>
                </c:pt>
                <c:pt idx="103">
                  <c:v>8.471933604317386E-2</c:v>
                </c:pt>
                <c:pt idx="104">
                  <c:v>8.4777055313364144E-2</c:v>
                </c:pt>
                <c:pt idx="105">
                  <c:v>8.4835893886424429E-2</c:v>
                </c:pt>
                <c:pt idx="106">
                  <c:v>8.4895867222888638E-2</c:v>
                </c:pt>
                <c:pt idx="107">
                  <c:v>8.4956989307773401E-2</c:v>
                </c:pt>
                <c:pt idx="108">
                  <c:v>8.5019272584818742E-2</c:v>
                </c:pt>
                <c:pt idx="109">
                  <c:v>8.0531107998261017E-3</c:v>
                </c:pt>
                <c:pt idx="110">
                  <c:v>8.159095730858627E-3</c:v>
                </c:pt>
                <c:pt idx="111">
                  <c:v>8.2651799121882634E-3</c:v>
                </c:pt>
                <c:pt idx="112">
                  <c:v>8.3713680576665197E-3</c:v>
                </c:pt>
                <c:pt idx="113">
                  <c:v>8.4776647038510011E-3</c:v>
                </c:pt>
                <c:pt idx="114">
                  <c:v>8.5840741909008512E-3</c:v>
                </c:pt>
                <c:pt idx="115">
                  <c:v>8.6906006428532096E-3</c:v>
                </c:pt>
                <c:pt idx="116">
                  <c:v>8.7972479473269732E-3</c:v>
                </c:pt>
                <c:pt idx="117">
                  <c:v>8.9040197347131644E-3</c:v>
                </c:pt>
                <c:pt idx="118">
                  <c:v>9.010919356925589E-3</c:v>
                </c:pt>
                <c:pt idx="119">
                  <c:v>9.1179498657985719E-3</c:v>
                </c:pt>
                <c:pt idx="120">
                  <c:v>9.2251139912333368E-3</c:v>
                </c:pt>
                <c:pt idx="121">
                  <c:v>9.3324141192075907E-3</c:v>
                </c:pt>
                <c:pt idx="122">
                  <c:v>9.4398522697766458E-3</c:v>
                </c:pt>
                <c:pt idx="123">
                  <c:v>9.5474300752070394E-3</c:v>
                </c:pt>
                <c:pt idx="124">
                  <c:v>9.655148758395217E-3</c:v>
                </c:pt>
                <c:pt idx="125">
                  <c:v>9.7630091117350496E-3</c:v>
                </c:pt>
                <c:pt idx="126">
                  <c:v>9.8710114766073758E-3</c:v>
                </c:pt>
                <c:pt idx="127">
                  <c:v>9.9791557236732133E-3</c:v>
                </c:pt>
                <c:pt idx="128">
                  <c:v>1.0087441234158525E-2</c:v>
                </c:pt>
                <c:pt idx="129">
                  <c:v>1.0195866882324012E-2</c:v>
                </c:pt>
                <c:pt idx="130">
                  <c:v>1.0304431019315776E-2</c:v>
                </c:pt>
                <c:pt idx="131">
                  <c:v>1.0413131458594333E-2</c:v>
                </c:pt>
                <c:pt idx="132">
                  <c:v>1.0521965463137922E-2</c:v>
                </c:pt>
                <c:pt idx="133">
                  <c:v>1.063092973461314E-2</c:v>
                </c:pt>
                <c:pt idx="134">
                  <c:v>1.0740020404700316E-2</c:v>
                </c:pt>
                <c:pt idx="135">
                  <c:v>1.0849233028753227E-2</c:v>
                </c:pt>
                <c:pt idx="136">
                  <c:v>1.0958562581962821E-2</c:v>
                </c:pt>
                <c:pt idx="137">
                  <c:v>1.1068003458182159E-2</c:v>
                </c:pt>
                <c:pt idx="138">
                  <c:v>1.1177549471555446E-2</c:v>
                </c:pt>
                <c:pt idx="139">
                  <c:v>1.128719386107708E-2</c:v>
                </c:pt>
                <c:pt idx="140">
                  <c:v>1.1396929298188283E-2</c:v>
                </c:pt>
                <c:pt idx="141">
                  <c:v>1.150674789749807E-2</c:v>
                </c:pt>
                <c:pt idx="142">
                  <c:v>1.1616641230693061E-2</c:v>
                </c:pt>
                <c:pt idx="143">
                  <c:v>1.172660034367666E-2</c:v>
                </c:pt>
                <c:pt idx="144">
                  <c:v>1.1836615776953144E-2</c:v>
                </c:pt>
                <c:pt idx="145">
                  <c:v>1.1946677589245537E-2</c:v>
                </c:pt>
                <c:pt idx="146">
                  <c:v>1.205677538430896E-2</c:v>
                </c:pt>
                <c:pt idx="147">
                  <c:v>1.2166898340873502E-2</c:v>
                </c:pt>
                <c:pt idx="148">
                  <c:v>1.2277035245622257E-2</c:v>
                </c:pt>
                <c:pt idx="149">
                  <c:v>1.2387174529081812E-2</c:v>
                </c:pt>
                <c:pt idx="150">
                  <c:v>1.2497304304274613E-2</c:v>
                </c:pt>
                <c:pt idx="151">
                  <c:v>1.2607412407955217E-2</c:v>
                </c:pt>
                <c:pt idx="152">
                  <c:v>1.2717486444225462E-2</c:v>
                </c:pt>
                <c:pt idx="153">
                  <c:v>1.2827513830298277E-2</c:v>
                </c:pt>
                <c:pt idx="154">
                  <c:v>1.2937481844155795E-2</c:v>
                </c:pt>
                <c:pt idx="155">
                  <c:v>1.3047377673824774E-2</c:v>
                </c:pt>
                <c:pt idx="156">
                  <c:v>1.3157188467972288E-2</c:v>
                </c:pt>
                <c:pt idx="157">
                  <c:v>1.3266901387506075E-2</c:v>
                </c:pt>
                <c:pt idx="158">
                  <c:v>1.3376503657848442E-2</c:v>
                </c:pt>
                <c:pt idx="159">
                  <c:v>1.348598262153957E-2</c:v>
                </c:pt>
                <c:pt idx="160">
                  <c:v>1.3595325790815831E-2</c:v>
                </c:pt>
                <c:pt idx="161">
                  <c:v>1.3704520899801658E-2</c:v>
                </c:pt>
                <c:pt idx="162">
                  <c:v>1.3813555955949561E-2</c:v>
                </c:pt>
                <c:pt idx="163">
                  <c:v>1.392241929036208E-2</c:v>
                </c:pt>
                <c:pt idx="164">
                  <c:v>1.4031099606632361E-2</c:v>
                </c:pt>
                <c:pt idx="165">
                  <c:v>1.4139586027845716E-2</c:v>
                </c:pt>
                <c:pt idx="166">
                  <c:v>1.4247868141394339E-2</c:v>
                </c:pt>
                <c:pt idx="167">
                  <c:v>1.4355936041269694E-2</c:v>
                </c:pt>
                <c:pt idx="168">
                  <c:v>1.4463780367513227E-2</c:v>
                </c:pt>
                <c:pt idx="169">
                  <c:v>1.4571392342525514E-2</c:v>
                </c:pt>
                <c:pt idx="170">
                  <c:v>1.4678763803955261E-2</c:v>
                </c:pt>
                <c:pt idx="171">
                  <c:v>1.4785887233915754E-2</c:v>
                </c:pt>
                <c:pt idx="172">
                  <c:v>1.4892755784302634E-2</c:v>
                </c:pt>
                <c:pt idx="173">
                  <c:v>1.4999363298018015E-2</c:v>
                </c:pt>
                <c:pt idx="174">
                  <c:v>1.5105704325937271E-2</c:v>
                </c:pt>
                <c:pt idx="175">
                  <c:v>1.5211774139489011E-2</c:v>
                </c:pt>
                <c:pt idx="176">
                  <c:v>1.5317568738754115E-2</c:v>
                </c:pt>
                <c:pt idx="177">
                  <c:v>1.5423084856026319E-2</c:v>
                </c:pt>
                <c:pt idx="178">
                  <c:v>1.5528319954813989E-2</c:v>
                </c:pt>
                <c:pt idx="179">
                  <c:v>1.5633272224300644E-2</c:v>
                </c:pt>
                <c:pt idx="180">
                  <c:v>1.5737940569319778E-2</c:v>
                </c:pt>
                <c:pt idx="181">
                  <c:v>1.5842324595936621E-2</c:v>
                </c:pt>
                <c:pt idx="182">
                  <c:v>1.5946424592766809E-2</c:v>
                </c:pt>
                <c:pt idx="183">
                  <c:v>1.6050241508197279E-2</c:v>
                </c:pt>
                <c:pt idx="184">
                  <c:v>1.6153776923709291E-2</c:v>
                </c:pt>
                <c:pt idx="185">
                  <c:v>1.6257033023535747E-2</c:v>
                </c:pt>
                <c:pt idx="186">
                  <c:v>1.6360012560915585E-2</c:v>
                </c:pt>
                <c:pt idx="187">
                  <c:v>1.6462718821235567E-2</c:v>
                </c:pt>
                <c:pt idx="188">
                  <c:v>1.6565155582375223E-2</c:v>
                </c:pt>
                <c:pt idx="189">
                  <c:v>1.6667327072592719E-2</c:v>
                </c:pt>
                <c:pt idx="190">
                  <c:v>1.6769237926308141E-2</c:v>
                </c:pt>
                <c:pt idx="191">
                  <c:v>1.6870893138155877E-2</c:v>
                </c:pt>
                <c:pt idx="192">
                  <c:v>1.6972298015690085E-2</c:v>
                </c:pt>
                <c:pt idx="193">
                  <c:v>1.7073458131134249E-2</c:v>
                </c:pt>
                <c:pt idx="194">
                  <c:v>1.7174379272570487E-2</c:v>
                </c:pt>
                <c:pt idx="195">
                  <c:v>1.7275067394964184E-2</c:v>
                </c:pt>
                <c:pt idx="196">
                  <c:v>1.7375528571415458E-2</c:v>
                </c:pt>
                <c:pt idx="197">
                  <c:v>1.7475768945021532E-2</c:v>
                </c:pt>
                <c:pt idx="198">
                  <c:v>1.7575794681722337E-2</c:v>
                </c:pt>
                <c:pt idx="199">
                  <c:v>1.7675611924485992E-2</c:v>
                </c:pt>
                <c:pt idx="200">
                  <c:v>1.7775226749173E-2</c:v>
                </c:pt>
                <c:pt idx="201">
                  <c:v>1.7874645122394204E-2</c:v>
                </c:pt>
                <c:pt idx="202">
                  <c:v>1.7973872861653837E-2</c:v>
                </c:pt>
                <c:pt idx="203">
                  <c:v>1.8072915598039651E-2</c:v>
                </c:pt>
                <c:pt idx="204">
                  <c:v>1.8171778741691832E-2</c:v>
                </c:pt>
                <c:pt idx="205">
                  <c:v>1.8270467450249628E-2</c:v>
                </c:pt>
                <c:pt idx="206">
                  <c:v>1.8368986600439535E-2</c:v>
                </c:pt>
                <c:pt idx="207">
                  <c:v>1.8467340762932879E-2</c:v>
                </c:pt>
                <c:pt idx="208">
                  <c:v>1.856553418056325E-2</c:v>
                </c:pt>
                <c:pt idx="209">
                  <c:v>1.8663570749956469E-2</c:v>
                </c:pt>
                <c:pt idx="210">
                  <c:v>1.8761454006587578E-2</c:v>
                </c:pt>
                <c:pt idx="211">
                  <c:v>1.8859187113241277E-2</c:v>
                </c:pt>
                <c:pt idx="212">
                  <c:v>1.895677285181549E-2</c:v>
                </c:pt>
                <c:pt idx="213">
                  <c:v>1.9054213618370914E-2</c:v>
                </c:pt>
                <c:pt idx="214">
                  <c:v>1.9151511421295276E-2</c:v>
                </c:pt>
                <c:pt idx="215">
                  <c:v>1.924866788241816E-2</c:v>
                </c:pt>
                <c:pt idx="216">
                  <c:v>1.9345684240881303E-2</c:v>
                </c:pt>
                <c:pt idx="217">
                  <c:v>1.944256135954231E-2</c:v>
                </c:pt>
                <c:pt idx="218">
                  <c:v>1.9539299733663834E-2</c:v>
                </c:pt>
                <c:pt idx="219">
                  <c:v>1.9635899501619525E-2</c:v>
                </c:pt>
                <c:pt idx="220">
                  <c:v>1.9732360457329304E-2</c:v>
                </c:pt>
                <c:pt idx="221">
                  <c:v>1.9828682064122791E-2</c:v>
                </c:pt>
                <c:pt idx="222">
                  <c:v>1.992486346971865E-2</c:v>
                </c:pt>
                <c:pt idx="223">
                  <c:v>2.0020903522002004E-2</c:v>
                </c:pt>
                <c:pt idx="224">
                  <c:v>2.0116800785279321E-2</c:v>
                </c:pt>
                <c:pt idx="225">
                  <c:v>2.0212553556692714E-2</c:v>
                </c:pt>
                <c:pt idx="226">
                  <c:v>2.0308159882481452E-2</c:v>
                </c:pt>
                <c:pt idx="227">
                  <c:v>2.0403617573789203E-2</c:v>
                </c:pt>
                <c:pt idx="228">
                  <c:v>2.049892422173006E-2</c:v>
                </c:pt>
                <c:pt idx="229">
                  <c:v>2.0594077211444232E-2</c:v>
                </c:pt>
                <c:pt idx="230">
                  <c:v>2.0689073734897197E-2</c:v>
                </c:pt>
                <c:pt idx="231">
                  <c:v>2.0783910802200895E-2</c:v>
                </c:pt>
                <c:pt idx="232">
                  <c:v>2.0878585251264736E-2</c:v>
                </c:pt>
                <c:pt idx="233">
                  <c:v>2.0973093755615586E-2</c:v>
                </c:pt>
                <c:pt idx="234">
                  <c:v>2.1067432830259705E-2</c:v>
                </c:pt>
                <c:pt idx="235">
                  <c:v>2.1161598835496356E-2</c:v>
                </c:pt>
                <c:pt idx="236">
                  <c:v>2.125558797862992E-2</c:v>
                </c:pt>
                <c:pt idx="237">
                  <c:v>2.1349396313566676E-2</c:v>
                </c:pt>
                <c:pt idx="238">
                  <c:v>2.144301973832231E-2</c:v>
                </c:pt>
                <c:pt idx="239">
                  <c:v>2.1536453990505845E-2</c:v>
                </c:pt>
                <c:pt idx="240">
                  <c:v>2.1629694640885669E-2</c:v>
                </c:pt>
                <c:pt idx="241">
                  <c:v>2.1722737085182405E-2</c:v>
                </c:pt>
                <c:pt idx="242">
                  <c:v>2.1815576534271165E-2</c:v>
                </c:pt>
                <c:pt idx="243">
                  <c:v>2.1908208003011614E-2</c:v>
                </c:pt>
                <c:pt idx="244">
                  <c:v>2.2000626297958563E-2</c:v>
                </c:pt>
                <c:pt idx="245">
                  <c:v>2.2092826004236649E-2</c:v>
                </c:pt>
                <c:pt idx="246">
                  <c:v>2.2184801471891193E-2</c:v>
                </c:pt>
                <c:pt idx="247">
                  <c:v>2.2276546802051937E-2</c:v>
                </c:pt>
                <c:pt idx="248">
                  <c:v>2.2368055833266884E-2</c:v>
                </c:pt>
                <c:pt idx="249">
                  <c:v>2.245932212838091E-2</c:v>
                </c:pt>
                <c:pt idx="250">
                  <c:v>2.2550338962345096E-2</c:v>
                </c:pt>
                <c:pt idx="251">
                  <c:v>2.2641099311350988E-2</c:v>
                </c:pt>
                <c:pt idx="252">
                  <c:v>2.2731595843686215E-2</c:v>
                </c:pt>
                <c:pt idx="253">
                  <c:v>2.2821820912705622E-2</c:v>
                </c:pt>
                <c:pt idx="254">
                  <c:v>2.291176655230448E-2</c:v>
                </c:pt>
                <c:pt idx="255">
                  <c:v>2.300142447526762E-2</c:v>
                </c:pt>
                <c:pt idx="256">
                  <c:v>2.3090786074850791E-2</c:v>
                </c:pt>
                <c:pt idx="257">
                  <c:v>2.3179842429927284E-2</c:v>
                </c:pt>
                <c:pt idx="258">
                  <c:v>2.3268584314005806E-2</c:v>
                </c:pt>
                <c:pt idx="259">
                  <c:v>2.335700220839251E-2</c:v>
                </c:pt>
                <c:pt idx="260">
                  <c:v>2.3445086319734135E-2</c:v>
                </c:pt>
                <c:pt idx="261">
                  <c:v>2.3532826602137659E-2</c:v>
                </c:pt>
                <c:pt idx="262">
                  <c:v>2.3620212784017842E-2</c:v>
                </c:pt>
                <c:pt idx="263">
                  <c:v>2.3707234399775848E-2</c:v>
                </c:pt>
                <c:pt idx="264">
                  <c:v>2.3793880826361542E-2</c:v>
                </c:pt>
                <c:pt idx="265">
                  <c:v>2.3880141324719082E-2</c:v>
                </c:pt>
                <c:pt idx="266">
                  <c:v>2.3966005086060234E-2</c:v>
                </c:pt>
                <c:pt idx="267">
                  <c:v>2.405146128285408E-2</c:v>
                </c:pt>
                <c:pt idx="268">
                  <c:v>2.4136499124364479E-2</c:v>
                </c:pt>
                <c:pt idx="269">
                  <c:v>2.4221107916510408E-2</c:v>
                </c:pt>
                <c:pt idx="270">
                  <c:v>2.4305277125766956E-2</c:v>
                </c:pt>
                <c:pt idx="271">
                  <c:v>2.4388996446770648E-2</c:v>
                </c:pt>
                <c:pt idx="272">
                  <c:v>2.447225587323848E-2</c:v>
                </c:pt>
                <c:pt idx="273">
                  <c:v>2.4555045771759241E-2</c:v>
                </c:pt>
                <c:pt idx="274">
                  <c:v>2.4637356957968089E-2</c:v>
                </c:pt>
                <c:pt idx="275">
                  <c:v>2.4719180774569926E-2</c:v>
                </c:pt>
                <c:pt idx="276">
                  <c:v>2.4800509170637461E-2</c:v>
                </c:pt>
                <c:pt idx="277">
                  <c:v>2.4881334781573894E-2</c:v>
                </c:pt>
                <c:pt idx="278">
                  <c:v>2.4961651009099039E-2</c:v>
                </c:pt>
                <c:pt idx="279">
                  <c:v>2.5041452100592984E-2</c:v>
                </c:pt>
                <c:pt idx="280">
                  <c:v>2.5120733227111756E-2</c:v>
                </c:pt>
                <c:pt idx="281">
                  <c:v>2.5199490559376595E-2</c:v>
                </c:pt>
                <c:pt idx="282">
                  <c:v>2.527772134103148E-2</c:v>
                </c:pt>
                <c:pt idx="283">
                  <c:v>2.5355423958464039E-2</c:v>
                </c:pt>
                <c:pt idx="284">
                  <c:v>2.5432598006491301E-2</c:v>
                </c:pt>
                <c:pt idx="285">
                  <c:v>2.5509244349226131E-2</c:v>
                </c:pt>
                <c:pt idx="286">
                  <c:v>2.5585365175460211E-2</c:v>
                </c:pt>
                <c:pt idx="287">
                  <c:v>2.5660964047927184E-2</c:v>
                </c:pt>
                <c:pt idx="288">
                  <c:v>2.573604594584384E-2</c:v>
                </c:pt>
                <c:pt idx="289">
                  <c:v>2.5810617300167205E-2</c:v>
                </c:pt>
                <c:pt idx="290">
                  <c:v>2.5884686021052958E-2</c:v>
                </c:pt>
                <c:pt idx="291">
                  <c:v>2.5958261517052422E-2</c:v>
                </c:pt>
                <c:pt idx="292">
                  <c:v>2.6031354705643772E-2</c:v>
                </c:pt>
                <c:pt idx="293">
                  <c:v>2.6103978014756335E-2</c:v>
                </c:pt>
                <c:pt idx="294">
                  <c:v>2.6176145375013459E-2</c:v>
                </c:pt>
                <c:pt idx="295">
                  <c:v>2.6247872202491623E-2</c:v>
                </c:pt>
                <c:pt idx="296">
                  <c:v>2.6319175371867395E-2</c:v>
                </c:pt>
                <c:pt idx="297">
                  <c:v>2.6390073179901049E-2</c:v>
                </c:pt>
                <c:pt idx="298">
                  <c:v>2.6460585299284814E-2</c:v>
                </c:pt>
                <c:pt idx="299">
                  <c:v>2.6530732722963687E-2</c:v>
                </c:pt>
                <c:pt idx="300">
                  <c:v>2.660053769911741E-2</c:v>
                </c:pt>
                <c:pt idx="301">
                  <c:v>2.6670023657072255E-2</c:v>
                </c:pt>
                <c:pt idx="302">
                  <c:v>2.6739215124490952E-2</c:v>
                </c:pt>
                <c:pt idx="303">
                  <c:v>2.6808137636265487E-2</c:v>
                </c:pt>
                <c:pt idx="304">
                  <c:v>2.6876817635613153E-2</c:v>
                </c:pt>
                <c:pt idx="305">
                  <c:v>2.694528236794692E-2</c:v>
                </c:pt>
                <c:pt idx="306">
                  <c:v>2.7013559768158845E-2</c:v>
                </c:pt>
                <c:pt idx="307">
                  <c:v>2.7081678342017808E-2</c:v>
                </c:pt>
                <c:pt idx="308">
                  <c:v>2.7149667042440061E-2</c:v>
                </c:pt>
                <c:pt idx="309">
                  <c:v>2.7217555141442543E-2</c:v>
                </c:pt>
                <c:pt idx="310">
                  <c:v>2.728537209863377E-2</c:v>
                </c:pt>
                <c:pt idx="311">
                  <c:v>2.7353147427134884E-2</c:v>
                </c:pt>
                <c:pt idx="312">
                  <c:v>2.7420910557854349E-2</c:v>
                </c:pt>
                <c:pt idx="313">
                  <c:v>2.7488690703062167E-2</c:v>
                </c:pt>
                <c:pt idx="314">
                  <c:v>2.7556516720224848E-2</c:v>
                </c:pt>
                <c:pt idx="315">
                  <c:v>2.7624416977068588E-2</c:v>
                </c:pt>
                <c:pt idx="316">
                  <c:v>2.7692419218836788E-2</c:v>
                </c:pt>
                <c:pt idx="317">
                  <c:v>2.7760550438697768E-2</c:v>
                </c:pt>
                <c:pt idx="318">
                  <c:v>2.7828836752240294E-2</c:v>
                </c:pt>
                <c:pt idx="319">
                  <c:v>2.7897303276967968E-2</c:v>
                </c:pt>
                <c:pt idx="320">
                  <c:v>2.7965974017668722E-2</c:v>
                </c:pt>
                <c:pt idx="321">
                  <c:v>2.8034871758493562E-2</c:v>
                </c:pt>
                <c:pt idx="322">
                  <c:v>2.8104017962528541E-2</c:v>
                </c:pt>
                <c:pt idx="323">
                  <c:v>2.8173432679587398E-2</c:v>
                </c:pt>
                <c:pt idx="324">
                  <c:v>2.8243134462888887E-2</c:v>
                </c:pt>
                <c:pt idx="325">
                  <c:v>2.8313140295213483E-2</c:v>
                </c:pt>
                <c:pt idx="326">
                  <c:v>2.8383465525059437E-2</c:v>
                </c:pt>
                <c:pt idx="327">
                  <c:v>2.845412381323904E-2</c:v>
                </c:pt>
                <c:pt idx="328">
                  <c:v>2.8525127090272228E-2</c:v>
                </c:pt>
                <c:pt idx="329">
                  <c:v>2.8596485524848645E-2</c:v>
                </c:pt>
                <c:pt idx="330">
                  <c:v>2.8668207503539586E-2</c:v>
                </c:pt>
                <c:pt idx="331">
                  <c:v>2.874029962185105E-2</c:v>
                </c:pt>
                <c:pt idx="332">
                  <c:v>2.8812766686617704E-2</c:v>
                </c:pt>
                <c:pt idx="333">
                  <c:v>2.8885611729645575E-2</c:v>
                </c:pt>
                <c:pt idx="334">
                  <c:v>2.8958836032421293E-2</c:v>
                </c:pt>
                <c:pt idx="335">
                  <c:v>2.9032439161616335E-2</c:v>
                </c:pt>
                <c:pt idx="336">
                  <c:v>2.9106419015028664E-2</c:v>
                </c:pt>
                <c:pt idx="337">
                  <c:v>2.9180771877520596E-2</c:v>
                </c:pt>
                <c:pt idx="338">
                  <c:v>2.9255492486433176E-2</c:v>
                </c:pt>
                <c:pt idx="339">
                  <c:v>2.9330574105882554E-2</c:v>
                </c:pt>
                <c:pt idx="340">
                  <c:v>2.9406008609275447E-2</c:v>
                </c:pt>
                <c:pt idx="341">
                  <c:v>2.948178656931771E-2</c:v>
                </c:pt>
                <c:pt idx="342">
                  <c:v>2.955789735473404E-2</c:v>
                </c:pt>
                <c:pt idx="343">
                  <c:v>2.9634329232867934E-2</c:v>
                </c:pt>
                <c:pt idx="344">
                  <c:v>2.971106947728969E-2</c:v>
                </c:pt>
                <c:pt idx="345">
                  <c:v>2.9788104479506486E-2</c:v>
                </c:pt>
                <c:pt idx="346">
                  <c:v>2.9865419863843945E-2</c:v>
                </c:pt>
                <c:pt idx="347">
                  <c:v>2.9943000604551181E-2</c:v>
                </c:pt>
                <c:pt idx="348">
                  <c:v>3.0020831144173876E-2</c:v>
                </c:pt>
                <c:pt idx="349">
                  <c:v>3.009889551223938E-2</c:v>
                </c:pt>
                <c:pt idx="350">
                  <c:v>3.0177177443307893E-2</c:v>
                </c:pt>
                <c:pt idx="351">
                  <c:v>3.0255660493460148E-2</c:v>
                </c:pt>
                <c:pt idx="352">
                  <c:v>3.0334328154318302E-2</c:v>
                </c:pt>
                <c:pt idx="353">
                  <c:v>3.0413163963730037E-2</c:v>
                </c:pt>
                <c:pt idx="354">
                  <c:v>3.0492151612287081E-2</c:v>
                </c:pt>
                <c:pt idx="355">
                  <c:v>3.0571275044897581E-2</c:v>
                </c:pt>
                <c:pt idx="356">
                  <c:v>3.0650518556686716E-2</c:v>
                </c:pt>
                <c:pt idx="357">
                  <c:v>3.0729866882561203E-2</c:v>
                </c:pt>
                <c:pt idx="358">
                  <c:v>3.0809305279839407E-2</c:v>
                </c:pt>
                <c:pt idx="359">
                  <c:v>3.0888819603420509E-2</c:v>
                </c:pt>
                <c:pt idx="360">
                  <c:v>3.0968396373041426E-2</c:v>
                </c:pt>
                <c:pt idx="361">
                  <c:v>3.1048022832248768E-2</c:v>
                </c:pt>
                <c:pt idx="362">
                  <c:v>3.112768699879475E-2</c:v>
                </c:pt>
                <c:pt idx="363">
                  <c:v>3.1207377706248811E-2</c:v>
                </c:pt>
                <c:pt idx="364">
                  <c:v>3.1287084636700706E-2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1.6372047882523388E-3</c:v>
                </c:pt>
                <c:pt idx="1">
                  <c:v>1.6241121880780792E-3</c:v>
                </c:pt>
                <c:pt idx="2">
                  <c:v>1.6060606116904885E-3</c:v>
                </c:pt>
                <c:pt idx="3">
                  <c:v>1.5832468130877689E-3</c:v>
                </c:pt>
                <c:pt idx="4">
                  <c:v>1.5558614038856835E-3</c:v>
                </c:pt>
                <c:pt idx="5">
                  <c:v>1.5240865963340273E-3</c:v>
                </c:pt>
                <c:pt idx="6">
                  <c:v>1.4880942219604534E-3</c:v>
                </c:pt>
                <c:pt idx="7">
                  <c:v>1.4480440002796796E-3</c:v>
                </c:pt>
                <c:pt idx="8">
                  <c:v>1.4039253830644442E-3</c:v>
                </c:pt>
                <c:pt idx="9">
                  <c:v>1.3564546354240296E-3</c:v>
                </c:pt>
                <c:pt idx="10">
                  <c:v>1.3071307997705353E-3</c:v>
                </c:pt>
                <c:pt idx="11">
                  <c:v>1.2559912850718252E-3</c:v>
                </c:pt>
                <c:pt idx="12">
                  <c:v>1.2030767310816097E-3</c:v>
                </c:pt>
                <c:pt idx="13">
                  <c:v>1.1484310234345784E-3</c:v>
                </c:pt>
                <c:pt idx="14">
                  <c:v>1.0921012914794927E-3</c:v>
                </c:pt>
                <c:pt idx="15">
                  <c:v>1.0365500083032244E-3</c:v>
                </c:pt>
                <c:pt idx="16">
                  <c:v>9.8480106536303204E-4</c:v>
                </c:pt>
                <c:pt idx="17">
                  <c:v>9.3678095430856404E-4</c:v>
                </c:pt>
                <c:pt idx="18">
                  <c:v>8.9241684767292983E-4</c:v>
                </c:pt>
                <c:pt idx="19">
                  <c:v>8.5164096336186313E-4</c:v>
                </c:pt>
                <c:pt idx="20">
                  <c:v>8.143866913796952E-4</c:v>
                </c:pt>
                <c:pt idx="21">
                  <c:v>7.8058271886416398E-4</c:v>
                </c:pt>
                <c:pt idx="22">
                  <c:v>7.5012033445810049E-4</c:v>
                </c:pt>
                <c:pt idx="23">
                  <c:v>7.2347586575538232E-4</c:v>
                </c:pt>
                <c:pt idx="24">
                  <c:v>6.999113078398903E-4</c:v>
                </c:pt>
                <c:pt idx="25">
                  <c:v>6.793853452805855E-4</c:v>
                </c:pt>
                <c:pt idx="26">
                  <c:v>6.6185101132160801E-4</c:v>
                </c:pt>
                <c:pt idx="27">
                  <c:v>6.4725709418552292E-4</c:v>
                </c:pt>
                <c:pt idx="28">
                  <c:v>6.3554944384350883E-4</c:v>
                </c:pt>
                <c:pt idx="29">
                  <c:v>6.26866989064071E-4</c:v>
                </c:pt>
                <c:pt idx="30">
                  <c:v>6.1903573563540002E-4</c:v>
                </c:pt>
                <c:pt idx="31">
                  <c:v>6.1205307390509731E-4</c:v>
                </c:pt>
                <c:pt idx="32">
                  <c:v>6.0591538903291184E-4</c:v>
                </c:pt>
                <c:pt idx="33">
                  <c:v>6.0061838260659856E-4</c:v>
                </c:pt>
                <c:pt idx="34">
                  <c:v>5.9615737394749508E-4</c:v>
                </c:pt>
                <c:pt idx="35">
                  <c:v>5.9252758203638895E-4</c:v>
                </c:pt>
                <c:pt idx="36">
                  <c:v>5.8966157747967953E-4</c:v>
                </c:pt>
                <c:pt idx="37">
                  <c:v>5.8757066374811196E-4</c:v>
                </c:pt>
                <c:pt idx="38">
                  <c:v>5.8575798333721776E-4</c:v>
                </c:pt>
                <c:pt idx="39">
                  <c:v>5.8422474905733151E-4</c:v>
                </c:pt>
                <c:pt idx="40">
                  <c:v>5.8297197831290936E-4</c:v>
                </c:pt>
                <c:pt idx="41">
                  <c:v>5.8200054848722162E-4</c:v>
                </c:pt>
                <c:pt idx="42">
                  <c:v>5.8131125058076538E-4</c:v>
                </c:pt>
                <c:pt idx="43">
                  <c:v>5.8091737251683435E-4</c:v>
                </c:pt>
                <c:pt idx="44">
                  <c:v>5.8064849326138076E-4</c:v>
                </c:pt>
                <c:pt idx="45">
                  <c:v>5.8050913467064377E-4</c:v>
                </c:pt>
                <c:pt idx="46">
                  <c:v>5.8050373598216877E-4</c:v>
                </c:pt>
                <c:pt idx="47">
                  <c:v>5.806366893799824E-4</c:v>
                </c:pt>
                <c:pt idx="48">
                  <c:v>5.8091237530874279E-4</c:v>
                </c:pt>
                <c:pt idx="49">
                  <c:v>5.8133519765343549E-4</c:v>
                </c:pt>
                <c:pt idx="50">
                  <c:v>5.8189475670120333E-4</c:v>
                </c:pt>
                <c:pt idx="51">
                  <c:v>5.8217551484877916E-4</c:v>
                </c:pt>
                <c:pt idx="52">
                  <c:v>5.8210699416959136E-4</c:v>
                </c:pt>
                <c:pt idx="53">
                  <c:v>5.8169196089892419E-4</c:v>
                </c:pt>
                <c:pt idx="54">
                  <c:v>5.8093590629984776E-4</c:v>
                </c:pt>
                <c:pt idx="55">
                  <c:v>5.7984419147347113E-4</c:v>
                </c:pt>
                <c:pt idx="56">
                  <c:v>5.7842207269657444E-4</c:v>
                </c:pt>
                <c:pt idx="57">
                  <c:v>5.7568148057426081E-4</c:v>
                </c:pt>
                <c:pt idx="58">
                  <c:v>5.7163612447766205E-4</c:v>
                </c:pt>
                <c:pt idx="59">
                  <c:v>5.6630995552537971E-4</c:v>
                </c:pt>
                <c:pt idx="60">
                  <c:v>5.5972618537677922E-4</c:v>
                </c:pt>
                <c:pt idx="61">
                  <c:v>5.5190733128593437E-4</c:v>
                </c:pt>
                <c:pt idx="62">
                  <c:v>5.4287525164710166E-4</c:v>
                </c:pt>
                <c:pt idx="63">
                  <c:v>5.3265117247717716E-4</c:v>
                </c:pt>
                <c:pt idx="64">
                  <c:v>5.2125102566119564E-4</c:v>
                </c:pt>
                <c:pt idx="65">
                  <c:v>5.0853398384662443E-4</c:v>
                </c:pt>
                <c:pt idx="66">
                  <c:v>4.9488994278518888E-4</c:v>
                </c:pt>
                <c:pt idx="67">
                  <c:v>4.8033816336637888E-4</c:v>
                </c:pt>
                <c:pt idx="68">
                  <c:v>4.6489676701602693E-4</c:v>
                </c:pt>
                <c:pt idx="69">
                  <c:v>4.4858266092744835E-4</c:v>
                </c:pt>
                <c:pt idx="70">
                  <c:v>4.3141146414625667E-4</c:v>
                </c:pt>
                <c:pt idx="71">
                  <c:v>4.1391409200563551E-4</c:v>
                </c:pt>
                <c:pt idx="72">
                  <c:v>3.9700382067330388E-4</c:v>
                </c:pt>
                <c:pt idx="73">
                  <c:v>3.8067023850612099E-4</c:v>
                </c:pt>
                <c:pt idx="74">
                  <c:v>3.6490281307300715E-4</c:v>
                </c:pt>
                <c:pt idx="75">
                  <c:v>3.4969091977694715E-4</c:v>
                </c:pt>
                <c:pt idx="76">
                  <c:v>3.350238698941631E-4</c:v>
                </c:pt>
                <c:pt idx="77">
                  <c:v>3.2089093782845389E-4</c:v>
                </c:pt>
                <c:pt idx="78">
                  <c:v>3.0726699736785621E-4</c:v>
                </c:pt>
                <c:pt idx="79">
                  <c:v>2.9430129796072685E-4</c:v>
                </c:pt>
                <c:pt idx="80">
                  <c:v>2.8213804464990668E-4</c:v>
                </c:pt>
                <c:pt idx="81">
                  <c:v>2.7076871902205794E-4</c:v>
                </c:pt>
                <c:pt idx="82">
                  <c:v>2.601846113276318E-4</c:v>
                </c:pt>
                <c:pt idx="83">
                  <c:v>2.503769618526332E-4</c:v>
                </c:pt>
                <c:pt idx="84">
                  <c:v>2.4133709684769222E-4</c:v>
                </c:pt>
                <c:pt idx="85">
                  <c:v>2.3327495674485907E-4</c:v>
                </c:pt>
                <c:pt idx="86">
                  <c:v>2.2569642715711833E-4</c:v>
                </c:pt>
                <c:pt idx="87">
                  <c:v>2.1859666563995176E-4</c:v>
                </c:pt>
                <c:pt idx="88">
                  <c:v>2.119710093066893E-4</c:v>
                </c:pt>
                <c:pt idx="89">
                  <c:v>2.0581505214607506E-4</c:v>
                </c:pt>
                <c:pt idx="90">
                  <c:v>2.0012472003355601E-4</c:v>
                </c:pt>
                <c:pt idx="91">
                  <c:v>1.9489634388285653E-4</c:v>
                </c:pt>
                <c:pt idx="92">
                  <c:v>1.9012427440054486E-4</c:v>
                </c:pt>
                <c:pt idx="93">
                  <c:v>1.863274661109495E-4</c:v>
                </c:pt>
                <c:pt idx="94">
                  <c:v>1.8333494279596543E-4</c:v>
                </c:pt>
                <c:pt idx="95">
                  <c:v>1.8114170313127587E-4</c:v>
                </c:pt>
                <c:pt idx="96">
                  <c:v>1.7974421316077044E-4</c:v>
                </c:pt>
                <c:pt idx="97">
                  <c:v>1.7914033848360277E-4</c:v>
                </c:pt>
                <c:pt idx="98">
                  <c:v>1.7932927985247557E-4</c:v>
                </c:pt>
                <c:pt idx="99">
                  <c:v>1.8143348520629926E-4</c:v>
                </c:pt>
                <c:pt idx="100">
                  <c:v>1.8524160172088579E-4</c:v>
                </c:pt>
                <c:pt idx="101">
                  <c:v>1.9076093025048084E-4</c:v>
                </c:pt>
                <c:pt idx="102">
                  <c:v>1.9800115118395373E-4</c:v>
                </c:pt>
                <c:pt idx="103">
                  <c:v>2.0697419900936971E-4</c:v>
                </c:pt>
                <c:pt idx="104">
                  <c:v>2.1769413480412096E-4</c:v>
                </c:pt>
                <c:pt idx="105">
                  <c:v>2.3017701544223362E-4</c:v>
                </c:pt>
                <c:pt idx="106">
                  <c:v>2.4444546814532202E-4</c:v>
                </c:pt>
                <c:pt idx="107">
                  <c:v>2.6165990445150373E-4</c:v>
                </c:pt>
                <c:pt idx="108">
                  <c:v>2.81320210292446E-4</c:v>
                </c:pt>
                <c:pt idx="109">
                  <c:v>3.0346295778911083E-4</c:v>
                </c:pt>
                <c:pt idx="110">
                  <c:v>3.2812942648090569E-4</c:v>
                </c:pt>
                <c:pt idx="111">
                  <c:v>3.5536506529872987E-4</c:v>
                </c:pt>
                <c:pt idx="112">
                  <c:v>3.8521852287994312E-4</c:v>
                </c:pt>
                <c:pt idx="113">
                  <c:v>4.1837528208235044E-4</c:v>
                </c:pt>
                <c:pt idx="114">
                  <c:v>4.5372939743800036E-4</c:v>
                </c:pt>
                <c:pt idx="115">
                  <c:v>4.9133455479394913E-4</c:v>
                </c:pt>
                <c:pt idx="116">
                  <c:v>5.3124773435686231E-4</c:v>
                </c:pt>
                <c:pt idx="117">
                  <c:v>5.7352922857469588E-4</c:v>
                </c:pt>
                <c:pt idx="118">
                  <c:v>6.1824265388391475E-4</c:v>
                </c:pt>
                <c:pt idx="119">
                  <c:v>6.6545495600425677E-4</c:v>
                </c:pt>
                <c:pt idx="120">
                  <c:v>7.1524161522763699E-4</c:v>
                </c:pt>
                <c:pt idx="121">
                  <c:v>7.6829621518289257E-4</c:v>
                </c:pt>
                <c:pt idx="122">
                  <c:v>8.2348473815356592E-4</c:v>
                </c:pt>
                <c:pt idx="123">
                  <c:v>8.8086978723318039E-4</c:v>
                </c:pt>
                <c:pt idx="124">
                  <c:v>9.4051454058288611E-4</c:v>
                </c:pt>
                <c:pt idx="125">
                  <c:v>1.0024825389147983E-3</c:v>
                </c:pt>
                <c:pt idx="126">
                  <c:v>1.0668374551955797E-3</c:v>
                </c:pt>
                <c:pt idx="127">
                  <c:v>1.1336922003804286E-3</c:v>
                </c:pt>
                <c:pt idx="128">
                  <c:v>1.2024144446339715E-3</c:v>
                </c:pt>
                <c:pt idx="129">
                  <c:v>1.2730505915646258E-3</c:v>
                </c:pt>
                <c:pt idx="130">
                  <c:v>1.345645208421906E-3</c:v>
                </c:pt>
                <c:pt idx="131">
                  <c:v>1.4202407641083136E-3</c:v>
                </c:pt>
                <c:pt idx="132">
                  <c:v>1.4968773559134129E-3</c:v>
                </c:pt>
                <c:pt idx="133">
                  <c:v>1.5755924255647883E-3</c:v>
                </c:pt>
                <c:pt idx="134">
                  <c:v>1.6564493442798364E-3</c:v>
                </c:pt>
                <c:pt idx="135">
                  <c:v>1.739352545034907E-3</c:v>
                </c:pt>
                <c:pt idx="136">
                  <c:v>1.8236445069903309E-3</c:v>
                </c:pt>
                <c:pt idx="137">
                  <c:v>1.9093417343730467E-3</c:v>
                </c:pt>
                <c:pt idx="138">
                  <c:v>1.9964574413586732E-3</c:v>
                </c:pt>
                <c:pt idx="139">
                  <c:v>2.0850014016912479E-3</c:v>
                </c:pt>
                <c:pt idx="140">
                  <c:v>2.1749798048317079E-3</c:v>
                </c:pt>
                <c:pt idx="141">
                  <c:v>2.2667085042119553E-3</c:v>
                </c:pt>
                <c:pt idx="142">
                  <c:v>2.3601321696435505E-3</c:v>
                </c:pt>
                <c:pt idx="143">
                  <c:v>2.4552449686065206E-3</c:v>
                </c:pt>
                <c:pt idx="144">
                  <c:v>2.5520509817155016E-3</c:v>
                </c:pt>
                <c:pt idx="145">
                  <c:v>2.6505510148728865E-3</c:v>
                </c:pt>
                <c:pt idx="146">
                  <c:v>2.7507425198647247E-3</c:v>
                </c:pt>
                <c:pt idx="147">
                  <c:v>2.8526195294602905E-3</c:v>
                </c:pt>
                <c:pt idx="148">
                  <c:v>2.9561743857922651E-3</c:v>
                </c:pt>
                <c:pt idx="149">
                  <c:v>3.0602153292527143E-3</c:v>
                </c:pt>
                <c:pt idx="150">
                  <c:v>3.1649075661091025E-3</c:v>
                </c:pt>
                <c:pt idx="151">
                  <c:v>3.270221623962493E-3</c:v>
                </c:pt>
                <c:pt idx="152">
                  <c:v>3.3761262548774613E-3</c:v>
                </c:pt>
                <c:pt idx="153">
                  <c:v>3.4825885937621467E-3</c:v>
                </c:pt>
                <c:pt idx="154">
                  <c:v>3.5895743336331856E-3</c:v>
                </c:pt>
                <c:pt idx="155">
                  <c:v>3.6938317962885814E-3</c:v>
                </c:pt>
                <c:pt idx="156">
                  <c:v>3.7948472683722277E-3</c:v>
                </c:pt>
                <c:pt idx="157">
                  <c:v>3.8924729345187416E-3</c:v>
                </c:pt>
                <c:pt idx="158">
                  <c:v>3.9865602437897099E-3</c:v>
                </c:pt>
                <c:pt idx="159">
                  <c:v>4.0769603815420203E-3</c:v>
                </c:pt>
                <c:pt idx="160">
                  <c:v>4.1635247393546253E-3</c:v>
                </c:pt>
                <c:pt idx="161">
                  <c:v>4.2461053771762677E-3</c:v>
                </c:pt>
                <c:pt idx="162">
                  <c:v>4.3246040348795742E-3</c:v>
                </c:pt>
                <c:pt idx="163">
                  <c:v>4.3976771301815019E-3</c:v>
                </c:pt>
                <c:pt idx="164">
                  <c:v>4.4664692274009338E-3</c:v>
                </c:pt>
                <c:pt idx="165">
                  <c:v>4.5308109687396169E-3</c:v>
                </c:pt>
                <c:pt idx="166">
                  <c:v>4.5905331883756111E-3</c:v>
                </c:pt>
                <c:pt idx="167">
                  <c:v>4.645467577406766E-3</c:v>
                </c:pt>
                <c:pt idx="168">
                  <c:v>4.6954473415553883E-3</c:v>
                </c:pt>
                <c:pt idx="169">
                  <c:v>4.7390469494576638E-3</c:v>
                </c:pt>
                <c:pt idx="170">
                  <c:v>4.779777565286988E-3</c:v>
                </c:pt>
                <c:pt idx="171">
                  <c:v>4.8175546329617186E-3</c:v>
                </c:pt>
                <c:pt idx="172">
                  <c:v>4.8522960573547224E-3</c:v>
                </c:pt>
                <c:pt idx="173">
                  <c:v>4.883872511587656E-3</c:v>
                </c:pt>
                <c:pt idx="174">
                  <c:v>4.912153792592351E-3</c:v>
                </c:pt>
                <c:pt idx="175">
                  <c:v>4.9370611350732906E-3</c:v>
                </c:pt>
                <c:pt idx="176">
                  <c:v>4.9586115126215337E-3</c:v>
                </c:pt>
                <c:pt idx="177">
                  <c:v>4.972960750677987E-3</c:v>
                </c:pt>
                <c:pt idx="178">
                  <c:v>4.9813098385700898E-3</c:v>
                </c:pt>
                <c:pt idx="179">
                  <c:v>4.9835722818774705E-3</c:v>
                </c:pt>
                <c:pt idx="180">
                  <c:v>4.9796677903368898E-3</c:v>
                </c:pt>
                <c:pt idx="181">
                  <c:v>4.9695221585886028E-3</c:v>
                </c:pt>
                <c:pt idx="182">
                  <c:v>4.9530671004859427E-3</c:v>
                </c:pt>
                <c:pt idx="183">
                  <c:v>4.9287257128867298E-3</c:v>
                </c:pt>
                <c:pt idx="184">
                  <c:v>4.8977519652569461E-3</c:v>
                </c:pt>
                <c:pt idx="185">
                  <c:v>4.8600844187538707E-3</c:v>
                </c:pt>
                <c:pt idx="186">
                  <c:v>4.8156667964882761E-3</c:v>
                </c:pt>
                <c:pt idx="187">
                  <c:v>4.7644476411484137E-3</c:v>
                </c:pt>
                <c:pt idx="188">
                  <c:v>4.706379944320143E-3</c:v>
                </c:pt>
                <c:pt idx="189">
                  <c:v>4.641420751963516E-3</c:v>
                </c:pt>
                <c:pt idx="190">
                  <c:v>4.5695683362542393E-3</c:v>
                </c:pt>
                <c:pt idx="191">
                  <c:v>4.4913449448351662E-3</c:v>
                </c:pt>
                <c:pt idx="192">
                  <c:v>4.4109438258041278E-3</c:v>
                </c:pt>
                <c:pt idx="193">
                  <c:v>4.3283822093124367E-3</c:v>
                </c:pt>
                <c:pt idx="194">
                  <c:v>4.2436775678720753E-3</c:v>
                </c:pt>
                <c:pt idx="195">
                  <c:v>4.156847477721326E-3</c:v>
                </c:pt>
                <c:pt idx="196">
                  <c:v>4.06790949736195E-3</c:v>
                </c:pt>
                <c:pt idx="197">
                  <c:v>3.9765718694337471E-3</c:v>
                </c:pt>
                <c:pt idx="198">
                  <c:v>3.8844541122110645E-3</c:v>
                </c:pt>
                <c:pt idx="199">
                  <c:v>3.7915843979464802E-3</c:v>
                </c:pt>
                <c:pt idx="200">
                  <c:v>3.6979901462824709E-3</c:v>
                </c:pt>
                <c:pt idx="201">
                  <c:v>3.6036980059185502E-3</c:v>
                </c:pt>
                <c:pt idx="202">
                  <c:v>3.5087338537538389E-3</c:v>
                </c:pt>
                <c:pt idx="203">
                  <c:v>3.4131228108826429E-3</c:v>
                </c:pt>
                <c:pt idx="204">
                  <c:v>3.3169022352522331E-3</c:v>
                </c:pt>
                <c:pt idx="205">
                  <c:v>3.2201822568593817E-3</c:v>
                </c:pt>
                <c:pt idx="206">
                  <c:v>3.1224215955271543E-3</c:v>
                </c:pt>
                <c:pt idx="207">
                  <c:v>3.0236464639679613E-3</c:v>
                </c:pt>
                <c:pt idx="208">
                  <c:v>2.9238809625046136E-3</c:v>
                </c:pt>
                <c:pt idx="209">
                  <c:v>2.8231471051087787E-3</c:v>
                </c:pt>
                <c:pt idx="210">
                  <c:v>2.7214648564392405E-3</c:v>
                </c:pt>
                <c:pt idx="211">
                  <c:v>2.6199741140139391E-3</c:v>
                </c:pt>
                <c:pt idx="212">
                  <c:v>2.5190294319217274E-3</c:v>
                </c:pt>
                <c:pt idx="213">
                  <c:v>2.4186572418142828E-3</c:v>
                </c:pt>
                <c:pt idx="214">
                  <c:v>2.3188819386340724E-3</c:v>
                </c:pt>
                <c:pt idx="215">
                  <c:v>2.2197260007195047E-3</c:v>
                </c:pt>
                <c:pt idx="216">
                  <c:v>2.1212101094174578E-3</c:v>
                </c:pt>
                <c:pt idx="217">
                  <c:v>2.0233532668872188E-3</c:v>
                </c:pt>
                <c:pt idx="218">
                  <c:v>1.9261701697524261E-3</c:v>
                </c:pt>
                <c:pt idx="219">
                  <c:v>1.8308951281859613E-3</c:v>
                </c:pt>
                <c:pt idx="220">
                  <c:v>1.7374817238330687E-3</c:v>
                </c:pt>
                <c:pt idx="221">
                  <c:v>1.6459485650475126E-3</c:v>
                </c:pt>
                <c:pt idx="222">
                  <c:v>1.5563143166585594E-3</c:v>
                </c:pt>
                <c:pt idx="223">
                  <c:v>1.4685977568924112E-3</c:v>
                </c:pt>
                <c:pt idx="224">
                  <c:v>1.3828178248187313E-3</c:v>
                </c:pt>
                <c:pt idx="225">
                  <c:v>1.3012604088185127E-3</c:v>
                </c:pt>
                <c:pt idx="226">
                  <c:v>1.2227959224786944E-3</c:v>
                </c:pt>
                <c:pt idx="227">
                  <c:v>1.1474514569925136E-3</c:v>
                </c:pt>
                <c:pt idx="228">
                  <c:v>1.0752541821426004E-3</c:v>
                </c:pt>
                <c:pt idx="229">
                  <c:v>1.0062313216667844E-3</c:v>
                </c:pt>
                <c:pt idx="230">
                  <c:v>9.404101190938083E-4</c:v>
                </c:pt>
                <c:pt idx="231">
                  <c:v>8.7781779465588366E-4</c:v>
                </c:pt>
                <c:pt idx="232">
                  <c:v>8.1846798151805186E-4</c:v>
                </c:pt>
                <c:pt idx="233">
                  <c:v>7.647019729223358E-4</c:v>
                </c:pt>
                <c:pt idx="234">
                  <c:v>7.1530439375565064E-4</c:v>
                </c:pt>
                <c:pt idx="235">
                  <c:v>6.7031728140869986E-4</c:v>
                </c:pt>
                <c:pt idx="236">
                  <c:v>6.2977992027687653E-4</c:v>
                </c:pt>
                <c:pt idx="237">
                  <c:v>5.9372860717867503E-4</c:v>
                </c:pt>
                <c:pt idx="238">
                  <c:v>5.6219753766560492E-4</c:v>
                </c:pt>
                <c:pt idx="239">
                  <c:v>5.3631252669460421E-4</c:v>
                </c:pt>
                <c:pt idx="240">
                  <c:v>5.1377261945023428E-4</c:v>
                </c:pt>
                <c:pt idx="241">
                  <c:v>4.9460124101642806E-4</c:v>
                </c:pt>
                <c:pt idx="242">
                  <c:v>4.788212629806752E-4</c:v>
                </c:pt>
                <c:pt idx="243">
                  <c:v>4.6645531553378763E-4</c:v>
                </c:pt>
                <c:pt idx="244">
                  <c:v>4.5752610487693199E-4</c:v>
                </c:pt>
                <c:pt idx="245">
                  <c:v>4.5205673610578694E-4</c:v>
                </c:pt>
                <c:pt idx="246">
                  <c:v>4.5005364643135122E-4</c:v>
                </c:pt>
                <c:pt idx="247">
                  <c:v>4.5204120938895711E-4</c:v>
                </c:pt>
                <c:pt idx="248">
                  <c:v>4.5565970649409898E-4</c:v>
                </c:pt>
                <c:pt idx="249">
                  <c:v>4.6092108998037118E-4</c:v>
                </c:pt>
                <c:pt idx="250">
                  <c:v>4.6783734629516748E-4</c:v>
                </c:pt>
                <c:pt idx="251">
                  <c:v>4.7642058130709976E-4</c:v>
                </c:pt>
                <c:pt idx="252">
                  <c:v>4.8668310628028141E-4</c:v>
                </c:pt>
                <c:pt idx="253">
                  <c:v>4.9909022241843284E-4</c:v>
                </c:pt>
                <c:pt idx="254">
                  <c:v>5.1253259999519893E-4</c:v>
                </c:pt>
                <c:pt idx="255">
                  <c:v>5.2701991603955865E-4</c:v>
                </c:pt>
                <c:pt idx="256">
                  <c:v>5.4256227311459757E-4</c:v>
                </c:pt>
                <c:pt idx="257">
                  <c:v>5.5917025962403722E-4</c:v>
                </c:pt>
                <c:pt idx="258">
                  <c:v>5.7685501269656822E-4</c:v>
                </c:pt>
                <c:pt idx="259">
                  <c:v>5.9562828454107317E-4</c:v>
                </c:pt>
                <c:pt idx="260">
                  <c:v>6.1549417812387379E-4</c:v>
                </c:pt>
                <c:pt idx="261">
                  <c:v>6.3740469551596475E-4</c:v>
                </c:pt>
                <c:pt idx="262">
                  <c:v>6.6083707291567258E-4</c:v>
                </c:pt>
                <c:pt idx="263">
                  <c:v>6.8579986738384841E-4</c:v>
                </c:pt>
                <c:pt idx="264">
                  <c:v>7.1230146975908193E-4</c:v>
                </c:pt>
                <c:pt idx="265">
                  <c:v>7.40353991251364E-4</c:v>
                </c:pt>
                <c:pt idx="266">
                  <c:v>7.6996785539469386E-4</c:v>
                </c:pt>
                <c:pt idx="267">
                  <c:v>8.0063700493751349E-4</c:v>
                </c:pt>
                <c:pt idx="268">
                  <c:v>8.3189592876702859E-4</c:v>
                </c:pt>
                <c:pt idx="269">
                  <c:v>8.6374374742413315E-4</c:v>
                </c:pt>
                <c:pt idx="270">
                  <c:v>8.9617902140923938E-4</c:v>
                </c:pt>
                <c:pt idx="271">
                  <c:v>9.2919974397194819E-4</c:v>
                </c:pt>
                <c:pt idx="272">
                  <c:v>9.6280333907938168E-4</c:v>
                </c:pt>
                <c:pt idx="273">
                  <c:v>9.9698666525996609E-4</c:v>
                </c:pt>
                <c:pt idx="274">
                  <c:v>1.0317615612012339E-3</c:v>
                </c:pt>
                <c:pt idx="275">
                  <c:v>1.0653008401060276E-3</c:v>
                </c:pt>
                <c:pt idx="276">
                  <c:v>1.0966034457216649E-3</c:v>
                </c:pt>
                <c:pt idx="277">
                  <c:v>1.1256450845222475E-3</c:v>
                </c:pt>
                <c:pt idx="278">
                  <c:v>1.1524009414007684E-3</c:v>
                </c:pt>
                <c:pt idx="279">
                  <c:v>1.1768458891794834E-3</c:v>
                </c:pt>
                <c:pt idx="280">
                  <c:v>1.1989546988361297E-3</c:v>
                </c:pt>
                <c:pt idx="281">
                  <c:v>1.217998376100134E-3</c:v>
                </c:pt>
                <c:pt idx="282">
                  <c:v>1.2344791634956919E-3</c:v>
                </c:pt>
                <c:pt idx="283">
                  <c:v>1.2483720344493012E-3</c:v>
                </c:pt>
                <c:pt idx="284">
                  <c:v>1.2596527465541655E-3</c:v>
                </c:pt>
                <c:pt idx="285">
                  <c:v>1.2682980429245313E-3</c:v>
                </c:pt>
                <c:pt idx="286">
                  <c:v>1.274285844431701E-3</c:v>
                </c:pt>
                <c:pt idx="287">
                  <c:v>1.2775954311783624E-3</c:v>
                </c:pt>
                <c:pt idx="288">
                  <c:v>1.278218278814308E-3</c:v>
                </c:pt>
                <c:pt idx="289">
                  <c:v>1.2760513750252188E-3</c:v>
                </c:pt>
                <c:pt idx="290">
                  <c:v>1.2729798814576721E-3</c:v>
                </c:pt>
                <c:pt idx="291">
                  <c:v>1.2690077565620116E-3</c:v>
                </c:pt>
                <c:pt idx="292">
                  <c:v>1.2641399555927758E-3</c:v>
                </c:pt>
                <c:pt idx="293">
                  <c:v>1.2583823872086991E-3</c:v>
                </c:pt>
                <c:pt idx="294">
                  <c:v>1.2517418587081838E-3</c:v>
                </c:pt>
                <c:pt idx="295">
                  <c:v>1.2443530973060043E-3</c:v>
                </c:pt>
                <c:pt idx="296">
                  <c:v>1.2369602077056704E-3</c:v>
                </c:pt>
                <c:pt idx="297">
                  <c:v>1.2295853853054857E-3</c:v>
                </c:pt>
                <c:pt idx="298">
                  <c:v>1.222241055453056E-3</c:v>
                </c:pt>
                <c:pt idx="299">
                  <c:v>1.2149402143298267E-3</c:v>
                </c:pt>
                <c:pt idx="300">
                  <c:v>1.2076964099294271E-3</c:v>
                </c:pt>
                <c:pt idx="301">
                  <c:v>1.2005237213817243E-3</c:v>
                </c:pt>
                <c:pt idx="302">
                  <c:v>1.193531112171211E-3</c:v>
                </c:pt>
                <c:pt idx="303">
                  <c:v>1.1871539013381042E-3</c:v>
                </c:pt>
                <c:pt idx="304">
                  <c:v>1.1814658919170244E-3</c:v>
                </c:pt>
                <c:pt idx="305">
                  <c:v>1.176436246367334E-3</c:v>
                </c:pt>
                <c:pt idx="306">
                  <c:v>1.1720343437800402E-3</c:v>
                </c:pt>
                <c:pt idx="307">
                  <c:v>1.1682294685437106E-3</c:v>
                </c:pt>
                <c:pt idx="308">
                  <c:v>1.1649905087851987E-3</c:v>
                </c:pt>
                <c:pt idx="309">
                  <c:v>1.1632075949277144E-3</c:v>
                </c:pt>
                <c:pt idx="310">
                  <c:v>1.1627245751205321E-3</c:v>
                </c:pt>
                <c:pt idx="311">
                  <c:v>1.1635135402293727E-3</c:v>
                </c:pt>
                <c:pt idx="312">
                  <c:v>1.1655447934976254E-3</c:v>
                </c:pt>
                <c:pt idx="313">
                  <c:v>1.1687863222357817E-3</c:v>
                </c:pt>
                <c:pt idx="314">
                  <c:v>1.1732032683466297E-3</c:v>
                </c:pt>
                <c:pt idx="315">
                  <c:v>1.1787574034010536E-3</c:v>
                </c:pt>
                <c:pt idx="316">
                  <c:v>1.1855740758764681E-3</c:v>
                </c:pt>
                <c:pt idx="317">
                  <c:v>1.1993568877609266E-3</c:v>
                </c:pt>
                <c:pt idx="318">
                  <c:v>1.2197788029712289E-3</c:v>
                </c:pt>
                <c:pt idx="319">
                  <c:v>1.2468837850821055E-3</c:v>
                </c:pt>
                <c:pt idx="320">
                  <c:v>1.280717197705338E-3</c:v>
                </c:pt>
                <c:pt idx="321">
                  <c:v>1.3213253255482135E-3</c:v>
                </c:pt>
                <c:pt idx="322">
                  <c:v>1.3687547956916382E-3</c:v>
                </c:pt>
                <c:pt idx="323">
                  <c:v>1.4253427241711768E-3</c:v>
                </c:pt>
                <c:pt idx="324">
                  <c:v>1.490196417099338E-3</c:v>
                </c:pt>
                <c:pt idx="325">
                  <c:v>1.5633695526812012E-3</c:v>
                </c:pt>
                <c:pt idx="326">
                  <c:v>1.6449024642527566E-3</c:v>
                </c:pt>
                <c:pt idx="327">
                  <c:v>1.7348359568873603E-3</c:v>
                </c:pt>
                <c:pt idx="328">
                  <c:v>1.8332130797286685E-3</c:v>
                </c:pt>
                <c:pt idx="329">
                  <c:v>1.9400700387113856E-3</c:v>
                </c:pt>
                <c:pt idx="330">
                  <c:v>2.055785842138556E-3</c:v>
                </c:pt>
                <c:pt idx="331">
                  <c:v>2.1732706362030756E-3</c:v>
                </c:pt>
                <c:pt idx="332">
                  <c:v>2.2867301094097372E-3</c:v>
                </c:pt>
                <c:pt idx="333">
                  <c:v>2.3960466759826902E-3</c:v>
                </c:pt>
                <c:pt idx="334">
                  <c:v>2.5010652668072631E-3</c:v>
                </c:pt>
                <c:pt idx="335">
                  <c:v>2.6015943751255878E-3</c:v>
                </c:pt>
                <c:pt idx="336">
                  <c:v>2.6974075609193082E-3</c:v>
                </c:pt>
                <c:pt idx="337">
                  <c:v>2.7847333856652191E-3</c:v>
                </c:pt>
                <c:pt idx="338">
                  <c:v>2.8608570898012789E-3</c:v>
                </c:pt>
                <c:pt idx="339">
                  <c:v>2.9254164527463943E-3</c:v>
                </c:pt>
                <c:pt idx="340">
                  <c:v>2.9780399775537858E-3</c:v>
                </c:pt>
                <c:pt idx="341">
                  <c:v>3.0183568480469602E-3</c:v>
                </c:pt>
                <c:pt idx="342">
                  <c:v>3.0460078546035835E-3</c:v>
                </c:pt>
                <c:pt idx="343">
                  <c:v>3.0606571550446013E-3</c:v>
                </c:pt>
                <c:pt idx="344">
                  <c:v>3.0623966450569386E-3</c:v>
                </c:pt>
                <c:pt idx="345">
                  <c:v>3.0515412889385498E-3</c:v>
                </c:pt>
                <c:pt idx="346">
                  <c:v>3.0379993650295131E-3</c:v>
                </c:pt>
                <c:pt idx="347">
                  <c:v>3.0218242584911549E-3</c:v>
                </c:pt>
                <c:pt idx="348">
                  <c:v>3.003075986840215E-3</c:v>
                </c:pt>
                <c:pt idx="349">
                  <c:v>2.9818206613898314E-3</c:v>
                </c:pt>
                <c:pt idx="350">
                  <c:v>2.9581299099646205E-3</c:v>
                </c:pt>
                <c:pt idx="351">
                  <c:v>2.9342057286629534E-3</c:v>
                </c:pt>
                <c:pt idx="352">
                  <c:v>2.9136164500185632E-3</c:v>
                </c:pt>
                <c:pt idx="353">
                  <c:v>2.8963931803102747E-3</c:v>
                </c:pt>
                <c:pt idx="354">
                  <c:v>2.8825606476531834E-3</c:v>
                </c:pt>
                <c:pt idx="355">
                  <c:v>2.8721373135997879E-3</c:v>
                </c:pt>
                <c:pt idx="356">
                  <c:v>2.8651121934083145E-3</c:v>
                </c:pt>
                <c:pt idx="357">
                  <c:v>2.8615131382827993E-3</c:v>
                </c:pt>
                <c:pt idx="358">
                  <c:v>2.8608131006139475E-3</c:v>
                </c:pt>
                <c:pt idx="359">
                  <c:v>2.8625609748419828E-3</c:v>
                </c:pt>
                <c:pt idx="360">
                  <c:v>2.8634536427694611E-3</c:v>
                </c:pt>
                <c:pt idx="361">
                  <c:v>2.8616168741462502E-3</c:v>
                </c:pt>
                <c:pt idx="362">
                  <c:v>2.8572418870626854E-3</c:v>
                </c:pt>
                <c:pt idx="363">
                  <c:v>2.8505222639115093E-3</c:v>
                </c:pt>
                <c:pt idx="364">
                  <c:v>2.8416518015240947E-3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2576"/>
        <c:axId val="644422968"/>
      </c:lineChart>
      <c:dateAx>
        <c:axId val="6444225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2968"/>
        <c:crosses val="autoZero"/>
        <c:auto val="1"/>
        <c:lblOffset val="100"/>
        <c:baseTimeUnit val="days"/>
        <c:majorUnit val="1"/>
        <c:majorTimeUnit val="months"/>
      </c:dateAx>
      <c:valAx>
        <c:axId val="6444229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25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Aureville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5769.2136590391265</c:v>
                </c:pt>
                <c:pt idx="1">
                  <c:v>11856.245260033535</c:v>
                </c:pt>
                <c:pt idx="2">
                  <c:v>11577.224299172249</c:v>
                </c:pt>
                <c:pt idx="3">
                  <c:v>11623.386504981814</c:v>
                </c:pt>
                <c:pt idx="4">
                  <c:v>11905.546737288754</c:v>
                </c:pt>
                <c:pt idx="5">
                  <c:v>11903.031730845552</c:v>
                </c:pt>
                <c:pt idx="6">
                  <c:v>11917.968426969228</c:v>
                </c:pt>
                <c:pt idx="7">
                  <c:v>11909.468719699857</c:v>
                </c:pt>
                <c:pt idx="8">
                  <c:v>11910.967738291572</c:v>
                </c:pt>
                <c:pt idx="9">
                  <c:v>11909.469160520071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5755.3923916600488</c:v>
                </c:pt>
                <c:pt idx="1">
                  <c:v>11753.780370391516</c:v>
                </c:pt>
                <c:pt idx="2">
                  <c:v>11384.912143804217</c:v>
                </c:pt>
                <c:pt idx="3">
                  <c:v>11338.039353881362</c:v>
                </c:pt>
                <c:pt idx="4">
                  <c:v>11522.933000390092</c:v>
                </c:pt>
                <c:pt idx="5">
                  <c:v>11424.467739542317</c:v>
                </c:pt>
                <c:pt idx="6">
                  <c:v>11348.262590229408</c:v>
                </c:pt>
                <c:pt idx="7">
                  <c:v>11251.76565966186</c:v>
                </c:pt>
                <c:pt idx="8">
                  <c:v>11163.27252352882</c:v>
                </c:pt>
                <c:pt idx="9">
                  <c:v>11073.130618401041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10919.392000000005</c:v>
                </c:pt>
                <c:pt idx="4">
                  <c:v>10698.169</c:v>
                </c:pt>
                <c:pt idx="5">
                  <c:v>10106.745920123672</c:v>
                </c:pt>
                <c:pt idx="6">
                  <c:v>10763.699105993612</c:v>
                </c:pt>
                <c:pt idx="7">
                  <c:v>10591.372266547036</c:v>
                </c:pt>
                <c:pt idx="8">
                  <c:v>10745.303161691387</c:v>
                </c:pt>
                <c:pt idx="9">
                  <c:v>10420.475986885265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10318.427543848127</c:v>
                </c:pt>
                <c:pt idx="4">
                  <c:v>10086.02325460977</c:v>
                </c:pt>
                <c:pt idx="5">
                  <c:v>9673.5179696785017</c:v>
                </c:pt>
                <c:pt idx="6">
                  <c:v>9778.3043417372555</c:v>
                </c:pt>
                <c:pt idx="7">
                  <c:v>9659.8122955032431</c:v>
                </c:pt>
                <c:pt idx="8">
                  <c:v>9946.8131585071351</c:v>
                </c:pt>
                <c:pt idx="9">
                  <c:v>9803.1193207977449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601.44417563785896</c:v>
                </c:pt>
                <c:pt idx="4">
                  <c:v>609.68440992088688</c:v>
                </c:pt>
                <c:pt idx="5">
                  <c:v>433.16610324509861</c:v>
                </c:pt>
                <c:pt idx="6">
                  <c:v>985.9256445745408</c:v>
                </c:pt>
                <c:pt idx="7">
                  <c:v>896.59230599640375</c:v>
                </c:pt>
                <c:pt idx="8">
                  <c:v>753.28305041858107</c:v>
                </c:pt>
                <c:pt idx="9">
                  <c:v>566.60587698495863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-0.76147889062777985</c:v>
                </c:pt>
                <c:pt idx="4">
                  <c:v>-1.1582575926223839</c:v>
                </c:pt>
                <c:pt idx="5">
                  <c:v>-1.0500544488684156</c:v>
                </c:pt>
                <c:pt idx="6">
                  <c:v>-3.033756168705164</c:v>
                </c:pt>
                <c:pt idx="7">
                  <c:v>29.433576733128277</c:v>
                </c:pt>
                <c:pt idx="8">
                  <c:v>40.022316481804936</c:v>
                </c:pt>
                <c:pt idx="9">
                  <c:v>44.564959811435152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284624"/>
        <c:axId val="640285016"/>
      </c:lineChart>
      <c:catAx>
        <c:axId val="6402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5016"/>
        <c:crosses val="autoZero"/>
        <c:auto val="1"/>
        <c:lblAlgn val="ctr"/>
        <c:lblOffset val="100"/>
        <c:noMultiLvlLbl val="0"/>
      </c:catAx>
      <c:valAx>
        <c:axId val="640285016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4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2.8476481003271603E-2</c:v>
                </c:pt>
                <c:pt idx="1">
                  <c:v>2.8497759861687011E-2</c:v>
                </c:pt>
                <c:pt idx="2">
                  <c:v>2.8519038254040785E-2</c:v>
                </c:pt>
                <c:pt idx="3">
                  <c:v>2.854031618034325E-2</c:v>
                </c:pt>
                <c:pt idx="4">
                  <c:v>2.8561593640604399E-2</c:v>
                </c:pt>
                <c:pt idx="5">
                  <c:v>2.8582870634834667E-2</c:v>
                </c:pt>
                <c:pt idx="6">
                  <c:v>2.8604147163044047E-2</c:v>
                </c:pt>
                <c:pt idx="7">
                  <c:v>2.8625423225242974E-2</c:v>
                </c:pt>
                <c:pt idx="8">
                  <c:v>2.8646698821441441E-2</c:v>
                </c:pt>
                <c:pt idx="9">
                  <c:v>2.8667973951649772E-2</c:v>
                </c:pt>
                <c:pt idx="10">
                  <c:v>2.8689248615878182E-2</c:v>
                </c:pt>
                <c:pt idx="11">
                  <c:v>2.8710522814136885E-2</c:v>
                </c:pt>
                <c:pt idx="12">
                  <c:v>2.8731796546435984E-2</c:v>
                </c:pt>
                <c:pt idx="13">
                  <c:v>2.8753069812785692E-2</c:v>
                </c:pt>
                <c:pt idx="14">
                  <c:v>2.8774342613196335E-2</c:v>
                </c:pt>
                <c:pt idx="15">
                  <c:v>2.8795614947678017E-2</c:v>
                </c:pt>
                <c:pt idx="16">
                  <c:v>2.8816886816241061E-2</c:v>
                </c:pt>
                <c:pt idx="17">
                  <c:v>2.8838158218895571E-2</c:v>
                </c:pt>
                <c:pt idx="18">
                  <c:v>2.8859429155651761E-2</c:v>
                </c:pt>
                <c:pt idx="19">
                  <c:v>2.8880699626519735E-2</c:v>
                </c:pt>
                <c:pt idx="20">
                  <c:v>2.8901969631509927E-2</c:v>
                </c:pt>
                <c:pt idx="21">
                  <c:v>2.8923239170632442E-2</c:v>
                </c:pt>
                <c:pt idx="22">
                  <c:v>2.8944508243897382E-2</c:v>
                </c:pt>
                <c:pt idx="23">
                  <c:v>2.8965776851315073E-2</c:v>
                </c:pt>
                <c:pt idx="24">
                  <c:v>2.8987044992895616E-2</c:v>
                </c:pt>
                <c:pt idx="25">
                  <c:v>2.9008312668649339E-2</c:v>
                </c:pt>
                <c:pt idx="26">
                  <c:v>2.9029579878586453E-2</c:v>
                </c:pt>
                <c:pt idx="27">
                  <c:v>2.9050846622716953E-2</c:v>
                </c:pt>
                <c:pt idx="28">
                  <c:v>2.9072112901051272E-2</c:v>
                </c:pt>
                <c:pt idx="29">
                  <c:v>2.9093378713599405E-2</c:v>
                </c:pt>
                <c:pt idx="30">
                  <c:v>2.9114644060371786E-2</c:v>
                </c:pt>
                <c:pt idx="31">
                  <c:v>2.9135908941378408E-2</c:v>
                </c:pt>
                <c:pt idx="32">
                  <c:v>2.9157173356629595E-2</c:v>
                </c:pt>
                <c:pt idx="33">
                  <c:v>2.9178437306135563E-2</c:v>
                </c:pt>
                <c:pt idx="34">
                  <c:v>2.9199700789906413E-2</c:v>
                </c:pt>
                <c:pt idx="35">
                  <c:v>2.922096380795236E-2</c:v>
                </c:pt>
                <c:pt idx="36">
                  <c:v>2.924222636028373E-2</c:v>
                </c:pt>
                <c:pt idx="37">
                  <c:v>2.9263488446910513E-2</c:v>
                </c:pt>
                <c:pt idx="38">
                  <c:v>2.9284750067843146E-2</c:v>
                </c:pt>
                <c:pt idx="39">
                  <c:v>2.9306011223091732E-2</c:v>
                </c:pt>
                <c:pt idx="40">
                  <c:v>2.9327271912666375E-2</c:v>
                </c:pt>
                <c:pt idx="41">
                  <c:v>2.9348532136577399E-2</c:v>
                </c:pt>
                <c:pt idx="42">
                  <c:v>2.9369791894834907E-2</c:v>
                </c:pt>
                <c:pt idx="43">
                  <c:v>2.9391051187449113E-2</c:v>
                </c:pt>
                <c:pt idx="44">
                  <c:v>2.9412310014430343E-2</c:v>
                </c:pt>
                <c:pt idx="45">
                  <c:v>2.9433568375788699E-2</c:v>
                </c:pt>
                <c:pt idx="46">
                  <c:v>2.9454826271534285E-2</c:v>
                </c:pt>
                <c:pt idx="47">
                  <c:v>2.9476083701677536E-2</c:v>
                </c:pt>
                <c:pt idx="48">
                  <c:v>2.9497340666228444E-2</c:v>
                </c:pt>
                <c:pt idx="49">
                  <c:v>2.9518597165197225E-2</c:v>
                </c:pt>
                <c:pt idx="50">
                  <c:v>2.9539853198594201E-2</c:v>
                </c:pt>
                <c:pt idx="51">
                  <c:v>2.9561108766429478E-2</c:v>
                </c:pt>
                <c:pt idx="52">
                  <c:v>2.9582363868713268E-2</c:v>
                </c:pt>
                <c:pt idx="53">
                  <c:v>2.9603618505455676E-2</c:v>
                </c:pt>
                <c:pt idx="54">
                  <c:v>2.9624872676667136E-2</c:v>
                </c:pt>
                <c:pt idx="55">
                  <c:v>2.964612638235764E-2</c:v>
                </c:pt>
                <c:pt idx="56">
                  <c:v>2.9667379622537404E-2</c:v>
                </c:pt>
                <c:pt idx="57">
                  <c:v>2.9688632397216641E-2</c:v>
                </c:pt>
                <c:pt idx="58">
                  <c:v>2.9709884706405676E-2</c:v>
                </c:pt>
                <c:pt idx="59">
                  <c:v>2.9731136550114501E-2</c:v>
                </c:pt>
                <c:pt idx="60">
                  <c:v>2.9752387928353441E-2</c:v>
                </c:pt>
                <c:pt idx="61">
                  <c:v>2.977363884113271E-2</c:v>
                </c:pt>
                <c:pt idx="62">
                  <c:v>2.9794889288462412E-2</c:v>
                </c:pt>
                <c:pt idx="63">
                  <c:v>2.9816139270352759E-2</c:v>
                </c:pt>
                <c:pt idx="64">
                  <c:v>2.9837388786813968E-2</c:v>
                </c:pt>
                <c:pt idx="65">
                  <c:v>2.985863783785625E-2</c:v>
                </c:pt>
                <c:pt idx="66">
                  <c:v>2.9879886423489821E-2</c:v>
                </c:pt>
                <c:pt idx="67">
                  <c:v>2.9901134543724783E-2</c:v>
                </c:pt>
                <c:pt idx="68">
                  <c:v>2.9922382198571351E-2</c:v>
                </c:pt>
                <c:pt idx="69">
                  <c:v>2.9943629388039739E-2</c:v>
                </c:pt>
                <c:pt idx="70">
                  <c:v>2.9964876112140271E-2</c:v>
                </c:pt>
                <c:pt idx="71">
                  <c:v>2.9986122370882939E-2</c:v>
                </c:pt>
                <c:pt idx="72">
                  <c:v>3.0007368164277959E-2</c:v>
                </c:pt>
                <c:pt idx="73">
                  <c:v>3.0028613492335654E-2</c:v>
                </c:pt>
                <c:pt idx="74">
                  <c:v>3.0049858355066128E-2</c:v>
                </c:pt>
                <c:pt idx="75">
                  <c:v>3.0071102752479484E-2</c:v>
                </c:pt>
                <c:pt idx="76">
                  <c:v>3.0092346684586158E-2</c:v>
                </c:pt>
                <c:pt idx="77">
                  <c:v>3.0113590151396141E-2</c:v>
                </c:pt>
                <c:pt idx="78">
                  <c:v>3.0134833152919649E-2</c:v>
                </c:pt>
                <c:pt idx="79">
                  <c:v>3.0156075689166895E-2</c:v>
                </c:pt>
                <c:pt idx="80">
                  <c:v>3.0177317760148203E-2</c:v>
                </c:pt>
                <c:pt idx="81">
                  <c:v>3.0198559365873567E-2</c:v>
                </c:pt>
                <c:pt idx="82">
                  <c:v>3.02198005063532E-2</c:v>
                </c:pt>
                <c:pt idx="83">
                  <c:v>3.0241041181597428E-2</c:v>
                </c:pt>
                <c:pt idx="84">
                  <c:v>3.0262281391616241E-2</c:v>
                </c:pt>
                <c:pt idx="85">
                  <c:v>3.0283521136420077E-2</c:v>
                </c:pt>
                <c:pt idx="86">
                  <c:v>3.0304760416018928E-2</c:v>
                </c:pt>
                <c:pt idx="87">
                  <c:v>3.0325999230423006E-2</c:v>
                </c:pt>
                <c:pt idx="88">
                  <c:v>3.0347237579642639E-2</c:v>
                </c:pt>
                <c:pt idx="89">
                  <c:v>3.0368475463687816E-2</c:v>
                </c:pt>
                <c:pt idx="90">
                  <c:v>3.0389712882568864E-2</c:v>
                </c:pt>
                <c:pt idx="91">
                  <c:v>3.0410949836295886E-2</c:v>
                </c:pt>
                <c:pt idx="92">
                  <c:v>3.0432186324879207E-2</c:v>
                </c:pt>
                <c:pt idx="93">
                  <c:v>3.0453422348328929E-2</c:v>
                </c:pt>
                <c:pt idx="94">
                  <c:v>3.0474657906655156E-2</c:v>
                </c:pt>
                <c:pt idx="95">
                  <c:v>3.0495892999868213E-2</c:v>
                </c:pt>
                <c:pt idx="96">
                  <c:v>3.0517127627978202E-2</c:v>
                </c:pt>
                <c:pt idx="97">
                  <c:v>3.0538361790995339E-2</c:v>
                </c:pt>
                <c:pt idx="98">
                  <c:v>3.0559595488929836E-2</c:v>
                </c:pt>
                <c:pt idx="99">
                  <c:v>3.0580828721791908E-2</c:v>
                </c:pt>
                <c:pt idx="100">
                  <c:v>3.0602061489591548E-2</c:v>
                </c:pt>
                <c:pt idx="101">
                  <c:v>3.062329379233919E-2</c:v>
                </c:pt>
                <c:pt idx="102">
                  <c:v>3.0644525630044828E-2</c:v>
                </c:pt>
                <c:pt idx="103">
                  <c:v>3.0665757002718785E-2</c:v>
                </c:pt>
                <c:pt idx="104">
                  <c:v>3.0686987910371166E-2</c:v>
                </c:pt>
                <c:pt idx="105">
                  <c:v>3.0708218353012184E-2</c:v>
                </c:pt>
                <c:pt idx="106">
                  <c:v>3.0729448330652054E-2</c:v>
                </c:pt>
                <c:pt idx="107">
                  <c:v>3.0750677843300989E-2</c:v>
                </c:pt>
                <c:pt idx="108">
                  <c:v>3.0771906890968981E-2</c:v>
                </c:pt>
                <c:pt idx="109">
                  <c:v>3.0793135473666355E-2</c:v>
                </c:pt>
                <c:pt idx="110">
                  <c:v>3.0814363591403326E-2</c:v>
                </c:pt>
                <c:pt idx="111">
                  <c:v>3.0835591244190108E-2</c:v>
                </c:pt>
                <c:pt idx="112">
                  <c:v>3.0856818432036692E-2</c:v>
                </c:pt>
                <c:pt idx="113">
                  <c:v>3.0878045154953515E-2</c:v>
                </c:pt>
                <c:pt idx="114">
                  <c:v>3.0899271412950458E-2</c:v>
                </c:pt>
                <c:pt idx="115">
                  <c:v>3.0920497206038067E-2</c:v>
                </c:pt>
                <c:pt idx="116">
                  <c:v>3.0941722534226224E-2</c:v>
                </c:pt>
                <c:pt idx="117">
                  <c:v>3.0962947397525253E-2</c:v>
                </c:pt>
                <c:pt idx="118">
                  <c:v>3.0984171795945259E-2</c:v>
                </c:pt>
                <c:pt idx="119">
                  <c:v>3.1005395729496454E-2</c:v>
                </c:pt>
                <c:pt idx="120">
                  <c:v>3.1026619198189054E-2</c:v>
                </c:pt>
                <c:pt idx="121">
                  <c:v>3.1047842202033271E-2</c:v>
                </c:pt>
                <c:pt idx="122">
                  <c:v>3.106906474103921E-2</c:v>
                </c:pt>
                <c:pt idx="123">
                  <c:v>3.1090286815217083E-2</c:v>
                </c:pt>
                <c:pt idx="124">
                  <c:v>3.1111508424576995E-2</c:v>
                </c:pt>
                <c:pt idx="125">
                  <c:v>3.1132729569129269E-2</c:v>
                </c:pt>
                <c:pt idx="126">
                  <c:v>3.115395024888401E-2</c:v>
                </c:pt>
                <c:pt idx="127">
                  <c:v>3.1175170463851432E-2</c:v>
                </c:pt>
                <c:pt idx="128">
                  <c:v>3.1196390214041636E-2</c:v>
                </c:pt>
                <c:pt idx="129">
                  <c:v>3.1217609499464949E-2</c:v>
                </c:pt>
                <c:pt idx="130">
                  <c:v>3.1238828320131362E-2</c:v>
                </c:pt>
                <c:pt idx="131">
                  <c:v>3.126004667605109E-2</c:v>
                </c:pt>
                <c:pt idx="132">
                  <c:v>3.1281264567234457E-2</c:v>
                </c:pt>
                <c:pt idx="133">
                  <c:v>3.1302481993691567E-2</c:v>
                </c:pt>
                <c:pt idx="134">
                  <c:v>3.1323698955432522E-2</c:v>
                </c:pt>
                <c:pt idx="135">
                  <c:v>3.1344915452467537E-2</c:v>
                </c:pt>
                <c:pt idx="136">
                  <c:v>3.1366131484806936E-2</c:v>
                </c:pt>
                <c:pt idx="137">
                  <c:v>3.1387347052460712E-2</c:v>
                </c:pt>
                <c:pt idx="138">
                  <c:v>3.1408562155439079E-2</c:v>
                </c:pt>
                <c:pt idx="139">
                  <c:v>3.1429776793752251E-2</c:v>
                </c:pt>
                <c:pt idx="140">
                  <c:v>3.1450990967410442E-2</c:v>
                </c:pt>
                <c:pt idx="141">
                  <c:v>3.1472204676423754E-2</c:v>
                </c:pt>
                <c:pt idx="142">
                  <c:v>3.1493417920802402E-2</c:v>
                </c:pt>
                <c:pt idx="143">
                  <c:v>3.1514630700556601E-2</c:v>
                </c:pt>
                <c:pt idx="144">
                  <c:v>3.1535843015696452E-2</c:v>
                </c:pt>
                <c:pt idx="145">
                  <c:v>3.1557054866232059E-2</c:v>
                </c:pt>
                <c:pt idx="146">
                  <c:v>3.1578266252173859E-2</c:v>
                </c:pt>
                <c:pt idx="147">
                  <c:v>3.1599477173531731E-2</c:v>
                </c:pt>
                <c:pt idx="148">
                  <c:v>3.1620687630316113E-2</c:v>
                </c:pt>
                <c:pt idx="149">
                  <c:v>3.1641897622536996E-2</c:v>
                </c:pt>
                <c:pt idx="150">
                  <c:v>3.1663107150204595E-2</c:v>
                </c:pt>
                <c:pt idx="151">
                  <c:v>3.1684316213329122E-2</c:v>
                </c:pt>
                <c:pt idx="152">
                  <c:v>3.1705524811920793E-2</c:v>
                </c:pt>
                <c:pt idx="153">
                  <c:v>3.17267329459896E-2</c:v>
                </c:pt>
                <c:pt idx="154">
                  <c:v>3.1747940615545978E-2</c:v>
                </c:pt>
                <c:pt idx="155">
                  <c:v>3.1769147820599919E-2</c:v>
                </c:pt>
                <c:pt idx="156">
                  <c:v>3.1790354561161638E-2</c:v>
                </c:pt>
                <c:pt idx="157">
                  <c:v>3.1811560837241237E-2</c:v>
                </c:pt>
                <c:pt idx="158">
                  <c:v>3.1832766648849042E-2</c:v>
                </c:pt>
                <c:pt idx="159">
                  <c:v>3.1853971995995156E-2</c:v>
                </c:pt>
                <c:pt idx="160">
                  <c:v>3.1875176878689682E-2</c:v>
                </c:pt>
                <c:pt idx="161">
                  <c:v>3.1896381296942944E-2</c:v>
                </c:pt>
                <c:pt idx="162">
                  <c:v>3.1917585250764935E-2</c:v>
                </c:pt>
                <c:pt idx="163">
                  <c:v>3.193878874016598E-2</c:v>
                </c:pt>
                <c:pt idx="164">
                  <c:v>3.1959991765156182E-2</c:v>
                </c:pt>
                <c:pt idx="165">
                  <c:v>3.1981194325745754E-2</c:v>
                </c:pt>
                <c:pt idx="166">
                  <c:v>3.2002396421944801E-2</c:v>
                </c:pt>
                <c:pt idx="167">
                  <c:v>3.2023598053763536E-2</c:v>
                </c:pt>
                <c:pt idx="168">
                  <c:v>3.2044799221212061E-2</c:v>
                </c:pt>
                <c:pt idx="169">
                  <c:v>3.2065999924300703E-2</c:v>
                </c:pt>
                <c:pt idx="170">
                  <c:v>3.2087200163039453E-2</c:v>
                </c:pt>
                <c:pt idx="171">
                  <c:v>3.2108399937438525E-2</c:v>
                </c:pt>
                <c:pt idx="172">
                  <c:v>3.2129599247508245E-2</c:v>
                </c:pt>
                <c:pt idx="173">
                  <c:v>3.2150798093258603E-2</c:v>
                </c:pt>
                <c:pt idx="174">
                  <c:v>3.2171996474699927E-2</c:v>
                </c:pt>
                <c:pt idx="175">
                  <c:v>3.2193194391842206E-2</c:v>
                </c:pt>
                <c:pt idx="176">
                  <c:v>3.2214391844695656E-2</c:v>
                </c:pt>
                <c:pt idx="177">
                  <c:v>3.2235588833270601E-2</c:v>
                </c:pt>
                <c:pt idx="178">
                  <c:v>3.2256785357577034E-2</c:v>
                </c:pt>
                <c:pt idx="179">
                  <c:v>3.2277981417625168E-2</c:v>
                </c:pt>
                <c:pt idx="180">
                  <c:v>3.2299177013425218E-2</c:v>
                </c:pt>
                <c:pt idx="181">
                  <c:v>3.2320372144987286E-2</c:v>
                </c:pt>
                <c:pt idx="182">
                  <c:v>3.2341566812321698E-2</c:v>
                </c:pt>
                <c:pt idx="183">
                  <c:v>3.2362761015438335E-2</c:v>
                </c:pt>
                <c:pt idx="184">
                  <c:v>3.2383954754347632E-2</c:v>
                </c:pt>
                <c:pt idx="185">
                  <c:v>3.2405148029059694E-2</c:v>
                </c:pt>
                <c:pt idx="186">
                  <c:v>3.2426340839584511E-2</c:v>
                </c:pt>
                <c:pt idx="187">
                  <c:v>3.244753318593252E-2</c:v>
                </c:pt>
                <c:pt idx="188">
                  <c:v>3.2468725068113713E-2</c:v>
                </c:pt>
                <c:pt idx="189">
                  <c:v>3.2489916486138193E-2</c:v>
                </c:pt>
                <c:pt idx="190">
                  <c:v>3.2511107440016396E-2</c:v>
                </c:pt>
                <c:pt idx="191">
                  <c:v>3.2532297929758203E-2</c:v>
                </c:pt>
                <c:pt idx="192">
                  <c:v>3.2553487955373939E-2</c:v>
                </c:pt>
                <c:pt idx="193">
                  <c:v>3.2574677516873707E-2</c:v>
                </c:pt>
                <c:pt idx="194">
                  <c:v>3.2595866614267721E-2</c:v>
                </c:pt>
                <c:pt idx="195">
                  <c:v>3.2617055247566196E-2</c:v>
                </c:pt>
                <c:pt idx="196">
                  <c:v>3.2638243416779122E-2</c:v>
                </c:pt>
                <c:pt idx="197">
                  <c:v>3.2659431121916827E-2</c:v>
                </c:pt>
                <c:pt idx="198">
                  <c:v>3.2680618362989411E-2</c:v>
                </c:pt>
                <c:pt idx="199">
                  <c:v>3.2701805140006979E-2</c:v>
                </c:pt>
                <c:pt idx="200">
                  <c:v>3.2722991452979744E-2</c:v>
                </c:pt>
                <c:pt idx="201">
                  <c:v>3.2744177301917921E-2</c:v>
                </c:pt>
                <c:pt idx="202">
                  <c:v>3.2765362686831723E-2</c:v>
                </c:pt>
                <c:pt idx="203">
                  <c:v>3.2786547607731142E-2</c:v>
                </c:pt>
                <c:pt idx="204">
                  <c:v>3.2807732064626394E-2</c:v>
                </c:pt>
                <c:pt idx="205">
                  <c:v>3.2828916057527691E-2</c:v>
                </c:pt>
                <c:pt idx="206">
                  <c:v>3.2850099586445136E-2</c:v>
                </c:pt>
                <c:pt idx="207">
                  <c:v>3.2871282651389055E-2</c:v>
                </c:pt>
                <c:pt idx="208">
                  <c:v>3.2892465252369329E-2</c:v>
                </c:pt>
                <c:pt idx="209">
                  <c:v>3.2913647389396394E-2</c:v>
                </c:pt>
                <c:pt idx="210">
                  <c:v>3.2934829062480242E-2</c:v>
                </c:pt>
                <c:pt idx="211">
                  <c:v>3.2956010271631198E-2</c:v>
                </c:pt>
                <c:pt idx="212">
                  <c:v>3.2977191016859142E-2</c:v>
                </c:pt>
                <c:pt idx="213">
                  <c:v>3.2998371298174511E-2</c:v>
                </c:pt>
                <c:pt idx="214">
                  <c:v>3.3019551115587298E-2</c:v>
                </c:pt>
                <c:pt idx="215">
                  <c:v>3.3040730469107826E-2</c:v>
                </c:pt>
                <c:pt idx="216">
                  <c:v>3.3061909358746089E-2</c:v>
                </c:pt>
                <c:pt idx="217">
                  <c:v>3.3083087784512299E-2</c:v>
                </c:pt>
                <c:pt idx="218">
                  <c:v>3.3104265746416672E-2</c:v>
                </c:pt>
                <c:pt idx="219">
                  <c:v>3.312544324446931E-2</c:v>
                </c:pt>
                <c:pt idx="220">
                  <c:v>3.3146620278680428E-2</c:v>
                </c:pt>
                <c:pt idx="221">
                  <c:v>3.3167796849060127E-2</c:v>
                </c:pt>
                <c:pt idx="222">
                  <c:v>3.3188972955618512E-2</c:v>
                </c:pt>
                <c:pt idx="223">
                  <c:v>3.3210148598365907E-2</c:v>
                </c:pt>
                <c:pt idx="224">
                  <c:v>3.3231323777312305E-2</c:v>
                </c:pt>
                <c:pt idx="225">
                  <c:v>3.325249849246803E-2</c:v>
                </c:pt>
                <c:pt idx="226">
                  <c:v>3.3273672743843075E-2</c:v>
                </c:pt>
                <c:pt idx="227">
                  <c:v>3.3294846531447764E-2</c:v>
                </c:pt>
                <c:pt idx="228">
                  <c:v>3.3316019855292089E-2</c:v>
                </c:pt>
                <c:pt idx="229">
                  <c:v>3.3337192715386266E-2</c:v>
                </c:pt>
                <c:pt idx="230">
                  <c:v>3.3358365111740507E-2</c:v>
                </c:pt>
                <c:pt idx="231">
                  <c:v>3.3379537044364915E-2</c:v>
                </c:pt>
                <c:pt idx="232">
                  <c:v>3.3400708513269706E-2</c:v>
                </c:pt>
                <c:pt idx="233">
                  <c:v>3.342187951846487E-2</c:v>
                </c:pt>
                <c:pt idx="234">
                  <c:v>3.3443050059960844E-2</c:v>
                </c:pt>
                <c:pt idx="235">
                  <c:v>3.3464220137767509E-2</c:v>
                </c:pt>
                <c:pt idx="236">
                  <c:v>3.3485389751895189E-2</c:v>
                </c:pt>
                <c:pt idx="237">
                  <c:v>3.3506558902353989E-2</c:v>
                </c:pt>
                <c:pt idx="238">
                  <c:v>3.3527727589154011E-2</c:v>
                </c:pt>
                <c:pt idx="239">
                  <c:v>3.3548895812305579E-2</c:v>
                </c:pt>
                <c:pt idx="240">
                  <c:v>3.3570063571818687E-2</c:v>
                </c:pt>
                <c:pt idx="241">
                  <c:v>3.3591230867703437E-2</c:v>
                </c:pt>
                <c:pt idx="242">
                  <c:v>3.3612397699970153E-2</c:v>
                </c:pt>
                <c:pt idx="243">
                  <c:v>3.3633564068628941E-2</c:v>
                </c:pt>
                <c:pt idx="244">
                  <c:v>3.3654729973689901E-2</c:v>
                </c:pt>
                <c:pt idx="245">
                  <c:v>3.3675895415163248E-2</c:v>
                </c:pt>
                <c:pt idx="246">
                  <c:v>3.3697060393059086E-2</c:v>
                </c:pt>
                <c:pt idx="247">
                  <c:v>3.3718224907387628E-2</c:v>
                </c:pt>
                <c:pt idx="248">
                  <c:v>3.3739388958158978E-2</c:v>
                </c:pt>
                <c:pt idx="249">
                  <c:v>3.3760552545383238E-2</c:v>
                </c:pt>
                <c:pt idx="250">
                  <c:v>3.3781715669070733E-2</c:v>
                </c:pt>
                <c:pt idx="251">
                  <c:v>3.3802878329231345E-2</c:v>
                </c:pt>
                <c:pt idx="252">
                  <c:v>3.3824040525875509E-2</c:v>
                </c:pt>
                <c:pt idx="253">
                  <c:v>3.3845202259013218E-2</c:v>
                </c:pt>
                <c:pt idx="254">
                  <c:v>3.3866363528654686E-2</c:v>
                </c:pt>
                <c:pt idx="255">
                  <c:v>3.3887524334810015E-2</c:v>
                </c:pt>
                <c:pt idx="256">
                  <c:v>3.390868467748942E-2</c:v>
                </c:pt>
                <c:pt idx="257">
                  <c:v>3.3929844556703004E-2</c:v>
                </c:pt>
                <c:pt idx="258">
                  <c:v>3.3951003972460869E-2</c:v>
                </c:pt>
                <c:pt idx="259">
                  <c:v>3.397216292477323E-2</c:v>
                </c:pt>
                <c:pt idx="260">
                  <c:v>3.3993321413650301E-2</c:v>
                </c:pt>
                <c:pt idx="261">
                  <c:v>3.4014479439102185E-2</c:v>
                </c:pt>
                <c:pt idx="262">
                  <c:v>3.4035637001138874E-2</c:v>
                </c:pt>
                <c:pt idx="263">
                  <c:v>3.4056794099770804E-2</c:v>
                </c:pt>
                <c:pt idx="264">
                  <c:v>3.4077950735007856E-2</c:v>
                </c:pt>
                <c:pt idx="265">
                  <c:v>3.4099106906860355E-2</c:v>
                </c:pt>
                <c:pt idx="266">
                  <c:v>3.4120262615338404E-2</c:v>
                </c:pt>
                <c:pt idx="267">
                  <c:v>3.4141417860452106E-2</c:v>
                </c:pt>
                <c:pt idx="268">
                  <c:v>3.4162572642211675E-2</c:v>
                </c:pt>
                <c:pt idx="269">
                  <c:v>3.4183726960627214E-2</c:v>
                </c:pt>
                <c:pt idx="270">
                  <c:v>3.4204880815708938E-2</c:v>
                </c:pt>
                <c:pt idx="271">
                  <c:v>3.4226034207466949E-2</c:v>
                </c:pt>
                <c:pt idx="272">
                  <c:v>3.4247187135911239E-2</c:v>
                </c:pt>
                <c:pt idx="273">
                  <c:v>3.4268339601052245E-2</c:v>
                </c:pt>
                <c:pt idx="274">
                  <c:v>3.4289491602899957E-2</c:v>
                </c:pt>
                <c:pt idx="275">
                  <c:v>3.4310643141464592E-2</c:v>
                </c:pt>
                <c:pt idx="276">
                  <c:v>3.433179421675614E-2</c:v>
                </c:pt>
                <c:pt idx="277">
                  <c:v>3.4352944828784926E-2</c:v>
                </c:pt>
                <c:pt idx="278">
                  <c:v>3.4374094977561054E-2</c:v>
                </c:pt>
                <c:pt idx="279">
                  <c:v>3.4395244663094626E-2</c:v>
                </c:pt>
                <c:pt idx="280">
                  <c:v>3.4416393885395746E-2</c:v>
                </c:pt>
                <c:pt idx="281">
                  <c:v>3.4437542644474628E-2</c:v>
                </c:pt>
                <c:pt idx="282">
                  <c:v>3.4458690940341485E-2</c:v>
                </c:pt>
                <c:pt idx="283">
                  <c:v>3.4479838773006311E-2</c:v>
                </c:pt>
                <c:pt idx="284">
                  <c:v>3.4500986142479317E-2</c:v>
                </c:pt>
                <c:pt idx="285">
                  <c:v>3.452213304877072E-2</c:v>
                </c:pt>
                <c:pt idx="286">
                  <c:v>3.4543279491890622E-2</c:v>
                </c:pt>
                <c:pt idx="287">
                  <c:v>3.4564425471849125E-2</c:v>
                </c:pt>
                <c:pt idx="288">
                  <c:v>3.4585570988656333E-2</c:v>
                </c:pt>
                <c:pt idx="289">
                  <c:v>3.4606716042322461E-2</c:v>
                </c:pt>
                <c:pt idx="290">
                  <c:v>3.4627860632857721E-2</c:v>
                </c:pt>
                <c:pt idx="291">
                  <c:v>3.4649004760272106E-2</c:v>
                </c:pt>
                <c:pt idx="292">
                  <c:v>3.4670148424575942E-2</c:v>
                </c:pt>
                <c:pt idx="293">
                  <c:v>3.4691291625779219E-2</c:v>
                </c:pt>
                <c:pt idx="294">
                  <c:v>3.4712434363892042E-2</c:v>
                </c:pt>
                <c:pt idx="295">
                  <c:v>3.4733576638924735E-2</c:v>
                </c:pt>
                <c:pt idx="296">
                  <c:v>3.475471845088729E-2</c:v>
                </c:pt>
                <c:pt idx="297">
                  <c:v>3.4775859799789921E-2</c:v>
                </c:pt>
                <c:pt idx="298">
                  <c:v>3.4797000685642732E-2</c:v>
                </c:pt>
                <c:pt idx="299">
                  <c:v>3.4818141108455936E-2</c:v>
                </c:pt>
                <c:pt idx="300">
                  <c:v>3.4839281068239636E-2</c:v>
                </c:pt>
                <c:pt idx="301">
                  <c:v>3.4860420565003936E-2</c:v>
                </c:pt>
                <c:pt idx="302">
                  <c:v>3.4881559598758938E-2</c:v>
                </c:pt>
                <c:pt idx="303">
                  <c:v>3.4902698169514967E-2</c:v>
                </c:pt>
                <c:pt idx="304">
                  <c:v>3.4923836277282017E-2</c:v>
                </c:pt>
                <c:pt idx="305">
                  <c:v>3.4944973922070188E-2</c:v>
                </c:pt>
                <c:pt idx="306">
                  <c:v>3.4966111103889697E-2</c:v>
                </c:pt>
                <c:pt idx="307">
                  <c:v>3.4987247822750756E-2</c:v>
                </c:pt>
                <c:pt idx="308">
                  <c:v>3.5008384078663357E-2</c:v>
                </c:pt>
                <c:pt idx="309">
                  <c:v>3.5029519871637715E-2</c:v>
                </c:pt>
                <c:pt idx="310">
                  <c:v>3.5050655201684044E-2</c:v>
                </c:pt>
                <c:pt idx="311">
                  <c:v>3.5071790068812336E-2</c:v>
                </c:pt>
                <c:pt idx="312">
                  <c:v>3.5092924473032805E-2</c:v>
                </c:pt>
                <c:pt idx="313">
                  <c:v>3.5114058414355553E-2</c:v>
                </c:pt>
                <c:pt idx="314">
                  <c:v>3.5135191892790796E-2</c:v>
                </c:pt>
                <c:pt idx="315">
                  <c:v>3.5156324908348524E-2</c:v>
                </c:pt>
                <c:pt idx="316">
                  <c:v>3.5177457461039063E-2</c:v>
                </c:pt>
                <c:pt idx="317">
                  <c:v>3.5198589550872406E-2</c:v>
                </c:pt>
                <c:pt idx="318">
                  <c:v>3.5219721177858876E-2</c:v>
                </c:pt>
                <c:pt idx="319">
                  <c:v>3.5240852342008355E-2</c:v>
                </c:pt>
                <c:pt idx="320">
                  <c:v>3.5261983043331169E-2</c:v>
                </c:pt>
                <c:pt idx="321">
                  <c:v>3.5283113281837308E-2</c:v>
                </c:pt>
                <c:pt idx="322">
                  <c:v>3.5304243057537099E-2</c:v>
                </c:pt>
                <c:pt idx="323">
                  <c:v>3.5325372370440533E-2</c:v>
                </c:pt>
                <c:pt idx="324">
                  <c:v>3.5346501220557824E-2</c:v>
                </c:pt>
                <c:pt idx="325">
                  <c:v>3.5367629607898965E-2</c:v>
                </c:pt>
                <c:pt idx="326">
                  <c:v>3.538875753247428E-2</c:v>
                </c:pt>
                <c:pt idx="327">
                  <c:v>3.5409884994293872E-2</c:v>
                </c:pt>
                <c:pt idx="328">
                  <c:v>3.5431011993367734E-2</c:v>
                </c:pt>
                <c:pt idx="329">
                  <c:v>3.545213852970619E-2</c:v>
                </c:pt>
                <c:pt idx="330">
                  <c:v>3.5473264603319121E-2</c:v>
                </c:pt>
                <c:pt idx="331">
                  <c:v>3.5494390214216964E-2</c:v>
                </c:pt>
                <c:pt idx="332">
                  <c:v>3.5515515362409711E-2</c:v>
                </c:pt>
                <c:pt idx="333">
                  <c:v>3.5536640047907353E-2</c:v>
                </c:pt>
                <c:pt idx="334">
                  <c:v>3.5557764270720327E-2</c:v>
                </c:pt>
                <c:pt idx="335">
                  <c:v>3.5578888030858513E-2</c:v>
                </c:pt>
                <c:pt idx="336">
                  <c:v>3.5600011328332237E-2</c:v>
                </c:pt>
                <c:pt idx="337">
                  <c:v>3.5621134163151491E-2</c:v>
                </c:pt>
                <c:pt idx="338">
                  <c:v>3.5642256535326378E-2</c:v>
                </c:pt>
                <c:pt idx="339">
                  <c:v>3.5663378444867222E-2</c:v>
                </c:pt>
                <c:pt idx="340">
                  <c:v>3.5684499891783905E-2</c:v>
                </c:pt>
                <c:pt idx="341">
                  <c:v>3.5705620876086752E-2</c:v>
                </c:pt>
                <c:pt idx="342">
                  <c:v>3.5726741397785866E-2</c:v>
                </c:pt>
                <c:pt idx="343">
                  <c:v>3.574786145689135E-2</c:v>
                </c:pt>
                <c:pt idx="344">
                  <c:v>3.5768981053413307E-2</c:v>
                </c:pt>
                <c:pt idx="345">
                  <c:v>3.5790100187361951E-2</c:v>
                </c:pt>
                <c:pt idx="346">
                  <c:v>3.5811218858747274E-2</c:v>
                </c:pt>
                <c:pt idx="347">
                  <c:v>3.58323370675796E-2</c:v>
                </c:pt>
                <c:pt idx="348">
                  <c:v>3.5853454813868924E-2</c:v>
                </c:pt>
                <c:pt idx="349">
                  <c:v>3.5874572097625346E-2</c:v>
                </c:pt>
                <c:pt idx="350">
                  <c:v>3.5895688918859081E-2</c:v>
                </c:pt>
                <c:pt idx="351">
                  <c:v>3.5916805277580233E-2</c:v>
                </c:pt>
                <c:pt idx="352">
                  <c:v>3.5937921173798903E-2</c:v>
                </c:pt>
                <c:pt idx="353">
                  <c:v>3.5959036607525308E-2</c:v>
                </c:pt>
                <c:pt idx="354">
                  <c:v>3.5980151578769548E-2</c:v>
                </c:pt>
                <c:pt idx="355">
                  <c:v>3.6001266087541728E-2</c:v>
                </c:pt>
                <c:pt idx="356">
                  <c:v>3.602238013385195E-2</c:v>
                </c:pt>
                <c:pt idx="357">
                  <c:v>3.6043493717710318E-2</c:v>
                </c:pt>
                <c:pt idx="358">
                  <c:v>3.6064606839127045E-2</c:v>
                </c:pt>
                <c:pt idx="359">
                  <c:v>3.6085719498112234E-2</c:v>
                </c:pt>
                <c:pt idx="360">
                  <c:v>3.61068316946761E-2</c:v>
                </c:pt>
                <c:pt idx="361">
                  <c:v>3.6127943428828524E-2</c:v>
                </c:pt>
                <c:pt idx="362">
                  <c:v>3.614905470057983E-2</c:v>
                </c:pt>
                <c:pt idx="363">
                  <c:v>3.6170165509940122E-2</c:v>
                </c:pt>
                <c:pt idx="364">
                  <c:v>3.6191275856919614E-2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3.1366798344515431E-2</c:v>
                </c:pt>
                <c:pt idx="1">
                  <c:v>3.1592640032873702E-2</c:v>
                </c:pt>
                <c:pt idx="2">
                  <c:v>3.1818327860568221E-2</c:v>
                </c:pt>
                <c:pt idx="3">
                  <c:v>3.2043856072769029E-2</c:v>
                </c:pt>
                <c:pt idx="4">
                  <c:v>3.2269219673831041E-2</c:v>
                </c:pt>
                <c:pt idx="5">
                  <c:v>3.2494414430138681E-2</c:v>
                </c:pt>
                <c:pt idx="6">
                  <c:v>3.2719436864331097E-2</c:v>
                </c:pt>
                <c:pt idx="7">
                  <c:v>3.294428424119477E-2</c:v>
                </c:pt>
                <c:pt idx="8">
                  <c:v>3.3168954545591961E-2</c:v>
                </c:pt>
                <c:pt idx="9">
                  <c:v>3.3393446452872955E-2</c:v>
                </c:pt>
                <c:pt idx="10">
                  <c:v>3.3617759292291299E-2</c:v>
                </c:pt>
                <c:pt idx="11">
                  <c:v>3.3841893004009069E-2</c:v>
                </c:pt>
                <c:pt idx="12">
                  <c:v>3.4065848090338226E-2</c:v>
                </c:pt>
                <c:pt idx="13">
                  <c:v>3.4289625561916781E-2</c:v>
                </c:pt>
                <c:pt idx="14">
                  <c:v>3.451322687956327E-2</c:v>
                </c:pt>
                <c:pt idx="15">
                  <c:v>3.4736653892588877E-2</c:v>
                </c:pt>
                <c:pt idx="16">
                  <c:v>3.4959908774374708E-2</c:v>
                </c:pt>
                <c:pt idx="17">
                  <c:v>3.518299395604009E-2</c:v>
                </c:pt>
                <c:pt idx="18">
                  <c:v>3.5405912059038577E-2</c:v>
                </c:pt>
                <c:pt idx="19">
                  <c:v>3.5628665827518002E-2</c:v>
                </c:pt>
                <c:pt idx="20">
                  <c:v>3.5851258061274302E-2</c:v>
                </c:pt>
                <c:pt idx="21">
                  <c:v>3.6073691550111274E-2</c:v>
                </c:pt>
                <c:pt idx="22">
                  <c:v>3.6295969010393621E-2</c:v>
                </c:pt>
                <c:pt idx="23">
                  <c:v>3.651809302454731E-2</c:v>
                </c:pt>
                <c:pt idx="24">
                  <c:v>3.6740065984219882E-2</c:v>
                </c:pt>
                <c:pt idx="25">
                  <c:v>3.6961890037765809E-2</c:v>
                </c:pt>
                <c:pt idx="26">
                  <c:v>3.7183567042666274E-2</c:v>
                </c:pt>
                <c:pt idx="27">
                  <c:v>3.7405098523432823E-2</c:v>
                </c:pt>
                <c:pt idx="28">
                  <c:v>3.7626485635477463E-2</c:v>
                </c:pt>
                <c:pt idx="29">
                  <c:v>3.7847729135362072E-2</c:v>
                </c:pt>
                <c:pt idx="30">
                  <c:v>3.8068829357764927E-2</c:v>
                </c:pt>
                <c:pt idx="31">
                  <c:v>3.8289786199425836E-2</c:v>
                </c:pt>
                <c:pt idx="32">
                  <c:v>3.8510599110252126E-2</c:v>
                </c:pt>
                <c:pt idx="33">
                  <c:v>3.8731267091687643E-2</c:v>
                </c:pt>
                <c:pt idx="34">
                  <c:v>3.895178870236652E-2</c:v>
                </c:pt>
                <c:pt idx="35">
                  <c:v>3.9172162070994478E-2</c:v>
                </c:pt>
                <c:pt idx="36">
                  <c:v>3.939238491632184E-2</c:v>
                </c:pt>
                <c:pt idx="37">
                  <c:v>3.9612454573996939E-2</c:v>
                </c:pt>
                <c:pt idx="38">
                  <c:v>3.9832368030016378E-2</c:v>
                </c:pt>
                <c:pt idx="39">
                  <c:v>4.0052121960420371E-2</c:v>
                </c:pt>
                <c:pt idx="40">
                  <c:v>4.0271712776816702E-2</c:v>
                </c:pt>
                <c:pt idx="41">
                  <c:v>4.0491136677259225E-2</c:v>
                </c:pt>
                <c:pt idx="42">
                  <c:v>4.0710389701954078E-2</c:v>
                </c:pt>
                <c:pt idx="43">
                  <c:v>4.0929467793220341E-2</c:v>
                </c:pt>
                <c:pt idx="44">
                  <c:v>4.1148366859092476E-2</c:v>
                </c:pt>
                <c:pt idx="45">
                  <c:v>4.1367082839920195E-2</c:v>
                </c:pt>
                <c:pt idx="46">
                  <c:v>4.1585611777296264E-2</c:v>
                </c:pt>
                <c:pt idx="47">
                  <c:v>4.1803949884625727E-2</c:v>
                </c:pt>
                <c:pt idx="48">
                  <c:v>4.202209361864092E-2</c:v>
                </c:pt>
                <c:pt idx="49">
                  <c:v>4.2240039751164429E-2</c:v>
                </c:pt>
                <c:pt idx="50">
                  <c:v>4.245778544042865E-2</c:v>
                </c:pt>
                <c:pt idx="51">
                  <c:v>4.2675328301273574E-2</c:v>
                </c:pt>
                <c:pt idx="52">
                  <c:v>4.289266647356501E-2</c:v>
                </c:pt>
                <c:pt idx="53">
                  <c:v>4.3109798688202992E-2</c:v>
                </c:pt>
                <c:pt idx="54">
                  <c:v>4.3326724330123217E-2</c:v>
                </c:pt>
                <c:pt idx="55">
                  <c:v>4.3543443497734792E-2</c:v>
                </c:pt>
                <c:pt idx="56">
                  <c:v>4.3759957058281562E-2</c:v>
                </c:pt>
                <c:pt idx="57">
                  <c:v>4.397626669866482E-2</c:v>
                </c:pt>
                <c:pt idx="58">
                  <c:v>4.4192374971318192E-2</c:v>
                </c:pt>
                <c:pt idx="59">
                  <c:v>4.4408285334782367E-2</c:v>
                </c:pt>
                <c:pt idx="60">
                  <c:v>4.4624002188688457E-2</c:v>
                </c:pt>
                <c:pt idx="61">
                  <c:v>4.48395309029175E-2</c:v>
                </c:pt>
                <c:pt idx="62">
                  <c:v>4.5054877840769336E-2</c:v>
                </c:pt>
                <c:pt idx="63">
                  <c:v>4.5270050376033877E-2</c:v>
                </c:pt>
                <c:pt idx="64">
                  <c:v>4.5485056903922599E-2</c:v>
                </c:pt>
                <c:pt idx="65">
                  <c:v>4.5699906845877505E-2</c:v>
                </c:pt>
                <c:pt idx="66">
                  <c:v>4.5914610648334506E-2</c:v>
                </c:pt>
                <c:pt idx="67">
                  <c:v>4.6129179775574625E-2</c:v>
                </c:pt>
                <c:pt idx="68">
                  <c:v>4.6343626696849528E-2</c:v>
                </c:pt>
                <c:pt idx="69">
                  <c:v>4.6557964868016492E-2</c:v>
                </c:pt>
                <c:pt idx="70">
                  <c:v>4.6772208707963121E-2</c:v>
                </c:pt>
                <c:pt idx="71">
                  <c:v>4.6986373570141786E-2</c:v>
                </c:pt>
                <c:pt idx="72">
                  <c:v>4.7200475709567022E-2</c:v>
                </c:pt>
                <c:pt idx="73">
                  <c:v>4.7414532245658912E-2</c:v>
                </c:pt>
                <c:pt idx="74">
                  <c:v>4.7628561121336815E-2</c:v>
                </c:pt>
                <c:pt idx="75">
                  <c:v>4.7842581058784597E-2</c:v>
                </c:pt>
                <c:pt idx="76">
                  <c:v>4.8056611512318388E-2</c:v>
                </c:pt>
                <c:pt idx="77">
                  <c:v>4.8270672618791192E-2</c:v>
                </c:pt>
                <c:pt idx="78">
                  <c:v>4.8484785145966276E-2</c:v>
                </c:pt>
                <c:pt idx="79">
                  <c:v>4.8698970439282459E-2</c:v>
                </c:pt>
                <c:pt idx="80">
                  <c:v>4.8913250367419878E-2</c:v>
                </c:pt>
                <c:pt idx="81">
                  <c:v>4.9127647267054528E-2</c:v>
                </c:pt>
                <c:pt idx="82">
                  <c:v>4.9342183887164257E-2</c:v>
                </c:pt>
                <c:pt idx="83">
                  <c:v>4.9556883333219885E-2</c:v>
                </c:pt>
                <c:pt idx="84">
                  <c:v>4.9771769011559525E-2</c:v>
                </c:pt>
                <c:pt idx="85">
                  <c:v>4.9986864574207451E-2</c:v>
                </c:pt>
                <c:pt idx="86">
                  <c:v>5.0202193864357647E-2</c:v>
                </c:pt>
                <c:pt idx="87">
                  <c:v>5.0417780862698887E-2</c:v>
                </c:pt>
                <c:pt idx="88">
                  <c:v>5.0633649634713986E-2</c:v>
                </c:pt>
                <c:pt idx="89">
                  <c:v>5.0849824279039932E-2</c:v>
                </c:pt>
                <c:pt idx="90">
                  <c:v>5.1066328876929391E-2</c:v>
                </c:pt>
                <c:pt idx="91">
                  <c:v>5.1283187442810532E-2</c:v>
                </c:pt>
                <c:pt idx="92">
                  <c:v>5.1500423875895956E-2</c:v>
                </c:pt>
                <c:pt idx="93">
                  <c:v>5.1718061912751731E-2</c:v>
                </c:pt>
                <c:pt idx="94">
                  <c:v>5.1936125080697837E-2</c:v>
                </c:pt>
                <c:pt idx="95">
                  <c:v>5.2154636651874808E-2</c:v>
                </c:pt>
                <c:pt idx="96">
                  <c:v>5.2373619597781571E-2</c:v>
                </c:pt>
                <c:pt idx="97">
                  <c:v>5.2593096544060525E-2</c:v>
                </c:pt>
                <c:pt idx="98">
                  <c:v>5.281308972528552E-2</c:v>
                </c:pt>
                <c:pt idx="99">
                  <c:v>5.3033620939490995E-2</c:v>
                </c:pt>
                <c:pt idx="100">
                  <c:v>5.3254711502170475E-2</c:v>
                </c:pt>
                <c:pt idx="101">
                  <c:v>5.3476382199468563E-2</c:v>
                </c:pt>
                <c:pt idx="102">
                  <c:v>5.3698653240291785E-2</c:v>
                </c:pt>
                <c:pt idx="103">
                  <c:v>5.3921544207073388E-2</c:v>
                </c:pt>
                <c:pt idx="104">
                  <c:v>5.4145074004941354E-2</c:v>
                </c:pt>
                <c:pt idx="105">
                  <c:v>5.4369260809060821E-2</c:v>
                </c:pt>
                <c:pt idx="106">
                  <c:v>5.4594122009950667E-2</c:v>
                </c:pt>
                <c:pt idx="107">
                  <c:v>5.481967415660631E-2</c:v>
                </c:pt>
                <c:pt idx="108">
                  <c:v>5.5045932897302786E-2</c:v>
                </c:pt>
                <c:pt idx="109">
                  <c:v>5.5272912917994889E-2</c:v>
                </c:pt>
                <c:pt idx="110">
                  <c:v>5.550062787828261E-2</c:v>
                </c:pt>
                <c:pt idx="111">
                  <c:v>5.5729090344963421E-2</c:v>
                </c:pt>
                <c:pt idx="112">
                  <c:v>5.5958311723250768E-2</c:v>
                </c:pt>
                <c:pt idx="113">
                  <c:v>5.6188302185798268E-2</c:v>
                </c:pt>
                <c:pt idx="114">
                  <c:v>5.6419070599732363E-2</c:v>
                </c:pt>
                <c:pt idx="115">
                  <c:v>5.6650624451959238E-2</c:v>
                </c:pt>
                <c:pt idx="116">
                  <c:v>5.6882969773076705E-2</c:v>
                </c:pt>
                <c:pt idx="117">
                  <c:v>5.711611106028501E-2</c:v>
                </c:pt>
                <c:pt idx="118">
                  <c:v>5.7350051199753352E-2</c:v>
                </c:pt>
                <c:pt idx="119">
                  <c:v>5.7584791388959271E-2</c:v>
                </c:pt>
                <c:pt idx="120">
                  <c:v>5.7820331059574147E-2</c:v>
                </c:pt>
                <c:pt idx="121">
                  <c:v>5.80566678015225E-2</c:v>
                </c:pt>
                <c:pt idx="122">
                  <c:v>5.8293797288889476E-2</c:v>
                </c:pt>
                <c:pt idx="123">
                  <c:v>5.8531713208394738E-2</c:v>
                </c:pt>
                <c:pt idx="124">
                  <c:v>5.8770407191185654E-2</c:v>
                </c:pt>
                <c:pt idx="125">
                  <c:v>5.9009868748732285E-2</c:v>
                </c:pt>
                <c:pt idx="126">
                  <c:v>5.9250085213627943E-2</c:v>
                </c:pt>
                <c:pt idx="127">
                  <c:v>5.9491041686110913E-2</c:v>
                </c:pt>
                <c:pt idx="128">
                  <c:v>5.9732720987127286E-2</c:v>
                </c:pt>
                <c:pt idx="129">
                  <c:v>5.9975103618749998E-2</c:v>
                </c:pt>
                <c:pt idx="130">
                  <c:v>6.0218167732753326E-2</c:v>
                </c:pt>
                <c:pt idx="131">
                  <c:v>6.0461889108118387E-2</c:v>
                </c:pt>
                <c:pt idx="132">
                  <c:v>6.0706241138210756E-2</c:v>
                </c:pt>
                <c:pt idx="133">
                  <c:v>6.0951194828327795E-2</c:v>
                </c:pt>
                <c:pt idx="134">
                  <c:v>6.119671880425908E-2</c:v>
                </c:pt>
                <c:pt idx="135">
                  <c:v>6.1442779332442111E-2</c:v>
                </c:pt>
                <c:pt idx="136">
                  <c:v>6.1689340352222476E-2</c:v>
                </c:pt>
                <c:pt idx="137">
                  <c:v>6.1936363520649351E-2</c:v>
                </c:pt>
                <c:pt idx="138">
                  <c:v>6.218380827014891E-2</c:v>
                </c:pt>
                <c:pt idx="139">
                  <c:v>6.243163187932331E-2</c:v>
                </c:pt>
                <c:pt idx="140">
                  <c:v>6.267978955702358E-2</c:v>
                </c:pt>
                <c:pt idx="141">
                  <c:v>6.2928234539736852E-2</c:v>
                </c:pt>
                <c:pt idx="142">
                  <c:v>6.3176918202219268E-2</c:v>
                </c:pt>
                <c:pt idx="143">
                  <c:v>6.3425790181190975E-2</c:v>
                </c:pt>
                <c:pt idx="144">
                  <c:v>6.3674798511794667E-2</c:v>
                </c:pt>
                <c:pt idx="145">
                  <c:v>6.3923889776400872E-2</c:v>
                </c:pt>
                <c:pt idx="146">
                  <c:v>6.4173009265226538E-2</c:v>
                </c:pt>
                <c:pt idx="147">
                  <c:v>6.4422101148118138E-2</c:v>
                </c:pt>
                <c:pt idx="148">
                  <c:v>6.4671108656736032E-2</c:v>
                </c:pt>
                <c:pt idx="149">
                  <c:v>6.4919974276269096E-2</c:v>
                </c:pt>
                <c:pt idx="150">
                  <c:v>6.5168639945701462E-2</c:v>
                </c:pt>
                <c:pt idx="151">
                  <c:v>6.5417047265558026E-2</c:v>
                </c:pt>
                <c:pt idx="152">
                  <c:v>6.5665137711960503E-2</c:v>
                </c:pt>
                <c:pt idx="153">
                  <c:v>6.5912852855745899E-2</c:v>
                </c:pt>
                <c:pt idx="154">
                  <c:v>6.6160134585324035E-2</c:v>
                </c:pt>
                <c:pt idx="155">
                  <c:v>6.6406925331887315E-2</c:v>
                </c:pt>
                <c:pt idx="156">
                  <c:v>6.6653168295534929E-2</c:v>
                </c:pt>
                <c:pt idx="157">
                  <c:v>6.6898807670831603E-2</c:v>
                </c:pt>
                <c:pt idx="158">
                  <c:v>6.7143788870294541E-2</c:v>
                </c:pt>
                <c:pt idx="159">
                  <c:v>6.738805874428544E-2</c:v>
                </c:pt>
                <c:pt idx="160">
                  <c:v>6.7631565795784998E-2</c:v>
                </c:pt>
                <c:pt idx="161">
                  <c:v>6.7874260388536972E-2</c:v>
                </c:pt>
                <c:pt idx="162">
                  <c:v>6.8116094947075656E-2</c:v>
                </c:pt>
                <c:pt idx="163">
                  <c:v>6.8357024147190318E-2</c:v>
                </c:pt>
                <c:pt idx="164">
                  <c:v>6.8597005095431068E-2</c:v>
                </c:pt>
                <c:pt idx="165">
                  <c:v>6.8835997496329321E-2</c:v>
                </c:pt>
                <c:pt idx="166">
                  <c:v>6.9073963806081912E-2</c:v>
                </c:pt>
                <c:pt idx="167">
                  <c:v>6.9310869371540629E-2</c:v>
                </c:pt>
                <c:pt idx="168">
                  <c:v>6.9546682553451103E-2</c:v>
                </c:pt>
                <c:pt idx="169">
                  <c:v>6.978137483299704E-2</c:v>
                </c:pt>
                <c:pt idx="170">
                  <c:v>7.0014920900829003E-2</c:v>
                </c:pt>
                <c:pt idx="171">
                  <c:v>7.0247298727888208E-2</c:v>
                </c:pt>
                <c:pt idx="172">
                  <c:v>7.0478489617473855E-2</c:v>
                </c:pt>
                <c:pt idx="173">
                  <c:v>7.0708478238147909E-2</c:v>
                </c:pt>
                <c:pt idx="174">
                  <c:v>7.0937252637219866E-2</c:v>
                </c:pt>
                <c:pt idx="175">
                  <c:v>7.1164804234707543E-2</c:v>
                </c:pt>
                <c:pt idx="176">
                  <c:v>7.1391127797825221E-2</c:v>
                </c:pt>
                <c:pt idx="177">
                  <c:v>7.1616221396204854E-2</c:v>
                </c:pt>
                <c:pt idx="178">
                  <c:v>7.1840086338210749E-2</c:v>
                </c:pt>
                <c:pt idx="179">
                  <c:v>7.2062727088861384E-2</c:v>
                </c:pt>
                <c:pt idx="180">
                  <c:v>7.228415117001695E-2</c:v>
                </c:pt>
                <c:pt idx="181">
                  <c:v>7.250436904363726E-2</c:v>
                </c:pt>
                <c:pt idx="182">
                  <c:v>7.2723393979046938E-2</c:v>
                </c:pt>
                <c:pt idx="183">
                  <c:v>7.2941241905274248E-2</c:v>
                </c:pt>
                <c:pt idx="184">
                  <c:v>7.3157931249647326E-2</c:v>
                </c:pt>
                <c:pt idx="185">
                  <c:v>7.3373482763937736E-2</c:v>
                </c:pt>
                <c:pt idx="186">
                  <c:v>7.3587919339438035E-2</c:v>
                </c:pt>
                <c:pt idx="187">
                  <c:v>7.3801265812441716E-2</c:v>
                </c:pt>
                <c:pt idx="188">
                  <c:v>7.4013548761662745E-2</c:v>
                </c:pt>
                <c:pt idx="189">
                  <c:v>7.4224796299187712E-2</c:v>
                </c:pt>
                <c:pt idx="190">
                  <c:v>7.4435037856591654E-2</c:v>
                </c:pt>
                <c:pt idx="191">
                  <c:v>7.4644303967874498E-2</c:v>
                </c:pt>
                <c:pt idx="192">
                  <c:v>7.4852626050882637E-2</c:v>
                </c:pt>
                <c:pt idx="193">
                  <c:v>7.5060036188874774E-2</c:v>
                </c:pt>
                <c:pt idx="194">
                  <c:v>7.5266566913866795E-2</c:v>
                </c:pt>
                <c:pt idx="195">
                  <c:v>7.5472250993353807E-2</c:v>
                </c:pt>
                <c:pt idx="196">
                  <c:v>7.5677121221954136E-2</c:v>
                </c:pt>
                <c:pt idx="197">
                  <c:v>7.5881210219452322E-2</c:v>
                </c:pt>
                <c:pt idx="198">
                  <c:v>7.6084550236636725E-2</c:v>
                </c:pt>
                <c:pt idx="199">
                  <c:v>7.6287172970233783E-2</c:v>
                </c:pt>
                <c:pt idx="200">
                  <c:v>7.6489109388133497E-2</c:v>
                </c:pt>
                <c:pt idx="201">
                  <c:v>7.669038956598466E-2</c:v>
                </c:pt>
                <c:pt idx="202">
                  <c:v>7.6891042536110704E-2</c:v>
                </c:pt>
                <c:pt idx="203">
                  <c:v>7.709109614956218E-2</c:v>
                </c:pt>
                <c:pt idx="204">
                  <c:v>7.7290576951979773E-2</c:v>
                </c:pt>
                <c:pt idx="205">
                  <c:v>7.7489510073794218E-2</c:v>
                </c:pt>
                <c:pt idx="206">
                  <c:v>7.7687919135138228E-2</c:v>
                </c:pt>
                <c:pt idx="207">
                  <c:v>7.7885826165692063E-2</c:v>
                </c:pt>
                <c:pt idx="208">
                  <c:v>7.8083251539529816E-2</c:v>
                </c:pt>
                <c:pt idx="209">
                  <c:v>7.8280213924881589E-2</c:v>
                </c:pt>
                <c:pt idx="210">
                  <c:v>7.8476730248574655E-2</c:v>
                </c:pt>
                <c:pt idx="211">
                  <c:v>7.8672815674772523E-2</c:v>
                </c:pt>
                <c:pt idx="212">
                  <c:v>7.8868483597489561E-2</c:v>
                </c:pt>
                <c:pt idx="213">
                  <c:v>7.9063745646226494E-2</c:v>
                </c:pt>
                <c:pt idx="214">
                  <c:v>7.9258611703948545E-2</c:v>
                </c:pt>
                <c:pt idx="215">
                  <c:v>7.9453089936514093E-2</c:v>
                </c:pt>
                <c:pt idx="216">
                  <c:v>7.9647186832559766E-2</c:v>
                </c:pt>
                <c:pt idx="217">
                  <c:v>7.9840907252758664E-2</c:v>
                </c:pt>
                <c:pt idx="218">
                  <c:v>8.0034254487291553E-2</c:v>
                </c:pt>
                <c:pt idx="219">
                  <c:v>8.0227230320310386E-2</c:v>
                </c:pt>
                <c:pt idx="220">
                  <c:v>8.0419835100126472E-2</c:v>
                </c:pt>
                <c:pt idx="221">
                  <c:v>8.0612067813824587E-2</c:v>
                </c:pt>
                <c:pt idx="222">
                  <c:v>8.0803926164989603E-2</c:v>
                </c:pt>
                <c:pt idx="223">
                  <c:v>8.0995406653233931E-2</c:v>
                </c:pt>
                <c:pt idx="224">
                  <c:v>8.1186504654229885E-2</c:v>
                </c:pt>
                <c:pt idx="225">
                  <c:v>8.1377214498986425E-2</c:v>
                </c:pt>
                <c:pt idx="226">
                  <c:v>8.156752955115612E-2</c:v>
                </c:pt>
                <c:pt idx="227">
                  <c:v>8.175744228122428E-2</c:v>
                </c:pt>
                <c:pt idx="228">
                  <c:v>8.1946944336508287E-2</c:v>
                </c:pt>
                <c:pt idx="229">
                  <c:v>8.2136026605988302E-2</c:v>
                </c:pt>
                <c:pt idx="230">
                  <c:v>8.2324679279092788E-2</c:v>
                </c:pt>
                <c:pt idx="231">
                  <c:v>8.2512891897679047E-2</c:v>
                </c:pt>
                <c:pt idx="232">
                  <c:v>8.2700653400572449E-2</c:v>
                </c:pt>
                <c:pt idx="233">
                  <c:v>8.2887952160162079E-2</c:v>
                </c:pt>
                <c:pt idx="234">
                  <c:v>8.307477601069102E-2</c:v>
                </c:pt>
                <c:pt idx="235">
                  <c:v>8.3261112268024351E-2</c:v>
                </c:pt>
                <c:pt idx="236">
                  <c:v>8.3446947740827573E-2</c:v>
                </c:pt>
                <c:pt idx="237">
                  <c:v>8.3632268733238979E-2</c:v>
                </c:pt>
                <c:pt idx="238">
                  <c:v>8.3817061039269974E-2</c:v>
                </c:pt>
                <c:pt idx="239">
                  <c:v>8.40013099293173E-2</c:v>
                </c:pt>
                <c:pt idx="240">
                  <c:v>8.4185000129315388E-2</c:v>
                </c:pt>
                <c:pt idx="241">
                  <c:v>8.4368115793198598E-2</c:v>
                </c:pt>
                <c:pt idx="242">
                  <c:v>8.4550640469474858E-2</c:v>
                </c:pt>
                <c:pt idx="243">
                  <c:v>8.4732557062836861E-2</c:v>
                </c:pt>
                <c:pt idx="244">
                  <c:v>8.4913847791851058E-2</c:v>
                </c:pt>
                <c:pt idx="245">
                  <c:v>8.5094494143866314E-2</c:v>
                </c:pt>
                <c:pt idx="246">
                  <c:v>8.527447682837247E-2</c:v>
                </c:pt>
                <c:pt idx="247">
                  <c:v>8.5453775730113687E-2</c:v>
                </c:pt>
                <c:pt idx="248">
                  <c:v>8.5632369863320026E-2</c:v>
                </c:pt>
                <c:pt idx="249">
                  <c:v>8.5810237328462421E-2</c:v>
                </c:pt>
                <c:pt idx="250">
                  <c:v>8.598735527296128E-2</c:v>
                </c:pt>
                <c:pt idx="251">
                  <c:v>8.6163699857286197E-2</c:v>
                </c:pt>
                <c:pt idx="252">
                  <c:v>8.633924622787216E-2</c:v>
                </c:pt>
                <c:pt idx="253">
                  <c:v>8.6513968498249577E-2</c:v>
                </c:pt>
                <c:pt idx="254">
                  <c:v>8.6687839739735637E-2</c:v>
                </c:pt>
                <c:pt idx="255">
                  <c:v>8.686083198297001E-2</c:v>
                </c:pt>
                <c:pt idx="256">
                  <c:v>8.7032916231493354E-2</c:v>
                </c:pt>
                <c:pt idx="257">
                  <c:v>8.720406248846603E-2</c:v>
                </c:pt>
                <c:pt idx="258">
                  <c:v>8.7374239797508219E-2</c:v>
                </c:pt>
                <c:pt idx="259">
                  <c:v>8.7543416298509341E-2</c:v>
                </c:pt>
                <c:pt idx="260">
                  <c:v>8.7711559299109024E-2</c:v>
                </c:pt>
                <c:pt idx="261">
                  <c:v>8.7878635362392432E-2</c:v>
                </c:pt>
                <c:pt idx="262">
                  <c:v>8.8044610411173202E-2</c:v>
                </c:pt>
                <c:pt idx="263">
                  <c:v>8.8209449849056626E-2</c:v>
                </c:pt>
                <c:pt idx="264">
                  <c:v>8.8373118698290273E-2</c:v>
                </c:pt>
                <c:pt idx="265">
                  <c:v>8.8535581754214138E-2</c:v>
                </c:pt>
                <c:pt idx="266">
                  <c:v>8.8696803755927256E-2</c:v>
                </c:pt>
                <c:pt idx="267">
                  <c:v>8.8856749572588573E-2</c:v>
                </c:pt>
                <c:pt idx="268">
                  <c:v>8.9015384404572018E-2</c:v>
                </c:pt>
                <c:pt idx="269">
                  <c:v>8.9172673998500332E-2</c:v>
                </c:pt>
                <c:pt idx="270">
                  <c:v>8.9328584874990777E-2</c:v>
                </c:pt>
                <c:pt idx="271">
                  <c:v>8.9483084567763119E-2</c:v>
                </c:pt>
                <c:pt idx="272">
                  <c:v>8.9636141872583841E-2</c:v>
                </c:pt>
                <c:pt idx="273">
                  <c:v>8.978772710435716E-2</c:v>
                </c:pt>
                <c:pt idx="274">
                  <c:v>8.9937812360522076E-2</c:v>
                </c:pt>
                <c:pt idx="275">
                  <c:v>9.0086371788777708E-2</c:v>
                </c:pt>
                <c:pt idx="276">
                  <c:v>9.02333818570389E-2</c:v>
                </c:pt>
                <c:pt idx="277">
                  <c:v>9.0378821623422492E-2</c:v>
                </c:pt>
                <c:pt idx="278">
                  <c:v>9.0522673003980161E-2</c:v>
                </c:pt>
                <c:pt idx="279">
                  <c:v>9.0664921035833165E-2</c:v>
                </c:pt>
                <c:pt idx="280">
                  <c:v>9.0805554133321406E-2</c:v>
                </c:pt>
                <c:pt idx="281">
                  <c:v>9.0944564334762612E-2</c:v>
                </c:pt>
                <c:pt idx="282">
                  <c:v>9.1081947537420327E-2</c:v>
                </c:pt>
                <c:pt idx="283">
                  <c:v>9.1217703718307661E-2</c:v>
                </c:pt>
                <c:pt idx="284">
                  <c:v>9.135183713850599E-2</c:v>
                </c:pt>
                <c:pt idx="285">
                  <c:v>9.1484356528750241E-2</c:v>
                </c:pt>
                <c:pt idx="286">
                  <c:v>9.1615275254132517E-2</c:v>
                </c:pt>
                <c:pt idx="287">
                  <c:v>9.1744611455893993E-2</c:v>
                </c:pt>
                <c:pt idx="288">
                  <c:v>9.1872388168417987E-2</c:v>
                </c:pt>
                <c:pt idx="289">
                  <c:v>9.1998633409699326E-2</c:v>
                </c:pt>
                <c:pt idx="290">
                  <c:v>9.2123380243746417E-2</c:v>
                </c:pt>
                <c:pt idx="291">
                  <c:v>9.2246666813573353E-2</c:v>
                </c:pt>
                <c:pt idx="292">
                  <c:v>9.2368536343654439E-2</c:v>
                </c:pt>
                <c:pt idx="293">
                  <c:v>9.2489037110944861E-2</c:v>
                </c:pt>
                <c:pt idx="294">
                  <c:v>9.2608222383813901E-2</c:v>
                </c:pt>
                <c:pt idx="295">
                  <c:v>9.2726150328490381E-2</c:v>
                </c:pt>
                <c:pt idx="296">
                  <c:v>9.2842883882882726E-2</c:v>
                </c:pt>
                <c:pt idx="297">
                  <c:v>9.2958490597900928E-2</c:v>
                </c:pt>
                <c:pt idx="298">
                  <c:v>9.307304244668077E-2</c:v>
                </c:pt>
                <c:pt idx="299">
                  <c:v>9.3186615602380368E-2</c:v>
                </c:pt>
                <c:pt idx="300">
                  <c:v>9.3299290185488673E-2</c:v>
                </c:pt>
                <c:pt idx="301">
                  <c:v>9.3411149981851446E-2</c:v>
                </c:pt>
                <c:pt idx="302">
                  <c:v>9.3522282132878123E-2</c:v>
                </c:pt>
                <c:pt idx="303">
                  <c:v>9.3632776799642076E-2</c:v>
                </c:pt>
                <c:pt idx="304">
                  <c:v>9.3742726802824056E-2</c:v>
                </c:pt>
                <c:pt idx="305">
                  <c:v>9.3852227240672145E-2</c:v>
                </c:pt>
                <c:pt idx="306">
                  <c:v>9.3961375087358218E-2</c:v>
                </c:pt>
                <c:pt idx="307">
                  <c:v>9.4070268774300012E-2</c:v>
                </c:pt>
                <c:pt idx="308">
                  <c:v>9.4179007757185726E-2</c:v>
                </c:pt>
                <c:pt idx="309">
                  <c:v>9.4287692071585508E-2</c:v>
                </c:pt>
                <c:pt idx="310">
                  <c:v>9.4396421880156123E-2</c:v>
                </c:pt>
                <c:pt idx="311">
                  <c:v>9.450529701454452E-2</c:v>
                </c:pt>
                <c:pt idx="312">
                  <c:v>9.4614416515166833E-2</c:v>
                </c:pt>
                <c:pt idx="313">
                  <c:v>9.4723878172086523E-2</c:v>
                </c:pt>
                <c:pt idx="314">
                  <c:v>9.4833778070232133E-2</c:v>
                </c:pt>
                <c:pt idx="315">
                  <c:v>9.4944210142186361E-2</c:v>
                </c:pt>
                <c:pt idx="316">
                  <c:v>9.5055265731740959E-2</c:v>
                </c:pt>
                <c:pt idx="317">
                  <c:v>9.5167033171346282E-2</c:v>
                </c:pt>
                <c:pt idx="318">
                  <c:v>9.5279597376492844E-2</c:v>
                </c:pt>
                <c:pt idx="319">
                  <c:v>9.5393039459943707E-2</c:v>
                </c:pt>
                <c:pt idx="320">
                  <c:v>9.5507436368591492E-2</c:v>
                </c:pt>
                <c:pt idx="321">
                  <c:v>9.5622860545546667E-2</c:v>
                </c:pt>
                <c:pt idx="322">
                  <c:v>9.5739379619871126E-2</c:v>
                </c:pt>
                <c:pt idx="323">
                  <c:v>9.5857056126159176E-2</c:v>
                </c:pt>
                <c:pt idx="324">
                  <c:v>9.5975947255936195E-2</c:v>
                </c:pt>
                <c:pt idx="325">
                  <c:v>9.6096104642594729E-2</c:v>
                </c:pt>
                <c:pt idx="326">
                  <c:v>9.6217574181324567E-2</c:v>
                </c:pt>
                <c:pt idx="327">
                  <c:v>9.6340395885215063E-2</c:v>
                </c:pt>
                <c:pt idx="328">
                  <c:v>9.6464603778421171E-2</c:v>
                </c:pt>
                <c:pt idx="329">
                  <c:v>9.6590225826988188E-2</c:v>
                </c:pt>
                <c:pt idx="330">
                  <c:v>9.6717283907630999E-2</c:v>
                </c:pt>
                <c:pt idx="331">
                  <c:v>9.6845793814460415E-2</c:v>
                </c:pt>
                <c:pt idx="332">
                  <c:v>9.6975765303346242E-2</c:v>
                </c:pt>
                <c:pt idx="333">
                  <c:v>9.710720217330901E-2</c:v>
                </c:pt>
                <c:pt idx="334">
                  <c:v>9.7240102384037339E-2</c:v>
                </c:pt>
                <c:pt idx="335">
                  <c:v>9.7374458208344256E-2</c:v>
                </c:pt>
                <c:pt idx="336">
                  <c:v>9.7510256418101626E-2</c:v>
                </c:pt>
                <c:pt idx="337">
                  <c:v>9.764747850193127E-2</c:v>
                </c:pt>
                <c:pt idx="338">
                  <c:v>9.7786100912687718E-2</c:v>
                </c:pt>
                <c:pt idx="339">
                  <c:v>9.7926095342540667E-2</c:v>
                </c:pt>
                <c:pt idx="340">
                  <c:v>9.8067429023259031E-2</c:v>
                </c:pt>
                <c:pt idx="341">
                  <c:v>9.821006504911492E-2</c:v>
                </c:pt>
                <c:pt idx="342">
                  <c:v>9.835396271966311E-2</c:v>
                </c:pt>
                <c:pt idx="343">
                  <c:v>9.8499077899518478E-2</c:v>
                </c:pt>
                <c:pt idx="344">
                  <c:v>9.8645363392141042E-2</c:v>
                </c:pt>
                <c:pt idx="345">
                  <c:v>9.8792769324556828E-2</c:v>
                </c:pt>
                <c:pt idx="346">
                  <c:v>9.8941243539887036E-2</c:v>
                </c:pt>
                <c:pt idx="347">
                  <c:v>9.9090731994530321E-2</c:v>
                </c:pt>
                <c:pt idx="348">
                  <c:v>9.924117915684294E-2</c:v>
                </c:pt>
                <c:pt idx="349">
                  <c:v>9.9392528404190703E-2</c:v>
                </c:pt>
                <c:pt idx="350">
                  <c:v>9.9544722415301823E-2</c:v>
                </c:pt>
                <c:pt idx="351">
                  <c:v>9.9697703554932418E-2</c:v>
                </c:pt>
                <c:pt idx="352">
                  <c:v>9.9851414247964579E-2</c:v>
                </c:pt>
                <c:pt idx="353">
                  <c:v>0.10000579734019055</c:v>
                </c:pt>
                <c:pt idx="354">
                  <c:v>0.10016079644319162</c:v>
                </c:pt>
                <c:pt idx="355">
                  <c:v>0.10031635626089921</c:v>
                </c:pt>
                <c:pt idx="356">
                  <c:v>0.10047242289562276</c:v>
                </c:pt>
                <c:pt idx="357">
                  <c:v>0.10062894413154418</c:v>
                </c:pt>
                <c:pt idx="358">
                  <c:v>0.10078586969391029</c:v>
                </c:pt>
                <c:pt idx="359">
                  <c:v>0.10094315148239839</c:v>
                </c:pt>
                <c:pt idx="360">
                  <c:v>0.10110074377738563</c:v>
                </c:pt>
                <c:pt idx="361">
                  <c:v>0.1012586034181166</c:v>
                </c:pt>
                <c:pt idx="362">
                  <c:v>0.10141668995203271</c:v>
                </c:pt>
                <c:pt idx="363">
                  <c:v>0.10157496575480073</c:v>
                </c:pt>
                <c:pt idx="364">
                  <c:v>0.10173339612084951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2.830827362265937E-3</c:v>
                </c:pt>
                <c:pt idx="1">
                  <c:v>2.8092931351562651E-3</c:v>
                </c:pt>
                <c:pt idx="2">
                  <c:v>2.7773330786022114E-3</c:v>
                </c:pt>
                <c:pt idx="3">
                  <c:v>2.7353312263620213E-3</c:v>
                </c:pt>
                <c:pt idx="4">
                  <c:v>2.683660797451116E-3</c:v>
                </c:pt>
                <c:pt idx="5">
                  <c:v>2.6226794067686172E-3</c:v>
                </c:pt>
                <c:pt idx="6">
                  <c:v>2.5527248289049335E-3</c:v>
                </c:pt>
                <c:pt idx="7">
                  <c:v>2.4741112660904641E-3</c:v>
                </c:pt>
                <c:pt idx="8">
                  <c:v>2.3868597451680964E-3</c:v>
                </c:pt>
                <c:pt idx="9">
                  <c:v>2.2930002178958605E-3</c:v>
                </c:pt>
                <c:pt idx="10">
                  <c:v>2.1957201137845872E-3</c:v>
                </c:pt>
                <c:pt idx="11">
                  <c:v>2.0950943219620686E-3</c:v>
                </c:pt>
                <c:pt idx="12">
                  <c:v>1.9912038659834499E-3</c:v>
                </c:pt>
                <c:pt idx="13">
                  <c:v>1.8841359180092009E-3</c:v>
                </c:pt>
                <c:pt idx="14">
                  <c:v>1.7739837810806232E-3</c:v>
                </c:pt>
                <c:pt idx="15">
                  <c:v>1.6657412169593241E-3</c:v>
                </c:pt>
                <c:pt idx="16">
                  <c:v>1.5657277948957003E-3</c:v>
                </c:pt>
                <c:pt idx="17">
                  <c:v>1.4737808656298179E-3</c:v>
                </c:pt>
                <c:pt idx="18">
                  <c:v>1.3897383436745389E-3</c:v>
                </c:pt>
                <c:pt idx="19">
                  <c:v>1.3134452311251406E-3</c:v>
                </c:pt>
                <c:pt idx="20">
                  <c:v>1.2447471826834687E-3</c:v>
                </c:pt>
                <c:pt idx="21">
                  <c:v>1.1834814282294193E-3</c:v>
                </c:pt>
                <c:pt idx="22">
                  <c:v>1.1294277478754204E-3</c:v>
                </c:pt>
                <c:pt idx="23">
                  <c:v>1.0831898828863283E-3</c:v>
                </c:pt>
                <c:pt idx="24">
                  <c:v>1.0427966367304701E-3</c:v>
                </c:pt>
                <c:pt idx="25">
                  <c:v>1.0081530599349599E-3</c:v>
                </c:pt>
                <c:pt idx="26">
                  <c:v>9.7915448714517997E-4</c:v>
                </c:pt>
                <c:pt idx="27">
                  <c:v>9.556891699688282E-4</c:v>
                </c:pt>
                <c:pt idx="28">
                  <c:v>9.3764070821988183E-4</c:v>
                </c:pt>
                <c:pt idx="29">
                  <c:v>9.251910645355952E-4</c:v>
                </c:pt>
                <c:pt idx="30">
                  <c:v>9.1394702927851562E-4</c:v>
                </c:pt>
                <c:pt idx="31">
                  <c:v>9.0390842323513632E-4</c:v>
                </c:pt>
                <c:pt idx="32">
                  <c:v>8.9507371461394086E-4</c:v>
                </c:pt>
                <c:pt idx="33">
                  <c:v>8.8744048974480382E-4</c:v>
                </c:pt>
                <c:pt idx="34">
                  <c:v>8.8100589765275749E-4</c:v>
                </c:pt>
                <c:pt idx="35">
                  <c:v>8.757670698244539E-4</c:v>
                </c:pt>
                <c:pt idx="36">
                  <c:v>8.7162866948731546E-4</c:v>
                </c:pt>
                <c:pt idx="37">
                  <c:v>8.6858751149031211E-4</c:v>
                </c:pt>
                <c:pt idx="38">
                  <c:v>8.6594219599139669E-4</c:v>
                </c:pt>
                <c:pt idx="39">
                  <c:v>8.6369706054100946E-4</c:v>
                </c:pt>
                <c:pt idx="40">
                  <c:v>8.6185626119059729E-4</c:v>
                </c:pt>
                <c:pt idx="41">
                  <c:v>8.6042386121959068E-4</c:v>
                </c:pt>
                <c:pt idx="42">
                  <c:v>8.594039184521144E-4</c:v>
                </c:pt>
                <c:pt idx="43">
                  <c:v>8.5872479716851571E-4</c:v>
                </c:pt>
                <c:pt idx="44">
                  <c:v>8.5811699664215023E-4</c:v>
                </c:pt>
                <c:pt idx="45">
                  <c:v>8.5759012679872721E-4</c:v>
                </c:pt>
                <c:pt idx="46">
                  <c:v>8.5715354415942524E-4</c:v>
                </c:pt>
                <c:pt idx="47">
                  <c:v>8.5681639808809953E-4</c:v>
                </c:pt>
                <c:pt idx="48">
                  <c:v>8.5658767739839911E-4</c:v>
                </c:pt>
                <c:pt idx="49">
                  <c:v>8.5647625734139061E-4</c:v>
                </c:pt>
                <c:pt idx="50">
                  <c:v>8.5646907188778045E-4</c:v>
                </c:pt>
                <c:pt idx="51">
                  <c:v>8.5605832753492728E-4</c:v>
                </c:pt>
                <c:pt idx="52">
                  <c:v>8.5516093381682854E-4</c:v>
                </c:pt>
                <c:pt idx="53">
                  <c:v>8.5378038045312707E-4</c:v>
                </c:pt>
                <c:pt idx="54">
                  <c:v>8.5192420755716633E-4</c:v>
                </c:pt>
                <c:pt idx="55">
                  <c:v>8.4959980018868336E-4</c:v>
                </c:pt>
                <c:pt idx="56">
                  <c:v>8.4681442283001589E-4</c:v>
                </c:pt>
                <c:pt idx="57">
                  <c:v>8.4234063919142105E-4</c:v>
                </c:pt>
                <c:pt idx="58">
                  <c:v>8.3627805198977531E-4</c:v>
                </c:pt>
                <c:pt idx="59">
                  <c:v>8.2865569151413445E-4</c:v>
                </c:pt>
                <c:pt idx="60">
                  <c:v>8.195017470334268E-4</c:v>
                </c:pt>
                <c:pt idx="61">
                  <c:v>8.0884361991799428E-4</c:v>
                </c:pt>
                <c:pt idx="62">
                  <c:v>7.9670796497908428E-4</c:v>
                </c:pt>
                <c:pt idx="63">
                  <c:v>7.8312072056076535E-4</c:v>
                </c:pt>
                <c:pt idx="64">
                  <c:v>7.6810023216119063E-4</c:v>
                </c:pt>
                <c:pt idx="65">
                  <c:v>7.5133195659561104E-4</c:v>
                </c:pt>
                <c:pt idx="66">
                  <c:v>7.3329531033883961E-4</c:v>
                </c:pt>
                <c:pt idx="67">
                  <c:v>7.1401788953923302E-4</c:v>
                </c:pt>
                <c:pt idx="68">
                  <c:v>6.93525783239626E-4</c:v>
                </c:pt>
                <c:pt idx="69">
                  <c:v>6.7184347300297109E-4</c:v>
                </c:pt>
                <c:pt idx="70">
                  <c:v>6.4899373387760327E-4</c:v>
                </c:pt>
                <c:pt idx="71">
                  <c:v>6.2560007666269109E-4</c:v>
                </c:pt>
                <c:pt idx="72">
                  <c:v>6.0280044253823003E-4</c:v>
                </c:pt>
                <c:pt idx="73">
                  <c:v>5.8058492634993619E-4</c:v>
                </c:pt>
                <c:pt idx="74">
                  <c:v>5.5894326714114081E-4</c:v>
                </c:pt>
                <c:pt idx="75">
                  <c:v>5.3786487289881246E-4</c:v>
                </c:pt>
                <c:pt idx="76">
                  <c:v>5.1733884479878041E-4</c:v>
                </c:pt>
                <c:pt idx="77">
                  <c:v>4.9735400063668101E-4</c:v>
                </c:pt>
                <c:pt idx="78">
                  <c:v>4.7787651707856092E-4</c:v>
                </c:pt>
                <c:pt idx="79">
                  <c:v>4.59160458779387E-4</c:v>
                </c:pt>
                <c:pt idx="80">
                  <c:v>4.415142501302769E-4</c:v>
                </c:pt>
                <c:pt idx="81">
                  <c:v>4.2492636806680956E-4</c:v>
                </c:pt>
                <c:pt idx="82">
                  <c:v>4.0938482827429225E-4</c:v>
                </c:pt>
                <c:pt idx="83">
                  <c:v>3.9487736915330587E-4</c:v>
                </c:pt>
                <c:pt idx="84">
                  <c:v>3.8139162796294545E-4</c:v>
                </c:pt>
                <c:pt idx="85">
                  <c:v>3.6923577273825878E-4</c:v>
                </c:pt>
                <c:pt idx="86">
                  <c:v>3.5783231652756559E-4</c:v>
                </c:pt>
                <c:pt idx="87">
                  <c:v>3.4717254787208865E-4</c:v>
                </c:pt>
                <c:pt idx="88">
                  <c:v>3.3724794639783439E-4</c:v>
                </c:pt>
                <c:pt idx="89">
                  <c:v>3.2805029285271092E-4</c:v>
                </c:pt>
                <c:pt idx="90">
                  <c:v>3.1957177453867679E-4</c:v>
                </c:pt>
                <c:pt idx="91">
                  <c:v>3.1180508675655616E-4</c:v>
                </c:pt>
                <c:pt idx="92">
                  <c:v>3.0473959271040175E-4</c:v>
                </c:pt>
                <c:pt idx="93">
                  <c:v>2.9904100725487845E-4</c:v>
                </c:pt>
                <c:pt idx="94">
                  <c:v>2.944314013412352E-4</c:v>
                </c:pt>
                <c:pt idx="95">
                  <c:v>2.9090249596129612E-4</c:v>
                </c:pt>
                <c:pt idx="96">
                  <c:v>2.8844796180808809E-4</c:v>
                </c:pt>
                <c:pt idx="97">
                  <c:v>2.8706332240236256E-4</c:v>
                </c:pt>
                <c:pt idx="98">
                  <c:v>2.8674586205045048E-4</c:v>
                </c:pt>
                <c:pt idx="99">
                  <c:v>2.8894202642442031E-4</c:v>
                </c:pt>
                <c:pt idx="100">
                  <c:v>2.933412555847596E-4</c:v>
                </c:pt>
                <c:pt idx="101">
                  <c:v>2.9995099922573763E-4</c:v>
                </c:pt>
                <c:pt idx="102">
                  <c:v>3.0878171600426927E-4</c:v>
                </c:pt>
                <c:pt idx="103">
                  <c:v>3.198467058224699E-4</c:v>
                </c:pt>
                <c:pt idx="104">
                  <c:v>3.3316193969947254E-4</c:v>
                </c:pt>
                <c:pt idx="105">
                  <c:v>3.4874588569114317E-4</c:v>
                </c:pt>
                <c:pt idx="106">
                  <c:v>3.6662639325884698E-4</c:v>
                </c:pt>
                <c:pt idx="107">
                  <c:v>3.8829331184233023E-4</c:v>
                </c:pt>
                <c:pt idx="108">
                  <c:v>4.1309461253162712E-4</c:v>
                </c:pt>
                <c:pt idx="109">
                  <c:v>4.4107257882696654E-4</c:v>
                </c:pt>
                <c:pt idx="110">
                  <c:v>4.7227536118602431E-4</c:v>
                </c:pt>
                <c:pt idx="111">
                  <c:v>5.0675611905042167E-4</c:v>
                </c:pt>
                <c:pt idx="112">
                  <c:v>5.4457161014568277E-4</c:v>
                </c:pt>
                <c:pt idx="113">
                  <c:v>5.8660070249468975E-4</c:v>
                </c:pt>
                <c:pt idx="114">
                  <c:v>6.3141448463276118E-4</c:v>
                </c:pt>
                <c:pt idx="115">
                  <c:v>6.790753896952405E-4</c:v>
                </c:pt>
                <c:pt idx="116">
                  <c:v>7.2964966209274973E-4</c:v>
                </c:pt>
                <c:pt idx="117">
                  <c:v>7.8320735936917533E-4</c:v>
                </c:pt>
                <c:pt idx="118">
                  <c:v>8.3982234610725293E-4</c:v>
                </c:pt>
                <c:pt idx="119">
                  <c:v>8.9957227961789954E-4</c:v>
                </c:pt>
                <c:pt idx="120">
                  <c:v>9.6254559422873369E-4</c:v>
                </c:pt>
                <c:pt idx="121">
                  <c:v>1.0296267568425308E-3</c:v>
                </c:pt>
                <c:pt idx="122">
                  <c:v>1.09935964879586E-3</c:v>
                </c:pt>
                <c:pt idx="123">
                  <c:v>1.1718158215836534E-3</c:v>
                </c:pt>
                <c:pt idx="124">
                  <c:v>1.2470671686411567E-3</c:v>
                </c:pt>
                <c:pt idx="125">
                  <c:v>1.3251856503092734E-3</c:v>
                </c:pt>
                <c:pt idx="126">
                  <c:v>1.4062429987267621E-3</c:v>
                </c:pt>
                <c:pt idx="127">
                  <c:v>1.490357327459089E-3</c:v>
                </c:pt>
                <c:pt idx="128">
                  <c:v>1.5767073657452758E-3</c:v>
                </c:pt>
                <c:pt idx="129">
                  <c:v>1.6653433378980727E-3</c:v>
                </c:pt>
                <c:pt idx="130">
                  <c:v>1.7563128863402647E-3</c:v>
                </c:pt>
                <c:pt idx="131">
                  <c:v>1.8496607608380936E-3</c:v>
                </c:pt>
                <c:pt idx="132">
                  <c:v>1.9454284969930497E-3</c:v>
                </c:pt>
                <c:pt idx="133">
                  <c:v>2.0436540848551431E-3</c:v>
                </c:pt>
                <c:pt idx="134">
                  <c:v>2.144409014836013E-3</c:v>
                </c:pt>
                <c:pt idx="135">
                  <c:v>2.2475123976742426E-3</c:v>
                </c:pt>
                <c:pt idx="136">
                  <c:v>2.3521160960708167E-3</c:v>
                </c:pt>
                <c:pt idx="137">
                  <c:v>2.4582345889136645E-3</c:v>
                </c:pt>
                <c:pt idx="138">
                  <c:v>2.5658783781500874E-3</c:v>
                </c:pt>
                <c:pt idx="139">
                  <c:v>2.6750538453137085E-3</c:v>
                </c:pt>
                <c:pt idx="140">
                  <c:v>2.7857631173735273E-3</c:v>
                </c:pt>
                <c:pt idx="141">
                  <c:v>2.8984305278812721E-3</c:v>
                </c:pt>
                <c:pt idx="142">
                  <c:v>3.0129840821188116E-3</c:v>
                </c:pt>
                <c:pt idx="143">
                  <c:v>3.1293999317662546E-3</c:v>
                </c:pt>
                <c:pt idx="144">
                  <c:v>3.2476667716828528E-3</c:v>
                </c:pt>
                <c:pt idx="145">
                  <c:v>3.3677690025044845E-3</c:v>
                </c:pt>
                <c:pt idx="146">
                  <c:v>3.4896866865515869E-3</c:v>
                </c:pt>
                <c:pt idx="147">
                  <c:v>3.6133955257167372E-3</c:v>
                </c:pt>
                <c:pt idx="148">
                  <c:v>3.7388691107078111E-3</c:v>
                </c:pt>
                <c:pt idx="149">
                  <c:v>3.8646302321313523E-3</c:v>
                </c:pt>
                <c:pt idx="150">
                  <c:v>3.990915566216769E-3</c:v>
                </c:pt>
                <c:pt idx="151">
                  <c:v>4.117672511266165E-3</c:v>
                </c:pt>
                <c:pt idx="152">
                  <c:v>4.2448463571020814E-3</c:v>
                </c:pt>
                <c:pt idx="153">
                  <c:v>4.3723805379571601E-3</c:v>
                </c:pt>
                <c:pt idx="154">
                  <c:v>4.5002169060455793E-3</c:v>
                </c:pt>
                <c:pt idx="155">
                  <c:v>4.6242849267746104E-3</c:v>
                </c:pt>
                <c:pt idx="156">
                  <c:v>4.7439953671832291E-3</c:v>
                </c:pt>
                <c:pt idx="157">
                  <c:v>4.8592041896773908E-3</c:v>
                </c:pt>
                <c:pt idx="158">
                  <c:v>4.969768318812416E-3</c:v>
                </c:pt>
                <c:pt idx="159">
                  <c:v>5.0755460995229127E-3</c:v>
                </c:pt>
                <c:pt idx="160">
                  <c:v>5.1763977405484343E-3</c:v>
                </c:pt>
                <c:pt idx="161">
                  <c:v>5.2721857371661896E-3</c:v>
                </c:pt>
                <c:pt idx="162">
                  <c:v>5.3628354893391263E-3</c:v>
                </c:pt>
                <c:pt idx="163">
                  <c:v>5.4468477283630499E-3</c:v>
                </c:pt>
                <c:pt idx="164">
                  <c:v>5.525647530416968E-3</c:v>
                </c:pt>
                <c:pt idx="165">
                  <c:v>5.5990619621774443E-3</c:v>
                </c:pt>
                <c:pt idx="166">
                  <c:v>5.6669189807066834E-3</c:v>
                </c:pt>
                <c:pt idx="167">
                  <c:v>5.7290481135177955E-3</c:v>
                </c:pt>
                <c:pt idx="168">
                  <c:v>5.785281124425154E-3</c:v>
                </c:pt>
                <c:pt idx="169">
                  <c:v>5.8339887986720417E-3</c:v>
                </c:pt>
                <c:pt idx="170">
                  <c:v>5.8793717486220667E-3</c:v>
                </c:pt>
                <c:pt idx="171">
                  <c:v>5.9213112890391332E-3</c:v>
                </c:pt>
                <c:pt idx="172">
                  <c:v>5.9596916007558327E-3</c:v>
                </c:pt>
                <c:pt idx="173">
                  <c:v>5.9943387914094632E-3</c:v>
                </c:pt>
                <c:pt idx="174">
                  <c:v>6.0250780098482339E-3</c:v>
                </c:pt>
                <c:pt idx="175">
                  <c:v>6.0517976262274833E-3</c:v>
                </c:pt>
                <c:pt idx="176">
                  <c:v>6.0745033662563822E-3</c:v>
                </c:pt>
                <c:pt idx="177">
                  <c:v>6.0886934935738728E-3</c:v>
                </c:pt>
                <c:pt idx="178">
                  <c:v>6.0958134014999438E-3</c:v>
                </c:pt>
                <c:pt idx="179">
                  <c:v>6.095791268218128E-3</c:v>
                </c:pt>
                <c:pt idx="180">
                  <c:v>6.0885621067062329E-3</c:v>
                </c:pt>
                <c:pt idx="181">
                  <c:v>6.0740675275058756E-3</c:v>
                </c:pt>
                <c:pt idx="182">
                  <c:v>6.0522554551497333E-3</c:v>
                </c:pt>
                <c:pt idx="183">
                  <c:v>6.0212581002618195E-3</c:v>
                </c:pt>
                <c:pt idx="184">
                  <c:v>5.9826126913895749E-3</c:v>
                </c:pt>
                <c:pt idx="185">
                  <c:v>5.9362844332836121E-3</c:v>
                </c:pt>
                <c:pt idx="186">
                  <c:v>5.8822433678040239E-3</c:v>
                </c:pt>
                <c:pt idx="187">
                  <c:v>5.8204639027164013E-3</c:v>
                </c:pt>
                <c:pt idx="188">
                  <c:v>5.7509243202028566E-3</c:v>
                </c:pt>
                <c:pt idx="189">
                  <c:v>5.6736062700348195E-3</c:v>
                </c:pt>
                <c:pt idx="190">
                  <c:v>5.5885402192404057E-3</c:v>
                </c:pt>
                <c:pt idx="191">
                  <c:v>5.4962052500968648E-3</c:v>
                </c:pt>
                <c:pt idx="192">
                  <c:v>5.4013493001831021E-3</c:v>
                </c:pt>
                <c:pt idx="193">
                  <c:v>5.3039775306838932E-3</c:v>
                </c:pt>
                <c:pt idx="194">
                  <c:v>5.2040955505148236E-3</c:v>
                </c:pt>
                <c:pt idx="195">
                  <c:v>5.1017092818779032E-3</c:v>
                </c:pt>
                <c:pt idx="196">
                  <c:v>4.9968248432606032E-3</c:v>
                </c:pt>
                <c:pt idx="197">
                  <c:v>4.8890693055887204E-3</c:v>
                </c:pt>
                <c:pt idx="198">
                  <c:v>4.7803682916210061E-3</c:v>
                </c:pt>
                <c:pt idx="199">
                  <c:v>4.6707419733049323E-3</c:v>
                </c:pt>
                <c:pt idx="200">
                  <c:v>4.5602098948194199E-3</c:v>
                </c:pt>
                <c:pt idx="201">
                  <c:v>4.4487909652326891E-3</c:v>
                </c:pt>
                <c:pt idx="202">
                  <c:v>4.3365034699318255E-3</c:v>
                </c:pt>
                <c:pt idx="203">
                  <c:v>4.2233651002865575E-3</c:v>
                </c:pt>
                <c:pt idx="204">
                  <c:v>4.1094090580922078E-3</c:v>
                </c:pt>
                <c:pt idx="205">
                  <c:v>3.9947616157858332E-3</c:v>
                </c:pt>
                <c:pt idx="206">
                  <c:v>3.8789937447883463E-3</c:v>
                </c:pt>
                <c:pt idx="207">
                  <c:v>3.7621356266454528E-3</c:v>
                </c:pt>
                <c:pt idx="208">
                  <c:v>3.6442148214131495E-3</c:v>
                </c:pt>
                <c:pt idx="209">
                  <c:v>3.5252563125684178E-3</c:v>
                </c:pt>
                <c:pt idx="210">
                  <c:v>3.4052825643513997E-3</c:v>
                </c:pt>
                <c:pt idx="211">
                  <c:v>3.2856782785532284E-3</c:v>
                </c:pt>
                <c:pt idx="212">
                  <c:v>3.1668644816504731E-3</c:v>
                </c:pt>
                <c:pt idx="213">
                  <c:v>3.0488687912464101E-3</c:v>
                </c:pt>
                <c:pt idx="214">
                  <c:v>2.9317165153785216E-3</c:v>
                </c:pt>
                <c:pt idx="215">
                  <c:v>2.815430800879086E-3</c:v>
                </c:pt>
                <c:pt idx="216">
                  <c:v>2.7000327802426866E-3</c:v>
                </c:pt>
                <c:pt idx="217">
                  <c:v>2.5855417155111623E-3</c:v>
                </c:pt>
                <c:pt idx="218">
                  <c:v>2.4719716199381975E-3</c:v>
                </c:pt>
                <c:pt idx="219">
                  <c:v>2.360823193434254E-3</c:v>
                </c:pt>
                <c:pt idx="220">
                  <c:v>2.2520291990541165E-3</c:v>
                </c:pt>
                <c:pt idx="221">
                  <c:v>2.1456073407447175E-3</c:v>
                </c:pt>
                <c:pt idx="222">
                  <c:v>2.0415755404696004E-3</c:v>
                </c:pt>
                <c:pt idx="223">
                  <c:v>1.9399519987153072E-3</c:v>
                </c:pt>
                <c:pt idx="224">
                  <c:v>1.8407552435123007E-3</c:v>
                </c:pt>
                <c:pt idx="225">
                  <c:v>1.7466976927371363E-3</c:v>
                </c:pt>
                <c:pt idx="226">
                  <c:v>1.6564035949165278E-3</c:v>
                </c:pt>
                <c:pt idx="227">
                  <c:v>1.5699005495528691E-3</c:v>
                </c:pt>
                <c:pt idx="228">
                  <c:v>1.4872164107672995E-3</c:v>
                </c:pt>
                <c:pt idx="229">
                  <c:v>1.4083792484047197E-3</c:v>
                </c:pt>
                <c:pt idx="230">
                  <c:v>1.3334172978992061E-3</c:v>
                </c:pt>
                <c:pt idx="231">
                  <c:v>1.2623588996304007E-3</c:v>
                </c:pt>
                <c:pt idx="232">
                  <c:v>1.195212696325486E-3</c:v>
                </c:pt>
                <c:pt idx="233">
                  <c:v>1.1348467425926034E-3</c:v>
                </c:pt>
                <c:pt idx="234">
                  <c:v>1.0797795235444852E-3</c:v>
                </c:pt>
                <c:pt idx="235">
                  <c:v>1.0300602141889068E-3</c:v>
                </c:pt>
                <c:pt idx="236">
                  <c:v>9.8573507826425007E-4</c:v>
                </c:pt>
                <c:pt idx="237">
                  <c:v>9.4684696519353967E-4</c:v>
                </c:pt>
                <c:pt idx="238">
                  <c:v>9.1343651190331596E-4</c:v>
                </c:pt>
                <c:pt idx="239">
                  <c:v>8.8703312068375386E-4</c:v>
                </c:pt>
                <c:pt idx="240">
                  <c:v>8.649107632649779E-4</c:v>
                </c:pt>
                <c:pt idx="241">
                  <c:v>8.4710043290688476E-4</c:v>
                </c:pt>
                <c:pt idx="242">
                  <c:v>8.3363271058978455E-4</c:v>
                </c:pt>
                <c:pt idx="243">
                  <c:v>8.2453816370638177E-4</c:v>
                </c:pt>
                <c:pt idx="244">
                  <c:v>8.1984775197748512E-4</c:v>
                </c:pt>
                <c:pt idx="245">
                  <c:v>8.1959324088724523E-4</c:v>
                </c:pt>
                <c:pt idx="246">
                  <c:v>8.2377578255634775E-4</c:v>
                </c:pt>
                <c:pt idx="247">
                  <c:v>8.3301499627780893E-4</c:v>
                </c:pt>
                <c:pt idx="248">
                  <c:v>8.4441727732897627E-4</c:v>
                </c:pt>
                <c:pt idx="249">
                  <c:v>8.5799904132476514E-4</c:v>
                </c:pt>
                <c:pt idx="250">
                  <c:v>8.7377690346937022E-4</c:v>
                </c:pt>
                <c:pt idx="251">
                  <c:v>8.9176778942035224E-4</c:v>
                </c:pt>
                <c:pt idx="252">
                  <c:v>9.1198904746219377E-4</c:v>
                </c:pt>
                <c:pt idx="253">
                  <c:v>9.3483383773642487E-4</c:v>
                </c:pt>
                <c:pt idx="254">
                  <c:v>9.5878729995672136E-4</c:v>
                </c:pt>
                <c:pt idx="255">
                  <c:v>9.8386126131718116E-4</c:v>
                </c:pt>
                <c:pt idx="256">
                  <c:v>1.01006826414714E-3</c:v>
                </c:pt>
                <c:pt idx="257">
                  <c:v>1.0374216294367527E-3</c:v>
                </c:pt>
                <c:pt idx="258">
                  <c:v>1.0659355246788022E-3</c:v>
                </c:pt>
                <c:pt idx="259">
                  <c:v>1.0956250374323019E-3</c:v>
                </c:pt>
                <c:pt idx="260">
                  <c:v>1.1264910009565951E-3</c:v>
                </c:pt>
                <c:pt idx="261">
                  <c:v>1.1594504404454614E-3</c:v>
                </c:pt>
                <c:pt idx="262">
                  <c:v>1.1938746456952461E-3</c:v>
                </c:pt>
                <c:pt idx="263">
                  <c:v>1.2297696403431714E-3</c:v>
                </c:pt>
                <c:pt idx="264">
                  <c:v>1.2671411650493414E-3</c:v>
                </c:pt>
                <c:pt idx="265">
                  <c:v>1.3060015726888816E-3</c:v>
                </c:pt>
                <c:pt idx="266">
                  <c:v>1.3463601071921608E-3</c:v>
                </c:pt>
                <c:pt idx="267">
                  <c:v>1.3874123669396035E-3</c:v>
                </c:pt>
                <c:pt idx="268">
                  <c:v>1.4287696693266782E-3</c:v>
                </c:pt>
                <c:pt idx="269">
                  <c:v>1.4704261783916827E-3</c:v>
                </c:pt>
                <c:pt idx="270">
                  <c:v>1.5123753206944786E-3</c:v>
                </c:pt>
                <c:pt idx="271">
                  <c:v>1.5546098058129133E-3</c:v>
                </c:pt>
                <c:pt idx="272">
                  <c:v>1.5971216539182524E-3</c:v>
                </c:pt>
                <c:pt idx="273">
                  <c:v>1.639902231181015E-3</c:v>
                </c:pt>
                <c:pt idx="274">
                  <c:v>1.68296763407152E-3</c:v>
                </c:pt>
                <c:pt idx="275">
                  <c:v>1.7241357929521652E-3</c:v>
                </c:pt>
                <c:pt idx="276">
                  <c:v>1.7624270137316309E-3</c:v>
                </c:pt>
                <c:pt idx="277">
                  <c:v>1.7978079871619689E-3</c:v>
                </c:pt>
                <c:pt idx="278">
                  <c:v>1.8302448245382651E-3</c:v>
                </c:pt>
                <c:pt idx="279">
                  <c:v>1.8597033337138752E-3</c:v>
                </c:pt>
                <c:pt idx="280">
                  <c:v>1.8861492959498308E-3</c:v>
                </c:pt>
                <c:pt idx="281">
                  <c:v>1.9086065013877841E-3</c:v>
                </c:pt>
                <c:pt idx="282">
                  <c:v>1.9278713614428683E-3</c:v>
                </c:pt>
                <c:pt idx="283">
                  <c:v>1.9439108102466129E-3</c:v>
                </c:pt>
                <c:pt idx="284">
                  <c:v>1.9566928868016901E-3</c:v>
                </c:pt>
                <c:pt idx="285">
                  <c:v>1.9661869912501284E-3</c:v>
                </c:pt>
                <c:pt idx="286">
                  <c:v>1.9723641293864056E-3</c:v>
                </c:pt>
                <c:pt idx="287">
                  <c:v>1.9751971432909934E-3</c:v>
                </c:pt>
                <c:pt idx="288">
                  <c:v>1.9746774054301337E-3</c:v>
                </c:pt>
                <c:pt idx="289">
                  <c:v>1.9705744748832422E-3</c:v>
                </c:pt>
                <c:pt idx="290">
                  <c:v>1.9651421569315103E-3</c:v>
                </c:pt>
                <c:pt idx="291">
                  <c:v>1.958387047930687E-3</c:v>
                </c:pt>
                <c:pt idx="292">
                  <c:v>1.9503172437918108E-3</c:v>
                </c:pt>
                <c:pt idx="293">
                  <c:v>1.9409422750607779E-3</c:v>
                </c:pt>
                <c:pt idx="294">
                  <c:v>1.9302730251168042E-3</c:v>
                </c:pt>
                <c:pt idx="295">
                  <c:v>1.9185841831268343E-3</c:v>
                </c:pt>
                <c:pt idx="296">
                  <c:v>1.9068775344816421E-3</c:v>
                </c:pt>
                <c:pt idx="297">
                  <c:v>1.8951873808075376E-3</c:v>
                </c:pt>
                <c:pt idx="298">
                  <c:v>1.8835329357050682E-3</c:v>
                </c:pt>
                <c:pt idx="299">
                  <c:v>1.8719342692759486E-3</c:v>
                </c:pt>
                <c:pt idx="300">
                  <c:v>1.8604122768081342E-3</c:v>
                </c:pt>
                <c:pt idx="301">
                  <c:v>1.8489886447657629E-3</c:v>
                </c:pt>
                <c:pt idx="302">
                  <c:v>1.8378311360805462E-3</c:v>
                </c:pt>
                <c:pt idx="303">
                  <c:v>1.8319471987855533E-3</c:v>
                </c:pt>
                <c:pt idx="304">
                  <c:v>1.831554556317066E-3</c:v>
                </c:pt>
                <c:pt idx="305">
                  <c:v>1.836637262903903E-3</c:v>
                </c:pt>
                <c:pt idx="306">
                  <c:v>1.8471830928271369E-3</c:v>
                </c:pt>
                <c:pt idx="307">
                  <c:v>1.8631818658664506E-3</c:v>
                </c:pt>
                <c:pt idx="308">
                  <c:v>1.8846236980045298E-3</c:v>
                </c:pt>
                <c:pt idx="309">
                  <c:v>1.9165225389549138E-3</c:v>
                </c:pt>
                <c:pt idx="310">
                  <c:v>1.9586330947792383E-3</c:v>
                </c:pt>
                <c:pt idx="311">
                  <c:v>2.0109721561548232E-3</c:v>
                </c:pt>
                <c:pt idx="312">
                  <c:v>2.0735470369831486E-3</c:v>
                </c:pt>
                <c:pt idx="313">
                  <c:v>2.1463515242987584E-3</c:v>
                </c:pt>
                <c:pt idx="314">
                  <c:v>2.2293615743824184E-3</c:v>
                </c:pt>
                <c:pt idx="315">
                  <c:v>2.3225307691398856E-3</c:v>
                </c:pt>
                <c:pt idx="316">
                  <c:v>2.4261282474399739E-3</c:v>
                </c:pt>
                <c:pt idx="317">
                  <c:v>2.5412214441035623E-3</c:v>
                </c:pt>
                <c:pt idx="318">
                  <c:v>2.6628317181016082E-3</c:v>
                </c:pt>
                <c:pt idx="319">
                  <c:v>2.7910141600801706E-3</c:v>
                </c:pt>
                <c:pt idx="320">
                  <c:v>2.9258223838783746E-3</c:v>
                </c:pt>
                <c:pt idx="321">
                  <c:v>3.067307519107837E-3</c:v>
                </c:pt>
                <c:pt idx="322">
                  <c:v>3.2155170696944214E-3</c:v>
                </c:pt>
                <c:pt idx="323">
                  <c:v>3.3675165783740016E-3</c:v>
                </c:pt>
                <c:pt idx="324">
                  <c:v>3.5181072517024479E-3</c:v>
                </c:pt>
                <c:pt idx="325">
                  <c:v>3.6672523345483267E-3</c:v>
                </c:pt>
                <c:pt idx="326">
                  <c:v>3.8148809404018693E-3</c:v>
                </c:pt>
                <c:pt idx="327">
                  <c:v>3.960923727837312E-3</c:v>
                </c:pt>
                <c:pt idx="328">
                  <c:v>4.1053192044256722E-3</c:v>
                </c:pt>
                <c:pt idx="329">
                  <c:v>4.2479948846140892E-3</c:v>
                </c:pt>
                <c:pt idx="330">
                  <c:v>4.3896165592157092E-3</c:v>
                </c:pt>
                <c:pt idx="331">
                  <c:v>4.5224295397645452E-3</c:v>
                </c:pt>
                <c:pt idx="332">
                  <c:v>4.645463107820616E-3</c:v>
                </c:pt>
                <c:pt idx="333">
                  <c:v>4.7584072948953383E-3</c:v>
                </c:pt>
                <c:pt idx="334">
                  <c:v>4.8609006531265958E-3</c:v>
                </c:pt>
                <c:pt idx="335">
                  <c:v>4.9525349561488031E-3</c:v>
                </c:pt>
                <c:pt idx="336">
                  <c:v>5.0328609172989609E-3</c:v>
                </c:pt>
                <c:pt idx="337">
                  <c:v>5.0988101759929108E-3</c:v>
                </c:pt>
                <c:pt idx="338">
                  <c:v>5.1529624402561654E-3</c:v>
                </c:pt>
                <c:pt idx="339">
                  <c:v>5.1947982697987212E-3</c:v>
                </c:pt>
                <c:pt idx="340">
                  <c:v>5.2237920440750263E-3</c:v>
                </c:pt>
                <c:pt idx="341">
                  <c:v>5.2394236137984825E-3</c:v>
                </c:pt>
                <c:pt idx="342">
                  <c:v>5.2411911426368347E-3</c:v>
                </c:pt>
                <c:pt idx="343">
                  <c:v>5.2286249722233273E-3</c:v>
                </c:pt>
                <c:pt idx="344">
                  <c:v>5.2019680949886528E-3</c:v>
                </c:pt>
                <c:pt idx="345">
                  <c:v>5.1618095000120229E-3</c:v>
                </c:pt>
                <c:pt idx="346">
                  <c:v>5.1206093691942593E-3</c:v>
                </c:pt>
                <c:pt idx="347">
                  <c:v>5.0784754685039993E-3</c:v>
                </c:pt>
                <c:pt idx="348">
                  <c:v>5.0355174659549549E-3</c:v>
                </c:pt>
                <c:pt idx="349">
                  <c:v>4.9918463948345881E-3</c:v>
                </c:pt>
                <c:pt idx="350">
                  <c:v>4.9475741201881734E-3</c:v>
                </c:pt>
                <c:pt idx="351">
                  <c:v>4.9064801105148962E-3</c:v>
                </c:pt>
                <c:pt idx="352">
                  <c:v>4.8712341923119714E-3</c:v>
                </c:pt>
                <c:pt idx="353">
                  <c:v>4.8418874272853733E-3</c:v>
                </c:pt>
                <c:pt idx="354">
                  <c:v>4.8184790865249466E-3</c:v>
                </c:pt>
                <c:pt idx="355">
                  <c:v>4.8010374729259087E-3</c:v>
                </c:pt>
                <c:pt idx="356">
                  <c:v>4.7895584632519483E-3</c:v>
                </c:pt>
                <c:pt idx="357">
                  <c:v>4.7840672607098924E-3</c:v>
                </c:pt>
                <c:pt idx="358">
                  <c:v>4.7836789379978907E-3</c:v>
                </c:pt>
                <c:pt idx="359">
                  <c:v>4.7876345323219867E-3</c:v>
                </c:pt>
                <c:pt idx="360">
                  <c:v>4.7935899410743183E-3</c:v>
                </c:pt>
                <c:pt idx="361">
                  <c:v>4.798219707664364E-3</c:v>
                </c:pt>
                <c:pt idx="362">
                  <c:v>4.8017752791161402E-3</c:v>
                </c:pt>
                <c:pt idx="363">
                  <c:v>4.80450753230311E-3</c:v>
                </c:pt>
                <c:pt idx="364">
                  <c:v>4.8066651509570393E-3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3752"/>
        <c:axId val="644424144"/>
      </c:lineChart>
      <c:dateAx>
        <c:axId val="6444237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4144"/>
        <c:crosses val="autoZero"/>
        <c:auto val="1"/>
        <c:lblOffset val="100"/>
        <c:baseTimeUnit val="days"/>
        <c:majorUnit val="1"/>
        <c:majorTimeUnit val="months"/>
      </c:dateAx>
      <c:valAx>
        <c:axId val="6444241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3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24.623187065029022</c:v>
                </c:pt>
                <c:pt idx="1">
                  <c:v>24.804588119912225</c:v>
                </c:pt>
                <c:pt idx="2">
                  <c:v>24.991316174809967</c:v>
                </c:pt>
                <c:pt idx="3">
                  <c:v>25.182016257490108</c:v>
                </c:pt>
                <c:pt idx="4">
                  <c:v>25.375333749405826</c:v>
                </c:pt>
                <c:pt idx="5">
                  <c:v>25.569914368861962</c:v>
                </c:pt>
                <c:pt idx="6">
                  <c:v>25.764404166663208</c:v>
                </c:pt>
                <c:pt idx="7">
                  <c:v>25.957449518926982</c:v>
                </c:pt>
                <c:pt idx="8">
                  <c:v>26.150627619761707</c:v>
                </c:pt>
                <c:pt idx="9">
                  <c:v>26.346699450475811</c:v>
                </c:pt>
                <c:pt idx="10">
                  <c:v>26.54591941567071</c:v>
                </c:pt>
                <c:pt idx="11">
                  <c:v>26.748601552161141</c:v>
                </c:pt>
                <c:pt idx="12">
                  <c:v>26.955059695549874</c:v>
                </c:pt>
                <c:pt idx="13">
                  <c:v>27.16560748804886</c:v>
                </c:pt>
                <c:pt idx="14">
                  <c:v>27.380558380237471</c:v>
                </c:pt>
                <c:pt idx="15">
                  <c:v>27.600208847734727</c:v>
                </c:pt>
                <c:pt idx="16">
                  <c:v>27.824674028925823</c:v>
                </c:pt>
                <c:pt idx="17">
                  <c:v>28.054266894043558</c:v>
                </c:pt>
                <c:pt idx="18">
                  <c:v>28.289300266536358</c:v>
                </c:pt>
                <c:pt idx="19">
                  <c:v>28.530086337051461</c:v>
                </c:pt>
                <c:pt idx="20">
                  <c:v>28.776937025383717</c:v>
                </c:pt>
                <c:pt idx="21">
                  <c:v>29.030164591166226</c:v>
                </c:pt>
                <c:pt idx="22">
                  <c:v>29.29151395814306</c:v>
                </c:pt>
                <c:pt idx="23">
                  <c:v>29.561712296917438</c:v>
                </c:pt>
                <c:pt idx="24">
                  <c:v>29.839661660493228</c:v>
                </c:pt>
                <c:pt idx="25">
                  <c:v>30.124336578501786</c:v>
                </c:pt>
                <c:pt idx="26">
                  <c:v>30.414711950880204</c:v>
                </c:pt>
                <c:pt idx="27">
                  <c:v>30.70976305945101</c:v>
                </c:pt>
                <c:pt idx="28">
                  <c:v>31.008465558598417</c:v>
                </c:pt>
                <c:pt idx="29">
                  <c:v>31.309671463446385</c:v>
                </c:pt>
                <c:pt idx="30">
                  <c:v>31.61237366069513</c:v>
                </c:pt>
                <c:pt idx="31">
                  <c:v>31.91554883024904</c:v>
                </c:pt>
                <c:pt idx="32">
                  <c:v>32.218174017178278</c:v>
                </c:pt>
                <c:pt idx="33">
                  <c:v>32.519226629416359</c:v>
                </c:pt>
                <c:pt idx="34">
                  <c:v>32.817684436667399</c:v>
                </c:pt>
                <c:pt idx="35">
                  <c:v>33.112525567330124</c:v>
                </c:pt>
                <c:pt idx="36">
                  <c:v>33.406291646546457</c:v>
                </c:pt>
                <c:pt idx="37">
                  <c:v>33.701888561544997</c:v>
                </c:pt>
                <c:pt idx="38">
                  <c:v>33.99897704190218</c:v>
                </c:pt>
                <c:pt idx="39">
                  <c:v>34.297092320437272</c:v>
                </c:pt>
                <c:pt idx="40">
                  <c:v>34.595769799717267</c:v>
                </c:pt>
                <c:pt idx="41">
                  <c:v>34.894545045070487</c:v>
                </c:pt>
                <c:pt idx="42">
                  <c:v>35.192953779504919</c:v>
                </c:pt>
                <c:pt idx="43">
                  <c:v>35.490537956665996</c:v>
                </c:pt>
                <c:pt idx="44">
                  <c:v>35.786958025250968</c:v>
                </c:pt>
                <c:pt idx="45">
                  <c:v>36.081750280897886</c:v>
                </c:pt>
                <c:pt idx="46">
                  <c:v>36.374451161029924</c:v>
                </c:pt>
                <c:pt idx="47">
                  <c:v>36.664597234963978</c:v>
                </c:pt>
                <c:pt idx="48">
                  <c:v>36.9517251970572</c:v>
                </c:pt>
                <c:pt idx="49">
                  <c:v>37.235371853597314</c:v>
                </c:pt>
                <c:pt idx="50">
                  <c:v>37.516033533083586</c:v>
                </c:pt>
                <c:pt idx="51">
                  <c:v>37.794602365356596</c:v>
                </c:pt>
                <c:pt idx="52">
                  <c:v>38.071178916052631</c:v>
                </c:pt>
                <c:pt idx="53">
                  <c:v>38.34585697836328</c:v>
                </c:pt>
                <c:pt idx="54">
                  <c:v>38.618729992374774</c:v>
                </c:pt>
                <c:pt idx="55">
                  <c:v>38.889891282133505</c:v>
                </c:pt>
                <c:pt idx="56">
                  <c:v>39.159434049835923</c:v>
                </c:pt>
                <c:pt idx="57">
                  <c:v>39.427509565558829</c:v>
                </c:pt>
                <c:pt idx="58">
                  <c:v>39.694204688229</c:v>
                </c:pt>
                <c:pt idx="59">
                  <c:v>39.959612238834609</c:v>
                </c:pt>
                <c:pt idx="60">
                  <c:v>40.223824892773749</c:v>
                </c:pt>
                <c:pt idx="61">
                  <c:v>40.486935178094349</c:v>
                </c:pt>
                <c:pt idx="62">
                  <c:v>40.749035471406295</c:v>
                </c:pt>
                <c:pt idx="63">
                  <c:v>41.010217997656511</c:v>
                </c:pt>
                <c:pt idx="64">
                  <c:v>41.270945803728253</c:v>
                </c:pt>
                <c:pt idx="65">
                  <c:v>41.531456332125437</c:v>
                </c:pt>
                <c:pt idx="66">
                  <c:v>41.791445598275502</c:v>
                </c:pt>
                <c:pt idx="67">
                  <c:v>42.050634323744099</c:v>
                </c:pt>
                <c:pt idx="68">
                  <c:v>42.30874320830079</c:v>
                </c:pt>
                <c:pt idx="69">
                  <c:v>42.565492934941233</c:v>
                </c:pt>
                <c:pt idx="70">
                  <c:v>42.820604175510745</c:v>
                </c:pt>
                <c:pt idx="71">
                  <c:v>43.073772465065773</c:v>
                </c:pt>
                <c:pt idx="72">
                  <c:v>43.324660027635815</c:v>
                </c:pt>
                <c:pt idx="73">
                  <c:v>43.572987449722525</c:v>
                </c:pt>
                <c:pt idx="74">
                  <c:v>43.818475321084975</c:v>
                </c:pt>
                <c:pt idx="75">
                  <c:v>44.060844246001992</c:v>
                </c:pt>
                <c:pt idx="76">
                  <c:v>44.299814844347516</c:v>
                </c:pt>
                <c:pt idx="77">
                  <c:v>44.535107766635122</c:v>
                </c:pt>
                <c:pt idx="78">
                  <c:v>44.768543493339244</c:v>
                </c:pt>
                <c:pt idx="79">
                  <c:v>45.001684400215794</c:v>
                </c:pt>
                <c:pt idx="80">
                  <c:v>45.233857490802514</c:v>
                </c:pt>
                <c:pt idx="81">
                  <c:v>45.464412160957117</c:v>
                </c:pt>
                <c:pt idx="82">
                  <c:v>45.692697976541581</c:v>
                </c:pt>
                <c:pt idx="83">
                  <c:v>45.918064684056084</c:v>
                </c:pt>
                <c:pt idx="84">
                  <c:v>46.139862223717458</c:v>
                </c:pt>
                <c:pt idx="85">
                  <c:v>46.357423045554071</c:v>
                </c:pt>
                <c:pt idx="86">
                  <c:v>46.570122786958798</c:v>
                </c:pt>
                <c:pt idx="87">
                  <c:v>46.777312034090563</c:v>
                </c:pt>
                <c:pt idx="88">
                  <c:v>46.978341616968073</c:v>
                </c:pt>
                <c:pt idx="89">
                  <c:v>47.172562618600999</c:v>
                </c:pt>
                <c:pt idx="90">
                  <c:v>47.359326396197091</c:v>
                </c:pt>
                <c:pt idx="91">
                  <c:v>47.53798458625073</c:v>
                </c:pt>
                <c:pt idx="92">
                  <c:v>47.70850594409162</c:v>
                </c:pt>
                <c:pt idx="93">
                  <c:v>47.871555193986161</c:v>
                </c:pt>
                <c:pt idx="94">
                  <c:v>48.027604467938374</c:v>
                </c:pt>
                <c:pt idx="95">
                  <c:v>48.177115363385049</c:v>
                </c:pt>
                <c:pt idx="96">
                  <c:v>48.320549332651424</c:v>
                </c:pt>
                <c:pt idx="97">
                  <c:v>48.458367683414771</c:v>
                </c:pt>
                <c:pt idx="98">
                  <c:v>48.591031570839192</c:v>
                </c:pt>
                <c:pt idx="99">
                  <c:v>48.718915806602205</c:v>
                </c:pt>
                <c:pt idx="100">
                  <c:v>48.842498679614899</c:v>
                </c:pt>
                <c:pt idx="101">
                  <c:v>48.962240103879715</c:v>
                </c:pt>
                <c:pt idx="102">
                  <c:v>49.078599756981212</c:v>
                </c:pt>
                <c:pt idx="103">
                  <c:v>49.192037080520599</c:v>
                </c:pt>
                <c:pt idx="104">
                  <c:v>49.303011274548275</c:v>
                </c:pt>
                <c:pt idx="105">
                  <c:v>49.411981289592546</c:v>
                </c:pt>
                <c:pt idx="106">
                  <c:v>49.518451165960329</c:v>
                </c:pt>
                <c:pt idx="107">
                  <c:v>49.62147041880921</c:v>
                </c:pt>
                <c:pt idx="108">
                  <c:v>49.720989521631722</c:v>
                </c:pt>
                <c:pt idx="109">
                  <c:v>49.816912770367644</c:v>
                </c:pt>
                <c:pt idx="110">
                  <c:v>49.909144358826751</c:v>
                </c:pt>
                <c:pt idx="111">
                  <c:v>49.997588461687052</c:v>
                </c:pt>
                <c:pt idx="112">
                  <c:v>50.082149344401053</c:v>
                </c:pt>
                <c:pt idx="113">
                  <c:v>50.16268173723482</c:v>
                </c:pt>
                <c:pt idx="114">
                  <c:v>50.239181394192869</c:v>
                </c:pt>
                <c:pt idx="115">
                  <c:v>50.311553386716312</c:v>
                </c:pt>
                <c:pt idx="116">
                  <c:v>50.379702884837293</c:v>
                </c:pt>
                <c:pt idx="117">
                  <c:v>50.443535168673357</c:v>
                </c:pt>
                <c:pt idx="118">
                  <c:v>50.502955644935149</c:v>
                </c:pt>
                <c:pt idx="119">
                  <c:v>50.55786986106552</c:v>
                </c:pt>
                <c:pt idx="120">
                  <c:v>50.607814633010371</c:v>
                </c:pt>
                <c:pt idx="121">
                  <c:v>50.652524603722682</c:v>
                </c:pt>
                <c:pt idx="122">
                  <c:v>50.692366656241134</c:v>
                </c:pt>
                <c:pt idx="123">
                  <c:v>50.727616703779844</c:v>
                </c:pt>
                <c:pt idx="124">
                  <c:v>50.758550710274484</c:v>
                </c:pt>
                <c:pt idx="125">
                  <c:v>50.78544469883407</c:v>
                </c:pt>
                <c:pt idx="126">
                  <c:v>50.808574762201253</c:v>
                </c:pt>
                <c:pt idx="127">
                  <c:v>50.828213896821595</c:v>
                </c:pt>
                <c:pt idx="128">
                  <c:v>50.844693051265416</c:v>
                </c:pt>
                <c:pt idx="129">
                  <c:v>50.858289763503663</c:v>
                </c:pt>
                <c:pt idx="130">
                  <c:v>50.869281722513129</c:v>
                </c:pt>
                <c:pt idx="131">
                  <c:v>50.877946781619663</c:v>
                </c:pt>
                <c:pt idx="132">
                  <c:v>50.884562960817625</c:v>
                </c:pt>
                <c:pt idx="133">
                  <c:v>50.889408454713482</c:v>
                </c:pt>
                <c:pt idx="134">
                  <c:v>50.891872032879718</c:v>
                </c:pt>
                <c:pt idx="135">
                  <c:v>50.891235788119808</c:v>
                </c:pt>
                <c:pt idx="136">
                  <c:v>50.887649942715072</c:v>
                </c:pt>
                <c:pt idx="137">
                  <c:v>50.881212144951988</c:v>
                </c:pt>
                <c:pt idx="138">
                  <c:v>50.872020392260595</c:v>
                </c:pt>
                <c:pt idx="139">
                  <c:v>50.860173025198158</c:v>
                </c:pt>
                <c:pt idx="140">
                  <c:v>50.845768723099219</c:v>
                </c:pt>
                <c:pt idx="141">
                  <c:v>50.828891626027101</c:v>
                </c:pt>
                <c:pt idx="142">
                  <c:v>50.809645578994953</c:v>
                </c:pt>
                <c:pt idx="143">
                  <c:v>50.788131174184393</c:v>
                </c:pt>
                <c:pt idx="144">
                  <c:v>50.764448225348247</c:v>
                </c:pt>
                <c:pt idx="145">
                  <c:v>50.738696785139688</c:v>
                </c:pt>
                <c:pt idx="146">
                  <c:v>50.710977128351345</c:v>
                </c:pt>
                <c:pt idx="147">
                  <c:v>50.68138972576422</c:v>
                </c:pt>
                <c:pt idx="148">
                  <c:v>50.650004613788454</c:v>
                </c:pt>
                <c:pt idx="149">
                  <c:v>50.61685650528338</c:v>
                </c:pt>
                <c:pt idx="150">
                  <c:v>50.581847660756267</c:v>
                </c:pt>
                <c:pt idx="151">
                  <c:v>50.544897239718537</c:v>
                </c:pt>
                <c:pt idx="152">
                  <c:v>50.50592455081955</c:v>
                </c:pt>
                <c:pt idx="153">
                  <c:v>50.464849010475795</c:v>
                </c:pt>
                <c:pt idx="154">
                  <c:v>50.421590101748038</c:v>
                </c:pt>
                <c:pt idx="155">
                  <c:v>50.376284008749252</c:v>
                </c:pt>
                <c:pt idx="156">
                  <c:v>50.328869166309111</c:v>
                </c:pt>
                <c:pt idx="157">
                  <c:v>50.279268665513108</c:v>
                </c:pt>
                <c:pt idx="158">
                  <c:v>50.227405333879105</c:v>
                </c:pt>
                <c:pt idx="159">
                  <c:v>50.173201684142114</c:v>
                </c:pt>
                <c:pt idx="160">
                  <c:v>50.116579857690866</c:v>
                </c:pt>
                <c:pt idx="161">
                  <c:v>50.05746157609569</c:v>
                </c:pt>
                <c:pt idx="162">
                  <c:v>49.99520311386884</c:v>
                </c:pt>
                <c:pt idx="163">
                  <c:v>49.929553462766513</c:v>
                </c:pt>
                <c:pt idx="164">
                  <c:v>49.860796873950306</c:v>
                </c:pt>
                <c:pt idx="165">
                  <c:v>49.789310943262159</c:v>
                </c:pt>
                <c:pt idx="166">
                  <c:v>49.715472373094457</c:v>
                </c:pt>
                <c:pt idx="167">
                  <c:v>49.639656957286626</c:v>
                </c:pt>
                <c:pt idx="168">
                  <c:v>49.562239557815403</c:v>
                </c:pt>
                <c:pt idx="169">
                  <c:v>49.483684688255259</c:v>
                </c:pt>
                <c:pt idx="170">
                  <c:v>49.404133753344702</c:v>
                </c:pt>
                <c:pt idx="171">
                  <c:v>49.323957539770532</c:v>
                </c:pt>
                <c:pt idx="172">
                  <c:v>49.243525999494949</c:v>
                </c:pt>
                <c:pt idx="173">
                  <c:v>49.16321182434897</c:v>
                </c:pt>
                <c:pt idx="174">
                  <c:v>49.083387124389247</c:v>
                </c:pt>
                <c:pt idx="175">
                  <c:v>49.004419739475622</c:v>
                </c:pt>
                <c:pt idx="176">
                  <c:v>48.925762233003233</c:v>
                </c:pt>
                <c:pt idx="177">
                  <c:v>48.846861207156643</c:v>
                </c:pt>
                <c:pt idx="178">
                  <c:v>48.767624691213882</c:v>
                </c:pt>
                <c:pt idx="179">
                  <c:v>48.688053178874938</c:v>
                </c:pt>
                <c:pt idx="180">
                  <c:v>48.608146474503506</c:v>
                </c:pt>
                <c:pt idx="181">
                  <c:v>48.527903722844883</c:v>
                </c:pt>
                <c:pt idx="182">
                  <c:v>48.447323444735474</c:v>
                </c:pt>
                <c:pt idx="183">
                  <c:v>48.366506895152121</c:v>
                </c:pt>
                <c:pt idx="184">
                  <c:v>48.285356102216554</c:v>
                </c:pt>
                <c:pt idx="185">
                  <c:v>48.203867850042869</c:v>
                </c:pt>
                <c:pt idx="186">
                  <c:v>48.122038466940609</c:v>
                </c:pt>
                <c:pt idx="187">
                  <c:v>48.039863872372841</c:v>
                </c:pt>
                <c:pt idx="188">
                  <c:v>47.957339625727307</c:v>
                </c:pt>
                <c:pt idx="189">
                  <c:v>47.874460975840719</c:v>
                </c:pt>
                <c:pt idx="190">
                  <c:v>47.790827220564488</c:v>
                </c:pt>
                <c:pt idx="191">
                  <c:v>47.706145371027226</c:v>
                </c:pt>
                <c:pt idx="192">
                  <c:v>47.620348785347716</c:v>
                </c:pt>
                <c:pt idx="193">
                  <c:v>47.533614246803772</c:v>
                </c:pt>
                <c:pt idx="194">
                  <c:v>47.4461185172622</c:v>
                </c:pt>
                <c:pt idx="195">
                  <c:v>47.358038370667451</c:v>
                </c:pt>
                <c:pt idx="196">
                  <c:v>47.269550626263523</c:v>
                </c:pt>
                <c:pt idx="197">
                  <c:v>47.180852606794993</c:v>
                </c:pt>
                <c:pt idx="198">
                  <c:v>47.092015589500861</c:v>
                </c:pt>
                <c:pt idx="199">
                  <c:v>47.003216474614568</c:v>
                </c:pt>
                <c:pt idx="200">
                  <c:v>46.914632344365856</c:v>
                </c:pt>
                <c:pt idx="201">
                  <c:v>46.826440477971396</c:v>
                </c:pt>
                <c:pt idx="202">
                  <c:v>46.738818364395456</c:v>
                </c:pt>
                <c:pt idx="203">
                  <c:v>46.651943712657349</c:v>
                </c:pt>
                <c:pt idx="204">
                  <c:v>46.565736410514923</c:v>
                </c:pt>
                <c:pt idx="205">
                  <c:v>46.479929484924952</c:v>
                </c:pt>
                <c:pt idx="206">
                  <c:v>46.394441272139218</c:v>
                </c:pt>
                <c:pt idx="207">
                  <c:v>46.309177033909137</c:v>
                </c:pt>
                <c:pt idx="208">
                  <c:v>46.224042327707068</c:v>
                </c:pt>
                <c:pt idx="209">
                  <c:v>46.138943001857136</c:v>
                </c:pt>
                <c:pt idx="210">
                  <c:v>46.053785189102051</c:v>
                </c:pt>
                <c:pt idx="211">
                  <c:v>45.968401284744374</c:v>
                </c:pt>
                <c:pt idx="212">
                  <c:v>45.882677343165518</c:v>
                </c:pt>
                <c:pt idx="213">
                  <c:v>45.796520240179326</c:v>
                </c:pt>
                <c:pt idx="214">
                  <c:v>45.709837112449662</c:v>
                </c:pt>
                <c:pt idx="215">
                  <c:v>45.622535344267945</c:v>
                </c:pt>
                <c:pt idx="216">
                  <c:v>45.534522552639778</c:v>
                </c:pt>
                <c:pt idx="217">
                  <c:v>45.445706573911551</c:v>
                </c:pt>
                <c:pt idx="218">
                  <c:v>45.356060197853324</c:v>
                </c:pt>
                <c:pt idx="219">
                  <c:v>45.265587399855612</c:v>
                </c:pt>
                <c:pt idx="220">
                  <c:v>45.17436775831483</c:v>
                </c:pt>
                <c:pt idx="221">
                  <c:v>45.082476081812807</c:v>
                </c:pt>
                <c:pt idx="222">
                  <c:v>44.989987292661922</c:v>
                </c:pt>
                <c:pt idx="223">
                  <c:v>44.896976414794075</c:v>
                </c:pt>
                <c:pt idx="224">
                  <c:v>44.803518562593915</c:v>
                </c:pt>
                <c:pt idx="225">
                  <c:v>44.709549433982403</c:v>
                </c:pt>
                <c:pt idx="226">
                  <c:v>44.615218458483234</c:v>
                </c:pt>
                <c:pt idx="227">
                  <c:v>44.520601003555562</c:v>
                </c:pt>
                <c:pt idx="228">
                  <c:v>44.425772498456979</c:v>
                </c:pt>
                <c:pt idx="229">
                  <c:v>44.330808427351776</c:v>
                </c:pt>
                <c:pt idx="230">
                  <c:v>44.23578432416295</c:v>
                </c:pt>
                <c:pt idx="231">
                  <c:v>44.140775767921532</c:v>
                </c:pt>
                <c:pt idx="232">
                  <c:v>44.046586694615648</c:v>
                </c:pt>
                <c:pt idx="233">
                  <c:v>43.953540305356448</c:v>
                </c:pt>
                <c:pt idx="234">
                  <c:v>43.861293972891723</c:v>
                </c:pt>
                <c:pt idx="235">
                  <c:v>43.769425383303769</c:v>
                </c:pt>
                <c:pt idx="236">
                  <c:v>43.677512391900294</c:v>
                </c:pt>
                <c:pt idx="237">
                  <c:v>43.585133078805697</c:v>
                </c:pt>
                <c:pt idx="238">
                  <c:v>43.491865706500327</c:v>
                </c:pt>
                <c:pt idx="239">
                  <c:v>43.397206439690535</c:v>
                </c:pt>
                <c:pt idx="240">
                  <c:v>43.300872834351708</c:v>
                </c:pt>
                <c:pt idx="241">
                  <c:v>43.202443580472526</c:v>
                </c:pt>
                <c:pt idx="242">
                  <c:v>43.101497540349648</c:v>
                </c:pt>
                <c:pt idx="243">
                  <c:v>42.997613751057401</c:v>
                </c:pt>
                <c:pt idx="244">
                  <c:v>42.890371423043838</c:v>
                </c:pt>
                <c:pt idx="245">
                  <c:v>42.779349943506617</c:v>
                </c:pt>
                <c:pt idx="246">
                  <c:v>42.665779935380122</c:v>
                </c:pt>
                <c:pt idx="247">
                  <c:v>42.550959816853059</c:v>
                </c:pt>
                <c:pt idx="248">
                  <c:v>42.434764372372655</c:v>
                </c:pt>
                <c:pt idx="249">
                  <c:v>42.316920842849662</c:v>
                </c:pt>
                <c:pt idx="250">
                  <c:v>42.197156604038</c:v>
                </c:pt>
                <c:pt idx="251">
                  <c:v>42.075199163401074</c:v>
                </c:pt>
                <c:pt idx="252">
                  <c:v>41.950776164335672</c:v>
                </c:pt>
                <c:pt idx="253">
                  <c:v>41.823603148238917</c:v>
                </c:pt>
                <c:pt idx="254">
                  <c:v>41.693489429383121</c:v>
                </c:pt>
                <c:pt idx="255">
                  <c:v>41.560162815136103</c:v>
                </c:pt>
                <c:pt idx="256">
                  <c:v>41.423351211399101</c:v>
                </c:pt>
                <c:pt idx="257">
                  <c:v>41.282782613321217</c:v>
                </c:pt>
                <c:pt idx="258">
                  <c:v>41.138185104759543</c:v>
                </c:pt>
                <c:pt idx="259">
                  <c:v>40.98928684253535</c:v>
                </c:pt>
                <c:pt idx="260">
                  <c:v>40.836369921158777</c:v>
                </c:pt>
                <c:pt idx="261">
                  <c:v>40.679903481673215</c:v>
                </c:pt>
                <c:pt idx="262">
                  <c:v>40.519981172034143</c:v>
                </c:pt>
                <c:pt idx="263">
                  <c:v>40.356666364111163</c:v>
                </c:pt>
                <c:pt idx="264">
                  <c:v>40.190022409918996</c:v>
                </c:pt>
                <c:pt idx="265">
                  <c:v>40.02011222942275</c:v>
                </c:pt>
                <c:pt idx="266">
                  <c:v>39.846998876718473</c:v>
                </c:pt>
                <c:pt idx="267">
                  <c:v>39.670789500340099</c:v>
                </c:pt>
                <c:pt idx="268">
                  <c:v>39.491558945587151</c:v>
                </c:pt>
                <c:pt idx="269">
                  <c:v>39.309369998449291</c:v>
                </c:pt>
                <c:pt idx="270">
                  <c:v>39.124285333281627</c:v>
                </c:pt>
                <c:pt idx="271">
                  <c:v>38.936367496766245</c:v>
                </c:pt>
                <c:pt idx="272">
                  <c:v>38.745678896649309</c:v>
                </c:pt>
                <c:pt idx="273">
                  <c:v>38.552281782829148</c:v>
                </c:pt>
                <c:pt idx="274">
                  <c:v>38.355659332807711</c:v>
                </c:pt>
                <c:pt idx="275">
                  <c:v>38.155483042071239</c:v>
                </c:pt>
                <c:pt idx="276">
                  <c:v>37.951984879671159</c:v>
                </c:pt>
                <c:pt idx="277">
                  <c:v>37.745361110637354</c:v>
                </c:pt>
                <c:pt idx="278">
                  <c:v>37.535807647482855</c:v>
                </c:pt>
                <c:pt idx="279">
                  <c:v>37.323520042097613</c:v>
                </c:pt>
                <c:pt idx="280">
                  <c:v>37.108693470906239</c:v>
                </c:pt>
                <c:pt idx="281">
                  <c:v>36.891566421562608</c:v>
                </c:pt>
                <c:pt idx="282">
                  <c:v>36.672290864269776</c:v>
                </c:pt>
                <c:pt idx="283">
                  <c:v>36.45106076570994</c:v>
                </c:pt>
                <c:pt idx="284">
                  <c:v>36.228069691425119</c:v>
                </c:pt>
                <c:pt idx="285">
                  <c:v>36.00351080759922</c:v>
                </c:pt>
                <c:pt idx="286">
                  <c:v>35.777576884474122</c:v>
                </c:pt>
                <c:pt idx="287">
                  <c:v>35.550460301159077</c:v>
                </c:pt>
                <c:pt idx="288">
                  <c:v>35.322057484483395</c:v>
                </c:pt>
                <c:pt idx="289">
                  <c:v>35.092085521186142</c:v>
                </c:pt>
                <c:pt idx="290">
                  <c:v>34.860355823460928</c:v>
                </c:pt>
                <c:pt idx="291">
                  <c:v>34.626772724207974</c:v>
                </c:pt>
                <c:pt idx="292">
                  <c:v>34.39124026675433</c:v>
                </c:pt>
                <c:pt idx="293">
                  <c:v>34.15366222046265</c:v>
                </c:pt>
                <c:pt idx="294">
                  <c:v>33.913942097491621</c:v>
                </c:pt>
                <c:pt idx="295">
                  <c:v>33.671969723294843</c:v>
                </c:pt>
                <c:pt idx="296">
                  <c:v>33.427606839524643</c:v>
                </c:pt>
                <c:pt idx="297">
                  <c:v>33.180756651334505</c:v>
                </c:pt>
                <c:pt idx="298">
                  <c:v>32.931322961963957</c:v>
                </c:pt>
                <c:pt idx="299">
                  <c:v>32.679209468452505</c:v>
                </c:pt>
                <c:pt idx="300">
                  <c:v>32.424319783015079</c:v>
                </c:pt>
                <c:pt idx="301">
                  <c:v>32.166557461422052</c:v>
                </c:pt>
                <c:pt idx="302">
                  <c:v>31.903296893081205</c:v>
                </c:pt>
                <c:pt idx="303">
                  <c:v>31.632521814774719</c:v>
                </c:pt>
                <c:pt idx="304">
                  <c:v>31.355492817709958</c:v>
                </c:pt>
                <c:pt idx="305">
                  <c:v>31.073482747044533</c:v>
                </c:pt>
                <c:pt idx="306">
                  <c:v>30.787764681168827</c:v>
                </c:pt>
                <c:pt idx="307">
                  <c:v>30.499611935601639</c:v>
                </c:pt>
                <c:pt idx="308">
                  <c:v>30.210298057483541</c:v>
                </c:pt>
                <c:pt idx="309">
                  <c:v>29.920822740365779</c:v>
                </c:pt>
                <c:pt idx="310">
                  <c:v>29.6324778838407</c:v>
                </c:pt>
                <c:pt idx="311">
                  <c:v>29.346543087621665</c:v>
                </c:pt>
                <c:pt idx="312">
                  <c:v>29.064298030113061</c:v>
                </c:pt>
                <c:pt idx="313">
                  <c:v>28.78702241417685</c:v>
                </c:pt>
                <c:pt idx="314">
                  <c:v>28.515995920787589</c:v>
                </c:pt>
                <c:pt idx="315">
                  <c:v>28.252498151247611</c:v>
                </c:pt>
                <c:pt idx="316">
                  <c:v>27.993839344206627</c:v>
                </c:pt>
                <c:pt idx="317">
                  <c:v>27.736839071235323</c:v>
                </c:pt>
                <c:pt idx="318">
                  <c:v>27.48213423766833</c:v>
                </c:pt>
                <c:pt idx="319">
                  <c:v>27.230086617504835</c:v>
                </c:pt>
                <c:pt idx="320">
                  <c:v>26.981058009496785</c:v>
                </c:pt>
                <c:pt idx="321">
                  <c:v>26.735410248419193</c:v>
                </c:pt>
                <c:pt idx="322">
                  <c:v>26.493505199885611</c:v>
                </c:pt>
                <c:pt idx="323">
                  <c:v>26.255922555026942</c:v>
                </c:pt>
                <c:pt idx="324">
                  <c:v>26.023268131967782</c:v>
                </c:pt>
                <c:pt idx="325">
                  <c:v>25.795895785981635</c:v>
                </c:pt>
                <c:pt idx="326">
                  <c:v>25.574160885270071</c:v>
                </c:pt>
                <c:pt idx="327">
                  <c:v>25.358418806803719</c:v>
                </c:pt>
                <c:pt idx="328">
                  <c:v>25.149024707598965</c:v>
                </c:pt>
                <c:pt idx="329">
                  <c:v>24.946334282330508</c:v>
                </c:pt>
                <c:pt idx="330">
                  <c:v>24.746446377958506</c:v>
                </c:pt>
                <c:pt idx="331">
                  <c:v>24.546477787505452</c:v>
                </c:pt>
                <c:pt idx="332">
                  <c:v>24.347858584578468</c:v>
                </c:pt>
                <c:pt idx="333">
                  <c:v>24.152127243582111</c:v>
                </c:pt>
                <c:pt idx="334">
                  <c:v>23.960822966092906</c:v>
                </c:pt>
                <c:pt idx="335">
                  <c:v>23.775485628532927</c:v>
                </c:pt>
                <c:pt idx="336">
                  <c:v>23.597655738656368</c:v>
                </c:pt>
                <c:pt idx="337">
                  <c:v>23.428913484921107</c:v>
                </c:pt>
                <c:pt idx="338">
                  <c:v>23.270597925305424</c:v>
                </c:pt>
                <c:pt idx="339">
                  <c:v>23.124252883123528</c:v>
                </c:pt>
                <c:pt idx="340">
                  <c:v>22.991422367803498</c:v>
                </c:pt>
                <c:pt idx="341">
                  <c:v>22.873650543382404</c:v>
                </c:pt>
                <c:pt idx="342">
                  <c:v>22.772481664380994</c:v>
                </c:pt>
                <c:pt idx="343">
                  <c:v>22.68946000230542</c:v>
                </c:pt>
                <c:pt idx="344">
                  <c:v>22.623212326868384</c:v>
                </c:pt>
                <c:pt idx="345">
                  <c:v>22.571045304947983</c:v>
                </c:pt>
                <c:pt idx="346">
                  <c:v>22.532186330000499</c:v>
                </c:pt>
                <c:pt idx="347">
                  <c:v>22.506202079660138</c:v>
                </c:pt>
                <c:pt idx="348">
                  <c:v>22.492659110971395</c:v>
                </c:pt>
                <c:pt idx="349">
                  <c:v>22.491123855365824</c:v>
                </c:pt>
                <c:pt idx="350">
                  <c:v>22.501162631008761</c:v>
                </c:pt>
                <c:pt idx="351">
                  <c:v>22.522223030633931</c:v>
                </c:pt>
                <c:pt idx="352">
                  <c:v>22.553834169992189</c:v>
                </c:pt>
                <c:pt idx="353">
                  <c:v>22.59556255183049</c:v>
                </c:pt>
                <c:pt idx="354">
                  <c:v>22.646974443567586</c:v>
                </c:pt>
                <c:pt idx="355">
                  <c:v>22.707635891296224</c:v>
                </c:pt>
                <c:pt idx="356">
                  <c:v>22.77711338213911</c:v>
                </c:pt>
                <c:pt idx="357">
                  <c:v>22.854972105827482</c:v>
                </c:pt>
                <c:pt idx="358">
                  <c:v>22.944948018114136</c:v>
                </c:pt>
                <c:pt idx="359">
                  <c:v>23.050186286732547</c:v>
                </c:pt>
                <c:pt idx="360">
                  <c:v>23.169404361591663</c:v>
                </c:pt>
                <c:pt idx="361">
                  <c:v>23.301399706933054</c:v>
                </c:pt>
                <c:pt idx="362">
                  <c:v>23.444852337689618</c:v>
                </c:pt>
                <c:pt idx="363">
                  <c:v>23.598442423701211</c:v>
                </c:pt>
                <c:pt idx="364">
                  <c:v>23.760850292385843</c:v>
                </c:pt>
                <c:pt idx="365">
                  <c:v>24.192018678707434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24.188876378804846</c:v>
                </c:pt>
                <c:pt idx="1">
                  <c:v>16.904734393657517</c:v>
                </c:pt>
                <c:pt idx="2">
                  <c:v>17.907570686910233</c:v>
                </c:pt>
                <c:pt idx="3">
                  <c:v>18.723381146451121</c:v>
                </c:pt>
                <c:pt idx="4">
                  <c:v>13.225951210315888</c:v>
                </c:pt>
                <c:pt idx="5">
                  <c:v>24.325736317295355</c:v>
                </c:pt>
                <c:pt idx="6">
                  <c:v>8.8416839841718335</c:v>
                </c:pt>
                <c:pt idx="7">
                  <c:v>5.1255750975356555</c:v>
                </c:pt>
                <c:pt idx="8">
                  <c:v>1.5240484282955802</c:v>
                </c:pt>
                <c:pt idx="9">
                  <c:v>1.4103082298580445</c:v>
                </c:pt>
                <c:pt idx="10">
                  <c:v>26.166126834072692</c:v>
                </c:pt>
                <c:pt idx="11">
                  <c:v>21.222935633283676</c:v>
                </c:pt>
                <c:pt idx="12">
                  <c:v>4.9590213498960543</c:v>
                </c:pt>
                <c:pt idx="13">
                  <c:v>27.163510750960246</c:v>
                </c:pt>
                <c:pt idx="14">
                  <c:v>27.013392832162214</c:v>
                </c:pt>
                <c:pt idx="15">
                  <c:v>26.72172292070157</c:v>
                </c:pt>
                <c:pt idx="16">
                  <c:v>18.522005844629543</c:v>
                </c:pt>
                <c:pt idx="17">
                  <c:v>3.9632511724509127</c:v>
                </c:pt>
                <c:pt idx="18">
                  <c:v>9.6018871063269255</c:v>
                </c:pt>
                <c:pt idx="19">
                  <c:v>5.3009654912484931</c:v>
                </c:pt>
                <c:pt idx="20">
                  <c:v>15.597224734117912</c:v>
                </c:pt>
                <c:pt idx="21">
                  <c:v>28.179150834307286</c:v>
                </c:pt>
                <c:pt idx="22">
                  <c:v>28.239112138828563</c:v>
                </c:pt>
                <c:pt idx="23">
                  <c:v>28.508544772653391</c:v>
                </c:pt>
                <c:pt idx="24">
                  <c:v>28.083474635555337</c:v>
                </c:pt>
                <c:pt idx="25">
                  <c:v>28.810607207910692</c:v>
                </c:pt>
                <c:pt idx="26">
                  <c:v>28.549607577171766</c:v>
                </c:pt>
                <c:pt idx="27">
                  <c:v>3.8681722843098476</c:v>
                </c:pt>
                <c:pt idx="28">
                  <c:v>5.7511343290225723</c:v>
                </c:pt>
                <c:pt idx="29">
                  <c:v>4.7162484514998484</c:v>
                </c:pt>
                <c:pt idx="30">
                  <c:v>6.4718912359112881</c:v>
                </c:pt>
                <c:pt idx="31">
                  <c:v>13.390444683902373</c:v>
                </c:pt>
                <c:pt idx="32">
                  <c:v>5.0394418216361911</c:v>
                </c:pt>
                <c:pt idx="33">
                  <c:v>11.023223921610047</c:v>
                </c:pt>
                <c:pt idx="34">
                  <c:v>10.572468500056132</c:v>
                </c:pt>
                <c:pt idx="35">
                  <c:v>9.9891783095863858</c:v>
                </c:pt>
                <c:pt idx="36">
                  <c:v>22.044408738306075</c:v>
                </c:pt>
                <c:pt idx="37">
                  <c:v>8.6819615133956134</c:v>
                </c:pt>
                <c:pt idx="38">
                  <c:v>33.534062346217645</c:v>
                </c:pt>
                <c:pt idx="39">
                  <c:v>33.60966742760619</c:v>
                </c:pt>
                <c:pt idx="40">
                  <c:v>31.229028013362111</c:v>
                </c:pt>
                <c:pt idx="41">
                  <c:v>15.720983101945004</c:v>
                </c:pt>
                <c:pt idx="42">
                  <c:v>26.148140214873376</c:v>
                </c:pt>
                <c:pt idx="43">
                  <c:v>31.954795562295715</c:v>
                </c:pt>
                <c:pt idx="44">
                  <c:v>17.72736788629237</c:v>
                </c:pt>
                <c:pt idx="45">
                  <c:v>17.469999588514149</c:v>
                </c:pt>
                <c:pt idx="46">
                  <c:v>7.5984291150169927</c:v>
                </c:pt>
                <c:pt idx="47">
                  <c:v>8.8797740402532011</c:v>
                </c:pt>
                <c:pt idx="48">
                  <c:v>29.103327037832234</c:v>
                </c:pt>
                <c:pt idx="49">
                  <c:v>17.7460791690837</c:v>
                </c:pt>
                <c:pt idx="50">
                  <c:v>20.917922748044212</c:v>
                </c:pt>
                <c:pt idx="51">
                  <c:v>20.596817608171062</c:v>
                </c:pt>
                <c:pt idx="52">
                  <c:v>33.7280482129161</c:v>
                </c:pt>
                <c:pt idx="53">
                  <c:v>35.182122609952103</c:v>
                </c:pt>
                <c:pt idx="54">
                  <c:v>20.013346969226951</c:v>
                </c:pt>
                <c:pt idx="55">
                  <c:v>29.108082400763045</c:v>
                </c:pt>
                <c:pt idx="56">
                  <c:v>39.288788309437784</c:v>
                </c:pt>
                <c:pt idx="57">
                  <c:v>27.115239835327465</c:v>
                </c:pt>
                <c:pt idx="58">
                  <c:v>31.416648478351267</c:v>
                </c:pt>
                <c:pt idx="59">
                  <c:v>40.156375006912349</c:v>
                </c:pt>
                <c:pt idx="60">
                  <c:v>10.127432184404752</c:v>
                </c:pt>
                <c:pt idx="61">
                  <c:v>37.971819422992951</c:v>
                </c:pt>
                <c:pt idx="62">
                  <c:v>4.0599787882990093</c:v>
                </c:pt>
                <c:pt idx="63">
                  <c:v>14.434958892818463</c:v>
                </c:pt>
                <c:pt idx="64">
                  <c:v>20.43792724543659</c:v>
                </c:pt>
                <c:pt idx="65">
                  <c:v>31.011746153456222</c:v>
                </c:pt>
                <c:pt idx="66">
                  <c:v>29.750548116557045</c:v>
                </c:pt>
                <c:pt idx="67">
                  <c:v>31.403753394227156</c:v>
                </c:pt>
                <c:pt idx="68">
                  <c:v>22.729204174426279</c:v>
                </c:pt>
                <c:pt idx="69">
                  <c:v>15.155106248229091</c:v>
                </c:pt>
                <c:pt idx="70">
                  <c:v>12.51496073379986</c:v>
                </c:pt>
                <c:pt idx="71">
                  <c:v>11.780929442231592</c:v>
                </c:pt>
                <c:pt idx="72">
                  <c:v>12.446671887538018</c:v>
                </c:pt>
                <c:pt idx="73">
                  <c:v>14.13118888481516</c:v>
                </c:pt>
                <c:pt idx="74">
                  <c:v>9.7002185449254696</c:v>
                </c:pt>
                <c:pt idx="75">
                  <c:v>10.504709423240605</c:v>
                </c:pt>
                <c:pt idx="76">
                  <c:v>12.884658097848023</c:v>
                </c:pt>
                <c:pt idx="77">
                  <c:v>29.524632306427907</c:v>
                </c:pt>
                <c:pt idx="78">
                  <c:v>30.441938499179365</c:v>
                </c:pt>
                <c:pt idx="79">
                  <c:v>43.899453908367491</c:v>
                </c:pt>
                <c:pt idx="80">
                  <c:v>38.740963330770441</c:v>
                </c:pt>
                <c:pt idx="81">
                  <c:v>45.621420333875278</c:v>
                </c:pt>
                <c:pt idx="82">
                  <c:v>42.942708863243077</c:v>
                </c:pt>
                <c:pt idx="83">
                  <c:v>39.095427598832742</c:v>
                </c:pt>
                <c:pt idx="84">
                  <c:v>42.467451195605001</c:v>
                </c:pt>
                <c:pt idx="85">
                  <c:v>43.167723845953603</c:v>
                </c:pt>
                <c:pt idx="86">
                  <c:v>33.119024964610858</c:v>
                </c:pt>
                <c:pt idx="87">
                  <c:v>26.10186587351869</c:v>
                </c:pt>
                <c:pt idx="88">
                  <c:v>6.8137966329085105</c:v>
                </c:pt>
                <c:pt idx="89">
                  <c:v>20.283244747214763</c:v>
                </c:pt>
                <c:pt idx="90">
                  <c:v>30.214624308628256</c:v>
                </c:pt>
                <c:pt idx="91">
                  <c:v>18.534216266111788</c:v>
                </c:pt>
                <c:pt idx="92">
                  <c:v>23.670514498335724</c:v>
                </c:pt>
                <c:pt idx="93">
                  <c:v>41.512035958084645</c:v>
                </c:pt>
                <c:pt idx="94">
                  <c:v>47.840177899059746</c:v>
                </c:pt>
                <c:pt idx="95">
                  <c:v>11.23587093465787</c:v>
                </c:pt>
                <c:pt idx="96">
                  <c:v>37.011127071298695</c:v>
                </c:pt>
                <c:pt idx="97">
                  <c:v>30.030614393990561</c:v>
                </c:pt>
                <c:pt idx="98">
                  <c:v>32.776377666299432</c:v>
                </c:pt>
                <c:pt idx="99">
                  <c:v>50.10762607816887</c:v>
                </c:pt>
                <c:pt idx="100">
                  <c:v>41.348897023131677</c:v>
                </c:pt>
                <c:pt idx="101">
                  <c:v>2.3364271111275223</c:v>
                </c:pt>
                <c:pt idx="102">
                  <c:v>0</c:v>
                </c:pt>
                <c:pt idx="103">
                  <c:v>39.245497493080578</c:v>
                </c:pt>
                <c:pt idx="104">
                  <c:v>43.680077671783991</c:v>
                </c:pt>
                <c:pt idx="105">
                  <c:v>39.300926499614064</c:v>
                </c:pt>
                <c:pt idx="106">
                  <c:v>49.628826391590536</c:v>
                </c:pt>
                <c:pt idx="107">
                  <c:v>35.389730586580988</c:v>
                </c:pt>
                <c:pt idx="108">
                  <c:v>8.47135821719516</c:v>
                </c:pt>
                <c:pt idx="109">
                  <c:v>9.5578205058321046</c:v>
                </c:pt>
                <c:pt idx="110">
                  <c:v>8.6319713383451315</c:v>
                </c:pt>
                <c:pt idx="111">
                  <c:v>26.098939089140558</c:v>
                </c:pt>
                <c:pt idx="112">
                  <c:v>8.9677973015703163</c:v>
                </c:pt>
                <c:pt idx="113">
                  <c:v>23.051598227071988</c:v>
                </c:pt>
                <c:pt idx="114">
                  <c:v>43.718891390236166</c:v>
                </c:pt>
                <c:pt idx="115">
                  <c:v>48.89482306174596</c:v>
                </c:pt>
                <c:pt idx="116">
                  <c:v>36.039893744862574</c:v>
                </c:pt>
                <c:pt idx="117">
                  <c:v>19.382390015159906</c:v>
                </c:pt>
                <c:pt idx="118">
                  <c:v>39.238411091862567</c:v>
                </c:pt>
                <c:pt idx="119">
                  <c:v>38.260665717325246</c:v>
                </c:pt>
                <c:pt idx="120">
                  <c:v>42.825600972244231</c:v>
                </c:pt>
                <c:pt idx="121">
                  <c:v>25.08569230726853</c:v>
                </c:pt>
                <c:pt idx="122">
                  <c:v>28.651106863483342</c:v>
                </c:pt>
                <c:pt idx="123">
                  <c:v>16.898531649558876</c:v>
                </c:pt>
                <c:pt idx="124">
                  <c:v>35.487913240751872</c:v>
                </c:pt>
                <c:pt idx="125">
                  <c:v>33.140683352517001</c:v>
                </c:pt>
                <c:pt idx="126">
                  <c:v>42.881420540826539</c:v>
                </c:pt>
                <c:pt idx="127">
                  <c:v>44.733324311716899</c:v>
                </c:pt>
                <c:pt idx="128">
                  <c:v>48.659957947091421</c:v>
                </c:pt>
                <c:pt idx="129">
                  <c:v>46.374944474461245</c:v>
                </c:pt>
                <c:pt idx="130">
                  <c:v>49.745832229376965</c:v>
                </c:pt>
                <c:pt idx="131">
                  <c:v>38.293521596540828</c:v>
                </c:pt>
                <c:pt idx="132">
                  <c:v>35.062746170723514</c:v>
                </c:pt>
                <c:pt idx="133">
                  <c:v>45.761507853806272</c:v>
                </c:pt>
                <c:pt idx="134">
                  <c:v>46.685047135746501</c:v>
                </c:pt>
                <c:pt idx="135">
                  <c:v>44.951349336196863</c:v>
                </c:pt>
                <c:pt idx="136">
                  <c:v>48.128671118937802</c:v>
                </c:pt>
                <c:pt idx="137">
                  <c:v>46.623960301355311</c:v>
                </c:pt>
                <c:pt idx="138">
                  <c:v>48.703653226407098</c:v>
                </c:pt>
                <c:pt idx="139">
                  <c:v>44.173610005389875</c:v>
                </c:pt>
                <c:pt idx="140">
                  <c:v>44.712109051640859</c:v>
                </c:pt>
                <c:pt idx="141">
                  <c:v>34.200750883745407</c:v>
                </c:pt>
                <c:pt idx="142">
                  <c:v>15.973189482358936</c:v>
                </c:pt>
                <c:pt idx="143">
                  <c:v>15.18327626867451</c:v>
                </c:pt>
                <c:pt idx="144">
                  <c:v>35.367135585054925</c:v>
                </c:pt>
                <c:pt idx="145">
                  <c:v>24.066111594784957</c:v>
                </c:pt>
                <c:pt idx="146">
                  <c:v>38.352050516653243</c:v>
                </c:pt>
                <c:pt idx="147">
                  <c:v>47.2366904713003</c:v>
                </c:pt>
                <c:pt idx="148">
                  <c:v>51.141608085997774</c:v>
                </c:pt>
                <c:pt idx="149">
                  <c:v>42.849757680025391</c:v>
                </c:pt>
                <c:pt idx="150">
                  <c:v>47.608441824801787</c:v>
                </c:pt>
                <c:pt idx="151">
                  <c:v>48.388938040901394</c:v>
                </c:pt>
                <c:pt idx="152">
                  <c:v>38.303384391119344</c:v>
                </c:pt>
                <c:pt idx="153">
                  <c:v>48.112486305712935</c:v>
                </c:pt>
                <c:pt idx="154">
                  <c:v>19.925393412219311</c:v>
                </c:pt>
                <c:pt idx="155">
                  <c:v>28.110855815804548</c:v>
                </c:pt>
                <c:pt idx="156">
                  <c:v>42.114561931281465</c:v>
                </c:pt>
                <c:pt idx="157">
                  <c:v>24.656021863635093</c:v>
                </c:pt>
                <c:pt idx="158">
                  <c:v>18.331709545570877</c:v>
                </c:pt>
                <c:pt idx="159">
                  <c:v>40.728696777415912</c:v>
                </c:pt>
                <c:pt idx="160">
                  <c:v>49.869005617204536</c:v>
                </c:pt>
                <c:pt idx="161">
                  <c:v>48.510912498942801</c:v>
                </c:pt>
                <c:pt idx="162">
                  <c:v>37.183903247721524</c:v>
                </c:pt>
                <c:pt idx="163">
                  <c:v>45.679001265731316</c:v>
                </c:pt>
                <c:pt idx="164">
                  <c:v>43.49084029550756</c:v>
                </c:pt>
                <c:pt idx="165">
                  <c:v>46.69034509495922</c:v>
                </c:pt>
                <c:pt idx="166">
                  <c:v>45.310648711105138</c:v>
                </c:pt>
                <c:pt idx="167">
                  <c:v>45.902838200620558</c:v>
                </c:pt>
                <c:pt idx="168">
                  <c:v>47.450352212675782</c:v>
                </c:pt>
                <c:pt idx="169">
                  <c:v>48.449560320891557</c:v>
                </c:pt>
                <c:pt idx="170">
                  <c:v>30.559937421617668</c:v>
                </c:pt>
                <c:pt idx="171">
                  <c:v>21.606325396524543</c:v>
                </c:pt>
                <c:pt idx="172">
                  <c:v>38.153744348489177</c:v>
                </c:pt>
                <c:pt idx="173">
                  <c:v>37.822229377970444</c:v>
                </c:pt>
                <c:pt idx="174">
                  <c:v>36.027145707390169</c:v>
                </c:pt>
                <c:pt idx="175">
                  <c:v>30.912456974229968</c:v>
                </c:pt>
                <c:pt idx="176">
                  <c:v>10.016498631547728</c:v>
                </c:pt>
                <c:pt idx="177">
                  <c:v>9.3920804671175109</c:v>
                </c:pt>
                <c:pt idx="178">
                  <c:v>48.367561691217418</c:v>
                </c:pt>
                <c:pt idx="179">
                  <c:v>49.126484555776052</c:v>
                </c:pt>
                <c:pt idx="180">
                  <c:v>11.18792518957105</c:v>
                </c:pt>
                <c:pt idx="181">
                  <c:v>41.874723168131787</c:v>
                </c:pt>
                <c:pt idx="182">
                  <c:v>48.19679140018588</c:v>
                </c:pt>
                <c:pt idx="183">
                  <c:v>41.68746748531057</c:v>
                </c:pt>
                <c:pt idx="184">
                  <c:v>39.758635257016941</c:v>
                </c:pt>
                <c:pt idx="185">
                  <c:v>48.41723904159641</c:v>
                </c:pt>
                <c:pt idx="186">
                  <c:v>39.667417586613524</c:v>
                </c:pt>
                <c:pt idx="187">
                  <c:v>46.862462186240393</c:v>
                </c:pt>
                <c:pt idx="188">
                  <c:v>49.119850499923473</c:v>
                </c:pt>
                <c:pt idx="189">
                  <c:v>48.568058956368525</c:v>
                </c:pt>
                <c:pt idx="190">
                  <c:v>48.254528481193894</c:v>
                </c:pt>
                <c:pt idx="191">
                  <c:v>47.111211394674704</c:v>
                </c:pt>
                <c:pt idx="192">
                  <c:v>46.712282391301557</c:v>
                </c:pt>
                <c:pt idx="193">
                  <c:v>46.954954327147149</c:v>
                </c:pt>
                <c:pt idx="194">
                  <c:v>46.231271294799356</c:v>
                </c:pt>
                <c:pt idx="195">
                  <c:v>44.347592255908872</c:v>
                </c:pt>
                <c:pt idx="196">
                  <c:v>46.034186693174178</c:v>
                </c:pt>
                <c:pt idx="197">
                  <c:v>46.015688001505389</c:v>
                </c:pt>
                <c:pt idx="198">
                  <c:v>46.741759735360596</c:v>
                </c:pt>
                <c:pt idx="199">
                  <c:v>31.933111334121108</c:v>
                </c:pt>
                <c:pt idx="200">
                  <c:v>36.356426954701512</c:v>
                </c:pt>
                <c:pt idx="201">
                  <c:v>45.381766299797775</c:v>
                </c:pt>
                <c:pt idx="202">
                  <c:v>34.642157225588321</c:v>
                </c:pt>
                <c:pt idx="203">
                  <c:v>38.654981049392667</c:v>
                </c:pt>
                <c:pt idx="204">
                  <c:v>45.772933558900029</c:v>
                </c:pt>
                <c:pt idx="205">
                  <c:v>23.531697184711618</c:v>
                </c:pt>
                <c:pt idx="206">
                  <c:v>44.742027767050693</c:v>
                </c:pt>
                <c:pt idx="207">
                  <c:v>48.451216540299299</c:v>
                </c:pt>
                <c:pt idx="208">
                  <c:v>38.498796577990326</c:v>
                </c:pt>
                <c:pt idx="209">
                  <c:v>25.648004861442224</c:v>
                </c:pt>
                <c:pt idx="210">
                  <c:v>38.656904261922143</c:v>
                </c:pt>
                <c:pt idx="211">
                  <c:v>46.475981467416212</c:v>
                </c:pt>
                <c:pt idx="212">
                  <c:v>46.414988075368271</c:v>
                </c:pt>
                <c:pt idx="213">
                  <c:v>46.465089287818913</c:v>
                </c:pt>
                <c:pt idx="214">
                  <c:v>45.000948475897019</c:v>
                </c:pt>
                <c:pt idx="215">
                  <c:v>44.520616601320732</c:v>
                </c:pt>
                <c:pt idx="216">
                  <c:v>40.146692375123358</c:v>
                </c:pt>
                <c:pt idx="217">
                  <c:v>42.447347772501324</c:v>
                </c:pt>
                <c:pt idx="218">
                  <c:v>45.287828251196473</c:v>
                </c:pt>
                <c:pt idx="219">
                  <c:v>45.846388439621521</c:v>
                </c:pt>
                <c:pt idx="220">
                  <c:v>44.17792104019275</c:v>
                </c:pt>
                <c:pt idx="221">
                  <c:v>42.915933911955008</c:v>
                </c:pt>
                <c:pt idx="222">
                  <c:v>40.611786194612733</c:v>
                </c:pt>
                <c:pt idx="223">
                  <c:v>41.887247509383094</c:v>
                </c:pt>
                <c:pt idx="224">
                  <c:v>32.883388341605368</c:v>
                </c:pt>
                <c:pt idx="225">
                  <c:v>30.12313414031701</c:v>
                </c:pt>
                <c:pt idx="226">
                  <c:v>34.165722740576257</c:v>
                </c:pt>
                <c:pt idx="227">
                  <c:v>31.644630015847667</c:v>
                </c:pt>
                <c:pt idx="228">
                  <c:v>23.10213055727597</c:v>
                </c:pt>
                <c:pt idx="229">
                  <c:v>30.740183104994419</c:v>
                </c:pt>
                <c:pt idx="230">
                  <c:v>31.371320999124389</c:v>
                </c:pt>
                <c:pt idx="231">
                  <c:v>44.252804970848587</c:v>
                </c:pt>
                <c:pt idx="232">
                  <c:v>29.411260927081049</c:v>
                </c:pt>
                <c:pt idx="233">
                  <c:v>21.057332662832721</c:v>
                </c:pt>
                <c:pt idx="234">
                  <c:v>40.861483557404021</c:v>
                </c:pt>
                <c:pt idx="235">
                  <c:v>42.185949110796379</c:v>
                </c:pt>
                <c:pt idx="236">
                  <c:v>27.245277188637797</c:v>
                </c:pt>
                <c:pt idx="237">
                  <c:v>37.417763150937667</c:v>
                </c:pt>
                <c:pt idx="238">
                  <c:v>42.037971825776317</c:v>
                </c:pt>
                <c:pt idx="239">
                  <c:v>42.142122193097457</c:v>
                </c:pt>
                <c:pt idx="240">
                  <c:v>29.616186027058195</c:v>
                </c:pt>
                <c:pt idx="241">
                  <c:v>41.866539012101491</c:v>
                </c:pt>
                <c:pt idx="242">
                  <c:v>19.037106199038025</c:v>
                </c:pt>
                <c:pt idx="243">
                  <c:v>38.69508012616329</c:v>
                </c:pt>
                <c:pt idx="244">
                  <c:v>36.088780956990476</c:v>
                </c:pt>
                <c:pt idx="245">
                  <c:v>34.300999786869788</c:v>
                </c:pt>
                <c:pt idx="246">
                  <c:v>40.993226093397936</c:v>
                </c:pt>
                <c:pt idx="247">
                  <c:v>37.637012643745216</c:v>
                </c:pt>
                <c:pt idx="248">
                  <c:v>40.524406845757596</c:v>
                </c:pt>
                <c:pt idx="249">
                  <c:v>32.422620446473083</c:v>
                </c:pt>
                <c:pt idx="250">
                  <c:v>35.569067583122255</c:v>
                </c:pt>
                <c:pt idx="251">
                  <c:v>18.406188699259889</c:v>
                </c:pt>
                <c:pt idx="252">
                  <c:v>40.184138785767452</c:v>
                </c:pt>
                <c:pt idx="253">
                  <c:v>40.937037729343523</c:v>
                </c:pt>
                <c:pt idx="254">
                  <c:v>28.797248324625421</c:v>
                </c:pt>
                <c:pt idx="255">
                  <c:v>10.405245523456335</c:v>
                </c:pt>
                <c:pt idx="256">
                  <c:v>31.455834250671241</c:v>
                </c:pt>
                <c:pt idx="257">
                  <c:v>36.101818071030117</c:v>
                </c:pt>
                <c:pt idx="258">
                  <c:v>24.044770687842263</c:v>
                </c:pt>
                <c:pt idx="259">
                  <c:v>42.411144722570683</c:v>
                </c:pt>
                <c:pt idx="260">
                  <c:v>41.020155924222756</c:v>
                </c:pt>
                <c:pt idx="261">
                  <c:v>40.51427706765481</c:v>
                </c:pt>
                <c:pt idx="262">
                  <c:v>41.735543918978436</c:v>
                </c:pt>
                <c:pt idx="263">
                  <c:v>40.818817160141677</c:v>
                </c:pt>
                <c:pt idx="264">
                  <c:v>39.696854448163968</c:v>
                </c:pt>
                <c:pt idx="265">
                  <c:v>26.171383227808668</c:v>
                </c:pt>
                <c:pt idx="266">
                  <c:v>19.129786379858295</c:v>
                </c:pt>
                <c:pt idx="267">
                  <c:v>28.214758408828462</c:v>
                </c:pt>
                <c:pt idx="268">
                  <c:v>29.483244967202356</c:v>
                </c:pt>
                <c:pt idx="269">
                  <c:v>14.164983472705606</c:v>
                </c:pt>
                <c:pt idx="270">
                  <c:v>13.85276363687842</c:v>
                </c:pt>
                <c:pt idx="271">
                  <c:v>19.961668961048684</c:v>
                </c:pt>
                <c:pt idx="272">
                  <c:v>28.777771380912458</c:v>
                </c:pt>
                <c:pt idx="273">
                  <c:v>34.83920207654473</c:v>
                </c:pt>
                <c:pt idx="274">
                  <c:v>34.309473196848387</c:v>
                </c:pt>
                <c:pt idx="275">
                  <c:v>32.077577471214433</c:v>
                </c:pt>
                <c:pt idx="276">
                  <c:v>37.57060669190556</c:v>
                </c:pt>
                <c:pt idx="277">
                  <c:v>37.523906171113687</c:v>
                </c:pt>
                <c:pt idx="278">
                  <c:v>13.914654062858467</c:v>
                </c:pt>
                <c:pt idx="279">
                  <c:v>27.747462018752763</c:v>
                </c:pt>
                <c:pt idx="280">
                  <c:v>16.050895600376446</c:v>
                </c:pt>
                <c:pt idx="281">
                  <c:v>35.016080356748091</c:v>
                </c:pt>
                <c:pt idx="282">
                  <c:v>28.585402058114067</c:v>
                </c:pt>
                <c:pt idx="283">
                  <c:v>20.385884396958318</c:v>
                </c:pt>
                <c:pt idx="284">
                  <c:v>28.507573967445651</c:v>
                </c:pt>
                <c:pt idx="285">
                  <c:v>20.633026756826908</c:v>
                </c:pt>
                <c:pt idx="286">
                  <c:v>15.414446704158804</c:v>
                </c:pt>
                <c:pt idx="287">
                  <c:v>34.426711396747578</c:v>
                </c:pt>
                <c:pt idx="288">
                  <c:v>31.085612625733297</c:v>
                </c:pt>
                <c:pt idx="289">
                  <c:v>20.937609318018339</c:v>
                </c:pt>
                <c:pt idx="290">
                  <c:v>32.046674136749274</c:v>
                </c:pt>
                <c:pt idx="291">
                  <c:v>13.645148315448512</c:v>
                </c:pt>
                <c:pt idx="292">
                  <c:v>7.8273148701618469</c:v>
                </c:pt>
                <c:pt idx="293">
                  <c:v>14.308157381563241</c:v>
                </c:pt>
                <c:pt idx="294">
                  <c:v>30.86976294477045</c:v>
                </c:pt>
                <c:pt idx="295">
                  <c:v>17.585336720950789</c:v>
                </c:pt>
                <c:pt idx="296">
                  <c:v>23.462784017012677</c:v>
                </c:pt>
                <c:pt idx="297">
                  <c:v>20.724215111544687</c:v>
                </c:pt>
                <c:pt idx="298">
                  <c:v>11.586212027499514</c:v>
                </c:pt>
                <c:pt idx="299">
                  <c:v>12.696103838541296</c:v>
                </c:pt>
                <c:pt idx="300">
                  <c:v>15.995515459126072</c:v>
                </c:pt>
                <c:pt idx="301">
                  <c:v>23.89194139492022</c:v>
                </c:pt>
                <c:pt idx="302">
                  <c:v>19.567397215327627</c:v>
                </c:pt>
                <c:pt idx="303">
                  <c:v>20.233000521746405</c:v>
                </c:pt>
                <c:pt idx="304">
                  <c:v>21.804092260908018</c:v>
                </c:pt>
                <c:pt idx="305">
                  <c:v>27.327440924304014</c:v>
                </c:pt>
                <c:pt idx="306">
                  <c:v>9.50502534951349</c:v>
                </c:pt>
                <c:pt idx="307">
                  <c:v>11.098080533531233</c:v>
                </c:pt>
                <c:pt idx="308">
                  <c:v>29.16208598451939</c:v>
                </c:pt>
                <c:pt idx="309">
                  <c:v>28.82538308126955</c:v>
                </c:pt>
                <c:pt idx="310">
                  <c:v>27.557077705759404</c:v>
                </c:pt>
                <c:pt idx="311">
                  <c:v>18.853811165245567</c:v>
                </c:pt>
                <c:pt idx="312">
                  <c:v>9.9737381245770305</c:v>
                </c:pt>
                <c:pt idx="313">
                  <c:v>22.246859071022719</c:v>
                </c:pt>
                <c:pt idx="314">
                  <c:v>27.731323755288809</c:v>
                </c:pt>
                <c:pt idx="315">
                  <c:v>26.481215570179366</c:v>
                </c:pt>
                <c:pt idx="316">
                  <c:v>26.656777925781427</c:v>
                </c:pt>
                <c:pt idx="317">
                  <c:v>9.9640749196315657</c:v>
                </c:pt>
                <c:pt idx="318">
                  <c:v>11.899870635849243</c:v>
                </c:pt>
                <c:pt idx="319">
                  <c:v>26.367097375089148</c:v>
                </c:pt>
                <c:pt idx="320">
                  <c:v>14.088786966383841</c:v>
                </c:pt>
                <c:pt idx="321">
                  <c:v>12.863971906085007</c:v>
                </c:pt>
                <c:pt idx="322">
                  <c:v>5.5480865596075866</c:v>
                </c:pt>
                <c:pt idx="323">
                  <c:v>16.431832256685016</c:v>
                </c:pt>
                <c:pt idx="324">
                  <c:v>3.2796475983307687</c:v>
                </c:pt>
                <c:pt idx="325">
                  <c:v>7.2650806428032739</c:v>
                </c:pt>
                <c:pt idx="326">
                  <c:v>11.272519250958164</c:v>
                </c:pt>
                <c:pt idx="327">
                  <c:v>13.31540060300137</c:v>
                </c:pt>
                <c:pt idx="328">
                  <c:v>4.0955600174857612</c:v>
                </c:pt>
                <c:pt idx="329">
                  <c:v>12.704699508029655</c:v>
                </c:pt>
                <c:pt idx="330">
                  <c:v>13.53278954156233</c:v>
                </c:pt>
                <c:pt idx="331">
                  <c:v>8.7366187107488358</c:v>
                </c:pt>
                <c:pt idx="332">
                  <c:v>12.293154318533031</c:v>
                </c:pt>
                <c:pt idx="333">
                  <c:v>3.9987198164154019</c:v>
                </c:pt>
                <c:pt idx="334">
                  <c:v>3.2342863628203822</c:v>
                </c:pt>
                <c:pt idx="335">
                  <c:v>6.1087844656652974</c:v>
                </c:pt>
                <c:pt idx="336">
                  <c:v>6.8760594210332648</c:v>
                </c:pt>
                <c:pt idx="337">
                  <c:v>19.059237120954819</c:v>
                </c:pt>
                <c:pt idx="338">
                  <c:v>24.202668081595643</c:v>
                </c:pt>
                <c:pt idx="339">
                  <c:v>10.561861243302904</c:v>
                </c:pt>
                <c:pt idx="340">
                  <c:v>18.976074563419811</c:v>
                </c:pt>
                <c:pt idx="341">
                  <c:v>4.3526589109815648</c:v>
                </c:pt>
                <c:pt idx="342">
                  <c:v>5.3006035082928111</c:v>
                </c:pt>
                <c:pt idx="343">
                  <c:v>13.208763444407666</c:v>
                </c:pt>
                <c:pt idx="344">
                  <c:v>16.105948539741981</c:v>
                </c:pt>
                <c:pt idx="345">
                  <c:v>4.756851707904584</c:v>
                </c:pt>
                <c:pt idx="346">
                  <c:v>5.2160909513134781</c:v>
                </c:pt>
                <c:pt idx="347">
                  <c:v>16.028010031105161</c:v>
                </c:pt>
                <c:pt idx="348">
                  <c:v>6.7137965812155302</c:v>
                </c:pt>
                <c:pt idx="349">
                  <c:v>4.5612906622696254</c:v>
                </c:pt>
                <c:pt idx="350">
                  <c:v>2.5515985561639556</c:v>
                </c:pt>
                <c:pt idx="351">
                  <c:v>20.118268174953592</c:v>
                </c:pt>
                <c:pt idx="352">
                  <c:v>17.031567540532947</c:v>
                </c:pt>
                <c:pt idx="353">
                  <c:v>4.1498766894897097</c:v>
                </c:pt>
                <c:pt idx="354">
                  <c:v>20.97474690282251</c:v>
                </c:pt>
                <c:pt idx="355">
                  <c:v>16.221103122881985</c:v>
                </c:pt>
                <c:pt idx="356">
                  <c:v>16.73405490870805</c:v>
                </c:pt>
                <c:pt idx="357">
                  <c:v>21.935329099065719</c:v>
                </c:pt>
                <c:pt idx="358">
                  <c:v>12.849996116015816</c:v>
                </c:pt>
                <c:pt idx="359">
                  <c:v>21.216003467953687</c:v>
                </c:pt>
                <c:pt idx="360">
                  <c:v>5.762416900803589</c:v>
                </c:pt>
                <c:pt idx="361">
                  <c:v>22.466026236254233</c:v>
                </c:pt>
                <c:pt idx="362">
                  <c:v>9.7830615395063543</c:v>
                </c:pt>
                <c:pt idx="363">
                  <c:v>14.05173849562234</c:v>
                </c:pt>
                <c:pt idx="364">
                  <c:v>10.627125881656871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24.188876378804846</c:v>
                </c:pt>
                <c:pt idx="1">
                  <c:v>16.904734393657517</c:v>
                </c:pt>
                <c:pt idx="2">
                  <c:v>17.907570686910233</c:v>
                </c:pt>
                <c:pt idx="3">
                  <c:v>18.723381146451121</c:v>
                </c:pt>
                <c:pt idx="4">
                  <c:v>13.225951210315888</c:v>
                </c:pt>
                <c:pt idx="5">
                  <c:v>24.325736317295355</c:v>
                </c:pt>
                <c:pt idx="6">
                  <c:v>8.8416839841718335</c:v>
                </c:pt>
                <c:pt idx="7">
                  <c:v>5.1255750975356555</c:v>
                </c:pt>
                <c:pt idx="8">
                  <c:v>1.5240484282955802</c:v>
                </c:pt>
                <c:pt idx="9">
                  <c:v>1.4103082298580445</c:v>
                </c:pt>
                <c:pt idx="10">
                  <c:v>26.166126834072692</c:v>
                </c:pt>
                <c:pt idx="11">
                  <c:v>21.222935633283676</c:v>
                </c:pt>
                <c:pt idx="12">
                  <c:v>4.9590213498960543</c:v>
                </c:pt>
                <c:pt idx="13">
                  <c:v>27.163510750960246</c:v>
                </c:pt>
                <c:pt idx="14">
                  <c:v>27.013392832162214</c:v>
                </c:pt>
                <c:pt idx="15">
                  <c:v>26.72172292070157</c:v>
                </c:pt>
                <c:pt idx="16">
                  <c:v>18.522005844629543</c:v>
                </c:pt>
                <c:pt idx="17">
                  <c:v>3.9632511724509127</c:v>
                </c:pt>
                <c:pt idx="18">
                  <c:v>9.6018871063269255</c:v>
                </c:pt>
                <c:pt idx="19">
                  <c:v>5.3009654912484931</c:v>
                </c:pt>
                <c:pt idx="20">
                  <c:v>15.597224734117912</c:v>
                </c:pt>
                <c:pt idx="21">
                  <c:v>28.179150834307286</c:v>
                </c:pt>
                <c:pt idx="22">
                  <c:v>28.239112138828563</c:v>
                </c:pt>
                <c:pt idx="23">
                  <c:v>28.508544772653391</c:v>
                </c:pt>
                <c:pt idx="24">
                  <c:v>28.083474635555337</c:v>
                </c:pt>
                <c:pt idx="25">
                  <c:v>28.810607207910692</c:v>
                </c:pt>
                <c:pt idx="26">
                  <c:v>28.549607577171766</c:v>
                </c:pt>
                <c:pt idx="27">
                  <c:v>3.8681722843098476</c:v>
                </c:pt>
                <c:pt idx="28">
                  <c:v>5.7511343290225723</c:v>
                </c:pt>
                <c:pt idx="29">
                  <c:v>4.7162484514998484</c:v>
                </c:pt>
                <c:pt idx="30">
                  <c:v>6.4718912359112881</c:v>
                </c:pt>
                <c:pt idx="31">
                  <c:v>13.390444683902373</c:v>
                </c:pt>
                <c:pt idx="32">
                  <c:v>5.0394418216361911</c:v>
                </c:pt>
                <c:pt idx="33">
                  <c:v>11.023223921610047</c:v>
                </c:pt>
                <c:pt idx="34">
                  <c:v>10.572468500056132</c:v>
                </c:pt>
                <c:pt idx="35">
                  <c:v>9.9891783095863858</c:v>
                </c:pt>
                <c:pt idx="36">
                  <c:v>22.044408738306075</c:v>
                </c:pt>
                <c:pt idx="37">
                  <c:v>8.6819615133956134</c:v>
                </c:pt>
                <c:pt idx="38">
                  <c:v>33.534062346217645</c:v>
                </c:pt>
                <c:pt idx="39">
                  <c:v>33.60966742760619</c:v>
                </c:pt>
                <c:pt idx="40">
                  <c:v>31.229028013362111</c:v>
                </c:pt>
                <c:pt idx="41">
                  <c:v>15.720983101945004</c:v>
                </c:pt>
                <c:pt idx="42">
                  <c:v>26.148140214873376</c:v>
                </c:pt>
                <c:pt idx="43">
                  <c:v>31.954795562295715</c:v>
                </c:pt>
                <c:pt idx="44">
                  <c:v>17.72736788629237</c:v>
                </c:pt>
                <c:pt idx="45">
                  <c:v>17.469999588514149</c:v>
                </c:pt>
                <c:pt idx="46">
                  <c:v>7.5984291150169927</c:v>
                </c:pt>
                <c:pt idx="47">
                  <c:v>8.8797740402532011</c:v>
                </c:pt>
                <c:pt idx="48">
                  <c:v>29.103327037832234</c:v>
                </c:pt>
                <c:pt idx="49">
                  <c:v>17.7460791690837</c:v>
                </c:pt>
                <c:pt idx="50">
                  <c:v>20.917922748044212</c:v>
                </c:pt>
                <c:pt idx="51">
                  <c:v>20.596817608171062</c:v>
                </c:pt>
                <c:pt idx="52">
                  <c:v>33.7280482129161</c:v>
                </c:pt>
                <c:pt idx="53">
                  <c:v>35.182122609952103</c:v>
                </c:pt>
                <c:pt idx="54">
                  <c:v>20.013346969226951</c:v>
                </c:pt>
                <c:pt idx="55">
                  <c:v>29.108082400763045</c:v>
                </c:pt>
                <c:pt idx="56">
                  <c:v>39.288788309437784</c:v>
                </c:pt>
                <c:pt idx="57">
                  <c:v>27.115239835327465</c:v>
                </c:pt>
                <c:pt idx="58">
                  <c:v>31.416648478351267</c:v>
                </c:pt>
                <c:pt idx="59">
                  <c:v>40.156375006912349</c:v>
                </c:pt>
                <c:pt idx="60">
                  <c:v>10.127432184404752</c:v>
                </c:pt>
                <c:pt idx="61">
                  <c:v>37.971819422992951</c:v>
                </c:pt>
                <c:pt idx="62">
                  <c:v>4.0599787882990093</c:v>
                </c:pt>
                <c:pt idx="63">
                  <c:v>14.434958892818463</c:v>
                </c:pt>
                <c:pt idx="64">
                  <c:v>20.43792724543659</c:v>
                </c:pt>
                <c:pt idx="65">
                  <c:v>31.011746153456222</c:v>
                </c:pt>
                <c:pt idx="66">
                  <c:v>29.750548116557045</c:v>
                </c:pt>
                <c:pt idx="67">
                  <c:v>31.403753394227156</c:v>
                </c:pt>
                <c:pt idx="68">
                  <c:v>22.729204174426279</c:v>
                </c:pt>
                <c:pt idx="69">
                  <c:v>15.155106248229091</c:v>
                </c:pt>
                <c:pt idx="70">
                  <c:v>12.51496073379986</c:v>
                </c:pt>
                <c:pt idx="71">
                  <c:v>11.780929442231592</c:v>
                </c:pt>
                <c:pt idx="72">
                  <c:v>12.446671887538018</c:v>
                </c:pt>
                <c:pt idx="73">
                  <c:v>14.13118888481516</c:v>
                </c:pt>
                <c:pt idx="74">
                  <c:v>9.7002185449254696</c:v>
                </c:pt>
                <c:pt idx="75">
                  <c:v>10.504709423240605</c:v>
                </c:pt>
                <c:pt idx="76">
                  <c:v>12.884658097848023</c:v>
                </c:pt>
                <c:pt idx="77">
                  <c:v>29.524632306427907</c:v>
                </c:pt>
                <c:pt idx="78">
                  <c:v>30.441938499179365</c:v>
                </c:pt>
                <c:pt idx="79">
                  <c:v>43.899453908367491</c:v>
                </c:pt>
                <c:pt idx="80">
                  <c:v>38.740963330770441</c:v>
                </c:pt>
                <c:pt idx="81">
                  <c:v>45.621420333875278</c:v>
                </c:pt>
                <c:pt idx="82">
                  <c:v>42.942708863243077</c:v>
                </c:pt>
                <c:pt idx="83">
                  <c:v>39.095427598832742</c:v>
                </c:pt>
                <c:pt idx="84">
                  <c:v>42.467451195605001</c:v>
                </c:pt>
                <c:pt idx="85">
                  <c:v>43.167723845953603</c:v>
                </c:pt>
                <c:pt idx="86">
                  <c:v>33.119024964610858</c:v>
                </c:pt>
                <c:pt idx="87">
                  <c:v>26.10186587351869</c:v>
                </c:pt>
                <c:pt idx="88">
                  <c:v>6.8137966329085105</c:v>
                </c:pt>
                <c:pt idx="89">
                  <c:v>20.283244747214763</c:v>
                </c:pt>
                <c:pt idx="90">
                  <c:v>30.214624308628256</c:v>
                </c:pt>
                <c:pt idx="91">
                  <c:v>18.534216266111788</c:v>
                </c:pt>
                <c:pt idx="92">
                  <c:v>23.670514498335724</c:v>
                </c:pt>
                <c:pt idx="93">
                  <c:v>41.512035958084645</c:v>
                </c:pt>
                <c:pt idx="94">
                  <c:v>47.840177899059746</c:v>
                </c:pt>
                <c:pt idx="95">
                  <c:v>11.23587093465787</c:v>
                </c:pt>
                <c:pt idx="96">
                  <c:v>37.011127071298695</c:v>
                </c:pt>
                <c:pt idx="97">
                  <c:v>30.030614393990561</c:v>
                </c:pt>
                <c:pt idx="98">
                  <c:v>32.776377666299432</c:v>
                </c:pt>
                <c:pt idx="99">
                  <c:v>50.10762607816887</c:v>
                </c:pt>
                <c:pt idx="100">
                  <c:v>41.348897023131677</c:v>
                </c:pt>
                <c:pt idx="101">
                  <c:v>2.3364271111275223</c:v>
                </c:pt>
                <c:pt idx="102">
                  <c:v>0</c:v>
                </c:pt>
                <c:pt idx="103">
                  <c:v>39.245497493080578</c:v>
                </c:pt>
                <c:pt idx="104">
                  <c:v>43.680077671783991</c:v>
                </c:pt>
                <c:pt idx="105">
                  <c:v>39.300926499614064</c:v>
                </c:pt>
                <c:pt idx="106">
                  <c:v>49.628826391590536</c:v>
                </c:pt>
                <c:pt idx="107">
                  <c:v>35.389730586580988</c:v>
                </c:pt>
                <c:pt idx="108">
                  <c:v>8.47135821719516</c:v>
                </c:pt>
                <c:pt idx="109">
                  <c:v>9.5578205058321046</c:v>
                </c:pt>
                <c:pt idx="110">
                  <c:v>8.6319713383451315</c:v>
                </c:pt>
                <c:pt idx="111">
                  <c:v>26.098939089140558</c:v>
                </c:pt>
                <c:pt idx="112">
                  <c:v>8.9677973015703163</c:v>
                </c:pt>
                <c:pt idx="113">
                  <c:v>23.051598227071988</c:v>
                </c:pt>
                <c:pt idx="114">
                  <c:v>43.718891390236166</c:v>
                </c:pt>
                <c:pt idx="115">
                  <c:v>48.89482306174596</c:v>
                </c:pt>
                <c:pt idx="116">
                  <c:v>36.039893744862574</c:v>
                </c:pt>
                <c:pt idx="117">
                  <c:v>19.382390015159906</c:v>
                </c:pt>
                <c:pt idx="118">
                  <c:v>39.238411091862567</c:v>
                </c:pt>
                <c:pt idx="119">
                  <c:v>38.260665717325246</c:v>
                </c:pt>
                <c:pt idx="120">
                  <c:v>42.825600972244231</c:v>
                </c:pt>
                <c:pt idx="121">
                  <c:v>25.08569230726853</c:v>
                </c:pt>
                <c:pt idx="122">
                  <c:v>28.651106863483342</c:v>
                </c:pt>
                <c:pt idx="123">
                  <c:v>16.898531649558876</c:v>
                </c:pt>
                <c:pt idx="124">
                  <c:v>35.487913240751872</c:v>
                </c:pt>
                <c:pt idx="125">
                  <c:v>33.140683352517001</c:v>
                </c:pt>
                <c:pt idx="126">
                  <c:v>42.881420540826539</c:v>
                </c:pt>
                <c:pt idx="127">
                  <c:v>44.733324311716899</c:v>
                </c:pt>
                <c:pt idx="128">
                  <c:v>48.659957947091421</c:v>
                </c:pt>
                <c:pt idx="129">
                  <c:v>46.374944474461245</c:v>
                </c:pt>
                <c:pt idx="130">
                  <c:v>49.745832229376965</c:v>
                </c:pt>
                <c:pt idx="131">
                  <c:v>38.293521596540828</c:v>
                </c:pt>
                <c:pt idx="132">
                  <c:v>35.062746170723514</c:v>
                </c:pt>
                <c:pt idx="133">
                  <c:v>45.761507853806272</c:v>
                </c:pt>
                <c:pt idx="134">
                  <c:v>46.685047135746501</c:v>
                </c:pt>
                <c:pt idx="135">
                  <c:v>44.951349336196863</c:v>
                </c:pt>
                <c:pt idx="136">
                  <c:v>48.128671118937802</c:v>
                </c:pt>
                <c:pt idx="137">
                  <c:v>46.623960301355311</c:v>
                </c:pt>
                <c:pt idx="138">
                  <c:v>48.703653226407098</c:v>
                </c:pt>
                <c:pt idx="139">
                  <c:v>44.173610005389875</c:v>
                </c:pt>
                <c:pt idx="140">
                  <c:v>44.712109051640859</c:v>
                </c:pt>
                <c:pt idx="141">
                  <c:v>34.200750883745407</c:v>
                </c:pt>
                <c:pt idx="142">
                  <c:v>15.973189482358936</c:v>
                </c:pt>
                <c:pt idx="143">
                  <c:v>15.18327626867451</c:v>
                </c:pt>
                <c:pt idx="144">
                  <c:v>35.367135585054925</c:v>
                </c:pt>
                <c:pt idx="145">
                  <c:v>24.066111594784957</c:v>
                </c:pt>
                <c:pt idx="146">
                  <c:v>38.352050516653243</c:v>
                </c:pt>
                <c:pt idx="147">
                  <c:v>47.2366904713003</c:v>
                </c:pt>
                <c:pt idx="148">
                  <c:v>51.141608085997774</c:v>
                </c:pt>
                <c:pt idx="149">
                  <c:v>42.849757680025391</c:v>
                </c:pt>
                <c:pt idx="150">
                  <c:v>47.608441824801787</c:v>
                </c:pt>
                <c:pt idx="151">
                  <c:v>48.388938040901394</c:v>
                </c:pt>
                <c:pt idx="152">
                  <c:v>38.303384391119344</c:v>
                </c:pt>
                <c:pt idx="153">
                  <c:v>48.112486305712935</c:v>
                </c:pt>
                <c:pt idx="154">
                  <c:v>19.925393412219311</c:v>
                </c:pt>
                <c:pt idx="155">
                  <c:v>28.110855815804548</c:v>
                </c:pt>
                <c:pt idx="156">
                  <c:v>42.114561931281465</c:v>
                </c:pt>
                <c:pt idx="157">
                  <c:v>24.656021863635093</c:v>
                </c:pt>
                <c:pt idx="158">
                  <c:v>18.331709545570877</c:v>
                </c:pt>
                <c:pt idx="159">
                  <c:v>40.728696777415912</c:v>
                </c:pt>
                <c:pt idx="160">
                  <c:v>49.869005617204536</c:v>
                </c:pt>
                <c:pt idx="161">
                  <c:v>48.510912498942801</c:v>
                </c:pt>
                <c:pt idx="162">
                  <c:v>37.183903247721524</c:v>
                </c:pt>
                <c:pt idx="163">
                  <c:v>45.679001265731316</c:v>
                </c:pt>
                <c:pt idx="164">
                  <c:v>43.49084029550756</c:v>
                </c:pt>
                <c:pt idx="165">
                  <c:v>46.69034509495922</c:v>
                </c:pt>
                <c:pt idx="166">
                  <c:v>45.310648711105138</c:v>
                </c:pt>
                <c:pt idx="167">
                  <c:v>45.902838200620558</c:v>
                </c:pt>
                <c:pt idx="168">
                  <c:v>47.450352212675782</c:v>
                </c:pt>
                <c:pt idx="169">
                  <c:v>48.449560320891557</c:v>
                </c:pt>
                <c:pt idx="170">
                  <c:v>30.559937421617668</c:v>
                </c:pt>
                <c:pt idx="171">
                  <c:v>21.606325396524543</c:v>
                </c:pt>
                <c:pt idx="172">
                  <c:v>38.153744348489177</c:v>
                </c:pt>
                <c:pt idx="173">
                  <c:v>37.822229377970444</c:v>
                </c:pt>
                <c:pt idx="174">
                  <c:v>36.027145707390169</c:v>
                </c:pt>
                <c:pt idx="175">
                  <c:v>30.912456974229968</c:v>
                </c:pt>
                <c:pt idx="176">
                  <c:v>10.016498631547728</c:v>
                </c:pt>
                <c:pt idx="177">
                  <c:v>9.3920804671175109</c:v>
                </c:pt>
                <c:pt idx="178">
                  <c:v>48.367561691217418</c:v>
                </c:pt>
                <c:pt idx="179">
                  <c:v>49.126484555776052</c:v>
                </c:pt>
                <c:pt idx="180">
                  <c:v>11.18792518957105</c:v>
                </c:pt>
                <c:pt idx="181">
                  <c:v>41.874723168131787</c:v>
                </c:pt>
                <c:pt idx="182">
                  <c:v>48.19679140018588</c:v>
                </c:pt>
                <c:pt idx="183">
                  <c:v>41.68746748531057</c:v>
                </c:pt>
                <c:pt idx="184">
                  <c:v>39.758635257016941</c:v>
                </c:pt>
                <c:pt idx="185">
                  <c:v>48.41723904159641</c:v>
                </c:pt>
                <c:pt idx="186">
                  <c:v>39.667417586613524</c:v>
                </c:pt>
                <c:pt idx="187">
                  <c:v>46.862462186240393</c:v>
                </c:pt>
                <c:pt idx="188">
                  <c:v>49.119850499923473</c:v>
                </c:pt>
                <c:pt idx="189">
                  <c:v>48.568058956368525</c:v>
                </c:pt>
                <c:pt idx="190">
                  <c:v>48.254528481193894</c:v>
                </c:pt>
                <c:pt idx="191">
                  <c:v>47.111211394674704</c:v>
                </c:pt>
                <c:pt idx="192">
                  <c:v>46.712282391301557</c:v>
                </c:pt>
                <c:pt idx="193">
                  <c:v>46.954954327147149</c:v>
                </c:pt>
                <c:pt idx="194">
                  <c:v>46.231271294799356</c:v>
                </c:pt>
                <c:pt idx="195">
                  <c:v>44.347592255908872</c:v>
                </c:pt>
                <c:pt idx="196">
                  <c:v>46.034186693174178</c:v>
                </c:pt>
                <c:pt idx="197">
                  <c:v>46.015688001505389</c:v>
                </c:pt>
                <c:pt idx="198">
                  <c:v>46.741759735360596</c:v>
                </c:pt>
                <c:pt idx="199">
                  <c:v>31.933111334121108</c:v>
                </c:pt>
                <c:pt idx="200">
                  <c:v>36.356426954701512</c:v>
                </c:pt>
                <c:pt idx="201">
                  <c:v>45.381766299797775</c:v>
                </c:pt>
                <c:pt idx="202">
                  <c:v>34.642157225588321</c:v>
                </c:pt>
                <c:pt idx="203">
                  <c:v>38.654981049392667</c:v>
                </c:pt>
                <c:pt idx="204">
                  <c:v>45.772933558900029</c:v>
                </c:pt>
                <c:pt idx="205">
                  <c:v>23.531697184711618</c:v>
                </c:pt>
                <c:pt idx="206">
                  <c:v>44.742027767050693</c:v>
                </c:pt>
                <c:pt idx="207">
                  <c:v>48.451216540299299</c:v>
                </c:pt>
                <c:pt idx="208">
                  <c:v>38.498796577990326</c:v>
                </c:pt>
                <c:pt idx="209">
                  <c:v>25.648004861442224</c:v>
                </c:pt>
                <c:pt idx="210">
                  <c:v>38.656904261922143</c:v>
                </c:pt>
                <c:pt idx="211">
                  <c:v>46.475981467416212</c:v>
                </c:pt>
                <c:pt idx="212">
                  <c:v>46.414988075368271</c:v>
                </c:pt>
                <c:pt idx="213">
                  <c:v>46.465089287818913</c:v>
                </c:pt>
                <c:pt idx="214">
                  <c:v>45.000948475897019</c:v>
                </c:pt>
                <c:pt idx="215">
                  <c:v>44.520616601320732</c:v>
                </c:pt>
                <c:pt idx="216">
                  <c:v>40.146692375123358</c:v>
                </c:pt>
                <c:pt idx="217">
                  <c:v>42.447347772501324</c:v>
                </c:pt>
                <c:pt idx="218">
                  <c:v>45.287828251196473</c:v>
                </c:pt>
                <c:pt idx="219">
                  <c:v>45.846388439621521</c:v>
                </c:pt>
                <c:pt idx="220">
                  <c:v>44.17792104019275</c:v>
                </c:pt>
                <c:pt idx="221">
                  <c:v>42.915933911955008</c:v>
                </c:pt>
                <c:pt idx="222">
                  <c:v>40.611786194612733</c:v>
                </c:pt>
                <c:pt idx="223">
                  <c:v>41.887247509383094</c:v>
                </c:pt>
                <c:pt idx="224">
                  <c:v>32.883388341605368</c:v>
                </c:pt>
                <c:pt idx="225">
                  <c:v>30.12313414031701</c:v>
                </c:pt>
                <c:pt idx="226">
                  <c:v>34.165722740576257</c:v>
                </c:pt>
                <c:pt idx="227">
                  <c:v>31.644630015847667</c:v>
                </c:pt>
                <c:pt idx="228">
                  <c:v>23.10213055727597</c:v>
                </c:pt>
                <c:pt idx="229">
                  <c:v>30.740183104994419</c:v>
                </c:pt>
                <c:pt idx="230">
                  <c:v>31.371320999124389</c:v>
                </c:pt>
                <c:pt idx="231">
                  <c:v>44.252804970848587</c:v>
                </c:pt>
                <c:pt idx="232">
                  <c:v>29.411260927081049</c:v>
                </c:pt>
                <c:pt idx="233">
                  <c:v>21.057332662832721</c:v>
                </c:pt>
                <c:pt idx="234">
                  <c:v>40.861483557404021</c:v>
                </c:pt>
                <c:pt idx="235">
                  <c:v>42.185949110796379</c:v>
                </c:pt>
                <c:pt idx="236">
                  <c:v>27.245277188637797</c:v>
                </c:pt>
                <c:pt idx="237">
                  <c:v>37.417763150937667</c:v>
                </c:pt>
                <c:pt idx="238">
                  <c:v>42.037971825776317</c:v>
                </c:pt>
                <c:pt idx="239">
                  <c:v>42.142122193097457</c:v>
                </c:pt>
                <c:pt idx="240">
                  <c:v>29.616186027058195</c:v>
                </c:pt>
                <c:pt idx="241">
                  <c:v>41.866539012101491</c:v>
                </c:pt>
                <c:pt idx="242">
                  <c:v>19.037106199038025</c:v>
                </c:pt>
                <c:pt idx="243">
                  <c:v>38.69508012616329</c:v>
                </c:pt>
                <c:pt idx="244">
                  <c:v>36.088780956990476</c:v>
                </c:pt>
                <c:pt idx="245">
                  <c:v>34.300999786869788</c:v>
                </c:pt>
                <c:pt idx="246">
                  <c:v>40.993226093397936</c:v>
                </c:pt>
                <c:pt idx="247">
                  <c:v>37.637012643745216</c:v>
                </c:pt>
                <c:pt idx="248">
                  <c:v>40.524406845757596</c:v>
                </c:pt>
                <c:pt idx="249">
                  <c:v>32.422620446473083</c:v>
                </c:pt>
                <c:pt idx="250">
                  <c:v>35.569067583122255</c:v>
                </c:pt>
                <c:pt idx="251">
                  <c:v>18.406188699259889</c:v>
                </c:pt>
                <c:pt idx="252">
                  <c:v>40.184138785767452</c:v>
                </c:pt>
                <c:pt idx="253">
                  <c:v>40.937037729343523</c:v>
                </c:pt>
                <c:pt idx="254">
                  <c:v>28.797248324625421</c:v>
                </c:pt>
                <c:pt idx="255">
                  <c:v>10.405245523456335</c:v>
                </c:pt>
                <c:pt idx="256">
                  <c:v>31.455834250671241</c:v>
                </c:pt>
                <c:pt idx="257">
                  <c:v>36.101818071030117</c:v>
                </c:pt>
                <c:pt idx="258">
                  <c:v>24.044770687842263</c:v>
                </c:pt>
                <c:pt idx="259">
                  <c:v>42.411144722570683</c:v>
                </c:pt>
                <c:pt idx="260">
                  <c:v>41.020155924222756</c:v>
                </c:pt>
                <c:pt idx="261">
                  <c:v>40.51427706765481</c:v>
                </c:pt>
                <c:pt idx="262">
                  <c:v>41.735543918978436</c:v>
                </c:pt>
                <c:pt idx="263">
                  <c:v>40.818817160141677</c:v>
                </c:pt>
                <c:pt idx="264">
                  <c:v>39.696854448163968</c:v>
                </c:pt>
                <c:pt idx="265">
                  <c:v>26.171383227808668</c:v>
                </c:pt>
                <c:pt idx="266">
                  <c:v>19.129786379858295</c:v>
                </c:pt>
                <c:pt idx="267">
                  <c:v>28.214758408828462</c:v>
                </c:pt>
                <c:pt idx="268">
                  <c:v>29.483244967202356</c:v>
                </c:pt>
                <c:pt idx="269">
                  <c:v>14.164983472705606</c:v>
                </c:pt>
                <c:pt idx="270">
                  <c:v>13.85276363687842</c:v>
                </c:pt>
                <c:pt idx="271">
                  <c:v>19.961668961048684</c:v>
                </c:pt>
                <c:pt idx="272">
                  <c:v>28.777771380912458</c:v>
                </c:pt>
                <c:pt idx="273">
                  <c:v>34.83920207654473</c:v>
                </c:pt>
                <c:pt idx="274">
                  <c:v>34.309473196848387</c:v>
                </c:pt>
                <c:pt idx="275">
                  <c:v>32.077577471214433</c:v>
                </c:pt>
                <c:pt idx="276">
                  <c:v>37.57060669190556</c:v>
                </c:pt>
                <c:pt idx="277">
                  <c:v>37.523906171113687</c:v>
                </c:pt>
                <c:pt idx="278">
                  <c:v>13.914654062858467</c:v>
                </c:pt>
                <c:pt idx="279">
                  <c:v>27.747462018752763</c:v>
                </c:pt>
                <c:pt idx="280">
                  <c:v>16.050895600376446</c:v>
                </c:pt>
                <c:pt idx="281">
                  <c:v>35.016080356748091</c:v>
                </c:pt>
                <c:pt idx="282">
                  <c:v>28.585402058114067</c:v>
                </c:pt>
                <c:pt idx="283">
                  <c:v>20.385884396958318</c:v>
                </c:pt>
                <c:pt idx="284">
                  <c:v>28.507573967445651</c:v>
                </c:pt>
                <c:pt idx="285">
                  <c:v>20.633026756826908</c:v>
                </c:pt>
                <c:pt idx="286">
                  <c:v>15.414446704158804</c:v>
                </c:pt>
                <c:pt idx="287">
                  <c:v>34.426711396747578</c:v>
                </c:pt>
                <c:pt idx="288">
                  <c:v>31.085612625733297</c:v>
                </c:pt>
                <c:pt idx="289">
                  <c:v>20.937609318018339</c:v>
                </c:pt>
                <c:pt idx="290">
                  <c:v>32.046674136749274</c:v>
                </c:pt>
                <c:pt idx="291">
                  <c:v>13.645148315448512</c:v>
                </c:pt>
                <c:pt idx="292">
                  <c:v>7.8273148701618469</c:v>
                </c:pt>
                <c:pt idx="293">
                  <c:v>14.308157381563241</c:v>
                </c:pt>
                <c:pt idx="294">
                  <c:v>30.86976294477045</c:v>
                </c:pt>
                <c:pt idx="295">
                  <c:v>17.585336720950789</c:v>
                </c:pt>
                <c:pt idx="296">
                  <c:v>23.462784017012677</c:v>
                </c:pt>
                <c:pt idx="297">
                  <c:v>20.724215111544687</c:v>
                </c:pt>
                <c:pt idx="298">
                  <c:v>11.586212027499514</c:v>
                </c:pt>
                <c:pt idx="299">
                  <c:v>12.696103838541296</c:v>
                </c:pt>
                <c:pt idx="300">
                  <c:v>15.995515459126072</c:v>
                </c:pt>
                <c:pt idx="301">
                  <c:v>23.89194139492022</c:v>
                </c:pt>
                <c:pt idx="302">
                  <c:v>19.567397215327627</c:v>
                </c:pt>
                <c:pt idx="303">
                  <c:v>20.233000521746405</c:v>
                </c:pt>
                <c:pt idx="304">
                  <c:v>21.804092260908018</c:v>
                </c:pt>
                <c:pt idx="305">
                  <c:v>27.327440924304014</c:v>
                </c:pt>
                <c:pt idx="306">
                  <c:v>9.50502534951349</c:v>
                </c:pt>
                <c:pt idx="307">
                  <c:v>11.098080533531233</c:v>
                </c:pt>
                <c:pt idx="308">
                  <c:v>29.16208598451939</c:v>
                </c:pt>
                <c:pt idx="309">
                  <c:v>28.82538308126955</c:v>
                </c:pt>
                <c:pt idx="310">
                  <c:v>27.557077705759404</c:v>
                </c:pt>
                <c:pt idx="311">
                  <c:v>18.853811165245567</c:v>
                </c:pt>
                <c:pt idx="312">
                  <c:v>9.9737381245770305</c:v>
                </c:pt>
                <c:pt idx="313">
                  <c:v>22.246859071022719</c:v>
                </c:pt>
                <c:pt idx="314">
                  <c:v>27.731323755288809</c:v>
                </c:pt>
                <c:pt idx="315">
                  <c:v>26.481215570179366</c:v>
                </c:pt>
                <c:pt idx="316">
                  <c:v>26.656777925781427</c:v>
                </c:pt>
                <c:pt idx="317">
                  <c:v>9.9640749196315657</c:v>
                </c:pt>
                <c:pt idx="318">
                  <c:v>11.899870635849243</c:v>
                </c:pt>
                <c:pt idx="319">
                  <c:v>26.367097375089148</c:v>
                </c:pt>
                <c:pt idx="320">
                  <c:v>14.088786966383841</c:v>
                </c:pt>
                <c:pt idx="321">
                  <c:v>12.863971906085007</c:v>
                </c:pt>
                <c:pt idx="322">
                  <c:v>5.5480865596075866</c:v>
                </c:pt>
                <c:pt idx="323">
                  <c:v>16.431832256685016</c:v>
                </c:pt>
                <c:pt idx="324">
                  <c:v>3.2796475983307687</c:v>
                </c:pt>
                <c:pt idx="325">
                  <c:v>7.2650806428032739</c:v>
                </c:pt>
                <c:pt idx="326">
                  <c:v>11.272519250958164</c:v>
                </c:pt>
                <c:pt idx="327">
                  <c:v>13.31540060300137</c:v>
                </c:pt>
                <c:pt idx="328">
                  <c:v>4.0955600174857612</c:v>
                </c:pt>
                <c:pt idx="329">
                  <c:v>12.704699508029655</c:v>
                </c:pt>
                <c:pt idx="330">
                  <c:v>13.53278954156233</c:v>
                </c:pt>
                <c:pt idx="331">
                  <c:v>8.7366187107488358</c:v>
                </c:pt>
                <c:pt idx="332">
                  <c:v>12.293154318533031</c:v>
                </c:pt>
                <c:pt idx="333">
                  <c:v>3.9987198164154019</c:v>
                </c:pt>
                <c:pt idx="334">
                  <c:v>3.2342863628203822</c:v>
                </c:pt>
                <c:pt idx="335">
                  <c:v>6.1087844656652974</c:v>
                </c:pt>
                <c:pt idx="336">
                  <c:v>6.8760594210332648</c:v>
                </c:pt>
                <c:pt idx="337">
                  <c:v>19.059237120954819</c:v>
                </c:pt>
                <c:pt idx="338">
                  <c:v>24.202668081595643</c:v>
                </c:pt>
                <c:pt idx="339">
                  <c:v>10.561861243302904</c:v>
                </c:pt>
                <c:pt idx="340">
                  <c:v>18.976074563419811</c:v>
                </c:pt>
                <c:pt idx="341">
                  <c:v>4.3526589109815648</c:v>
                </c:pt>
                <c:pt idx="342">
                  <c:v>5.3006035082928111</c:v>
                </c:pt>
                <c:pt idx="343">
                  <c:v>13.208763444407666</c:v>
                </c:pt>
                <c:pt idx="344">
                  <c:v>16.105948539741981</c:v>
                </c:pt>
                <c:pt idx="345">
                  <c:v>4.756851707904584</c:v>
                </c:pt>
                <c:pt idx="346">
                  <c:v>5.2160909513134781</c:v>
                </c:pt>
                <c:pt idx="347">
                  <c:v>16.028010031105161</c:v>
                </c:pt>
                <c:pt idx="348">
                  <c:v>6.7137965812155302</c:v>
                </c:pt>
                <c:pt idx="349">
                  <c:v>4.5612906622696254</c:v>
                </c:pt>
                <c:pt idx="350">
                  <c:v>2.5515985561639556</c:v>
                </c:pt>
                <c:pt idx="351">
                  <c:v>20.118268174953592</c:v>
                </c:pt>
                <c:pt idx="352">
                  <c:v>17.031567540532947</c:v>
                </c:pt>
                <c:pt idx="353">
                  <c:v>4.1498766894897097</c:v>
                </c:pt>
                <c:pt idx="354">
                  <c:v>20.97474690282251</c:v>
                </c:pt>
                <c:pt idx="355">
                  <c:v>16.221103122881985</c:v>
                </c:pt>
                <c:pt idx="356">
                  <c:v>16.73405490870805</c:v>
                </c:pt>
                <c:pt idx="357">
                  <c:v>21.935329099065719</c:v>
                </c:pt>
                <c:pt idx="358">
                  <c:v>12.849996116015816</c:v>
                </c:pt>
                <c:pt idx="359">
                  <c:v>21.216003467953687</c:v>
                </c:pt>
                <c:pt idx="360">
                  <c:v>5.762416900803589</c:v>
                </c:pt>
                <c:pt idx="361">
                  <c:v>22.466026236254233</c:v>
                </c:pt>
                <c:pt idx="362">
                  <c:v>9.7830615395063543</c:v>
                </c:pt>
                <c:pt idx="363">
                  <c:v>14.05173849562234</c:v>
                </c:pt>
                <c:pt idx="364">
                  <c:v>10.627125881656871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4928"/>
        <c:axId val="644425320"/>
      </c:lineChart>
      <c:dateAx>
        <c:axId val="644424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5320"/>
        <c:crosses val="autoZero"/>
        <c:auto val="1"/>
        <c:lblOffset val="100"/>
        <c:baseTimeUnit val="days"/>
        <c:majorUnit val="1"/>
        <c:majorTimeUnit val="months"/>
      </c:dateAx>
      <c:valAx>
        <c:axId val="6444253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49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3.6212385741528186E-2</c:v>
                </c:pt>
                <c:pt idx="1">
                  <c:v>3.6233495163776164E-2</c:v>
                </c:pt>
                <c:pt idx="2">
                  <c:v>3.625460412367365E-2</c:v>
                </c:pt>
                <c:pt idx="3">
                  <c:v>3.6275712621230638E-2</c:v>
                </c:pt>
                <c:pt idx="4">
                  <c:v>3.6296820656457451E-2</c:v>
                </c:pt>
                <c:pt idx="5">
                  <c:v>3.6317928229364083E-2</c:v>
                </c:pt>
                <c:pt idx="6">
                  <c:v>3.6339035339960635E-2</c:v>
                </c:pt>
                <c:pt idx="7">
                  <c:v>3.6360141988257433E-2</c:v>
                </c:pt>
                <c:pt idx="8">
                  <c:v>3.6381248174264358E-2</c:v>
                </c:pt>
                <c:pt idx="9">
                  <c:v>3.6402353897991735E-2</c:v>
                </c:pt>
                <c:pt idx="10">
                  <c:v>3.6423459159449445E-2</c:v>
                </c:pt>
                <c:pt idx="11">
                  <c:v>3.6444563958647924E-2</c:v>
                </c:pt>
                <c:pt idx="12">
                  <c:v>3.6465668295597053E-2</c:v>
                </c:pt>
                <c:pt idx="13">
                  <c:v>3.6486772170307047E-2</c:v>
                </c:pt>
                <c:pt idx="14">
                  <c:v>3.6507875582788007E-2</c:v>
                </c:pt>
                <c:pt idx="15">
                  <c:v>3.6528978533050149E-2</c:v>
                </c:pt>
                <c:pt idx="16">
                  <c:v>3.6550081021103464E-2</c:v>
                </c:pt>
                <c:pt idx="17">
                  <c:v>3.6571183046958056E-2</c:v>
                </c:pt>
                <c:pt idx="18">
                  <c:v>3.6592284610624248E-2</c:v>
                </c:pt>
                <c:pt idx="19">
                  <c:v>3.6613385712112034E-2</c:v>
                </c:pt>
                <c:pt idx="20">
                  <c:v>3.6634486351431517E-2</c:v>
                </c:pt>
                <c:pt idx="21">
                  <c:v>3.6655586528592798E-2</c:v>
                </c:pt>
                <c:pt idx="22">
                  <c:v>3.6676686243606094E-2</c:v>
                </c:pt>
                <c:pt idx="23">
                  <c:v>3.6697785496481505E-2</c:v>
                </c:pt>
                <c:pt idx="24">
                  <c:v>3.6718884287229026E-2</c:v>
                </c:pt>
                <c:pt idx="25">
                  <c:v>3.6739982615858979E-2</c:v>
                </c:pt>
                <c:pt idx="26">
                  <c:v>3.6761080482381359E-2</c:v>
                </c:pt>
                <c:pt idx="27">
                  <c:v>3.6782177886806267E-2</c:v>
                </c:pt>
                <c:pt idx="28">
                  <c:v>3.6803274829143917E-2</c:v>
                </c:pt>
                <c:pt idx="29">
                  <c:v>3.6824371309404413E-2</c:v>
                </c:pt>
                <c:pt idx="30">
                  <c:v>3.6845467327597858E-2</c:v>
                </c:pt>
                <c:pt idx="31">
                  <c:v>3.6866562883734355E-2</c:v>
                </c:pt>
                <c:pt idx="32">
                  <c:v>3.6887657977824007E-2</c:v>
                </c:pt>
                <c:pt idx="33">
                  <c:v>3.6908752609876916E-2</c:v>
                </c:pt>
                <c:pt idx="34">
                  <c:v>3.6929846779903297E-2</c:v>
                </c:pt>
                <c:pt idx="35">
                  <c:v>3.6950940487913253E-2</c:v>
                </c:pt>
                <c:pt idx="36">
                  <c:v>3.6972033733916776E-2</c:v>
                </c:pt>
                <c:pt idx="37">
                  <c:v>3.6993126517924191E-2</c:v>
                </c:pt>
                <c:pt idx="38">
                  <c:v>3.7014218839945379E-2</c:v>
                </c:pt>
                <c:pt idx="39">
                  <c:v>3.7035310699990664E-2</c:v>
                </c:pt>
                <c:pt idx="40">
                  <c:v>3.705640209807004E-2</c:v>
                </c:pt>
                <c:pt idx="41">
                  <c:v>3.707749303419372E-2</c:v>
                </c:pt>
                <c:pt idx="42">
                  <c:v>3.7098583508371696E-2</c:v>
                </c:pt>
                <c:pt idx="43">
                  <c:v>3.7119673520614183E-2</c:v>
                </c:pt>
                <c:pt idx="44">
                  <c:v>3.7140763070931393E-2</c:v>
                </c:pt>
                <c:pt idx="45">
                  <c:v>3.7161852159333209E-2</c:v>
                </c:pt>
                <c:pt idx="46">
                  <c:v>3.7182940785829843E-2</c:v>
                </c:pt>
                <c:pt idx="47">
                  <c:v>3.7204028950431511E-2</c:v>
                </c:pt>
                <c:pt idx="48">
                  <c:v>3.7225116653148205E-2</c:v>
                </c:pt>
                <c:pt idx="49">
                  <c:v>3.7246203893990137E-2</c:v>
                </c:pt>
                <c:pt idx="50">
                  <c:v>3.7267290672967301E-2</c:v>
                </c:pt>
                <c:pt idx="51">
                  <c:v>3.7288376990089911E-2</c:v>
                </c:pt>
                <c:pt idx="52">
                  <c:v>3.7309462845368069E-2</c:v>
                </c:pt>
                <c:pt idx="53">
                  <c:v>3.7330548238811878E-2</c:v>
                </c:pt>
                <c:pt idx="54">
                  <c:v>3.7351633170431553E-2</c:v>
                </c:pt>
                <c:pt idx="55">
                  <c:v>3.7372717640236974E-2</c:v>
                </c:pt>
                <c:pt idx="56">
                  <c:v>3.7393801648238467E-2</c:v>
                </c:pt>
                <c:pt idx="57">
                  <c:v>3.7414885194446024E-2</c:v>
                </c:pt>
                <c:pt idx="58">
                  <c:v>3.7435968278869858E-2</c:v>
                </c:pt>
                <c:pt idx="59">
                  <c:v>3.7457050901520073E-2</c:v>
                </c:pt>
                <c:pt idx="60">
                  <c:v>3.747813306240666E-2</c:v>
                </c:pt>
                <c:pt idx="61">
                  <c:v>3.7499214761539834E-2</c:v>
                </c:pt>
                <c:pt idx="62">
                  <c:v>3.7520295998929698E-2</c:v>
                </c:pt>
                <c:pt idx="63">
                  <c:v>3.7541376774586355E-2</c:v>
                </c:pt>
                <c:pt idx="64">
                  <c:v>3.7562457088519907E-2</c:v>
                </c:pt>
                <c:pt idx="65">
                  <c:v>3.7583536940740569E-2</c:v>
                </c:pt>
                <c:pt idx="66">
                  <c:v>3.7604616331258334E-2</c:v>
                </c:pt>
                <c:pt idx="67">
                  <c:v>3.7625695260083303E-2</c:v>
                </c:pt>
                <c:pt idx="68">
                  <c:v>3.764677372722558E-2</c:v>
                </c:pt>
                <c:pt idx="69">
                  <c:v>3.766785173269549E-2</c:v>
                </c:pt>
                <c:pt idx="70">
                  <c:v>3.7688929276502803E-2</c:v>
                </c:pt>
                <c:pt idx="71">
                  <c:v>3.7710006358657955E-2</c:v>
                </c:pt>
                <c:pt idx="72">
                  <c:v>3.7731082979170827E-2</c:v>
                </c:pt>
                <c:pt idx="73">
                  <c:v>3.7752159138051744E-2</c:v>
                </c:pt>
                <c:pt idx="74">
                  <c:v>3.7773234835310587E-2</c:v>
                </c:pt>
                <c:pt idx="75">
                  <c:v>3.7794310070957571E-2</c:v>
                </c:pt>
                <c:pt idx="76">
                  <c:v>3.7815384845002797E-2</c:v>
                </c:pt>
                <c:pt idx="77">
                  <c:v>3.783645915745637E-2</c:v>
                </c:pt>
                <c:pt idx="78">
                  <c:v>3.7857533008328503E-2</c:v>
                </c:pt>
                <c:pt idx="79">
                  <c:v>3.7878606397629189E-2</c:v>
                </c:pt>
                <c:pt idx="80">
                  <c:v>3.7899679325368529E-2</c:v>
                </c:pt>
                <c:pt idx="81">
                  <c:v>3.7920751791556739E-2</c:v>
                </c:pt>
                <c:pt idx="82">
                  <c:v>3.7941823796203811E-2</c:v>
                </c:pt>
                <c:pt idx="83">
                  <c:v>3.7962895339319846E-2</c:v>
                </c:pt>
                <c:pt idx="84">
                  <c:v>3.7983966420915061E-2</c:v>
                </c:pt>
                <c:pt idx="85">
                  <c:v>3.8005037040999556E-2</c:v>
                </c:pt>
                <c:pt idx="86">
                  <c:v>3.8026107199583326E-2</c:v>
                </c:pt>
                <c:pt idx="87">
                  <c:v>3.8047176896676582E-2</c:v>
                </c:pt>
                <c:pt idx="88">
                  <c:v>3.8068246132289318E-2</c:v>
                </c:pt>
                <c:pt idx="89">
                  <c:v>3.8089314906431859E-2</c:v>
                </c:pt>
                <c:pt idx="90">
                  <c:v>3.8110383219114086E-2</c:v>
                </c:pt>
                <c:pt idx="91">
                  <c:v>3.8131451070346212E-2</c:v>
                </c:pt>
                <c:pt idx="92">
                  <c:v>3.815251846013834E-2</c:v>
                </c:pt>
                <c:pt idx="93">
                  <c:v>3.8173585388500464E-2</c:v>
                </c:pt>
                <c:pt idx="94">
                  <c:v>3.8194651855442907E-2</c:v>
                </c:pt>
                <c:pt idx="95">
                  <c:v>3.8215717860975662E-2</c:v>
                </c:pt>
                <c:pt idx="96">
                  <c:v>3.8236783405108832E-2</c:v>
                </c:pt>
                <c:pt idx="97">
                  <c:v>3.8257848487852408E-2</c:v>
                </c:pt>
                <c:pt idx="98">
                  <c:v>3.8278913109216717E-2</c:v>
                </c:pt>
                <c:pt idx="99">
                  <c:v>3.8299977269211749E-2</c:v>
                </c:pt>
                <c:pt idx="100">
                  <c:v>3.8321040967847608E-2</c:v>
                </c:pt>
                <c:pt idx="101">
                  <c:v>3.8342104205134397E-2</c:v>
                </c:pt>
                <c:pt idx="102">
                  <c:v>3.836316698108222E-2</c:v>
                </c:pt>
                <c:pt idx="103">
                  <c:v>3.8384229295701178E-2</c:v>
                </c:pt>
                <c:pt idx="104">
                  <c:v>3.8405291149001486E-2</c:v>
                </c:pt>
                <c:pt idx="105">
                  <c:v>3.8426352540993025E-2</c:v>
                </c:pt>
                <c:pt idx="106">
                  <c:v>3.844741347168612E-2</c:v>
                </c:pt>
                <c:pt idx="107">
                  <c:v>3.8468473941090764E-2</c:v>
                </c:pt>
                <c:pt idx="108">
                  <c:v>3.8489533949217059E-2</c:v>
                </c:pt>
                <c:pt idx="109">
                  <c:v>3.8510593496075107E-2</c:v>
                </c:pt>
                <c:pt idx="110">
                  <c:v>3.8531652581675124E-2</c:v>
                </c:pt>
                <c:pt idx="111">
                  <c:v>3.8552711206026991E-2</c:v>
                </c:pt>
                <c:pt idx="112">
                  <c:v>3.8573769369141031E-2</c:v>
                </c:pt>
                <c:pt idx="113">
                  <c:v>3.8594827071027238E-2</c:v>
                </c:pt>
                <c:pt idx="114">
                  <c:v>3.8615884311695714E-2</c:v>
                </c:pt>
                <c:pt idx="115">
                  <c:v>3.8636941091156562E-2</c:v>
                </c:pt>
                <c:pt idx="116">
                  <c:v>3.8657997409419886E-2</c:v>
                </c:pt>
                <c:pt idx="117">
                  <c:v>3.8679053266495789E-2</c:v>
                </c:pt>
                <c:pt idx="118">
                  <c:v>3.8700108662394483E-2</c:v>
                </c:pt>
                <c:pt idx="119">
                  <c:v>3.8721163597125852E-2</c:v>
                </c:pt>
                <c:pt idx="120">
                  <c:v>3.8742218070700218E-2</c:v>
                </c:pt>
                <c:pt idx="121">
                  <c:v>3.8763272083127576E-2</c:v>
                </c:pt>
                <c:pt idx="122">
                  <c:v>3.8784325634417915E-2</c:v>
                </c:pt>
                <c:pt idx="123">
                  <c:v>3.8805378724581563E-2</c:v>
                </c:pt>
                <c:pt idx="124">
                  <c:v>3.882643135362851E-2</c:v>
                </c:pt>
                <c:pt idx="125">
                  <c:v>3.8847483521568749E-2</c:v>
                </c:pt>
                <c:pt idx="126">
                  <c:v>3.8868535228412493E-2</c:v>
                </c:pt>
                <c:pt idx="127">
                  <c:v>3.8889586474169957E-2</c:v>
                </c:pt>
                <c:pt idx="128">
                  <c:v>3.8910637258851022E-2</c:v>
                </c:pt>
                <c:pt idx="129">
                  <c:v>3.893168758246579E-2</c:v>
                </c:pt>
                <c:pt idx="130">
                  <c:v>3.8952737445024588E-2</c:v>
                </c:pt>
                <c:pt idx="131">
                  <c:v>3.8973786846537295E-2</c:v>
                </c:pt>
                <c:pt idx="132">
                  <c:v>3.8994835787014126E-2</c:v>
                </c:pt>
                <c:pt idx="133">
                  <c:v>3.9015884266465184E-2</c:v>
                </c:pt>
                <c:pt idx="134">
                  <c:v>3.9036932284900461E-2</c:v>
                </c:pt>
                <c:pt idx="135">
                  <c:v>3.9057979842330059E-2</c:v>
                </c:pt>
                <c:pt idx="136">
                  <c:v>3.9079026938764194E-2</c:v>
                </c:pt>
                <c:pt idx="137">
                  <c:v>3.9100073574212968E-2</c:v>
                </c:pt>
                <c:pt idx="138">
                  <c:v>3.9121119748686262E-2</c:v>
                </c:pt>
                <c:pt idx="139">
                  <c:v>3.9142165462194511E-2</c:v>
                </c:pt>
                <c:pt idx="140">
                  <c:v>3.9163210714747487E-2</c:v>
                </c:pt>
                <c:pt idx="141">
                  <c:v>3.9184255506355403E-2</c:v>
                </c:pt>
                <c:pt idx="142">
                  <c:v>3.9205299837028473E-2</c:v>
                </c:pt>
                <c:pt idx="143">
                  <c:v>3.9226343706776579E-2</c:v>
                </c:pt>
                <c:pt idx="144">
                  <c:v>3.9247387115610044E-2</c:v>
                </c:pt>
                <c:pt idx="145">
                  <c:v>3.9268430063538751E-2</c:v>
                </c:pt>
                <c:pt idx="146">
                  <c:v>3.9289472550572913E-2</c:v>
                </c:pt>
                <c:pt idx="147">
                  <c:v>3.9310514576722633E-2</c:v>
                </c:pt>
                <c:pt idx="148">
                  <c:v>3.9331556141998014E-2</c:v>
                </c:pt>
                <c:pt idx="149">
                  <c:v>3.9352597246409049E-2</c:v>
                </c:pt>
                <c:pt idx="150">
                  <c:v>3.9373637889965951E-2</c:v>
                </c:pt>
                <c:pt idx="151">
                  <c:v>3.9394678072678713E-2</c:v>
                </c:pt>
                <c:pt idx="152">
                  <c:v>3.9415717794557548E-2</c:v>
                </c:pt>
                <c:pt idx="153">
                  <c:v>3.9436757055612337E-2</c:v>
                </c:pt>
                <c:pt idx="154">
                  <c:v>3.9457795855853406E-2</c:v>
                </c:pt>
                <c:pt idx="155">
                  <c:v>3.9478834195290746E-2</c:v>
                </c:pt>
                <c:pt idx="156">
                  <c:v>3.9499872073934461E-2</c:v>
                </c:pt>
                <c:pt idx="157">
                  <c:v>3.9520909491794654E-2</c:v>
                </c:pt>
                <c:pt idx="158">
                  <c:v>3.9541946448881427E-2</c:v>
                </c:pt>
                <c:pt idx="159">
                  <c:v>3.9562982945204772E-2</c:v>
                </c:pt>
                <c:pt idx="160">
                  <c:v>3.9584018980774904E-2</c:v>
                </c:pt>
                <c:pt idx="161">
                  <c:v>3.9605054555601815E-2</c:v>
                </c:pt>
                <c:pt idx="162">
                  <c:v>3.9626089669695719E-2</c:v>
                </c:pt>
                <c:pt idx="163">
                  <c:v>3.9647124323066607E-2</c:v>
                </c:pt>
                <c:pt idx="164">
                  <c:v>3.9668158515724694E-2</c:v>
                </c:pt>
                <c:pt idx="165">
                  <c:v>3.9689192247679861E-2</c:v>
                </c:pt>
                <c:pt idx="166">
                  <c:v>3.9710225518942321E-2</c:v>
                </c:pt>
                <c:pt idx="167">
                  <c:v>3.973125832952229E-2</c:v>
                </c:pt>
                <c:pt idx="168">
                  <c:v>3.9752290679429536E-2</c:v>
                </c:pt>
                <c:pt idx="169">
                  <c:v>3.9773322568674496E-2</c:v>
                </c:pt>
                <c:pt idx="170">
                  <c:v>3.9794353997267051E-2</c:v>
                </c:pt>
                <c:pt idx="171">
                  <c:v>3.9815384965217304E-2</c:v>
                </c:pt>
                <c:pt idx="172">
                  <c:v>3.9836415472535469E-2</c:v>
                </c:pt>
                <c:pt idx="173">
                  <c:v>3.9857445519231427E-2</c:v>
                </c:pt>
                <c:pt idx="174">
                  <c:v>3.9878475105315503E-2</c:v>
                </c:pt>
                <c:pt idx="175">
                  <c:v>3.9899504230797689E-2</c:v>
                </c:pt>
                <c:pt idx="176">
                  <c:v>3.9920532895687977E-2</c:v>
                </c:pt>
                <c:pt idx="177">
                  <c:v>3.9941561099996581E-2</c:v>
                </c:pt>
                <c:pt idx="178">
                  <c:v>3.9962588843733493E-2</c:v>
                </c:pt>
                <c:pt idx="179">
                  <c:v>3.9983616126908816E-2</c:v>
                </c:pt>
                <c:pt idx="180">
                  <c:v>4.0004642949532765E-2</c:v>
                </c:pt>
                <c:pt idx="181">
                  <c:v>4.0025669311615331E-2</c:v>
                </c:pt>
                <c:pt idx="182">
                  <c:v>4.0046695213166617E-2</c:v>
                </c:pt>
                <c:pt idx="183">
                  <c:v>4.0067720654196615E-2</c:v>
                </c:pt>
                <c:pt idx="184">
                  <c:v>4.0088745634715539E-2</c:v>
                </c:pt>
                <c:pt idx="185">
                  <c:v>4.0109770154733382E-2</c:v>
                </c:pt>
                <c:pt idx="186">
                  <c:v>4.0130794214260357E-2</c:v>
                </c:pt>
                <c:pt idx="187">
                  <c:v>4.0151817813306456E-2</c:v>
                </c:pt>
                <c:pt idx="188">
                  <c:v>4.0172840951881783E-2</c:v>
                </c:pt>
                <c:pt idx="189">
                  <c:v>4.019386362999644E-2</c:v>
                </c:pt>
                <c:pt idx="190">
                  <c:v>4.021488584766042E-2</c:v>
                </c:pt>
                <c:pt idx="191">
                  <c:v>4.0235907604883936E-2</c:v>
                </c:pt>
                <c:pt idx="192">
                  <c:v>4.025692890167698E-2</c:v>
                </c:pt>
                <c:pt idx="193">
                  <c:v>4.0277949738049657E-2</c:v>
                </c:pt>
                <c:pt idx="194">
                  <c:v>4.0298970114012178E-2</c:v>
                </c:pt>
                <c:pt idx="195">
                  <c:v>4.0319990029574426E-2</c:v>
                </c:pt>
                <c:pt idx="196">
                  <c:v>4.0341009484746615E-2</c:v>
                </c:pt>
                <c:pt idx="197">
                  <c:v>4.0362028479538736E-2</c:v>
                </c:pt>
                <c:pt idx="198">
                  <c:v>4.0383047013961004E-2</c:v>
                </c:pt>
                <c:pt idx="199">
                  <c:v>4.0404065088023411E-2</c:v>
                </c:pt>
                <c:pt idx="200">
                  <c:v>4.0425082701735948E-2</c:v>
                </c:pt>
                <c:pt idx="201">
                  <c:v>4.0446099855108941E-2</c:v>
                </c:pt>
                <c:pt idx="202">
                  <c:v>4.0467116548152271E-2</c:v>
                </c:pt>
                <c:pt idx="203">
                  <c:v>4.0488132780876041E-2</c:v>
                </c:pt>
                <c:pt idx="204">
                  <c:v>4.0509148553290464E-2</c:v>
                </c:pt>
                <c:pt idx="205">
                  <c:v>4.0530163865405533E-2</c:v>
                </c:pt>
                <c:pt idx="206">
                  <c:v>4.055117871723124E-2</c:v>
                </c:pt>
                <c:pt idx="207">
                  <c:v>4.057219310877791E-2</c:v>
                </c:pt>
                <c:pt idx="208">
                  <c:v>4.0593207040055312E-2</c:v>
                </c:pt>
                <c:pt idx="209">
                  <c:v>4.0614220511073773E-2</c:v>
                </c:pt>
                <c:pt idx="210">
                  <c:v>4.0635233521843284E-2</c:v>
                </c:pt>
                <c:pt idx="211">
                  <c:v>4.0656246072373947E-2</c:v>
                </c:pt>
                <c:pt idx="212">
                  <c:v>4.0677258162675756E-2</c:v>
                </c:pt>
                <c:pt idx="213">
                  <c:v>4.0698269792758923E-2</c:v>
                </c:pt>
                <c:pt idx="214">
                  <c:v>4.0719280962633442E-2</c:v>
                </c:pt>
                <c:pt idx="215">
                  <c:v>4.0740291672309414E-2</c:v>
                </c:pt>
                <c:pt idx="216">
                  <c:v>4.0761301921796944E-2</c:v>
                </c:pt>
                <c:pt idx="217">
                  <c:v>4.0782311711106134E-2</c:v>
                </c:pt>
                <c:pt idx="218">
                  <c:v>4.0803321040246976E-2</c:v>
                </c:pt>
                <c:pt idx="219">
                  <c:v>4.0824329909229573E-2</c:v>
                </c:pt>
                <c:pt idx="220">
                  <c:v>4.0845338318064028E-2</c:v>
                </c:pt>
                <c:pt idx="221">
                  <c:v>4.0866346266760334E-2</c:v>
                </c:pt>
                <c:pt idx="222">
                  <c:v>4.0887353755328815E-2</c:v>
                </c:pt>
                <c:pt idx="223">
                  <c:v>4.0908360783779241E-2</c:v>
                </c:pt>
                <c:pt idx="224">
                  <c:v>4.0929367352121937E-2</c:v>
                </c:pt>
                <c:pt idx="225">
                  <c:v>4.0950373460366785E-2</c:v>
                </c:pt>
                <c:pt idx="226">
                  <c:v>4.0971379108523998E-2</c:v>
                </c:pt>
                <c:pt idx="227">
                  <c:v>4.0992384296603568E-2</c:v>
                </c:pt>
                <c:pt idx="228">
                  <c:v>4.1013389024615599E-2</c:v>
                </c:pt>
                <c:pt idx="229">
                  <c:v>4.1034393292570304E-2</c:v>
                </c:pt>
                <c:pt idx="230">
                  <c:v>4.1055397100477453E-2</c:v>
                </c:pt>
                <c:pt idx="231">
                  <c:v>4.1076400448347483E-2</c:v>
                </c:pt>
                <c:pt idx="232">
                  <c:v>4.1097403336190164E-2</c:v>
                </c:pt>
                <c:pt idx="233">
                  <c:v>4.1118405764015709E-2</c:v>
                </c:pt>
                <c:pt idx="234">
                  <c:v>4.1139407731834221E-2</c:v>
                </c:pt>
                <c:pt idx="235">
                  <c:v>4.1160409239655804E-2</c:v>
                </c:pt>
                <c:pt idx="236">
                  <c:v>4.1181410287490339E-2</c:v>
                </c:pt>
                <c:pt idx="237">
                  <c:v>4.120241087534815E-2</c:v>
                </c:pt>
                <c:pt idx="238">
                  <c:v>4.1223411003239119E-2</c:v>
                </c:pt>
                <c:pt idx="239">
                  <c:v>4.1244410671173348E-2</c:v>
                </c:pt>
                <c:pt idx="240">
                  <c:v>4.1265409879161052E-2</c:v>
                </c:pt>
                <c:pt idx="241">
                  <c:v>4.1286408627212112E-2</c:v>
                </c:pt>
                <c:pt idx="242">
                  <c:v>4.1307406915336742E-2</c:v>
                </c:pt>
                <c:pt idx="243">
                  <c:v>4.1328404743545044E-2</c:v>
                </c:pt>
                <c:pt idx="244">
                  <c:v>4.13494021118469E-2</c:v>
                </c:pt>
                <c:pt idx="245">
                  <c:v>4.1370399020252524E-2</c:v>
                </c:pt>
                <c:pt idx="246">
                  <c:v>4.1391395468772019E-2</c:v>
                </c:pt>
                <c:pt idx="247">
                  <c:v>4.1412391457415376E-2</c:v>
                </c:pt>
                <c:pt idx="248">
                  <c:v>4.14333869861927E-2</c:v>
                </c:pt>
                <c:pt idx="249">
                  <c:v>4.1454382055114092E-2</c:v>
                </c:pt>
                <c:pt idx="250">
                  <c:v>4.1475376664189545E-2</c:v>
                </c:pt>
                <c:pt idx="251">
                  <c:v>4.1496370813429273E-2</c:v>
                </c:pt>
                <c:pt idx="252">
                  <c:v>4.1517364502843157E-2</c:v>
                </c:pt>
                <c:pt idx="253">
                  <c:v>4.15383577324413E-2</c:v>
                </c:pt>
                <c:pt idx="254">
                  <c:v>4.1559350502234027E-2</c:v>
                </c:pt>
                <c:pt idx="255">
                  <c:v>4.1580342812231108E-2</c:v>
                </c:pt>
                <c:pt idx="256">
                  <c:v>4.1601334662442646E-2</c:v>
                </c:pt>
                <c:pt idx="257">
                  <c:v>4.1622326052878855E-2</c:v>
                </c:pt>
                <c:pt idx="258">
                  <c:v>4.1643316983549838E-2</c:v>
                </c:pt>
                <c:pt idx="259">
                  <c:v>4.1664307454465477E-2</c:v>
                </c:pt>
                <c:pt idx="260">
                  <c:v>4.1685297465635873E-2</c:v>
                </c:pt>
                <c:pt idx="261">
                  <c:v>4.1706287017071242E-2</c:v>
                </c:pt>
                <c:pt idx="262">
                  <c:v>4.1727276108781575E-2</c:v>
                </c:pt>
                <c:pt idx="263">
                  <c:v>4.1748264740776975E-2</c:v>
                </c:pt>
                <c:pt idx="264">
                  <c:v>4.1769252913067323E-2</c:v>
                </c:pt>
                <c:pt idx="265">
                  <c:v>4.1790240625662944E-2</c:v>
                </c:pt>
                <c:pt idx="266">
                  <c:v>4.181122787857372E-2</c:v>
                </c:pt>
                <c:pt idx="267">
                  <c:v>4.1832214671809864E-2</c:v>
                </c:pt>
                <c:pt idx="268">
                  <c:v>4.1853201005381369E-2</c:v>
                </c:pt>
                <c:pt idx="269">
                  <c:v>4.1874186879298336E-2</c:v>
                </c:pt>
                <c:pt idx="270">
                  <c:v>4.1895172293570648E-2</c:v>
                </c:pt>
                <c:pt idx="271">
                  <c:v>4.1916157248208741E-2</c:v>
                </c:pt>
                <c:pt idx="272">
                  <c:v>4.1937141743222273E-2</c:v>
                </c:pt>
                <c:pt idx="273">
                  <c:v>4.195812577862168E-2</c:v>
                </c:pt>
                <c:pt idx="274">
                  <c:v>4.1979109354416733E-2</c:v>
                </c:pt>
                <c:pt idx="275">
                  <c:v>4.2000092470617645E-2</c:v>
                </c:pt>
                <c:pt idx="276">
                  <c:v>4.202107512723452E-2</c:v>
                </c:pt>
                <c:pt idx="277">
                  <c:v>4.2042057324277349E-2</c:v>
                </c:pt>
                <c:pt idx="278">
                  <c:v>4.2063039061756236E-2</c:v>
                </c:pt>
                <c:pt idx="279">
                  <c:v>4.2084020339681172E-2</c:v>
                </c:pt>
                <c:pt idx="280">
                  <c:v>4.2105001158062261E-2</c:v>
                </c:pt>
                <c:pt idx="281">
                  <c:v>4.2125981516909605E-2</c:v>
                </c:pt>
                <c:pt idx="282">
                  <c:v>4.2146961416233308E-2</c:v>
                </c:pt>
                <c:pt idx="283">
                  <c:v>4.2167940856043251E-2</c:v>
                </c:pt>
                <c:pt idx="284">
                  <c:v>4.2188919836349648E-2</c:v>
                </c:pt>
                <c:pt idx="285">
                  <c:v>4.2209898357162601E-2</c:v>
                </c:pt>
                <c:pt idx="286">
                  <c:v>4.2230876418492103E-2</c:v>
                </c:pt>
                <c:pt idx="287">
                  <c:v>4.2251854020348145E-2</c:v>
                </c:pt>
                <c:pt idx="288">
                  <c:v>4.2272831162740943E-2</c:v>
                </c:pt>
                <c:pt idx="289">
                  <c:v>4.2293807845680487E-2</c:v>
                </c:pt>
                <c:pt idx="290">
                  <c:v>4.231478406917677E-2</c:v>
                </c:pt>
                <c:pt idx="291">
                  <c:v>4.2335759833240005E-2</c:v>
                </c:pt>
                <c:pt idx="292">
                  <c:v>4.2356735137880186E-2</c:v>
                </c:pt>
                <c:pt idx="293">
                  <c:v>4.2377709983107303E-2</c:v>
                </c:pt>
                <c:pt idx="294">
                  <c:v>4.2398684368931461E-2</c:v>
                </c:pt>
                <c:pt idx="295">
                  <c:v>4.2419658295362761E-2</c:v>
                </c:pt>
                <c:pt idx="296">
                  <c:v>4.2440631762411307E-2</c:v>
                </c:pt>
                <c:pt idx="297">
                  <c:v>4.246160477008698E-2</c:v>
                </c:pt>
                <c:pt idx="298">
                  <c:v>4.2482577318400105E-2</c:v>
                </c:pt>
                <c:pt idx="299">
                  <c:v>4.2503549407360453E-2</c:v>
                </c:pt>
                <c:pt idx="300">
                  <c:v>4.2524521036978347E-2</c:v>
                </c:pt>
                <c:pt idx="301">
                  <c:v>4.2545492207263669E-2</c:v>
                </c:pt>
                <c:pt idx="302">
                  <c:v>4.2566462918226522E-2</c:v>
                </c:pt>
                <c:pt idx="303">
                  <c:v>4.2587433169877009E-2</c:v>
                </c:pt>
                <c:pt idx="304">
                  <c:v>4.2608402962225123E-2</c:v>
                </c:pt>
                <c:pt idx="305">
                  <c:v>4.2629372295281076E-2</c:v>
                </c:pt>
                <c:pt idx="306">
                  <c:v>4.2650341169054751E-2</c:v>
                </c:pt>
                <c:pt idx="307">
                  <c:v>4.2671309583556249E-2</c:v>
                </c:pt>
                <c:pt idx="308">
                  <c:v>4.2692277538795675E-2</c:v>
                </c:pt>
                <c:pt idx="309">
                  <c:v>4.2713245034783132E-2</c:v>
                </c:pt>
                <c:pt idx="310">
                  <c:v>4.2734212071528499E-2</c:v>
                </c:pt>
                <c:pt idx="311">
                  <c:v>4.2755178649042103E-2</c:v>
                </c:pt>
                <c:pt idx="312">
                  <c:v>4.2776144767333713E-2</c:v>
                </c:pt>
                <c:pt idx="313">
                  <c:v>4.2797110426413543E-2</c:v>
                </c:pt>
                <c:pt idx="314">
                  <c:v>4.2818075626291696E-2</c:v>
                </c:pt>
                <c:pt idx="315">
                  <c:v>4.2839040366978165E-2</c:v>
                </c:pt>
                <c:pt idx="316">
                  <c:v>4.2860004648482941E-2</c:v>
                </c:pt>
                <c:pt idx="317">
                  <c:v>4.2880968470816239E-2</c:v>
                </c:pt>
                <c:pt idx="318">
                  <c:v>4.2901931833987939E-2</c:v>
                </c:pt>
                <c:pt idx="319">
                  <c:v>4.2922894738008144E-2</c:v>
                </c:pt>
                <c:pt idx="320">
                  <c:v>4.2943857182887069E-2</c:v>
                </c:pt>
                <c:pt idx="321">
                  <c:v>4.2964819168634594E-2</c:v>
                </c:pt>
                <c:pt idx="322">
                  <c:v>4.2985780695260822E-2</c:v>
                </c:pt>
                <c:pt idx="323">
                  <c:v>4.3006741762775857E-2</c:v>
                </c:pt>
                <c:pt idx="324">
                  <c:v>4.3027702371189691E-2</c:v>
                </c:pt>
                <c:pt idx="325">
                  <c:v>4.3048662520512426E-2</c:v>
                </c:pt>
                <c:pt idx="326">
                  <c:v>4.3069622210754166E-2</c:v>
                </c:pt>
                <c:pt idx="327">
                  <c:v>4.3090581441924791E-2</c:v>
                </c:pt>
                <c:pt idx="328">
                  <c:v>4.3111540214034516E-2</c:v>
                </c:pt>
                <c:pt idx="329">
                  <c:v>4.3132498527093333E-2</c:v>
                </c:pt>
                <c:pt idx="330">
                  <c:v>4.3153456381111233E-2</c:v>
                </c:pt>
                <c:pt idx="331">
                  <c:v>4.317441377609843E-2</c:v>
                </c:pt>
                <c:pt idx="332">
                  <c:v>4.3195370712064918E-2</c:v>
                </c:pt>
                <c:pt idx="333">
                  <c:v>4.3216327189020687E-2</c:v>
                </c:pt>
                <c:pt idx="334">
                  <c:v>4.323728320697573E-2</c:v>
                </c:pt>
                <c:pt idx="335">
                  <c:v>4.325823876594026E-2</c:v>
                </c:pt>
                <c:pt idx="336">
                  <c:v>4.3279193865924381E-2</c:v>
                </c:pt>
                <c:pt idx="337">
                  <c:v>4.3300148506937863E-2</c:v>
                </c:pt>
                <c:pt idx="338">
                  <c:v>4.3321102688991031E-2</c:v>
                </c:pt>
                <c:pt idx="339">
                  <c:v>4.3342056412093766E-2</c:v>
                </c:pt>
                <c:pt idx="340">
                  <c:v>4.3363009676256281E-2</c:v>
                </c:pt>
                <c:pt idx="341">
                  <c:v>4.3383962481488458E-2</c:v>
                </c:pt>
                <c:pt idx="342">
                  <c:v>4.3404914827800511E-2</c:v>
                </c:pt>
                <c:pt idx="343">
                  <c:v>4.3425866715202321E-2</c:v>
                </c:pt>
                <c:pt idx="344">
                  <c:v>4.3446818143704102E-2</c:v>
                </c:pt>
                <c:pt idx="345">
                  <c:v>4.3467769113315735E-2</c:v>
                </c:pt>
                <c:pt idx="346">
                  <c:v>4.3488719624047434E-2</c:v>
                </c:pt>
                <c:pt idx="347">
                  <c:v>4.3509669675909191E-2</c:v>
                </c:pt>
                <c:pt idx="348">
                  <c:v>4.3530619268910997E-2</c:v>
                </c:pt>
                <c:pt idx="349">
                  <c:v>4.3551568403062957E-2</c:v>
                </c:pt>
                <c:pt idx="350">
                  <c:v>4.3572517078375061E-2</c:v>
                </c:pt>
                <c:pt idx="351">
                  <c:v>4.3593465294857525E-2</c:v>
                </c:pt>
                <c:pt idx="352">
                  <c:v>4.3614413052520229E-2</c:v>
                </c:pt>
                <c:pt idx="353">
                  <c:v>4.3635360351373276E-2</c:v>
                </c:pt>
                <c:pt idx="354">
                  <c:v>4.3656307191426769E-2</c:v>
                </c:pt>
                <c:pt idx="355">
                  <c:v>4.3677253572690589E-2</c:v>
                </c:pt>
                <c:pt idx="356">
                  <c:v>4.3698199495175061E-2</c:v>
                </c:pt>
                <c:pt idx="357">
                  <c:v>4.3719144958889955E-2</c:v>
                </c:pt>
                <c:pt idx="358">
                  <c:v>4.3740089963845485E-2</c:v>
                </c:pt>
                <c:pt idx="359">
                  <c:v>4.3761034510051644E-2</c:v>
                </c:pt>
                <c:pt idx="360">
                  <c:v>4.3781978597518423E-2</c:v>
                </c:pt>
                <c:pt idx="361">
                  <c:v>4.3802922226256036E-2</c:v>
                </c:pt>
                <c:pt idx="362">
                  <c:v>4.3823865396274364E-2</c:v>
                </c:pt>
                <c:pt idx="363">
                  <c:v>4.3844808107583622E-2</c:v>
                </c:pt>
                <c:pt idx="364">
                  <c:v>4.3865750360193578E-2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0.10189194932449747</c:v>
                </c:pt>
                <c:pt idx="1">
                  <c:v>0.10194099933075028</c:v>
                </c:pt>
                <c:pt idx="2">
                  <c:v>0.1019902260733701</c:v>
                </c:pt>
                <c:pt idx="3">
                  <c:v>0.10203960608094324</c:v>
                </c:pt>
                <c:pt idx="4">
                  <c:v>0.10208911891370079</c:v>
                </c:pt>
                <c:pt idx="5">
                  <c:v>0.10213874707168555</c:v>
                </c:pt>
                <c:pt idx="6">
                  <c:v>0.10218847588010616</c:v>
                </c:pt>
                <c:pt idx="7">
                  <c:v>0.10223829335375229</c:v>
                </c:pt>
                <c:pt idx="8">
                  <c:v>0.10228819004249774</c:v>
                </c:pt>
                <c:pt idx="9">
                  <c:v>0.10233815886004977</c:v>
                </c:pt>
                <c:pt idx="10">
                  <c:v>0.10238819489821163</c:v>
                </c:pt>
                <c:pt idx="11">
                  <c:v>0.1024382952290101</c:v>
                </c:pt>
                <c:pt idx="12">
                  <c:v>0.10248845869710092</c:v>
                </c:pt>
                <c:pt idx="13">
                  <c:v>0.1025386857049012</c:v>
                </c:pt>
                <c:pt idx="14">
                  <c:v>0.1025889779929106</c:v>
                </c:pt>
                <c:pt idx="15">
                  <c:v>0.1026393384176713</c:v>
                </c:pt>
                <c:pt idx="16">
                  <c:v>0.10268977072978067</c:v>
                </c:pt>
                <c:pt idx="17">
                  <c:v>0.10274027935431307</c:v>
                </c:pt>
                <c:pt idx="18">
                  <c:v>0.10279086917592709</c:v>
                </c:pt>
                <c:pt idx="19">
                  <c:v>0.10284154533083259</c:v>
                </c:pt>
                <c:pt idx="20">
                  <c:v>0.1028923130076725</c:v>
                </c:pt>
                <c:pt idx="21">
                  <c:v>0.10294317725923545</c:v>
                </c:pt>
                <c:pt idx="22">
                  <c:v>0.10299414282676003</c:v>
                </c:pt>
                <c:pt idx="23">
                  <c:v>0.10304521397842394</c:v>
                </c:pt>
                <c:pt idx="24">
                  <c:v>0.10309639436342705</c:v>
                </c:pt>
                <c:pt idx="25">
                  <c:v>0.10314768688288774</c:v>
                </c:pt>
                <c:pt idx="26">
                  <c:v>0.10319909357856924</c:v>
                </c:pt>
                <c:pt idx="27">
                  <c:v>0.1032506155402468</c:v>
                </c:pt>
                <c:pt idx="28">
                  <c:v>0.10330225283231544</c:v>
                </c:pt>
                <c:pt idx="29">
                  <c:v>0.10335400444002504</c:v>
                </c:pt>
                <c:pt idx="30">
                  <c:v>0.10340586823551765</c:v>
                </c:pt>
                <c:pt idx="31">
                  <c:v>0.10345784096363124</c:v>
                </c:pt>
                <c:pt idx="32">
                  <c:v>0.10350991824723026</c:v>
                </c:pt>
                <c:pt idx="33">
                  <c:v>0.10356209461162334</c:v>
                </c:pt>
                <c:pt idx="34">
                  <c:v>0.10361436352743961</c:v>
                </c:pt>
                <c:pt idx="35">
                  <c:v>0.10366671747115533</c:v>
                </c:pt>
                <c:pt idx="36">
                  <c:v>0.10371914800229463</c:v>
                </c:pt>
                <c:pt idx="37">
                  <c:v>0.10377164585617479</c:v>
                </c:pt>
                <c:pt idx="38">
                  <c:v>0.10382420105092688</c:v>
                </c:pt>
                <c:pt idx="39">
                  <c:v>0.10387680300740013</c:v>
                </c:pt>
                <c:pt idx="40">
                  <c:v>0.10392944068045239</c:v>
                </c:pt>
                <c:pt idx="41">
                  <c:v>0.10398210270004049</c:v>
                </c:pt>
                <c:pt idx="42">
                  <c:v>0.10403477752045522</c:v>
                </c:pt>
                <c:pt idx="43">
                  <c:v>0.10408745357599485</c:v>
                </c:pt>
                <c:pt idx="44">
                  <c:v>0.10414011944133821</c:v>
                </c:pt>
                <c:pt idx="45">
                  <c:v>0.10419276399486671</c:v>
                </c:pt>
                <c:pt idx="46">
                  <c:v>0.10424537658318912</c:v>
                </c:pt>
                <c:pt idx="47">
                  <c:v>0.10429794718514715</c:v>
                </c:pt>
                <c:pt idx="48">
                  <c:v>0.10435046657362176</c:v>
                </c:pt>
                <c:pt idx="49">
                  <c:v>0.10440292647351726</c:v>
                </c:pt>
                <c:pt idx="50">
                  <c:v>0.10445531971437508</c:v>
                </c:pt>
                <c:pt idx="51">
                  <c:v>0.10450764037615715</c:v>
                </c:pt>
                <c:pt idx="52">
                  <c:v>0.10455988392684055</c:v>
                </c:pt>
                <c:pt idx="53">
                  <c:v>0.1046120473505797</c:v>
                </c:pt>
                <c:pt idx="54">
                  <c:v>0.10466412926531507</c:v>
                </c:pt>
                <c:pt idx="55">
                  <c:v>0.10471613002884218</c:v>
                </c:pt>
                <c:pt idx="56">
                  <c:v>0.10476805183249284</c:v>
                </c:pt>
                <c:pt idx="57">
                  <c:v>0.10481989878172783</c:v>
                </c:pt>
                <c:pt idx="58">
                  <c:v>0.10487167696308791</c:v>
                </c:pt>
                <c:pt idx="59">
                  <c:v>0.10492339449710143</c:v>
                </c:pt>
                <c:pt idx="60">
                  <c:v>0.10497506157689868</c:v>
                </c:pt>
                <c:pt idx="61">
                  <c:v>0.10502669049243035</c:v>
                </c:pt>
                <c:pt idx="62">
                  <c:v>0.10507829564033634</c:v>
                </c:pt>
                <c:pt idx="63">
                  <c:v>0.10512989351964924</c:v>
                </c:pt>
                <c:pt idx="64">
                  <c:v>0.10518150271365391</c:v>
                </c:pt>
                <c:pt idx="65">
                  <c:v>0.10523314385834992</c:v>
                </c:pt>
                <c:pt idx="66">
                  <c:v>0.10528483959808116</c:v>
                </c:pt>
                <c:pt idx="67">
                  <c:v>0.10533661452900478</c:v>
                </c:pt>
                <c:pt idx="68">
                  <c:v>0.10538849513116653</c:v>
                </c:pt>
                <c:pt idx="69">
                  <c:v>0.10544050969003359</c:v>
                </c:pt>
                <c:pt idx="70">
                  <c:v>0.10549268820840589</c:v>
                </c:pt>
                <c:pt idx="71">
                  <c:v>0.10554506230968448</c:v>
                </c:pt>
                <c:pt idx="72">
                  <c:v>0.10559766513351766</c:v>
                </c:pt>
                <c:pt idx="73">
                  <c:v>0.10565053122487512</c:v>
                </c:pt>
                <c:pt idx="74">
                  <c:v>0.105703696417615</c:v>
                </c:pt>
                <c:pt idx="75">
                  <c:v>0.10575719771360893</c:v>
                </c:pt>
                <c:pt idx="76">
                  <c:v>0.10581107315847872</c:v>
                </c:pt>
                <c:pt idx="77">
                  <c:v>0.10586536171497056</c:v>
                </c:pt>
                <c:pt idx="78">
                  <c:v>0.10592010313495574</c:v>
                </c:pt>
                <c:pt idx="79">
                  <c:v>0.10597533783099626</c:v>
                </c:pt>
                <c:pt idx="80">
                  <c:v>0.10603110674835262</c:v>
                </c:pt>
                <c:pt idx="81">
                  <c:v>0.10608745123824122</c:v>
                </c:pt>
                <c:pt idx="82">
                  <c:v>0.1061444129330696</c:v>
                </c:pt>
                <c:pt idx="83">
                  <c:v>0.10620203362429168</c:v>
                </c:pt>
                <c:pt idx="84">
                  <c:v>0.10626035514343332</c:v>
                </c:pt>
                <c:pt idx="85">
                  <c:v>0.10631941924674242</c:v>
                </c:pt>
                <c:pt idx="86">
                  <c:v>0.10637926750381803</c:v>
                </c:pt>
                <c:pt idx="87">
                  <c:v>0.10643994119047286</c:v>
                </c:pt>
                <c:pt idx="88">
                  <c:v>0.10650148118598216</c:v>
                </c:pt>
                <c:pt idx="89">
                  <c:v>0.10656392787477383</c:v>
                </c:pt>
                <c:pt idx="90">
                  <c:v>0.10662732105251696</c:v>
                </c:pt>
                <c:pt idx="91">
                  <c:v>0.10669169983647595</c:v>
                </c:pt>
                <c:pt idx="92">
                  <c:v>0.10675710257990971</c:v>
                </c:pt>
                <c:pt idx="93">
                  <c:v>0.10682356679021716</c:v>
                </c:pt>
                <c:pt idx="94">
                  <c:v>0.10689112905045946</c:v>
                </c:pt>
                <c:pt idx="95">
                  <c:v>0.10695982494382637</c:v>
                </c:pt>
                <c:pt idx="96">
                  <c:v>0.1070296889805645</c:v>
                </c:pt>
                <c:pt idx="97">
                  <c:v>0.10710075452684173</c:v>
                </c:pt>
                <c:pt idx="98">
                  <c:v>0.10717305373499528</c:v>
                </c:pt>
                <c:pt idx="99">
                  <c:v>0.10724661747459187</c:v>
                </c:pt>
                <c:pt idx="100">
                  <c:v>0.10732147526372392</c:v>
                </c:pt>
                <c:pt idx="101">
                  <c:v>0.10739765519997338</c:v>
                </c:pt>
                <c:pt idx="102">
                  <c:v>0.10747518389049411</c:v>
                </c:pt>
                <c:pt idx="103">
                  <c:v>0.10755408638069618</c:v>
                </c:pt>
                <c:pt idx="104">
                  <c:v>0.10763438608105931</c:v>
                </c:pt>
                <c:pt idx="105">
                  <c:v>0.10771610469165802</c:v>
                </c:pt>
                <c:pt idx="106">
                  <c:v>0.10779926212404689</c:v>
                </c:pt>
                <c:pt idx="107">
                  <c:v>0.10788387642023081</c:v>
                </c:pt>
                <c:pt idx="108">
                  <c:v>0.107969963668529</c:v>
                </c:pt>
                <c:pt idx="109">
                  <c:v>0.10805753791623518</c:v>
                </c:pt>
                <c:pt idx="110">
                  <c:v>0.10814661107907454</c:v>
                </c:pt>
                <c:pt idx="111">
                  <c:v>0.10823719284756336</c:v>
                </c:pt>
                <c:pt idx="112">
                  <c:v>0.10832929059048493</c:v>
                </c:pt>
                <c:pt idx="113">
                  <c:v>0.10842290925580647</c:v>
                </c:pt>
                <c:pt idx="114">
                  <c:v>0.10851805126947307</c:v>
                </c:pt>
                <c:pt idx="115">
                  <c:v>0.10861471643262575</c:v>
                </c:pt>
                <c:pt idx="116">
                  <c:v>0.10871290181789935</c:v>
                </c:pt>
                <c:pt idx="117">
                  <c:v>0.10881260166556046</c:v>
                </c:pt>
                <c:pt idx="118">
                  <c:v>0.10891380728034514</c:v>
                </c:pt>
                <c:pt idx="119">
                  <c:v>0.10901650692994877</c:v>
                </c:pt>
                <c:pt idx="120">
                  <c:v>0.10912068574620394</c:v>
                </c:pt>
                <c:pt idx="121">
                  <c:v>0.10922632563005721</c:v>
                </c:pt>
                <c:pt idx="122">
                  <c:v>0.10933340516151822</c:v>
                </c:pt>
                <c:pt idx="123">
                  <c:v>0.1094418995158066</c:v>
                </c:pt>
                <c:pt idx="124">
                  <c:v>0.1095517803869592</c:v>
                </c:pt>
                <c:pt idx="125">
                  <c:v>0.10966301592018422</c:v>
                </c:pt>
                <c:pt idx="126">
                  <c:v>0.1097755706542585</c:v>
                </c:pt>
                <c:pt idx="127">
                  <c:v>0.10988940547525641</c:v>
                </c:pt>
                <c:pt idx="128">
                  <c:v>0.11000447758287772</c:v>
                </c:pt>
                <c:pt idx="129">
                  <c:v>0.11012074047060279</c:v>
                </c:pt>
                <c:pt idx="130">
                  <c:v>0.11023814392084898</c:v>
                </c:pt>
                <c:pt idx="131">
                  <c:v>0.11035663401623252</c:v>
                </c:pt>
                <c:pt idx="132">
                  <c:v>0.11047615316795276</c:v>
                </c:pt>
                <c:pt idx="133">
                  <c:v>0.11059664016221611</c:v>
                </c:pt>
                <c:pt idx="134">
                  <c:v>0.11071803022550035</c:v>
                </c:pt>
                <c:pt idx="135">
                  <c:v>0.11084025510933206</c:v>
                </c:pt>
                <c:pt idx="136">
                  <c:v>0.11096324319510759</c:v>
                </c:pt>
                <c:pt idx="137">
                  <c:v>0.11108691961933634</c:v>
                </c:pt>
                <c:pt idx="138">
                  <c:v>0.11121120641952224</c:v>
                </c:pt>
                <c:pt idx="139">
                  <c:v>0.11133602270072872</c:v>
                </c:pt>
                <c:pt idx="140">
                  <c:v>0.111461284822695</c:v>
                </c:pt>
                <c:pt idx="141">
                  <c:v>0.11158690660718933</c:v>
                </c:pt>
                <c:pt idx="142">
                  <c:v>0.11171279956509884</c:v>
                </c:pt>
                <c:pt idx="143">
                  <c:v>0.11183887314256928</c:v>
                </c:pt>
                <c:pt idx="144">
                  <c:v>0.11196503498532123</c:v>
                </c:pt>
                <c:pt idx="145">
                  <c:v>0.11209119122008626</c:v>
                </c:pt>
                <c:pt idx="146">
                  <c:v>0.1122172467519265</c:v>
                </c:pt>
                <c:pt idx="147">
                  <c:v>0.1123431055760299</c:v>
                </c:pt>
                <c:pt idx="148">
                  <c:v>0.11246867110240787</c:v>
                </c:pt>
                <c:pt idx="149">
                  <c:v>0.11259384649176861</c:v>
                </c:pt>
                <c:pt idx="150">
                  <c:v>0.11271853500069812</c:v>
                </c:pt>
                <c:pt idx="151">
                  <c:v>0.11284264033415108</c:v>
                </c:pt>
                <c:pt idx="152">
                  <c:v>0.11296606700314253</c:v>
                </c:pt>
                <c:pt idx="153">
                  <c:v>0.11308872068543337</c:v>
                </c:pt>
                <c:pt idx="154">
                  <c:v>0.11321050858692551</c:v>
                </c:pt>
                <c:pt idx="155">
                  <c:v>0.11333133980142171</c:v>
                </c:pt>
                <c:pt idx="156">
                  <c:v>0.11345112566636699</c:v>
                </c:pt>
                <c:pt idx="157">
                  <c:v>0.11356978011216805</c:v>
                </c:pt>
                <c:pt idx="158">
                  <c:v>0.11368722000269084</c:v>
                </c:pt>
                <c:pt idx="159">
                  <c:v>0.11380336546455859</c:v>
                </c:pt>
                <c:pt idx="160">
                  <c:v>0.11391814020291902</c:v>
                </c:pt>
                <c:pt idx="161">
                  <c:v>0.11403147180141522</c:v>
                </c:pt>
                <c:pt idx="162">
                  <c:v>0.11414329200418255</c:v>
                </c:pt>
                <c:pt idx="163">
                  <c:v>0.11425353697780222</c:v>
                </c:pt>
                <c:pt idx="164">
                  <c:v>0.11436214755126951</c:v>
                </c:pt>
                <c:pt idx="165">
                  <c:v>0.11446906943218187</c:v>
                </c:pt>
                <c:pt idx="166">
                  <c:v>0.11457425339751517</c:v>
                </c:pt>
                <c:pt idx="167">
                  <c:v>0.1146776554575375</c:v>
                </c:pt>
                <c:pt idx="168">
                  <c:v>0.11477923699160406</c:v>
                </c:pt>
                <c:pt idx="169">
                  <c:v>0.1148789648547849</c:v>
                </c:pt>
                <c:pt idx="170">
                  <c:v>0.11497681145449494</c:v>
                </c:pt>
                <c:pt idx="171">
                  <c:v>0.11507275479652472</c:v>
                </c:pt>
                <c:pt idx="172">
                  <c:v>0.11516677850010384</c:v>
                </c:pt>
                <c:pt idx="173">
                  <c:v>0.11525887178186918</c:v>
                </c:pt>
                <c:pt idx="174">
                  <c:v>0.11534902940885144</c:v>
                </c:pt>
                <c:pt idx="175">
                  <c:v>0.11543725162083597</c:v>
                </c:pt>
                <c:pt idx="176">
                  <c:v>0.11552354402269405</c:v>
                </c:pt>
                <c:pt idx="177">
                  <c:v>0.11560791744751632</c:v>
                </c:pt>
                <c:pt idx="178">
                  <c:v>0.11569038779160933</c:v>
                </c:pt>
                <c:pt idx="179">
                  <c:v>0.1157709758226365</c:v>
                </c:pt>
                <c:pt idx="180">
                  <c:v>0.1158497069623943</c:v>
                </c:pt>
                <c:pt idx="181">
                  <c:v>0.11592661104591076</c:v>
                </c:pt>
                <c:pt idx="182">
                  <c:v>0.11600172205873481</c:v>
                </c:pt>
                <c:pt idx="183">
                  <c:v>0.11607507785444994</c:v>
                </c:pt>
                <c:pt idx="184">
                  <c:v>0.11614671985459246</c:v>
                </c:pt>
                <c:pt idx="185">
                  <c:v>0.11621669273328099</c:v>
                </c:pt>
                <c:pt idx="186">
                  <c:v>0.11628504408896995</c:v>
                </c:pt>
                <c:pt idx="187">
                  <c:v>0.11635182410582401</c:v>
                </c:pt>
                <c:pt idx="188">
                  <c:v>0.11641708520727106</c:v>
                </c:pt>
                <c:pt idx="189">
                  <c:v>0.11648088170432919</c:v>
                </c:pt>
                <c:pt idx="190">
                  <c:v>0.11654326944131728</c:v>
                </c:pt>
                <c:pt idx="191">
                  <c:v>0.11660430544154883</c:v>
                </c:pt>
                <c:pt idx="192">
                  <c:v>0.11666404755557457</c:v>
                </c:pt>
                <c:pt idx="193">
                  <c:v>0.11672255411448321</c:v>
                </c:pt>
                <c:pt idx="194">
                  <c:v>0.11677988359068939</c:v>
                </c:pt>
                <c:pt idx="195">
                  <c:v>0.11683609426853592</c:v>
                </c:pt>
                <c:pt idx="196">
                  <c:v>0.1168912439269158</c:v>
                </c:pt>
                <c:pt idx="197">
                  <c:v>0.11694538953597634</c:v>
                </c:pt>
                <c:pt idx="198">
                  <c:v>0.11699858696980826</c:v>
                </c:pt>
                <c:pt idx="199">
                  <c:v>0.11705089073684492</c:v>
                </c:pt>
                <c:pt idx="200">
                  <c:v>0.11710235372950713</c:v>
                </c:pt>
                <c:pt idx="201">
                  <c:v>0.11715302699442313</c:v>
                </c:pt>
                <c:pt idx="202">
                  <c:v>0.11720295952434039</c:v>
                </c:pt>
                <c:pt idx="203">
                  <c:v>0.11725219807262212</c:v>
                </c:pt>
                <c:pt idx="204">
                  <c:v>0.11730078699099329</c:v>
                </c:pt>
                <c:pt idx="205">
                  <c:v>0.11734876809096789</c:v>
                </c:pt>
                <c:pt idx="206">
                  <c:v>0.11739618052915626</c:v>
                </c:pt>
                <c:pt idx="207">
                  <c:v>0.1174430607164183</c:v>
                </c:pt>
                <c:pt idx="208">
                  <c:v>0.11748944225059978</c:v>
                </c:pt>
                <c:pt idx="209">
                  <c:v>0.11753535587236645</c:v>
                </c:pt>
                <c:pt idx="210">
                  <c:v>0.11758082944343531</c:v>
                </c:pt>
                <c:pt idx="211">
                  <c:v>0.11762588794629904</c:v>
                </c:pt>
                <c:pt idx="212">
                  <c:v>0.1176705535043476</c:v>
                </c:pt>
                <c:pt idx="213">
                  <c:v>0.11771484542111432</c:v>
                </c:pt>
                <c:pt idx="214">
                  <c:v>0.11775878023721277</c:v>
                </c:pt>
                <c:pt idx="215">
                  <c:v>0.11780237180338834</c:v>
                </c:pt>
                <c:pt idx="216">
                  <c:v>0.11784563136798518</c:v>
                </c:pt>
                <c:pt idx="217">
                  <c:v>0.11788856767702652</c:v>
                </c:pt>
                <c:pt idx="218">
                  <c:v>0.1179311870850251</c:v>
                </c:pt>
                <c:pt idx="219">
                  <c:v>0.11797349367458289</c:v>
                </c:pt>
                <c:pt idx="220">
                  <c:v>0.1180154893828021</c:v>
                </c:pt>
                <c:pt idx="221">
                  <c:v>0.11805717413251958</c:v>
                </c:pt>
                <c:pt idx="222">
                  <c:v>0.11809854596638479</c:v>
                </c:pt>
                <c:pt idx="223">
                  <c:v>0.11813960118183842</c:v>
                </c:pt>
                <c:pt idx="224">
                  <c:v>0.1181803344651032</c:v>
                </c:pt>
                <c:pt idx="225">
                  <c:v>0.11822073902237851</c:v>
                </c:pt>
                <c:pt idx="226">
                  <c:v>0.11826080670652843</c:v>
                </c:pt>
                <c:pt idx="227">
                  <c:v>0.11830052813767376</c:v>
                </c:pt>
                <c:pt idx="228">
                  <c:v>0.11833989281623386</c:v>
                </c:pt>
                <c:pt idx="229">
                  <c:v>0.11837888922712062</c:v>
                </c:pt>
                <c:pt idx="230">
                  <c:v>0.11841750493395393</c:v>
                </c:pt>
                <c:pt idx="231">
                  <c:v>0.11845572666235156</c:v>
                </c:pt>
                <c:pt idx="232">
                  <c:v>0.11849354037153823</c:v>
                </c:pt>
                <c:pt idx="233">
                  <c:v>0.11853093131372057</c:v>
                </c:pt>
                <c:pt idx="234">
                  <c:v>0.11856788408088222</c:v>
                </c:pt>
                <c:pt idx="235">
                  <c:v>0.11860438263886476</c:v>
                </c:pt>
                <c:pt idx="236">
                  <c:v>0.1186404103488134</c:v>
                </c:pt>
                <c:pt idx="237">
                  <c:v>0.11867594997627709</c:v>
                </c:pt>
                <c:pt idx="238">
                  <c:v>0.11871098368846281</c:v>
                </c:pt>
                <c:pt idx="239">
                  <c:v>0.11874549304034314</c:v>
                </c:pt>
                <c:pt idx="240">
                  <c:v>0.11877945895051284</c:v>
                </c:pt>
                <c:pt idx="241">
                  <c:v>0.1188128616678701</c:v>
                </c:pt>
                <c:pt idx="242">
                  <c:v>0.11884568073037011</c:v>
                </c:pt>
                <c:pt idx="243">
                  <c:v>0.11887789491725212</c:v>
                </c:pt>
                <c:pt idx="244">
                  <c:v>0.11890948219627927</c:v>
                </c:pt>
                <c:pt idx="245">
                  <c:v>0.11894041966764914</c:v>
                </c:pt>
                <c:pt idx="246">
                  <c:v>0.11897068350633225</c:v>
                </c:pt>
                <c:pt idx="247">
                  <c:v>0.1190002489046719</c:v>
                </c:pt>
                <c:pt idx="248">
                  <c:v>0.11902909001713359</c:v>
                </c:pt>
                <c:pt idx="249">
                  <c:v>0.11905717990912294</c:v>
                </c:pt>
                <c:pt idx="250">
                  <c:v>0.11908449051179726</c:v>
                </c:pt>
                <c:pt idx="251">
                  <c:v>0.11911099258477775</c:v>
                </c:pt>
                <c:pt idx="252">
                  <c:v>0.11913665568862736</c:v>
                </c:pt>
                <c:pt idx="253">
                  <c:v>0.11916144816889125</c:v>
                </c:pt>
                <c:pt idx="254">
                  <c:v>0.11918533715340635</c:v>
                </c:pt>
                <c:pt idx="255">
                  <c:v>0.1192082885644721</c:v>
                </c:pt>
                <c:pt idx="256">
                  <c:v>0.11923026714733811</c:v>
                </c:pt>
                <c:pt idx="257">
                  <c:v>0.11925123651630637</c:v>
                </c:pt>
                <c:pt idx="258">
                  <c:v>0.11927115921956948</c:v>
                </c:pt>
                <c:pt idx="259">
                  <c:v>0.1192899968237109</c:v>
                </c:pt>
                <c:pt idx="260">
                  <c:v>0.11930771001858313</c:v>
                </c:pt>
                <c:pt idx="261">
                  <c:v>0.11932425874305476</c:v>
                </c:pt>
                <c:pt idx="262">
                  <c:v>0.11933960233188211</c:v>
                </c:pt>
                <c:pt idx="263">
                  <c:v>0.11935369968371552</c:v>
                </c:pt>
                <c:pt idx="264">
                  <c:v>0.11936650944999996</c:v>
                </c:pt>
                <c:pt idx="265">
                  <c:v>0.11937799024427327</c:v>
                </c:pt>
                <c:pt idx="266">
                  <c:v>0.11938810087111017</c:v>
                </c:pt>
                <c:pt idx="267">
                  <c:v>0.11939680057370418</c:v>
                </c:pt>
                <c:pt idx="268">
                  <c:v>0.11940404929883065</c:v>
                </c:pt>
                <c:pt idx="269">
                  <c:v>0.11940980797769035</c:v>
                </c:pt>
                <c:pt idx="270">
                  <c:v>0.11941403882089907</c:v>
                </c:pt>
                <c:pt idx="271">
                  <c:v>0.11941670562566958</c:v>
                </c:pt>
                <c:pt idx="272">
                  <c:v>0.11941777409302526</c:v>
                </c:pt>
                <c:pt idx="273">
                  <c:v>0.11941721215269697</c:v>
                </c:pt>
                <c:pt idx="274">
                  <c:v>0.11941499029318629</c:v>
                </c:pt>
                <c:pt idx="275">
                  <c:v>0.11941108189433124</c:v>
                </c:pt>
                <c:pt idx="276">
                  <c:v>0.11940546355958727</c:v>
                </c:pt>
                <c:pt idx="277">
                  <c:v>0.11939811544513956</c:v>
                </c:pt>
                <c:pt idx="278">
                  <c:v>0.11938902158288943</c:v>
                </c:pt>
                <c:pt idx="279">
                  <c:v>0.11937817019431667</c:v>
                </c:pt>
                <c:pt idx="280">
                  <c:v>0.11936555399220292</c:v>
                </c:pt>
                <c:pt idx="281">
                  <c:v>0.11935117046721749</c:v>
                </c:pt>
                <c:pt idx="282">
                  <c:v>0.11933502215640969</c:v>
                </c:pt>
                <c:pt idx="283">
                  <c:v>0.11931711689072699</c:v>
                </c:pt>
                <c:pt idx="284">
                  <c:v>0.11929746801878065</c:v>
                </c:pt>
                <c:pt idx="285">
                  <c:v>0.11927609460421203</c:v>
                </c:pt>
                <c:pt idx="286">
                  <c:v>0.11925302159417341</c:v>
                </c:pt>
                <c:pt idx="287">
                  <c:v>0.11922827995662261</c:v>
                </c:pt>
                <c:pt idx="288">
                  <c:v>0.11920190678434231</c:v>
                </c:pt>
                <c:pt idx="289">
                  <c:v>0.11917394536383057</c:v>
                </c:pt>
                <c:pt idx="290">
                  <c:v>0.11914444520746426</c:v>
                </c:pt>
                <c:pt idx="291">
                  <c:v>0.11911346204761511</c:v>
                </c:pt>
                <c:pt idx="292">
                  <c:v>0.11908105779168807</c:v>
                </c:pt>
                <c:pt idx="293">
                  <c:v>0.11904730043736148</c:v>
                </c:pt>
                <c:pt idx="294">
                  <c:v>0.11901226394762549</c:v>
                </c:pt>
                <c:pt idx="295">
                  <c:v>0.11897602808554335</c:v>
                </c:pt>
                <c:pt idx="296">
                  <c:v>0.11893867820899325</c:v>
                </c:pt>
                <c:pt idx="297">
                  <c:v>0.11890030502598389</c:v>
                </c:pt>
                <c:pt idx="298">
                  <c:v>0.11886100431147258</c:v>
                </c:pt>
                <c:pt idx="299">
                  <c:v>0.11882087658694601</c:v>
                </c:pt>
                <c:pt idx="300">
                  <c:v>0.11878002676434901</c:v>
                </c:pt>
                <c:pt idx="301">
                  <c:v>0.11873856375626088</c:v>
                </c:pt>
                <c:pt idx="302">
                  <c:v>0.11869660005452222</c:v>
                </c:pt>
                <c:pt idx="303">
                  <c:v>0.11865425127979994</c:v>
                </c:pt>
                <c:pt idx="304">
                  <c:v>0.11861163570484751</c:v>
                </c:pt>
                <c:pt idx="305">
                  <c:v>0.11856887375446232</c:v>
                </c:pt>
                <c:pt idx="306">
                  <c:v>0.11852608748536661</c:v>
                </c:pt>
                <c:pt idx="307">
                  <c:v>0.11848340004943446</c:v>
                </c:pt>
                <c:pt idx="308">
                  <c:v>0.1184409351438563</c:v>
                </c:pt>
                <c:pt idx="309">
                  <c:v>0.11839881645197367</c:v>
                </c:pt>
                <c:pt idx="310">
                  <c:v>0.11835716707862326</c:v>
                </c:pt>
                <c:pt idx="311">
                  <c:v>0.11831610898390803</c:v>
                </c:pt>
                <c:pt idx="312">
                  <c:v>0.11827576241935479</c:v>
                </c:pt>
                <c:pt idx="313">
                  <c:v>0.11823624537042819</c:v>
                </c:pt>
                <c:pt idx="314">
                  <c:v>0.11819767300934698</c:v>
                </c:pt>
                <c:pt idx="315">
                  <c:v>0.11816015716208984</c:v>
                </c:pt>
                <c:pt idx="316">
                  <c:v>0.11812380579338716</c:v>
                </c:pt>
                <c:pt idx="317">
                  <c:v>0.11808872251337071</c:v>
                </c:pt>
                <c:pt idx="318">
                  <c:v>0.11805500610939722</c:v>
                </c:pt>
                <c:pt idx="319">
                  <c:v>0.11802275010637604</c:v>
                </c:pt>
                <c:pt idx="320">
                  <c:v>0.11799204235871487</c:v>
                </c:pt>
                <c:pt idx="321">
                  <c:v>0.11796296467675708</c:v>
                </c:pt>
                <c:pt idx="322">
                  <c:v>0.11793559249031547</c:v>
                </c:pt>
                <c:pt idx="323">
                  <c:v>0.11790999455161939</c:v>
                </c:pt>
                <c:pt idx="324">
                  <c:v>0.11788623267968237</c:v>
                </c:pt>
                <c:pt idx="325">
                  <c:v>0.11786436154777075</c:v>
                </c:pt>
                <c:pt idx="326">
                  <c:v>0.117844428515314</c:v>
                </c:pt>
                <c:pt idx="327">
                  <c:v>0.11782647350524519</c:v>
                </c:pt>
                <c:pt idx="328">
                  <c:v>0.11781052892740032</c:v>
                </c:pt>
                <c:pt idx="329">
                  <c:v>0.11779661964824176</c:v>
                </c:pt>
                <c:pt idx="330">
                  <c:v>0.11778476300680349</c:v>
                </c:pt>
                <c:pt idx="331">
                  <c:v>0.1177749688763936</c:v>
                </c:pt>
                <c:pt idx="332">
                  <c:v>0.1177672397712291</c:v>
                </c:pt>
                <c:pt idx="333">
                  <c:v>0.11776157099682814</c:v>
                </c:pt>
                <c:pt idx="334">
                  <c:v>0.1177579508426447</c:v>
                </c:pt>
                <c:pt idx="335">
                  <c:v>0.11775636081510714</c:v>
                </c:pt>
                <c:pt idx="336">
                  <c:v>0.11775677590891291</c:v>
                </c:pt>
                <c:pt idx="337">
                  <c:v>0.11775916491414494</c:v>
                </c:pt>
                <c:pt idx="338">
                  <c:v>0.11776349075651028</c:v>
                </c:pt>
                <c:pt idx="339">
                  <c:v>0.11776971086776079</c:v>
                </c:pt>
                <c:pt idx="340">
                  <c:v>0.11777777758314206</c:v>
                </c:pt>
                <c:pt idx="341">
                  <c:v>0.11778763856253296</c:v>
                </c:pt>
                <c:pt idx="342">
                  <c:v>0.11779923723178198</c:v>
                </c:pt>
                <c:pt idx="343">
                  <c:v>0.11781251324062475</c:v>
                </c:pt>
                <c:pt idx="344">
                  <c:v>0.11782740293347496</c:v>
                </c:pt>
                <c:pt idx="345">
                  <c:v>0.11784383982932359</c:v>
                </c:pt>
                <c:pt idx="346">
                  <c:v>0.11786175510695604</c:v>
                </c:pt>
                <c:pt idx="347">
                  <c:v>0.11788107809170546</c:v>
                </c:pt>
                <c:pt idx="348">
                  <c:v>0.11790173674000184</c:v>
                </c:pt>
                <c:pt idx="349">
                  <c:v>0.11792365811804949</c:v>
                </c:pt>
                <c:pt idx="350">
                  <c:v>0.11794676887107131</c:v>
                </c:pt>
                <c:pt idx="351">
                  <c:v>0.11797099567969253</c:v>
                </c:pt>
                <c:pt idx="352">
                  <c:v>0.11799626570020094</c:v>
                </c:pt>
                <c:pt idx="353">
                  <c:v>0.11802250698561008</c:v>
                </c:pt>
                <c:pt idx="354">
                  <c:v>0.11804964888466919</c:v>
                </c:pt>
                <c:pt idx="355">
                  <c:v>0.11807762241619985</c:v>
                </c:pt>
                <c:pt idx="356">
                  <c:v>0.11810636061639869</c:v>
                </c:pt>
                <c:pt idx="357">
                  <c:v>0.11813579885702158</c:v>
                </c:pt>
                <c:pt idx="358">
                  <c:v>0.11816587513265529</c:v>
                </c:pt>
                <c:pt idx="359">
                  <c:v>0.11819653031558561</c:v>
                </c:pt>
                <c:pt idx="360">
                  <c:v>0.11822770837708353</c:v>
                </c:pt>
                <c:pt idx="361">
                  <c:v>0.11825935657424888</c:v>
                </c:pt>
                <c:pt idx="362">
                  <c:v>0.11829142560187186</c:v>
                </c:pt>
                <c:pt idx="363">
                  <c:v>0.11832386970909547</c:v>
                </c:pt>
                <c:pt idx="364">
                  <c:v>0.1183566467809781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4.8084980686924584E-3</c:v>
                </c:pt>
                <c:pt idx="1">
                  <c:v>4.7990149636541338E-3</c:v>
                </c:pt>
                <c:pt idx="2">
                  <c:v>4.7786030211707641E-3</c:v>
                </c:pt>
                <c:pt idx="3">
                  <c:v>4.7477497984184241E-3</c:v>
                </c:pt>
                <c:pt idx="4">
                  <c:v>4.7069319365253028E-3</c:v>
                </c:pt>
                <c:pt idx="5">
                  <c:v>4.6566100937921471E-3</c:v>
                </c:pt>
                <c:pt idx="6">
                  <c:v>4.5972245445613253E-3</c:v>
                </c:pt>
                <c:pt idx="7">
                  <c:v>4.529191389305921E-3</c:v>
                </c:pt>
                <c:pt idx="8">
                  <c:v>4.4524025295349205E-3</c:v>
                </c:pt>
                <c:pt idx="9">
                  <c:v>4.3638682229941274E-3</c:v>
                </c:pt>
                <c:pt idx="10">
                  <c:v>4.2660499460060557E-3</c:v>
                </c:pt>
                <c:pt idx="11">
                  <c:v>4.1591217959498243E-3</c:v>
                </c:pt>
                <c:pt idx="12">
                  <c:v>4.0432657457750657E-3</c:v>
                </c:pt>
                <c:pt idx="13">
                  <c:v>3.9186722249125484E-3</c:v>
                </c:pt>
                <c:pt idx="14">
                  <c:v>3.7855405967432108E-3</c:v>
                </c:pt>
                <c:pt idx="15">
                  <c:v>3.644685476155467E-3</c:v>
                </c:pt>
                <c:pt idx="16">
                  <c:v>3.5033996693253967E-3</c:v>
                </c:pt>
                <c:pt idx="17">
                  <c:v>3.3617231266553048E-3</c:v>
                </c:pt>
                <c:pt idx="18">
                  <c:v>3.2197022135380979E-3</c:v>
                </c:pt>
                <c:pt idx="19">
                  <c:v>3.077406477409823E-3</c:v>
                </c:pt>
                <c:pt idx="20">
                  <c:v>2.9349153104506758E-3</c:v>
                </c:pt>
                <c:pt idx="21">
                  <c:v>2.792296676016531E-3</c:v>
                </c:pt>
                <c:pt idx="22">
                  <c:v>2.6494920096434508E-3</c:v>
                </c:pt>
                <c:pt idx="23">
                  <c:v>2.5107895955553123E-3</c:v>
                </c:pt>
                <c:pt idx="24">
                  <c:v>2.378697906500611E-3</c:v>
                </c:pt>
                <c:pt idx="25">
                  <c:v>2.2532176151448154E-3</c:v>
                </c:pt>
                <c:pt idx="26">
                  <c:v>2.1343221065696712E-3</c:v>
                </c:pt>
                <c:pt idx="27">
                  <c:v>2.0219610792245914E-3</c:v>
                </c:pt>
                <c:pt idx="28">
                  <c:v>1.9160639936484207E-3</c:v>
                </c:pt>
                <c:pt idx="29">
                  <c:v>1.8204972776104883E-3</c:v>
                </c:pt>
                <c:pt idx="30">
                  <c:v>1.7345269001082094E-3</c:v>
                </c:pt>
                <c:pt idx="31">
                  <c:v>1.65794997044631E-3</c:v>
                </c:pt>
                <c:pt idx="32">
                  <c:v>1.5905597432415315E-3</c:v>
                </c:pt>
                <c:pt idx="33">
                  <c:v>1.532148848244807E-3</c:v>
                </c:pt>
                <c:pt idx="34">
                  <c:v>1.4825122004200723E-3</c:v>
                </c:pt>
                <c:pt idx="35">
                  <c:v>1.4414496130907401E-3</c:v>
                </c:pt>
                <c:pt idx="36">
                  <c:v>1.4086180913285289E-3</c:v>
                </c:pt>
                <c:pt idx="37">
                  <c:v>1.3838834497017954E-3</c:v>
                </c:pt>
                <c:pt idx="38">
                  <c:v>1.3633687226057521E-3</c:v>
                </c:pt>
                <c:pt idx="39">
                  <c:v>1.3469876286690088E-3</c:v>
                </c:pt>
                <c:pt idx="40">
                  <c:v>1.3346553791411637E-3</c:v>
                </c:pt>
                <c:pt idx="41">
                  <c:v>1.3262892148400097E-3</c:v>
                </c:pt>
                <c:pt idx="42">
                  <c:v>1.3218088925691423E-3</c:v>
                </c:pt>
                <c:pt idx="43">
                  <c:v>1.3209660389962748E-3</c:v>
                </c:pt>
                <c:pt idx="44">
                  <c:v>1.3202185109906749E-3</c:v>
                </c:pt>
                <c:pt idx="45">
                  <c:v>1.31958125741745E-3</c:v>
                </c:pt>
                <c:pt idx="46">
                  <c:v>1.3190688270694471E-3</c:v>
                </c:pt>
                <c:pt idx="47">
                  <c:v>1.3186954381723172E-3</c:v>
                </c:pt>
                <c:pt idx="48">
                  <c:v>1.3184750485401354E-3</c:v>
                </c:pt>
                <c:pt idx="49">
                  <c:v>1.3184214263940342E-3</c:v>
                </c:pt>
                <c:pt idx="50">
                  <c:v>1.3185145456304295E-3</c:v>
                </c:pt>
                <c:pt idx="51">
                  <c:v>1.3180707548804277E-3</c:v>
                </c:pt>
                <c:pt idx="52">
                  <c:v>1.3169156716211128E-3</c:v>
                </c:pt>
                <c:pt idx="53">
                  <c:v>1.3150538114072711E-3</c:v>
                </c:pt>
                <c:pt idx="54">
                  <c:v>1.3124959615198925E-3</c:v>
                </c:pt>
                <c:pt idx="55">
                  <c:v>1.3092527048837303E-3</c:v>
                </c:pt>
                <c:pt idx="56">
                  <c:v>1.3053344715869715E-3</c:v>
                </c:pt>
                <c:pt idx="57">
                  <c:v>1.2992774098892781E-3</c:v>
                </c:pt>
                <c:pt idx="58">
                  <c:v>1.2912743523671496E-3</c:v>
                </c:pt>
                <c:pt idx="59">
                  <c:v>1.2813603834032059E-3</c:v>
                </c:pt>
                <c:pt idx="60">
                  <c:v>1.2695696559719323E-3</c:v>
                </c:pt>
                <c:pt idx="61">
                  <c:v>1.2559354560214044E-3</c:v>
                </c:pt>
                <c:pt idx="62">
                  <c:v>1.2404902520443731E-3</c:v>
                </c:pt>
                <c:pt idx="63">
                  <c:v>1.2232657304588061E-3</c:v>
                </c:pt>
                <c:pt idx="64">
                  <c:v>1.2042820057460099E-3</c:v>
                </c:pt>
                <c:pt idx="65">
                  <c:v>1.1830383455493445E-3</c:v>
                </c:pt>
                <c:pt idx="66">
                  <c:v>1.1601764269476983E-3</c:v>
                </c:pt>
                <c:pt idx="67">
                  <c:v>1.1357337977062948E-3</c:v>
                </c:pt>
                <c:pt idx="68">
                  <c:v>1.1097461175600531E-3</c:v>
                </c:pt>
                <c:pt idx="69">
                  <c:v>1.0822470305818566E-3</c:v>
                </c:pt>
                <c:pt idx="70">
                  <c:v>1.0532680392933134E-3</c:v>
                </c:pt>
                <c:pt idx="71">
                  <c:v>1.0234212943953612E-3</c:v>
                </c:pt>
                <c:pt idx="72">
                  <c:v>9.9407138372500535E-4</c:v>
                </c:pt>
                <c:pt idx="73">
                  <c:v>9.6521244632986425E-4</c:v>
                </c:pt>
                <c:pt idx="74">
                  <c:v>9.368379207956262E-4</c:v>
                </c:pt>
                <c:pt idx="75">
                  <c:v>9.0894055887220991E-4</c:v>
                </c:pt>
                <c:pt idx="76">
                  <c:v>8.8151243904813334E-4</c:v>
                </c:pt>
                <c:pt idx="77">
                  <c:v>8.5454497957252373E-4</c:v>
                </c:pt>
                <c:pt idx="78">
                  <c:v>8.2799017371530789E-4</c:v>
                </c:pt>
                <c:pt idx="79">
                  <c:v>8.0204113525861418E-4</c:v>
                </c:pt>
                <c:pt idx="80">
                  <c:v>7.7719036243980536E-4</c:v>
                </c:pt>
                <c:pt idx="81">
                  <c:v>7.5343034470182375E-4</c:v>
                </c:pt>
                <c:pt idx="82">
                  <c:v>7.3075249666726654E-4</c:v>
                </c:pt>
                <c:pt idx="83">
                  <c:v>7.0914735504603048E-4</c:v>
                </c:pt>
                <c:pt idx="84">
                  <c:v>6.8860476841149361E-4</c:v>
                </c:pt>
                <c:pt idx="85">
                  <c:v>6.6949544031331347E-4</c:v>
                </c:pt>
                <c:pt idx="86">
                  <c:v>6.5126067907051398E-4</c:v>
                </c:pt>
                <c:pt idx="87">
                  <c:v>6.3389160801889492E-4</c:v>
                </c:pt>
                <c:pt idx="88">
                  <c:v>6.1737913896072925E-4</c:v>
                </c:pt>
                <c:pt idx="89">
                  <c:v>6.017141060857521E-4</c:v>
                </c:pt>
                <c:pt idx="90">
                  <c:v>5.8688739421799833E-4</c:v>
                </c:pt>
                <c:pt idx="91">
                  <c:v>5.7289006206546751E-4</c:v>
                </c:pt>
                <c:pt idx="92">
                  <c:v>5.5970622799762012E-4</c:v>
                </c:pt>
                <c:pt idx="93">
                  <c:v>5.4823593748846121E-4</c:v>
                </c:pt>
                <c:pt idx="94">
                  <c:v>5.3824209488678991E-4</c:v>
                </c:pt>
                <c:pt idx="95">
                  <c:v>5.2970882736166566E-4</c:v>
                </c:pt>
                <c:pt idx="96">
                  <c:v>5.226229470201519E-4</c:v>
                </c:pt>
                <c:pt idx="97">
                  <c:v>5.1697380988965794E-4</c:v>
                </c:pt>
                <c:pt idx="98">
                  <c:v>5.1275318268594863E-4</c:v>
                </c:pt>
                <c:pt idx="99">
                  <c:v>5.1172337414572325E-4</c:v>
                </c:pt>
                <c:pt idx="100">
                  <c:v>5.1351027879677138E-4</c:v>
                </c:pt>
                <c:pt idx="101">
                  <c:v>5.1811822053318256E-4</c:v>
                </c:pt>
                <c:pt idx="102">
                  <c:v>5.2555536325618732E-4</c:v>
                </c:pt>
                <c:pt idx="103">
                  <c:v>5.3583348785193918E-4</c:v>
                </c:pt>
                <c:pt idx="104">
                  <c:v>5.4896776708368393E-4</c:v>
                </c:pt>
                <c:pt idx="105">
                  <c:v>5.6497653640181079E-4</c:v>
                </c:pt>
                <c:pt idx="106">
                  <c:v>5.8389230876149329E-4</c:v>
                </c:pt>
                <c:pt idx="107">
                  <c:v>6.074725402846515E-4</c:v>
                </c:pt>
                <c:pt idx="108">
                  <c:v>6.3482581665565575E-4</c:v>
                </c:pt>
                <c:pt idx="109">
                  <c:v>6.65999680081904E-4</c:v>
                </c:pt>
                <c:pt idx="110">
                  <c:v>7.0104893363639954E-4</c:v>
                </c:pt>
                <c:pt idx="111">
                  <c:v>7.4003420529719405E-4</c:v>
                </c:pt>
                <c:pt idx="112">
                  <c:v>7.8301987457643453E-4</c:v>
                </c:pt>
                <c:pt idx="113">
                  <c:v>8.3106294786252548E-4</c:v>
                </c:pt>
                <c:pt idx="114">
                  <c:v>8.8241577398740748E-4</c:v>
                </c:pt>
                <c:pt idx="115">
                  <c:v>9.3714918479277285E-4</c:v>
                </c:pt>
                <c:pt idx="116">
                  <c:v>9.9533838638784611E-4</c:v>
                </c:pt>
                <c:pt idx="117">
                  <c:v>1.0570629565339802E-3</c:v>
                </c:pt>
                <c:pt idx="118">
                  <c:v>1.122406832616038E-3</c:v>
                </c:pt>
                <c:pt idx="119">
                  <c:v>1.191458289958596E-3</c:v>
                </c:pt>
                <c:pt idx="120">
                  <c:v>1.2643191141452844E-3</c:v>
                </c:pt>
                <c:pt idx="121">
                  <c:v>1.3420460044442318E-3</c:v>
                </c:pt>
                <c:pt idx="122">
                  <c:v>1.4229206637713287E-3</c:v>
                </c:pt>
                <c:pt idx="123">
                  <c:v>1.5070233481488012E-3</c:v>
                </c:pt>
                <c:pt idx="124">
                  <c:v>1.5944346559508837E-3</c:v>
                </c:pt>
                <c:pt idx="125">
                  <c:v>1.6852351996817624E-3</c:v>
                </c:pt>
                <c:pt idx="126">
                  <c:v>1.779505255101141E-3</c:v>
                </c:pt>
                <c:pt idx="127">
                  <c:v>1.8773867605463262E-3</c:v>
                </c:pt>
                <c:pt idx="128">
                  <c:v>1.9778846913986801E-3</c:v>
                </c:pt>
                <c:pt idx="129">
                  <c:v>2.0810541044551192E-3</c:v>
                </c:pt>
                <c:pt idx="130">
                  <c:v>2.1869469761232785E-3</c:v>
                </c:pt>
                <c:pt idx="131">
                  <c:v>2.295611842490186E-3</c:v>
                </c:pt>
                <c:pt idx="132">
                  <c:v>2.4070934280545709E-3</c:v>
                </c:pt>
                <c:pt idx="133">
                  <c:v>2.5214322641241467E-3</c:v>
                </c:pt>
                <c:pt idx="134">
                  <c:v>2.6387103019984907E-3</c:v>
                </c:pt>
                <c:pt idx="135">
                  <c:v>2.7587205654984975E-3</c:v>
                </c:pt>
                <c:pt idx="136">
                  <c:v>2.8804438581499182E-3</c:v>
                </c:pt>
                <c:pt idx="137">
                  <c:v>3.0038940369757731E-3</c:v>
                </c:pt>
                <c:pt idx="138">
                  <c:v>3.1290803390112789E-3</c:v>
                </c:pt>
                <c:pt idx="139">
                  <c:v>3.2560072263780951E-3</c:v>
                </c:pt>
                <c:pt idx="140">
                  <c:v>3.3846742428352873E-3</c:v>
                </c:pt>
                <c:pt idx="141">
                  <c:v>3.5153672792253825E-3</c:v>
                </c:pt>
                <c:pt idx="142">
                  <c:v>3.6479871366466368E-3</c:v>
                </c:pt>
                <c:pt idx="143">
                  <c:v>3.7824990047008252E-3</c:v>
                </c:pt>
                <c:pt idx="144">
                  <c:v>3.9188836360594601E-3</c:v>
                </c:pt>
                <c:pt idx="145">
                  <c:v>4.0571169243294736E-3</c:v>
                </c:pt>
                <c:pt idx="146">
                  <c:v>4.1971698845076448E-3</c:v>
                </c:pt>
                <c:pt idx="147">
                  <c:v>4.3390086586968966E-3</c:v>
                </c:pt>
                <c:pt idx="148">
                  <c:v>4.4825972435917792E-3</c:v>
                </c:pt>
                <c:pt idx="149">
                  <c:v>4.6261971577371726E-3</c:v>
                </c:pt>
                <c:pt idx="150">
                  <c:v>4.7700745046578962E-3</c:v>
                </c:pt>
                <c:pt idx="151">
                  <c:v>4.9141646388513307E-3</c:v>
                </c:pt>
                <c:pt idx="152">
                  <c:v>5.058400783730971E-3</c:v>
                </c:pt>
                <c:pt idx="153">
                  <c:v>5.2027143358187502E-3</c:v>
                </c:pt>
                <c:pt idx="154">
                  <c:v>5.3470351902085772E-3</c:v>
                </c:pt>
                <c:pt idx="155">
                  <c:v>5.4870145414267716E-3</c:v>
                </c:pt>
                <c:pt idx="156">
                  <c:v>5.6221956460027096E-3</c:v>
                </c:pt>
                <c:pt idx="157">
                  <c:v>5.7524209829700372E-3</c:v>
                </c:pt>
                <c:pt idx="158">
                  <c:v>5.8775343177162442E-3</c:v>
                </c:pt>
                <c:pt idx="159">
                  <c:v>5.9973812112025316E-3</c:v>
                </c:pt>
                <c:pt idx="160">
                  <c:v>6.1118095119855834E-3</c:v>
                </c:pt>
                <c:pt idx="161">
                  <c:v>6.220669824461806E-3</c:v>
                </c:pt>
                <c:pt idx="162">
                  <c:v>6.3238869609023333E-3</c:v>
                </c:pt>
                <c:pt idx="163">
                  <c:v>6.4196127127251245E-3</c:v>
                </c:pt>
                <c:pt idx="164">
                  <c:v>6.5095245289421939E-3</c:v>
                </c:pt>
                <c:pt idx="165">
                  <c:v>6.5934299439332489E-3</c:v>
                </c:pt>
                <c:pt idx="166">
                  <c:v>6.6711376110931879E-3</c:v>
                </c:pt>
                <c:pt idx="167">
                  <c:v>6.7424580512843732E-3</c:v>
                </c:pt>
                <c:pt idx="168">
                  <c:v>6.807204384680984E-3</c:v>
                </c:pt>
                <c:pt idx="169">
                  <c:v>6.8633748857141021E-3</c:v>
                </c:pt>
                <c:pt idx="170">
                  <c:v>6.915436321984169E-3</c:v>
                </c:pt>
                <c:pt idx="171">
                  <c:v>6.9632519929119143E-3</c:v>
                </c:pt>
                <c:pt idx="172">
                  <c:v>7.00668871195475E-3</c:v>
                </c:pt>
                <c:pt idx="173">
                  <c:v>7.0455451709413933E-3</c:v>
                </c:pt>
                <c:pt idx="174">
                  <c:v>7.0796191452514824E-3</c:v>
                </c:pt>
                <c:pt idx="175">
                  <c:v>7.1087828980214169E-3</c:v>
                </c:pt>
                <c:pt idx="176">
                  <c:v>7.1330466373173704E-3</c:v>
                </c:pt>
                <c:pt idx="177">
                  <c:v>7.1476219628425069E-3</c:v>
                </c:pt>
                <c:pt idx="178">
                  <c:v>7.1543138022644014E-3</c:v>
                </c:pt>
                <c:pt idx="179">
                  <c:v>7.1530468801499977E-3</c:v>
                </c:pt>
                <c:pt idx="180">
                  <c:v>7.143753521138935E-3</c:v>
                </c:pt>
                <c:pt idx="181">
                  <c:v>7.1263733691851096E-3</c:v>
                </c:pt>
                <c:pt idx="182">
                  <c:v>7.1008530560559713E-3</c:v>
                </c:pt>
                <c:pt idx="183">
                  <c:v>7.0650247281360519E-3</c:v>
                </c:pt>
                <c:pt idx="184">
                  <c:v>7.0207979468870077E-3</c:v>
                </c:pt>
                <c:pt idx="185">
                  <c:v>6.9681390428326757E-3</c:v>
                </c:pt>
                <c:pt idx="186">
                  <c:v>6.9070195888528748E-3</c:v>
                </c:pt>
                <c:pt idx="187">
                  <c:v>6.8374158698279513E-3</c:v>
                </c:pt>
                <c:pt idx="188">
                  <c:v>6.759308331022491E-3</c:v>
                </c:pt>
                <c:pt idx="189">
                  <c:v>6.672681010655236E-3</c:v>
                </c:pt>
                <c:pt idx="190">
                  <c:v>6.5775750639895407E-3</c:v>
                </c:pt>
                <c:pt idx="191">
                  <c:v>6.4743053196286877E-3</c:v>
                </c:pt>
                <c:pt idx="192">
                  <c:v>6.3679278773691381E-3</c:v>
                </c:pt>
                <c:pt idx="193">
                  <c:v>6.2584475530333356E-3</c:v>
                </c:pt>
                <c:pt idx="194">
                  <c:v>6.1458696320346442E-3</c:v>
                </c:pt>
                <c:pt idx="195">
                  <c:v>6.0301997117181557E-3</c:v>
                </c:pt>
                <c:pt idx="196">
                  <c:v>5.9114435640923793E-3</c:v>
                </c:pt>
                <c:pt idx="197">
                  <c:v>5.7891765214795722E-3</c:v>
                </c:pt>
                <c:pt idx="198">
                  <c:v>5.6656339950897213E-3</c:v>
                </c:pt>
                <c:pt idx="199">
                  <c:v>5.540837238151115E-3</c:v>
                </c:pt>
                <c:pt idx="200">
                  <c:v>5.4148067501965328E-3</c:v>
                </c:pt>
                <c:pt idx="201">
                  <c:v>5.2875622688719091E-3</c:v>
                </c:pt>
                <c:pt idx="202">
                  <c:v>5.1591227839243173E-3</c:v>
                </c:pt>
                <c:pt idx="203">
                  <c:v>5.0295065728211668E-3</c:v>
                </c:pt>
                <c:pt idx="204">
                  <c:v>4.8987503988045938E-3</c:v>
                </c:pt>
                <c:pt idx="205">
                  <c:v>4.7670084860240462E-3</c:v>
                </c:pt>
                <c:pt idx="206">
                  <c:v>4.6340330472069797E-3</c:v>
                </c:pt>
                <c:pt idx="207">
                  <c:v>4.4998584206019532E-3</c:v>
                </c:pt>
                <c:pt idx="208">
                  <c:v>4.3645158969796271E-3</c:v>
                </c:pt>
                <c:pt idx="209">
                  <c:v>4.2280337758417753E-3</c:v>
                </c:pt>
                <c:pt idx="210">
                  <c:v>4.0904374357573952E-3</c:v>
                </c:pt>
                <c:pt idx="211">
                  <c:v>3.9533531642980072E-3</c:v>
                </c:pt>
                <c:pt idx="212">
                  <c:v>3.8172581434663868E-3</c:v>
                </c:pt>
                <c:pt idx="213">
                  <c:v>3.6821832829010631E-3</c:v>
                </c:pt>
                <c:pt idx="214">
                  <c:v>3.5481568584897175E-3</c:v>
                </c:pt>
                <c:pt idx="215">
                  <c:v>3.4152046862424086E-3</c:v>
                </c:pt>
                <c:pt idx="216">
                  <c:v>3.283350294194051E-3</c:v>
                </c:pt>
                <c:pt idx="217">
                  <c:v>3.1526150906325814E-3</c:v>
                </c:pt>
                <c:pt idx="218">
                  <c:v>3.0230142250212808E-3</c:v>
                </c:pt>
                <c:pt idx="219">
                  <c:v>2.8963143826100739E-3</c:v>
                </c:pt>
                <c:pt idx="220">
                  <c:v>2.7724268365027045E-3</c:v>
                </c:pt>
                <c:pt idx="221">
                  <c:v>2.6513704930409554E-3</c:v>
                </c:pt>
                <c:pt idx="222">
                  <c:v>2.5331645427349855E-3</c:v>
                </c:pt>
                <c:pt idx="223">
                  <c:v>2.4178285269759723E-3</c:v>
                </c:pt>
                <c:pt idx="224">
                  <c:v>2.3053823913621162E-3</c:v>
                </c:pt>
                <c:pt idx="225">
                  <c:v>2.1989596901999444E-3</c:v>
                </c:pt>
                <c:pt idx="226">
                  <c:v>2.0969430906018619E-3</c:v>
                </c:pt>
                <c:pt idx="227">
                  <c:v>1.9993627662018309E-3</c:v>
                </c:pt>
                <c:pt idx="228">
                  <c:v>1.9062492092293258E-3</c:v>
                </c:pt>
                <c:pt idx="229">
                  <c:v>1.8176331819556211E-3</c:v>
                </c:pt>
                <c:pt idx="230">
                  <c:v>1.7335456551175192E-3</c:v>
                </c:pt>
                <c:pt idx="231">
                  <c:v>1.6540177341579272E-3</c:v>
                </c:pt>
                <c:pt idx="232">
                  <c:v>1.5790545049721592E-3</c:v>
                </c:pt>
                <c:pt idx="233">
                  <c:v>1.5120517844275294E-3</c:v>
                </c:pt>
                <c:pt idx="234">
                  <c:v>1.4512646518599825E-3</c:v>
                </c:pt>
                <c:pt idx="235">
                  <c:v>1.3967507047368966E-3</c:v>
                </c:pt>
                <c:pt idx="236">
                  <c:v>1.3485643997221165E-3</c:v>
                </c:pt>
                <c:pt idx="237">
                  <c:v>1.3067562764515759E-3</c:v>
                </c:pt>
                <c:pt idx="238">
                  <c:v>1.2713744815906398E-3</c:v>
                </c:pt>
                <c:pt idx="239">
                  <c:v>1.2443588924540582E-3</c:v>
                </c:pt>
                <c:pt idx="240">
                  <c:v>1.2225627237544667E-3</c:v>
                </c:pt>
                <c:pt idx="241">
                  <c:v>1.2060243331689015E-3</c:v>
                </c:pt>
                <c:pt idx="242">
                  <c:v>1.1947818275955644E-3</c:v>
                </c:pt>
                <c:pt idx="243">
                  <c:v>1.1888735470485781E-3</c:v>
                </c:pt>
                <c:pt idx="244">
                  <c:v>1.1883385577456948E-3</c:v>
                </c:pt>
                <c:pt idx="245">
                  <c:v>1.1932171548128981E-3</c:v>
                </c:pt>
                <c:pt idx="246">
                  <c:v>1.2035048574045681E-3</c:v>
                </c:pt>
                <c:pt idx="247">
                  <c:v>1.219914290857321E-3</c:v>
                </c:pt>
                <c:pt idx="248">
                  <c:v>1.2390183103187301E-3</c:v>
                </c:pt>
                <c:pt idx="249">
                  <c:v>1.2608378884161301E-3</c:v>
                </c:pt>
                <c:pt idx="250">
                  <c:v>1.2853943606087573E-3</c:v>
                </c:pt>
                <c:pt idx="251">
                  <c:v>1.3127095614835205E-3</c:v>
                </c:pt>
                <c:pt idx="252">
                  <c:v>1.3428059629368545E-3</c:v>
                </c:pt>
                <c:pt idx="253">
                  <c:v>1.3759989382601532E-3</c:v>
                </c:pt>
                <c:pt idx="254">
                  <c:v>1.4103655536160582E-3</c:v>
                </c:pt>
                <c:pt idx="255">
                  <c:v>1.4459208559102817E-3</c:v>
                </c:pt>
                <c:pt idx="256">
                  <c:v>1.4826808182076027E-3</c:v>
                </c:pt>
                <c:pt idx="257">
                  <c:v>1.5206624107728789E-3</c:v>
                </c:pt>
                <c:pt idx="258">
                  <c:v>1.5598836780270037E-3</c:v>
                </c:pt>
                <c:pt idx="259">
                  <c:v>1.6003638233340854E-3</c:v>
                </c:pt>
                <c:pt idx="260">
                  <c:v>1.6421010659908046E-3</c:v>
                </c:pt>
                <c:pt idx="261">
                  <c:v>1.6859754458929167E-3</c:v>
                </c:pt>
                <c:pt idx="262">
                  <c:v>1.7312542429593126E-3</c:v>
                </c:pt>
                <c:pt idx="263">
                  <c:v>1.7779416356745064E-3</c:v>
                </c:pt>
                <c:pt idx="264">
                  <c:v>1.8260413470204218E-3</c:v>
                </c:pt>
                <c:pt idx="265">
                  <c:v>1.8755665728463131E-3</c:v>
                </c:pt>
                <c:pt idx="266">
                  <c:v>1.9265259171629507E-3</c:v>
                </c:pt>
                <c:pt idx="267">
                  <c:v>1.9778168702586653E-3</c:v>
                </c:pt>
                <c:pt idx="268">
                  <c:v>2.0291312111933974E-3</c:v>
                </c:pt>
                <c:pt idx="269">
                  <c:v>2.0804581998345043E-3</c:v>
                </c:pt>
                <c:pt idx="270">
                  <c:v>2.1317861711015801E-3</c:v>
                </c:pt>
                <c:pt idx="271">
                  <c:v>2.1831025840327819E-3</c:v>
                </c:pt>
                <c:pt idx="272">
                  <c:v>2.2343940797586444E-3</c:v>
                </c:pt>
                <c:pt idx="273">
                  <c:v>2.2856465491948091E-3</c:v>
                </c:pt>
                <c:pt idx="274">
                  <c:v>2.3368803974630776E-3</c:v>
                </c:pt>
                <c:pt idx="275">
                  <c:v>2.3855587270076744E-3</c:v>
                </c:pt>
                <c:pt idx="276">
                  <c:v>2.4307246035401133E-3</c:v>
                </c:pt>
                <c:pt idx="277">
                  <c:v>2.4723355064737631E-3</c:v>
                </c:pt>
                <c:pt idx="278">
                  <c:v>2.5103482875191104E-3</c:v>
                </c:pt>
                <c:pt idx="279">
                  <c:v>2.5447195126736132E-3</c:v>
                </c:pt>
                <c:pt idx="280">
                  <c:v>2.5754058051902624E-3</c:v>
                </c:pt>
                <c:pt idx="281">
                  <c:v>2.6011828415380129E-3</c:v>
                </c:pt>
                <c:pt idx="282">
                  <c:v>2.6231412710539313E-3</c:v>
                </c:pt>
                <c:pt idx="283">
                  <c:v>2.6412399106132451E-3</c:v>
                </c:pt>
                <c:pt idx="284">
                  <c:v>2.6554390044933244E-3</c:v>
                </c:pt>
                <c:pt idx="285">
                  <c:v>2.665700535475561E-3</c:v>
                </c:pt>
                <c:pt idx="286">
                  <c:v>2.671988521552844E-3</c:v>
                </c:pt>
                <c:pt idx="287">
                  <c:v>2.6742692956382586E-3</c:v>
                </c:pt>
                <c:pt idx="288">
                  <c:v>2.67253406902757E-3</c:v>
                </c:pt>
                <c:pt idx="289">
                  <c:v>2.6664248762878358E-3</c:v>
                </c:pt>
                <c:pt idx="290">
                  <c:v>2.6585640992915428E-3</c:v>
                </c:pt>
                <c:pt idx="291">
                  <c:v>2.6489609182693986E-3</c:v>
                </c:pt>
                <c:pt idx="292">
                  <c:v>2.6376265149285986E-3</c:v>
                </c:pt>
                <c:pt idx="293">
                  <c:v>2.6245739861037246E-3</c:v>
                </c:pt>
                <c:pt idx="294">
                  <c:v>2.6098182350079596E-3</c:v>
                </c:pt>
                <c:pt idx="295">
                  <c:v>2.5937742628529474E-3</c:v>
                </c:pt>
                <c:pt idx="296">
                  <c:v>2.5777018231447997E-3</c:v>
                </c:pt>
                <c:pt idx="297">
                  <c:v>2.5616471713453496E-3</c:v>
                </c:pt>
                <c:pt idx="298">
                  <c:v>2.5456361563783486E-3</c:v>
                </c:pt>
                <c:pt idx="299">
                  <c:v>2.5296957768154832E-3</c:v>
                </c:pt>
                <c:pt idx="300">
                  <c:v>2.513854136912198E-3</c:v>
                </c:pt>
                <c:pt idx="301">
                  <c:v>2.4981403989249216E-3</c:v>
                </c:pt>
                <c:pt idx="302">
                  <c:v>2.4827810515416866E-3</c:v>
                </c:pt>
                <c:pt idx="303">
                  <c:v>2.4773661712962098E-3</c:v>
                </c:pt>
                <c:pt idx="304">
                  <c:v>2.4822558421830386E-3</c:v>
                </c:pt>
                <c:pt idx="305">
                  <c:v>2.4974475541446623E-3</c:v>
                </c:pt>
                <c:pt idx="306">
                  <c:v>2.5229461379226736E-3</c:v>
                </c:pt>
                <c:pt idx="307">
                  <c:v>2.5587607160371816E-3</c:v>
                </c:pt>
                <c:pt idx="308">
                  <c:v>2.604901495681696E-3</c:v>
                </c:pt>
                <c:pt idx="309">
                  <c:v>2.6705120654107509E-3</c:v>
                </c:pt>
                <c:pt idx="310">
                  <c:v>2.7552558480293098E-3</c:v>
                </c:pt>
                <c:pt idx="311">
                  <c:v>2.8591925687961521E-3</c:v>
                </c:pt>
                <c:pt idx="312">
                  <c:v>2.9823649154724825E-3</c:v>
                </c:pt>
                <c:pt idx="313">
                  <c:v>3.1247909553051849E-3</c:v>
                </c:pt>
                <c:pt idx="314">
                  <c:v>3.286456046929865E-3</c:v>
                </c:pt>
                <c:pt idx="315">
                  <c:v>3.4673042695283576E-3</c:v>
                </c:pt>
                <c:pt idx="316">
                  <c:v>3.667747481393683E-3</c:v>
                </c:pt>
                <c:pt idx="317">
                  <c:v>3.8842070398856891E-3</c:v>
                </c:pt>
                <c:pt idx="318">
                  <c:v>4.1070480814413045E-3</c:v>
                </c:pt>
                <c:pt idx="319">
                  <c:v>4.3363380575161675E-3</c:v>
                </c:pt>
                <c:pt idx="320">
                  <c:v>4.5721399804847318E-3</c:v>
                </c:pt>
                <c:pt idx="321">
                  <c:v>4.8145108933324359E-3</c:v>
                </c:pt>
                <c:pt idx="322">
                  <c:v>5.0635001707745554E-3</c:v>
                </c:pt>
                <c:pt idx="323">
                  <c:v>5.3108971524843023E-3</c:v>
                </c:pt>
                <c:pt idx="324">
                  <c:v>5.5471956637500857E-3</c:v>
                </c:pt>
                <c:pt idx="325">
                  <c:v>5.7722707512262326E-3</c:v>
                </c:pt>
                <c:pt idx="326">
                  <c:v>5.9859423743995957E-3</c:v>
                </c:pt>
                <c:pt idx="327">
                  <c:v>6.1880329661781917E-3</c:v>
                </c:pt>
                <c:pt idx="328">
                  <c:v>6.3783782792734781E-3</c:v>
                </c:pt>
                <c:pt idx="329">
                  <c:v>6.556798792972455E-3</c:v>
                </c:pt>
                <c:pt idx="330">
                  <c:v>6.7242487525644304E-3</c:v>
                </c:pt>
                <c:pt idx="331">
                  <c:v>6.872311572827779E-3</c:v>
                </c:pt>
                <c:pt idx="332">
                  <c:v>7.0048445879226651E-3</c:v>
                </c:pt>
                <c:pt idx="333">
                  <c:v>7.121345499468106E-3</c:v>
                </c:pt>
                <c:pt idx="334">
                  <c:v>7.2212465368498248E-3</c:v>
                </c:pt>
                <c:pt idx="335">
                  <c:v>7.3039228132494903E-3</c:v>
                </c:pt>
                <c:pt idx="336">
                  <c:v>7.3687022573261877E-3</c:v>
                </c:pt>
                <c:pt idx="337">
                  <c:v>7.413220453559969E-3</c:v>
                </c:pt>
                <c:pt idx="338">
                  <c:v>7.4453532375081712E-3</c:v>
                </c:pt>
                <c:pt idx="339">
                  <c:v>7.4644232509469572E-3</c:v>
                </c:pt>
                <c:pt idx="340">
                  <c:v>7.4697501001983E-3</c:v>
                </c:pt>
                <c:pt idx="341">
                  <c:v>7.4606636976717496E-3</c:v>
                </c:pt>
                <c:pt idx="342">
                  <c:v>7.4365190158267981E-3</c:v>
                </c:pt>
                <c:pt idx="343">
                  <c:v>7.3967120533252164E-3</c:v>
                </c:pt>
                <c:pt idx="344">
                  <c:v>7.3416364203099512E-3</c:v>
                </c:pt>
                <c:pt idx="345">
                  <c:v>7.2721546795207976E-3</c:v>
                </c:pt>
                <c:pt idx="346">
                  <c:v>7.2032782806026752E-3</c:v>
                </c:pt>
                <c:pt idx="347">
                  <c:v>7.1351691205889323E-3</c:v>
                </c:pt>
                <c:pt idx="348">
                  <c:v>7.0679862833915447E-3</c:v>
                </c:pt>
                <c:pt idx="349">
                  <c:v>7.0018855046242775E-3</c:v>
                </c:pt>
                <c:pt idx="350">
                  <c:v>6.9370186815999315E-3</c:v>
                </c:pt>
                <c:pt idx="351">
                  <c:v>6.8787635908606707E-3</c:v>
                </c:pt>
                <c:pt idx="352">
                  <c:v>6.8288700697573803E-3</c:v>
                </c:pt>
                <c:pt idx="353">
                  <c:v>6.787408384032142E-3</c:v>
                </c:pt>
                <c:pt idx="354">
                  <c:v>6.7544324001468665E-3</c:v>
                </c:pt>
                <c:pt idx="355">
                  <c:v>6.72998031151412E-3</c:v>
                </c:pt>
                <c:pt idx="356">
                  <c:v>6.7140473090833317E-3</c:v>
                </c:pt>
                <c:pt idx="357">
                  <c:v>6.7066639078642307E-3</c:v>
                </c:pt>
                <c:pt idx="358">
                  <c:v>6.7065872930140253E-3</c:v>
                </c:pt>
                <c:pt idx="359">
                  <c:v>6.7127506377805454E-3</c:v>
                </c:pt>
                <c:pt idx="360">
                  <c:v>6.7237688766459925E-3</c:v>
                </c:pt>
                <c:pt idx="361">
                  <c:v>6.7348652969749546E-3</c:v>
                </c:pt>
                <c:pt idx="362">
                  <c:v>6.7463515761197242E-3</c:v>
                </c:pt>
                <c:pt idx="363">
                  <c:v>6.7585358867621164E-3</c:v>
                </c:pt>
                <c:pt idx="364">
                  <c:v>6.7717218008055153E-3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6104"/>
        <c:axId val="644426496"/>
      </c:lineChart>
      <c:dateAx>
        <c:axId val="6444261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6496"/>
        <c:crosses val="autoZero"/>
        <c:auto val="1"/>
        <c:lblOffset val="100"/>
        <c:baseTimeUnit val="days"/>
        <c:majorUnit val="1"/>
        <c:majorTimeUnit val="months"/>
      </c:dateAx>
      <c:valAx>
        <c:axId val="6444264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61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23.930756289566848</c:v>
                </c:pt>
                <c:pt idx="1">
                  <c:v>24.107168464408289</c:v>
                </c:pt>
                <c:pt idx="2">
                  <c:v>24.288770839040794</c:v>
                </c:pt>
                <c:pt idx="3">
                  <c:v>24.47424440984129</c:v>
                </c:pt>
                <c:pt idx="4">
                  <c:v>24.66227041008236</c:v>
                </c:pt>
                <c:pt idx="5">
                  <c:v>24.851530293744418</c:v>
                </c:pt>
                <c:pt idx="6">
                  <c:v>25.040705731679385</c:v>
                </c:pt>
                <c:pt idx="7">
                  <c:v>25.228478605237488</c:v>
                </c:pt>
                <c:pt idx="8">
                  <c:v>25.416385141909608</c:v>
                </c:pt>
                <c:pt idx="9">
                  <c:v>25.607238353190333</c:v>
                </c:pt>
                <c:pt idx="10">
                  <c:v>25.801307235058502</c:v>
                </c:pt>
                <c:pt idx="11">
                  <c:v>25.998897928649715</c:v>
                </c:pt>
                <c:pt idx="12">
                  <c:v>26.200316375145555</c:v>
                </c:pt>
                <c:pt idx="13">
                  <c:v>26.405868321269278</c:v>
                </c:pt>
                <c:pt idx="14">
                  <c:v>26.615859319421535</c:v>
                </c:pt>
                <c:pt idx="15">
                  <c:v>26.830694105156478</c:v>
                </c:pt>
                <c:pt idx="16">
                  <c:v>27.050464430640261</c:v>
                </c:pt>
                <c:pt idx="17">
                  <c:v>27.275475330430833</c:v>
                </c:pt>
                <c:pt idx="18">
                  <c:v>27.506031674670098</c:v>
                </c:pt>
                <c:pt idx="19">
                  <c:v>27.742437418771367</c:v>
                </c:pt>
                <c:pt idx="20">
                  <c:v>27.984996144988155</c:v>
                </c:pt>
                <c:pt idx="21">
                  <c:v>28.234012004062933</c:v>
                </c:pt>
                <c:pt idx="22">
                  <c:v>28.491184816542255</c:v>
                </c:pt>
                <c:pt idx="23">
                  <c:v>28.757124044071247</c:v>
                </c:pt>
                <c:pt idx="24">
                  <c:v>29.030636912636098</c:v>
                </c:pt>
                <c:pt idx="25">
                  <c:v>29.310724748594598</c:v>
                </c:pt>
                <c:pt idx="26">
                  <c:v>29.596389207726787</c:v>
                </c:pt>
                <c:pt idx="27">
                  <c:v>29.886632287785485</c:v>
                </c:pt>
                <c:pt idx="28">
                  <c:v>30.180456320400236</c:v>
                </c:pt>
                <c:pt idx="29">
                  <c:v>30.476631613093581</c:v>
                </c:pt>
                <c:pt idx="30">
                  <c:v>30.774061643275907</c:v>
                </c:pt>
                <c:pt idx="31">
                  <c:v>31.071749704006415</c:v>
                </c:pt>
                <c:pt idx="32">
                  <c:v>31.368699406045017</c:v>
                </c:pt>
                <c:pt idx="33">
                  <c:v>31.663914674602303</c:v>
                </c:pt>
                <c:pt idx="34">
                  <c:v>31.956399747628502</c:v>
                </c:pt>
                <c:pt idx="35">
                  <c:v>32.245159172527117</c:v>
                </c:pt>
                <c:pt idx="36">
                  <c:v>32.532669645816966</c:v>
                </c:pt>
                <c:pt idx="37">
                  <c:v>32.821758728102793</c:v>
                </c:pt>
                <c:pt idx="38">
                  <c:v>33.11219413315839</c:v>
                </c:pt>
                <c:pt idx="39">
                  <c:v>33.403523062573377</c:v>
                </c:pt>
                <c:pt idx="40">
                  <c:v>33.695292849411693</c:v>
                </c:pt>
                <c:pt idx="41">
                  <c:v>33.987050950106969</c:v>
                </c:pt>
                <c:pt idx="42">
                  <c:v>34.278344938147562</c:v>
                </c:pt>
                <c:pt idx="43">
                  <c:v>34.56873147799017</c:v>
                </c:pt>
                <c:pt idx="44">
                  <c:v>34.857990983815284</c:v>
                </c:pt>
                <c:pt idx="45">
                  <c:v>35.145671424835783</c:v>
                </c:pt>
                <c:pt idx="46">
                  <c:v>35.431320864703004</c:v>
                </c:pt>
                <c:pt idx="47">
                  <c:v>35.714487449224691</c:v>
                </c:pt>
                <c:pt idx="48">
                  <c:v>35.994719396924388</c:v>
                </c:pt>
                <c:pt idx="49">
                  <c:v>36.271564983399756</c:v>
                </c:pt>
                <c:pt idx="50">
                  <c:v>36.545507563756757</c:v>
                </c:pt>
                <c:pt idx="51">
                  <c:v>36.81742226881255</c:v>
                </c:pt>
                <c:pt idx="52">
                  <c:v>37.08741201112386</c:v>
                </c:pt>
                <c:pt idx="53">
                  <c:v>37.35556817473222</c:v>
                </c:pt>
                <c:pt idx="54">
                  <c:v>37.621981701543518</c:v>
                </c:pt>
                <c:pt idx="55">
                  <c:v>37.886743404793897</c:v>
                </c:pt>
                <c:pt idx="56">
                  <c:v>38.14994396167144</c:v>
                </c:pt>
                <c:pt idx="57">
                  <c:v>38.411739876769019</c:v>
                </c:pt>
                <c:pt idx="58">
                  <c:v>38.672212797279791</c:v>
                </c:pt>
                <c:pt idx="59">
                  <c:v>38.931453043110537</c:v>
                </c:pt>
                <c:pt idx="60">
                  <c:v>39.189550775196601</c:v>
                </c:pt>
                <c:pt idx="61">
                  <c:v>39.446595993205456</c:v>
                </c:pt>
                <c:pt idx="62">
                  <c:v>39.7026785311661</c:v>
                </c:pt>
                <c:pt idx="63">
                  <c:v>39.957888057059485</c:v>
                </c:pt>
                <c:pt idx="64">
                  <c:v>40.212675693405522</c:v>
                </c:pt>
                <c:pt idx="65">
                  <c:v>40.467280530855454</c:v>
                </c:pt>
                <c:pt idx="66">
                  <c:v>40.721399997830858</c:v>
                </c:pt>
                <c:pt idx="67">
                  <c:v>40.974761577731719</c:v>
                </c:pt>
                <c:pt idx="68">
                  <c:v>41.227092697906691</c:v>
                </c:pt>
                <c:pt idx="69">
                  <c:v>41.478120735842801</c:v>
                </c:pt>
                <c:pt idx="70">
                  <c:v>41.727573026143681</c:v>
                </c:pt>
                <c:pt idx="71">
                  <c:v>41.975153304932491</c:v>
                </c:pt>
                <c:pt idx="72">
                  <c:v>42.22052258374331</c:v>
                </c:pt>
                <c:pt idx="73">
                  <c:v>42.463408025943835</c:v>
                </c:pt>
                <c:pt idx="74">
                  <c:v>42.703536772665167</c:v>
                </c:pt>
                <c:pt idx="75">
                  <c:v>42.940635955824668</c:v>
                </c:pt>
                <c:pt idx="76">
                  <c:v>43.174432701333338</c:v>
                </c:pt>
                <c:pt idx="77">
                  <c:v>43.404654146026225</c:v>
                </c:pt>
                <c:pt idx="78">
                  <c:v>43.63307471514694</c:v>
                </c:pt>
                <c:pt idx="79">
                  <c:v>43.861219533882299</c:v>
                </c:pt>
                <c:pt idx="80">
                  <c:v>44.088423956385959</c:v>
                </c:pt>
                <c:pt idx="81">
                  <c:v>44.314053188187657</c:v>
                </c:pt>
                <c:pt idx="82">
                  <c:v>44.537472566917671</c:v>
                </c:pt>
                <c:pt idx="83">
                  <c:v>44.758047575150222</c:v>
                </c:pt>
                <c:pt idx="84">
                  <c:v>44.975143855701155</c:v>
                </c:pt>
                <c:pt idx="85">
                  <c:v>45.188107369064674</c:v>
                </c:pt>
                <c:pt idx="86">
                  <c:v>45.39632773068746</c:v>
                </c:pt>
                <c:pt idx="87">
                  <c:v>45.599171122981716</c:v>
                </c:pt>
                <c:pt idx="88">
                  <c:v>45.796003945400457</c:v>
                </c:pt>
                <c:pt idx="89">
                  <c:v>45.986192825958746</c:v>
                </c:pt>
                <c:pt idx="90">
                  <c:v>46.16910464457149</c:v>
                </c:pt>
                <c:pt idx="91">
                  <c:v>46.344106540712303</c:v>
                </c:pt>
                <c:pt idx="92">
                  <c:v>46.511167435706554</c:v>
                </c:pt>
                <c:pt idx="93">
                  <c:v>46.670923722965824</c:v>
                </c:pt>
                <c:pt idx="94">
                  <c:v>46.823832810786435</c:v>
                </c:pt>
                <c:pt idx="95">
                  <c:v>46.970344251704667</c:v>
                </c:pt>
                <c:pt idx="96">
                  <c:v>47.110907490407023</c:v>
                </c:pt>
                <c:pt idx="97">
                  <c:v>47.245971863999529</c:v>
                </c:pt>
                <c:pt idx="98">
                  <c:v>47.375986594119809</c:v>
                </c:pt>
                <c:pt idx="99">
                  <c:v>47.501301565538853</c:v>
                </c:pt>
                <c:pt idx="100">
                  <c:v>47.622385204426919</c:v>
                </c:pt>
                <c:pt idx="101">
                  <c:v>47.739685473209313</c:v>
                </c:pt>
                <c:pt idx="102">
                  <c:v>47.853650122522822</c:v>
                </c:pt>
                <c:pt idx="103">
                  <c:v>47.964726691019465</c:v>
                </c:pt>
                <c:pt idx="104">
                  <c:v>48.073362499382547</c:v>
                </c:pt>
                <c:pt idx="105">
                  <c:v>48.180004642076895</c:v>
                </c:pt>
                <c:pt idx="106">
                  <c:v>48.284168903938749</c:v>
                </c:pt>
                <c:pt idx="107">
                  <c:v>48.384915234184099</c:v>
                </c:pt>
                <c:pt idx="108">
                  <c:v>48.482206318050856</c:v>
                </c:pt>
                <c:pt idx="109">
                  <c:v>48.575948253001776</c:v>
                </c:pt>
                <c:pt idx="110">
                  <c:v>48.666047005373166</c:v>
                </c:pt>
                <c:pt idx="111">
                  <c:v>48.75240852341949</c:v>
                </c:pt>
                <c:pt idx="112">
                  <c:v>48.834938881464204</c:v>
                </c:pt>
                <c:pt idx="113">
                  <c:v>48.91348750142587</c:v>
                </c:pt>
                <c:pt idx="114">
                  <c:v>48.988065589584799</c:v>
                </c:pt>
                <c:pt idx="115">
                  <c:v>49.058580123528152</c:v>
                </c:pt>
                <c:pt idx="116">
                  <c:v>49.124938195683562</c:v>
                </c:pt>
                <c:pt idx="117">
                  <c:v>49.187047026715618</c:v>
                </c:pt>
                <c:pt idx="118">
                  <c:v>49.244813983881471</c:v>
                </c:pt>
                <c:pt idx="119">
                  <c:v>49.298146597134064</c:v>
                </c:pt>
                <c:pt idx="120">
                  <c:v>55.880237493188297</c:v>
                </c:pt>
                <c:pt idx="121">
                  <c:v>55.927479600257158</c:v>
                </c:pt>
                <c:pt idx="122">
                  <c:v>55.969399617074487</c:v>
                </c:pt>
                <c:pt idx="123">
                  <c:v>56.006300791348657</c:v>
                </c:pt>
                <c:pt idx="124">
                  <c:v>56.038486155751826</c:v>
                </c:pt>
                <c:pt idx="125">
                  <c:v>56.066258541441329</c:v>
                </c:pt>
                <c:pt idx="126">
                  <c:v>56.089920594481043</c:v>
                </c:pt>
                <c:pt idx="127">
                  <c:v>56.109769896216605</c:v>
                </c:pt>
                <c:pt idx="128">
                  <c:v>56.126179405803903</c:v>
                </c:pt>
                <c:pt idx="129">
                  <c:v>56.139452735203839</c:v>
                </c:pt>
                <c:pt idx="130">
                  <c:v>56.149893430106438</c:v>
                </c:pt>
                <c:pt idx="131">
                  <c:v>56.1578049926392</c:v>
                </c:pt>
                <c:pt idx="132">
                  <c:v>56.163490892649286</c:v>
                </c:pt>
                <c:pt idx="133">
                  <c:v>56.167254585940704</c:v>
                </c:pt>
                <c:pt idx="134">
                  <c:v>56.168417186566359</c:v>
                </c:pt>
                <c:pt idx="135">
                  <c:v>56.166183697688773</c:v>
                </c:pt>
                <c:pt idx="136">
                  <c:v>56.160725897877391</c:v>
                </c:pt>
                <c:pt idx="137">
                  <c:v>56.152147453264142</c:v>
                </c:pt>
                <c:pt idx="138">
                  <c:v>56.140552269386411</c:v>
                </c:pt>
                <c:pt idx="139">
                  <c:v>56.126044497949735</c:v>
                </c:pt>
                <c:pt idx="140">
                  <c:v>56.108728546328031</c:v>
                </c:pt>
                <c:pt idx="141">
                  <c:v>56.088699482553288</c:v>
                </c:pt>
                <c:pt idx="142">
                  <c:v>56.066069358887589</c:v>
                </c:pt>
                <c:pt idx="143">
                  <c:v>56.04094479147119</c:v>
                </c:pt>
                <c:pt idx="144">
                  <c:v>56.013431268994808</c:v>
                </c:pt>
                <c:pt idx="145">
                  <c:v>55.983634500677319</c:v>
                </c:pt>
                <c:pt idx="146">
                  <c:v>55.951660415223429</c:v>
                </c:pt>
                <c:pt idx="147">
                  <c:v>55.917615149767379</c:v>
                </c:pt>
                <c:pt idx="148">
                  <c:v>55.88157124835017</c:v>
                </c:pt>
                <c:pt idx="149">
                  <c:v>55.843574302472298</c:v>
                </c:pt>
                <c:pt idx="150">
                  <c:v>55.803509908842813</c:v>
                </c:pt>
                <c:pt idx="151">
                  <c:v>55.76128422228372</c:v>
                </c:pt>
                <c:pt idx="152">
                  <c:v>55.716803645176654</c:v>
                </c:pt>
                <c:pt idx="153">
                  <c:v>55.669974801226374</c:v>
                </c:pt>
                <c:pt idx="154">
                  <c:v>55.620704509515114</c:v>
                </c:pt>
                <c:pt idx="155">
                  <c:v>55.56915270381608</c:v>
                </c:pt>
                <c:pt idx="156">
                  <c:v>55.515240501536155</c:v>
                </c:pt>
                <c:pt idx="157">
                  <c:v>55.458879273154693</c:v>
                </c:pt>
                <c:pt idx="158">
                  <c:v>55.399980288447132</c:v>
                </c:pt>
                <c:pt idx="159">
                  <c:v>55.338454676958392</c:v>
                </c:pt>
                <c:pt idx="160">
                  <c:v>55.274213381845669</c:v>
                </c:pt>
                <c:pt idx="161">
                  <c:v>55.207167121807139</c:v>
                </c:pt>
                <c:pt idx="162">
                  <c:v>55.136602674870652</c:v>
                </c:pt>
                <c:pt idx="163">
                  <c:v>55.062257636486898</c:v>
                </c:pt>
                <c:pt idx="164">
                  <c:v>54.984431822204371</c:v>
                </c:pt>
                <c:pt idx="165">
                  <c:v>54.903540396657469</c:v>
                </c:pt>
                <c:pt idx="166">
                  <c:v>54.819997779258159</c:v>
                </c:pt>
                <c:pt idx="167">
                  <c:v>54.734217626411699</c:v>
                </c:pt>
                <c:pt idx="168">
                  <c:v>54.646612802833332</c:v>
                </c:pt>
                <c:pt idx="169">
                  <c:v>54.557712467301336</c:v>
                </c:pt>
                <c:pt idx="170">
                  <c:v>54.467658135112615</c:v>
                </c:pt>
                <c:pt idx="171">
                  <c:v>54.376858849432416</c:v>
                </c:pt>
                <c:pt idx="172">
                  <c:v>54.285722939953516</c:v>
                </c:pt>
                <c:pt idx="173">
                  <c:v>54.194662534353284</c:v>
                </c:pt>
                <c:pt idx="174">
                  <c:v>54.10408933582746</c:v>
                </c:pt>
                <c:pt idx="175">
                  <c:v>54.014409940855266</c:v>
                </c:pt>
                <c:pt idx="176">
                  <c:v>53.925021236937198</c:v>
                </c:pt>
                <c:pt idx="177">
                  <c:v>53.835328127719549</c:v>
                </c:pt>
                <c:pt idx="178">
                  <c:v>53.745213498932053</c:v>
                </c:pt>
                <c:pt idx="179">
                  <c:v>53.65467964035966</c:v>
                </c:pt>
                <c:pt idx="180">
                  <c:v>53.563728279918216</c:v>
                </c:pt>
                <c:pt idx="181">
                  <c:v>53.472360603435071</c:v>
                </c:pt>
                <c:pt idx="182">
                  <c:v>53.380577280227605</c:v>
                </c:pt>
                <c:pt idx="183">
                  <c:v>53.288503925882388</c:v>
                </c:pt>
                <c:pt idx="184">
                  <c:v>53.196017848500595</c:v>
                </c:pt>
                <c:pt idx="185">
                  <c:v>53.103118151124278</c:v>
                </c:pt>
                <c:pt idx="186">
                  <c:v>53.009803550461847</c:v>
                </c:pt>
                <c:pt idx="187">
                  <c:v>52.916072412256334</c:v>
                </c:pt>
                <c:pt idx="188">
                  <c:v>52.821922788465187</c:v>
                </c:pt>
                <c:pt idx="189">
                  <c:v>52.727352455203352</c:v>
                </c:pt>
                <c:pt idx="190">
                  <c:v>52.631922744795759</c:v>
                </c:pt>
                <c:pt idx="191">
                  <c:v>52.535320623201606</c:v>
                </c:pt>
                <c:pt idx="192">
                  <c:v>52.437461717078534</c:v>
                </c:pt>
                <c:pt idx="193">
                  <c:v>52.338544160737449</c:v>
                </c:pt>
                <c:pt idx="194">
                  <c:v>52.238765998766226</c:v>
                </c:pt>
                <c:pt idx="195">
                  <c:v>52.138325205382458</c:v>
                </c:pt>
                <c:pt idx="196">
                  <c:v>52.037419704441113</c:v>
                </c:pt>
                <c:pt idx="197">
                  <c:v>51.936271319609936</c:v>
                </c:pt>
                <c:pt idx="198">
                  <c:v>51.834950536175569</c:v>
                </c:pt>
                <c:pt idx="199">
                  <c:v>51.733655088197139</c:v>
                </c:pt>
                <c:pt idx="200">
                  <c:v>51.63258275285915</c:v>
                </c:pt>
                <c:pt idx="201">
                  <c:v>51.531931355741271</c:v>
                </c:pt>
                <c:pt idx="202">
                  <c:v>51.431898774957425</c:v>
                </c:pt>
                <c:pt idx="203">
                  <c:v>51.332682943928688</c:v>
                </c:pt>
                <c:pt idx="204">
                  <c:v>51.234197763140827</c:v>
                </c:pt>
                <c:pt idx="205">
                  <c:v>51.136147264758939</c:v>
                </c:pt>
                <c:pt idx="206">
                  <c:v>51.038436923808256</c:v>
                </c:pt>
                <c:pt idx="207">
                  <c:v>50.940964231969886</c:v>
                </c:pt>
                <c:pt idx="208">
                  <c:v>50.843626899121418</c:v>
                </c:pt>
                <c:pt idx="209">
                  <c:v>50.746322847369314</c:v>
                </c:pt>
                <c:pt idx="210">
                  <c:v>50.648950204354627</c:v>
                </c:pt>
                <c:pt idx="211">
                  <c:v>50.551312513704083</c:v>
                </c:pt>
                <c:pt idx="212">
                  <c:v>50.453284312823271</c:v>
                </c:pt>
                <c:pt idx="213">
                  <c:v>50.354764284286063</c:v>
                </c:pt>
                <c:pt idx="214">
                  <c:v>50.255651301613561</c:v>
                </c:pt>
                <c:pt idx="215">
                  <c:v>50.155844419151393</c:v>
                </c:pt>
                <c:pt idx="216">
                  <c:v>50.055242860747825</c:v>
                </c:pt>
                <c:pt idx="217">
                  <c:v>49.953746010700876</c:v>
                </c:pt>
                <c:pt idx="218">
                  <c:v>49.851324618410722</c:v>
                </c:pt>
                <c:pt idx="219">
                  <c:v>49.747969951745816</c:v>
                </c:pt>
                <c:pt idx="220">
                  <c:v>49.643774221138322</c:v>
                </c:pt>
                <c:pt idx="221">
                  <c:v>49.538820093955835</c:v>
                </c:pt>
                <c:pt idx="222">
                  <c:v>49.433190249529325</c:v>
                </c:pt>
                <c:pt idx="223">
                  <c:v>49.326967372837935</c:v>
                </c:pt>
                <c:pt idx="224">
                  <c:v>49.220234149163957</c:v>
                </c:pt>
                <c:pt idx="225">
                  <c:v>49.112900861513786</c:v>
                </c:pt>
                <c:pt idx="226">
                  <c:v>49.005145077846919</c:v>
                </c:pt>
                <c:pt idx="227">
                  <c:v>48.897049554412064</c:v>
                </c:pt>
                <c:pt idx="228">
                  <c:v>48.788697040692966</c:v>
                </c:pt>
                <c:pt idx="229">
                  <c:v>48.680170277358364</c:v>
                </c:pt>
                <c:pt idx="230">
                  <c:v>48.571551995635396</c:v>
                </c:pt>
                <c:pt idx="231">
                  <c:v>48.462924916697879</c:v>
                </c:pt>
                <c:pt idx="232">
                  <c:v>48.355171801423793</c:v>
                </c:pt>
                <c:pt idx="233">
                  <c:v>48.24862330667105</c:v>
                </c:pt>
                <c:pt idx="234">
                  <c:v>48.142916034301159</c:v>
                </c:pt>
                <c:pt idx="235">
                  <c:v>48.037585559371493</c:v>
                </c:pt>
                <c:pt idx="236">
                  <c:v>47.932167786859338</c:v>
                </c:pt>
                <c:pt idx="237">
                  <c:v>47.826199044073363</c:v>
                </c:pt>
                <c:pt idx="238">
                  <c:v>47.719216017214222</c:v>
                </c:pt>
                <c:pt idx="239">
                  <c:v>47.610649721171988</c:v>
                </c:pt>
                <c:pt idx="240">
                  <c:v>47.500208973143842</c:v>
                </c:pt>
                <c:pt idx="241">
                  <c:v>47.387431399544703</c:v>
                </c:pt>
                <c:pt idx="242">
                  <c:v>47.271854980370556</c:v>
                </c:pt>
                <c:pt idx="243">
                  <c:v>47.153018053377551</c:v>
                </c:pt>
                <c:pt idx="244">
                  <c:v>47.030459314065183</c:v>
                </c:pt>
                <c:pt idx="245">
                  <c:v>46.903717821049682</c:v>
                </c:pt>
                <c:pt idx="246">
                  <c:v>46.774144317762932</c:v>
                </c:pt>
                <c:pt idx="247">
                  <c:v>46.643164633525835</c:v>
                </c:pt>
                <c:pt idx="248">
                  <c:v>46.510664671145584</c:v>
                </c:pt>
                <c:pt idx="249">
                  <c:v>46.376345092611501</c:v>
                </c:pt>
                <c:pt idx="250">
                  <c:v>46.239906806138713</c:v>
                </c:pt>
                <c:pt idx="251">
                  <c:v>46.101050964884024</c:v>
                </c:pt>
                <c:pt idx="252">
                  <c:v>45.959478974337664</c:v>
                </c:pt>
                <c:pt idx="253">
                  <c:v>45.814885939742773</c:v>
                </c:pt>
                <c:pt idx="254">
                  <c:v>45.667078385929969</c:v>
                </c:pt>
                <c:pt idx="255">
                  <c:v>45.515758109130203</c:v>
                </c:pt>
                <c:pt idx="256">
                  <c:v>45.360627127586326</c:v>
                </c:pt>
                <c:pt idx="257">
                  <c:v>45.2013876774514</c:v>
                </c:pt>
                <c:pt idx="258">
                  <c:v>45.037742219124254</c:v>
                </c:pt>
                <c:pt idx="259">
                  <c:v>44.869393427784331</c:v>
                </c:pt>
                <c:pt idx="260">
                  <c:v>44.696650975639102</c:v>
                </c:pt>
                <c:pt idx="261">
                  <c:v>44.520038501388129</c:v>
                </c:pt>
                <c:pt idx="262">
                  <c:v>44.33965767843106</c:v>
                </c:pt>
                <c:pt idx="263">
                  <c:v>44.155578294650212</c:v>
                </c:pt>
                <c:pt idx="264">
                  <c:v>43.96787012546514</c:v>
                </c:pt>
                <c:pt idx="265">
                  <c:v>43.776602262797901</c:v>
                </c:pt>
                <c:pt idx="266">
                  <c:v>43.58184407884945</c:v>
                </c:pt>
                <c:pt idx="267">
                  <c:v>43.383739945015996</c:v>
                </c:pt>
                <c:pt idx="268">
                  <c:v>43.182365508290957</c:v>
                </c:pt>
                <c:pt idx="269">
                  <c:v>42.977789997770053</c:v>
                </c:pt>
                <c:pt idx="270">
                  <c:v>42.770082571763538</c:v>
                </c:pt>
                <c:pt idx="271">
                  <c:v>42.559312307975738</c:v>
                </c:pt>
                <c:pt idx="272">
                  <c:v>42.345548198750571</c:v>
                </c:pt>
                <c:pt idx="273">
                  <c:v>42.128859137699436</c:v>
                </c:pt>
                <c:pt idx="274">
                  <c:v>41.908680711855617</c:v>
                </c:pt>
                <c:pt idx="275">
                  <c:v>41.684673570291416</c:v>
                </c:pt>
                <c:pt idx="276">
                  <c:v>41.457083787162787</c:v>
                </c:pt>
                <c:pt idx="277">
                  <c:v>41.226127369274316</c:v>
                </c:pt>
                <c:pt idx="278">
                  <c:v>40.992019967517138</c:v>
                </c:pt>
                <c:pt idx="279">
                  <c:v>40.754976869975408</c:v>
                </c:pt>
                <c:pt idx="280">
                  <c:v>40.515212986859588</c:v>
                </c:pt>
                <c:pt idx="281">
                  <c:v>40.272993363703925</c:v>
                </c:pt>
                <c:pt idx="282">
                  <c:v>40.028460365698379</c:v>
                </c:pt>
                <c:pt idx="283">
                  <c:v>39.781827950044814</c:v>
                </c:pt>
                <c:pt idx="284">
                  <c:v>39.53330968333745</c:v>
                </c:pt>
                <c:pt idx="285">
                  <c:v>39.283118740115945</c:v>
                </c:pt>
                <c:pt idx="286">
                  <c:v>39.031467902167506</c:v>
                </c:pt>
                <c:pt idx="287">
                  <c:v>38.778569558334191</c:v>
                </c:pt>
                <c:pt idx="288">
                  <c:v>38.52431300441215</c:v>
                </c:pt>
                <c:pt idx="289">
                  <c:v>38.268342321469532</c:v>
                </c:pt>
                <c:pt idx="290">
                  <c:v>38.010437707960314</c:v>
                </c:pt>
                <c:pt idx="291">
                  <c:v>37.750498892212462</c:v>
                </c:pt>
                <c:pt idx="292">
                  <c:v>37.488425515959491</c:v>
                </c:pt>
                <c:pt idx="293">
                  <c:v>37.224117139444211</c:v>
                </c:pt>
                <c:pt idx="294">
                  <c:v>36.957473246160902</c:v>
                </c:pt>
                <c:pt idx="295">
                  <c:v>36.688118568565443</c:v>
                </c:pt>
                <c:pt idx="296">
                  <c:v>36.415909144912654</c:v>
                </c:pt>
                <c:pt idx="297">
                  <c:v>36.140749272158452</c:v>
                </c:pt>
                <c:pt idx="298">
                  <c:v>35.8625444547406</c:v>
                </c:pt>
                <c:pt idx="299">
                  <c:v>35.581200280205607</c:v>
                </c:pt>
                <c:pt idx="300">
                  <c:v>35.296622399301299</c:v>
                </c:pt>
                <c:pt idx="301">
                  <c:v>35.008716511595168</c:v>
                </c:pt>
                <c:pt idx="302">
                  <c:v>34.714632655215347</c:v>
                </c:pt>
                <c:pt idx="303">
                  <c:v>34.412073286216739</c:v>
                </c:pt>
                <c:pt idx="304">
                  <c:v>34.102472130813268</c:v>
                </c:pt>
                <c:pt idx="305">
                  <c:v>33.787229074061813</c:v>
                </c:pt>
                <c:pt idx="306">
                  <c:v>33.467743218301656</c:v>
                </c:pt>
                <c:pt idx="307">
                  <c:v>33.145412833058721</c:v>
                </c:pt>
                <c:pt idx="308">
                  <c:v>32.821635298656375</c:v>
                </c:pt>
                <c:pt idx="309">
                  <c:v>32.497800745534221</c:v>
                </c:pt>
                <c:pt idx="310">
                  <c:v>32.175553105420875</c:v>
                </c:pt>
                <c:pt idx="311">
                  <c:v>31.856281684223713</c:v>
                </c:pt>
                <c:pt idx="312">
                  <c:v>31.541374764758572</c:v>
                </c:pt>
                <c:pt idx="313">
                  <c:v>31.232219577991824</c:v>
                </c:pt>
                <c:pt idx="314">
                  <c:v>30.930202287328814</c:v>
                </c:pt>
                <c:pt idx="315">
                  <c:v>30.636707964561666</c:v>
                </c:pt>
                <c:pt idx="316">
                  <c:v>30.348804629592465</c:v>
                </c:pt>
                <c:pt idx="317">
                  <c:v>30.063189325468844</c:v>
                </c:pt>
                <c:pt idx="318">
                  <c:v>29.780647780960077</c:v>
                </c:pt>
                <c:pt idx="319">
                  <c:v>29.501562626273451</c:v>
                </c:pt>
                <c:pt idx="320">
                  <c:v>29.226316423356938</c:v>
                </c:pt>
                <c:pt idx="321">
                  <c:v>28.955291728175194</c:v>
                </c:pt>
                <c:pt idx="322">
                  <c:v>28.688871132952244</c:v>
                </c:pt>
                <c:pt idx="323">
                  <c:v>28.427657099415384</c:v>
                </c:pt>
                <c:pt idx="324">
                  <c:v>28.172033769309586</c:v>
                </c:pt>
                <c:pt idx="325">
                  <c:v>27.922380154278926</c:v>
                </c:pt>
                <c:pt idx="326">
                  <c:v>27.679077357794551</c:v>
                </c:pt>
                <c:pt idx="327">
                  <c:v>27.442505982927244</c:v>
                </c:pt>
                <c:pt idx="328">
                  <c:v>27.213045833444674</c:v>
                </c:pt>
                <c:pt idx="329">
                  <c:v>26.991077240248796</c:v>
                </c:pt>
                <c:pt idx="330">
                  <c:v>26.772360158491793</c:v>
                </c:pt>
                <c:pt idx="331">
                  <c:v>26.553779939164819</c:v>
                </c:pt>
                <c:pt idx="332">
                  <c:v>26.336738144736163</c:v>
                </c:pt>
                <c:pt idx="333">
                  <c:v>26.122902518936655</c:v>
                </c:pt>
                <c:pt idx="334">
                  <c:v>25.913940816017028</c:v>
                </c:pt>
                <c:pt idx="335">
                  <c:v>25.71152077911178</c:v>
                </c:pt>
                <c:pt idx="336">
                  <c:v>25.517310127519348</c:v>
                </c:pt>
                <c:pt idx="337">
                  <c:v>25.332988091171831</c:v>
                </c:pt>
                <c:pt idx="338">
                  <c:v>25.160018606252702</c:v>
                </c:pt>
                <c:pt idx="339">
                  <c:v>25.00007126962446</c:v>
                </c:pt>
                <c:pt idx="340">
                  <c:v>24.85481527522521</c:v>
                </c:pt>
                <c:pt idx="341">
                  <c:v>24.725919407847318</c:v>
                </c:pt>
                <c:pt idx="342">
                  <c:v>24.615051999508392</c:v>
                </c:pt>
                <c:pt idx="343">
                  <c:v>24.523880873501177</c:v>
                </c:pt>
                <c:pt idx="344">
                  <c:v>24.450911322106968</c:v>
                </c:pt>
                <c:pt idx="345">
                  <c:v>24.393218699787205</c:v>
                </c:pt>
                <c:pt idx="346">
                  <c:v>24.349894178492978</c:v>
                </c:pt>
                <c:pt idx="347">
                  <c:v>24.320464052759046</c:v>
                </c:pt>
                <c:pt idx="348">
                  <c:v>24.304454659336205</c:v>
                </c:pt>
                <c:pt idx="349">
                  <c:v>24.301392367764535</c:v>
                </c:pt>
                <c:pt idx="350">
                  <c:v>24.31080359040542</c:v>
                </c:pt>
                <c:pt idx="351">
                  <c:v>24.33203785953113</c:v>
                </c:pt>
                <c:pt idx="352">
                  <c:v>24.364611314758974</c:v>
                </c:pt>
                <c:pt idx="353">
                  <c:v>24.408051137289693</c:v>
                </c:pt>
                <c:pt idx="354">
                  <c:v>24.461884407644856</c:v>
                </c:pt>
                <c:pt idx="355">
                  <c:v>24.525638110117882</c:v>
                </c:pt>
                <c:pt idx="356">
                  <c:v>24.598839807854119</c:v>
                </c:pt>
                <c:pt idx="357">
                  <c:v>24.681015985003722</c:v>
                </c:pt>
                <c:pt idx="358">
                  <c:v>24.776208387354529</c:v>
                </c:pt>
                <c:pt idx="359">
                  <c:v>24.887817998097699</c:v>
                </c:pt>
                <c:pt idx="360">
                  <c:v>25.014422930039686</c:v>
                </c:pt>
                <c:pt idx="361">
                  <c:v>25.154766096028176</c:v>
                </c:pt>
                <c:pt idx="362">
                  <c:v>25.307415455607224</c:v>
                </c:pt>
                <c:pt idx="363">
                  <c:v>25.470939626078039</c:v>
                </c:pt>
                <c:pt idx="364">
                  <c:v>25.643907882648577</c:v>
                </c:pt>
                <c:pt idx="365">
                  <c:v>25.824890165719566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23.508658891754909</c:v>
                </c:pt>
                <c:pt idx="1">
                  <c:v>16.429431438405224</c:v>
                </c:pt>
                <c:pt idx="2">
                  <c:v>17.404160615466036</c:v>
                </c:pt>
                <c:pt idx="3">
                  <c:v>18.197137261420067</c:v>
                </c:pt>
                <c:pt idx="4">
                  <c:v>12.854293401638676</c:v>
                </c:pt>
                <c:pt idx="5">
                  <c:v>23.642307294664988</c:v>
                </c:pt>
                <c:pt idx="6">
                  <c:v>8.593329206759746</c:v>
                </c:pt>
                <c:pt idx="7">
                  <c:v>4.9816320202579645</c:v>
                </c:pt>
                <c:pt idx="8">
                  <c:v>1.4812570616550063</c:v>
                </c:pt>
                <c:pt idx="9">
                  <c:v>1.3707257359247205</c:v>
                </c:pt>
                <c:pt idx="10">
                  <c:v>25.43216782308463</c:v>
                </c:pt>
                <c:pt idx="11">
                  <c:v>20.628104097332333</c:v>
                </c:pt>
                <c:pt idx="12">
                  <c:v>4.8201684487394534</c:v>
                </c:pt>
                <c:pt idx="13">
                  <c:v>26.403830223520472</c:v>
                </c:pt>
                <c:pt idx="14">
                  <c:v>26.25894816959039</c:v>
                </c:pt>
                <c:pt idx="15">
                  <c:v>25.976701031627762</c:v>
                </c:pt>
                <c:pt idx="16">
                  <c:v>18.006638991112908</c:v>
                </c:pt>
                <c:pt idx="17">
                  <c:v>3.853230597354782</c:v>
                </c:pt>
                <c:pt idx="18">
                  <c:v>9.3360319412231068</c:v>
                </c:pt>
                <c:pt idx="19">
                  <c:v>5.1546182392389674</c:v>
                </c:pt>
                <c:pt idx="20">
                  <c:v>15.167989340623144</c:v>
                </c:pt>
                <c:pt idx="21">
                  <c:v>27.406337308960119</c:v>
                </c:pt>
                <c:pt idx="22">
                  <c:v>27.467537668149671</c:v>
                </c:pt>
                <c:pt idx="23">
                  <c:v>27.732620834302619</c:v>
                </c:pt>
                <c:pt idx="24">
                  <c:v>27.322064327205123</c:v>
                </c:pt>
                <c:pt idx="25">
                  <c:v>28.032477180380265</c:v>
                </c:pt>
                <c:pt idx="26">
                  <c:v>27.781466382008198</c:v>
                </c:pt>
                <c:pt idx="27">
                  <c:v>3.764491522229227</c:v>
                </c:pt>
                <c:pt idx="28">
                  <c:v>5.5975636099055492</c:v>
                </c:pt>
                <c:pt idx="29">
                  <c:v>4.5907657261748342</c:v>
                </c:pt>
                <c:pt idx="30">
                  <c:v>6.3002665342445399</c:v>
                </c:pt>
                <c:pt idx="31">
                  <c:v>13.036421458910292</c:v>
                </c:pt>
                <c:pt idx="32">
                  <c:v>4.9065702976485008</c:v>
                </c:pt>
                <c:pt idx="33">
                  <c:v>10.733294050023966</c:v>
                </c:pt>
                <c:pt idx="34">
                  <c:v>10.294999038064772</c:v>
                </c:pt>
                <c:pt idx="35">
                  <c:v>9.7275166746315822</c:v>
                </c:pt>
                <c:pt idx="36">
                  <c:v>21.467916122165946</c:v>
                </c:pt>
                <c:pt idx="37">
                  <c:v>8.4552307969023115</c:v>
                </c:pt>
                <c:pt idx="38">
                  <c:v>32.65940563779008</c:v>
                </c:pt>
                <c:pt idx="39">
                  <c:v>32.734008193880349</c:v>
                </c:pt>
                <c:pt idx="40">
                  <c:v>30.416182394684494</c:v>
                </c:pt>
                <c:pt idx="41">
                  <c:v>15.312131250929058</c:v>
                </c:pt>
                <c:pt idx="42">
                  <c:v>25.468591678668879</c:v>
                </c:pt>
                <c:pt idx="43">
                  <c:v>31.124823990434738</c:v>
                </c:pt>
                <c:pt idx="44">
                  <c:v>17.267196320825665</c:v>
                </c:pt>
                <c:pt idx="45">
                  <c:v>17.016770543279076</c:v>
                </c:pt>
                <c:pt idx="46">
                  <c:v>7.4014142192831773</c:v>
                </c:pt>
                <c:pt idx="47">
                  <c:v>8.6496675929702391</c:v>
                </c:pt>
                <c:pt idx="48">
                  <c:v>28.349585429562598</c:v>
                </c:pt>
                <c:pt idx="49">
                  <c:v>17.286736555574116</c:v>
                </c:pt>
                <c:pt idx="50">
                  <c:v>20.376783791191365</c:v>
                </c:pt>
                <c:pt idx="51">
                  <c:v>20.064286533381889</c:v>
                </c:pt>
                <c:pt idx="52">
                  <c:v>32.856508677119947</c:v>
                </c:pt>
                <c:pt idx="53">
                  <c:v>34.273537827813335</c:v>
                </c:pt>
                <c:pt idx="54">
                  <c:v>19.496803069690934</c:v>
                </c:pt>
                <c:pt idx="55">
                  <c:v>28.357252040710932</c:v>
                </c:pt>
                <c:pt idx="56">
                  <c:v>38.275963600993457</c:v>
                </c:pt>
                <c:pt idx="57">
                  <c:v>26.416670764329098</c:v>
                </c:pt>
                <c:pt idx="58">
                  <c:v>30.607775741440175</c:v>
                </c:pt>
                <c:pt idx="59">
                  <c:v>39.123153113177942</c:v>
                </c:pt>
                <c:pt idx="60">
                  <c:v>9.86702579556008</c:v>
                </c:pt>
                <c:pt idx="61">
                  <c:v>36.996107838663441</c:v>
                </c:pt>
                <c:pt idx="62">
                  <c:v>3.9557263334072705</c:v>
                </c:pt>
                <c:pt idx="63">
                  <c:v>14.064555120883668</c:v>
                </c:pt>
                <c:pt idx="64">
                  <c:v>19.913857658476889</c:v>
                </c:pt>
                <c:pt idx="65">
                  <c:v>30.217120760411483</c:v>
                </c:pt>
                <c:pt idx="66">
                  <c:v>28.988802676378917</c:v>
                </c:pt>
                <c:pt idx="67">
                  <c:v>30.6002829367015</c:v>
                </c:pt>
                <c:pt idx="68">
                  <c:v>22.148117301316411</c:v>
                </c:pt>
                <c:pt idx="69">
                  <c:v>14.767955998756008</c:v>
                </c:pt>
                <c:pt idx="70">
                  <c:v>12.195506065222993</c:v>
                </c:pt>
                <c:pt idx="71">
                  <c:v>11.480450657376819</c:v>
                </c:pt>
                <c:pt idx="72">
                  <c:v>12.129466017391348</c:v>
                </c:pt>
                <c:pt idx="73">
                  <c:v>13.771340333273605</c:v>
                </c:pt>
                <c:pt idx="74">
                  <c:v>9.4534014773624193</c:v>
                </c:pt>
                <c:pt idx="75">
                  <c:v>10.237636406751918</c:v>
                </c:pt>
                <c:pt idx="76">
                  <c:v>12.557339254798471</c:v>
                </c:pt>
                <c:pt idx="77">
                  <c:v>28.775195981656001</c:v>
                </c:pt>
                <c:pt idx="78">
                  <c:v>29.669836750579677</c:v>
                </c:pt>
                <c:pt idx="79">
                  <c:v>42.786922555352632</c:v>
                </c:pt>
                <c:pt idx="80">
                  <c:v>37.759945990746111</c:v>
                </c:pt>
                <c:pt idx="81">
                  <c:v>44.467088676715335</c:v>
                </c:pt>
                <c:pt idx="82">
                  <c:v>41.857010039716194</c:v>
                </c:pt>
                <c:pt idx="83">
                  <c:v>38.107769142260558</c:v>
                </c:pt>
                <c:pt idx="84">
                  <c:v>41.395436281244642</c:v>
                </c:pt>
                <c:pt idx="85">
                  <c:v>42.078864869434632</c:v>
                </c:pt>
                <c:pt idx="86">
                  <c:v>32.284263416958822</c:v>
                </c:pt>
                <c:pt idx="87">
                  <c:v>25.444460077746225</c:v>
                </c:pt>
                <c:pt idx="88">
                  <c:v>6.6423089181829971</c:v>
                </c:pt>
                <c:pt idx="89">
                  <c:v>19.773129809015991</c:v>
                </c:pt>
                <c:pt idx="90">
                  <c:v>29.455278561848111</c:v>
                </c:pt>
                <c:pt idx="91">
                  <c:v>18.068744410626941</c:v>
                </c:pt>
                <c:pt idx="92">
                  <c:v>23.076456521434135</c:v>
                </c:pt>
                <c:pt idx="93">
                  <c:v>40.47090293879085</c:v>
                </c:pt>
                <c:pt idx="94">
                  <c:v>46.641103931786631</c:v>
                </c:pt>
                <c:pt idx="95">
                  <c:v>10.954427673552631</c:v>
                </c:pt>
                <c:pt idx="96">
                  <c:v>36.084601844404908</c:v>
                </c:pt>
                <c:pt idx="97">
                  <c:v>29.279268587552952</c:v>
                </c:pt>
                <c:pt idx="98">
                  <c:v>31.956786648141374</c:v>
                </c:pt>
                <c:pt idx="99">
                  <c:v>48.85530430358645</c:v>
                </c:pt>
                <c:pt idx="100">
                  <c:v>40.315977991429087</c:v>
                </c:pt>
                <c:pt idx="101">
                  <c:v>2.2780880772542238</c:v>
                </c:pt>
                <c:pt idx="102">
                  <c:v>0</c:v>
                </c:pt>
                <c:pt idx="103">
                  <c:v>38.266347011152853</c:v>
                </c:pt>
                <c:pt idx="104">
                  <c:v>42.590668473040381</c:v>
                </c:pt>
                <c:pt idx="105">
                  <c:v>38.321046267945398</c:v>
                </c:pt>
                <c:pt idx="106">
                  <c:v>48.391792949353217</c:v>
                </c:pt>
                <c:pt idx="107">
                  <c:v>34.507826957567715</c:v>
                </c:pt>
                <c:pt idx="108">
                  <c:v>8.2602969255365846</c:v>
                </c:pt>
                <c:pt idx="109">
                  <c:v>9.3197303583000259</c:v>
                </c:pt>
                <c:pt idx="110">
                  <c:v>8.4169730476784572</c:v>
                </c:pt>
                <c:pt idx="111">
                  <c:v>25.448950232402638</c:v>
                </c:pt>
                <c:pt idx="112">
                  <c:v>8.7444696135531537</c:v>
                </c:pt>
                <c:pt idx="113">
                  <c:v>22.477547505815043</c:v>
                </c:pt>
                <c:pt idx="114">
                  <c:v>42.630151596705403</c:v>
                </c:pt>
                <c:pt idx="115">
                  <c:v>47.677132454306701</c:v>
                </c:pt>
                <c:pt idx="116">
                  <c:v>35.142278564890638</c:v>
                </c:pt>
                <c:pt idx="117">
                  <c:v>18.899597856850338</c:v>
                </c:pt>
                <c:pt idx="118">
                  <c:v>38.26089444797929</c:v>
                </c:pt>
                <c:pt idx="119">
                  <c:v>37.30734527819147</c:v>
                </c:pt>
                <c:pt idx="120">
                  <c:v>47.287257323230733</c:v>
                </c:pt>
                <c:pt idx="121">
                  <c:v>27.698116841149069</c:v>
                </c:pt>
                <c:pt idx="122">
                  <c:v>31.6336631191074</c:v>
                </c:pt>
                <c:pt idx="123">
                  <c:v>18.65698229080806</c:v>
                </c:pt>
                <c:pt idx="124">
                  <c:v>39.179387650164877</c:v>
                </c:pt>
                <c:pt idx="125">
                  <c:v>36.586745121578438</c:v>
                </c:pt>
                <c:pt idx="126">
                  <c:v>47.338770756129435</c:v>
                </c:pt>
                <c:pt idx="127">
                  <c:v>49.381560778790657</c:v>
                </c:pt>
                <c:pt idx="128">
                  <c:v>53.714505206347297</c:v>
                </c:pt>
                <c:pt idx="129">
                  <c:v>51.190553507168609</c:v>
                </c:pt>
                <c:pt idx="130">
                  <c:v>54.909821481424196</c:v>
                </c:pt>
                <c:pt idx="131">
                  <c:v>42.267431261138213</c:v>
                </c:pt>
                <c:pt idx="132">
                  <c:v>38.700268031132985</c:v>
                </c:pt>
                <c:pt idx="133">
                  <c:v>50.507528774844616</c:v>
                </c:pt>
                <c:pt idx="134">
                  <c:v>51.525422413248677</c:v>
                </c:pt>
                <c:pt idx="135">
                  <c:v>49.610619690732619</c:v>
                </c:pt>
                <c:pt idx="136">
                  <c:v>53.11585639310308</c:v>
                </c:pt>
                <c:pt idx="137">
                  <c:v>51.453874295260412</c:v>
                </c:pt>
                <c:pt idx="138">
                  <c:v>53.747619390464635</c:v>
                </c:pt>
                <c:pt idx="139">
                  <c:v>48.747179833014933</c:v>
                </c:pt>
                <c:pt idx="140">
                  <c:v>49.340184100169061</c:v>
                </c:pt>
                <c:pt idx="141">
                  <c:v>37.739867564096272</c:v>
                </c:pt>
                <c:pt idx="142">
                  <c:v>17.625668102885133</c:v>
                </c:pt>
                <c:pt idx="143">
                  <c:v>16.753621908398703</c:v>
                </c:pt>
                <c:pt idx="144">
                  <c:v>39.024054974077373</c:v>
                </c:pt>
                <c:pt idx="145">
                  <c:v>26.553862845163817</c:v>
                </c:pt>
                <c:pt idx="146">
                  <c:v>42.315510925849921</c:v>
                </c:pt>
                <c:pt idx="147">
                  <c:v>52.1170215145087</c:v>
                </c:pt>
                <c:pt idx="148">
                  <c:v>56.423951741060392</c:v>
                </c:pt>
                <c:pt idx="149">
                  <c:v>47.27444160025351</c:v>
                </c:pt>
                <c:pt idx="150">
                  <c:v>52.523153620900601</c:v>
                </c:pt>
                <c:pt idx="151">
                  <c:v>53.382823482978452</c:v>
                </c:pt>
                <c:pt idx="152">
                  <c:v>42.25528323748091</c:v>
                </c:pt>
                <c:pt idx="153">
                  <c:v>53.074980957683742</c:v>
                </c:pt>
                <c:pt idx="154">
                  <c:v>21.979957732004721</c:v>
                </c:pt>
                <c:pt idx="155">
                  <c:v>31.008568222143925</c:v>
                </c:pt>
                <c:pt idx="156">
                  <c:v>46.454451946975617</c:v>
                </c:pt>
                <c:pt idx="157">
                  <c:v>27.196006946487412</c:v>
                </c:pt>
                <c:pt idx="158">
                  <c:v>20.219566205486309</c:v>
                </c:pt>
                <c:pt idx="159">
                  <c:v>44.921652695346609</c:v>
                </c:pt>
                <c:pt idx="160">
                  <c:v>55.001160602997878</c:v>
                </c:pt>
                <c:pt idx="161">
                  <c:v>53.501515443192481</c:v>
                </c:pt>
                <c:pt idx="162">
                  <c:v>41.007816181903323</c:v>
                </c:pt>
                <c:pt idx="163">
                  <c:v>50.374753264051051</c:v>
                </c:pt>
                <c:pt idx="164">
                  <c:v>47.959906239847015</c:v>
                </c:pt>
                <c:pt idx="165">
                  <c:v>51.486256778612393</c:v>
                </c:pt>
                <c:pt idx="166">
                  <c:v>49.962909797550459</c:v>
                </c:pt>
                <c:pt idx="167">
                  <c:v>50.613885948176872</c:v>
                </c:pt>
                <c:pt idx="168">
                  <c:v>52.318076177719306</c:v>
                </c:pt>
                <c:pt idx="169">
                  <c:v>53.41754959855988</c:v>
                </c:pt>
                <c:pt idx="170">
                  <c:v>33.692083994862394</c:v>
                </c:pt>
                <c:pt idx="171">
                  <c:v>23.819745311279981</c:v>
                </c:pt>
                <c:pt idx="172">
                  <c:v>42.060424244298495</c:v>
                </c:pt>
                <c:pt idx="173">
                  <c:v>41.693023734076483</c:v>
                </c:pt>
                <c:pt idx="174">
                  <c:v>39.712334948028811</c:v>
                </c:pt>
                <c:pt idx="175">
                  <c:v>34.07280674196133</c:v>
                </c:pt>
                <c:pt idx="176">
                  <c:v>11.039989501923554</c:v>
                </c:pt>
                <c:pt idx="177">
                  <c:v>10.351243073836166</c:v>
                </c:pt>
                <c:pt idx="178">
                  <c:v>53.304317074634668</c:v>
                </c:pt>
                <c:pt idx="179">
                  <c:v>54.137835025223517</c:v>
                </c:pt>
                <c:pt idx="180">
                  <c:v>12.328529852183738</c:v>
                </c:pt>
                <c:pt idx="181">
                  <c:v>46.141294505603533</c:v>
                </c:pt>
                <c:pt idx="182">
                  <c:v>53.104534266612866</c:v>
                </c:pt>
                <c:pt idx="183">
                  <c:v>45.929774907390069</c:v>
                </c:pt>
                <c:pt idx="184">
                  <c:v>43.802122247726544</c:v>
                </c:pt>
                <c:pt idx="185">
                  <c:v>53.338175545903518</c:v>
                </c:pt>
                <c:pt idx="186">
                  <c:v>43.696445134282833</c:v>
                </c:pt>
                <c:pt idx="187">
                  <c:v>51.619160475802509</c:v>
                </c:pt>
                <c:pt idx="188">
                  <c:v>54.102353690528801</c:v>
                </c:pt>
                <c:pt idx="189">
                  <c:v>53.491258396618804</c:v>
                </c:pt>
                <c:pt idx="190">
                  <c:v>53.142595824662628</c:v>
                </c:pt>
                <c:pt idx="191">
                  <c:v>51.88016295002901</c:v>
                </c:pt>
                <c:pt idx="192">
                  <c:v>51.437538407213736</c:v>
                </c:pt>
                <c:pt idx="193">
                  <c:v>51.701390469841044</c:v>
                </c:pt>
                <c:pt idx="194">
                  <c:v>50.901204112531033</c:v>
                </c:pt>
                <c:pt idx="195">
                  <c:v>48.824006793034947</c:v>
                </c:pt>
                <c:pt idx="196">
                  <c:v>50.677450112553736</c:v>
                </c:pt>
                <c:pt idx="197">
                  <c:v>50.653668277722311</c:v>
                </c:pt>
                <c:pt idx="198">
                  <c:v>51.449418198111566</c:v>
                </c:pt>
                <c:pt idx="199">
                  <c:v>35.146883374346075</c:v>
                </c:pt>
                <c:pt idx="200">
                  <c:v>40.012595847665033</c:v>
                </c:pt>
                <c:pt idx="201">
                  <c:v>49.942084896750288</c:v>
                </c:pt>
                <c:pt idx="202">
                  <c:v>38.12060266225911</c:v>
                </c:pt>
                <c:pt idx="203">
                  <c:v>42.533359352263943</c:v>
                </c:pt>
                <c:pt idx="204">
                  <c:v>50.361912232665517</c:v>
                </c:pt>
                <c:pt idx="205">
                  <c:v>25.889030942213562</c:v>
                </c:pt>
                <c:pt idx="206">
                  <c:v>49.220619958262525</c:v>
                </c:pt>
                <c:pt idx="207">
                  <c:v>53.297247907635033</c:v>
                </c:pt>
                <c:pt idx="208">
                  <c:v>42.346327813550396</c:v>
                </c:pt>
                <c:pt idx="209">
                  <c:v>28.209184051686155</c:v>
                </c:pt>
                <c:pt idx="210">
                  <c:v>42.514021615750153</c:v>
                </c:pt>
                <c:pt idx="211">
                  <c:v>51.109496912614695</c:v>
                </c:pt>
                <c:pt idx="212">
                  <c:v>51.038621225787722</c:v>
                </c:pt>
                <c:pt idx="213">
                  <c:v>51.089877708299547</c:v>
                </c:pt>
                <c:pt idx="214">
                  <c:v>49.476264141632569</c:v>
                </c:pt>
                <c:pt idx="215">
                  <c:v>48.944432895947848</c:v>
                </c:pt>
                <c:pt idx="216">
                  <c:v>44.13250264278949</c:v>
                </c:pt>
                <c:pt idx="217">
                  <c:v>46.657961539377951</c:v>
                </c:pt>
                <c:pt idx="218">
                  <c:v>49.776330165468842</c:v>
                </c:pt>
                <c:pt idx="219">
                  <c:v>50.386284272489824</c:v>
                </c:pt>
                <c:pt idx="220">
                  <c:v>48.548742273762777</c:v>
                </c:pt>
                <c:pt idx="221">
                  <c:v>47.158118053904118</c:v>
                </c:pt>
                <c:pt idx="222">
                  <c:v>44.622598807867277</c:v>
                </c:pt>
                <c:pt idx="223">
                  <c:v>46.020268094323157</c:v>
                </c:pt>
                <c:pt idx="224">
                  <c:v>36.125021554512465</c:v>
                </c:pt>
                <c:pt idx="225">
                  <c:v>33.089899571812644</c:v>
                </c:pt>
                <c:pt idx="226">
                  <c:v>37.527468371570393</c:v>
                </c:pt>
                <c:pt idx="227">
                  <c:v>34.755349369438299</c:v>
                </c:pt>
                <c:pt idx="228">
                  <c:v>25.37092289824832</c:v>
                </c:pt>
                <c:pt idx="229">
                  <c:v>33.756148398706223</c:v>
                </c:pt>
                <c:pt idx="230">
                  <c:v>34.446179091446957</c:v>
                </c:pt>
                <c:pt idx="231">
                  <c:v>48.585923725746376</c:v>
                </c:pt>
                <c:pt idx="232">
                  <c:v>32.288235746525125</c:v>
                </c:pt>
                <c:pt idx="233">
                  <c:v>23.115027923438102</c:v>
                </c:pt>
                <c:pt idx="234">
                  <c:v>44.850272159250309</c:v>
                </c:pt>
                <c:pt idx="235">
                  <c:v>46.299697153122857</c:v>
                </c:pt>
                <c:pt idx="236">
                  <c:v>29.899257674927782</c:v>
                </c:pt>
                <c:pt idx="237">
                  <c:v>41.058711120718115</c:v>
                </c:pt>
                <c:pt idx="238">
                  <c:v>46.124005624802713</c:v>
                </c:pt>
                <c:pt idx="239">
                  <c:v>46.233709099011286</c:v>
                </c:pt>
                <c:pt idx="240">
                  <c:v>32.488375711372164</c:v>
                </c:pt>
                <c:pt idx="241">
                  <c:v>45.922118772676654</c:v>
                </c:pt>
                <c:pt idx="242">
                  <c:v>20.879073230445776</c:v>
                </c:pt>
                <c:pt idx="243">
                  <c:v>42.434676080623149</c:v>
                </c:pt>
                <c:pt idx="244">
                  <c:v>39.5723302964929</c:v>
                </c:pt>
                <c:pt idx="245">
                  <c:v>37.607967795392575</c:v>
                </c:pt>
                <c:pt idx="246">
                  <c:v>44.940537270086992</c:v>
                </c:pt>
                <c:pt idx="247">
                  <c:v>41.25663403627857</c:v>
                </c:pt>
                <c:pt idx="248">
                  <c:v>44.416815450193162</c:v>
                </c:pt>
                <c:pt idx="249">
                  <c:v>35.532893336365454</c:v>
                </c:pt>
                <c:pt idx="250">
                  <c:v>38.976805609395832</c:v>
                </c:pt>
                <c:pt idx="251">
                  <c:v>20.167335156239865</c:v>
                </c:pt>
                <c:pt idx="252">
                  <c:v>44.02402650171782</c:v>
                </c:pt>
                <c:pt idx="253">
                  <c:v>44.843714388577098</c:v>
                </c:pt>
                <c:pt idx="254">
                  <c:v>31.541763823033822</c:v>
                </c:pt>
                <c:pt idx="255">
                  <c:v>11.395591504739331</c:v>
                </c:pt>
                <c:pt idx="256">
                  <c:v>34.445700956208654</c:v>
                </c:pt>
                <c:pt idx="257">
                  <c:v>39.528640541853484</c:v>
                </c:pt>
                <c:pt idx="258">
                  <c:v>26.324014566984498</c:v>
                </c:pt>
                <c:pt idx="259">
                  <c:v>46.425846480085212</c:v>
                </c:pt>
                <c:pt idx="260">
                  <c:v>44.897810355109364</c:v>
                </c:pt>
                <c:pt idx="261">
                  <c:v>44.338777148782704</c:v>
                </c:pt>
                <c:pt idx="262">
                  <c:v>45.669807262097748</c:v>
                </c:pt>
                <c:pt idx="263">
                  <c:v>44.661232936040705</c:v>
                </c:pt>
                <c:pt idx="264">
                  <c:v>43.42834455189557</c:v>
                </c:pt>
                <c:pt idx="265">
                  <c:v>28.627961552509756</c:v>
                </c:pt>
                <c:pt idx="266">
                  <c:v>20.922814534868198</c:v>
                </c:pt>
                <c:pt idx="267">
                  <c:v>30.855492336737424</c:v>
                </c:pt>
                <c:pt idx="268">
                  <c:v>32.238693395173662</c:v>
                </c:pt>
                <c:pt idx="269">
                  <c:v>15.486884807256915</c:v>
                </c:pt>
                <c:pt idx="270">
                  <c:v>15.143633667664943</c:v>
                </c:pt>
                <c:pt idx="271">
                  <c:v>21.819059098727021</c:v>
                </c:pt>
                <c:pt idx="272">
                  <c:v>31.451520266649336</c:v>
                </c:pt>
                <c:pt idx="273">
                  <c:v>38.071309112663606</c:v>
                </c:pt>
                <c:pt idx="274">
                  <c:v>37.487681938211452</c:v>
                </c:pt>
                <c:pt idx="275">
                  <c:v>35.044592263160141</c:v>
                </c:pt>
                <c:pt idx="276">
                  <c:v>41.040482981304443</c:v>
                </c:pt>
                <c:pt idx="277">
                  <c:v>40.984250506138821</c:v>
                </c:pt>
                <c:pt idx="278">
                  <c:v>15.195883955464536</c:v>
                </c:pt>
                <c:pt idx="279">
                  <c:v>30.298513417257936</c:v>
                </c:pt>
                <c:pt idx="280">
                  <c:v>17.524342493732586</c:v>
                </c:pt>
                <c:pt idx="281">
                  <c:v>38.225602993262861</c:v>
                </c:pt>
                <c:pt idx="282">
                  <c:v>31.201476819535362</c:v>
                </c:pt>
                <c:pt idx="283">
                  <c:v>22.248673389834714</c:v>
                </c:pt>
                <c:pt idx="284">
                  <c:v>31.108440487582172</c:v>
                </c:pt>
                <c:pt idx="285">
                  <c:v>22.512516748376196</c:v>
                </c:pt>
                <c:pt idx="286">
                  <c:v>16.816356336980853</c:v>
                </c:pt>
                <c:pt idx="287">
                  <c:v>37.552780224337795</c:v>
                </c:pt>
                <c:pt idx="288">
                  <c:v>33.903797117529962</c:v>
                </c:pt>
                <c:pt idx="289">
                  <c:v>22.832715379408807</c:v>
                </c:pt>
                <c:pt idx="290">
                  <c:v>34.942503662066109</c:v>
                </c:pt>
                <c:pt idx="291">
                  <c:v>14.87609487806219</c:v>
                </c:pt>
                <c:pt idx="292">
                  <c:v>8.5322223980297682</c:v>
                </c:pt>
                <c:pt idx="293">
                  <c:v>15.594477774679433</c:v>
                </c:pt>
                <c:pt idx="294">
                  <c:v>33.640101020018697</c:v>
                </c:pt>
                <c:pt idx="295">
                  <c:v>19.160533939303487</c:v>
                </c:pt>
                <c:pt idx="296">
                  <c:v>25.560268647170457</c:v>
                </c:pt>
                <c:pt idx="297">
                  <c:v>22.572983192608721</c:v>
                </c:pt>
                <c:pt idx="298">
                  <c:v>12.617502320759217</c:v>
                </c:pt>
                <c:pt idx="299">
                  <c:v>13.823547778703867</c:v>
                </c:pt>
                <c:pt idx="300">
                  <c:v>17.412475358656838</c:v>
                </c:pt>
                <c:pt idx="301">
                  <c:v>26.00297542593885</c:v>
                </c:pt>
                <c:pt idx="302">
                  <c:v>21.291686831779916</c:v>
                </c:pt>
                <c:pt idx="303">
                  <c:v>22.010875415857434</c:v>
                </c:pt>
                <c:pt idx="304">
                  <c:v>23.714296343169504</c:v>
                </c:pt>
                <c:pt idx="305">
                  <c:v>29.714033474576325</c:v>
                </c:pt>
                <c:pt idx="306">
                  <c:v>10.332408051550972</c:v>
                </c:pt>
                <c:pt idx="307">
                  <c:v>12.0608243054083</c:v>
                </c:pt>
                <c:pt idx="308">
                  <c:v>31.682817194014881</c:v>
                </c:pt>
                <c:pt idx="309">
                  <c:v>31.308014619698902</c:v>
                </c:pt>
                <c:pt idx="310">
                  <c:v>29.922040965578198</c:v>
                </c:pt>
                <c:pt idx="311">
                  <c:v>20.466203378978644</c:v>
                </c:pt>
                <c:pt idx="312">
                  <c:v>10.823774641551895</c:v>
                </c:pt>
                <c:pt idx="313">
                  <c:v>24.136528517261333</c:v>
                </c:pt>
                <c:pt idx="314">
                  <c:v>30.079098616409112</c:v>
                </c:pt>
                <c:pt idx="315">
                  <c:v>28.715948006684933</c:v>
                </c:pt>
                <c:pt idx="316">
                  <c:v>28.899263705012217</c:v>
                </c:pt>
                <c:pt idx="317">
                  <c:v>10.799783998195087</c:v>
                </c:pt>
                <c:pt idx="318">
                  <c:v>12.8951359083123</c:v>
                </c:pt>
                <c:pt idx="319">
                  <c:v>28.566584653615809</c:v>
                </c:pt>
                <c:pt idx="320">
                  <c:v>15.261200867507453</c:v>
                </c:pt>
                <c:pt idx="321">
                  <c:v>13.932086916293541</c:v>
                </c:pt>
                <c:pt idx="322">
                  <c:v>6.007824904336692</c:v>
                </c:pt>
                <c:pt idx="323">
                  <c:v>17.790976185627127</c:v>
                </c:pt>
                <c:pt idx="324">
                  <c:v>3.5504511740441025</c:v>
                </c:pt>
                <c:pt idx="325">
                  <c:v>7.8639774808706671</c:v>
                </c:pt>
                <c:pt idx="326">
                  <c:v>12.200319446031527</c:v>
                </c:pt>
                <c:pt idx="327">
                  <c:v>14.409729703450532</c:v>
                </c:pt>
                <c:pt idx="328">
                  <c:v>4.4316892509866292</c:v>
                </c:pt>
                <c:pt idx="329">
                  <c:v>13.746048692142516</c:v>
                </c:pt>
                <c:pt idx="330">
                  <c:v>14.640676484300393</c:v>
                </c:pt>
                <c:pt idx="331">
                  <c:v>9.4510606640151504</c:v>
                </c:pt>
                <c:pt idx="332">
                  <c:v>13.297333115985085</c:v>
                </c:pt>
                <c:pt idx="333">
                  <c:v>4.3250090110599784</c:v>
                </c:pt>
                <c:pt idx="334">
                  <c:v>3.4979226509366037</c:v>
                </c:pt>
                <c:pt idx="335">
                  <c:v>6.6062221053257346</c:v>
                </c:pt>
                <c:pt idx="336">
                  <c:v>7.4354225116662978</c:v>
                </c:pt>
                <c:pt idx="337">
                  <c:v>20.608186859485276</c:v>
                </c:pt>
                <c:pt idx="338">
                  <c:v>26.167766776276874</c:v>
                </c:pt>
                <c:pt idx="339">
                  <c:v>11.41862983236804</c:v>
                </c:pt>
                <c:pt idx="340">
                  <c:v>20.514034337570145</c:v>
                </c:pt>
                <c:pt idx="341">
                  <c:v>4.7051297403822279</c:v>
                </c:pt>
                <c:pt idx="342">
                  <c:v>5.7294867071726649</c:v>
                </c:pt>
                <c:pt idx="343">
                  <c:v>14.276679178966662</c:v>
                </c:pt>
                <c:pt idx="344">
                  <c:v>17.407126530654008</c:v>
                </c:pt>
                <c:pt idx="345">
                  <c:v>5.1408750665143472</c:v>
                </c:pt>
                <c:pt idx="346">
                  <c:v>5.6368814295117335</c:v>
                </c:pt>
                <c:pt idx="347">
                  <c:v>17.320054286326791</c:v>
                </c:pt>
                <c:pt idx="348">
                  <c:v>7.2545964350015968</c:v>
                </c:pt>
                <c:pt idx="349">
                  <c:v>4.9284204204313111</c:v>
                </c:pt>
                <c:pt idx="350">
                  <c:v>2.7568091639397667</c:v>
                </c:pt>
                <c:pt idx="351">
                  <c:v>21.734908771454105</c:v>
                </c:pt>
                <c:pt idx="352">
                  <c:v>18.398979086148632</c:v>
                </c:pt>
                <c:pt idx="353">
                  <c:v>4.4827563915776754</c:v>
                </c:pt>
                <c:pt idx="354">
                  <c:v>22.655645922812514</c:v>
                </c:pt>
                <c:pt idx="355">
                  <c:v>17.519785275894566</c:v>
                </c:pt>
                <c:pt idx="356">
                  <c:v>18.072454095870391</c:v>
                </c:pt>
                <c:pt idx="357">
                  <c:v>23.687896253976064</c:v>
                </c:pt>
                <c:pt idx="358">
                  <c:v>13.875567784932887</c:v>
                </c:pt>
                <c:pt idx="359">
                  <c:v>22.907408486384508</c:v>
                </c:pt>
                <c:pt idx="360">
                  <c:v>6.2212878331416599</c:v>
                </c:pt>
                <c:pt idx="361">
                  <c:v>24.252947985440567</c:v>
                </c:pt>
                <c:pt idx="362">
                  <c:v>10.560271365413854</c:v>
                </c:pt>
                <c:pt idx="363">
                  <c:v>15.166720601185256</c:v>
                </c:pt>
                <c:pt idx="364">
                  <c:v>11.46933017181833</c:v>
                </c:pt>
                <c:pt idx="365">
                  <c:v>16.500425716146502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23.508658891754909</c:v>
                </c:pt>
                <c:pt idx="1">
                  <c:v>16.429431438405224</c:v>
                </c:pt>
                <c:pt idx="2">
                  <c:v>17.404160615466036</c:v>
                </c:pt>
                <c:pt idx="3">
                  <c:v>18.197137261420067</c:v>
                </c:pt>
                <c:pt idx="4">
                  <c:v>12.854293401638676</c:v>
                </c:pt>
                <c:pt idx="5">
                  <c:v>23.642307294664988</c:v>
                </c:pt>
                <c:pt idx="6">
                  <c:v>8.593329206759746</c:v>
                </c:pt>
                <c:pt idx="7">
                  <c:v>4.9816320202579645</c:v>
                </c:pt>
                <c:pt idx="8">
                  <c:v>1.4812570616550063</c:v>
                </c:pt>
                <c:pt idx="9">
                  <c:v>1.3707257359247205</c:v>
                </c:pt>
                <c:pt idx="10">
                  <c:v>25.43216782308463</c:v>
                </c:pt>
                <c:pt idx="11">
                  <c:v>20.628104097332333</c:v>
                </c:pt>
                <c:pt idx="12">
                  <c:v>4.8201684487394534</c:v>
                </c:pt>
                <c:pt idx="13">
                  <c:v>26.403830223520472</c:v>
                </c:pt>
                <c:pt idx="14">
                  <c:v>26.25894816959039</c:v>
                </c:pt>
                <c:pt idx="15">
                  <c:v>25.976701031627762</c:v>
                </c:pt>
                <c:pt idx="16">
                  <c:v>18.006638991112908</c:v>
                </c:pt>
                <c:pt idx="17">
                  <c:v>3.853230597354782</c:v>
                </c:pt>
                <c:pt idx="18">
                  <c:v>9.3360319412231068</c:v>
                </c:pt>
                <c:pt idx="19">
                  <c:v>5.1546182392389674</c:v>
                </c:pt>
                <c:pt idx="20">
                  <c:v>15.167989340623144</c:v>
                </c:pt>
                <c:pt idx="21">
                  <c:v>27.406337308960119</c:v>
                </c:pt>
                <c:pt idx="22">
                  <c:v>27.467537668149671</c:v>
                </c:pt>
                <c:pt idx="23">
                  <c:v>27.732620834302619</c:v>
                </c:pt>
                <c:pt idx="24">
                  <c:v>27.322064327205123</c:v>
                </c:pt>
                <c:pt idx="25">
                  <c:v>28.032477180380265</c:v>
                </c:pt>
                <c:pt idx="26">
                  <c:v>27.781466382008198</c:v>
                </c:pt>
                <c:pt idx="27">
                  <c:v>3.764491522229227</c:v>
                </c:pt>
                <c:pt idx="28">
                  <c:v>5.5975636099055492</c:v>
                </c:pt>
                <c:pt idx="29">
                  <c:v>4.5907657261748342</c:v>
                </c:pt>
                <c:pt idx="30">
                  <c:v>6.3002665342445399</c:v>
                </c:pt>
                <c:pt idx="31">
                  <c:v>13.036421458910292</c:v>
                </c:pt>
                <c:pt idx="32">
                  <c:v>4.9065702976485008</c:v>
                </c:pt>
                <c:pt idx="33">
                  <c:v>10.733294050023966</c:v>
                </c:pt>
                <c:pt idx="34">
                  <c:v>10.294999038064772</c:v>
                </c:pt>
                <c:pt idx="35">
                  <c:v>9.7275166746315822</c:v>
                </c:pt>
                <c:pt idx="36">
                  <c:v>21.467916122165946</c:v>
                </c:pt>
                <c:pt idx="37">
                  <c:v>8.4552307969023115</c:v>
                </c:pt>
                <c:pt idx="38">
                  <c:v>32.65940563779008</c:v>
                </c:pt>
                <c:pt idx="39">
                  <c:v>32.734008193880349</c:v>
                </c:pt>
                <c:pt idx="40">
                  <c:v>30.416182394684494</c:v>
                </c:pt>
                <c:pt idx="41">
                  <c:v>15.312131250929058</c:v>
                </c:pt>
                <c:pt idx="42">
                  <c:v>25.468591678668879</c:v>
                </c:pt>
                <c:pt idx="43">
                  <c:v>31.124823990434738</c:v>
                </c:pt>
                <c:pt idx="44">
                  <c:v>17.267196320825665</c:v>
                </c:pt>
                <c:pt idx="45">
                  <c:v>17.016770543279076</c:v>
                </c:pt>
                <c:pt idx="46">
                  <c:v>7.4014142192831773</c:v>
                </c:pt>
                <c:pt idx="47">
                  <c:v>8.6496675929702391</c:v>
                </c:pt>
                <c:pt idx="48">
                  <c:v>28.349585429562598</c:v>
                </c:pt>
                <c:pt idx="49">
                  <c:v>17.286736555574116</c:v>
                </c:pt>
                <c:pt idx="50">
                  <c:v>20.376783791191365</c:v>
                </c:pt>
                <c:pt idx="51">
                  <c:v>20.064286533381889</c:v>
                </c:pt>
                <c:pt idx="52">
                  <c:v>32.856508677119947</c:v>
                </c:pt>
                <c:pt idx="53">
                  <c:v>34.273537827813335</c:v>
                </c:pt>
                <c:pt idx="54">
                  <c:v>19.496803069690934</c:v>
                </c:pt>
                <c:pt idx="55">
                  <c:v>28.357252040710932</c:v>
                </c:pt>
                <c:pt idx="56">
                  <c:v>38.275963600993457</c:v>
                </c:pt>
                <c:pt idx="57">
                  <c:v>26.416670764329098</c:v>
                </c:pt>
                <c:pt idx="58">
                  <c:v>30.607775741440175</c:v>
                </c:pt>
                <c:pt idx="59">
                  <c:v>39.123153113177942</c:v>
                </c:pt>
                <c:pt idx="60">
                  <c:v>9.86702579556008</c:v>
                </c:pt>
                <c:pt idx="61">
                  <c:v>36.996107838663441</c:v>
                </c:pt>
                <c:pt idx="62">
                  <c:v>3.9557263334072705</c:v>
                </c:pt>
                <c:pt idx="63">
                  <c:v>14.064555120883668</c:v>
                </c:pt>
                <c:pt idx="64">
                  <c:v>19.913857658476889</c:v>
                </c:pt>
                <c:pt idx="65">
                  <c:v>30.217120760411483</c:v>
                </c:pt>
                <c:pt idx="66">
                  <c:v>28.988802676378917</c:v>
                </c:pt>
                <c:pt idx="67">
                  <c:v>30.6002829367015</c:v>
                </c:pt>
                <c:pt idx="68">
                  <c:v>22.148117301316411</c:v>
                </c:pt>
                <c:pt idx="69">
                  <c:v>14.767955998756008</c:v>
                </c:pt>
                <c:pt idx="70">
                  <c:v>12.195506065222993</c:v>
                </c:pt>
                <c:pt idx="71">
                  <c:v>11.480450657376819</c:v>
                </c:pt>
                <c:pt idx="72">
                  <c:v>12.129466017391348</c:v>
                </c:pt>
                <c:pt idx="73">
                  <c:v>13.771340333273605</c:v>
                </c:pt>
                <c:pt idx="74">
                  <c:v>9.4534014773624193</c:v>
                </c:pt>
                <c:pt idx="75">
                  <c:v>10.237636406751918</c:v>
                </c:pt>
                <c:pt idx="76">
                  <c:v>12.557339254798471</c:v>
                </c:pt>
                <c:pt idx="77">
                  <c:v>28.775195981656001</c:v>
                </c:pt>
                <c:pt idx="78">
                  <c:v>29.669836750579677</c:v>
                </c:pt>
                <c:pt idx="79">
                  <c:v>42.786922555352632</c:v>
                </c:pt>
                <c:pt idx="80">
                  <c:v>37.759945990746111</c:v>
                </c:pt>
                <c:pt idx="81">
                  <c:v>44.467088676715335</c:v>
                </c:pt>
                <c:pt idx="82">
                  <c:v>41.857010039716194</c:v>
                </c:pt>
                <c:pt idx="83">
                  <c:v>38.107769142260558</c:v>
                </c:pt>
                <c:pt idx="84">
                  <c:v>41.395436281244642</c:v>
                </c:pt>
                <c:pt idx="85">
                  <c:v>42.078864869434632</c:v>
                </c:pt>
                <c:pt idx="86">
                  <c:v>32.284263416958822</c:v>
                </c:pt>
                <c:pt idx="87">
                  <c:v>25.444460077746225</c:v>
                </c:pt>
                <c:pt idx="88">
                  <c:v>6.6423089181829971</c:v>
                </c:pt>
                <c:pt idx="89">
                  <c:v>19.773129809015991</c:v>
                </c:pt>
                <c:pt idx="90">
                  <c:v>29.455278561848111</c:v>
                </c:pt>
                <c:pt idx="91">
                  <c:v>18.068744410626941</c:v>
                </c:pt>
                <c:pt idx="92">
                  <c:v>23.076456521434135</c:v>
                </c:pt>
                <c:pt idx="93">
                  <c:v>40.47090293879085</c:v>
                </c:pt>
                <c:pt idx="94">
                  <c:v>46.641103931786631</c:v>
                </c:pt>
                <c:pt idx="95">
                  <c:v>10.954427673552631</c:v>
                </c:pt>
                <c:pt idx="96">
                  <c:v>36.084601844404908</c:v>
                </c:pt>
                <c:pt idx="97">
                  <c:v>29.279268587552952</c:v>
                </c:pt>
                <c:pt idx="98">
                  <c:v>31.956786648141374</c:v>
                </c:pt>
                <c:pt idx="99">
                  <c:v>48.85530430358645</c:v>
                </c:pt>
                <c:pt idx="100">
                  <c:v>40.315977991429087</c:v>
                </c:pt>
                <c:pt idx="101">
                  <c:v>2.2780880772542238</c:v>
                </c:pt>
                <c:pt idx="102">
                  <c:v>0</c:v>
                </c:pt>
                <c:pt idx="103">
                  <c:v>38.266347011152853</c:v>
                </c:pt>
                <c:pt idx="104">
                  <c:v>42.590668473040381</c:v>
                </c:pt>
                <c:pt idx="105">
                  <c:v>38.321046267945398</c:v>
                </c:pt>
                <c:pt idx="106">
                  <c:v>48.391792949353217</c:v>
                </c:pt>
                <c:pt idx="107">
                  <c:v>34.507826957567715</c:v>
                </c:pt>
                <c:pt idx="108">
                  <c:v>8.2602969255365846</c:v>
                </c:pt>
                <c:pt idx="109">
                  <c:v>9.3197303583000259</c:v>
                </c:pt>
                <c:pt idx="110">
                  <c:v>8.4169730476784572</c:v>
                </c:pt>
                <c:pt idx="111">
                  <c:v>25.448950232402638</c:v>
                </c:pt>
                <c:pt idx="112">
                  <c:v>8.7444696135531537</c:v>
                </c:pt>
                <c:pt idx="113">
                  <c:v>22.477547505815043</c:v>
                </c:pt>
                <c:pt idx="114">
                  <c:v>42.630151596705403</c:v>
                </c:pt>
                <c:pt idx="115">
                  <c:v>47.677132454306701</c:v>
                </c:pt>
                <c:pt idx="116">
                  <c:v>35.142278564890638</c:v>
                </c:pt>
                <c:pt idx="117">
                  <c:v>18.899597856850338</c:v>
                </c:pt>
                <c:pt idx="118">
                  <c:v>38.26089444797929</c:v>
                </c:pt>
                <c:pt idx="119">
                  <c:v>37.30734527819147</c:v>
                </c:pt>
                <c:pt idx="120">
                  <c:v>47.287257323230733</c:v>
                </c:pt>
                <c:pt idx="121">
                  <c:v>27.698116841149069</c:v>
                </c:pt>
                <c:pt idx="122">
                  <c:v>31.6336631191074</c:v>
                </c:pt>
                <c:pt idx="123">
                  <c:v>18.65698229080806</c:v>
                </c:pt>
                <c:pt idx="124">
                  <c:v>39.179387650164877</c:v>
                </c:pt>
                <c:pt idx="125">
                  <c:v>36.586745121578438</c:v>
                </c:pt>
                <c:pt idx="126">
                  <c:v>47.338770756129435</c:v>
                </c:pt>
                <c:pt idx="127">
                  <c:v>49.381560778790657</c:v>
                </c:pt>
                <c:pt idx="128">
                  <c:v>53.714505206347297</c:v>
                </c:pt>
                <c:pt idx="129">
                  <c:v>51.190553507168609</c:v>
                </c:pt>
                <c:pt idx="130">
                  <c:v>54.909821481424196</c:v>
                </c:pt>
                <c:pt idx="131">
                  <c:v>42.267431261138213</c:v>
                </c:pt>
                <c:pt idx="132">
                  <c:v>38.700268031132985</c:v>
                </c:pt>
                <c:pt idx="133">
                  <c:v>50.507528774844616</c:v>
                </c:pt>
                <c:pt idx="134">
                  <c:v>51.525422413248677</c:v>
                </c:pt>
                <c:pt idx="135">
                  <c:v>49.610619690732619</c:v>
                </c:pt>
                <c:pt idx="136">
                  <c:v>53.11585639310308</c:v>
                </c:pt>
                <c:pt idx="137">
                  <c:v>51.453874295260412</c:v>
                </c:pt>
                <c:pt idx="138">
                  <c:v>53.747619390464635</c:v>
                </c:pt>
                <c:pt idx="139">
                  <c:v>48.747179833014933</c:v>
                </c:pt>
                <c:pt idx="140">
                  <c:v>49.340184100169061</c:v>
                </c:pt>
                <c:pt idx="141">
                  <c:v>37.739867564096272</c:v>
                </c:pt>
                <c:pt idx="142">
                  <c:v>17.625668102885133</c:v>
                </c:pt>
                <c:pt idx="143">
                  <c:v>16.753621908398703</c:v>
                </c:pt>
                <c:pt idx="144">
                  <c:v>39.024054974077373</c:v>
                </c:pt>
                <c:pt idx="145">
                  <c:v>26.553862845163817</c:v>
                </c:pt>
                <c:pt idx="146">
                  <c:v>42.315510925849921</c:v>
                </c:pt>
                <c:pt idx="147">
                  <c:v>52.1170215145087</c:v>
                </c:pt>
                <c:pt idx="148">
                  <c:v>56.423951741060392</c:v>
                </c:pt>
                <c:pt idx="149">
                  <c:v>47.27444160025351</c:v>
                </c:pt>
                <c:pt idx="150">
                  <c:v>52.523153620900601</c:v>
                </c:pt>
                <c:pt idx="151">
                  <c:v>53.382823482978452</c:v>
                </c:pt>
                <c:pt idx="152">
                  <c:v>42.25528323748091</c:v>
                </c:pt>
                <c:pt idx="153">
                  <c:v>53.074980957683742</c:v>
                </c:pt>
                <c:pt idx="154">
                  <c:v>21.979957732004721</c:v>
                </c:pt>
                <c:pt idx="155">
                  <c:v>31.008568222143925</c:v>
                </c:pt>
                <c:pt idx="156">
                  <c:v>46.454451946975617</c:v>
                </c:pt>
                <c:pt idx="157">
                  <c:v>27.196006946487412</c:v>
                </c:pt>
                <c:pt idx="158">
                  <c:v>20.219566205486309</c:v>
                </c:pt>
                <c:pt idx="159">
                  <c:v>44.921652695346609</c:v>
                </c:pt>
                <c:pt idx="160">
                  <c:v>55.001160602997878</c:v>
                </c:pt>
                <c:pt idx="161">
                  <c:v>53.501515443192481</c:v>
                </c:pt>
                <c:pt idx="162">
                  <c:v>41.007816181903323</c:v>
                </c:pt>
                <c:pt idx="163">
                  <c:v>50.374753264051051</c:v>
                </c:pt>
                <c:pt idx="164">
                  <c:v>47.959906239847015</c:v>
                </c:pt>
                <c:pt idx="165">
                  <c:v>51.486256778612393</c:v>
                </c:pt>
                <c:pt idx="166">
                  <c:v>49.962909797550459</c:v>
                </c:pt>
                <c:pt idx="167">
                  <c:v>50.613885948176872</c:v>
                </c:pt>
                <c:pt idx="168">
                  <c:v>52.318076177719306</c:v>
                </c:pt>
                <c:pt idx="169">
                  <c:v>53.41754959855988</c:v>
                </c:pt>
                <c:pt idx="170">
                  <c:v>33.692083994862394</c:v>
                </c:pt>
                <c:pt idx="171">
                  <c:v>23.819745311279981</c:v>
                </c:pt>
                <c:pt idx="172">
                  <c:v>42.060424244298495</c:v>
                </c:pt>
                <c:pt idx="173">
                  <c:v>41.693023734076483</c:v>
                </c:pt>
                <c:pt idx="174">
                  <c:v>39.712334948028811</c:v>
                </c:pt>
                <c:pt idx="175">
                  <c:v>34.07280674196133</c:v>
                </c:pt>
                <c:pt idx="176">
                  <c:v>11.039989501923554</c:v>
                </c:pt>
                <c:pt idx="177">
                  <c:v>10.351243073836166</c:v>
                </c:pt>
                <c:pt idx="178">
                  <c:v>53.304317074634668</c:v>
                </c:pt>
                <c:pt idx="179">
                  <c:v>54.137835025223517</c:v>
                </c:pt>
                <c:pt idx="180">
                  <c:v>12.328529852183738</c:v>
                </c:pt>
                <c:pt idx="181">
                  <c:v>46.141294505603533</c:v>
                </c:pt>
                <c:pt idx="182">
                  <c:v>53.104534266612866</c:v>
                </c:pt>
                <c:pt idx="183">
                  <c:v>45.929774907390069</c:v>
                </c:pt>
                <c:pt idx="184">
                  <c:v>43.802122247726544</c:v>
                </c:pt>
                <c:pt idx="185">
                  <c:v>53.338175545903518</c:v>
                </c:pt>
                <c:pt idx="186">
                  <c:v>43.696445134282833</c:v>
                </c:pt>
                <c:pt idx="187">
                  <c:v>51.619160475802509</c:v>
                </c:pt>
                <c:pt idx="188">
                  <c:v>54.102353690528801</c:v>
                </c:pt>
                <c:pt idx="189">
                  <c:v>53.491258396618804</c:v>
                </c:pt>
                <c:pt idx="190">
                  <c:v>53.142595824662628</c:v>
                </c:pt>
                <c:pt idx="191">
                  <c:v>51.88016295002901</c:v>
                </c:pt>
                <c:pt idx="192">
                  <c:v>51.437538407213736</c:v>
                </c:pt>
                <c:pt idx="193">
                  <c:v>51.701390469841044</c:v>
                </c:pt>
                <c:pt idx="194">
                  <c:v>50.901204112531033</c:v>
                </c:pt>
                <c:pt idx="195">
                  <c:v>48.824006793034947</c:v>
                </c:pt>
                <c:pt idx="196">
                  <c:v>50.677450112553736</c:v>
                </c:pt>
                <c:pt idx="197">
                  <c:v>50.653668277722311</c:v>
                </c:pt>
                <c:pt idx="198">
                  <c:v>51.449418198111566</c:v>
                </c:pt>
                <c:pt idx="199">
                  <c:v>35.146883374346075</c:v>
                </c:pt>
                <c:pt idx="200">
                  <c:v>40.012595847665033</c:v>
                </c:pt>
                <c:pt idx="201">
                  <c:v>49.942084896750288</c:v>
                </c:pt>
                <c:pt idx="202">
                  <c:v>38.12060266225911</c:v>
                </c:pt>
                <c:pt idx="203">
                  <c:v>42.533359352263943</c:v>
                </c:pt>
                <c:pt idx="204">
                  <c:v>50.361912232665517</c:v>
                </c:pt>
                <c:pt idx="205">
                  <c:v>25.889030942213562</c:v>
                </c:pt>
                <c:pt idx="206">
                  <c:v>49.220619958262525</c:v>
                </c:pt>
                <c:pt idx="207">
                  <c:v>53.297247907635033</c:v>
                </c:pt>
                <c:pt idx="208">
                  <c:v>42.346327813550396</c:v>
                </c:pt>
                <c:pt idx="209">
                  <c:v>28.209184051686155</c:v>
                </c:pt>
                <c:pt idx="210">
                  <c:v>42.514021615750153</c:v>
                </c:pt>
                <c:pt idx="211">
                  <c:v>51.109496912614695</c:v>
                </c:pt>
                <c:pt idx="212">
                  <c:v>51.038621225787722</c:v>
                </c:pt>
                <c:pt idx="213">
                  <c:v>51.089877708299547</c:v>
                </c:pt>
                <c:pt idx="214">
                  <c:v>49.476264141632569</c:v>
                </c:pt>
                <c:pt idx="215">
                  <c:v>48.944432895947848</c:v>
                </c:pt>
                <c:pt idx="216">
                  <c:v>44.13250264278949</c:v>
                </c:pt>
                <c:pt idx="217">
                  <c:v>46.657961539377951</c:v>
                </c:pt>
                <c:pt idx="218">
                  <c:v>49.776330165468842</c:v>
                </c:pt>
                <c:pt idx="219">
                  <c:v>50.386284272489824</c:v>
                </c:pt>
                <c:pt idx="220">
                  <c:v>48.548742273762777</c:v>
                </c:pt>
                <c:pt idx="221">
                  <c:v>47.158118053904118</c:v>
                </c:pt>
                <c:pt idx="222">
                  <c:v>44.622598807867277</c:v>
                </c:pt>
                <c:pt idx="223">
                  <c:v>46.020268094323157</c:v>
                </c:pt>
                <c:pt idx="224">
                  <c:v>36.125021554512465</c:v>
                </c:pt>
                <c:pt idx="225">
                  <c:v>33.089899571812644</c:v>
                </c:pt>
                <c:pt idx="226">
                  <c:v>37.527468371570393</c:v>
                </c:pt>
                <c:pt idx="227">
                  <c:v>34.755349369438299</c:v>
                </c:pt>
                <c:pt idx="228">
                  <c:v>25.37092289824832</c:v>
                </c:pt>
                <c:pt idx="229">
                  <c:v>33.756148398706223</c:v>
                </c:pt>
                <c:pt idx="230">
                  <c:v>34.446179091446957</c:v>
                </c:pt>
                <c:pt idx="231">
                  <c:v>48.585923725746376</c:v>
                </c:pt>
                <c:pt idx="232">
                  <c:v>32.288235746525125</c:v>
                </c:pt>
                <c:pt idx="233">
                  <c:v>23.115027923438102</c:v>
                </c:pt>
                <c:pt idx="234">
                  <c:v>44.850272159250309</c:v>
                </c:pt>
                <c:pt idx="235">
                  <c:v>46.299697153122857</c:v>
                </c:pt>
                <c:pt idx="236">
                  <c:v>29.899257674927782</c:v>
                </c:pt>
                <c:pt idx="237">
                  <c:v>41.058711120718115</c:v>
                </c:pt>
                <c:pt idx="238">
                  <c:v>46.124005624802713</c:v>
                </c:pt>
                <c:pt idx="239">
                  <c:v>46.233709099011286</c:v>
                </c:pt>
                <c:pt idx="240">
                  <c:v>32.488375711372164</c:v>
                </c:pt>
                <c:pt idx="241">
                  <c:v>45.922118772676654</c:v>
                </c:pt>
                <c:pt idx="242">
                  <c:v>20.879073230445776</c:v>
                </c:pt>
                <c:pt idx="243">
                  <c:v>42.434676080623149</c:v>
                </c:pt>
                <c:pt idx="244">
                  <c:v>39.5723302964929</c:v>
                </c:pt>
                <c:pt idx="245">
                  <c:v>37.607967795392575</c:v>
                </c:pt>
                <c:pt idx="246">
                  <c:v>44.940537270086992</c:v>
                </c:pt>
                <c:pt idx="247">
                  <c:v>41.25663403627857</c:v>
                </c:pt>
                <c:pt idx="248">
                  <c:v>44.416815450193162</c:v>
                </c:pt>
                <c:pt idx="249">
                  <c:v>35.532893336365454</c:v>
                </c:pt>
                <c:pt idx="250">
                  <c:v>38.976805609395832</c:v>
                </c:pt>
                <c:pt idx="251">
                  <c:v>20.167335156239865</c:v>
                </c:pt>
                <c:pt idx="252">
                  <c:v>44.02402650171782</c:v>
                </c:pt>
                <c:pt idx="253">
                  <c:v>44.843714388577098</c:v>
                </c:pt>
                <c:pt idx="254">
                  <c:v>31.541763823033822</c:v>
                </c:pt>
                <c:pt idx="255">
                  <c:v>11.395591504739331</c:v>
                </c:pt>
                <c:pt idx="256">
                  <c:v>34.445700956208654</c:v>
                </c:pt>
                <c:pt idx="257">
                  <c:v>39.528640541853484</c:v>
                </c:pt>
                <c:pt idx="258">
                  <c:v>26.324014566984498</c:v>
                </c:pt>
                <c:pt idx="259">
                  <c:v>46.425846480085212</c:v>
                </c:pt>
                <c:pt idx="260">
                  <c:v>44.897810355109364</c:v>
                </c:pt>
                <c:pt idx="261">
                  <c:v>44.338777148782704</c:v>
                </c:pt>
                <c:pt idx="262">
                  <c:v>45.669807262097748</c:v>
                </c:pt>
                <c:pt idx="263">
                  <c:v>44.661232936040705</c:v>
                </c:pt>
                <c:pt idx="264">
                  <c:v>43.42834455189557</c:v>
                </c:pt>
                <c:pt idx="265">
                  <c:v>28.627961552509756</c:v>
                </c:pt>
                <c:pt idx="266">
                  <c:v>20.922814534868198</c:v>
                </c:pt>
                <c:pt idx="267">
                  <c:v>30.855492336737424</c:v>
                </c:pt>
                <c:pt idx="268">
                  <c:v>32.238693395173662</c:v>
                </c:pt>
                <c:pt idx="269">
                  <c:v>15.486884807256915</c:v>
                </c:pt>
                <c:pt idx="270">
                  <c:v>15.143633667664943</c:v>
                </c:pt>
                <c:pt idx="271">
                  <c:v>21.819059098727021</c:v>
                </c:pt>
                <c:pt idx="272">
                  <c:v>31.451520266649336</c:v>
                </c:pt>
                <c:pt idx="273">
                  <c:v>38.071309112663606</c:v>
                </c:pt>
                <c:pt idx="274">
                  <c:v>37.487681938211452</c:v>
                </c:pt>
                <c:pt idx="275">
                  <c:v>35.044592263160141</c:v>
                </c:pt>
                <c:pt idx="276">
                  <c:v>41.040482981304443</c:v>
                </c:pt>
                <c:pt idx="277">
                  <c:v>40.984250506138821</c:v>
                </c:pt>
                <c:pt idx="278">
                  <c:v>15.195883955464536</c:v>
                </c:pt>
                <c:pt idx="279">
                  <c:v>30.298513417257936</c:v>
                </c:pt>
                <c:pt idx="280">
                  <c:v>17.524342493732586</c:v>
                </c:pt>
                <c:pt idx="281">
                  <c:v>38.225602993262861</c:v>
                </c:pt>
                <c:pt idx="282">
                  <c:v>31.201476819535362</c:v>
                </c:pt>
                <c:pt idx="283">
                  <c:v>22.248673389834714</c:v>
                </c:pt>
                <c:pt idx="284">
                  <c:v>31.108440487582172</c:v>
                </c:pt>
                <c:pt idx="285">
                  <c:v>22.512516748376196</c:v>
                </c:pt>
                <c:pt idx="286">
                  <c:v>16.816356336980853</c:v>
                </c:pt>
                <c:pt idx="287">
                  <c:v>37.552780224337795</c:v>
                </c:pt>
                <c:pt idx="288">
                  <c:v>33.903797117529962</c:v>
                </c:pt>
                <c:pt idx="289">
                  <c:v>22.832715379408807</c:v>
                </c:pt>
                <c:pt idx="290">
                  <c:v>34.942503662066109</c:v>
                </c:pt>
                <c:pt idx="291">
                  <c:v>14.87609487806219</c:v>
                </c:pt>
                <c:pt idx="292">
                  <c:v>8.5322223980297682</c:v>
                </c:pt>
                <c:pt idx="293">
                  <c:v>15.594477774679433</c:v>
                </c:pt>
                <c:pt idx="294">
                  <c:v>33.640101020018697</c:v>
                </c:pt>
                <c:pt idx="295">
                  <c:v>19.160533939303487</c:v>
                </c:pt>
                <c:pt idx="296">
                  <c:v>25.560268647170457</c:v>
                </c:pt>
                <c:pt idx="297">
                  <c:v>22.572983192608721</c:v>
                </c:pt>
                <c:pt idx="298">
                  <c:v>12.617502320759217</c:v>
                </c:pt>
                <c:pt idx="299">
                  <c:v>13.823547778703867</c:v>
                </c:pt>
                <c:pt idx="300">
                  <c:v>17.412475358656838</c:v>
                </c:pt>
                <c:pt idx="301">
                  <c:v>26.00297542593885</c:v>
                </c:pt>
                <c:pt idx="302">
                  <c:v>21.291686831779916</c:v>
                </c:pt>
                <c:pt idx="303">
                  <c:v>22.010875415857434</c:v>
                </c:pt>
                <c:pt idx="304">
                  <c:v>23.714296343169504</c:v>
                </c:pt>
                <c:pt idx="305">
                  <c:v>29.714033474576325</c:v>
                </c:pt>
                <c:pt idx="306">
                  <c:v>10.332408051550972</c:v>
                </c:pt>
                <c:pt idx="307">
                  <c:v>12.0608243054083</c:v>
                </c:pt>
                <c:pt idx="308">
                  <c:v>31.682817194014881</c:v>
                </c:pt>
                <c:pt idx="309">
                  <c:v>31.308014619698902</c:v>
                </c:pt>
                <c:pt idx="310">
                  <c:v>29.922040965578198</c:v>
                </c:pt>
                <c:pt idx="311">
                  <c:v>20.466203378978644</c:v>
                </c:pt>
                <c:pt idx="312">
                  <c:v>10.823774641551895</c:v>
                </c:pt>
                <c:pt idx="313">
                  <c:v>24.136528517261333</c:v>
                </c:pt>
                <c:pt idx="314">
                  <c:v>30.079098616409112</c:v>
                </c:pt>
                <c:pt idx="315">
                  <c:v>28.715948006684933</c:v>
                </c:pt>
                <c:pt idx="316">
                  <c:v>28.899263705012217</c:v>
                </c:pt>
                <c:pt idx="317">
                  <c:v>10.799783998195087</c:v>
                </c:pt>
                <c:pt idx="318">
                  <c:v>12.8951359083123</c:v>
                </c:pt>
                <c:pt idx="319">
                  <c:v>28.566584653615809</c:v>
                </c:pt>
                <c:pt idx="320">
                  <c:v>15.261200867507453</c:v>
                </c:pt>
                <c:pt idx="321">
                  <c:v>13.932086916293541</c:v>
                </c:pt>
                <c:pt idx="322">
                  <c:v>6.007824904336692</c:v>
                </c:pt>
                <c:pt idx="323">
                  <c:v>17.790976185627127</c:v>
                </c:pt>
                <c:pt idx="324">
                  <c:v>3.5504511740441025</c:v>
                </c:pt>
                <c:pt idx="325">
                  <c:v>7.8639774808706671</c:v>
                </c:pt>
                <c:pt idx="326">
                  <c:v>12.200319446031527</c:v>
                </c:pt>
                <c:pt idx="327">
                  <c:v>14.409729703450532</c:v>
                </c:pt>
                <c:pt idx="328">
                  <c:v>4.4316892509866292</c:v>
                </c:pt>
                <c:pt idx="329">
                  <c:v>13.746048692142516</c:v>
                </c:pt>
                <c:pt idx="330">
                  <c:v>14.640676484300393</c:v>
                </c:pt>
                <c:pt idx="331">
                  <c:v>9.4510606640151504</c:v>
                </c:pt>
                <c:pt idx="332">
                  <c:v>13.297333115985085</c:v>
                </c:pt>
                <c:pt idx="333">
                  <c:v>4.3250090110599784</c:v>
                </c:pt>
                <c:pt idx="334">
                  <c:v>3.4979226509366037</c:v>
                </c:pt>
                <c:pt idx="335">
                  <c:v>6.6062221053257346</c:v>
                </c:pt>
                <c:pt idx="336">
                  <c:v>7.4354225116662978</c:v>
                </c:pt>
                <c:pt idx="337">
                  <c:v>20.608186859485276</c:v>
                </c:pt>
                <c:pt idx="338">
                  <c:v>26.167766776276874</c:v>
                </c:pt>
                <c:pt idx="339">
                  <c:v>11.41862983236804</c:v>
                </c:pt>
                <c:pt idx="340">
                  <c:v>20.514034337570145</c:v>
                </c:pt>
                <c:pt idx="341">
                  <c:v>4.7051297403822279</c:v>
                </c:pt>
                <c:pt idx="342">
                  <c:v>5.7294867071726649</c:v>
                </c:pt>
                <c:pt idx="343">
                  <c:v>14.276679178966662</c:v>
                </c:pt>
                <c:pt idx="344">
                  <c:v>17.407126530654008</c:v>
                </c:pt>
                <c:pt idx="345">
                  <c:v>5.1408750665143472</c:v>
                </c:pt>
                <c:pt idx="346">
                  <c:v>5.6368814295117335</c:v>
                </c:pt>
                <c:pt idx="347">
                  <c:v>17.320054286326791</c:v>
                </c:pt>
                <c:pt idx="348">
                  <c:v>7.2545964350015968</c:v>
                </c:pt>
                <c:pt idx="349">
                  <c:v>4.9284204204313111</c:v>
                </c:pt>
                <c:pt idx="350">
                  <c:v>2.7568091639397667</c:v>
                </c:pt>
                <c:pt idx="351">
                  <c:v>21.734908771454105</c:v>
                </c:pt>
                <c:pt idx="352">
                  <c:v>18.398979086148632</c:v>
                </c:pt>
                <c:pt idx="353">
                  <c:v>4.4827563915776754</c:v>
                </c:pt>
                <c:pt idx="354">
                  <c:v>22.655645922812514</c:v>
                </c:pt>
                <c:pt idx="355">
                  <c:v>17.519785275894566</c:v>
                </c:pt>
                <c:pt idx="356">
                  <c:v>18.072454095870391</c:v>
                </c:pt>
                <c:pt idx="357">
                  <c:v>23.687896253976064</c:v>
                </c:pt>
                <c:pt idx="358">
                  <c:v>13.875567784932887</c:v>
                </c:pt>
                <c:pt idx="359">
                  <c:v>22.907408486384508</c:v>
                </c:pt>
                <c:pt idx="360">
                  <c:v>6.2212878331416599</c:v>
                </c:pt>
                <c:pt idx="361">
                  <c:v>24.252947985440567</c:v>
                </c:pt>
                <c:pt idx="362">
                  <c:v>10.560271365413854</c:v>
                </c:pt>
                <c:pt idx="363">
                  <c:v>15.166720601185256</c:v>
                </c:pt>
                <c:pt idx="364">
                  <c:v>11.46933017181833</c:v>
                </c:pt>
                <c:pt idx="365">
                  <c:v>16.500425716146502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7280"/>
        <c:axId val="644427672"/>
      </c:lineChart>
      <c:dateAx>
        <c:axId val="64442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7672"/>
        <c:crosses val="autoZero"/>
        <c:auto val="1"/>
        <c:lblOffset val="100"/>
        <c:baseTimeUnit val="days"/>
        <c:majorUnit val="1"/>
        <c:majorTimeUnit val="months"/>
      </c:dateAx>
      <c:valAx>
        <c:axId val="6444276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72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4.3886692154114559E-2</c:v>
                </c:pt>
                <c:pt idx="1">
                  <c:v>4.3907633489356557E-2</c:v>
                </c:pt>
                <c:pt idx="2">
                  <c:v>4.3928574365929451E-2</c:v>
                </c:pt>
                <c:pt idx="3">
                  <c:v>4.3949514783843568E-2</c:v>
                </c:pt>
                <c:pt idx="4">
                  <c:v>4.3970454743108678E-2</c:v>
                </c:pt>
                <c:pt idx="5">
                  <c:v>4.3991394243734883E-2</c:v>
                </c:pt>
                <c:pt idx="6">
                  <c:v>4.4012333285732397E-2</c:v>
                </c:pt>
                <c:pt idx="7">
                  <c:v>4.4033271869111101E-2</c:v>
                </c:pt>
                <c:pt idx="8">
                  <c:v>4.4054209993881099E-2</c:v>
                </c:pt>
                <c:pt idx="9">
                  <c:v>4.4075147660052383E-2</c:v>
                </c:pt>
                <c:pt idx="10">
                  <c:v>4.4096084867635166E-2</c:v>
                </c:pt>
                <c:pt idx="11">
                  <c:v>4.4117021616639218E-2</c:v>
                </c:pt>
                <c:pt idx="12">
                  <c:v>4.4137957907074865E-2</c:v>
                </c:pt>
                <c:pt idx="13">
                  <c:v>4.4158893738951988E-2</c:v>
                </c:pt>
                <c:pt idx="14">
                  <c:v>4.4179829112280578E-2</c:v>
                </c:pt>
                <c:pt idx="15">
                  <c:v>4.4200764027070849E-2</c:v>
                </c:pt>
                <c:pt idx="16">
                  <c:v>4.4221698483332683E-2</c:v>
                </c:pt>
                <c:pt idx="17">
                  <c:v>4.4242632481076294E-2</c:v>
                </c:pt>
                <c:pt idx="18">
                  <c:v>4.4263566020311562E-2</c:v>
                </c:pt>
                <c:pt idx="19">
                  <c:v>4.4284499101048591E-2</c:v>
                </c:pt>
                <c:pt idx="20">
                  <c:v>4.4305431723297484E-2</c:v>
                </c:pt>
                <c:pt idx="21">
                  <c:v>4.4326363887068232E-2</c:v>
                </c:pt>
                <c:pt idx="22">
                  <c:v>4.4347295592370828E-2</c:v>
                </c:pt>
                <c:pt idx="23">
                  <c:v>4.4368226839215374E-2</c:v>
                </c:pt>
                <c:pt idx="24">
                  <c:v>4.4389157627611864E-2</c:v>
                </c:pt>
                <c:pt idx="25">
                  <c:v>4.4410087957570399E-2</c:v>
                </c:pt>
                <c:pt idx="26">
                  <c:v>4.4431017829100972E-2</c:v>
                </c:pt>
                <c:pt idx="27">
                  <c:v>4.4451947242213685E-2</c:v>
                </c:pt>
                <c:pt idx="28">
                  <c:v>4.4472876196918532E-2</c:v>
                </c:pt>
                <c:pt idx="29">
                  <c:v>4.4493804693225503E-2</c:v>
                </c:pt>
                <c:pt idx="30">
                  <c:v>4.4514732731144702E-2</c:v>
                </c:pt>
                <c:pt idx="31">
                  <c:v>4.4535660310686231E-2</c:v>
                </c:pt>
                <c:pt idx="32">
                  <c:v>4.4556587431859973E-2</c:v>
                </c:pt>
                <c:pt idx="33">
                  <c:v>4.4577514094676141E-2</c:v>
                </c:pt>
                <c:pt idx="34">
                  <c:v>4.4598440299144615E-2</c:v>
                </c:pt>
                <c:pt idx="35">
                  <c:v>4.4619366045275499E-2</c:v>
                </c:pt>
                <c:pt idx="36">
                  <c:v>4.4640291333078896E-2</c:v>
                </c:pt>
                <c:pt idx="37">
                  <c:v>4.4661216162564799E-2</c:v>
                </c:pt>
                <c:pt idx="38">
                  <c:v>4.4682140533743198E-2</c:v>
                </c:pt>
                <c:pt idx="39">
                  <c:v>4.4703064446624086E-2</c:v>
                </c:pt>
                <c:pt idx="40">
                  <c:v>4.4723987901217677E-2</c:v>
                </c:pt>
                <c:pt idx="41">
                  <c:v>4.4744910897533963E-2</c:v>
                </c:pt>
                <c:pt idx="42">
                  <c:v>4.4765833435582825E-2</c:v>
                </c:pt>
                <c:pt idx="43">
                  <c:v>4.4786755515374477E-2</c:v>
                </c:pt>
                <c:pt idx="44">
                  <c:v>4.48076771369188E-2</c:v>
                </c:pt>
                <c:pt idx="45">
                  <c:v>4.4828598300226008E-2</c:v>
                </c:pt>
                <c:pt idx="46">
                  <c:v>4.4849519005305982E-2</c:v>
                </c:pt>
                <c:pt idx="47">
                  <c:v>4.4870439252168937E-2</c:v>
                </c:pt>
                <c:pt idx="48">
                  <c:v>4.4891359040824641E-2</c:v>
                </c:pt>
                <c:pt idx="49">
                  <c:v>4.4912278371283421E-2</c:v>
                </c:pt>
                <c:pt idx="50">
                  <c:v>4.4933197243555045E-2</c:v>
                </c:pt>
                <c:pt idx="51">
                  <c:v>4.4954115657649729E-2</c:v>
                </c:pt>
                <c:pt idx="52">
                  <c:v>4.4975033613577575E-2</c:v>
                </c:pt>
                <c:pt idx="53">
                  <c:v>4.4995951111348353E-2</c:v>
                </c:pt>
                <c:pt idx="54">
                  <c:v>4.5016868150972278E-2</c:v>
                </c:pt>
                <c:pt idx="55">
                  <c:v>4.5037784732459341E-2</c:v>
                </c:pt>
                <c:pt idx="56">
                  <c:v>4.5058700855819644E-2</c:v>
                </c:pt>
                <c:pt idx="57">
                  <c:v>4.5079616521063182E-2</c:v>
                </c:pt>
                <c:pt idx="58">
                  <c:v>4.5100531728199944E-2</c:v>
                </c:pt>
                <c:pt idx="59">
                  <c:v>4.5121446477239924E-2</c:v>
                </c:pt>
                <c:pt idx="60">
                  <c:v>4.5142360768193335E-2</c:v>
                </c:pt>
                <c:pt idx="61">
                  <c:v>4.5163274601070058E-2</c:v>
                </c:pt>
                <c:pt idx="62">
                  <c:v>4.5184187975880086E-2</c:v>
                </c:pt>
                <c:pt idx="63">
                  <c:v>4.5205100892633632E-2</c:v>
                </c:pt>
                <c:pt idx="64">
                  <c:v>4.5226013351340577E-2</c:v>
                </c:pt>
                <c:pt idx="65">
                  <c:v>4.5246925352011025E-2</c:v>
                </c:pt>
                <c:pt idx="66">
                  <c:v>4.5267836894654967E-2</c:v>
                </c:pt>
                <c:pt idx="67">
                  <c:v>4.5288747979282507E-2</c:v>
                </c:pt>
                <c:pt idx="68">
                  <c:v>4.5309658605903635E-2</c:v>
                </c:pt>
                <c:pt idx="69">
                  <c:v>4.5330568774528346E-2</c:v>
                </c:pt>
                <c:pt idx="70">
                  <c:v>4.535147848516663E-2</c:v>
                </c:pt>
                <c:pt idx="71">
                  <c:v>4.5372387737828701E-2</c:v>
                </c:pt>
                <c:pt idx="72">
                  <c:v>4.5393296532524441E-2</c:v>
                </c:pt>
                <c:pt idx="73">
                  <c:v>4.5414204869263841E-2</c:v>
                </c:pt>
                <c:pt idx="74">
                  <c:v>4.5435112748057116E-2</c:v>
                </c:pt>
                <c:pt idx="75">
                  <c:v>4.5456020168914146E-2</c:v>
                </c:pt>
                <c:pt idx="76">
                  <c:v>4.5476927131844924E-2</c:v>
                </c:pt>
                <c:pt idx="77">
                  <c:v>4.5497833636859664E-2</c:v>
                </c:pt>
                <c:pt idx="78">
                  <c:v>4.5518739683968246E-2</c:v>
                </c:pt>
                <c:pt idx="79">
                  <c:v>4.5539645273180773E-2</c:v>
                </c:pt>
                <c:pt idx="80">
                  <c:v>4.5560550404507238E-2</c:v>
                </c:pt>
                <c:pt idx="81">
                  <c:v>4.5581455077957633E-2</c:v>
                </c:pt>
                <c:pt idx="82">
                  <c:v>4.5602359293542061E-2</c:v>
                </c:pt>
                <c:pt idx="83">
                  <c:v>4.5623263051270513E-2</c:v>
                </c:pt>
                <c:pt idx="84">
                  <c:v>4.5644166351152982E-2</c:v>
                </c:pt>
                <c:pt idx="85">
                  <c:v>4.566506919319957E-2</c:v>
                </c:pt>
                <c:pt idx="86">
                  <c:v>4.568597157742027E-2</c:v>
                </c:pt>
                <c:pt idx="87">
                  <c:v>4.5706873503825074E-2</c:v>
                </c:pt>
                <c:pt idx="88">
                  <c:v>4.5727774972424085E-2</c:v>
                </c:pt>
                <c:pt idx="89">
                  <c:v>4.5748675983227294E-2</c:v>
                </c:pt>
                <c:pt idx="90">
                  <c:v>4.5769576536244805E-2</c:v>
                </c:pt>
                <c:pt idx="91">
                  <c:v>4.5790476631486499E-2</c:v>
                </c:pt>
                <c:pt idx="92">
                  <c:v>4.5811376268962367E-2</c:v>
                </c:pt>
                <c:pt idx="93">
                  <c:v>4.5832275448682624E-2</c:v>
                </c:pt>
                <c:pt idx="94">
                  <c:v>4.5853174170657263E-2</c:v>
                </c:pt>
                <c:pt idx="95">
                  <c:v>4.5874072434896163E-2</c:v>
                </c:pt>
                <c:pt idx="96">
                  <c:v>4.5894970241409538E-2</c:v>
                </c:pt>
                <c:pt idx="97">
                  <c:v>4.5915867590207271E-2</c:v>
                </c:pt>
                <c:pt idx="98">
                  <c:v>4.5936764481299353E-2</c:v>
                </c:pt>
                <c:pt idx="99">
                  <c:v>4.5957660914695997E-2</c:v>
                </c:pt>
                <c:pt idx="100">
                  <c:v>4.5978556890407085E-2</c:v>
                </c:pt>
                <c:pt idx="101">
                  <c:v>4.599945240844272E-2</c:v>
                </c:pt>
                <c:pt idx="102">
                  <c:v>4.6020347468812783E-2</c:v>
                </c:pt>
                <c:pt idx="103">
                  <c:v>4.6041242071527488E-2</c:v>
                </c:pt>
                <c:pt idx="104">
                  <c:v>4.6062136216596716E-2</c:v>
                </c:pt>
                <c:pt idx="105">
                  <c:v>4.608302990403057E-2</c:v>
                </c:pt>
                <c:pt idx="106">
                  <c:v>4.6103923133839042E-2</c:v>
                </c:pt>
                <c:pt idx="107">
                  <c:v>4.6124815906032124E-2</c:v>
                </c:pt>
                <c:pt idx="108">
                  <c:v>4.6145708220619919E-2</c:v>
                </c:pt>
                <c:pt idx="109">
                  <c:v>4.6166600077612419E-2</c:v>
                </c:pt>
                <c:pt idx="110">
                  <c:v>4.6187491477019615E-2</c:v>
                </c:pt>
                <c:pt idx="111">
                  <c:v>4.6208382418851501E-2</c:v>
                </c:pt>
                <c:pt idx="112">
                  <c:v>4.6229272903118179E-2</c:v>
                </c:pt>
                <c:pt idx="113">
                  <c:v>4.6250162929829641E-2</c:v>
                </c:pt>
                <c:pt idx="114">
                  <c:v>4.627105249899599E-2</c:v>
                </c:pt>
                <c:pt idx="115">
                  <c:v>4.6291941610626997E-2</c:v>
                </c:pt>
                <c:pt idx="116">
                  <c:v>4.6312830264732985E-2</c:v>
                </c:pt>
                <c:pt idx="117">
                  <c:v>4.6333718461323725E-2</c:v>
                </c:pt>
                <c:pt idx="118">
                  <c:v>4.6354606200409432E-2</c:v>
                </c:pt>
                <c:pt idx="119">
                  <c:v>4.6375493482000096E-2</c:v>
                </c:pt>
                <c:pt idx="120">
                  <c:v>4.63963803061056E-2</c:v>
                </c:pt>
                <c:pt idx="121">
                  <c:v>4.6417266672736046E-2</c:v>
                </c:pt>
                <c:pt idx="122">
                  <c:v>4.6438152581901537E-2</c:v>
                </c:pt>
                <c:pt idx="123">
                  <c:v>4.6459038033611955E-2</c:v>
                </c:pt>
                <c:pt idx="124">
                  <c:v>4.6479923027877401E-2</c:v>
                </c:pt>
                <c:pt idx="125">
                  <c:v>4.6500807564707758E-2</c:v>
                </c:pt>
                <c:pt idx="126">
                  <c:v>4.652169164411335E-2</c:v>
                </c:pt>
                <c:pt idx="127">
                  <c:v>4.6542575266103836E-2</c:v>
                </c:pt>
                <c:pt idx="128">
                  <c:v>4.6563458430689542E-2</c:v>
                </c:pt>
                <c:pt idx="129">
                  <c:v>4.6584341137880236E-2</c:v>
                </c:pt>
                <c:pt idx="130">
                  <c:v>4.6605223387686134E-2</c:v>
                </c:pt>
                <c:pt idx="131">
                  <c:v>4.6626105180117117E-2</c:v>
                </c:pt>
                <c:pt idx="132">
                  <c:v>4.6646986515183286E-2</c:v>
                </c:pt>
                <c:pt idx="133">
                  <c:v>4.6667867392894635E-2</c:v>
                </c:pt>
                <c:pt idx="134">
                  <c:v>4.6688747813261156E-2</c:v>
                </c:pt>
                <c:pt idx="135">
                  <c:v>4.6709627776292839E-2</c:v>
                </c:pt>
                <c:pt idx="136">
                  <c:v>4.6730507281999789E-2</c:v>
                </c:pt>
                <c:pt idx="137">
                  <c:v>4.6751386330391997E-2</c:v>
                </c:pt>
                <c:pt idx="138">
                  <c:v>4.6772264921479456E-2</c:v>
                </c:pt>
                <c:pt idx="139">
                  <c:v>4.6793143055272157E-2</c:v>
                </c:pt>
                <c:pt idx="140">
                  <c:v>4.6814020731780204E-2</c:v>
                </c:pt>
                <c:pt idx="141">
                  <c:v>4.6834897951013477E-2</c:v>
                </c:pt>
                <c:pt idx="142">
                  <c:v>4.6855774712982079E-2</c:v>
                </c:pt>
                <c:pt idx="143">
                  <c:v>4.6876651017696003E-2</c:v>
                </c:pt>
                <c:pt idx="144">
                  <c:v>4.6897526865165351E-2</c:v>
                </c:pt>
                <c:pt idx="145">
                  <c:v>4.6918402255400005E-2</c:v>
                </c:pt>
                <c:pt idx="146">
                  <c:v>4.6939277188410067E-2</c:v>
                </c:pt>
                <c:pt idx="147">
                  <c:v>4.6960151664205529E-2</c:v>
                </c:pt>
                <c:pt idx="148">
                  <c:v>4.6981025682796385E-2</c:v>
                </c:pt>
                <c:pt idx="149">
                  <c:v>4.7001899244192624E-2</c:v>
                </c:pt>
                <c:pt idx="150">
                  <c:v>4.7022772348404351E-2</c:v>
                </c:pt>
                <c:pt idx="151">
                  <c:v>4.7043644995441447E-2</c:v>
                </c:pt>
                <c:pt idx="152">
                  <c:v>4.7064517185314125E-2</c:v>
                </c:pt>
                <c:pt idx="153">
                  <c:v>4.7085388918032156E-2</c:v>
                </c:pt>
                <c:pt idx="154">
                  <c:v>4.7106260193605753E-2</c:v>
                </c:pt>
                <c:pt idx="155">
                  <c:v>4.7127131012044798E-2</c:v>
                </c:pt>
                <c:pt idx="156">
                  <c:v>4.7148001373359394E-2</c:v>
                </c:pt>
                <c:pt idx="157">
                  <c:v>4.7168871277559532E-2</c:v>
                </c:pt>
                <c:pt idx="158">
                  <c:v>4.7189740724655205E-2</c:v>
                </c:pt>
                <c:pt idx="159">
                  <c:v>4.7210609714656404E-2</c:v>
                </c:pt>
                <c:pt idx="160">
                  <c:v>4.7231478247573122E-2</c:v>
                </c:pt>
                <c:pt idx="161">
                  <c:v>4.7252346323415462E-2</c:v>
                </c:pt>
                <c:pt idx="162">
                  <c:v>4.7273213942193415E-2</c:v>
                </c:pt>
                <c:pt idx="163">
                  <c:v>4.7294081103916863E-2</c:v>
                </c:pt>
                <c:pt idx="164">
                  <c:v>4.731494780859602E-2</c:v>
                </c:pt>
                <c:pt idx="165">
                  <c:v>4.7335814056240766E-2</c:v>
                </c:pt>
                <c:pt idx="166">
                  <c:v>4.7356679846861094E-2</c:v>
                </c:pt>
                <c:pt idx="167">
                  <c:v>4.7377545180467107E-2</c:v>
                </c:pt>
                <c:pt idx="168">
                  <c:v>4.7398410057068685E-2</c:v>
                </c:pt>
                <c:pt idx="169">
                  <c:v>4.7419274476675932E-2</c:v>
                </c:pt>
                <c:pt idx="170">
                  <c:v>4.7440138439298951E-2</c:v>
                </c:pt>
                <c:pt idx="171">
                  <c:v>4.7461001944947512E-2</c:v>
                </c:pt>
                <c:pt idx="172">
                  <c:v>4.7481864993631828E-2</c:v>
                </c:pt>
                <c:pt idx="173">
                  <c:v>4.7502727585361781E-2</c:v>
                </c:pt>
                <c:pt idx="174">
                  <c:v>4.7523589720147474E-2</c:v>
                </c:pt>
                <c:pt idx="175">
                  <c:v>4.7544451397998899E-2</c:v>
                </c:pt>
                <c:pt idx="176">
                  <c:v>4.7565312618926048E-2</c:v>
                </c:pt>
                <c:pt idx="177">
                  <c:v>4.7586173382938912E-2</c:v>
                </c:pt>
                <c:pt idx="178">
                  <c:v>4.7607033690047484E-2</c:v>
                </c:pt>
                <c:pt idx="179">
                  <c:v>4.7627893540261756E-2</c:v>
                </c:pt>
                <c:pt idx="180">
                  <c:v>4.7648752933591831E-2</c:v>
                </c:pt>
                <c:pt idx="181">
                  <c:v>4.766961187004759E-2</c:v>
                </c:pt>
                <c:pt idx="182">
                  <c:v>4.7690470349639136E-2</c:v>
                </c:pt>
                <c:pt idx="183">
                  <c:v>4.771132837237646E-2</c:v>
                </c:pt>
                <c:pt idx="184">
                  <c:v>4.7732185938269556E-2</c:v>
                </c:pt>
                <c:pt idx="185">
                  <c:v>4.7753043047328414E-2</c:v>
                </c:pt>
                <c:pt idx="186">
                  <c:v>4.7773899699563138E-2</c:v>
                </c:pt>
                <c:pt idx="187">
                  <c:v>4.7794755894983498E-2</c:v>
                </c:pt>
                <c:pt idx="188">
                  <c:v>4.7815611633599708E-2</c:v>
                </c:pt>
                <c:pt idx="189">
                  <c:v>4.783646691542176E-2</c:v>
                </c:pt>
                <c:pt idx="190">
                  <c:v>4.7857321740459646E-2</c:v>
                </c:pt>
                <c:pt idx="191">
                  <c:v>4.7878176108723247E-2</c:v>
                </c:pt>
                <c:pt idx="192">
                  <c:v>4.7899030020222777E-2</c:v>
                </c:pt>
                <c:pt idx="193">
                  <c:v>4.7919883474968006E-2</c:v>
                </c:pt>
                <c:pt idx="194">
                  <c:v>4.7940736472969148E-2</c:v>
                </c:pt>
                <c:pt idx="195">
                  <c:v>4.7961589014236083E-2</c:v>
                </c:pt>
                <c:pt idx="196">
                  <c:v>4.7982441098778805E-2</c:v>
                </c:pt>
                <c:pt idx="197">
                  <c:v>4.8003292726607416E-2</c:v>
                </c:pt>
                <c:pt idx="198">
                  <c:v>4.8024143897731908E-2</c:v>
                </c:pt>
                <c:pt idx="199">
                  <c:v>4.8044994612162162E-2</c:v>
                </c:pt>
                <c:pt idx="200">
                  <c:v>4.8065844869908281E-2</c:v>
                </c:pt>
                <c:pt idx="201">
                  <c:v>4.8086694670980257E-2</c:v>
                </c:pt>
                <c:pt idx="202">
                  <c:v>4.8107544015387971E-2</c:v>
                </c:pt>
                <c:pt idx="203">
                  <c:v>4.8128392903141637E-2</c:v>
                </c:pt>
                <c:pt idx="204">
                  <c:v>4.8149241334251136E-2</c:v>
                </c:pt>
                <c:pt idx="205">
                  <c:v>4.8170089308726571E-2</c:v>
                </c:pt>
                <c:pt idx="206">
                  <c:v>4.8190936826577713E-2</c:v>
                </c:pt>
                <c:pt idx="207">
                  <c:v>4.8211783887814774E-2</c:v>
                </c:pt>
                <c:pt idx="208">
                  <c:v>4.8232630492447748E-2</c:v>
                </c:pt>
                <c:pt idx="209">
                  <c:v>4.8253476640486515E-2</c:v>
                </c:pt>
                <c:pt idx="210">
                  <c:v>4.8274322331941177E-2</c:v>
                </c:pt>
                <c:pt idx="211">
                  <c:v>4.8295167566821617E-2</c:v>
                </c:pt>
                <c:pt idx="212">
                  <c:v>4.8316012345137938E-2</c:v>
                </c:pt>
                <c:pt idx="213">
                  <c:v>4.8336856666900241E-2</c:v>
                </c:pt>
                <c:pt idx="214">
                  <c:v>4.8357700532118297E-2</c:v>
                </c:pt>
                <c:pt idx="215">
                  <c:v>4.837854394080221E-2</c:v>
                </c:pt>
                <c:pt idx="216">
                  <c:v>4.8399386892961971E-2</c:v>
                </c:pt>
                <c:pt idx="217">
                  <c:v>4.8420229388607572E-2</c:v>
                </c:pt>
                <c:pt idx="218">
                  <c:v>4.8441071427749116E-2</c:v>
                </c:pt>
                <c:pt idx="219">
                  <c:v>4.8461913010396485E-2</c:v>
                </c:pt>
                <c:pt idx="220">
                  <c:v>4.8482754136559669E-2</c:v>
                </c:pt>
                <c:pt idx="221">
                  <c:v>4.8503594806248662E-2</c:v>
                </c:pt>
                <c:pt idx="222">
                  <c:v>4.8524435019473566E-2</c:v>
                </c:pt>
                <c:pt idx="223">
                  <c:v>4.8545274776244374E-2</c:v>
                </c:pt>
                <c:pt idx="224">
                  <c:v>4.8566114076570854E-2</c:v>
                </c:pt>
                <c:pt idx="225">
                  <c:v>4.8586952920463333E-2</c:v>
                </c:pt>
                <c:pt idx="226">
                  <c:v>4.860779130793158E-2</c:v>
                </c:pt>
                <c:pt idx="227">
                  <c:v>4.8628629238985699E-2</c:v>
                </c:pt>
                <c:pt idx="228">
                  <c:v>4.864946671363557E-2</c:v>
                </c:pt>
                <c:pt idx="229">
                  <c:v>4.8670303731891407E-2</c:v>
                </c:pt>
                <c:pt idx="230">
                  <c:v>4.869114029376298E-2</c:v>
                </c:pt>
                <c:pt idx="231">
                  <c:v>4.8711976399260282E-2</c:v>
                </c:pt>
                <c:pt idx="232">
                  <c:v>4.8732812048393526E-2</c:v>
                </c:pt>
                <c:pt idx="233">
                  <c:v>4.8753647241172593E-2</c:v>
                </c:pt>
                <c:pt idx="234">
                  <c:v>4.8774481977607365E-2</c:v>
                </c:pt>
                <c:pt idx="235">
                  <c:v>4.8795316257708055E-2</c:v>
                </c:pt>
                <c:pt idx="236">
                  <c:v>4.8816150081484433E-2</c:v>
                </c:pt>
                <c:pt idx="237">
                  <c:v>4.8836983448946714E-2</c:v>
                </c:pt>
                <c:pt idx="238">
                  <c:v>4.8857816360104667E-2</c:v>
                </c:pt>
                <c:pt idx="239">
                  <c:v>4.8878648814968395E-2</c:v>
                </c:pt>
                <c:pt idx="240">
                  <c:v>4.8899480813548002E-2</c:v>
                </c:pt>
                <c:pt idx="241">
                  <c:v>4.8920312355853368E-2</c:v>
                </c:pt>
                <c:pt idx="242">
                  <c:v>4.8941143441894375E-2</c:v>
                </c:pt>
                <c:pt idx="243">
                  <c:v>4.8961974071681236E-2</c:v>
                </c:pt>
                <c:pt idx="244">
                  <c:v>4.8982804245223832E-2</c:v>
                </c:pt>
                <c:pt idx="245">
                  <c:v>4.9003633962532156E-2</c:v>
                </c:pt>
                <c:pt idx="246">
                  <c:v>4.9024463223616199E-2</c:v>
                </c:pt>
                <c:pt idx="247">
                  <c:v>4.9045292028485954E-2</c:v>
                </c:pt>
                <c:pt idx="248">
                  <c:v>4.9066120377151412E-2</c:v>
                </c:pt>
                <c:pt idx="249">
                  <c:v>4.9086948269622677E-2</c:v>
                </c:pt>
                <c:pt idx="250">
                  <c:v>4.9107775705909629E-2</c:v>
                </c:pt>
                <c:pt idx="251">
                  <c:v>4.9128602686022149E-2</c:v>
                </c:pt>
                <c:pt idx="252">
                  <c:v>4.9149429209970452E-2</c:v>
                </c:pt>
                <c:pt idx="253">
                  <c:v>4.9170255277764419E-2</c:v>
                </c:pt>
                <c:pt idx="254">
                  <c:v>4.9191080889414041E-2</c:v>
                </c:pt>
                <c:pt idx="255">
                  <c:v>4.921190604492931E-2</c:v>
                </c:pt>
                <c:pt idx="256">
                  <c:v>4.923273074432033E-2</c:v>
                </c:pt>
                <c:pt idx="257">
                  <c:v>4.925355498759687E-2</c:v>
                </c:pt>
                <c:pt idx="258">
                  <c:v>4.9274378774769034E-2</c:v>
                </c:pt>
                <c:pt idx="259">
                  <c:v>4.9295202105846925E-2</c:v>
                </c:pt>
                <c:pt idx="260">
                  <c:v>4.9316024980840312E-2</c:v>
                </c:pt>
                <c:pt idx="261">
                  <c:v>4.9336847399759298E-2</c:v>
                </c:pt>
                <c:pt idx="262">
                  <c:v>4.9357669362613987E-2</c:v>
                </c:pt>
                <c:pt idx="263">
                  <c:v>4.9378490869414149E-2</c:v>
                </c:pt>
                <c:pt idx="264">
                  <c:v>4.9399311920169886E-2</c:v>
                </c:pt>
                <c:pt idx="265">
                  <c:v>4.9420132514891191E-2</c:v>
                </c:pt>
                <c:pt idx="266">
                  <c:v>4.9440952653588055E-2</c:v>
                </c:pt>
                <c:pt idx="267">
                  <c:v>4.946177233627036E-2</c:v>
                </c:pt>
                <c:pt idx="268">
                  <c:v>4.9482591562948319E-2</c:v>
                </c:pt>
                <c:pt idx="269">
                  <c:v>4.9503410333631703E-2</c:v>
                </c:pt>
                <c:pt idx="270">
                  <c:v>4.9524228648330615E-2</c:v>
                </c:pt>
                <c:pt idx="271">
                  <c:v>4.9545046507054935E-2</c:v>
                </c:pt>
                <c:pt idx="272">
                  <c:v>4.9565863909814767E-2</c:v>
                </c:pt>
                <c:pt idx="273">
                  <c:v>4.9586680856620102E-2</c:v>
                </c:pt>
                <c:pt idx="274">
                  <c:v>4.9607497347480822E-2</c:v>
                </c:pt>
                <c:pt idx="275">
                  <c:v>4.9628313382406919E-2</c:v>
                </c:pt>
                <c:pt idx="276">
                  <c:v>4.9649128961408495E-2</c:v>
                </c:pt>
                <c:pt idx="277">
                  <c:v>4.9669944084495432E-2</c:v>
                </c:pt>
                <c:pt idx="278">
                  <c:v>4.9690758751677833E-2</c:v>
                </c:pt>
                <c:pt idx="279">
                  <c:v>4.9711572962965467E-2</c:v>
                </c:pt>
                <c:pt idx="280">
                  <c:v>4.9732386718368549E-2</c:v>
                </c:pt>
                <c:pt idx="281">
                  <c:v>4.9753200017896959E-2</c:v>
                </c:pt>
                <c:pt idx="282">
                  <c:v>4.977401286156069E-2</c:v>
                </c:pt>
                <c:pt idx="283">
                  <c:v>4.9794825249369734E-2</c:v>
                </c:pt>
                <c:pt idx="284">
                  <c:v>4.9815637181334083E-2</c:v>
                </c:pt>
                <c:pt idx="285">
                  <c:v>4.9836448657463728E-2</c:v>
                </c:pt>
                <c:pt idx="286">
                  <c:v>4.9857259677768551E-2</c:v>
                </c:pt>
                <c:pt idx="287">
                  <c:v>4.9878070242258654E-2</c:v>
                </c:pt>
                <c:pt idx="288">
                  <c:v>4.989888035094403E-2</c:v>
                </c:pt>
                <c:pt idx="289">
                  <c:v>4.991969000383456E-2</c:v>
                </c:pt>
                <c:pt idx="290">
                  <c:v>4.9940499200940347E-2</c:v>
                </c:pt>
                <c:pt idx="291">
                  <c:v>4.9961307942271271E-2</c:v>
                </c:pt>
                <c:pt idx="292">
                  <c:v>4.9982116227837436E-2</c:v>
                </c:pt>
                <c:pt idx="293">
                  <c:v>5.0002924057648612E-2</c:v>
                </c:pt>
                <c:pt idx="294">
                  <c:v>5.0023731431715013E-2</c:v>
                </c:pt>
                <c:pt idx="295">
                  <c:v>5.0044538350046408E-2</c:v>
                </c:pt>
                <c:pt idx="296">
                  <c:v>5.0065344812653012E-2</c:v>
                </c:pt>
                <c:pt idx="297">
                  <c:v>5.0086150819544595E-2</c:v>
                </c:pt>
                <c:pt idx="298">
                  <c:v>5.010695637073137E-2</c:v>
                </c:pt>
                <c:pt idx="299">
                  <c:v>5.0127761466222998E-2</c:v>
                </c:pt>
                <c:pt idx="300">
                  <c:v>5.0148566106029802E-2</c:v>
                </c:pt>
                <c:pt idx="301">
                  <c:v>5.0169370290161441E-2</c:v>
                </c:pt>
                <c:pt idx="302">
                  <c:v>5.0190174018628131E-2</c:v>
                </c:pt>
                <c:pt idx="303">
                  <c:v>5.0210977291439862E-2</c:v>
                </c:pt>
                <c:pt idx="304">
                  <c:v>5.0231780108606405E-2</c:v>
                </c:pt>
                <c:pt idx="305">
                  <c:v>5.0252582470137974E-2</c:v>
                </c:pt>
                <c:pt idx="306">
                  <c:v>5.0273384376044339E-2</c:v>
                </c:pt>
                <c:pt idx="307">
                  <c:v>5.0294185826335602E-2</c:v>
                </c:pt>
                <c:pt idx="308">
                  <c:v>5.0314986821021757E-2</c:v>
                </c:pt>
                <c:pt idx="309">
                  <c:v>5.0335787360112683E-2</c:v>
                </c:pt>
                <c:pt idx="310">
                  <c:v>5.0356587443618483E-2</c:v>
                </c:pt>
                <c:pt idx="311">
                  <c:v>5.037738707154904E-2</c:v>
                </c:pt>
                <c:pt idx="312">
                  <c:v>5.0398186243914345E-2</c:v>
                </c:pt>
                <c:pt idx="313">
                  <c:v>5.0418984960724389E-2</c:v>
                </c:pt>
                <c:pt idx="314">
                  <c:v>5.0439783221989165E-2</c:v>
                </c:pt>
                <c:pt idx="315">
                  <c:v>5.0460581027718665E-2</c:v>
                </c:pt>
                <c:pt idx="316">
                  <c:v>5.0481378377922881E-2</c:v>
                </c:pt>
                <c:pt idx="317">
                  <c:v>5.0502175272611693E-2</c:v>
                </c:pt>
                <c:pt idx="318">
                  <c:v>5.0522971711795095E-2</c:v>
                </c:pt>
                <c:pt idx="319">
                  <c:v>5.0543767695483188E-2</c:v>
                </c:pt>
                <c:pt idx="320">
                  <c:v>5.0564563223685854E-2</c:v>
                </c:pt>
                <c:pt idx="321">
                  <c:v>5.0585358296413085E-2</c:v>
                </c:pt>
                <c:pt idx="322">
                  <c:v>5.0606152913674873E-2</c:v>
                </c:pt>
                <c:pt idx="323">
                  <c:v>5.0626947075481099E-2</c:v>
                </c:pt>
                <c:pt idx="324">
                  <c:v>5.0647740781841866E-2</c:v>
                </c:pt>
                <c:pt idx="325">
                  <c:v>5.0668534032767054E-2</c:v>
                </c:pt>
                <c:pt idx="326">
                  <c:v>5.0689326828266767E-2</c:v>
                </c:pt>
                <c:pt idx="327">
                  <c:v>5.0710119168350776E-2</c:v>
                </c:pt>
                <c:pt idx="328">
                  <c:v>5.0730911053029293E-2</c:v>
                </c:pt>
                <c:pt idx="329">
                  <c:v>5.0751702482312089E-2</c:v>
                </c:pt>
                <c:pt idx="330">
                  <c:v>5.0772493456209267E-2</c:v>
                </c:pt>
                <c:pt idx="331">
                  <c:v>5.0793283974730818E-2</c:v>
                </c:pt>
                <c:pt idx="332">
                  <c:v>5.0814074037886514E-2</c:v>
                </c:pt>
                <c:pt idx="333">
                  <c:v>5.0834863645686568E-2</c:v>
                </c:pt>
                <c:pt idx="334">
                  <c:v>5.085565279814086E-2</c:v>
                </c:pt>
                <c:pt idx="335">
                  <c:v>5.0876441495259384E-2</c:v>
                </c:pt>
                <c:pt idx="336">
                  <c:v>5.0897229737052019E-2</c:v>
                </c:pt>
                <c:pt idx="337">
                  <c:v>5.0918017523528758E-2</c:v>
                </c:pt>
                <c:pt idx="338">
                  <c:v>5.0938804854699704E-2</c:v>
                </c:pt>
                <c:pt idx="339">
                  <c:v>5.0959591730574738E-2</c:v>
                </c:pt>
                <c:pt idx="340">
                  <c:v>5.0980378151163852E-2</c:v>
                </c:pt>
                <c:pt idx="341">
                  <c:v>5.1001164116477038E-2</c:v>
                </c:pt>
                <c:pt idx="342">
                  <c:v>5.1021949626524177E-2</c:v>
                </c:pt>
                <c:pt idx="343">
                  <c:v>5.104273468131526E-2</c:v>
                </c:pt>
                <c:pt idx="344">
                  <c:v>5.1063519280860392E-2</c:v>
                </c:pt>
                <c:pt idx="345">
                  <c:v>5.1084303425169453E-2</c:v>
                </c:pt>
                <c:pt idx="346">
                  <c:v>5.1105087114252323E-2</c:v>
                </c:pt>
                <c:pt idx="347">
                  <c:v>5.1125870348119107E-2</c:v>
                </c:pt>
                <c:pt idx="348">
                  <c:v>5.1146653126779795E-2</c:v>
                </c:pt>
                <c:pt idx="349">
                  <c:v>5.116743545024427E-2</c:v>
                </c:pt>
                <c:pt idx="350">
                  <c:v>5.1188217318522411E-2</c:v>
                </c:pt>
                <c:pt idx="351">
                  <c:v>5.1208998731624433E-2</c:v>
                </c:pt>
                <c:pt idx="352">
                  <c:v>5.1229779689560107E-2</c:v>
                </c:pt>
                <c:pt idx="353">
                  <c:v>5.1250560192339534E-2</c:v>
                </c:pt>
                <c:pt idx="354">
                  <c:v>5.1271340239972596E-2</c:v>
                </c:pt>
                <c:pt idx="355">
                  <c:v>5.1292119832469174E-2</c:v>
                </c:pt>
                <c:pt idx="356">
                  <c:v>5.1312898969839482E-2</c:v>
                </c:pt>
                <c:pt idx="357">
                  <c:v>5.133367765209329E-2</c:v>
                </c:pt>
                <c:pt idx="358">
                  <c:v>5.1354455879240701E-2</c:v>
                </c:pt>
                <c:pt idx="359">
                  <c:v>5.1375233651291485E-2</c:v>
                </c:pt>
                <c:pt idx="360">
                  <c:v>5.1396010968255856E-2</c:v>
                </c:pt>
                <c:pt idx="361">
                  <c:v>5.1416787830143584E-2</c:v>
                </c:pt>
                <c:pt idx="362">
                  <c:v>5.1437564236964772E-2</c:v>
                </c:pt>
                <c:pt idx="363">
                  <c:v>5.1458340188729301E-2</c:v>
                </c:pt>
                <c:pt idx="364">
                  <c:v>5.1479115685447163E-2</c:v>
                </c:pt>
                <c:pt idx="365">
                  <c:v>5.149989072712835E-2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0.11838971838537062</c:v>
                </c:pt>
                <c:pt idx="1">
                  <c:v>0.11842304978582271</c:v>
                </c:pt>
                <c:pt idx="2">
                  <c:v>0.11845660992152859</c:v>
                </c:pt>
                <c:pt idx="3">
                  <c:v>0.11849037135559699</c:v>
                </c:pt>
                <c:pt idx="4">
                  <c:v>0.11852431019319359</c:v>
                </c:pt>
                <c:pt idx="5">
                  <c:v>0.11855840597134538</c:v>
                </c:pt>
                <c:pt idx="6">
                  <c:v>0.11859264152241791</c:v>
                </c:pt>
                <c:pt idx="7">
                  <c:v>0.1186270028134752</c:v>
                </c:pt>
                <c:pt idx="8">
                  <c:v>0.1186614787639057</c:v>
                </c:pt>
                <c:pt idx="9">
                  <c:v>0.11869606104384674</c:v>
                </c:pt>
                <c:pt idx="10">
                  <c:v>0.11873074385606161</c:v>
                </c:pt>
                <c:pt idx="11">
                  <c:v>0.11876552370401669</c:v>
                </c:pt>
                <c:pt idx="12">
                  <c:v>0.11880039914897363</c:v>
                </c:pt>
                <c:pt idx="13">
                  <c:v>0.11883537055894844</c:v>
                </c:pt>
                <c:pt idx="14">
                  <c:v>0.11887043985239883</c:v>
                </c:pt>
                <c:pt idx="15">
                  <c:v>0.11890561023948432</c:v>
                </c:pt>
                <c:pt idx="16">
                  <c:v>0.11894088596369659</c:v>
                </c:pt>
                <c:pt idx="17">
                  <c:v>0.11897627204658649</c:v>
                </c:pt>
                <c:pt idx="18">
                  <c:v>0.11901177403821731</c:v>
                </c:pt>
                <c:pt idx="19">
                  <c:v>0.11904739777585245</c:v>
                </c:pt>
                <c:pt idx="20">
                  <c:v>0.11908314915324254</c:v>
                </c:pt>
                <c:pt idx="21">
                  <c:v>0.11911903390271349</c:v>
                </c:pt>
                <c:pt idx="22">
                  <c:v>0.11915505739207405</c:v>
                </c:pt>
                <c:pt idx="23">
                  <c:v>0.11919122443816424</c:v>
                </c:pt>
                <c:pt idx="24">
                  <c:v>0.11922753913865071</c:v>
                </c:pt>
                <c:pt idx="25">
                  <c:v>0.11926400472345312</c:v>
                </c:pt>
                <c:pt idx="26">
                  <c:v>0.11930062342694975</c:v>
                </c:pt>
                <c:pt idx="27">
                  <c:v>0.11933739638187067</c:v>
                </c:pt>
                <c:pt idx="28">
                  <c:v>0.11937432353554218</c:v>
                </c:pt>
                <c:pt idx="29">
                  <c:v>0.11941140358889839</c:v>
                </c:pt>
                <c:pt idx="30">
                  <c:v>0.11944863395843162</c:v>
                </c:pt>
                <c:pt idx="31">
                  <c:v>0.11948601076100966</c:v>
                </c:pt>
                <c:pt idx="32">
                  <c:v>0.11952352882125195</c:v>
                </c:pt>
                <c:pt idx="33">
                  <c:v>0.11956118170092807</c:v>
                </c:pt>
                <c:pt idx="34">
                  <c:v>0.11959896174962348</c:v>
                </c:pt>
                <c:pt idx="35">
                  <c:v>0.11963686017571194</c:v>
                </c:pt>
                <c:pt idx="36">
                  <c:v>0.11967486713648207</c:v>
                </c:pt>
                <c:pt idx="37">
                  <c:v>0.11971297184608991</c:v>
                </c:pt>
                <c:pt idx="38">
                  <c:v>0.1197511626998512</c:v>
                </c:pt>
                <c:pt idx="39">
                  <c:v>0.11978942741324737</c:v>
                </c:pt>
                <c:pt idx="40">
                  <c:v>0.11982775317390053</c:v>
                </c:pt>
                <c:pt idx="41">
                  <c:v>0.11986612680467246</c:v>
                </c:pt>
                <c:pt idx="42">
                  <c:v>0.11990453493596659</c:v>
                </c:pt>
                <c:pt idx="43">
                  <c:v>0.11994296418525574</c:v>
                </c:pt>
                <c:pt idx="44">
                  <c:v>0.11998140134182404</c:v>
                </c:pt>
                <c:pt idx="45">
                  <c:v>0.12001983355470064</c:v>
                </c:pt>
                <c:pt idx="46">
                  <c:v>0.12005824852177087</c:v>
                </c:pt>
                <c:pt idx="47">
                  <c:v>0.1200966346780824</c:v>
                </c:pt>
                <c:pt idx="48">
                  <c:v>0.12013498138141336</c:v>
                </c:pt>
                <c:pt idx="49">
                  <c:v>0.12017327909323974</c:v>
                </c:pt>
                <c:pt idx="50">
                  <c:v>0.12021151955332698</c:v>
                </c:pt>
                <c:pt idx="51">
                  <c:v>0.12024969594627502</c:v>
                </c:pt>
                <c:pt idx="52">
                  <c:v>0.12028780305846573</c:v>
                </c:pt>
                <c:pt idx="53">
                  <c:v>0.12032583742399502</c:v>
                </c:pt>
                <c:pt idx="54">
                  <c:v>0.12036379745831563</c:v>
                </c:pt>
                <c:pt idx="55">
                  <c:v>0.12040168357847288</c:v>
                </c:pt>
                <c:pt idx="56">
                  <c:v>0.12043949830897675</c:v>
                </c:pt>
                <c:pt idx="57">
                  <c:v>0.12047724637252297</c:v>
                </c:pt>
                <c:pt idx="58">
                  <c:v>0.12051493476494789</c:v>
                </c:pt>
                <c:pt idx="59">
                  <c:v>0.12055257281397593</c:v>
                </c:pt>
                <c:pt idx="60">
                  <c:v>0.12059017222149286</c:v>
                </c:pt>
                <c:pt idx="61">
                  <c:v>0.12062774708924907</c:v>
                </c:pt>
                <c:pt idx="62">
                  <c:v>0.12066531392806586</c:v>
                </c:pt>
                <c:pt idx="63">
                  <c:v>0.12070289165077829</c:v>
                </c:pt>
                <c:pt idx="64">
                  <c:v>0.12074050154930337</c:v>
                </c:pt>
                <c:pt idx="65">
                  <c:v>0.12077816725636598</c:v>
                </c:pt>
                <c:pt idx="66">
                  <c:v>0.12081591469254969</c:v>
                </c:pt>
                <c:pt idx="67">
                  <c:v>0.12085377199946132</c:v>
                </c:pt>
                <c:pt idx="68">
                  <c:v>0.12089176945990597</c:v>
                </c:pt>
                <c:pt idx="69">
                  <c:v>0.12092993940606489</c:v>
                </c:pt>
                <c:pt idx="70">
                  <c:v>0.12096831611674624</c:v>
                </c:pt>
                <c:pt idx="71">
                  <c:v>0.12100693570484383</c:v>
                </c:pt>
                <c:pt idx="72">
                  <c:v>0.12104583599618542</c:v>
                </c:pt>
                <c:pt idx="73">
                  <c:v>0.12108505640098423</c:v>
                </c:pt>
                <c:pt idx="74">
                  <c:v>0.1211246377791222</c:v>
                </c:pt>
                <c:pt idx="75">
                  <c:v>0.12116462230049241</c:v>
                </c:pt>
                <c:pt idx="76">
                  <c:v>0.12120505330161234</c:v>
                </c:pt>
                <c:pt idx="77">
                  <c:v>0.12124597513968743</c:v>
                </c:pt>
                <c:pt idx="78">
                  <c:v>0.12128743304525912</c:v>
                </c:pt>
                <c:pt idx="79">
                  <c:v>0.12132947297451283</c:v>
                </c:pt>
                <c:pt idx="80">
                  <c:v>0.12137214146224985</c:v>
                </c:pt>
                <c:pt idx="81">
                  <c:v>0.12141548547644519</c:v>
                </c:pt>
                <c:pt idx="82">
                  <c:v>0.12145955227522237</c:v>
                </c:pt>
                <c:pt idx="83">
                  <c:v>0.12150438926697585</c:v>
                </c:pt>
                <c:pt idx="84">
                  <c:v>0.1215500438742662</c:v>
                </c:pt>
                <c:pt idx="85">
                  <c:v>0.12159656340200184</c:v>
                </c:pt>
                <c:pt idx="86">
                  <c:v>0.12164399491030718</c:v>
                </c:pt>
                <c:pt idx="87">
                  <c:v>0.12169238509236111</c:v>
                </c:pt>
                <c:pt idx="88">
                  <c:v>0.12174178015737482</c:v>
                </c:pt>
                <c:pt idx="89">
                  <c:v>0.12179222571876372</c:v>
                </c:pt>
                <c:pt idx="90">
                  <c:v>0.1218437666874589</c:v>
                </c:pt>
                <c:pt idx="91">
                  <c:v>0.12189644717019854</c:v>
                </c:pt>
                <c:pt idx="92">
                  <c:v>0.12195031037254159</c:v>
                </c:pt>
                <c:pt idx="93">
                  <c:v>0.12200539850625593</c:v>
                </c:pt>
                <c:pt idx="94">
                  <c:v>0.12206175270065335</c:v>
                </c:pt>
                <c:pt idx="95">
                  <c:v>0.12211941291737254</c:v>
                </c:pt>
                <c:pt idx="96">
                  <c:v>0.12217841786805436</c:v>
                </c:pt>
                <c:pt idx="97">
                  <c:v>0.12223880493430622</c:v>
                </c:pt>
                <c:pt idx="98">
                  <c:v>0.12230061008932172</c:v>
                </c:pt>
                <c:pt idx="99">
                  <c:v>0.12236386782050072</c:v>
                </c:pt>
                <c:pt idx="100">
                  <c:v>0.12242861105241161</c:v>
                </c:pt>
                <c:pt idx="101">
                  <c:v>0.12249487106944627</c:v>
                </c:pt>
                <c:pt idx="102">
                  <c:v>0.12256267743754211</c:v>
                </c:pt>
                <c:pt idx="103">
                  <c:v>0.12263205792438206</c:v>
                </c:pt>
                <c:pt idx="104">
                  <c:v>0.1227030384175357</c:v>
                </c:pt>
                <c:pt idx="105">
                  <c:v>0.12277564284006724</c:v>
                </c:pt>
                <c:pt idx="106">
                  <c:v>0.12284989306321267</c:v>
                </c:pt>
                <c:pt idx="107">
                  <c:v>0.12292580881581504</c:v>
                </c:pt>
                <c:pt idx="108">
                  <c:v>0.12300340759030413</c:v>
                </c:pt>
                <c:pt idx="109">
                  <c:v>0.1230827045451123</c:v>
                </c:pt>
                <c:pt idx="110">
                  <c:v>0.12316371240353101</c:v>
                </c:pt>
                <c:pt idx="111">
                  <c:v>0.12324644134913271</c:v>
                </c:pt>
                <c:pt idx="112">
                  <c:v>0.12333089891800426</c:v>
                </c:pt>
                <c:pt idx="113">
                  <c:v>0.12341708988816492</c:v>
                </c:pt>
                <c:pt idx="114">
                  <c:v>0.12350501616666784</c:v>
                </c:pt>
                <c:pt idx="115">
                  <c:v>0.12359467667500992</c:v>
                </c:pt>
                <c:pt idx="116">
                  <c:v>0.12368606723359722</c:v>
                </c:pt>
                <c:pt idx="117">
                  <c:v>0.12377918044613136</c:v>
                </c:pt>
                <c:pt idx="118">
                  <c:v>0.12387400558489441</c:v>
                </c:pt>
                <c:pt idx="119">
                  <c:v>0.12397052847801338</c:v>
                </c:pt>
                <c:pt idx="120">
                  <c:v>8.0926651060319096E-3</c:v>
                </c:pt>
                <c:pt idx="121">
                  <c:v>8.2373583898041284E-3</c:v>
                </c:pt>
                <c:pt idx="122">
                  <c:v>8.3821811388922109E-3</c:v>
                </c:pt>
                <c:pt idx="123">
                  <c:v>8.527136703027887E-3</c:v>
                </c:pt>
                <c:pt idx="124">
                  <c:v>8.6722280136765483E-3</c:v>
                </c:pt>
                <c:pt idx="125">
                  <c:v>8.8174575575758161E-3</c:v>
                </c:pt>
                <c:pt idx="126">
                  <c:v>8.9628273507030773E-3</c:v>
                </c:pt>
                <c:pt idx="127">
                  <c:v>9.1083389128686614E-3</c:v>
                </c:pt>
                <c:pt idx="128">
                  <c:v>9.2539932431410527E-3</c:v>
                </c:pt>
                <c:pt idx="129">
                  <c:v>9.3997907963200254E-3</c:v>
                </c:pt>
                <c:pt idx="130">
                  <c:v>9.5457314606788492E-3</c:v>
                </c:pt>
                <c:pt idx="131">
                  <c:v>9.691814537202699E-3</c:v>
                </c:pt>
                <c:pt idx="132">
                  <c:v>9.8380387205514036E-3</c:v>
                </c:pt>
                <c:pt idx="133">
                  <c:v>9.9844020819754107E-3</c:v>
                </c:pt>
                <c:pt idx="134">
                  <c:v>1.0130902054410846E-2</c:v>
                </c:pt>
                <c:pt idx="135">
                  <c:v>1.0277535419974296E-2</c:v>
                </c:pt>
                <c:pt idx="136">
                  <c:v>1.0424298300070314E-2</c:v>
                </c:pt>
                <c:pt idx="137">
                  <c:v>1.0571186148313955E-2</c:v>
                </c:pt>
                <c:pt idx="138">
                  <c:v>1.0718193746457709E-2</c:v>
                </c:pt>
                <c:pt idx="139">
                  <c:v>1.0865315203496036E-2</c:v>
                </c:pt>
                <c:pt idx="140">
                  <c:v>1.1012543958102972E-2</c:v>
                </c:pt>
                <c:pt idx="141">
                  <c:v>1.1159872784537044E-2</c:v>
                </c:pt>
                <c:pt idx="142">
                  <c:v>1.1307293802125138E-2</c:v>
                </c:pt>
                <c:pt idx="143">
                  <c:v>1.1454798488411466E-2</c:v>
                </c:pt>
                <c:pt idx="144">
                  <c:v>1.1602377696031134E-2</c:v>
                </c:pt>
                <c:pt idx="145">
                  <c:v>1.1750021673338829E-2</c:v>
                </c:pt>
                <c:pt idx="146">
                  <c:v>1.1897720088793149E-2</c:v>
                </c:pt>
                <c:pt idx="147">
                  <c:v>1.2045462059065861E-2</c:v>
                </c:pt>
                <c:pt idx="148">
                  <c:v>1.2193236180813064E-2</c:v>
                </c:pt>
                <c:pt idx="149">
                  <c:v>1.2341030566012955E-2</c:v>
                </c:pt>
                <c:pt idx="150">
                  <c:v>1.2488832880741561E-2</c:v>
                </c:pt>
                <c:pt idx="151">
                  <c:v>1.2636630387225586E-2</c:v>
                </c:pt>
                <c:pt idx="152">
                  <c:v>1.2784409988979102E-2</c:v>
                </c:pt>
                <c:pt idx="153">
                  <c:v>1.2932158278799543E-2</c:v>
                </c:pt>
                <c:pt idx="154">
                  <c:v>1.3079861589368134E-2</c:v>
                </c:pt>
                <c:pt idx="155">
                  <c:v>1.3227506046171794E-2</c:v>
                </c:pt>
                <c:pt idx="156">
                  <c:v>1.3375077622436329E-2</c:v>
                </c:pt>
                <c:pt idx="157">
                  <c:v>1.3522562195736458E-2</c:v>
                </c:pt>
                <c:pt idx="158">
                  <c:v>1.366994560592638E-2</c:v>
                </c:pt>
                <c:pt idx="159">
                  <c:v>1.3817213714015359E-2</c:v>
                </c:pt>
                <c:pt idx="160">
                  <c:v>1.3964352461596462E-2</c:v>
                </c:pt>
                <c:pt idx="161">
                  <c:v>1.4111347930424073E-2</c:v>
                </c:pt>
                <c:pt idx="162">
                  <c:v>1.4258186401726545E-2</c:v>
                </c:pt>
                <c:pt idx="163">
                  <c:v>1.4404854414834335E-2</c:v>
                </c:pt>
                <c:pt idx="164">
                  <c:v>1.4551338824702425E-2</c:v>
                </c:pt>
                <c:pt idx="165">
                  <c:v>1.4697626857907715E-2</c:v>
                </c:pt>
                <c:pt idx="166">
                  <c:v>1.4843706166708107E-2</c:v>
                </c:pt>
                <c:pt idx="167">
                  <c:v>1.4989564880759717E-2</c:v>
                </c:pt>
                <c:pt idx="168">
                  <c:v>1.5135191656102649E-2</c:v>
                </c:pt>
                <c:pt idx="169">
                  <c:v>1.5280575721043117E-2</c:v>
                </c:pt>
                <c:pt idx="170">
                  <c:v>1.5425706918581267E-2</c:v>
                </c:pt>
                <c:pt idx="171">
                  <c:v>1.5570575745058735E-2</c:v>
                </c:pt>
                <c:pt idx="172">
                  <c:v>1.5715173384728193E-2</c:v>
                </c:pt>
                <c:pt idx="173">
                  <c:v>1.585949173997861E-2</c:v>
                </c:pt>
                <c:pt idx="174">
                  <c:v>1.6003523456983717E-2</c:v>
                </c:pt>
                <c:pt idx="175">
                  <c:v>1.6147261946578173E-2</c:v>
                </c:pt>
                <c:pt idx="176">
                  <c:v>1.6290701400204482E-2</c:v>
                </c:pt>
                <c:pt idx="177">
                  <c:v>1.6433836800814478E-2</c:v>
                </c:pt>
                <c:pt idx="178">
                  <c:v>1.6576663928651012E-2</c:v>
                </c:pt>
                <c:pt idx="179">
                  <c:v>1.6719179361878517E-2</c:v>
                </c:pt>
                <c:pt idx="180">
                  <c:v>1.6861380472075096E-2</c:v>
                </c:pt>
                <c:pt idx="181">
                  <c:v>1.7003265414641401E-2</c:v>
                </c:pt>
                <c:pt idx="182">
                  <c:v>1.7144833114226415E-2</c:v>
                </c:pt>
                <c:pt idx="183">
                  <c:v>1.7286083245311196E-2</c:v>
                </c:pt>
                <c:pt idx="184">
                  <c:v>1.7427016208134433E-2</c:v>
                </c:pt>
                <c:pt idx="185">
                  <c:v>1.7567633100182372E-2</c:v>
                </c:pt>
                <c:pt idx="186">
                  <c:v>1.7707935683503765E-2</c:v>
                </c:pt>
                <c:pt idx="187">
                  <c:v>1.7847926348145436E-2</c:v>
                </c:pt>
                <c:pt idx="188">
                  <c:v>1.7987608072036722E-2</c:v>
                </c:pt>
                <c:pt idx="189">
                  <c:v>1.8126984377679498E-2</c:v>
                </c:pt>
                <c:pt idx="190">
                  <c:v>1.8266059286026606E-2</c:v>
                </c:pt>
                <c:pt idx="191">
                  <c:v>1.8404837267953361E-2</c:v>
                </c:pt>
                <c:pt idx="192">
                  <c:v>1.854332319374365E-2</c:v>
                </c:pt>
                <c:pt idx="193">
                  <c:v>1.8681522281026756E-2</c:v>
                </c:pt>
                <c:pt idx="194">
                  <c:v>1.8819440041609306E-2</c:v>
                </c:pt>
                <c:pt idx="195">
                  <c:v>1.8957082227651391E-2</c:v>
                </c:pt>
                <c:pt idx="196">
                  <c:v>1.9094454777636178E-2</c:v>
                </c:pt>
                <c:pt idx="197">
                  <c:v>1.9231563762577446E-2</c:v>
                </c:pt>
                <c:pt idx="198">
                  <c:v>1.9368415332900218E-2</c:v>
                </c:pt>
                <c:pt idx="199">
                  <c:v>1.950501566641627E-2</c:v>
                </c:pt>
                <c:pt idx="200">
                  <c:v>1.9641370917798405E-2</c:v>
                </c:pt>
                <c:pt idx="201">
                  <c:v>1.9777487169935014E-2</c:v>
                </c:pt>
                <c:pt idx="202">
                  <c:v>1.9913370387520578E-2</c:v>
                </c:pt>
                <c:pt idx="203">
                  <c:v>2.0049026373208878E-2</c:v>
                </c:pt>
                <c:pt idx="204">
                  <c:v>2.0184460726621743E-2</c:v>
                </c:pt>
                <c:pt idx="205">
                  <c:v>2.0319678806471436E-2</c:v>
                </c:pt>
                <c:pt idx="206">
                  <c:v>2.0454685696016207E-2</c:v>
                </c:pt>
                <c:pt idx="207">
                  <c:v>2.0589486172028101E-2</c:v>
                </c:pt>
                <c:pt idx="208">
                  <c:v>2.0724084677410475E-2</c:v>
                </c:pt>
                <c:pt idx="209">
                  <c:v>2.0858485297559647E-2</c:v>
                </c:pt>
                <c:pt idx="210">
                  <c:v>2.0992691740520743E-2</c:v>
                </c:pt>
                <c:pt idx="211">
                  <c:v>2.1126707320945352E-2</c:v>
                </c:pt>
                <c:pt idx="212">
                  <c:v>2.1260534947813277E-2</c:v>
                </c:pt>
                <c:pt idx="213">
                  <c:v>2.1394177115839755E-2</c:v>
                </c:pt>
                <c:pt idx="214">
                  <c:v>2.1527635900447196E-2</c:v>
                </c:pt>
                <c:pt idx="215">
                  <c:v>2.16609129561415E-2</c:v>
                </c:pt>
                <c:pt idx="216">
                  <c:v>2.1794009518095812E-2</c:v>
                </c:pt>
                <c:pt idx="217">
                  <c:v>2.1926926406710654E-2</c:v>
                </c:pt>
                <c:pt idx="218">
                  <c:v>2.2059664034887551E-2</c:v>
                </c:pt>
                <c:pt idx="219">
                  <c:v>2.2192222417726531E-2</c:v>
                </c:pt>
                <c:pt idx="220">
                  <c:v>2.2324601184333659E-2</c:v>
                </c:pt>
                <c:pt idx="221">
                  <c:v>2.2456799591405882E-2</c:v>
                </c:pt>
                <c:pt idx="222">
                  <c:v>2.2588816538244835E-2</c:v>
                </c:pt>
                <c:pt idx="223">
                  <c:v>2.2720650582841902E-2</c:v>
                </c:pt>
                <c:pt idx="224">
                  <c:v>2.2852299958670476E-2</c:v>
                </c:pt>
                <c:pt idx="225">
                  <c:v>2.2983762591821361E-2</c:v>
                </c:pt>
                <c:pt idx="226">
                  <c:v>2.3115036118121803E-2</c:v>
                </c:pt>
                <c:pt idx="227">
                  <c:v>2.3246117899887075E-2</c:v>
                </c:pt>
                <c:pt idx="228">
                  <c:v>2.3377005041969018E-2</c:v>
                </c:pt>
                <c:pt idx="229">
                  <c:v>2.3507694406783599E-2</c:v>
                </c:pt>
                <c:pt idx="230">
                  <c:v>2.3638182628023675E-2</c:v>
                </c:pt>
                <c:pt idx="231">
                  <c:v>2.3768466122790446E-2</c:v>
                </c:pt>
                <c:pt idx="232">
                  <c:v>2.389854110190881E-2</c:v>
                </c:pt>
                <c:pt idx="233">
                  <c:v>2.4028403578226741E-2</c:v>
                </c:pt>
                <c:pt idx="234">
                  <c:v>2.4158049372737508E-2</c:v>
                </c:pt>
                <c:pt idx="235">
                  <c:v>2.4287474118404255E-2</c:v>
                </c:pt>
                <c:pt idx="236">
                  <c:v>2.4416673261610157E-2</c:v>
                </c:pt>
                <c:pt idx="237">
                  <c:v>2.4545642061201963E-2</c:v>
                </c:pt>
                <c:pt idx="238">
                  <c:v>2.4674375585141524E-2</c:v>
                </c:pt>
                <c:pt idx="239">
                  <c:v>2.4802868704826446E-2</c:v>
                </c:pt>
                <c:pt idx="240">
                  <c:v>2.493111608718785E-2</c:v>
                </c:pt>
                <c:pt idx="241">
                  <c:v>2.5059112184719946E-2</c:v>
                </c:pt>
                <c:pt idx="242">
                  <c:v>2.5186851223641005E-2</c:v>
                </c:pt>
                <c:pt idx="243">
                  <c:v>2.5314327190429059E-2</c:v>
                </c:pt>
                <c:pt idx="244">
                  <c:v>2.5441533817016672E-2</c:v>
                </c:pt>
                <c:pt idx="245">
                  <c:v>2.5568464564967423E-2</c:v>
                </c:pt>
                <c:pt idx="246">
                  <c:v>2.5695112608992047E-2</c:v>
                </c:pt>
                <c:pt idx="247">
                  <c:v>2.5821470820192712E-2</c:v>
                </c:pt>
                <c:pt idx="248">
                  <c:v>2.5947531749450716E-2</c:v>
                </c:pt>
                <c:pt idx="249">
                  <c:v>2.6073287611395088E-2</c:v>
                </c:pt>
                <c:pt idx="250">
                  <c:v>2.6198730269405911E-2</c:v>
                </c:pt>
                <c:pt idx="251">
                  <c:v>2.6323851222117348E-2</c:v>
                </c:pt>
                <c:pt idx="252">
                  <c:v>2.6448641591891347E-2</c:v>
                </c:pt>
                <c:pt idx="253">
                  <c:v>2.657309211573216E-2</c:v>
                </c:pt>
                <c:pt idx="254">
                  <c:v>2.669719313910511E-2</c:v>
                </c:pt>
                <c:pt idx="255">
                  <c:v>2.6820934613111067E-2</c:v>
                </c:pt>
                <c:pt idx="256">
                  <c:v>2.6944306095448407E-2</c:v>
                </c:pt>
                <c:pt idx="257">
                  <c:v>2.7067296755570028E-2</c:v>
                </c:pt>
                <c:pt idx="258">
                  <c:v>2.7189895384412063E-2</c:v>
                </c:pt>
                <c:pt idx="259">
                  <c:v>2.7312090409033731E-2</c:v>
                </c:pt>
                <c:pt idx="260">
                  <c:v>2.7433869912467084E-2</c:v>
                </c:pt>
                <c:pt idx="261">
                  <c:v>2.7555221659027001E-2</c:v>
                </c:pt>
                <c:pt idx="262">
                  <c:v>2.7676133125280972E-2</c:v>
                </c:pt>
                <c:pt idx="263">
                  <c:v>2.7796591536821756E-2</c:v>
                </c:pt>
                <c:pt idx="264">
                  <c:v>2.7916583910926752E-2</c:v>
                </c:pt>
                <c:pt idx="265">
                  <c:v>2.8036097105124735E-2</c:v>
                </c:pt>
                <c:pt idx="266">
                  <c:v>2.8155117871625741E-2</c:v>
                </c:pt>
                <c:pt idx="267">
                  <c:v>2.8273632917502695E-2</c:v>
                </c:pt>
                <c:pt idx="268">
                  <c:v>2.8391628970444963E-2</c:v>
                </c:pt>
                <c:pt idx="269">
                  <c:v>2.8509092849836052E-2</c:v>
                </c:pt>
                <c:pt idx="270">
                  <c:v>2.8626011542838246E-2</c:v>
                </c:pt>
                <c:pt idx="271">
                  <c:v>2.8742372285101243E-2</c:v>
                </c:pt>
                <c:pt idx="272">
                  <c:v>2.8858162645644909E-2</c:v>
                </c:pt>
                <c:pt idx="273">
                  <c:v>2.8973370615404611E-2</c:v>
                </c:pt>
                <c:pt idx="274">
                  <c:v>2.9087984698867475E-2</c:v>
                </c:pt>
                <c:pt idx="275">
                  <c:v>2.9201994008172239E-2</c:v>
                </c:pt>
                <c:pt idx="276">
                  <c:v>2.9315388358995036E-2</c:v>
                </c:pt>
                <c:pt idx="277">
                  <c:v>2.9428158367497279E-2</c:v>
                </c:pt>
                <c:pt idx="278">
                  <c:v>2.9540295547572589E-2</c:v>
                </c:pt>
                <c:pt idx="279">
                  <c:v>2.9651792407596224E-2</c:v>
                </c:pt>
                <c:pt idx="280">
                  <c:v>2.9762642545854649E-2</c:v>
                </c:pt>
                <c:pt idx="281">
                  <c:v>2.9872840743813352E-2</c:v>
                </c:pt>
                <c:pt idx="282">
                  <c:v>2.9982383056370569E-2</c:v>
                </c:pt>
                <c:pt idx="283">
                  <c:v>3.0091266898241084E-2</c:v>
                </c:pt>
                <c:pt idx="284">
                  <c:v>3.0199491125619125E-2</c:v>
                </c:pt>
                <c:pt idx="285">
                  <c:v>3.0307056112283494E-2</c:v>
                </c:pt>
                <c:pt idx="286">
                  <c:v>3.0413963819328916E-2</c:v>
                </c:pt>
                <c:pt idx="287">
                  <c:v>3.0520217857738337E-2</c:v>
                </c:pt>
                <c:pt idx="288">
                  <c:v>3.0625823543049008E-2</c:v>
                </c:pt>
                <c:pt idx="289">
                  <c:v>3.0730787941411264E-2</c:v>
                </c:pt>
                <c:pt idx="290">
                  <c:v>3.0835119906392778E-2</c:v>
                </c:pt>
                <c:pt idx="291">
                  <c:v>3.093883010594271E-2</c:v>
                </c:pt>
                <c:pt idx="292">
                  <c:v>3.1041931038997436E-2</c:v>
                </c:pt>
                <c:pt idx="293">
                  <c:v>3.1144437041284456E-2</c:v>
                </c:pt>
                <c:pt idx="294">
                  <c:v>3.124636427996072E-2</c:v>
                </c:pt>
                <c:pt idx="295">
                  <c:v>3.1347730736806308E-2</c:v>
                </c:pt>
                <c:pt idx="296">
                  <c:v>3.1448556179784364E-2</c:v>
                </c:pt>
                <c:pt idx="297">
                  <c:v>3.1548862122869926E-2</c:v>
                </c:pt>
                <c:pt idx="298">
                  <c:v>3.1648671774146125E-2</c:v>
                </c:pt>
                <c:pt idx="299">
                  <c:v>3.1748009972263534E-2</c:v>
                </c:pt>
                <c:pt idx="300">
                  <c:v>3.1846903111455695E-2</c:v>
                </c:pt>
                <c:pt idx="301">
                  <c:v>3.1945379055402581E-2</c:v>
                </c:pt>
                <c:pt idx="302">
                  <c:v>3.2043467040330245E-2</c:v>
                </c:pt>
                <c:pt idx="303">
                  <c:v>3.2141197567829967E-2</c:v>
                </c:pt>
                <c:pt idx="304">
                  <c:v>3.2238602287973241E-2</c:v>
                </c:pt>
                <c:pt idx="305">
                  <c:v>3.2335713873386213E-2</c:v>
                </c:pt>
                <c:pt idx="306">
                  <c:v>3.2432565885032488E-2</c:v>
                </c:pt>
                <c:pt idx="307">
                  <c:v>3.252919263053107E-2</c:v>
                </c:pt>
                <c:pt idx="308">
                  <c:v>3.2625629015908458E-2</c:v>
                </c:pt>
                <c:pt idx="309">
                  <c:v>3.2721910391749993E-2</c:v>
                </c:pt>
                <c:pt idx="310">
                  <c:v>3.2818072394772337E-2</c:v>
                </c:pt>
                <c:pt idx="311">
                  <c:v>3.2914150785889197E-2</c:v>
                </c:pt>
                <c:pt idx="312">
                  <c:v>3.3010181285882546E-2</c:v>
                </c:pt>
                <c:pt idx="313">
                  <c:v>3.3106199409823386E-2</c:v>
                </c:pt>
                <c:pt idx="314">
                  <c:v>3.3202240301407282E-2</c:v>
                </c:pt>
                <c:pt idx="315">
                  <c:v>3.329833856838222E-2</c:v>
                </c:pt>
                <c:pt idx="316">
                  <c:v>3.3394528120247728E-2</c:v>
                </c:pt>
                <c:pt idx="317">
                  <c:v>3.3490842009395609E-2</c:v>
                </c:pt>
                <c:pt idx="318">
                  <c:v>3.3587312276844035E-2</c:v>
                </c:pt>
                <c:pt idx="319">
                  <c:v>3.3683969803687659E-2</c:v>
                </c:pt>
                <c:pt idx="320">
                  <c:v>3.3780844169347651E-2</c:v>
                </c:pt>
                <c:pt idx="321">
                  <c:v>3.3877963517657268E-2</c:v>
                </c:pt>
                <c:pt idx="322">
                  <c:v>3.3975354431760453E-2</c:v>
                </c:pt>
                <c:pt idx="323">
                  <c:v>3.4073041818734912E-2</c:v>
                </c:pt>
                <c:pt idx="324">
                  <c:v>3.4171048804776276E-2</c:v>
                </c:pt>
                <c:pt idx="325">
                  <c:v>3.4269396641697508E-2</c:v>
                </c:pt>
                <c:pt idx="326">
                  <c:v>3.4368104625409103E-2</c:v>
                </c:pt>
                <c:pt idx="327">
                  <c:v>3.446719002695009E-2</c:v>
                </c:pt>
                <c:pt idx="328">
                  <c:v>3.4566668036539606E-2</c:v>
                </c:pt>
                <c:pt idx="329">
                  <c:v>3.4666551721014717E-2</c:v>
                </c:pt>
                <c:pt idx="330">
                  <c:v>3.4766851994911072E-2</c:v>
                </c:pt>
                <c:pt idx="331">
                  <c:v>3.4867577605334064E-2</c:v>
                </c:pt>
                <c:pt idx="332">
                  <c:v>3.4968735130655279E-2</c:v>
                </c:pt>
                <c:pt idx="333">
                  <c:v>3.5070328992957943E-2</c:v>
                </c:pt>
                <c:pt idx="334">
                  <c:v>3.5172361484042854E-2</c:v>
                </c:pt>
                <c:pt idx="335">
                  <c:v>3.527483280469762E-2</c:v>
                </c:pt>
                <c:pt idx="336">
                  <c:v>3.5377741116824561E-2</c:v>
                </c:pt>
                <c:pt idx="337">
                  <c:v>3.5481082607919469E-2</c:v>
                </c:pt>
                <c:pt idx="338">
                  <c:v>3.5584851567295427E-2</c:v>
                </c:pt>
                <c:pt idx="339">
                  <c:v>3.5689040473352335E-2</c:v>
                </c:pt>
                <c:pt idx="340">
                  <c:v>3.5793640091106811E-2</c:v>
                </c:pt>
                <c:pt idx="341">
                  <c:v>3.5898639579117785E-2</c:v>
                </c:pt>
                <c:pt idx="342">
                  <c:v>3.6004026604871051E-2</c:v>
                </c:pt>
                <c:pt idx="343">
                  <c:v>3.6109787467624832E-2</c:v>
                </c:pt>
                <c:pt idx="344">
                  <c:v>3.6215907227662943E-2</c:v>
                </c:pt>
                <c:pt idx="345">
                  <c:v>3.6322369840859646E-2</c:v>
                </c:pt>
                <c:pt idx="346">
                  <c:v>3.6429158297425608E-2</c:v>
                </c:pt>
                <c:pt idx="347">
                  <c:v>3.6536254763680762E-2</c:v>
                </c:pt>
                <c:pt idx="348">
                  <c:v>3.6643640725686863E-2</c:v>
                </c:pt>
                <c:pt idx="349">
                  <c:v>3.6751297133569658E-2</c:v>
                </c:pt>
                <c:pt idx="350">
                  <c:v>3.6859204545368646E-2</c:v>
                </c:pt>
                <c:pt idx="351">
                  <c:v>3.6967343269270821E-2</c:v>
                </c:pt>
                <c:pt idx="352">
                  <c:v>3.7075693503112926E-2</c:v>
                </c:pt>
                <c:pt idx="353">
                  <c:v>3.7184235470075482E-2</c:v>
                </c:pt>
                <c:pt idx="354">
                  <c:v>3.7292949549539815E-2</c:v>
                </c:pt>
                <c:pt idx="355">
                  <c:v>3.7401816402135885E-2</c:v>
                </c:pt>
                <c:pt idx="356">
                  <c:v>3.7510817088073807E-2</c:v>
                </c:pt>
                <c:pt idx="357">
                  <c:v>3.7619933177925592E-2</c:v>
                </c:pt>
                <c:pt idx="358">
                  <c:v>3.7729146855102473E-2</c:v>
                </c:pt>
                <c:pt idx="359">
                  <c:v>3.7838441009360395E-2</c:v>
                </c:pt>
                <c:pt idx="360">
                  <c:v>3.7947799320756356E-2</c:v>
                </c:pt>
                <c:pt idx="361">
                  <c:v>3.8057206333575261E-2</c:v>
                </c:pt>
                <c:pt idx="362">
                  <c:v>3.8166647519845012E-2</c:v>
                </c:pt>
                <c:pt idx="363">
                  <c:v>3.8276109332160052E-2</c:v>
                </c:pt>
                <c:pt idx="364">
                  <c:v>3.8385579245635883E-2</c:v>
                </c:pt>
                <c:pt idx="365">
                  <c:v>3.8495045788921621E-2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6.7862137167437357E-3</c:v>
                </c:pt>
                <c:pt idx="1">
                  <c:v>6.7888162487055245E-3</c:v>
                </c:pt>
                <c:pt idx="2">
                  <c:v>6.7799888551745568E-3</c:v>
                </c:pt>
                <c:pt idx="3">
                  <c:v>6.7603227651604168E-3</c:v>
                </c:pt>
                <c:pt idx="4">
                  <c:v>6.7303982044212458E-3</c:v>
                </c:pt>
                <c:pt idx="5">
                  <c:v>6.6907790524340996E-3</c:v>
                </c:pt>
                <c:pt idx="6">
                  <c:v>6.6420082776242123E-3</c:v>
                </c:pt>
                <c:pt idx="7">
                  <c:v>6.5846040910573986E-3</c:v>
                </c:pt>
                <c:pt idx="8">
                  <c:v>6.518329458067542E-3</c:v>
                </c:pt>
                <c:pt idx="9">
                  <c:v>6.4351788526326162E-3</c:v>
                </c:pt>
                <c:pt idx="10">
                  <c:v>6.3368890719621923E-3</c:v>
                </c:pt>
                <c:pt idx="11">
                  <c:v>6.2237349035998805E-3</c:v>
                </c:pt>
                <c:pt idx="12">
                  <c:v>6.0960008291829097E-3</c:v>
                </c:pt>
                <c:pt idx="13">
                  <c:v>5.9539821746315289E-3</c:v>
                </c:pt>
                <c:pt idx="14">
                  <c:v>5.7979860851751289E-3</c:v>
                </c:pt>
                <c:pt idx="15">
                  <c:v>5.6246493204868617E-3</c:v>
                </c:pt>
                <c:pt idx="16">
                  <c:v>5.4422394596690231E-3</c:v>
                </c:pt>
                <c:pt idx="17">
                  <c:v>5.2510008561403605E-3</c:v>
                </c:pt>
                <c:pt idx="18">
                  <c:v>5.0511902099187262E-3</c:v>
                </c:pt>
                <c:pt idx="19">
                  <c:v>4.8431035886779498E-3</c:v>
                </c:pt>
                <c:pt idx="20">
                  <c:v>4.6270561895476294E-3</c:v>
                </c:pt>
                <c:pt idx="21">
                  <c:v>4.4033488595638173E-3</c:v>
                </c:pt>
                <c:pt idx="22">
                  <c:v>4.1720868066199221E-3</c:v>
                </c:pt>
                <c:pt idx="23">
                  <c:v>3.941220219953627E-3</c:v>
                </c:pt>
                <c:pt idx="24">
                  <c:v>3.7177241454869905E-3</c:v>
                </c:pt>
                <c:pt idx="25">
                  <c:v>3.5016912529343184E-3</c:v>
                </c:pt>
                <c:pt idx="26">
                  <c:v>3.2931691893725453E-3</c:v>
                </c:pt>
                <c:pt idx="27">
                  <c:v>3.0921651339755373E-3</c:v>
                </c:pt>
                <c:pt idx="28">
                  <c:v>2.898650246920066E-3</c:v>
                </c:pt>
                <c:pt idx="29">
                  <c:v>2.7201677094868476E-3</c:v>
                </c:pt>
                <c:pt idx="30">
                  <c:v>2.5596387971334104E-3</c:v>
                </c:pt>
                <c:pt idx="31">
                  <c:v>2.4166526887052205E-3</c:v>
                </c:pt>
                <c:pt idx="32">
                  <c:v>2.2907918899703738E-3</c:v>
                </c:pt>
                <c:pt idx="33">
                  <c:v>2.1816381870522808E-3</c:v>
                </c:pt>
                <c:pt idx="34">
                  <c:v>2.0887779826072369E-3</c:v>
                </c:pt>
                <c:pt idx="35">
                  <c:v>2.0118070587738491E-3</c:v>
                </c:pt>
                <c:pt idx="36">
                  <c:v>1.950127085149763E-3</c:v>
                </c:pt>
                <c:pt idx="37">
                  <c:v>1.9034911488221328E-3</c:v>
                </c:pt>
                <c:pt idx="38">
                  <c:v>1.864892632609138E-3</c:v>
                </c:pt>
                <c:pt idx="39">
                  <c:v>1.8341561652630968E-3</c:v>
                </c:pt>
                <c:pt idx="40">
                  <c:v>1.8111096399660949E-3</c:v>
                </c:pt>
                <c:pt idx="41">
                  <c:v>1.7955852075799926E-3</c:v>
                </c:pt>
                <c:pt idx="42">
                  <c:v>1.7874201711016436E-3</c:v>
                </c:pt>
                <c:pt idx="43">
                  <c:v>1.7861984184277986E-3</c:v>
                </c:pt>
                <c:pt idx="44">
                  <c:v>1.7851145177304351E-3</c:v>
                </c:pt>
                <c:pt idx="45">
                  <c:v>1.7841927150572888E-3</c:v>
                </c:pt>
                <c:pt idx="46">
                  <c:v>1.7834569876767218E-3</c:v>
                </c:pt>
                <c:pt idx="47">
                  <c:v>1.7829311604449778E-3</c:v>
                </c:pt>
                <c:pt idx="48">
                  <c:v>1.7826390251613916E-3</c:v>
                </c:pt>
                <c:pt idx="49">
                  <c:v>1.7826044630965014E-3</c:v>
                </c:pt>
                <c:pt idx="50">
                  <c:v>1.7828060361911643E-3</c:v>
                </c:pt>
                <c:pt idx="51">
                  <c:v>1.7823913467261508E-3</c:v>
                </c:pt>
                <c:pt idx="52">
                  <c:v>1.7810529801471249E-3</c:v>
                </c:pt>
                <c:pt idx="53">
                  <c:v>1.7787977900513416E-3</c:v>
                </c:pt>
                <c:pt idx="54">
                  <c:v>1.775641225863285E-3</c:v>
                </c:pt>
                <c:pt idx="55">
                  <c:v>1.7715985803959677E-3</c:v>
                </c:pt>
                <c:pt idx="56">
                  <c:v>1.7666850640974193E-3</c:v>
                </c:pt>
                <c:pt idx="57">
                  <c:v>1.7592013517420024E-3</c:v>
                </c:pt>
                <c:pt idx="58">
                  <c:v>1.7494226553895695E-3</c:v>
                </c:pt>
                <c:pt idx="59">
                  <c:v>1.7373905227638191E-3</c:v>
                </c:pt>
                <c:pt idx="60">
                  <c:v>1.7231454994357566E-3</c:v>
                </c:pt>
                <c:pt idx="61">
                  <c:v>1.7067272054699261E-3</c:v>
                </c:pt>
                <c:pt idx="62">
                  <c:v>1.6881743942863193E-3</c:v>
                </c:pt>
                <c:pt idx="63">
                  <c:v>1.6675249944452066E-3</c:v>
                </c:pt>
                <c:pt idx="64">
                  <c:v>1.6448013685335554E-3</c:v>
                </c:pt>
                <c:pt idx="65">
                  <c:v>1.6193133183433042E-3</c:v>
                </c:pt>
                <c:pt idx="66">
                  <c:v>1.5918628902898671E-3</c:v>
                </c:pt>
                <c:pt idx="67">
                  <c:v>1.5624975304767668E-3</c:v>
                </c:pt>
                <c:pt idx="68">
                  <c:v>1.5312624044274926E-3</c:v>
                </c:pt>
                <c:pt idx="69">
                  <c:v>1.4982002410540195E-3</c:v>
                </c:pt>
                <c:pt idx="70">
                  <c:v>1.4633511786395765E-3</c:v>
                </c:pt>
                <c:pt idx="71">
                  <c:v>1.4273132260198677E-3</c:v>
                </c:pt>
                <c:pt idx="72">
                  <c:v>1.3916785582537416E-3</c:v>
                </c:pt>
                <c:pt idx="73">
                  <c:v>1.3564450464588758E-3</c:v>
                </c:pt>
                <c:pt idx="74">
                  <c:v>1.3216094833955745E-3</c:v>
                </c:pt>
                <c:pt idx="75">
                  <c:v>1.2871675828641247E-3</c:v>
                </c:pt>
                <c:pt idx="76">
                  <c:v>1.2531139791971922E-3</c:v>
                </c:pt>
                <c:pt idx="77">
                  <c:v>1.2194422261303395E-3</c:v>
                </c:pt>
                <c:pt idx="78">
                  <c:v>1.1860892469891535E-3</c:v>
                </c:pt>
                <c:pt idx="79">
                  <c:v>1.1531849079202416E-3</c:v>
                </c:pt>
                <c:pt idx="80">
                  <c:v>1.121411634801507E-3</c:v>
                </c:pt>
                <c:pt idx="81">
                  <c:v>1.0907658415261314E-3</c:v>
                </c:pt>
                <c:pt idx="82">
                  <c:v>1.0612422387532173E-3</c:v>
                </c:pt>
                <c:pt idx="83">
                  <c:v>1.0328340414224842E-3</c:v>
                </c:pt>
                <c:pt idx="84">
                  <c:v>1.0055331695810908E-3</c:v>
                </c:pt>
                <c:pt idx="85">
                  <c:v>9.7976932723584662E-4</c:v>
                </c:pt>
                <c:pt idx="86">
                  <c:v>9.5500669082412186E-4</c:v>
                </c:pt>
                <c:pt idx="87">
                  <c:v>9.3123611527624374E-4</c:v>
                </c:pt>
                <c:pt idx="88">
                  <c:v>9.0844781803676165E-4</c:v>
                </c:pt>
                <c:pt idx="89">
                  <c:v>8.8663153361494729E-4</c:v>
                </c:pt>
                <c:pt idx="90">
                  <c:v>8.6577666107009522E-4</c:v>
                </c:pt>
                <c:pt idx="91">
                  <c:v>8.4587240514548943E-4</c:v>
                </c:pt>
                <c:pt idx="92">
                  <c:v>8.2689722565322196E-4</c:v>
                </c:pt>
                <c:pt idx="93">
                  <c:v>8.0998211754013995E-4</c:v>
                </c:pt>
                <c:pt idx="94">
                  <c:v>7.9493225459288273E-4</c:v>
                </c:pt>
                <c:pt idx="95">
                  <c:v>7.8172334869209366E-4</c:v>
                </c:pt>
                <c:pt idx="96">
                  <c:v>7.7033443932215376E-4</c:v>
                </c:pt>
                <c:pt idx="97">
                  <c:v>7.6074770143158652E-4</c:v>
                </c:pt>
                <c:pt idx="98">
                  <c:v>7.5294826373945099E-4</c:v>
                </c:pt>
                <c:pt idx="99">
                  <c:v>7.490112957171534E-4</c:v>
                </c:pt>
                <c:pt idx="100">
                  <c:v>7.485035481504973E-4</c:v>
                </c:pt>
                <c:pt idx="101">
                  <c:v>7.5142521641704987E-4</c:v>
                </c:pt>
                <c:pt idx="102">
                  <c:v>7.5778106894158976E-4</c:v>
                </c:pt>
                <c:pt idx="103">
                  <c:v>7.6758016278558809E-4</c:v>
                </c:pt>
                <c:pt idx="104">
                  <c:v>7.8083555738631529E-4</c:v>
                </c:pt>
                <c:pt idx="105">
                  <c:v>7.9756402402933772E-4</c:v>
                </c:pt>
                <c:pt idx="106">
                  <c:v>8.1780150554331961E-4</c:v>
                </c:pt>
                <c:pt idx="107">
                  <c:v>8.4356967344464875E-4</c:v>
                </c:pt>
                <c:pt idx="108">
                  <c:v>8.7374073932286738E-4</c:v>
                </c:pt>
                <c:pt idx="109">
                  <c:v>9.0836607556323814E-4</c:v>
                </c:pt>
                <c:pt idx="110">
                  <c:v>9.4750564096456296E-4</c:v>
                </c:pt>
                <c:pt idx="111">
                  <c:v>9.9122591330453214E-4</c:v>
                </c:pt>
                <c:pt idx="112">
                  <c:v>1.0395970934868192E-3</c:v>
                </c:pt>
                <c:pt idx="113">
                  <c:v>1.0938530671372878E-3</c:v>
                </c:pt>
                <c:pt idx="114">
                  <c:v>1.1519286212807464E-3</c:v>
                </c:pt>
                <c:pt idx="115">
                  <c:v>1.2139012146954538E-3</c:v>
                </c:pt>
                <c:pt idx="116">
                  <c:v>1.2798531177278859E-3</c:v>
                </c:pt>
                <c:pt idx="117">
                  <c:v>1.3498713996918182E-3</c:v>
                </c:pt>
                <c:pt idx="118">
                  <c:v>1.4240479054772252E-3</c:v>
                </c:pt>
                <c:pt idx="119">
                  <c:v>1.5024792211972568E-3</c:v>
                </c:pt>
                <c:pt idx="120">
                  <c:v>1.5852781690906387E-3</c:v>
                </c:pt>
                <c:pt idx="121">
                  <c:v>1.6736740353624961E-3</c:v>
                </c:pt>
                <c:pt idx="122">
                  <c:v>1.7656877164118766E-3</c:v>
                </c:pt>
                <c:pt idx="123">
                  <c:v>1.8614059573418943E-3</c:v>
                </c:pt>
                <c:pt idx="124">
                  <c:v>1.9609157473711963E-3</c:v>
                </c:pt>
                <c:pt idx="125">
                  <c:v>2.064303940258081E-3</c:v>
                </c:pt>
                <c:pt idx="126">
                  <c:v>2.1716568503404423E-3</c:v>
                </c:pt>
                <c:pt idx="127">
                  <c:v>2.2831468936220668E-3</c:v>
                </c:pt>
                <c:pt idx="128">
                  <c:v>2.3976024751456312E-3</c:v>
                </c:pt>
                <c:pt idx="129">
                  <c:v>2.5150817476385493E-3</c:v>
                </c:pt>
                <c:pt idx="130">
                  <c:v>2.6356392790798391E-3</c:v>
                </c:pt>
                <c:pt idx="131">
                  <c:v>2.7593256525980979E-3</c:v>
                </c:pt>
                <c:pt idx="132">
                  <c:v>2.8861870552653423E-3</c:v>
                </c:pt>
                <c:pt idx="133">
                  <c:v>3.0162648569064076E-3</c:v>
                </c:pt>
                <c:pt idx="134">
                  <c:v>3.1496500920379597E-3</c:v>
                </c:pt>
                <c:pt idx="135">
                  <c:v>3.2861141137036308E-3</c:v>
                </c:pt>
                <c:pt idx="136">
                  <c:v>3.4244605700167294E-3</c:v>
                </c:pt>
                <c:pt idx="137">
                  <c:v>3.5647012938638911E-3</c:v>
                </c:pt>
                <c:pt idx="138">
                  <c:v>3.7068429270813298E-3</c:v>
                </c:pt>
                <c:pt idx="139">
                  <c:v>3.8508867661912311E-3</c:v>
                </c:pt>
                <c:pt idx="140">
                  <c:v>3.9968286220618968E-3</c:v>
                </c:pt>
                <c:pt idx="141">
                  <c:v>4.144829040041681E-3</c:v>
                </c:pt>
                <c:pt idx="142">
                  <c:v>4.2947460308108342E-3</c:v>
                </c:pt>
                <c:pt idx="143">
                  <c:v>4.4465328837899366E-3</c:v>
                </c:pt>
                <c:pt idx="144">
                  <c:v>4.6001616884144367E-3</c:v>
                </c:pt>
                <c:pt idx="145">
                  <c:v>4.7555992591142415E-3</c:v>
                </c:pt>
                <c:pt idx="146">
                  <c:v>4.9128071515182146E-3</c:v>
                </c:pt>
                <c:pt idx="147">
                  <c:v>5.0717417066970969E-3</c:v>
                </c:pt>
                <c:pt idx="148">
                  <c:v>5.2323572705813334E-3</c:v>
                </c:pt>
                <c:pt idx="149">
                  <c:v>5.3926932733634938E-3</c:v>
                </c:pt>
                <c:pt idx="150">
                  <c:v>5.553039703639631E-3</c:v>
                </c:pt>
                <c:pt idx="151">
                  <c:v>5.7133233411586961E-3</c:v>
                </c:pt>
                <c:pt idx="152">
                  <c:v>5.8734690873644985E-3</c:v>
                </c:pt>
                <c:pt idx="153">
                  <c:v>6.0334003168526391E-3</c:v>
                </c:pt>
                <c:pt idx="154">
                  <c:v>6.1930392489071753E-3</c:v>
                </c:pt>
                <c:pt idx="155">
                  <c:v>6.3477843259120729E-3</c:v>
                </c:pt>
                <c:pt idx="156">
                  <c:v>6.4972951143552563E-3</c:v>
                </c:pt>
                <c:pt idx="157">
                  <c:v>6.6414055522008349E-3</c:v>
                </c:pt>
                <c:pt idx="158">
                  <c:v>6.7799514091348078E-3</c:v>
                </c:pt>
                <c:pt idx="159">
                  <c:v>6.9127708330036326E-3</c:v>
                </c:pt>
                <c:pt idx="160">
                  <c:v>7.0397048753583933E-3</c:v>
                </c:pt>
                <c:pt idx="161">
                  <c:v>7.1605979889888764E-3</c:v>
                </c:pt>
                <c:pt idx="162">
                  <c:v>7.2753801893175058E-3</c:v>
                </c:pt>
                <c:pt idx="163">
                  <c:v>7.3818977212393652E-3</c:v>
                </c:pt>
                <c:pt idx="164">
                  <c:v>7.4820300144262039E-3</c:v>
                </c:pt>
                <c:pt idx="165">
                  <c:v>7.5755699126974904E-3</c:v>
                </c:pt>
                <c:pt idx="166">
                  <c:v>7.6623117136136506E-3</c:v>
                </c:pt>
                <c:pt idx="167">
                  <c:v>7.7420519668486331E-3</c:v>
                </c:pt>
                <c:pt idx="168">
                  <c:v>7.8145902527813563E-3</c:v>
                </c:pt>
                <c:pt idx="169">
                  <c:v>7.8776005185953509E-3</c:v>
                </c:pt>
                <c:pt idx="170">
                  <c:v>7.9357931516135446E-3</c:v>
                </c:pt>
                <c:pt idx="171">
                  <c:v>7.9890194631980233E-3</c:v>
                </c:pt>
                <c:pt idx="172">
                  <c:v>8.0371349000148678E-3</c:v>
                </c:pt>
                <c:pt idx="173">
                  <c:v>8.079916859849167E-3</c:v>
                </c:pt>
                <c:pt idx="174">
                  <c:v>8.1171418080994411E-3</c:v>
                </c:pt>
                <c:pt idx="175">
                  <c:v>8.1486716923733406E-3</c:v>
                </c:pt>
                <c:pt idx="176">
                  <c:v>8.1745265417653683E-3</c:v>
                </c:pt>
                <c:pt idx="177">
                  <c:v>8.1896712937886435E-3</c:v>
                </c:pt>
                <c:pt idx="178">
                  <c:v>8.1962262814823956E-3</c:v>
                </c:pt>
                <c:pt idx="179">
                  <c:v>8.1941170271900843E-3</c:v>
                </c:pt>
                <c:pt idx="180">
                  <c:v>8.1832772649801221E-3</c:v>
                </c:pt>
                <c:pt idx="181">
                  <c:v>8.1636486103190235E-3</c:v>
                </c:pt>
                <c:pt idx="182">
                  <c:v>8.1351801761729379E-3</c:v>
                </c:pt>
                <c:pt idx="183">
                  <c:v>8.0954933067608516E-3</c:v>
                </c:pt>
                <c:pt idx="184">
                  <c:v>8.0468209077798787E-3</c:v>
                </c:pt>
                <c:pt idx="185">
                  <c:v>7.9891349331512249E-3</c:v>
                </c:pt>
                <c:pt idx="186">
                  <c:v>7.9224127721985241E-3</c:v>
                </c:pt>
                <c:pt idx="187">
                  <c:v>7.8466366624226815E-3</c:v>
                </c:pt>
                <c:pt idx="188">
                  <c:v>7.7617930816589829E-3</c:v>
                </c:pt>
                <c:pt idx="189">
                  <c:v>7.6678721254332186E-3</c:v>
                </c:pt>
                <c:pt idx="190">
                  <c:v>7.564929098384153E-3</c:v>
                </c:pt>
                <c:pt idx="191">
                  <c:v>7.4531628535564982E-3</c:v>
                </c:pt>
                <c:pt idx="192">
                  <c:v>7.3378993457535137E-3</c:v>
                </c:pt>
                <c:pt idx="193">
                  <c:v>7.2191461158155768E-3</c:v>
                </c:pt>
                <c:pt idx="194">
                  <c:v>7.0969110035368323E-3</c:v>
                </c:pt>
                <c:pt idx="195">
                  <c:v>6.9712019701509073E-3</c:v>
                </c:pt>
                <c:pt idx="196">
                  <c:v>6.8420269442277691E-3</c:v>
                </c:pt>
                <c:pt idx="197">
                  <c:v>6.7089359465411684E-3</c:v>
                </c:pt>
                <c:pt idx="198">
                  <c:v>6.5743749951415256E-3</c:v>
                </c:pt>
                <c:pt idx="199">
                  <c:v>6.4383662591118848E-3</c:v>
                </c:pt>
                <c:pt idx="200">
                  <c:v>6.3009309474005284E-3</c:v>
                </c:pt>
                <c:pt idx="201">
                  <c:v>6.1620893013880438E-3</c:v>
                </c:pt>
                <c:pt idx="202">
                  <c:v>6.0218606123475793E-3</c:v>
                </c:pt>
                <c:pt idx="203">
                  <c:v>5.8802632632288894E-3</c:v>
                </c:pt>
                <c:pt idx="204">
                  <c:v>5.7373372122546716E-3</c:v>
                </c:pt>
                <c:pt idx="205">
                  <c:v>5.5933207073030006E-3</c:v>
                </c:pt>
                <c:pt idx="206">
                  <c:v>5.4480966712847139E-3</c:v>
                </c:pt>
                <c:pt idx="207">
                  <c:v>5.3017034534329445E-3</c:v>
                </c:pt>
                <c:pt idx="208">
                  <c:v>5.1541759597125546E-3</c:v>
                </c:pt>
                <c:pt idx="209">
                  <c:v>5.005545724596174E-3</c:v>
                </c:pt>
                <c:pt idx="210">
                  <c:v>4.8558409981357522E-3</c:v>
                </c:pt>
                <c:pt idx="211">
                  <c:v>4.706952998285341E-3</c:v>
                </c:pt>
                <c:pt idx="212">
                  <c:v>4.559388525991275E-3</c:v>
                </c:pt>
                <c:pt idx="213">
                  <c:v>4.4131818007603664E-3</c:v>
                </c:pt>
                <c:pt idx="214">
                  <c:v>4.2683641360097497E-3</c:v>
                </c:pt>
                <c:pt idx="215">
                  <c:v>4.1249641401057951E-3</c:v>
                </c:pt>
                <c:pt idx="216">
                  <c:v>3.9830079147482123E-3</c:v>
                </c:pt>
                <c:pt idx="217">
                  <c:v>3.8425192488303131E-3</c:v>
                </c:pt>
                <c:pt idx="218">
                  <c:v>3.7035145355567298E-3</c:v>
                </c:pt>
                <c:pt idx="219">
                  <c:v>3.5680340744194206E-3</c:v>
                </c:pt>
                <c:pt idx="220">
                  <c:v>3.4359059415539658E-3</c:v>
                </c:pt>
                <c:pt idx="221">
                  <c:v>3.3071491644101263E-3</c:v>
                </c:pt>
                <c:pt idx="222">
                  <c:v>3.1817830920173348E-3</c:v>
                </c:pt>
                <c:pt idx="223">
                  <c:v>3.0598274624911649E-3</c:v>
                </c:pt>
                <c:pt idx="224">
                  <c:v>2.9413024553799579E-3</c:v>
                </c:pt>
                <c:pt idx="225">
                  <c:v>2.8297289973830101E-3</c:v>
                </c:pt>
                <c:pt idx="226">
                  <c:v>2.7232212312243943E-3</c:v>
                </c:pt>
                <c:pt idx="227">
                  <c:v>2.6218098371480103E-3</c:v>
                </c:pt>
                <c:pt idx="228">
                  <c:v>2.5255258492903974E-3</c:v>
                </c:pt>
                <c:pt idx="229">
                  <c:v>2.4344005931896022E-3</c:v>
                </c:pt>
                <c:pt idx="230">
                  <c:v>2.3484656086886872E-3</c:v>
                </c:pt>
                <c:pt idx="231">
                  <c:v>2.2677525591516313E-3</c:v>
                </c:pt>
                <c:pt idx="232">
                  <c:v>2.1922569351922731E-3</c:v>
                </c:pt>
                <c:pt idx="233">
                  <c:v>2.1258601270100568E-3</c:v>
                </c:pt>
                <c:pt idx="234">
                  <c:v>2.0665448767139901E-3</c:v>
                </c:pt>
                <c:pt idx="235">
                  <c:v>2.0143770609611748E-3</c:v>
                </c:pt>
                <c:pt idx="236">
                  <c:v>1.9694196089640017E-3</c:v>
                </c:pt>
                <c:pt idx="237">
                  <c:v>1.9317312018090735E-3</c:v>
                </c:pt>
                <c:pt idx="238">
                  <c:v>1.9013682655623298E-3</c:v>
                </c:pt>
                <c:pt idx="239">
                  <c:v>1.880608432936454E-3</c:v>
                </c:pt>
                <c:pt idx="240">
                  <c:v>1.8659192437560526E-3</c:v>
                </c:pt>
                <c:pt idx="241">
                  <c:v>1.8573477637184479E-3</c:v>
                </c:pt>
                <c:pt idx="242">
                  <c:v>1.8549412672903705E-3</c:v>
                </c:pt>
                <c:pt idx="243">
                  <c:v>1.8587477976927049E-3</c:v>
                </c:pt>
                <c:pt idx="244">
                  <c:v>1.8688167385311932E-3</c:v>
                </c:pt>
                <c:pt idx="245">
                  <c:v>1.8851993976889943E-3</c:v>
                </c:pt>
                <c:pt idx="246">
                  <c:v>1.9078758611547932E-3</c:v>
                </c:pt>
                <c:pt idx="247">
                  <c:v>1.9375136311045606E-3</c:v>
                </c:pt>
                <c:pt idx="248">
                  <c:v>1.9701904789357154E-3</c:v>
                </c:pt>
                <c:pt idx="249">
                  <c:v>2.0059317739676789E-3</c:v>
                </c:pt>
                <c:pt idx="250">
                  <c:v>2.0447635714217838E-3</c:v>
                </c:pt>
                <c:pt idx="251">
                  <c:v>2.0867127609192479E-3</c:v>
                </c:pt>
                <c:pt idx="252">
                  <c:v>2.1318072178766697E-3</c:v>
                </c:pt>
                <c:pt idx="253">
                  <c:v>2.1802186625748065E-3</c:v>
                </c:pt>
                <c:pt idx="254">
                  <c:v>2.2296930704563591E-3</c:v>
                </c:pt>
                <c:pt idx="255">
                  <c:v>2.2802494027353687E-3</c:v>
                </c:pt>
                <c:pt idx="256">
                  <c:v>2.3319078467710199E-3</c:v>
                </c:pt>
                <c:pt idx="257">
                  <c:v>2.3846898865737898E-3</c:v>
                </c:pt>
                <c:pt idx="258">
                  <c:v>2.4386183817940018E-3</c:v>
                </c:pt>
                <c:pt idx="259">
                  <c:v>2.4937176579035128E-3</c:v>
                </c:pt>
                <c:pt idx="260">
                  <c:v>2.5499790780412071E-3</c:v>
                </c:pt>
                <c:pt idx="261">
                  <c:v>2.6080645085141932E-3</c:v>
                </c:pt>
                <c:pt idx="262">
                  <c:v>2.6672651654376222E-3</c:v>
                </c:pt>
                <c:pt idx="263">
                  <c:v>2.7275803688884158E-3</c:v>
                </c:pt>
                <c:pt idx="264">
                  <c:v>2.7890087587235327E-3</c:v>
                </c:pt>
                <c:pt idx="265">
                  <c:v>2.8515634254619375E-3</c:v>
                </c:pt>
                <c:pt idx="266">
                  <c:v>2.9152503063726042E-3</c:v>
                </c:pt>
                <c:pt idx="267">
                  <c:v>2.9783506177737712E-3</c:v>
                </c:pt>
                <c:pt idx="268">
                  <c:v>3.0406993118385038E-3</c:v>
                </c:pt>
                <c:pt idx="269">
                  <c:v>3.1022750150461386E-3</c:v>
                </c:pt>
                <c:pt idx="270">
                  <c:v>3.1630552632587738E-3</c:v>
                </c:pt>
                <c:pt idx="271">
                  <c:v>3.223016609977898E-3</c:v>
                </c:pt>
                <c:pt idx="272">
                  <c:v>3.2821347459488087E-3</c:v>
                </c:pt>
                <c:pt idx="273">
                  <c:v>3.3403846308170415E-3</c:v>
                </c:pt>
                <c:pt idx="274">
                  <c:v>3.3977917977307116E-3</c:v>
                </c:pt>
                <c:pt idx="275">
                  <c:v>3.4513754668330987E-3</c:v>
                </c:pt>
                <c:pt idx="276">
                  <c:v>3.5003758847017958E-3</c:v>
                </c:pt>
                <c:pt idx="277">
                  <c:v>3.5447357129124732E-3</c:v>
                </c:pt>
                <c:pt idx="278">
                  <c:v>3.5843971382221026E-3</c:v>
                </c:pt>
                <c:pt idx="279">
                  <c:v>3.6193023165970758E-3</c:v>
                </c:pt>
                <c:pt idx="280">
                  <c:v>3.6493938174837312E-3</c:v>
                </c:pt>
                <c:pt idx="281">
                  <c:v>3.6733651762200538E-3</c:v>
                </c:pt>
                <c:pt idx="282">
                  <c:v>3.6929244536296024E-3</c:v>
                </c:pt>
                <c:pt idx="283">
                  <c:v>3.7080216176758733E-3</c:v>
                </c:pt>
                <c:pt idx="284">
                  <c:v>3.7186085795722001E-3</c:v>
                </c:pt>
                <c:pt idx="285">
                  <c:v>3.724639557583914E-3</c:v>
                </c:pt>
                <c:pt idx="286">
                  <c:v>3.7260714230215276E-3</c:v>
                </c:pt>
                <c:pt idx="287">
                  <c:v>3.7228640253134898E-3</c:v>
                </c:pt>
                <c:pt idx="288">
                  <c:v>3.7150114962893502E-3</c:v>
                </c:pt>
                <c:pt idx="289">
                  <c:v>3.7034575212894455E-3</c:v>
                </c:pt>
                <c:pt idx="290">
                  <c:v>3.691294920745086E-3</c:v>
                </c:pt>
                <c:pt idx="291">
                  <c:v>3.678545428082308E-3</c:v>
                </c:pt>
                <c:pt idx="292">
                  <c:v>3.6652329154253666E-3</c:v>
                </c:pt>
                <c:pt idx="293">
                  <c:v>3.6513833879752091E-3</c:v>
                </c:pt>
                <c:pt idx="294">
                  <c:v>3.637024966454076E-3</c:v>
                </c:pt>
                <c:pt idx="295">
                  <c:v>3.6296476348162388E-3</c:v>
                </c:pt>
                <c:pt idx="296">
                  <c:v>3.6306360143582407E-3</c:v>
                </c:pt>
                <c:pt idx="297">
                  <c:v>3.6400893122864523E-3</c:v>
                </c:pt>
                <c:pt idx="298">
                  <c:v>3.6580799825443196E-3</c:v>
                </c:pt>
                <c:pt idx="299">
                  <c:v>3.6846847793506926E-3</c:v>
                </c:pt>
                <c:pt idx="300">
                  <c:v>3.7199858082060393E-3</c:v>
                </c:pt>
                <c:pt idx="301">
                  <c:v>3.7640716726457563E-3</c:v>
                </c:pt>
                <c:pt idx="302">
                  <c:v>3.8173405649472541E-3</c:v>
                </c:pt>
                <c:pt idx="303">
                  <c:v>3.8928232761909296E-3</c:v>
                </c:pt>
                <c:pt idx="304">
                  <c:v>3.9896366729216433E-3</c:v>
                </c:pt>
                <c:pt idx="305">
                  <c:v>4.1078532511946665E-3</c:v>
                </c:pt>
                <c:pt idx="306">
                  <c:v>4.2475526902710208E-3</c:v>
                </c:pt>
                <c:pt idx="307">
                  <c:v>4.4088153287364443E-3</c:v>
                </c:pt>
                <c:pt idx="308">
                  <c:v>4.5917152071555138E-3</c:v>
                </c:pt>
                <c:pt idx="309">
                  <c:v>4.7965058043921583E-3</c:v>
                </c:pt>
                <c:pt idx="310">
                  <c:v>5.0155471354611948E-3</c:v>
                </c:pt>
                <c:pt idx="311">
                  <c:v>5.2487864397190174E-3</c:v>
                </c:pt>
                <c:pt idx="312">
                  <c:v>5.4961333419766539E-3</c:v>
                </c:pt>
                <c:pt idx="313">
                  <c:v>5.757452802753301E-3</c:v>
                </c:pt>
                <c:pt idx="314">
                  <c:v>6.0325577458507544E-3</c:v>
                </c:pt>
                <c:pt idx="315">
                  <c:v>6.3212014363574782E-3</c:v>
                </c:pt>
                <c:pt idx="316">
                  <c:v>6.6240053391868172E-3</c:v>
                </c:pt>
                <c:pt idx="317">
                  <c:v>6.9324032560349217E-3</c:v>
                </c:pt>
                <c:pt idx="318">
                  <c:v>7.2333109545780708E-3</c:v>
                </c:pt>
                <c:pt idx="319">
                  <c:v>7.5267019145527202E-3</c:v>
                </c:pt>
                <c:pt idx="320">
                  <c:v>7.8125356036471069E-3</c:v>
                </c:pt>
                <c:pt idx="321">
                  <c:v>8.0907560325057786E-3</c:v>
                </c:pt>
                <c:pt idx="322">
                  <c:v>8.3612903250662816E-3</c:v>
                </c:pt>
                <c:pt idx="323">
                  <c:v>8.6163829764977426E-3</c:v>
                </c:pt>
                <c:pt idx="324">
                  <c:v>8.8556738634255824E-3</c:v>
                </c:pt>
                <c:pt idx="325">
                  <c:v>9.078970778725725E-3</c:v>
                </c:pt>
                <c:pt idx="326">
                  <c:v>9.2860010961555283E-3</c:v>
                </c:pt>
                <c:pt idx="327">
                  <c:v>9.4765042039475847E-3</c:v>
                </c:pt>
                <c:pt idx="328">
                  <c:v>9.6502460649885852E-3</c:v>
                </c:pt>
                <c:pt idx="329">
                  <c:v>9.8069741902423943E-3</c:v>
                </c:pt>
                <c:pt idx="330">
                  <c:v>9.9481181724106159E-3</c:v>
                </c:pt>
                <c:pt idx="331">
                  <c:v>1.0064937654314297E-2</c:v>
                </c:pt>
                <c:pt idx="332">
                  <c:v>1.0166565314576392E-2</c:v>
                </c:pt>
                <c:pt idx="333">
                  <c:v>1.025229414361236E-2</c:v>
                </c:pt>
                <c:pt idx="334">
                  <c:v>1.0321349893988772E-2</c:v>
                </c:pt>
                <c:pt idx="335">
                  <c:v>1.0372899899644687E-2</c:v>
                </c:pt>
                <c:pt idx="336">
                  <c:v>1.0406063768991195E-2</c:v>
                </c:pt>
                <c:pt idx="337">
                  <c:v>1.0419474401030691E-2</c:v>
                </c:pt>
                <c:pt idx="338">
                  <c:v>1.0420196985905959E-2</c:v>
                </c:pt>
                <c:pt idx="339">
                  <c:v>1.0407355415341409E-2</c:v>
                </c:pt>
                <c:pt idx="340">
                  <c:v>1.0380074681846808E-2</c:v>
                </c:pt>
                <c:pt idx="341">
                  <c:v>1.0337496057453396E-2</c:v>
                </c:pt>
                <c:pt idx="342">
                  <c:v>1.0278793950266121E-2</c:v>
                </c:pt>
                <c:pt idx="343">
                  <c:v>1.0203194200972628E-2</c:v>
                </c:pt>
                <c:pt idx="344">
                  <c:v>1.0111287677861689E-2</c:v>
                </c:pt>
                <c:pt idx="345">
                  <c:v>1.0004291768758807E-2</c:v>
                </c:pt>
                <c:pt idx="346">
                  <c:v>9.9000054147052874E-3</c:v>
                </c:pt>
                <c:pt idx="347">
                  <c:v>9.7986602017236836E-3</c:v>
                </c:pt>
                <c:pt idx="348">
                  <c:v>9.7004788805254271E-3</c:v>
                </c:pt>
                <c:pt idx="349">
                  <c:v>9.6056748321217029E-3</c:v>
                </c:pt>
                <c:pt idx="350">
                  <c:v>9.5144516322108429E-3</c:v>
                </c:pt>
                <c:pt idx="351">
                  <c:v>9.4342051378077663E-3</c:v>
                </c:pt>
                <c:pt idx="352">
                  <c:v>9.3655117213237889E-3</c:v>
                </c:pt>
                <c:pt idx="353">
                  <c:v>9.30846784152373E-3</c:v>
                </c:pt>
                <c:pt idx="354">
                  <c:v>9.2631466747763822E-3</c:v>
                </c:pt>
                <c:pt idx="355">
                  <c:v>9.2295997515028944E-3</c:v>
                </c:pt>
                <c:pt idx="356">
                  <c:v>9.2078318456180214E-3</c:v>
                </c:pt>
                <c:pt idx="357">
                  <c:v>9.1978708268544099E-3</c:v>
                </c:pt>
                <c:pt idx="358">
                  <c:v>9.1980110499064044E-3</c:v>
                </c:pt>
                <c:pt idx="359">
                  <c:v>9.2067879149724981E-3</c:v>
                </c:pt>
                <c:pt idx="360">
                  <c:v>9.2240628828597297E-3</c:v>
                </c:pt>
                <c:pt idx="361">
                  <c:v>9.2432107973075481E-3</c:v>
                </c:pt>
                <c:pt idx="362">
                  <c:v>9.2646222137479483E-3</c:v>
                </c:pt>
                <c:pt idx="363">
                  <c:v>9.2886803526660774E-3</c:v>
                </c:pt>
                <c:pt idx="364">
                  <c:v>9.3157606720592548E-3</c:v>
                </c:pt>
                <c:pt idx="365">
                  <c:v>9.3462309279795566E-3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8456"/>
        <c:axId val="644428848"/>
      </c:lineChart>
      <c:dateAx>
        <c:axId val="6444284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8848"/>
        <c:crosses val="autoZero"/>
        <c:auto val="1"/>
        <c:lblOffset val="100"/>
        <c:baseTimeUnit val="days"/>
        <c:majorUnit val="1"/>
        <c:majorTimeUnit val="months"/>
      </c:dateAx>
      <c:valAx>
        <c:axId val="6444288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8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25.821343208215559</c:v>
                </c:pt>
                <c:pt idx="1">
                  <c:v>26.009306043206468</c:v>
                </c:pt>
                <c:pt idx="2">
                  <c:v>26.202846762713165</c:v>
                </c:pt>
                <c:pt idx="3">
                  <c:v>26.400537395277009</c:v>
                </c:pt>
                <c:pt idx="4">
                  <c:v>26.600950713236873</c:v>
                </c:pt>
                <c:pt idx="5">
                  <c:v>26.802660210740004</c:v>
                </c:pt>
                <c:pt idx="6">
                  <c:v>27.004240095289227</c:v>
                </c:pt>
                <c:pt idx="7">
                  <c:v>27.204265276612936</c:v>
                </c:pt>
                <c:pt idx="8">
                  <c:v>27.404397084927901</c:v>
                </c:pt>
                <c:pt idx="9">
                  <c:v>27.607661677596152</c:v>
                </c:pt>
                <c:pt idx="10">
                  <c:v>27.814378707945277</c:v>
                </c:pt>
                <c:pt idx="11">
                  <c:v>28.02487855265478</c:v>
                </c:pt>
                <c:pt idx="12">
                  <c:v>28.239491315211001</c:v>
                </c:pt>
                <c:pt idx="13">
                  <c:v>28.458546829286913</c:v>
                </c:pt>
                <c:pt idx="14">
                  <c:v>28.682374656295956</c:v>
                </c:pt>
                <c:pt idx="15">
                  <c:v>28.911548379369624</c:v>
                </c:pt>
                <c:pt idx="16">
                  <c:v>29.146149178803654</c:v>
                </c:pt>
                <c:pt idx="17">
                  <c:v>29.386505834703541</c:v>
                </c:pt>
                <c:pt idx="18">
                  <c:v>29.632946863255466</c:v>
                </c:pt>
                <c:pt idx="19">
                  <c:v>29.885799236069548</c:v>
                </c:pt>
                <c:pt idx="20">
                  <c:v>30.145389210108767</c:v>
                </c:pt>
                <c:pt idx="21">
                  <c:v>30.412043919047733</c:v>
                </c:pt>
                <c:pt idx="22">
                  <c:v>30.687597773468461</c:v>
                </c:pt>
                <c:pt idx="23">
                  <c:v>30.972942018704138</c:v>
                </c:pt>
                <c:pt idx="24">
                  <c:v>31.266801478289072</c:v>
                </c:pt>
                <c:pt idx="25">
                  <c:v>31.56809595096912</c:v>
                </c:pt>
                <c:pt idx="26">
                  <c:v>31.875745903098963</c:v>
                </c:pt>
                <c:pt idx="27">
                  <c:v>32.188672482048887</c:v>
                </c:pt>
                <c:pt idx="28">
                  <c:v>32.505797506675222</c:v>
                </c:pt>
                <c:pt idx="29">
                  <c:v>32.825705865394141</c:v>
                </c:pt>
                <c:pt idx="30">
                  <c:v>33.147076766420071</c:v>
                </c:pt>
                <c:pt idx="31">
                  <c:v>33.468834149467192</c:v>
                </c:pt>
                <c:pt idx="32">
                  <c:v>33.78990258754753</c:v>
                </c:pt>
                <c:pt idx="33">
                  <c:v>34.10920727936184</c:v>
                </c:pt>
                <c:pt idx="34">
                  <c:v>34.425674043697406</c:v>
                </c:pt>
                <c:pt idx="35">
                  <c:v>34.738229312586178</c:v>
                </c:pt>
                <c:pt idx="36">
                  <c:v>35.049546131875431</c:v>
                </c:pt>
                <c:pt idx="37">
                  <c:v>35.362485410976788</c:v>
                </c:pt>
                <c:pt idx="38">
                  <c:v>35.676561665832331</c:v>
                </c:pt>
                <c:pt idx="39">
                  <c:v>35.991286081814998</c:v>
                </c:pt>
                <c:pt idx="40">
                  <c:v>36.306170081021769</c:v>
                </c:pt>
                <c:pt idx="41">
                  <c:v>36.620725315855161</c:v>
                </c:pt>
                <c:pt idx="42">
                  <c:v>36.934463665529499</c:v>
                </c:pt>
                <c:pt idx="43">
                  <c:v>37.246871841499228</c:v>
                </c:pt>
                <c:pt idx="44">
                  <c:v>37.55779970102256</c:v>
                </c:pt>
                <c:pt idx="45">
                  <c:v>37.866759825184921</c:v>
                </c:pt>
                <c:pt idx="46">
                  <c:v>38.173265020518912</c:v>
                </c:pt>
                <c:pt idx="47">
                  <c:v>38.476828311745969</c:v>
                </c:pt>
                <c:pt idx="48">
                  <c:v>38.776962937673048</c:v>
                </c:pt>
                <c:pt idx="49">
                  <c:v>39.073182340322639</c:v>
                </c:pt>
                <c:pt idx="50">
                  <c:v>39.366008062117928</c:v>
                </c:pt>
                <c:pt idx="51">
                  <c:v>39.656385649000576</c:v>
                </c:pt>
                <c:pt idx="52">
                  <c:v>39.944616350713289</c:v>
                </c:pt>
                <c:pt idx="53">
                  <c:v>40.23079914930328</c:v>
                </c:pt>
                <c:pt idx="54">
                  <c:v>40.515032435865166</c:v>
                </c:pt>
                <c:pt idx="55">
                  <c:v>40.79741449044797</c:v>
                </c:pt>
                <c:pt idx="56">
                  <c:v>41.078043478896454</c:v>
                </c:pt>
                <c:pt idx="57">
                  <c:v>41.357100949773148</c:v>
                </c:pt>
                <c:pt idx="58">
                  <c:v>41.634710499460454</c:v>
                </c:pt>
                <c:pt idx="59">
                  <c:v>41.910970023356739</c:v>
                </c:pt>
                <c:pt idx="60">
                  <c:v>42.185977291987278</c:v>
                </c:pt>
                <c:pt idx="61">
                  <c:v>42.459829951173212</c:v>
                </c:pt>
                <c:pt idx="62">
                  <c:v>42.732625519547661</c:v>
                </c:pt>
                <c:pt idx="63">
                  <c:v>43.004461389914383</c:v>
                </c:pt>
                <c:pt idx="64">
                  <c:v>43.275824262951716</c:v>
                </c:pt>
                <c:pt idx="65">
                  <c:v>43.546989768792201</c:v>
                </c:pt>
                <c:pt idx="66">
                  <c:v>43.817631161861257</c:v>
                </c:pt>
                <c:pt idx="67">
                  <c:v>44.08745607481395</c:v>
                </c:pt>
                <c:pt idx="68">
                  <c:v>44.356172241882476</c:v>
                </c:pt>
                <c:pt idx="69">
                  <c:v>44.623487504630504</c:v>
                </c:pt>
                <c:pt idx="70">
                  <c:v>44.889109818066181</c:v>
                </c:pt>
                <c:pt idx="71">
                  <c:v>45.152727850613033</c:v>
                </c:pt>
                <c:pt idx="72">
                  <c:v>45.413966054455969</c:v>
                </c:pt>
                <c:pt idx="73">
                  <c:v>45.6725326808548</c:v>
                </c:pt>
                <c:pt idx="74">
                  <c:v>45.928136104804494</c:v>
                </c:pt>
                <c:pt idx="75">
                  <c:v>46.18048483503209</c:v>
                </c:pt>
                <c:pt idx="76">
                  <c:v>46.429287512998535</c:v>
                </c:pt>
                <c:pt idx="77">
                  <c:v>46.674252926261921</c:v>
                </c:pt>
                <c:pt idx="78">
                  <c:v>46.917292698920932</c:v>
                </c:pt>
                <c:pt idx="79">
                  <c:v>47.160054097335795</c:v>
                </c:pt>
                <c:pt idx="80">
                  <c:v>47.401806593802156</c:v>
                </c:pt>
                <c:pt idx="81">
                  <c:v>47.641869421315121</c:v>
                </c:pt>
                <c:pt idx="82">
                  <c:v>47.879562164653471</c:v>
                </c:pt>
                <c:pt idx="83">
                  <c:v>48.114204765645873</c:v>
                </c:pt>
                <c:pt idx="84">
                  <c:v>48.34511753060827</c:v>
                </c:pt>
                <c:pt idx="85">
                  <c:v>48.571600669490351</c:v>
                </c:pt>
                <c:pt idx="86">
                  <c:v>48.792994620856675</c:v>
                </c:pt>
                <c:pt idx="87">
                  <c:v>49.008620770112458</c:v>
                </c:pt>
                <c:pt idx="88">
                  <c:v>49.217800884769801</c:v>
                </c:pt>
                <c:pt idx="89">
                  <c:v>49.488405399355472</c:v>
                </c:pt>
                <c:pt idx="90">
                  <c:v>49.681439726611536</c:v>
                </c:pt>
                <c:pt idx="91">
                  <c:v>49.866024257951693</c:v>
                </c:pt>
                <c:pt idx="92">
                  <c:v>50.042128807758765</c:v>
                </c:pt>
                <c:pt idx="93">
                  <c:v>50.210498997632286</c:v>
                </c:pt>
                <c:pt idx="94">
                  <c:v>50.371621506577256</c:v>
                </c:pt>
                <c:pt idx="95">
                  <c:v>50.525982758459413</c:v>
                </c:pt>
                <c:pt idx="96">
                  <c:v>50.674068930720559</c:v>
                </c:pt>
                <c:pt idx="97">
                  <c:v>50.816365957064185</c:v>
                </c:pt>
                <c:pt idx="98">
                  <c:v>50.953359521567684</c:v>
                </c:pt>
                <c:pt idx="99">
                  <c:v>51.085534585974806</c:v>
                </c:pt>
                <c:pt idx="100">
                  <c:v>51.21337623851278</c:v>
                </c:pt>
                <c:pt idx="101">
                  <c:v>51.337369260538601</c:v>
                </c:pt>
                <c:pt idx="102">
                  <c:v>51.457998168782169</c:v>
                </c:pt>
                <c:pt idx="103">
                  <c:v>51.57574721957306</c:v>
                </c:pt>
                <c:pt idx="104">
                  <c:v>51.691100406437648</c:v>
                </c:pt>
                <c:pt idx="105">
                  <c:v>51.804541454780761</c:v>
                </c:pt>
                <c:pt idx="106">
                  <c:v>51.915553531854187</c:v>
                </c:pt>
                <c:pt idx="107">
                  <c:v>52.023231951708482</c:v>
                </c:pt>
                <c:pt idx="108">
                  <c:v>52.127480327946088</c:v>
                </c:pt>
                <c:pt idx="109">
                  <c:v>52.228201924901931</c:v>
                </c:pt>
                <c:pt idx="110">
                  <c:v>52.32530007730648</c:v>
                </c:pt>
                <c:pt idx="111">
                  <c:v>52.418678192994271</c:v>
                </c:pt>
                <c:pt idx="112">
                  <c:v>52.508239749679845</c:v>
                </c:pt>
                <c:pt idx="113">
                  <c:v>52.593887464806684</c:v>
                </c:pt>
                <c:pt idx="114">
                  <c:v>52.675526475643004</c:v>
                </c:pt>
                <c:pt idx="115">
                  <c:v>52.753060637051064</c:v>
                </c:pt>
                <c:pt idx="116">
                  <c:v>52.826393896132181</c:v>
                </c:pt>
                <c:pt idx="117">
                  <c:v>52.895430293048264</c:v>
                </c:pt>
                <c:pt idx="118">
                  <c:v>52.960073966412089</c:v>
                </c:pt>
                <c:pt idx="119">
                  <c:v>53.020229155544222</c:v>
                </c:pt>
                <c:pt idx="120">
                  <c:v>53.075413808825083</c:v>
                </c:pt>
                <c:pt idx="121">
                  <c:v>53.12540252024143</c:v>
                </c:pt>
                <c:pt idx="122">
                  <c:v>53.170488790311822</c:v>
                </c:pt>
                <c:pt idx="123">
                  <c:v>53.210963764082933</c:v>
                </c:pt>
                <c:pt idx="124">
                  <c:v>53.247118470946141</c:v>
                </c:pt>
                <c:pt idx="125">
                  <c:v>53.279243823355003</c:v>
                </c:pt>
                <c:pt idx="126">
                  <c:v>53.307630617483127</c:v>
                </c:pt>
                <c:pt idx="127">
                  <c:v>53.332569296541557</c:v>
                </c:pt>
                <c:pt idx="128">
                  <c:v>53.354352334364592</c:v>
                </c:pt>
                <c:pt idx="129">
                  <c:v>53.373270435415471</c:v>
                </c:pt>
                <c:pt idx="130">
                  <c:v>53.389614203554601</c:v>
                </c:pt>
                <c:pt idx="131">
                  <c:v>53.403674149276164</c:v>
                </c:pt>
                <c:pt idx="132">
                  <c:v>53.415740685978555</c:v>
                </c:pt>
                <c:pt idx="133">
                  <c:v>53.426104132786534</c:v>
                </c:pt>
                <c:pt idx="134">
                  <c:v>53.434123035913856</c:v>
                </c:pt>
                <c:pt idx="135">
                  <c:v>53.43902809614876</c:v>
                </c:pt>
                <c:pt idx="136">
                  <c:v>53.440920271357427</c:v>
                </c:pt>
                <c:pt idx="137">
                  <c:v>53.439898301250373</c:v>
                </c:pt>
                <c:pt idx="138">
                  <c:v>53.436060985805646</c:v>
                </c:pt>
                <c:pt idx="139">
                  <c:v>53.429507185417378</c:v>
                </c:pt>
                <c:pt idx="140">
                  <c:v>53.420335824415247</c:v>
                </c:pt>
                <c:pt idx="141">
                  <c:v>53.408645774270163</c:v>
                </c:pt>
                <c:pt idx="142">
                  <c:v>53.394536587460117</c:v>
                </c:pt>
                <c:pt idx="143">
                  <c:v>53.378107470644565</c:v>
                </c:pt>
                <c:pt idx="144">
                  <c:v>53.35945763068024</c:v>
                </c:pt>
                <c:pt idx="145">
                  <c:v>53.338686323869091</c:v>
                </c:pt>
                <c:pt idx="146">
                  <c:v>53.315892856538497</c:v>
                </c:pt>
                <c:pt idx="147">
                  <c:v>53.291176577277</c:v>
                </c:pt>
                <c:pt idx="148">
                  <c:v>53.264604821092817</c:v>
                </c:pt>
                <c:pt idx="149">
                  <c:v>53.236124027031167</c:v>
                </c:pt>
                <c:pt idx="150">
                  <c:v>53.205642051859748</c:v>
                </c:pt>
                <c:pt idx="151">
                  <c:v>53.173067104538838</c:v>
                </c:pt>
                <c:pt idx="152">
                  <c:v>53.138307553933707</c:v>
                </c:pt>
                <c:pt idx="153">
                  <c:v>53.101271916162808</c:v>
                </c:pt>
                <c:pt idx="154">
                  <c:v>53.061868842659869</c:v>
                </c:pt>
                <c:pt idx="155">
                  <c:v>53.020022347753475</c:v>
                </c:pt>
                <c:pt idx="156">
                  <c:v>52.975642916583936</c:v>
                </c:pt>
                <c:pt idx="157">
                  <c:v>52.928640980040726</c:v>
                </c:pt>
                <c:pt idx="158">
                  <c:v>52.878927062038265</c:v>
                </c:pt>
                <c:pt idx="159">
                  <c:v>52.826411762392127</c:v>
                </c:pt>
                <c:pt idx="160">
                  <c:v>52.771005731765626</c:v>
                </c:pt>
                <c:pt idx="161">
                  <c:v>52.712619652476292</c:v>
                </c:pt>
                <c:pt idx="162">
                  <c:v>52.650572628674723</c:v>
                </c:pt>
                <c:pt idx="163">
                  <c:v>52.584519616607139</c:v>
                </c:pt>
                <c:pt idx="164">
                  <c:v>52.514841060163377</c:v>
                </c:pt>
                <c:pt idx="165">
                  <c:v>52.441927504129737</c:v>
                </c:pt>
                <c:pt idx="166">
                  <c:v>52.36616909939071</c:v>
                </c:pt>
                <c:pt idx="167">
                  <c:v>52.287955592403783</c:v>
                </c:pt>
                <c:pt idx="168">
                  <c:v>52.207676302173027</c:v>
                </c:pt>
                <c:pt idx="169">
                  <c:v>52.125738260943677</c:v>
                </c:pt>
                <c:pt idx="170">
                  <c:v>52.04250861746619</c:v>
                </c:pt>
                <c:pt idx="171">
                  <c:v>51.958375080014598</c:v>
                </c:pt>
                <c:pt idx="172">
                  <c:v>51.873724885625421</c:v>
                </c:pt>
                <c:pt idx="173">
                  <c:v>51.788945240651891</c:v>
                </c:pt>
                <c:pt idx="174">
                  <c:v>51.704422922405875</c:v>
                </c:pt>
                <c:pt idx="175">
                  <c:v>51.620543799055689</c:v>
                </c:pt>
                <c:pt idx="176">
                  <c:v>51.536735997669417</c:v>
                </c:pt>
                <c:pt idx="177">
                  <c:v>51.452198113785649</c:v>
                </c:pt>
                <c:pt idx="178">
                  <c:v>51.366912459748825</c:v>
                </c:pt>
                <c:pt idx="179">
                  <c:v>51.280881495458267</c:v>
                </c:pt>
                <c:pt idx="180">
                  <c:v>51.194107391736637</c:v>
                </c:pt>
                <c:pt idx="181">
                  <c:v>51.106592031085547</c:v>
                </c:pt>
                <c:pt idx="182">
                  <c:v>51.018337012978996</c:v>
                </c:pt>
                <c:pt idx="183">
                  <c:v>50.929359890259647</c:v>
                </c:pt>
                <c:pt idx="184">
                  <c:v>50.839638875879864</c:v>
                </c:pt>
                <c:pt idx="185">
                  <c:v>50.749174475718291</c:v>
                </c:pt>
                <c:pt idx="186">
                  <c:v>50.657966962271566</c:v>
                </c:pt>
                <c:pt idx="187">
                  <c:v>50.566016387027759</c:v>
                </c:pt>
                <c:pt idx="188">
                  <c:v>50.473322594695567</c:v>
                </c:pt>
                <c:pt idx="189">
                  <c:v>50.37988523846613</c:v>
                </c:pt>
                <c:pt idx="190">
                  <c:v>50.285289804479</c:v>
                </c:pt>
                <c:pt idx="191">
                  <c:v>50.189248834650208</c:v>
                </c:pt>
                <c:pt idx="192">
                  <c:v>50.091921641329265</c:v>
                </c:pt>
                <c:pt idx="193">
                  <c:v>49.993497570346243</c:v>
                </c:pt>
                <c:pt idx="194">
                  <c:v>49.89416581048286</c:v>
                </c:pt>
                <c:pt idx="195">
                  <c:v>49.794115409951267</c:v>
                </c:pt>
                <c:pt idx="196">
                  <c:v>49.693535294225725</c:v>
                </c:pt>
                <c:pt idx="197">
                  <c:v>49.592614793907266</c:v>
                </c:pt>
                <c:pt idx="198">
                  <c:v>49.491523686136048</c:v>
                </c:pt>
                <c:pt idx="199">
                  <c:v>49.390450204555556</c:v>
                </c:pt>
                <c:pt idx="200">
                  <c:v>49.289582545212234</c:v>
                </c:pt>
                <c:pt idx="201">
                  <c:v>49.189108877185731</c:v>
                </c:pt>
                <c:pt idx="202">
                  <c:v>49.089217352467081</c:v>
                </c:pt>
                <c:pt idx="203">
                  <c:v>48.990096114808026</c:v>
                </c:pt>
                <c:pt idx="204">
                  <c:v>48.89166316958574</c:v>
                </c:pt>
                <c:pt idx="205">
                  <c:v>48.793644327285755</c:v>
                </c:pt>
                <c:pt idx="206">
                  <c:v>48.695942410744486</c:v>
                </c:pt>
                <c:pt idx="207">
                  <c:v>48.598459988952648</c:v>
                </c:pt>
                <c:pt idx="208">
                  <c:v>48.501099786914239</c:v>
                </c:pt>
                <c:pt idx="209">
                  <c:v>48.403764686620029</c:v>
                </c:pt>
                <c:pt idx="210">
                  <c:v>48.306357727279163</c:v>
                </c:pt>
                <c:pt idx="211">
                  <c:v>48.208769817211575</c:v>
                </c:pt>
                <c:pt idx="212">
                  <c:v>48.110903587283964</c:v>
                </c:pt>
                <c:pt idx="213">
                  <c:v>48.012662387525523</c:v>
                </c:pt>
                <c:pt idx="214">
                  <c:v>47.913949730948723</c:v>
                </c:pt>
                <c:pt idx="215">
                  <c:v>47.81466929004668</c:v>
                </c:pt>
                <c:pt idx="216">
                  <c:v>47.714724891539831</c:v>
                </c:pt>
                <c:pt idx="217">
                  <c:v>47.614020512659295</c:v>
                </c:pt>
                <c:pt idx="218">
                  <c:v>47.512527927112338</c:v>
                </c:pt>
                <c:pt idx="219">
                  <c:v>47.4103212142495</c:v>
                </c:pt>
                <c:pt idx="220">
                  <c:v>47.307480086826359</c:v>
                </c:pt>
                <c:pt idx="221">
                  <c:v>47.204082572895231</c:v>
                </c:pt>
                <c:pt idx="222">
                  <c:v>47.100206748905691</c:v>
                </c:pt>
                <c:pt idx="223">
                  <c:v>46.995930734653044</c:v>
                </c:pt>
                <c:pt idx="224">
                  <c:v>46.891332688561057</c:v>
                </c:pt>
                <c:pt idx="225">
                  <c:v>46.786465104441966</c:v>
                </c:pt>
                <c:pt idx="226">
                  <c:v>46.681418923777876</c:v>
                </c:pt>
                <c:pt idx="227">
                  <c:v>46.576272314938073</c:v>
                </c:pt>
                <c:pt idx="228">
                  <c:v>46.47110347375537</c:v>
                </c:pt>
                <c:pt idx="229">
                  <c:v>46.365990618986913</c:v>
                </c:pt>
                <c:pt idx="230">
                  <c:v>46.261011988866287</c:v>
                </c:pt>
                <c:pt idx="231">
                  <c:v>46.156245837467772</c:v>
                </c:pt>
                <c:pt idx="232">
                  <c:v>46.052530833677459</c:v>
                </c:pt>
                <c:pt idx="233">
                  <c:v>45.950332304766242</c:v>
                </c:pt>
                <c:pt idx="234">
                  <c:v>45.849222247212118</c:v>
                </c:pt>
                <c:pt idx="235">
                  <c:v>45.748758859595036</c:v>
                </c:pt>
                <c:pt idx="236">
                  <c:v>45.648500597928873</c:v>
                </c:pt>
                <c:pt idx="237">
                  <c:v>45.548006177412589</c:v>
                </c:pt>
                <c:pt idx="238">
                  <c:v>45.446834566983846</c:v>
                </c:pt>
                <c:pt idx="239">
                  <c:v>45.344532285997992</c:v>
                </c:pt>
                <c:pt idx="240">
                  <c:v>45.24068505166764</c:v>
                </c:pt>
                <c:pt idx="241">
                  <c:v>45.134852609373411</c:v>
                </c:pt>
                <c:pt idx="242">
                  <c:v>45.026594941190019</c:v>
                </c:pt>
                <c:pt idx="243">
                  <c:v>44.915472266161288</c:v>
                </c:pt>
                <c:pt idx="244">
                  <c:v>44.801045036370923</c:v>
                </c:pt>
                <c:pt idx="245">
                  <c:v>44.682873937878973</c:v>
                </c:pt>
                <c:pt idx="246">
                  <c:v>44.562242358756656</c:v>
                </c:pt>
                <c:pt idx="247">
                  <c:v>44.44053237407168</c:v>
                </c:pt>
                <c:pt idx="248">
                  <c:v>44.317485220471355</c:v>
                </c:pt>
                <c:pt idx="249">
                  <c:v>44.192815655862788</c:v>
                </c:pt>
                <c:pt idx="250">
                  <c:v>44.066238595361369</c:v>
                </c:pt>
                <c:pt idx="251">
                  <c:v>43.937469106468328</c:v>
                </c:pt>
                <c:pt idx="252">
                  <c:v>43.806222412158107</c:v>
                </c:pt>
                <c:pt idx="253">
                  <c:v>43.672212293209043</c:v>
                </c:pt>
                <c:pt idx="254">
                  <c:v>43.535167004113191</c:v>
                </c:pt>
                <c:pt idx="255">
                  <c:v>43.394802195767497</c:v>
                </c:pt>
                <c:pt idx="256">
                  <c:v>43.25083365571394</c:v>
                </c:pt>
                <c:pt idx="257">
                  <c:v>43.102977300406707</c:v>
                </c:pt>
                <c:pt idx="258">
                  <c:v>42.950949177189429</c:v>
                </c:pt>
                <c:pt idx="259">
                  <c:v>42.794465451041951</c:v>
                </c:pt>
                <c:pt idx="260">
                  <c:v>42.633819749040562</c:v>
                </c:pt>
                <c:pt idx="261">
                  <c:v>42.4695250849459</c:v>
                </c:pt>
                <c:pt idx="262">
                  <c:v>42.301650571845478</c:v>
                </c:pt>
                <c:pt idx="263">
                  <c:v>42.130261594598664</c:v>
                </c:pt>
                <c:pt idx="264">
                  <c:v>41.955423495614205</c:v>
                </c:pt>
                <c:pt idx="265">
                  <c:v>41.777201544007696</c:v>
                </c:pt>
                <c:pt idx="266">
                  <c:v>41.595660968361798</c:v>
                </c:pt>
                <c:pt idx="267">
                  <c:v>41.410866321264997</c:v>
                </c:pt>
                <c:pt idx="268">
                  <c:v>41.222884289057468</c:v>
                </c:pt>
                <c:pt idx="269">
                  <c:v>41.0317799132361</c:v>
                </c:pt>
                <c:pt idx="270">
                  <c:v>40.837618154429158</c:v>
                </c:pt>
                <c:pt idx="271">
                  <c:v>40.640463884875238</c:v>
                </c:pt>
                <c:pt idx="272">
                  <c:v>40.440381886078796</c:v>
                </c:pt>
                <c:pt idx="273">
                  <c:v>40.237436838615061</c:v>
                </c:pt>
                <c:pt idx="274">
                  <c:v>40.031090443333831</c:v>
                </c:pt>
                <c:pt idx="275">
                  <c:v>39.820919997178812</c:v>
                </c:pt>
                <c:pt idx="276">
                  <c:v>39.607144664293465</c:v>
                </c:pt>
                <c:pt idx="277">
                  <c:v>39.389970304450948</c:v>
                </c:pt>
                <c:pt idx="278">
                  <c:v>39.169602556645501</c:v>
                </c:pt>
                <c:pt idx="279">
                  <c:v>38.946246840064312</c:v>
                </c:pt>
                <c:pt idx="280">
                  <c:v>38.720108346922977</c:v>
                </c:pt>
                <c:pt idx="281">
                  <c:v>38.491400288362399</c:v>
                </c:pt>
                <c:pt idx="282">
                  <c:v>38.260327907942674</c:v>
                </c:pt>
                <c:pt idx="283">
                  <c:v>38.027095599498722</c:v>
                </c:pt>
                <c:pt idx="284">
                  <c:v>37.791907516084201</c:v>
                </c:pt>
                <c:pt idx="285">
                  <c:v>37.554967572715057</c:v>
                </c:pt>
                <c:pt idx="286">
                  <c:v>37.316479449108193</c:v>
                </c:pt>
                <c:pt idx="287">
                  <c:v>37.076646592109867</c:v>
                </c:pt>
                <c:pt idx="288">
                  <c:v>36.835364742790077</c:v>
                </c:pt>
                <c:pt idx="289">
                  <c:v>36.592327502215305</c:v>
                </c:pt>
                <c:pt idx="290">
                  <c:v>36.347418733430921</c:v>
                </c:pt>
                <c:pt idx="291">
                  <c:v>36.100542260770936</c:v>
                </c:pt>
                <c:pt idx="292">
                  <c:v>35.851601803857868</c:v>
                </c:pt>
                <c:pt idx="293">
                  <c:v>35.600500984276927</c:v>
                </c:pt>
                <c:pt idx="294">
                  <c:v>35.347143331986082</c:v>
                </c:pt>
                <c:pt idx="295">
                  <c:v>35.091430812774526</c:v>
                </c:pt>
                <c:pt idx="296">
                  <c:v>34.833259079797791</c:v>
                </c:pt>
                <c:pt idx="297">
                  <c:v>34.572531560100593</c:v>
                </c:pt>
                <c:pt idx="298">
                  <c:v>34.309151694034725</c:v>
                </c:pt>
                <c:pt idx="299">
                  <c:v>34.043022890546013</c:v>
                </c:pt>
                <c:pt idx="300">
                  <c:v>33.774048535172753</c:v>
                </c:pt>
                <c:pt idx="301">
                  <c:v>33.502132004763709</c:v>
                </c:pt>
                <c:pt idx="302">
                  <c:v>33.224548814884614</c:v>
                </c:pt>
                <c:pt idx="303">
                  <c:v>32.93951729068899</c:v>
                </c:pt>
                <c:pt idx="304">
                  <c:v>32.648359955055525</c:v>
                </c:pt>
                <c:pt idx="305">
                  <c:v>32.35239676718485</c:v>
                </c:pt>
                <c:pt idx="306">
                  <c:v>32.052947400641941</c:v>
                </c:pt>
                <c:pt idx="307">
                  <c:v>31.751331264894251</c:v>
                </c:pt>
                <c:pt idx="308">
                  <c:v>31.448867519383796</c:v>
                </c:pt>
                <c:pt idx="309">
                  <c:v>31.146869127325182</c:v>
                </c:pt>
                <c:pt idx="310">
                  <c:v>30.846656255502044</c:v>
                </c:pt>
                <c:pt idx="311">
                  <c:v>30.549547484299701</c:v>
                </c:pt>
                <c:pt idx="312">
                  <c:v>30.256861184950996</c:v>
                </c:pt>
                <c:pt idx="313">
                  <c:v>29.969915517350792</c:v>
                </c:pt>
                <c:pt idx="314">
                  <c:v>29.690028435719867</c:v>
                </c:pt>
                <c:pt idx="315">
                  <c:v>29.418517681432935</c:v>
                </c:pt>
                <c:pt idx="316">
                  <c:v>29.152581582854701</c:v>
                </c:pt>
                <c:pt idx="317">
                  <c:v>28.888791728260557</c:v>
                </c:pt>
                <c:pt idx="318">
                  <c:v>28.627525444844508</c:v>
                </c:pt>
                <c:pt idx="319">
                  <c:v>28.369158321522384</c:v>
                </c:pt>
                <c:pt idx="320">
                  <c:v>28.114065991049458</c:v>
                </c:pt>
                <c:pt idx="321">
                  <c:v>27.86262413510422</c:v>
                </c:pt>
                <c:pt idx="322">
                  <c:v>27.61520847103041</c:v>
                </c:pt>
                <c:pt idx="323">
                  <c:v>27.372202518262799</c:v>
                </c:pt>
                <c:pt idx="324">
                  <c:v>27.133987308266711</c:v>
                </c:pt>
                <c:pt idx="325">
                  <c:v>26.900938420567616</c:v>
                </c:pt>
                <c:pt idx="326">
                  <c:v>26.673431505412424</c:v>
                </c:pt>
                <c:pt idx="327">
                  <c:v>26.451842205309521</c:v>
                </c:pt>
                <c:pt idx="328">
                  <c:v>26.236546149943322</c:v>
                </c:pt>
                <c:pt idx="329">
                  <c:v>26.027918969061659</c:v>
                </c:pt>
                <c:pt idx="330">
                  <c:v>25.821922728711424</c:v>
                </c:pt>
                <c:pt idx="331">
                  <c:v>25.615333428189725</c:v>
                </c:pt>
                <c:pt idx="332">
                  <c:v>25.409752412223508</c:v>
                </c:pt>
                <c:pt idx="333">
                  <c:v>25.206781810400344</c:v>
                </c:pt>
                <c:pt idx="334">
                  <c:v>25.008023347925072</c:v>
                </c:pt>
                <c:pt idx="335">
                  <c:v>24.815078307017803</c:v>
                </c:pt>
                <c:pt idx="336">
                  <c:v>24.629547503443259</c:v>
                </c:pt>
                <c:pt idx="337">
                  <c:v>24.453028752431884</c:v>
                </c:pt>
                <c:pt idx="338">
                  <c:v>24.287114680855979</c:v>
                </c:pt>
                <c:pt idx="339">
                  <c:v>24.133404648144033</c:v>
                </c:pt>
                <c:pt idx="340">
                  <c:v>23.993497412526121</c:v>
                </c:pt>
                <c:pt idx="341">
                  <c:v>23.86899113552392</c:v>
                </c:pt>
                <c:pt idx="342">
                  <c:v>23.761483353798422</c:v>
                </c:pt>
                <c:pt idx="343">
                  <c:v>23.672570941970299</c:v>
                </c:pt>
                <c:pt idx="344">
                  <c:v>23.600828214622069</c:v>
                </c:pt>
                <c:pt idx="345">
                  <c:v>23.543462263276286</c:v>
                </c:pt>
                <c:pt idx="346">
                  <c:v>23.500025118239556</c:v>
                </c:pt>
                <c:pt idx="347">
                  <c:v>23.470062490589338</c:v>
                </c:pt>
                <c:pt idx="348">
                  <c:v>23.453120214249488</c:v>
                </c:pt>
                <c:pt idx="349">
                  <c:v>23.448744242882505</c:v>
                </c:pt>
                <c:pt idx="350">
                  <c:v>23.456480664058844</c:v>
                </c:pt>
                <c:pt idx="351">
                  <c:v>23.475878183492441</c:v>
                </c:pt>
                <c:pt idx="352">
                  <c:v>23.506485550769536</c:v>
                </c:pt>
                <c:pt idx="353">
                  <c:v>23.547849226896506</c:v>
                </c:pt>
                <c:pt idx="354">
                  <c:v>23.599515817875048</c:v>
                </c:pt>
                <c:pt idx="355">
                  <c:v>23.661032068120619</c:v>
                </c:pt>
                <c:pt idx="356">
                  <c:v>23.7319449294687</c:v>
                </c:pt>
                <c:pt idx="357">
                  <c:v>23.811801359678736</c:v>
                </c:pt>
                <c:pt idx="358">
                  <c:v>23.904464553224582</c:v>
                </c:pt>
                <c:pt idx="359">
                  <c:v>24.013185739961148</c:v>
                </c:pt>
                <c:pt idx="360">
                  <c:v>24.136592099424892</c:v>
                </c:pt>
                <c:pt idx="361">
                  <c:v>24.273311250437992</c:v>
                </c:pt>
                <c:pt idx="362">
                  <c:v>24.421973784035384</c:v>
                </c:pt>
                <c:pt idx="363">
                  <c:v>24.581210806961984</c:v>
                </c:pt>
                <c:pt idx="364">
                  <c:v>24.749653938097314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25.365899107564697</c:v>
                </c:pt>
                <c:pt idx="1">
                  <c:v>17.725769454353372</c:v>
                </c:pt>
                <c:pt idx="2">
                  <c:v>18.775695018196892</c:v>
                </c:pt>
                <c:pt idx="3">
                  <c:v>19.629378325728034</c:v>
                </c:pt>
                <c:pt idx="4">
                  <c:v>13.864758578378368</c:v>
                </c:pt>
                <c:pt idx="5">
                  <c:v>25.498499349004408</c:v>
                </c:pt>
                <c:pt idx="6">
                  <c:v>9.267163937141893</c:v>
                </c:pt>
                <c:pt idx="7">
                  <c:v>5.3717721591595424</c:v>
                </c:pt>
                <c:pt idx="8">
                  <c:v>1.5971176261219282</c:v>
                </c:pt>
                <c:pt idx="9">
                  <c:v>1.4778060737451213</c:v>
                </c:pt>
                <c:pt idx="10">
                  <c:v>27.416438273876171</c:v>
                </c:pt>
                <c:pt idx="11">
                  <c:v>22.235562202896936</c:v>
                </c:pt>
                <c:pt idx="12">
                  <c:v>5.1953229532433722</c:v>
                </c:pt>
                <c:pt idx="13">
                  <c:v>28.456350298594515</c:v>
                </c:pt>
                <c:pt idx="14">
                  <c:v>28.29775211994988</c:v>
                </c:pt>
                <c:pt idx="15">
                  <c:v>27.991323879615557</c:v>
                </c:pt>
                <c:pt idx="16">
                  <c:v>19.401670074446749</c:v>
                </c:pt>
                <c:pt idx="17">
                  <c:v>4.1514577494930842</c:v>
                </c:pt>
                <c:pt idx="18">
                  <c:v>10.057944442879663</c:v>
                </c:pt>
                <c:pt idx="19">
                  <c:v>5.5528605331643757</c:v>
                </c:pt>
                <c:pt idx="20">
                  <c:v>16.338931756106529</c:v>
                </c:pt>
                <c:pt idx="21">
                  <c:v>29.520520632363255</c:v>
                </c:pt>
                <c:pt idx="22">
                  <c:v>29.58503667767329</c:v>
                </c:pt>
                <c:pt idx="23">
                  <c:v>29.869497930710157</c:v>
                </c:pt>
                <c:pt idx="24">
                  <c:v>29.426621395410329</c:v>
                </c:pt>
                <c:pt idx="25">
                  <c:v>30.191403896146497</c:v>
                </c:pt>
                <c:pt idx="26">
                  <c:v>29.921047361317502</c:v>
                </c:pt>
                <c:pt idx="27">
                  <c:v>4.054454295943188</c:v>
                </c:pt>
                <c:pt idx="28">
                  <c:v>6.0288442064189045</c:v>
                </c:pt>
                <c:pt idx="29">
                  <c:v>4.9446122306903817</c:v>
                </c:pt>
                <c:pt idx="30">
                  <c:v>6.7860856613686993</c:v>
                </c:pt>
                <c:pt idx="31">
                  <c:v>14.042138980495361</c:v>
                </c:pt>
                <c:pt idx="32">
                  <c:v>5.2852855086668749</c:v>
                </c:pt>
                <c:pt idx="33">
                  <c:v>11.562188545065199</c:v>
                </c:pt>
                <c:pt idx="34">
                  <c:v>11.090494672851788</c:v>
                </c:pt>
                <c:pt idx="35">
                  <c:v>10.47961038360334</c:v>
                </c:pt>
                <c:pt idx="36">
                  <c:v>23.128772543750834</c:v>
                </c:pt>
                <c:pt idx="37">
                  <c:v>9.109748754745743</c:v>
                </c:pt>
                <c:pt idx="38">
                  <c:v>35.188707052162663</c:v>
                </c:pt>
                <c:pt idx="39">
                  <c:v>35.269904054834782</c:v>
                </c:pt>
                <c:pt idx="40">
                  <c:v>32.772977999390669</c:v>
                </c:pt>
                <c:pt idx="41">
                  <c:v>16.498676315393286</c:v>
                </c:pt>
                <c:pt idx="42">
                  <c:v>27.442070953698661</c:v>
                </c:pt>
                <c:pt idx="43">
                  <c:v>33.536154805074879</c:v>
                </c:pt>
                <c:pt idx="44">
                  <c:v>18.604569067589516</c:v>
                </c:pt>
                <c:pt idx="45">
                  <c:v>18.334262429463351</c:v>
                </c:pt>
                <c:pt idx="46">
                  <c:v>7.9741917496730643</c:v>
                </c:pt>
                <c:pt idx="47">
                  <c:v>9.3186770607179401</c:v>
                </c:pt>
                <c:pt idx="48">
                  <c:v>30.540891606297023</c:v>
                </c:pt>
                <c:pt idx="49">
                  <c:v>18.621964886659768</c:v>
                </c:pt>
                <c:pt idx="50">
                  <c:v>21.949418368445134</c:v>
                </c:pt>
                <c:pt idx="51">
                  <c:v>21.611428381118532</c:v>
                </c:pt>
                <c:pt idx="52">
                  <c:v>35.38776535115985</c:v>
                </c:pt>
                <c:pt idx="53">
                  <c:v>36.9115471631209</c:v>
                </c:pt>
                <c:pt idx="54">
                  <c:v>20.996065944388992</c:v>
                </c:pt>
                <c:pt idx="55">
                  <c:v>30.535814412821768</c:v>
                </c:pt>
                <c:pt idx="56">
                  <c:v>41.213735427185171</c:v>
                </c:pt>
                <c:pt idx="57">
                  <c:v>28.442265907825259</c:v>
                </c:pt>
                <c:pt idx="58">
                  <c:v>32.95249456521681</c:v>
                </c:pt>
                <c:pt idx="59">
                  <c:v>42.117341357125696</c:v>
                </c:pt>
                <c:pt idx="60">
                  <c:v>10.621456942405128</c:v>
                </c:pt>
                <c:pt idx="61">
                  <c:v>39.82215469125623</c:v>
                </c:pt>
                <c:pt idx="62">
                  <c:v>4.2576112825892363</c:v>
                </c:pt>
                <c:pt idx="63">
                  <c:v>15.136901549918266</c:v>
                </c:pt>
                <c:pt idx="64">
                  <c:v>21.430770013819441</c:v>
                </c:pt>
                <c:pt idx="65">
                  <c:v>32.51675505085344</c:v>
                </c:pt>
                <c:pt idx="66">
                  <c:v>31.192951705128259</c:v>
                </c:pt>
                <c:pt idx="67">
                  <c:v>32.924868331189664</c:v>
                </c:pt>
                <c:pt idx="68">
                  <c:v>23.829128894662265</c:v>
                </c:pt>
                <c:pt idx="69">
                  <c:v>15.887838896470475</c:v>
                </c:pt>
                <c:pt idx="70">
                  <c:v>13.119512383471111</c:v>
                </c:pt>
                <c:pt idx="71">
                  <c:v>12.349535935441432</c:v>
                </c:pt>
                <c:pt idx="72">
                  <c:v>13.0469052551374</c:v>
                </c:pt>
                <c:pt idx="73">
                  <c:v>14.812094004473922</c:v>
                </c:pt>
                <c:pt idx="74">
                  <c:v>10.167240058289057</c:v>
                </c:pt>
                <c:pt idx="75">
                  <c:v>11.010060803825832</c:v>
                </c:pt>
                <c:pt idx="76">
                  <c:v>13.504017961104456</c:v>
                </c:pt>
                <c:pt idx="77">
                  <c:v>30.942782558112551</c:v>
                </c:pt>
                <c:pt idx="78">
                  <c:v>31.903055749424738</c:v>
                </c:pt>
                <c:pt idx="79">
                  <c:v>46.004958453336975</c:v>
                </c:pt>
                <c:pt idx="80">
                  <c:v>40.597723761148572</c:v>
                </c:pt>
                <c:pt idx="81">
                  <c:v>47.806397290844465</c:v>
                </c:pt>
                <c:pt idx="82">
                  <c:v>44.997957870464191</c:v>
                </c:pt>
                <c:pt idx="83">
                  <c:v>40.965258920066553</c:v>
                </c:pt>
                <c:pt idx="84">
                  <c:v>44.497183570295405</c:v>
                </c:pt>
                <c:pt idx="85">
                  <c:v>45.22955131470755</c:v>
                </c:pt>
                <c:pt idx="86">
                  <c:v>34.699852829222159</c:v>
                </c:pt>
                <c:pt idx="87">
                  <c:v>27.346942146982386</c:v>
                </c:pt>
                <c:pt idx="88">
                  <c:v>7.1386105682938261</c:v>
                </c:pt>
                <c:pt idx="89">
                  <c:v>21.279010152157827</c:v>
                </c:pt>
                <c:pt idx="90">
                  <c:v>31.696101922848801</c:v>
                </c:pt>
                <c:pt idx="91">
                  <c:v>19.441877605290081</c:v>
                </c:pt>
                <c:pt idx="92">
                  <c:v>24.828338511789692</c:v>
                </c:pt>
                <c:pt idx="93">
                  <c:v>43.540261673490157</c:v>
                </c:pt>
                <c:pt idx="94">
                  <c:v>50.175047467700651</c:v>
                </c:pt>
                <c:pt idx="95">
                  <c:v>11.783673987925342</c:v>
                </c:pt>
                <c:pt idx="96">
                  <c:v>38.813805519949291</c:v>
                </c:pt>
                <c:pt idx="97">
                  <c:v>31.491912829800171</c:v>
                </c:pt>
                <c:pt idx="98">
                  <c:v>34.369851823600499</c:v>
                </c:pt>
                <c:pt idx="99">
                  <c:v>52.541704236581104</c:v>
                </c:pt>
                <c:pt idx="100">
                  <c:v>43.356025542095793</c:v>
                </c:pt>
                <c:pt idx="101">
                  <c:v>2.4497658011521959</c:v>
                </c:pt>
                <c:pt idx="102">
                  <c:v>0</c:v>
                </c:pt>
                <c:pt idx="103">
                  <c:v>41.147225818201292</c:v>
                </c:pt>
                <c:pt idx="104">
                  <c:v>45.795808862870899</c:v>
                </c:pt>
                <c:pt idx="105">
                  <c:v>41.203902837415185</c:v>
                </c:pt>
                <c:pt idx="106">
                  <c:v>52.031271830788675</c:v>
                </c:pt>
                <c:pt idx="107">
                  <c:v>37.102652288923373</c:v>
                </c:pt>
                <c:pt idx="108">
                  <c:v>8.8813710882746175</c:v>
                </c:pt>
                <c:pt idx="109">
                  <c:v>10.020447907753468</c:v>
                </c:pt>
                <c:pt idx="110">
                  <c:v>9.0498544172644593</c:v>
                </c:pt>
                <c:pt idx="111">
                  <c:v>27.362757512606148</c:v>
                </c:pt>
                <c:pt idx="112">
                  <c:v>9.4022172950136902</c:v>
                </c:pt>
                <c:pt idx="113">
                  <c:v>24.168826726395675</c:v>
                </c:pt>
                <c:pt idx="114">
                  <c:v>45.839035529713854</c:v>
                </c:pt>
                <c:pt idx="115">
                  <c:v>51.267579555498081</c:v>
                </c:pt>
                <c:pt idx="116">
                  <c:v>37.790171714447766</c:v>
                </c:pt>
                <c:pt idx="117">
                  <c:v>20.324504548132147</c:v>
                </c:pt>
                <c:pt idx="118">
                  <c:v>41.147475968724457</c:v>
                </c:pt>
                <c:pt idx="119">
                  <c:v>40.124104705180045</c:v>
                </c:pt>
                <c:pt idx="120">
                  <c:v>44.91374523275433</c:v>
                </c:pt>
                <c:pt idx="121">
                  <c:v>26.310386535494022</c:v>
                </c:pt>
                <c:pt idx="122">
                  <c:v>30.051730798946835</c:v>
                </c:pt>
                <c:pt idx="123">
                  <c:v>17.725791466246537</c:v>
                </c:pt>
                <c:pt idx="124">
                  <c:v>37.227798945695213</c:v>
                </c:pt>
                <c:pt idx="125">
                  <c:v>34.768043467617652</c:v>
                </c:pt>
                <c:pt idx="126">
                  <c:v>44.990573682533643</c:v>
                </c:pt>
                <c:pt idx="127">
                  <c:v>46.937378589816923</c:v>
                </c:pt>
                <c:pt idx="128">
                  <c:v>51.061780199297822</c:v>
                </c:pt>
                <c:pt idx="129">
                  <c:v>48.668220350559416</c:v>
                </c:pt>
                <c:pt idx="130">
                  <c:v>52.210503097899391</c:v>
                </c:pt>
                <c:pt idx="131">
                  <c:v>40.194521963467373</c:v>
                </c:pt>
                <c:pt idx="132">
                  <c:v>36.8068908960825</c:v>
                </c:pt>
                <c:pt idx="133">
                  <c:v>48.042591928465121</c:v>
                </c:pt>
                <c:pt idx="134">
                  <c:v>49.01715053785496</c:v>
                </c:pt>
                <c:pt idx="135">
                  <c:v>47.201770264293486</c:v>
                </c:pt>
                <c:pt idx="136">
                  <c:v>50.543510634287877</c:v>
                </c:pt>
                <c:pt idx="137">
                  <c:v>48.968560139799195</c:v>
                </c:pt>
                <c:pt idx="138">
                  <c:v>51.158404245996003</c:v>
                </c:pt>
                <c:pt idx="139">
                  <c:v>46.40515501234097</c:v>
                </c:pt>
                <c:pt idx="140">
                  <c:v>46.976099308562922</c:v>
                </c:pt>
                <c:pt idx="141">
                  <c:v>35.936565420377789</c:v>
                </c:pt>
                <c:pt idx="142">
                  <c:v>16.785809869668409</c:v>
                </c:pt>
                <c:pt idx="143">
                  <c:v>15.957558068955864</c:v>
                </c:pt>
                <c:pt idx="144">
                  <c:v>37.1750553535405</c:v>
                </c:pt>
                <c:pt idx="145">
                  <c:v>25.299324947688046</c:v>
                </c:pt>
                <c:pt idx="146">
                  <c:v>40.322114302767993</c:v>
                </c:pt>
                <c:pt idx="147">
                  <c:v>49.669096022293104</c:v>
                </c:pt>
                <c:pt idx="148">
                  <c:v>53.78158532041499</c:v>
                </c:pt>
                <c:pt idx="149">
                  <c:v>45.067101591817668</c:v>
                </c:pt>
                <c:pt idx="150">
                  <c:v>50.077998956579037</c:v>
                </c:pt>
                <c:pt idx="151">
                  <c:v>50.905005056461953</c:v>
                </c:pt>
                <c:pt idx="152">
                  <c:v>40.29976756655207</c:v>
                </c:pt>
                <c:pt idx="153">
                  <c:v>50.62601529535884</c:v>
                </c:pt>
                <c:pt idx="154">
                  <c:v>20.968767739058787</c:v>
                </c:pt>
                <c:pt idx="155">
                  <c:v>29.586108481315861</c:v>
                </c:pt>
                <c:pt idx="156">
                  <c:v>44.329348769739923</c:v>
                </c:pt>
                <c:pt idx="157">
                  <c:v>25.955224963554244</c:v>
                </c:pt>
                <c:pt idx="158">
                  <c:v>19.29944669725683</c:v>
                </c:pt>
                <c:pt idx="159">
                  <c:v>42.882471803457015</c:v>
                </c:pt>
                <c:pt idx="160">
                  <c:v>52.51031871559573</c:v>
                </c:pt>
                <c:pt idx="161">
                  <c:v>51.084038204055844</c:v>
                </c:pt>
                <c:pt idx="162">
                  <c:v>39.158832780473062</c:v>
                </c:pt>
                <c:pt idx="163">
                  <c:v>48.107947528833748</c:v>
                </c:pt>
                <c:pt idx="164">
                  <c:v>45.805817573781212</c:v>
                </c:pt>
                <c:pt idx="165">
                  <c:v>49.177858585006256</c:v>
                </c:pt>
                <c:pt idx="166">
                  <c:v>47.726491958123859</c:v>
                </c:pt>
                <c:pt idx="167">
                  <c:v>48.351775828439166</c:v>
                </c:pt>
                <c:pt idx="168">
                  <c:v>49.983064745362967</c:v>
                </c:pt>
                <c:pt idx="169">
                  <c:v>51.036399493184966</c:v>
                </c:pt>
                <c:pt idx="170">
                  <c:v>32.191958157875654</c:v>
                </c:pt>
                <c:pt idx="171">
                  <c:v>22.760330173187686</c:v>
                </c:pt>
                <c:pt idx="172">
                  <c:v>40.191614989355394</c:v>
                </c:pt>
                <c:pt idx="173">
                  <c:v>39.842257929230101</c:v>
                </c:pt>
                <c:pt idx="174">
                  <c:v>37.95098275555732</c:v>
                </c:pt>
                <c:pt idx="175">
                  <c:v>32.562733068936403</c:v>
                </c:pt>
                <c:pt idx="176">
                  <c:v>10.551039412256184</c:v>
                </c:pt>
                <c:pt idx="177">
                  <c:v>9.8930242998693583</c:v>
                </c:pt>
                <c:pt idx="178">
                  <c:v>50.945526320290099</c:v>
                </c:pt>
                <c:pt idx="179">
                  <c:v>51.742661049472389</c:v>
                </c:pt>
                <c:pt idx="180">
                  <c:v>11.783124541604238</c:v>
                </c:pt>
                <c:pt idx="181">
                  <c:v>44.09987304604919</c:v>
                </c:pt>
                <c:pt idx="182">
                  <c:v>50.754509676966059</c:v>
                </c:pt>
                <c:pt idx="183">
                  <c:v>43.896410362553674</c:v>
                </c:pt>
                <c:pt idx="184">
                  <c:v>41.861856716673927</c:v>
                </c:pt>
                <c:pt idx="185">
                  <c:v>50.973812296524052</c:v>
                </c:pt>
                <c:pt idx="186">
                  <c:v>41.757805645780891</c:v>
                </c:pt>
                <c:pt idx="187">
                  <c:v>49.326701614753269</c:v>
                </c:pt>
                <c:pt idx="188">
                  <c:v>51.696822205622013</c:v>
                </c:pt>
                <c:pt idx="189">
                  <c:v>51.109781428383684</c:v>
                </c:pt>
                <c:pt idx="190">
                  <c:v>50.77319414992666</c:v>
                </c:pt>
                <c:pt idx="191">
                  <c:v>49.563348562324315</c:v>
                </c:pt>
                <c:pt idx="192">
                  <c:v>49.136725137819397</c:v>
                </c:pt>
                <c:pt idx="193">
                  <c:v>49.384891771148986</c:v>
                </c:pt>
                <c:pt idx="194">
                  <c:v>48.616636886174483</c:v>
                </c:pt>
                <c:pt idx="195">
                  <c:v>46.628813247297195</c:v>
                </c:pt>
                <c:pt idx="196">
                  <c:v>48.394821843455574</c:v>
                </c:pt>
                <c:pt idx="197">
                  <c:v>48.367890011521709</c:v>
                </c:pt>
                <c:pt idx="198">
                  <c:v>49.123421032546176</c:v>
                </c:pt>
                <c:pt idx="199">
                  <c:v>33.554953544003617</c:v>
                </c:pt>
                <c:pt idx="200">
                  <c:v>38.196891201854342</c:v>
                </c:pt>
                <c:pt idx="201">
                  <c:v>47.67154241864462</c:v>
                </c:pt>
                <c:pt idx="202">
                  <c:v>36.384240019655422</c:v>
                </c:pt>
                <c:pt idx="203">
                  <c:v>40.592333056683295</c:v>
                </c:pt>
                <c:pt idx="204">
                  <c:v>48.059260356510293</c:v>
                </c:pt>
                <c:pt idx="205">
                  <c:v>24.703076695084278</c:v>
                </c:pt>
                <c:pt idx="206">
                  <c:v>46.961557198289114</c:v>
                </c:pt>
                <c:pt idx="207">
                  <c:v>50.846390699745299</c:v>
                </c:pt>
                <c:pt idx="208">
                  <c:v>40.395298214452914</c:v>
                </c:pt>
                <c:pt idx="209">
                  <c:v>26.906988136779944</c:v>
                </c:pt>
                <c:pt idx="210">
                  <c:v>40.547682198932051</c:v>
                </c:pt>
                <c:pt idx="211">
                  <c:v>48.741088007670932</c:v>
                </c:pt>
                <c:pt idx="212">
                  <c:v>48.66906522471286</c:v>
                </c:pt>
                <c:pt idx="213">
                  <c:v>48.71358419989734</c:v>
                </c:pt>
                <c:pt idx="214">
                  <c:v>47.170878728243856</c:v>
                </c:pt>
                <c:pt idx="215">
                  <c:v>46.659804048977946</c:v>
                </c:pt>
                <c:pt idx="216">
                  <c:v>42.068924292986537</c:v>
                </c:pt>
                <c:pt idx="217">
                  <c:v>44.472603462789642</c:v>
                </c:pt>
                <c:pt idx="218">
                  <c:v>47.441051871720553</c:v>
                </c:pt>
                <c:pt idx="219">
                  <c:v>48.01864125246378</c:v>
                </c:pt>
                <c:pt idx="220">
                  <c:v>46.263981624881268</c:v>
                </c:pt>
                <c:pt idx="221">
                  <c:v>44.935581719081547</c:v>
                </c:pt>
                <c:pt idx="222">
                  <c:v>42.516649621739369</c:v>
                </c:pt>
                <c:pt idx="223">
                  <c:v>43.845495617107581</c:v>
                </c:pt>
                <c:pt idx="224">
                  <c:v>34.415732338056266</c:v>
                </c:pt>
                <c:pt idx="225">
                  <c:v>31.522459567019418</c:v>
                </c:pt>
                <c:pt idx="226">
                  <c:v>35.747990734834694</c:v>
                </c:pt>
                <c:pt idx="227">
                  <c:v>33.105772871437075</c:v>
                </c:pt>
                <c:pt idx="228">
                  <c:v>24.165736220538783</c:v>
                </c:pt>
                <c:pt idx="229">
                  <c:v>32.15143355230834</c:v>
                </c:pt>
                <c:pt idx="230">
                  <c:v>32.807580537332939</c:v>
                </c:pt>
                <c:pt idx="231">
                  <c:v>46.273390299505849</c:v>
                </c:pt>
                <c:pt idx="232">
                  <c:v>30.750691536951845</c:v>
                </c:pt>
                <c:pt idx="233">
                  <c:v>22.013958980029081</c:v>
                </c:pt>
                <c:pt idx="234">
                  <c:v>42.713451229507925</c:v>
                </c:pt>
                <c:pt idx="235">
                  <c:v>44.093674893643211</c:v>
                </c:pt>
                <c:pt idx="236">
                  <c:v>28.474745559614501</c:v>
                </c:pt>
                <c:pt idx="237">
                  <c:v>39.102886391612927</c:v>
                </c:pt>
                <c:pt idx="238">
                  <c:v>43.92758783884593</c:v>
                </c:pt>
                <c:pt idx="239">
                  <c:v>44.033129714028824</c:v>
                </c:pt>
                <c:pt idx="240">
                  <c:v>30.942945413765347</c:v>
                </c:pt>
                <c:pt idx="241">
                  <c:v>43.739194151274781</c:v>
                </c:pt>
                <c:pt idx="242">
                  <c:v>19.887384861142092</c:v>
                </c:pt>
                <c:pt idx="243">
                  <c:v>40.421029136781684</c:v>
                </c:pt>
                <c:pt idx="244">
                  <c:v>37.696458373246557</c:v>
                </c:pt>
                <c:pt idx="245">
                  <c:v>35.827268330255606</c:v>
                </c:pt>
                <c:pt idx="246">
                  <c:v>42.815344733133401</c:v>
                </c:pt>
                <c:pt idx="247">
                  <c:v>39.308370153268278</c:v>
                </c:pt>
                <c:pt idx="248">
                  <c:v>42.322370066569405</c:v>
                </c:pt>
                <c:pt idx="249">
                  <c:v>33.859904263641674</c:v>
                </c:pt>
                <c:pt idx="250">
                  <c:v>37.144564820806174</c:v>
                </c:pt>
                <c:pt idx="251">
                  <c:v>19.220856072501274</c:v>
                </c:pt>
                <c:pt idx="252">
                  <c:v>41.961448202879374</c:v>
                </c:pt>
                <c:pt idx="253">
                  <c:v>42.746460558032496</c:v>
                </c:pt>
                <c:pt idx="254">
                  <c:v>30.069275376791978</c:v>
                </c:pt>
                <c:pt idx="255">
                  <c:v>10.864576572937185</c:v>
                </c:pt>
                <c:pt idx="256">
                  <c:v>32.84357771379694</c:v>
                </c:pt>
                <c:pt idx="257">
                  <c:v>37.693579412859144</c:v>
                </c:pt>
                <c:pt idx="258">
                  <c:v>25.104309321394982</c:v>
                </c:pt>
                <c:pt idx="259">
                  <c:v>44.278942313428367</c:v>
                </c:pt>
                <c:pt idx="260">
                  <c:v>42.825695259575753</c:v>
                </c:pt>
                <c:pt idx="261">
                  <c:v>42.296612306328974</c:v>
                </c:pt>
                <c:pt idx="262">
                  <c:v>43.570661787597949</c:v>
                </c:pt>
                <c:pt idx="263">
                  <c:v>42.612722999047882</c:v>
                </c:pt>
                <c:pt idx="264">
                  <c:v>41.440592464198943</c:v>
                </c:pt>
                <c:pt idx="265">
                  <c:v>27.320441919945011</c:v>
                </c:pt>
                <c:pt idx="266">
                  <c:v>19.969285795289498</c:v>
                </c:pt>
                <c:pt idx="267">
                  <c:v>29.452340209784992</c:v>
                </c:pt>
                <c:pt idx="268">
                  <c:v>30.775801923229157</c:v>
                </c:pt>
                <c:pt idx="269">
                  <c:v>14.785647400342754</c:v>
                </c:pt>
                <c:pt idx="270">
                  <c:v>14.459404611927051</c:v>
                </c:pt>
                <c:pt idx="271">
                  <c:v>20.835315121799955</c:v>
                </c:pt>
                <c:pt idx="272">
                  <c:v>30.036486586766504</c:v>
                </c:pt>
                <c:pt idx="273">
                  <c:v>36.362055064846579</c:v>
                </c:pt>
                <c:pt idx="274">
                  <c:v>35.808160998848791</c:v>
                </c:pt>
                <c:pt idx="275">
                  <c:v>33.477721793643298</c:v>
                </c:pt>
                <c:pt idx="276">
                  <c:v>39.209133832909274</c:v>
                </c:pt>
                <c:pt idx="277">
                  <c:v>39.15886631617429</c:v>
                </c:pt>
                <c:pt idx="278">
                  <c:v>14.520307501414011</c:v>
                </c:pt>
                <c:pt idx="279">
                  <c:v>28.953847433167248</c:v>
                </c:pt>
                <c:pt idx="280">
                  <c:v>16.74789270603085</c:v>
                </c:pt>
                <c:pt idx="281">
                  <c:v>36.534582189854468</c:v>
                </c:pt>
                <c:pt idx="282">
                  <c:v>29.823248843977048</c:v>
                </c:pt>
                <c:pt idx="283">
                  <c:v>21.267309059294114</c:v>
                </c:pt>
                <c:pt idx="284">
                  <c:v>29.738145257588389</c:v>
                </c:pt>
                <c:pt idx="285">
                  <c:v>21.522141407833068</c:v>
                </c:pt>
                <c:pt idx="286">
                  <c:v>16.077469011176451</c:v>
                </c:pt>
                <c:pt idx="287">
                  <c:v>35.904654988226831</c:v>
                </c:pt>
                <c:pt idx="288">
                  <c:v>32.417417355287824</c:v>
                </c:pt>
                <c:pt idx="289">
                  <c:v>21.832725125892292</c:v>
                </c:pt>
                <c:pt idx="290">
                  <c:v>33.413711832462702</c:v>
                </c:pt>
                <c:pt idx="291">
                  <c:v>14.225907142422082</c:v>
                </c:pt>
                <c:pt idx="292">
                  <c:v>8.1596875757264353</c:v>
                </c:pt>
                <c:pt idx="293">
                  <c:v>14.914288478274679</c:v>
                </c:pt>
                <c:pt idx="294">
                  <c:v>32.174317344073636</c:v>
                </c:pt>
                <c:pt idx="295">
                  <c:v>18.326656620734344</c:v>
                </c:pt>
                <c:pt idx="296">
                  <c:v>24.449409086371904</c:v>
                </c:pt>
                <c:pt idx="297">
                  <c:v>21.593497355443088</c:v>
                </c:pt>
                <c:pt idx="298">
                  <c:v>12.070972868896353</c:v>
                </c:pt>
                <c:pt idx="299">
                  <c:v>13.225954991764906</c:v>
                </c:pt>
                <c:pt idx="300">
                  <c:v>16.661361566777476</c:v>
                </c:pt>
                <c:pt idx="301">
                  <c:v>24.883948971619585</c:v>
                </c:pt>
                <c:pt idx="302">
                  <c:v>20.37776679130236</c:v>
                </c:pt>
                <c:pt idx="303">
                  <c:v>21.068989517531815</c:v>
                </c:pt>
                <c:pt idx="304">
                  <c:v>22.703130732657275</c:v>
                </c:pt>
                <c:pt idx="305">
                  <c:v>28.452176365682007</c:v>
                </c:pt>
                <c:pt idx="306">
                  <c:v>9.8956218720247122</c:v>
                </c:pt>
                <c:pt idx="307">
                  <c:v>11.55355130972336</c:v>
                </c:pt>
                <c:pt idx="308">
                  <c:v>30.357680581997645</c:v>
                </c:pt>
                <c:pt idx="309">
                  <c:v>30.006542339027288</c:v>
                </c:pt>
                <c:pt idx="310">
                  <c:v>28.686217424269756</c:v>
                </c:pt>
                <c:pt idx="311">
                  <c:v>19.62668644592879</c:v>
                </c:pt>
                <c:pt idx="312">
                  <c:v>10.382979475978308</c:v>
                </c:pt>
                <c:pt idx="313">
                  <c:v>23.161009057908323</c:v>
                </c:pt>
                <c:pt idx="314">
                  <c:v>28.87305052019865</c:v>
                </c:pt>
                <c:pt idx="315">
                  <c:v>27.574131827445388</c:v>
                </c:pt>
                <c:pt idx="316">
                  <c:v>27.760175503693759</c:v>
                </c:pt>
                <c:pt idx="317">
                  <c:v>10.377897942110415</c:v>
                </c:pt>
                <c:pt idx="318">
                  <c:v>12.395829467683845</c:v>
                </c:pt>
                <c:pt idx="319">
                  <c:v>27.470069060744091</c:v>
                </c:pt>
                <c:pt idx="320">
                  <c:v>14.680413435504867</c:v>
                </c:pt>
                <c:pt idx="321">
                  <c:v>13.406340533898469</c:v>
                </c:pt>
                <c:pt idx="322">
                  <c:v>5.7829858979757383</c:v>
                </c:pt>
                <c:pt idx="323">
                  <c:v>17.1304374978053</c:v>
                </c:pt>
                <c:pt idx="324">
                  <c:v>3.4196287667411198</c:v>
                </c:pt>
                <c:pt idx="325">
                  <c:v>7.5763016184425744</c:v>
                </c:pt>
                <c:pt idx="326">
                  <c:v>11.757053202361611</c:v>
                </c:pt>
                <c:pt idx="327">
                  <c:v>13.889544073488326</c:v>
                </c:pt>
                <c:pt idx="328">
                  <c:v>4.2726646722073491</c:v>
                </c:pt>
                <c:pt idx="329">
                  <c:v>13.255530274662112</c:v>
                </c:pt>
                <c:pt idx="330">
                  <c:v>14.120922273404993</c:v>
                </c:pt>
                <c:pt idx="331">
                  <c:v>9.1170473926286011</c:v>
                </c:pt>
                <c:pt idx="332">
                  <c:v>12.829301045679147</c:v>
                </c:pt>
                <c:pt idx="333">
                  <c:v>4.1733325150516976</c:v>
                </c:pt>
                <c:pt idx="334">
                  <c:v>3.3756398513417469</c:v>
                </c:pt>
                <c:pt idx="335">
                  <c:v>6.375893525146564</c:v>
                </c:pt>
                <c:pt idx="336">
                  <c:v>7.1767396737384672</c:v>
                </c:pt>
                <c:pt idx="337">
                  <c:v>19.892346848183116</c:v>
                </c:pt>
                <c:pt idx="338">
                  <c:v>25.259899946154519</c:v>
                </c:pt>
                <c:pt idx="339">
                  <c:v>11.022785147285962</c:v>
                </c:pt>
                <c:pt idx="340">
                  <c:v>19.803141739282204</c:v>
                </c:pt>
                <c:pt idx="341">
                  <c:v>4.5420636625156332</c:v>
                </c:pt>
                <c:pt idx="342">
                  <c:v>5.5308070452587952</c:v>
                </c:pt>
                <c:pt idx="343">
                  <c:v>13.781085564031635</c:v>
                </c:pt>
                <c:pt idx="344">
                  <c:v>16.801934191659992</c:v>
                </c:pt>
                <c:pt idx="345">
                  <c:v>4.961788750319954</c:v>
                </c:pt>
                <c:pt idx="346">
                  <c:v>5.4401408979865327</c:v>
                </c:pt>
                <c:pt idx="347">
                  <c:v>16.71443256833636</c:v>
                </c:pt>
                <c:pt idx="348">
                  <c:v>7.0004830258802073</c:v>
                </c:pt>
                <c:pt idx="349">
                  <c:v>4.7554999405461649</c:v>
                </c:pt>
                <c:pt idx="350">
                  <c:v>2.6599302079004197</c:v>
                </c:pt>
                <c:pt idx="351">
                  <c:v>20.970133023531723</c:v>
                </c:pt>
                <c:pt idx="352">
                  <c:v>17.750963906224012</c:v>
                </c:pt>
                <c:pt idx="353">
                  <c:v>4.3247726348994862</c:v>
                </c:pt>
                <c:pt idx="354">
                  <c:v>21.856953675755943</c:v>
                </c:pt>
                <c:pt idx="355">
                  <c:v>16.902157626981975</c:v>
                </c:pt>
                <c:pt idx="356">
                  <c:v>17.435557477251681</c:v>
                </c:pt>
                <c:pt idx="357">
                  <c:v>22.853657263180573</c:v>
                </c:pt>
                <c:pt idx="358">
                  <c:v>13.387359885142175</c:v>
                </c:pt>
                <c:pt idx="359">
                  <c:v>22.102373733477108</c:v>
                </c:pt>
                <c:pt idx="360">
                  <c:v>6.0029642571257575</c:v>
                </c:pt>
                <c:pt idx="361">
                  <c:v>23.403093987991202</c:v>
                </c:pt>
                <c:pt idx="362">
                  <c:v>10.190794508069555</c:v>
                </c:pt>
                <c:pt idx="363">
                  <c:v>14.636929843229087</c:v>
                </c:pt>
                <c:pt idx="364">
                  <c:v>11.069371873947155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25.365899107564697</c:v>
                </c:pt>
                <c:pt idx="1">
                  <c:v>17.725769454353372</c:v>
                </c:pt>
                <c:pt idx="2">
                  <c:v>18.775695018196892</c:v>
                </c:pt>
                <c:pt idx="3">
                  <c:v>19.629378325728034</c:v>
                </c:pt>
                <c:pt idx="4">
                  <c:v>13.864758578378368</c:v>
                </c:pt>
                <c:pt idx="5">
                  <c:v>25.498499349004408</c:v>
                </c:pt>
                <c:pt idx="6">
                  <c:v>9.267163937141893</c:v>
                </c:pt>
                <c:pt idx="7">
                  <c:v>5.3717721591595424</c:v>
                </c:pt>
                <c:pt idx="8">
                  <c:v>1.5971176261219282</c:v>
                </c:pt>
                <c:pt idx="9">
                  <c:v>1.4778060737451213</c:v>
                </c:pt>
                <c:pt idx="10">
                  <c:v>27.416438273876171</c:v>
                </c:pt>
                <c:pt idx="11">
                  <c:v>22.235562202896936</c:v>
                </c:pt>
                <c:pt idx="12">
                  <c:v>5.1953229532433722</c:v>
                </c:pt>
                <c:pt idx="13">
                  <c:v>28.456350298594515</c:v>
                </c:pt>
                <c:pt idx="14">
                  <c:v>28.29775211994988</c:v>
                </c:pt>
                <c:pt idx="15">
                  <c:v>27.991323879615557</c:v>
                </c:pt>
                <c:pt idx="16">
                  <c:v>19.401670074446749</c:v>
                </c:pt>
                <c:pt idx="17">
                  <c:v>4.1514577494930842</c:v>
                </c:pt>
                <c:pt idx="18">
                  <c:v>10.057944442879663</c:v>
                </c:pt>
                <c:pt idx="19">
                  <c:v>5.5528605331643757</c:v>
                </c:pt>
                <c:pt idx="20">
                  <c:v>16.338931756106529</c:v>
                </c:pt>
                <c:pt idx="21">
                  <c:v>29.520520632363255</c:v>
                </c:pt>
                <c:pt idx="22">
                  <c:v>29.58503667767329</c:v>
                </c:pt>
                <c:pt idx="23">
                  <c:v>29.869497930710157</c:v>
                </c:pt>
                <c:pt idx="24">
                  <c:v>29.426621395410329</c:v>
                </c:pt>
                <c:pt idx="25">
                  <c:v>30.191403896146497</c:v>
                </c:pt>
                <c:pt idx="26">
                  <c:v>29.921047361317502</c:v>
                </c:pt>
                <c:pt idx="27">
                  <c:v>4.054454295943188</c:v>
                </c:pt>
                <c:pt idx="28">
                  <c:v>6.0288442064189045</c:v>
                </c:pt>
                <c:pt idx="29">
                  <c:v>4.9446122306903817</c:v>
                </c:pt>
                <c:pt idx="30">
                  <c:v>6.7860856613686993</c:v>
                </c:pt>
                <c:pt idx="31">
                  <c:v>14.042138980495361</c:v>
                </c:pt>
                <c:pt idx="32">
                  <c:v>5.2852855086668749</c:v>
                </c:pt>
                <c:pt idx="33">
                  <c:v>11.562188545065199</c:v>
                </c:pt>
                <c:pt idx="34">
                  <c:v>11.090494672851788</c:v>
                </c:pt>
                <c:pt idx="35">
                  <c:v>10.47961038360334</c:v>
                </c:pt>
                <c:pt idx="36">
                  <c:v>23.128772543750834</c:v>
                </c:pt>
                <c:pt idx="37">
                  <c:v>9.109748754745743</c:v>
                </c:pt>
                <c:pt idx="38">
                  <c:v>35.188707052162663</c:v>
                </c:pt>
                <c:pt idx="39">
                  <c:v>35.269904054834782</c:v>
                </c:pt>
                <c:pt idx="40">
                  <c:v>32.772977999390669</c:v>
                </c:pt>
                <c:pt idx="41">
                  <c:v>16.498676315393286</c:v>
                </c:pt>
                <c:pt idx="42">
                  <c:v>27.442070953698661</c:v>
                </c:pt>
                <c:pt idx="43">
                  <c:v>33.536154805074879</c:v>
                </c:pt>
                <c:pt idx="44">
                  <c:v>18.604569067589516</c:v>
                </c:pt>
                <c:pt idx="45">
                  <c:v>18.334262429463351</c:v>
                </c:pt>
                <c:pt idx="46">
                  <c:v>7.9741917496730643</c:v>
                </c:pt>
                <c:pt idx="47">
                  <c:v>9.3186770607179401</c:v>
                </c:pt>
                <c:pt idx="48">
                  <c:v>30.540891606297023</c:v>
                </c:pt>
                <c:pt idx="49">
                  <c:v>18.621964886659768</c:v>
                </c:pt>
                <c:pt idx="50">
                  <c:v>21.949418368445134</c:v>
                </c:pt>
                <c:pt idx="51">
                  <c:v>21.611428381118532</c:v>
                </c:pt>
                <c:pt idx="52">
                  <c:v>35.38776535115985</c:v>
                </c:pt>
                <c:pt idx="53">
                  <c:v>36.9115471631209</c:v>
                </c:pt>
                <c:pt idx="54">
                  <c:v>20.996065944388992</c:v>
                </c:pt>
                <c:pt idx="55">
                  <c:v>30.535814412821768</c:v>
                </c:pt>
                <c:pt idx="56">
                  <c:v>41.213735427185171</c:v>
                </c:pt>
                <c:pt idx="57">
                  <c:v>28.442265907825259</c:v>
                </c:pt>
                <c:pt idx="58">
                  <c:v>32.95249456521681</c:v>
                </c:pt>
                <c:pt idx="59">
                  <c:v>42.117341357125696</c:v>
                </c:pt>
                <c:pt idx="60">
                  <c:v>10.621456942405128</c:v>
                </c:pt>
                <c:pt idx="61">
                  <c:v>39.82215469125623</c:v>
                </c:pt>
                <c:pt idx="62">
                  <c:v>4.2576112825892363</c:v>
                </c:pt>
                <c:pt idx="63">
                  <c:v>15.136901549918266</c:v>
                </c:pt>
                <c:pt idx="64">
                  <c:v>21.430770013819441</c:v>
                </c:pt>
                <c:pt idx="65">
                  <c:v>32.51675505085344</c:v>
                </c:pt>
                <c:pt idx="66">
                  <c:v>31.192951705128259</c:v>
                </c:pt>
                <c:pt idx="67">
                  <c:v>32.924868331189664</c:v>
                </c:pt>
                <c:pt idx="68">
                  <c:v>23.829128894662265</c:v>
                </c:pt>
                <c:pt idx="69">
                  <c:v>15.887838896470475</c:v>
                </c:pt>
                <c:pt idx="70">
                  <c:v>13.119512383471111</c:v>
                </c:pt>
                <c:pt idx="71">
                  <c:v>12.349535935441432</c:v>
                </c:pt>
                <c:pt idx="72">
                  <c:v>13.0469052551374</c:v>
                </c:pt>
                <c:pt idx="73">
                  <c:v>14.812094004473922</c:v>
                </c:pt>
                <c:pt idx="74">
                  <c:v>10.167240058289057</c:v>
                </c:pt>
                <c:pt idx="75">
                  <c:v>11.010060803825832</c:v>
                </c:pt>
                <c:pt idx="76">
                  <c:v>13.504017961104456</c:v>
                </c:pt>
                <c:pt idx="77">
                  <c:v>30.942782558112551</c:v>
                </c:pt>
                <c:pt idx="78">
                  <c:v>31.903055749424738</c:v>
                </c:pt>
                <c:pt idx="79">
                  <c:v>46.004958453336975</c:v>
                </c:pt>
                <c:pt idx="80">
                  <c:v>40.597723761148572</c:v>
                </c:pt>
                <c:pt idx="81">
                  <c:v>47.806397290844465</c:v>
                </c:pt>
                <c:pt idx="82">
                  <c:v>44.997957870464191</c:v>
                </c:pt>
                <c:pt idx="83">
                  <c:v>40.965258920066553</c:v>
                </c:pt>
                <c:pt idx="84">
                  <c:v>44.497183570295405</c:v>
                </c:pt>
                <c:pt idx="85">
                  <c:v>45.22955131470755</c:v>
                </c:pt>
                <c:pt idx="86">
                  <c:v>34.699852829222159</c:v>
                </c:pt>
                <c:pt idx="87">
                  <c:v>27.346942146982386</c:v>
                </c:pt>
                <c:pt idx="88">
                  <c:v>7.1386105682938261</c:v>
                </c:pt>
                <c:pt idx="89">
                  <c:v>21.279010152157827</c:v>
                </c:pt>
                <c:pt idx="90">
                  <c:v>31.696101922848801</c:v>
                </c:pt>
                <c:pt idx="91">
                  <c:v>19.441877605290081</c:v>
                </c:pt>
                <c:pt idx="92">
                  <c:v>24.828338511789692</c:v>
                </c:pt>
                <c:pt idx="93">
                  <c:v>43.540261673490157</c:v>
                </c:pt>
                <c:pt idx="94">
                  <c:v>50.175047467700651</c:v>
                </c:pt>
                <c:pt idx="95">
                  <c:v>11.783673987925342</c:v>
                </c:pt>
                <c:pt idx="96">
                  <c:v>38.813805519949291</c:v>
                </c:pt>
                <c:pt idx="97">
                  <c:v>31.491912829800171</c:v>
                </c:pt>
                <c:pt idx="98">
                  <c:v>34.369851823600499</c:v>
                </c:pt>
                <c:pt idx="99">
                  <c:v>52.541704236581104</c:v>
                </c:pt>
                <c:pt idx="100">
                  <c:v>43.356025542095793</c:v>
                </c:pt>
                <c:pt idx="101">
                  <c:v>2.4497658011521959</c:v>
                </c:pt>
                <c:pt idx="102">
                  <c:v>0</c:v>
                </c:pt>
                <c:pt idx="103">
                  <c:v>41.147225818201292</c:v>
                </c:pt>
                <c:pt idx="104">
                  <c:v>45.795808862870899</c:v>
                </c:pt>
                <c:pt idx="105">
                  <c:v>41.203902837415185</c:v>
                </c:pt>
                <c:pt idx="106">
                  <c:v>52.031271830788675</c:v>
                </c:pt>
                <c:pt idx="107">
                  <c:v>37.102652288923373</c:v>
                </c:pt>
                <c:pt idx="108">
                  <c:v>8.8813710882746175</c:v>
                </c:pt>
                <c:pt idx="109">
                  <c:v>10.020447907753468</c:v>
                </c:pt>
                <c:pt idx="110">
                  <c:v>9.0498544172644593</c:v>
                </c:pt>
                <c:pt idx="111">
                  <c:v>27.362757512606148</c:v>
                </c:pt>
                <c:pt idx="112">
                  <c:v>9.4022172950136902</c:v>
                </c:pt>
                <c:pt idx="113">
                  <c:v>24.168826726395675</c:v>
                </c:pt>
                <c:pt idx="114">
                  <c:v>45.839035529713854</c:v>
                </c:pt>
                <c:pt idx="115">
                  <c:v>51.267579555498081</c:v>
                </c:pt>
                <c:pt idx="116">
                  <c:v>37.790171714447766</c:v>
                </c:pt>
                <c:pt idx="117">
                  <c:v>20.324504548132147</c:v>
                </c:pt>
                <c:pt idx="118">
                  <c:v>41.147475968724457</c:v>
                </c:pt>
                <c:pt idx="119">
                  <c:v>40.124104705180045</c:v>
                </c:pt>
                <c:pt idx="120">
                  <c:v>44.91374523275433</c:v>
                </c:pt>
                <c:pt idx="121">
                  <c:v>26.310386535494022</c:v>
                </c:pt>
                <c:pt idx="122">
                  <c:v>30.051730798946835</c:v>
                </c:pt>
                <c:pt idx="123">
                  <c:v>17.725791466246537</c:v>
                </c:pt>
                <c:pt idx="124">
                  <c:v>37.227798945695213</c:v>
                </c:pt>
                <c:pt idx="125">
                  <c:v>34.768043467617652</c:v>
                </c:pt>
                <c:pt idx="126">
                  <c:v>44.990573682533643</c:v>
                </c:pt>
                <c:pt idx="127">
                  <c:v>46.937378589816923</c:v>
                </c:pt>
                <c:pt idx="128">
                  <c:v>51.061780199297822</c:v>
                </c:pt>
                <c:pt idx="129">
                  <c:v>48.668220350559416</c:v>
                </c:pt>
                <c:pt idx="130">
                  <c:v>52.210503097899391</c:v>
                </c:pt>
                <c:pt idx="131">
                  <c:v>40.194521963467373</c:v>
                </c:pt>
                <c:pt idx="132">
                  <c:v>36.8068908960825</c:v>
                </c:pt>
                <c:pt idx="133">
                  <c:v>48.042591928465121</c:v>
                </c:pt>
                <c:pt idx="134">
                  <c:v>49.01715053785496</c:v>
                </c:pt>
                <c:pt idx="135">
                  <c:v>47.201770264293486</c:v>
                </c:pt>
                <c:pt idx="136">
                  <c:v>50.543510634287877</c:v>
                </c:pt>
                <c:pt idx="137">
                  <c:v>48.968560139799195</c:v>
                </c:pt>
                <c:pt idx="138">
                  <c:v>51.158404245996003</c:v>
                </c:pt>
                <c:pt idx="139">
                  <c:v>46.40515501234097</c:v>
                </c:pt>
                <c:pt idx="140">
                  <c:v>46.976099308562922</c:v>
                </c:pt>
                <c:pt idx="141">
                  <c:v>35.936565420377789</c:v>
                </c:pt>
                <c:pt idx="142">
                  <c:v>16.785809869668409</c:v>
                </c:pt>
                <c:pt idx="143">
                  <c:v>15.957558068955864</c:v>
                </c:pt>
                <c:pt idx="144">
                  <c:v>37.1750553535405</c:v>
                </c:pt>
                <c:pt idx="145">
                  <c:v>25.299324947688046</c:v>
                </c:pt>
                <c:pt idx="146">
                  <c:v>40.322114302767993</c:v>
                </c:pt>
                <c:pt idx="147">
                  <c:v>49.669096022293104</c:v>
                </c:pt>
                <c:pt idx="148">
                  <c:v>53.78158532041499</c:v>
                </c:pt>
                <c:pt idx="149">
                  <c:v>45.067101591817668</c:v>
                </c:pt>
                <c:pt idx="150">
                  <c:v>50.077998956579037</c:v>
                </c:pt>
                <c:pt idx="151">
                  <c:v>50.905005056461953</c:v>
                </c:pt>
                <c:pt idx="152">
                  <c:v>40.29976756655207</c:v>
                </c:pt>
                <c:pt idx="153">
                  <c:v>50.62601529535884</c:v>
                </c:pt>
                <c:pt idx="154">
                  <c:v>20.968767739058787</c:v>
                </c:pt>
                <c:pt idx="155">
                  <c:v>29.586108481315861</c:v>
                </c:pt>
                <c:pt idx="156">
                  <c:v>44.329348769739923</c:v>
                </c:pt>
                <c:pt idx="157">
                  <c:v>25.955224963554244</c:v>
                </c:pt>
                <c:pt idx="158">
                  <c:v>19.29944669725683</c:v>
                </c:pt>
                <c:pt idx="159">
                  <c:v>42.882471803457015</c:v>
                </c:pt>
                <c:pt idx="160">
                  <c:v>52.51031871559573</c:v>
                </c:pt>
                <c:pt idx="161">
                  <c:v>51.084038204055844</c:v>
                </c:pt>
                <c:pt idx="162">
                  <c:v>39.158832780473062</c:v>
                </c:pt>
                <c:pt idx="163">
                  <c:v>48.107947528833748</c:v>
                </c:pt>
                <c:pt idx="164">
                  <c:v>45.805817573781212</c:v>
                </c:pt>
                <c:pt idx="165">
                  <c:v>49.177858585006256</c:v>
                </c:pt>
                <c:pt idx="166">
                  <c:v>47.726491958123859</c:v>
                </c:pt>
                <c:pt idx="167">
                  <c:v>48.351775828439166</c:v>
                </c:pt>
                <c:pt idx="168">
                  <c:v>49.983064745362967</c:v>
                </c:pt>
                <c:pt idx="169">
                  <c:v>51.036399493184966</c:v>
                </c:pt>
                <c:pt idx="170">
                  <c:v>32.191958157875654</c:v>
                </c:pt>
                <c:pt idx="171">
                  <c:v>22.760330173187686</c:v>
                </c:pt>
                <c:pt idx="172">
                  <c:v>40.191614989355394</c:v>
                </c:pt>
                <c:pt idx="173">
                  <c:v>39.842257929230101</c:v>
                </c:pt>
                <c:pt idx="174">
                  <c:v>37.95098275555732</c:v>
                </c:pt>
                <c:pt idx="175">
                  <c:v>32.562733068936403</c:v>
                </c:pt>
                <c:pt idx="176">
                  <c:v>10.551039412256184</c:v>
                </c:pt>
                <c:pt idx="177">
                  <c:v>9.8930242998693583</c:v>
                </c:pt>
                <c:pt idx="178">
                  <c:v>50.945526320290099</c:v>
                </c:pt>
                <c:pt idx="179">
                  <c:v>51.742661049472389</c:v>
                </c:pt>
                <c:pt idx="180">
                  <c:v>11.783124541604238</c:v>
                </c:pt>
                <c:pt idx="181">
                  <c:v>44.09987304604919</c:v>
                </c:pt>
                <c:pt idx="182">
                  <c:v>50.754509676966059</c:v>
                </c:pt>
                <c:pt idx="183">
                  <c:v>43.896410362553674</c:v>
                </c:pt>
                <c:pt idx="184">
                  <c:v>41.861856716673927</c:v>
                </c:pt>
                <c:pt idx="185">
                  <c:v>50.973812296524052</c:v>
                </c:pt>
                <c:pt idx="186">
                  <c:v>41.757805645780891</c:v>
                </c:pt>
                <c:pt idx="187">
                  <c:v>49.326701614753269</c:v>
                </c:pt>
                <c:pt idx="188">
                  <c:v>51.696822205622013</c:v>
                </c:pt>
                <c:pt idx="189">
                  <c:v>51.109781428383684</c:v>
                </c:pt>
                <c:pt idx="190">
                  <c:v>50.77319414992666</c:v>
                </c:pt>
                <c:pt idx="191">
                  <c:v>49.563348562324315</c:v>
                </c:pt>
                <c:pt idx="192">
                  <c:v>49.136725137819397</c:v>
                </c:pt>
                <c:pt idx="193">
                  <c:v>49.384891771148986</c:v>
                </c:pt>
                <c:pt idx="194">
                  <c:v>48.616636886174483</c:v>
                </c:pt>
                <c:pt idx="195">
                  <c:v>46.628813247297195</c:v>
                </c:pt>
                <c:pt idx="196">
                  <c:v>48.394821843455574</c:v>
                </c:pt>
                <c:pt idx="197">
                  <c:v>48.367890011521709</c:v>
                </c:pt>
                <c:pt idx="198">
                  <c:v>49.123421032546176</c:v>
                </c:pt>
                <c:pt idx="199">
                  <c:v>33.554953544003617</c:v>
                </c:pt>
                <c:pt idx="200">
                  <c:v>38.196891201854342</c:v>
                </c:pt>
                <c:pt idx="201">
                  <c:v>47.67154241864462</c:v>
                </c:pt>
                <c:pt idx="202">
                  <c:v>36.384240019655422</c:v>
                </c:pt>
                <c:pt idx="203">
                  <c:v>40.592333056683295</c:v>
                </c:pt>
                <c:pt idx="204">
                  <c:v>48.059260356510293</c:v>
                </c:pt>
                <c:pt idx="205">
                  <c:v>24.703076695084278</c:v>
                </c:pt>
                <c:pt idx="206">
                  <c:v>46.961557198289114</c:v>
                </c:pt>
                <c:pt idx="207">
                  <c:v>50.846390699745299</c:v>
                </c:pt>
                <c:pt idx="208">
                  <c:v>40.395298214452914</c:v>
                </c:pt>
                <c:pt idx="209">
                  <c:v>26.906988136779944</c:v>
                </c:pt>
                <c:pt idx="210">
                  <c:v>40.547682198932051</c:v>
                </c:pt>
                <c:pt idx="211">
                  <c:v>48.741088007670932</c:v>
                </c:pt>
                <c:pt idx="212">
                  <c:v>48.66906522471286</c:v>
                </c:pt>
                <c:pt idx="213">
                  <c:v>48.71358419989734</c:v>
                </c:pt>
                <c:pt idx="214">
                  <c:v>47.170878728243856</c:v>
                </c:pt>
                <c:pt idx="215">
                  <c:v>46.659804048977946</c:v>
                </c:pt>
                <c:pt idx="216">
                  <c:v>42.068924292986537</c:v>
                </c:pt>
                <c:pt idx="217">
                  <c:v>44.472603462789642</c:v>
                </c:pt>
                <c:pt idx="218">
                  <c:v>47.441051871720553</c:v>
                </c:pt>
                <c:pt idx="219">
                  <c:v>48.01864125246378</c:v>
                </c:pt>
                <c:pt idx="220">
                  <c:v>46.263981624881268</c:v>
                </c:pt>
                <c:pt idx="221">
                  <c:v>44.935581719081547</c:v>
                </c:pt>
                <c:pt idx="222">
                  <c:v>42.516649621739369</c:v>
                </c:pt>
                <c:pt idx="223">
                  <c:v>43.845495617107581</c:v>
                </c:pt>
                <c:pt idx="224">
                  <c:v>34.415732338056266</c:v>
                </c:pt>
                <c:pt idx="225">
                  <c:v>31.522459567019418</c:v>
                </c:pt>
                <c:pt idx="226">
                  <c:v>35.747990734834694</c:v>
                </c:pt>
                <c:pt idx="227">
                  <c:v>33.105772871437075</c:v>
                </c:pt>
                <c:pt idx="228">
                  <c:v>24.165736220538783</c:v>
                </c:pt>
                <c:pt idx="229">
                  <c:v>32.15143355230834</c:v>
                </c:pt>
                <c:pt idx="230">
                  <c:v>32.807580537332939</c:v>
                </c:pt>
                <c:pt idx="231">
                  <c:v>46.273390299505849</c:v>
                </c:pt>
                <c:pt idx="232">
                  <c:v>30.750691536951845</c:v>
                </c:pt>
                <c:pt idx="233">
                  <c:v>22.013958980029081</c:v>
                </c:pt>
                <c:pt idx="234">
                  <c:v>42.713451229507925</c:v>
                </c:pt>
                <c:pt idx="235">
                  <c:v>44.093674893643211</c:v>
                </c:pt>
                <c:pt idx="236">
                  <c:v>28.474745559614501</c:v>
                </c:pt>
                <c:pt idx="237">
                  <c:v>39.102886391612927</c:v>
                </c:pt>
                <c:pt idx="238">
                  <c:v>43.92758783884593</c:v>
                </c:pt>
                <c:pt idx="239">
                  <c:v>44.033129714028824</c:v>
                </c:pt>
                <c:pt idx="240">
                  <c:v>30.942945413765347</c:v>
                </c:pt>
                <c:pt idx="241">
                  <c:v>43.739194151274781</c:v>
                </c:pt>
                <c:pt idx="242">
                  <c:v>19.887384861142092</c:v>
                </c:pt>
                <c:pt idx="243">
                  <c:v>40.421029136781684</c:v>
                </c:pt>
                <c:pt idx="244">
                  <c:v>37.696458373246557</c:v>
                </c:pt>
                <c:pt idx="245">
                  <c:v>35.827268330255606</c:v>
                </c:pt>
                <c:pt idx="246">
                  <c:v>42.815344733133401</c:v>
                </c:pt>
                <c:pt idx="247">
                  <c:v>39.308370153268278</c:v>
                </c:pt>
                <c:pt idx="248">
                  <c:v>42.322370066569405</c:v>
                </c:pt>
                <c:pt idx="249">
                  <c:v>33.859904263641674</c:v>
                </c:pt>
                <c:pt idx="250">
                  <c:v>37.144564820806174</c:v>
                </c:pt>
                <c:pt idx="251">
                  <c:v>19.220856072501274</c:v>
                </c:pt>
                <c:pt idx="252">
                  <c:v>41.961448202879374</c:v>
                </c:pt>
                <c:pt idx="253">
                  <c:v>42.746460558032496</c:v>
                </c:pt>
                <c:pt idx="254">
                  <c:v>30.069275376791978</c:v>
                </c:pt>
                <c:pt idx="255">
                  <c:v>10.864576572937185</c:v>
                </c:pt>
                <c:pt idx="256">
                  <c:v>32.84357771379694</c:v>
                </c:pt>
                <c:pt idx="257">
                  <c:v>37.693579412859144</c:v>
                </c:pt>
                <c:pt idx="258">
                  <c:v>25.104309321394982</c:v>
                </c:pt>
                <c:pt idx="259">
                  <c:v>44.278942313428367</c:v>
                </c:pt>
                <c:pt idx="260">
                  <c:v>42.825695259575753</c:v>
                </c:pt>
                <c:pt idx="261">
                  <c:v>42.296612306328974</c:v>
                </c:pt>
                <c:pt idx="262">
                  <c:v>43.570661787597949</c:v>
                </c:pt>
                <c:pt idx="263">
                  <c:v>42.612722999047882</c:v>
                </c:pt>
                <c:pt idx="264">
                  <c:v>41.440592464198943</c:v>
                </c:pt>
                <c:pt idx="265">
                  <c:v>27.320441919945011</c:v>
                </c:pt>
                <c:pt idx="266">
                  <c:v>19.969285795289498</c:v>
                </c:pt>
                <c:pt idx="267">
                  <c:v>29.452340209784992</c:v>
                </c:pt>
                <c:pt idx="268">
                  <c:v>30.775801923229157</c:v>
                </c:pt>
                <c:pt idx="269">
                  <c:v>14.785647400342754</c:v>
                </c:pt>
                <c:pt idx="270">
                  <c:v>14.459404611927051</c:v>
                </c:pt>
                <c:pt idx="271">
                  <c:v>20.835315121799955</c:v>
                </c:pt>
                <c:pt idx="272">
                  <c:v>30.036486586766504</c:v>
                </c:pt>
                <c:pt idx="273">
                  <c:v>36.362055064846579</c:v>
                </c:pt>
                <c:pt idx="274">
                  <c:v>35.808160998848791</c:v>
                </c:pt>
                <c:pt idx="275">
                  <c:v>33.477721793643298</c:v>
                </c:pt>
                <c:pt idx="276">
                  <c:v>39.209133832909274</c:v>
                </c:pt>
                <c:pt idx="277">
                  <c:v>39.15886631617429</c:v>
                </c:pt>
                <c:pt idx="278">
                  <c:v>14.520307501414011</c:v>
                </c:pt>
                <c:pt idx="279">
                  <c:v>28.953847433167248</c:v>
                </c:pt>
                <c:pt idx="280">
                  <c:v>16.74789270603085</c:v>
                </c:pt>
                <c:pt idx="281">
                  <c:v>36.534582189854468</c:v>
                </c:pt>
                <c:pt idx="282">
                  <c:v>29.823248843977048</c:v>
                </c:pt>
                <c:pt idx="283">
                  <c:v>21.267309059294114</c:v>
                </c:pt>
                <c:pt idx="284">
                  <c:v>29.738145257588389</c:v>
                </c:pt>
                <c:pt idx="285">
                  <c:v>21.522141407833068</c:v>
                </c:pt>
                <c:pt idx="286">
                  <c:v>16.077469011176451</c:v>
                </c:pt>
                <c:pt idx="287">
                  <c:v>35.904654988226831</c:v>
                </c:pt>
                <c:pt idx="288">
                  <c:v>32.417417355287824</c:v>
                </c:pt>
                <c:pt idx="289">
                  <c:v>21.832725125892292</c:v>
                </c:pt>
                <c:pt idx="290">
                  <c:v>33.413711832462702</c:v>
                </c:pt>
                <c:pt idx="291">
                  <c:v>14.225907142422082</c:v>
                </c:pt>
                <c:pt idx="292">
                  <c:v>8.1596875757264353</c:v>
                </c:pt>
                <c:pt idx="293">
                  <c:v>14.914288478274679</c:v>
                </c:pt>
                <c:pt idx="294">
                  <c:v>32.174317344073636</c:v>
                </c:pt>
                <c:pt idx="295">
                  <c:v>18.326656620734344</c:v>
                </c:pt>
                <c:pt idx="296">
                  <c:v>24.449409086371904</c:v>
                </c:pt>
                <c:pt idx="297">
                  <c:v>21.593497355443088</c:v>
                </c:pt>
                <c:pt idx="298">
                  <c:v>12.070972868896353</c:v>
                </c:pt>
                <c:pt idx="299">
                  <c:v>13.225954991764906</c:v>
                </c:pt>
                <c:pt idx="300">
                  <c:v>16.661361566777476</c:v>
                </c:pt>
                <c:pt idx="301">
                  <c:v>24.883948971619585</c:v>
                </c:pt>
                <c:pt idx="302">
                  <c:v>20.37776679130236</c:v>
                </c:pt>
                <c:pt idx="303">
                  <c:v>21.068989517531815</c:v>
                </c:pt>
                <c:pt idx="304">
                  <c:v>22.703130732657275</c:v>
                </c:pt>
                <c:pt idx="305">
                  <c:v>28.452176365682007</c:v>
                </c:pt>
                <c:pt idx="306">
                  <c:v>9.8956218720247122</c:v>
                </c:pt>
                <c:pt idx="307">
                  <c:v>11.55355130972336</c:v>
                </c:pt>
                <c:pt idx="308">
                  <c:v>30.357680581997645</c:v>
                </c:pt>
                <c:pt idx="309">
                  <c:v>30.006542339027288</c:v>
                </c:pt>
                <c:pt idx="310">
                  <c:v>28.686217424269756</c:v>
                </c:pt>
                <c:pt idx="311">
                  <c:v>19.62668644592879</c:v>
                </c:pt>
                <c:pt idx="312">
                  <c:v>10.382979475978308</c:v>
                </c:pt>
                <c:pt idx="313">
                  <c:v>23.161009057908323</c:v>
                </c:pt>
                <c:pt idx="314">
                  <c:v>28.87305052019865</c:v>
                </c:pt>
                <c:pt idx="315">
                  <c:v>27.574131827445388</c:v>
                </c:pt>
                <c:pt idx="316">
                  <c:v>27.760175503693759</c:v>
                </c:pt>
                <c:pt idx="317">
                  <c:v>10.377897942110415</c:v>
                </c:pt>
                <c:pt idx="318">
                  <c:v>12.395829467683845</c:v>
                </c:pt>
                <c:pt idx="319">
                  <c:v>27.470069060744091</c:v>
                </c:pt>
                <c:pt idx="320">
                  <c:v>14.680413435504867</c:v>
                </c:pt>
                <c:pt idx="321">
                  <c:v>13.406340533898469</c:v>
                </c:pt>
                <c:pt idx="322">
                  <c:v>5.7829858979757383</c:v>
                </c:pt>
                <c:pt idx="323">
                  <c:v>17.1304374978053</c:v>
                </c:pt>
                <c:pt idx="324">
                  <c:v>3.4196287667411198</c:v>
                </c:pt>
                <c:pt idx="325">
                  <c:v>7.5763016184425744</c:v>
                </c:pt>
                <c:pt idx="326">
                  <c:v>11.757053202361611</c:v>
                </c:pt>
                <c:pt idx="327">
                  <c:v>13.889544073488326</c:v>
                </c:pt>
                <c:pt idx="328">
                  <c:v>4.2726646722073491</c:v>
                </c:pt>
                <c:pt idx="329">
                  <c:v>13.255530274662112</c:v>
                </c:pt>
                <c:pt idx="330">
                  <c:v>14.120922273404993</c:v>
                </c:pt>
                <c:pt idx="331">
                  <c:v>9.1170473926286011</c:v>
                </c:pt>
                <c:pt idx="332">
                  <c:v>12.829301045679147</c:v>
                </c:pt>
                <c:pt idx="333">
                  <c:v>4.1733325150516976</c:v>
                </c:pt>
                <c:pt idx="334">
                  <c:v>3.3756398513417469</c:v>
                </c:pt>
                <c:pt idx="335">
                  <c:v>6.375893525146564</c:v>
                </c:pt>
                <c:pt idx="336">
                  <c:v>7.1767396737384672</c:v>
                </c:pt>
                <c:pt idx="337">
                  <c:v>19.892346848183116</c:v>
                </c:pt>
                <c:pt idx="338">
                  <c:v>25.259899946154519</c:v>
                </c:pt>
                <c:pt idx="339">
                  <c:v>11.022785147285962</c:v>
                </c:pt>
                <c:pt idx="340">
                  <c:v>19.803141739282204</c:v>
                </c:pt>
                <c:pt idx="341">
                  <c:v>4.5420636625156332</c:v>
                </c:pt>
                <c:pt idx="342">
                  <c:v>5.5308070452587952</c:v>
                </c:pt>
                <c:pt idx="343">
                  <c:v>13.781085564031635</c:v>
                </c:pt>
                <c:pt idx="344">
                  <c:v>16.801934191659992</c:v>
                </c:pt>
                <c:pt idx="345">
                  <c:v>4.961788750319954</c:v>
                </c:pt>
                <c:pt idx="346">
                  <c:v>5.4401408979865327</c:v>
                </c:pt>
                <c:pt idx="347">
                  <c:v>16.71443256833636</c:v>
                </c:pt>
                <c:pt idx="348">
                  <c:v>7.0004830258802073</c:v>
                </c:pt>
                <c:pt idx="349">
                  <c:v>4.7554999405461649</c:v>
                </c:pt>
                <c:pt idx="350">
                  <c:v>2.6599302079004197</c:v>
                </c:pt>
                <c:pt idx="351">
                  <c:v>20.970133023531723</c:v>
                </c:pt>
                <c:pt idx="352">
                  <c:v>17.750963906224012</c:v>
                </c:pt>
                <c:pt idx="353">
                  <c:v>4.3247726348994862</c:v>
                </c:pt>
                <c:pt idx="354">
                  <c:v>21.856953675755943</c:v>
                </c:pt>
                <c:pt idx="355">
                  <c:v>16.902157626981975</c:v>
                </c:pt>
                <c:pt idx="356">
                  <c:v>17.435557477251681</c:v>
                </c:pt>
                <c:pt idx="357">
                  <c:v>22.853657263180573</c:v>
                </c:pt>
                <c:pt idx="358">
                  <c:v>13.387359885142175</c:v>
                </c:pt>
                <c:pt idx="359">
                  <c:v>22.102373733477108</c:v>
                </c:pt>
                <c:pt idx="360">
                  <c:v>6.0029642571257575</c:v>
                </c:pt>
                <c:pt idx="361">
                  <c:v>23.403093987991202</c:v>
                </c:pt>
                <c:pt idx="362">
                  <c:v>10.190794508069555</c:v>
                </c:pt>
                <c:pt idx="363">
                  <c:v>14.636929843229087</c:v>
                </c:pt>
                <c:pt idx="364">
                  <c:v>11.069371873947155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29632"/>
        <c:axId val="644430024"/>
      </c:lineChart>
      <c:dateAx>
        <c:axId val="644429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0024"/>
        <c:crosses val="autoZero"/>
        <c:auto val="1"/>
        <c:lblOffset val="100"/>
        <c:baseTimeUnit val="days"/>
        <c:majorUnit val="1"/>
        <c:majorTimeUnit val="months"/>
      </c:dateAx>
      <c:valAx>
        <c:axId val="6444300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296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5.1520665313782743E-2</c:v>
                </c:pt>
                <c:pt idx="1">
                  <c:v>5.1541439445420445E-2</c:v>
                </c:pt>
                <c:pt idx="2">
                  <c:v>5.1562213122051337E-2</c:v>
                </c:pt>
                <c:pt idx="3">
                  <c:v>5.15829863436853E-2</c:v>
                </c:pt>
                <c:pt idx="4">
                  <c:v>5.1603759110332548E-2</c:v>
                </c:pt>
                <c:pt idx="5">
                  <c:v>5.162453142200274E-2</c:v>
                </c:pt>
                <c:pt idx="6">
                  <c:v>5.164530327870609E-2</c:v>
                </c:pt>
                <c:pt idx="7">
                  <c:v>5.1666074680452478E-2</c:v>
                </c:pt>
                <c:pt idx="8">
                  <c:v>5.1686845627251787E-2</c:v>
                </c:pt>
                <c:pt idx="9">
                  <c:v>5.1707616119114119E-2</c:v>
                </c:pt>
                <c:pt idx="10">
                  <c:v>5.1728386156049355E-2</c:v>
                </c:pt>
                <c:pt idx="11">
                  <c:v>5.1749155738067487E-2</c:v>
                </c:pt>
                <c:pt idx="12">
                  <c:v>5.1769924865178507E-2</c:v>
                </c:pt>
                <c:pt idx="13">
                  <c:v>5.1790693537392296E-2</c:v>
                </c:pt>
                <c:pt idx="14">
                  <c:v>5.1811461754718846E-2</c:v>
                </c:pt>
                <c:pt idx="15">
                  <c:v>5.1832229517168149E-2</c:v>
                </c:pt>
                <c:pt idx="16">
                  <c:v>5.1852996824750197E-2</c:v>
                </c:pt>
                <c:pt idx="17">
                  <c:v>5.1873763677474871E-2</c:v>
                </c:pt>
                <c:pt idx="18">
                  <c:v>5.1894530075352163E-2</c:v>
                </c:pt>
                <c:pt idx="19">
                  <c:v>5.1915296018392065E-2</c:v>
                </c:pt>
                <c:pt idx="20">
                  <c:v>5.1936061506604458E-2</c:v>
                </c:pt>
                <c:pt idx="21">
                  <c:v>5.1956826539999446E-2</c:v>
                </c:pt>
                <c:pt idx="22">
                  <c:v>5.1977591118586908E-2</c:v>
                </c:pt>
                <c:pt idx="23">
                  <c:v>5.1998355242376726E-2</c:v>
                </c:pt>
                <c:pt idx="24">
                  <c:v>5.2019118911379003E-2</c:v>
                </c:pt>
                <c:pt idx="25">
                  <c:v>5.2039882125603731E-2</c:v>
                </c:pt>
                <c:pt idx="26">
                  <c:v>5.2060644885060681E-2</c:v>
                </c:pt>
                <c:pt idx="27">
                  <c:v>5.2081407189759843E-2</c:v>
                </c:pt>
                <c:pt idx="28">
                  <c:v>5.2102169039711321E-2</c:v>
                </c:pt>
                <c:pt idx="29">
                  <c:v>5.2122930434925108E-2</c:v>
                </c:pt>
                <c:pt idx="30">
                  <c:v>5.2143691375410861E-2</c:v>
                </c:pt>
                <c:pt idx="31">
                  <c:v>5.2164451861178907E-2</c:v>
                </c:pt>
                <c:pt idx="32">
                  <c:v>5.2185211892238903E-2</c:v>
                </c:pt>
                <c:pt idx="33">
                  <c:v>5.2205971468600954E-2</c:v>
                </c:pt>
                <c:pt idx="34">
                  <c:v>5.222673059027505E-2</c:v>
                </c:pt>
                <c:pt idx="35">
                  <c:v>5.2247489257271185E-2</c:v>
                </c:pt>
                <c:pt idx="36">
                  <c:v>5.2268247469599127E-2</c:v>
                </c:pt>
                <c:pt idx="37">
                  <c:v>5.2289005227268981E-2</c:v>
                </c:pt>
                <c:pt idx="38">
                  <c:v>5.2309762530290627E-2</c:v>
                </c:pt>
                <c:pt idx="39">
                  <c:v>5.2330519378674056E-2</c:v>
                </c:pt>
                <c:pt idx="40">
                  <c:v>5.2351275772429262E-2</c:v>
                </c:pt>
                <c:pt idx="41">
                  <c:v>5.2372031711566236E-2</c:v>
                </c:pt>
                <c:pt idx="42">
                  <c:v>5.2392787196094859E-2</c:v>
                </c:pt>
                <c:pt idx="43">
                  <c:v>5.2413542226025012E-2</c:v>
                </c:pt>
                <c:pt idx="44">
                  <c:v>5.2434296801366798E-2</c:v>
                </c:pt>
                <c:pt idx="45">
                  <c:v>5.2455050922130098E-2</c:v>
                </c:pt>
                <c:pt idx="46">
                  <c:v>5.2475804588324904E-2</c:v>
                </c:pt>
                <c:pt idx="47">
                  <c:v>5.2496557799961208E-2</c:v>
                </c:pt>
                <c:pt idx="48">
                  <c:v>5.2517310557048891E-2</c:v>
                </c:pt>
                <c:pt idx="49">
                  <c:v>5.2538062859597945E-2</c:v>
                </c:pt>
                <c:pt idx="50">
                  <c:v>5.2558814707618251E-2</c:v>
                </c:pt>
                <c:pt idx="51">
                  <c:v>5.2579566101119801E-2</c:v>
                </c:pt>
                <c:pt idx="52">
                  <c:v>5.2600317040112698E-2</c:v>
                </c:pt>
                <c:pt idx="53">
                  <c:v>5.2621067524606713E-2</c:v>
                </c:pt>
                <c:pt idx="54">
                  <c:v>5.2641817554611836E-2</c:v>
                </c:pt>
                <c:pt idx="55">
                  <c:v>5.266256713013806E-2</c:v>
                </c:pt>
                <c:pt idx="56">
                  <c:v>5.2683316251195378E-2</c:v>
                </c:pt>
                <c:pt idx="57">
                  <c:v>5.2704064917793669E-2</c:v>
                </c:pt>
                <c:pt idx="58">
                  <c:v>5.2724813129942816E-2</c:v>
                </c:pt>
                <c:pt idx="59">
                  <c:v>5.2745560887653031E-2</c:v>
                </c:pt>
                <c:pt idx="60">
                  <c:v>5.2766308190933975E-2</c:v>
                </c:pt>
                <c:pt idx="61">
                  <c:v>5.2787055039795749E-2</c:v>
                </c:pt>
                <c:pt idx="62">
                  <c:v>5.2807801434248347E-2</c:v>
                </c:pt>
                <c:pt idx="63">
                  <c:v>5.2828547374301649E-2</c:v>
                </c:pt>
                <c:pt idx="64">
                  <c:v>5.2849292859965646E-2</c:v>
                </c:pt>
                <c:pt idx="65">
                  <c:v>5.2870037891250221E-2</c:v>
                </c:pt>
                <c:pt idx="66">
                  <c:v>5.2890782468165365E-2</c:v>
                </c:pt>
                <c:pt idx="67">
                  <c:v>5.2911526590720959E-2</c:v>
                </c:pt>
                <c:pt idx="68">
                  <c:v>5.2932270258927216E-2</c:v>
                </c:pt>
                <c:pt idx="69">
                  <c:v>5.2953013472793797E-2</c:v>
                </c:pt>
                <c:pt idx="70">
                  <c:v>5.2973756232330693E-2</c:v>
                </c:pt>
                <c:pt idx="71">
                  <c:v>5.2994498537548007E-2</c:v>
                </c:pt>
                <c:pt idx="72">
                  <c:v>5.301524038845562E-2</c:v>
                </c:pt>
                <c:pt idx="73">
                  <c:v>5.3035981785063413E-2</c:v>
                </c:pt>
                <c:pt idx="74">
                  <c:v>5.3056722727381378E-2</c:v>
                </c:pt>
                <c:pt idx="75">
                  <c:v>5.3077463215419507E-2</c:v>
                </c:pt>
                <c:pt idx="76">
                  <c:v>5.3098203249187681E-2</c:v>
                </c:pt>
                <c:pt idx="77">
                  <c:v>5.3118942828696003E-2</c:v>
                </c:pt>
                <c:pt idx="78">
                  <c:v>5.3139681953954243E-2</c:v>
                </c:pt>
                <c:pt idx="79">
                  <c:v>5.3160420624972393E-2</c:v>
                </c:pt>
                <c:pt idx="80">
                  <c:v>5.3181158841760445E-2</c:v>
                </c:pt>
                <c:pt idx="81">
                  <c:v>5.320189660432828E-2</c:v>
                </c:pt>
                <c:pt idx="82">
                  <c:v>5.3222633912685891E-2</c:v>
                </c:pt>
                <c:pt idx="83">
                  <c:v>5.3243370766843268E-2</c:v>
                </c:pt>
                <c:pt idx="84">
                  <c:v>5.3264107166810293E-2</c:v>
                </c:pt>
                <c:pt idx="85">
                  <c:v>5.3284843112596958E-2</c:v>
                </c:pt>
                <c:pt idx="86">
                  <c:v>5.3305578604213255E-2</c:v>
                </c:pt>
                <c:pt idx="87">
                  <c:v>5.3326313641668954E-2</c:v>
                </c:pt>
                <c:pt idx="88">
                  <c:v>5.3347048224974158E-2</c:v>
                </c:pt>
                <c:pt idx="89">
                  <c:v>5.336778235413886E-2</c:v>
                </c:pt>
                <c:pt idx="90">
                  <c:v>5.3388516029172828E-2</c:v>
                </c:pt>
                <c:pt idx="91">
                  <c:v>5.3409249250086055E-2</c:v>
                </c:pt>
                <c:pt idx="92">
                  <c:v>5.3429982016888644E-2</c:v>
                </c:pt>
                <c:pt idx="93">
                  <c:v>5.3450714329590365E-2</c:v>
                </c:pt>
                <c:pt idx="94">
                  <c:v>5.347144618820121E-2</c:v>
                </c:pt>
                <c:pt idx="95">
                  <c:v>5.3492177592731283E-2</c:v>
                </c:pt>
                <c:pt idx="96">
                  <c:v>5.3512908543190241E-2</c:v>
                </c:pt>
                <c:pt idx="97">
                  <c:v>5.3533639039588299E-2</c:v>
                </c:pt>
                <c:pt idx="98">
                  <c:v>5.3554369081935116E-2</c:v>
                </c:pt>
                <c:pt idx="99">
                  <c:v>5.3575098670240906E-2</c:v>
                </c:pt>
                <c:pt idx="100">
                  <c:v>5.359582780451555E-2</c:v>
                </c:pt>
                <c:pt idx="101">
                  <c:v>5.3616556484768929E-2</c:v>
                </c:pt>
                <c:pt idx="102">
                  <c:v>5.3637284711010924E-2</c:v>
                </c:pt>
                <c:pt idx="103">
                  <c:v>5.3658012483251638E-2</c:v>
                </c:pt>
                <c:pt idx="104">
                  <c:v>5.3678739801500952E-2</c:v>
                </c:pt>
                <c:pt idx="105">
                  <c:v>5.3699466665768858E-2</c:v>
                </c:pt>
                <c:pt idx="106">
                  <c:v>5.3720193076065126E-2</c:v>
                </c:pt>
                <c:pt idx="107">
                  <c:v>5.3740919032399859E-2</c:v>
                </c:pt>
                <c:pt idx="108">
                  <c:v>5.3761644534782937E-2</c:v>
                </c:pt>
                <c:pt idx="109">
                  <c:v>5.3782369583224354E-2</c:v>
                </c:pt>
                <c:pt idx="110">
                  <c:v>5.3803094177734101E-2</c:v>
                </c:pt>
                <c:pt idx="111">
                  <c:v>5.3823818318321948E-2</c:v>
                </c:pt>
                <c:pt idx="112">
                  <c:v>5.3844542004997886E-2</c:v>
                </c:pt>
                <c:pt idx="113">
                  <c:v>5.386526523777202E-2</c:v>
                </c:pt>
                <c:pt idx="114">
                  <c:v>5.3885988016654007E-2</c:v>
                </c:pt>
                <c:pt idx="115">
                  <c:v>5.3906710341654063E-2</c:v>
                </c:pt>
                <c:pt idx="116">
                  <c:v>5.3927432212782067E-2</c:v>
                </c:pt>
                <c:pt idx="117">
                  <c:v>5.394815363004779E-2</c:v>
                </c:pt>
                <c:pt idx="118">
                  <c:v>5.3968874593461336E-2</c:v>
                </c:pt>
                <c:pt idx="119">
                  <c:v>5.3989595103032695E-2</c:v>
                </c:pt>
                <c:pt idx="120">
                  <c:v>5.4010315158771638E-2</c:v>
                </c:pt>
                <c:pt idx="121">
                  <c:v>5.4031034760688157E-2</c:v>
                </c:pt>
                <c:pt idx="122">
                  <c:v>5.4051753908792244E-2</c:v>
                </c:pt>
                <c:pt idx="123">
                  <c:v>5.407247260309378E-2</c:v>
                </c:pt>
                <c:pt idx="124">
                  <c:v>5.4093190843602756E-2</c:v>
                </c:pt>
                <c:pt idx="125">
                  <c:v>5.4113908630329166E-2</c:v>
                </c:pt>
                <c:pt idx="126">
                  <c:v>5.4134625963282779E-2</c:v>
                </c:pt>
                <c:pt idx="127">
                  <c:v>5.4155342842473697E-2</c:v>
                </c:pt>
                <c:pt idx="128">
                  <c:v>5.4176059267911802E-2</c:v>
                </c:pt>
                <c:pt idx="129">
                  <c:v>5.4196775239606976E-2</c:v>
                </c:pt>
                <c:pt idx="130">
                  <c:v>5.4217490757569209E-2</c:v>
                </c:pt>
                <c:pt idx="131">
                  <c:v>5.4238205821808494E-2</c:v>
                </c:pt>
                <c:pt idx="132">
                  <c:v>5.4258920432334601E-2</c:v>
                </c:pt>
                <c:pt idx="133">
                  <c:v>5.4279634589157633E-2</c:v>
                </c:pt>
                <c:pt idx="134">
                  <c:v>5.430034829228747E-2</c:v>
                </c:pt>
                <c:pt idx="135">
                  <c:v>5.4321061541733995E-2</c:v>
                </c:pt>
                <c:pt idx="136">
                  <c:v>5.4341774337507309E-2</c:v>
                </c:pt>
                <c:pt idx="137">
                  <c:v>5.4362486679617184E-2</c:v>
                </c:pt>
                <c:pt idx="138">
                  <c:v>5.438319856807361E-2</c:v>
                </c:pt>
                <c:pt idx="139">
                  <c:v>5.4403910002886469E-2</c:v>
                </c:pt>
                <c:pt idx="140">
                  <c:v>5.4424620984065863E-2</c:v>
                </c:pt>
                <c:pt idx="141">
                  <c:v>5.4445331511621453E-2</c:v>
                </c:pt>
                <c:pt idx="142">
                  <c:v>5.4466041585563452E-2</c:v>
                </c:pt>
                <c:pt idx="143">
                  <c:v>5.448675120590174E-2</c:v>
                </c:pt>
                <c:pt idx="144">
                  <c:v>5.4507460372646088E-2</c:v>
                </c:pt>
                <c:pt idx="145">
                  <c:v>5.4528169085806599E-2</c:v>
                </c:pt>
                <c:pt idx="146">
                  <c:v>5.4548877345393043E-2</c:v>
                </c:pt>
                <c:pt idx="147">
                  <c:v>5.4569585151415523E-2</c:v>
                </c:pt>
                <c:pt idx="148">
                  <c:v>5.4590292503883919E-2</c:v>
                </c:pt>
                <c:pt idx="149">
                  <c:v>5.4610999402808114E-2</c:v>
                </c:pt>
                <c:pt idx="150">
                  <c:v>5.4631705848198098E-2</c:v>
                </c:pt>
                <c:pt idx="151">
                  <c:v>5.4652411840063864E-2</c:v>
                </c:pt>
                <c:pt idx="152">
                  <c:v>5.4673117378415181E-2</c:v>
                </c:pt>
                <c:pt idx="153">
                  <c:v>5.4693822463262043E-2</c:v>
                </c:pt>
                <c:pt idx="154">
                  <c:v>5.471452709461444E-2</c:v>
                </c:pt>
                <c:pt idx="155">
                  <c:v>5.4735231272482254E-2</c:v>
                </c:pt>
                <c:pt idx="156">
                  <c:v>5.4755934996875477E-2</c:v>
                </c:pt>
                <c:pt idx="157">
                  <c:v>5.477663826780399E-2</c:v>
                </c:pt>
                <c:pt idx="158">
                  <c:v>5.4797341085277784E-2</c:v>
                </c:pt>
                <c:pt idx="159">
                  <c:v>5.481804344930663E-2</c:v>
                </c:pt>
                <c:pt idx="160">
                  <c:v>5.4838745359900742E-2</c:v>
                </c:pt>
                <c:pt idx="161">
                  <c:v>5.4859446817069779E-2</c:v>
                </c:pt>
                <c:pt idx="162">
                  <c:v>5.4880147820823733E-2</c:v>
                </c:pt>
                <c:pt idx="163">
                  <c:v>5.4900848371172595E-2</c:v>
                </c:pt>
                <c:pt idx="164">
                  <c:v>5.4921548468126358E-2</c:v>
                </c:pt>
                <c:pt idx="165">
                  <c:v>5.4942248111694791E-2</c:v>
                </c:pt>
                <c:pt idx="166">
                  <c:v>5.4962947301887888E-2</c:v>
                </c:pt>
                <c:pt idx="167">
                  <c:v>5.4983646038715639E-2</c:v>
                </c:pt>
                <c:pt idx="168">
                  <c:v>5.5004344322187926E-2</c:v>
                </c:pt>
                <c:pt idx="169">
                  <c:v>5.502504215231474E-2</c:v>
                </c:pt>
                <c:pt idx="170">
                  <c:v>5.5045739529105853E-2</c:v>
                </c:pt>
                <c:pt idx="171">
                  <c:v>5.5066436452571366E-2</c:v>
                </c:pt>
                <c:pt idx="172">
                  <c:v>5.508713292272116E-2</c:v>
                </c:pt>
                <c:pt idx="173">
                  <c:v>5.5107828939565007E-2</c:v>
                </c:pt>
                <c:pt idx="174">
                  <c:v>5.5128524503113119E-2</c:v>
                </c:pt>
                <c:pt idx="175">
                  <c:v>5.5149219613375156E-2</c:v>
                </c:pt>
                <c:pt idx="176">
                  <c:v>5.5169914270361331E-2</c:v>
                </c:pt>
                <c:pt idx="177">
                  <c:v>5.5190608474081193E-2</c:v>
                </c:pt>
                <c:pt idx="178">
                  <c:v>5.5211302224545067E-2</c:v>
                </c:pt>
                <c:pt idx="179">
                  <c:v>5.5231995521762611E-2</c:v>
                </c:pt>
                <c:pt idx="180">
                  <c:v>5.5252688365743818E-2</c:v>
                </c:pt>
                <c:pt idx="181">
                  <c:v>5.527338075649868E-2</c:v>
                </c:pt>
                <c:pt idx="182">
                  <c:v>5.5294072694037077E-2</c:v>
                </c:pt>
                <c:pt idx="183">
                  <c:v>5.5314764178368891E-2</c:v>
                </c:pt>
                <c:pt idx="184">
                  <c:v>5.5335455209504225E-2</c:v>
                </c:pt>
                <c:pt idx="185">
                  <c:v>5.5356145787452737E-2</c:v>
                </c:pt>
                <c:pt idx="186">
                  <c:v>5.5376835912224531E-2</c:v>
                </c:pt>
                <c:pt idx="187">
                  <c:v>5.5397525583829488E-2</c:v>
                </c:pt>
                <c:pt idx="188">
                  <c:v>5.5418214802277599E-2</c:v>
                </c:pt>
                <c:pt idx="189">
                  <c:v>5.5438903567578635E-2</c:v>
                </c:pt>
                <c:pt idx="190">
                  <c:v>5.5459591879742698E-2</c:v>
                </c:pt>
                <c:pt idx="191">
                  <c:v>5.5480279738779559E-2</c:v>
                </c:pt>
                <c:pt idx="192">
                  <c:v>5.5500967144699209E-2</c:v>
                </c:pt>
                <c:pt idx="193">
                  <c:v>5.5521654097511641E-2</c:v>
                </c:pt>
                <c:pt idx="194">
                  <c:v>5.5542340597226625E-2</c:v>
                </c:pt>
                <c:pt idx="195">
                  <c:v>5.5563026643854263E-2</c:v>
                </c:pt>
                <c:pt idx="196">
                  <c:v>5.5583712237404326E-2</c:v>
                </c:pt>
                <c:pt idx="197">
                  <c:v>5.5604397377886916E-2</c:v>
                </c:pt>
                <c:pt idx="198">
                  <c:v>5.5625082065311693E-2</c:v>
                </c:pt>
                <c:pt idx="199">
                  <c:v>5.564576629968887E-2</c:v>
                </c:pt>
                <c:pt idx="200">
                  <c:v>5.5666450081028107E-2</c:v>
                </c:pt>
                <c:pt idx="201">
                  <c:v>5.5687133409339507E-2</c:v>
                </c:pt>
                <c:pt idx="202">
                  <c:v>5.5707816284632949E-2</c:v>
                </c:pt>
                <c:pt idx="203">
                  <c:v>5.5728498706918317E-2</c:v>
                </c:pt>
                <c:pt idx="204">
                  <c:v>5.5749180676205601E-2</c:v>
                </c:pt>
                <c:pt idx="205">
                  <c:v>5.5769862192504571E-2</c:v>
                </c:pt>
                <c:pt idx="206">
                  <c:v>5.5790543255825331E-2</c:v>
                </c:pt>
                <c:pt idx="207">
                  <c:v>5.5811223866177762E-2</c:v>
                </c:pt>
                <c:pt idx="208">
                  <c:v>5.5831904023571632E-2</c:v>
                </c:pt>
                <c:pt idx="209">
                  <c:v>5.5852583728017047E-2</c:v>
                </c:pt>
                <c:pt idx="210">
                  <c:v>5.5873262979523886E-2</c:v>
                </c:pt>
                <c:pt idx="211">
                  <c:v>5.589394177810203E-2</c:v>
                </c:pt>
                <c:pt idx="212">
                  <c:v>5.5914620123761472E-2</c:v>
                </c:pt>
                <c:pt idx="213">
                  <c:v>5.5935298016511981E-2</c:v>
                </c:pt>
                <c:pt idx="214">
                  <c:v>5.595597545636366E-2</c:v>
                </c:pt>
                <c:pt idx="215">
                  <c:v>5.597665244332628E-2</c:v>
                </c:pt>
                <c:pt idx="216">
                  <c:v>5.5997328977409833E-2</c:v>
                </c:pt>
                <c:pt idx="217">
                  <c:v>5.6018005058624198E-2</c:v>
                </c:pt>
                <c:pt idx="218">
                  <c:v>5.603868068697937E-2</c:v>
                </c:pt>
                <c:pt idx="219">
                  <c:v>5.6059355862485116E-2</c:v>
                </c:pt>
                <c:pt idx="220">
                  <c:v>5.6080030585151541E-2</c:v>
                </c:pt>
                <c:pt idx="221">
                  <c:v>5.6100704854988526E-2</c:v>
                </c:pt>
                <c:pt idx="222">
                  <c:v>5.6121378672005839E-2</c:v>
                </c:pt>
                <c:pt idx="223">
                  <c:v>5.6142052036213586E-2</c:v>
                </c:pt>
                <c:pt idx="224">
                  <c:v>5.6162724947621534E-2</c:v>
                </c:pt>
                <c:pt idx="225">
                  <c:v>5.6183397406239677E-2</c:v>
                </c:pt>
                <c:pt idx="226">
                  <c:v>5.6204069412077895E-2</c:v>
                </c:pt>
                <c:pt idx="227">
                  <c:v>5.622474096514618E-2</c:v>
                </c:pt>
                <c:pt idx="228">
                  <c:v>5.6245412065454414E-2</c:v>
                </c:pt>
                <c:pt idx="229">
                  <c:v>5.6266082713012477E-2</c:v>
                </c:pt>
                <c:pt idx="230">
                  <c:v>5.6286752907830362E-2</c:v>
                </c:pt>
                <c:pt idx="231">
                  <c:v>5.6307422649917838E-2</c:v>
                </c:pt>
                <c:pt idx="232">
                  <c:v>5.6328091939285008E-2</c:v>
                </c:pt>
                <c:pt idx="233">
                  <c:v>5.6348760775941642E-2</c:v>
                </c:pt>
                <c:pt idx="234">
                  <c:v>5.6369429159897733E-2</c:v>
                </c:pt>
                <c:pt idx="235">
                  <c:v>5.639009709116316E-2</c:v>
                </c:pt>
                <c:pt idx="236">
                  <c:v>5.6410764569747807E-2</c:v>
                </c:pt>
                <c:pt idx="237">
                  <c:v>5.6431431595661663E-2</c:v>
                </c:pt>
                <c:pt idx="238">
                  <c:v>5.6452098168914611E-2</c:v>
                </c:pt>
                <c:pt idx="239">
                  <c:v>5.647276428951653E-2</c:v>
                </c:pt>
                <c:pt idx="240">
                  <c:v>5.6493429957477415E-2</c:v>
                </c:pt>
                <c:pt idx="241">
                  <c:v>5.6514095172807144E-2</c:v>
                </c:pt>
                <c:pt idx="242">
                  <c:v>5.6534759935515599E-2</c:v>
                </c:pt>
                <c:pt idx="243">
                  <c:v>5.6555424245612773E-2</c:v>
                </c:pt>
                <c:pt idx="244">
                  <c:v>5.6576088103108435E-2</c:v>
                </c:pt>
                <c:pt idx="245">
                  <c:v>5.6596751508012577E-2</c:v>
                </c:pt>
                <c:pt idx="246">
                  <c:v>5.6617414460335191E-2</c:v>
                </c:pt>
                <c:pt idx="247">
                  <c:v>5.6638076960086048E-2</c:v>
                </c:pt>
                <c:pt idx="248">
                  <c:v>5.6658739007275249E-2</c:v>
                </c:pt>
                <c:pt idx="249">
                  <c:v>5.6679400601912455E-2</c:v>
                </c:pt>
                <c:pt idx="250">
                  <c:v>5.6700061744007768E-2</c:v>
                </c:pt>
                <c:pt idx="251">
                  <c:v>5.6720722433571069E-2</c:v>
                </c:pt>
                <c:pt idx="252">
                  <c:v>5.6741382670612239E-2</c:v>
                </c:pt>
                <c:pt idx="253">
                  <c:v>5.676204245514116E-2</c:v>
                </c:pt>
                <c:pt idx="254">
                  <c:v>5.6782701787167822E-2</c:v>
                </c:pt>
                <c:pt idx="255">
                  <c:v>5.6803360666702107E-2</c:v>
                </c:pt>
                <c:pt idx="256">
                  <c:v>5.6824019093753786E-2</c:v>
                </c:pt>
                <c:pt idx="257">
                  <c:v>5.6844677068333072E-2</c:v>
                </c:pt>
                <c:pt idx="258">
                  <c:v>5.6865334590449512E-2</c:v>
                </c:pt>
                <c:pt idx="259">
                  <c:v>5.6885991660113322E-2</c:v>
                </c:pt>
                <c:pt idx="260">
                  <c:v>5.6906648277334271E-2</c:v>
                </c:pt>
                <c:pt idx="261">
                  <c:v>5.692730444212224E-2</c:v>
                </c:pt>
                <c:pt idx="262">
                  <c:v>5.6947960154487332E-2</c:v>
                </c:pt>
                <c:pt idx="263">
                  <c:v>5.6968615414439094E-2</c:v>
                </c:pt>
                <c:pt idx="264">
                  <c:v>5.6989270221987853E-2</c:v>
                </c:pt>
                <c:pt idx="265">
                  <c:v>5.7009924577143156E-2</c:v>
                </c:pt>
                <c:pt idx="266">
                  <c:v>5.7030578479915217E-2</c:v>
                </c:pt>
                <c:pt idx="267">
                  <c:v>5.7051231930313695E-2</c:v>
                </c:pt>
                <c:pt idx="268">
                  <c:v>5.7071884928348693E-2</c:v>
                </c:pt>
                <c:pt idx="269">
                  <c:v>5.7092537474029981E-2</c:v>
                </c:pt>
                <c:pt idx="270">
                  <c:v>5.7113189567367439E-2</c:v>
                </c:pt>
                <c:pt idx="271">
                  <c:v>5.7133841208371172E-2</c:v>
                </c:pt>
                <c:pt idx="272">
                  <c:v>5.7154492397050949E-2</c:v>
                </c:pt>
                <c:pt idx="273">
                  <c:v>5.717514313341665E-2</c:v>
                </c:pt>
                <c:pt idx="274">
                  <c:v>5.7195793417478158E-2</c:v>
                </c:pt>
                <c:pt idx="275">
                  <c:v>5.7216443249245574E-2</c:v>
                </c:pt>
                <c:pt idx="276">
                  <c:v>5.723709262872867E-2</c:v>
                </c:pt>
                <c:pt idx="277">
                  <c:v>5.7257741555937325E-2</c:v>
                </c:pt>
                <c:pt idx="278">
                  <c:v>5.7278390030881421E-2</c:v>
                </c:pt>
                <c:pt idx="279">
                  <c:v>5.729903805357095E-2</c:v>
                </c:pt>
                <c:pt idx="280">
                  <c:v>5.7319685624015904E-2</c:v>
                </c:pt>
                <c:pt idx="281">
                  <c:v>5.7340332742225941E-2</c:v>
                </c:pt>
                <c:pt idx="282">
                  <c:v>5.7360979408211166E-2</c:v>
                </c:pt>
                <c:pt idx="283">
                  <c:v>5.7381625621981347E-2</c:v>
                </c:pt>
                <c:pt idx="284">
                  <c:v>5.7402271383546588E-2</c:v>
                </c:pt>
                <c:pt idx="285">
                  <c:v>5.7422916692916548E-2</c:v>
                </c:pt>
                <c:pt idx="286">
                  <c:v>5.744356155010133E-2</c:v>
                </c:pt>
                <c:pt idx="287">
                  <c:v>5.7464205955110703E-2</c:v>
                </c:pt>
                <c:pt idx="288">
                  <c:v>5.7484849907954549E-2</c:v>
                </c:pt>
                <c:pt idx="289">
                  <c:v>5.7505493408642971E-2</c:v>
                </c:pt>
                <c:pt idx="290">
                  <c:v>5.7526136457185739E-2</c:v>
                </c:pt>
                <c:pt idx="291">
                  <c:v>5.7546779053592734E-2</c:v>
                </c:pt>
                <c:pt idx="292">
                  <c:v>5.7567421197873836E-2</c:v>
                </c:pt>
                <c:pt idx="293">
                  <c:v>5.7588062890039149E-2</c:v>
                </c:pt>
                <c:pt idx="294">
                  <c:v>5.7608704130098332E-2</c:v>
                </c:pt>
                <c:pt idx="295">
                  <c:v>5.7629344918061376E-2</c:v>
                </c:pt>
                <c:pt idx="296">
                  <c:v>5.7649985253938163E-2</c:v>
                </c:pt>
                <c:pt idx="297">
                  <c:v>5.7670625137738685E-2</c:v>
                </c:pt>
                <c:pt idx="298">
                  <c:v>5.7691264569472711E-2</c:v>
                </c:pt>
                <c:pt idx="299">
                  <c:v>5.7711903549150234E-2</c:v>
                </c:pt>
                <c:pt idx="300">
                  <c:v>5.7732542076781246E-2</c:v>
                </c:pt>
                <c:pt idx="301">
                  <c:v>5.7753180152375405E-2</c:v>
                </c:pt>
                <c:pt idx="302">
                  <c:v>5.7773817775942815E-2</c:v>
                </c:pt>
                <c:pt idx="303">
                  <c:v>5.7794454947493246E-2</c:v>
                </c:pt>
                <c:pt idx="304">
                  <c:v>5.7815091667036689E-2</c:v>
                </c:pt>
                <c:pt idx="305">
                  <c:v>5.7835727934583026E-2</c:v>
                </c:pt>
                <c:pt idx="306">
                  <c:v>5.7856363750142137E-2</c:v>
                </c:pt>
                <c:pt idx="307">
                  <c:v>5.7876999113723904E-2</c:v>
                </c:pt>
                <c:pt idx="308">
                  <c:v>5.7897634025338207E-2</c:v>
                </c:pt>
                <c:pt idx="309">
                  <c:v>5.7918268484995039E-2</c:v>
                </c:pt>
                <c:pt idx="310">
                  <c:v>5.7938902492704281E-2</c:v>
                </c:pt>
                <c:pt idx="311">
                  <c:v>5.7959536048475702E-2</c:v>
                </c:pt>
                <c:pt idx="312">
                  <c:v>5.7980169152319405E-2</c:v>
                </c:pt>
                <c:pt idx="313">
                  <c:v>5.8000801804245161E-2</c:v>
                </c:pt>
                <c:pt idx="314">
                  <c:v>5.8021434004262851E-2</c:v>
                </c:pt>
                <c:pt idx="315">
                  <c:v>5.8042065752382355E-2</c:v>
                </c:pt>
                <c:pt idx="316">
                  <c:v>5.8062697048613776E-2</c:v>
                </c:pt>
                <c:pt idx="317">
                  <c:v>5.8083327892966774E-2</c:v>
                </c:pt>
                <c:pt idx="318">
                  <c:v>5.8103958285451229E-2</c:v>
                </c:pt>
                <c:pt idx="319">
                  <c:v>5.8124588226077356E-2</c:v>
                </c:pt>
                <c:pt idx="320">
                  <c:v>5.8145217714854702E-2</c:v>
                </c:pt>
                <c:pt idx="321">
                  <c:v>5.816584675179326E-2</c:v>
                </c:pt>
                <c:pt idx="322">
                  <c:v>5.8186475336903021E-2</c:v>
                </c:pt>
                <c:pt idx="323">
                  <c:v>5.8207103470193866E-2</c:v>
                </c:pt>
                <c:pt idx="324">
                  <c:v>5.8227731151675677E-2</c:v>
                </c:pt>
                <c:pt idx="325">
                  <c:v>5.8248358381358223E-2</c:v>
                </c:pt>
                <c:pt idx="326">
                  <c:v>5.8268985159251607E-2</c:v>
                </c:pt>
                <c:pt idx="327">
                  <c:v>5.8289611485365489E-2</c:v>
                </c:pt>
                <c:pt idx="328">
                  <c:v>5.8310237359709971E-2</c:v>
                </c:pt>
                <c:pt idx="329">
                  <c:v>5.8330862782294823E-2</c:v>
                </c:pt>
                <c:pt idx="330">
                  <c:v>5.8351487753130038E-2</c:v>
                </c:pt>
                <c:pt idx="331">
                  <c:v>5.8372112272225496E-2</c:v>
                </c:pt>
                <c:pt idx="332">
                  <c:v>5.8392736339590967E-2</c:v>
                </c:pt>
                <c:pt idx="333">
                  <c:v>5.8413359955236444E-2</c:v>
                </c:pt>
                <c:pt idx="334">
                  <c:v>5.8433983119171917E-2</c:v>
                </c:pt>
                <c:pt idx="335">
                  <c:v>5.8454605831407047E-2</c:v>
                </c:pt>
                <c:pt idx="336">
                  <c:v>5.8475228091951936E-2</c:v>
                </c:pt>
                <c:pt idx="337">
                  <c:v>5.8495849900816355E-2</c:v>
                </c:pt>
                <c:pt idx="338">
                  <c:v>5.8516471258010183E-2</c:v>
                </c:pt>
                <c:pt idx="339">
                  <c:v>5.8537092163543414E-2</c:v>
                </c:pt>
                <c:pt idx="340">
                  <c:v>5.8557712617425928E-2</c:v>
                </c:pt>
                <c:pt idx="341">
                  <c:v>5.8578332619667495E-2</c:v>
                </c:pt>
                <c:pt idx="342">
                  <c:v>5.8598952170278107E-2</c:v>
                </c:pt>
                <c:pt idx="343">
                  <c:v>5.8619571269267756E-2</c:v>
                </c:pt>
                <c:pt idx="344">
                  <c:v>5.8640189916646102E-2</c:v>
                </c:pt>
                <c:pt idx="345">
                  <c:v>5.8660808112423246E-2</c:v>
                </c:pt>
                <c:pt idx="346">
                  <c:v>5.8681425856608849E-2</c:v>
                </c:pt>
                <c:pt idx="347">
                  <c:v>5.8702043149213123E-2</c:v>
                </c:pt>
                <c:pt idx="348">
                  <c:v>5.8722659990245618E-2</c:v>
                </c:pt>
                <c:pt idx="349">
                  <c:v>5.8743276379716436E-2</c:v>
                </c:pt>
                <c:pt idx="350">
                  <c:v>5.8763892317635458E-2</c:v>
                </c:pt>
                <c:pt idx="351">
                  <c:v>5.8784507804012454E-2</c:v>
                </c:pt>
                <c:pt idx="352">
                  <c:v>5.8805122838857415E-2</c:v>
                </c:pt>
                <c:pt idx="353">
                  <c:v>5.8825737422180224E-2</c:v>
                </c:pt>
                <c:pt idx="354">
                  <c:v>5.8846351553990761E-2</c:v>
                </c:pt>
                <c:pt idx="355">
                  <c:v>5.8866965234298907E-2</c:v>
                </c:pt>
                <c:pt idx="356">
                  <c:v>5.8887578463114543E-2</c:v>
                </c:pt>
                <c:pt idx="357">
                  <c:v>5.8908191240447549E-2</c:v>
                </c:pt>
                <c:pt idx="358">
                  <c:v>5.8928803566307808E-2</c:v>
                </c:pt>
                <c:pt idx="359">
                  <c:v>5.8949415440705311E-2</c:v>
                </c:pt>
                <c:pt idx="360">
                  <c:v>5.8970026863649827E-2</c:v>
                </c:pt>
                <c:pt idx="361">
                  <c:v>5.8990637835151238E-2</c:v>
                </c:pt>
                <c:pt idx="362">
                  <c:v>5.9011248355219537E-2</c:v>
                </c:pt>
                <c:pt idx="363">
                  <c:v>5.9031858423864492E-2</c:v>
                </c:pt>
                <c:pt idx="364">
                  <c:v>5.9052468041096096E-2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3.8606042148348764E-2</c:v>
                </c:pt>
                <c:pt idx="1">
                  <c:v>3.8715389169547795E-2</c:v>
                </c:pt>
                <c:pt idx="2">
                  <c:v>3.8824713457918401E-2</c:v>
                </c:pt>
                <c:pt idx="3">
                  <c:v>3.8934006753730474E-2</c:v>
                </c:pt>
                <c:pt idx="4">
                  <c:v>3.9043261870943605E-2</c:v>
                </c:pt>
                <c:pt idx="5">
                  <c:v>3.9152472675812781E-2</c:v>
                </c:pt>
                <c:pt idx="6">
                  <c:v>3.9261634056162863E-2</c:v>
                </c:pt>
                <c:pt idx="7">
                  <c:v>3.9370741881916971E-2</c:v>
                </c:pt>
                <c:pt idx="8">
                  <c:v>3.9479792957536688E-2</c:v>
                </c:pt>
                <c:pt idx="9">
                  <c:v>3.9588784967098306E-2</c:v>
                </c:pt>
                <c:pt idx="10">
                  <c:v>3.9697716412787735E-2</c:v>
                </c:pt>
                <c:pt idx="11">
                  <c:v>3.9806586547645469E-2</c:v>
                </c:pt>
                <c:pt idx="12">
                  <c:v>3.9915395303434645E-2</c:v>
                </c:pt>
                <c:pt idx="13">
                  <c:v>4.0024143214536234E-2</c:v>
                </c:pt>
                <c:pt idx="14">
                  <c:v>4.0132831338797872E-2</c:v>
                </c:pt>
                <c:pt idx="15">
                  <c:v>4.0241461176275431E-2</c:v>
                </c:pt>
                <c:pt idx="16">
                  <c:v>4.0350034586809844E-2</c:v>
                </c:pt>
                <c:pt idx="17">
                  <c:v>4.0458553707375042E-2</c:v>
                </c:pt>
                <c:pt idx="18">
                  <c:v>4.0567020870118216E-2</c:v>
                </c:pt>
                <c:pt idx="19">
                  <c:v>4.0675438521988107E-2</c:v>
                </c:pt>
                <c:pt idx="20">
                  <c:v>4.0783809146814773E-2</c:v>
                </c:pt>
                <c:pt idx="21">
                  <c:v>4.0892135190662593E-2</c:v>
                </c:pt>
                <c:pt idx="22">
                  <c:v>4.1000418991229352E-2</c:v>
                </c:pt>
                <c:pt idx="23">
                  <c:v>4.1108662712008574E-2</c:v>
                </c:pt>
                <c:pt idx="24">
                  <c:v>4.1216868281868983E-2</c:v>
                </c:pt>
                <c:pt idx="25">
                  <c:v>4.132503734063802E-2</c:v>
                </c:pt>
                <c:pt idx="26">
                  <c:v>4.1433171191202198E-2</c:v>
                </c:pt>
                <c:pt idx="27">
                  <c:v>4.1541270758560629E-2</c:v>
                </c:pt>
                <c:pt idx="28">
                  <c:v>4.1649336556187438E-2</c:v>
                </c:pt>
                <c:pt idx="29">
                  <c:v>4.1757368659975862E-2</c:v>
                </c:pt>
                <c:pt idx="30">
                  <c:v>4.1865366689952908E-2</c:v>
                </c:pt>
                <c:pt idx="31">
                  <c:v>4.1973329799868148E-2</c:v>
                </c:pt>
                <c:pt idx="32">
                  <c:v>4.2081256674676229E-2</c:v>
                </c:pt>
                <c:pt idx="33">
                  <c:v>4.218914553584871E-2</c:v>
                </c:pt>
                <c:pt idx="34">
                  <c:v>4.2296994154369924E-2</c:v>
                </c:pt>
                <c:pt idx="35">
                  <c:v>4.2404799871193014E-2</c:v>
                </c:pt>
                <c:pt idx="36">
                  <c:v>4.2512559624857171E-2</c:v>
                </c:pt>
                <c:pt idx="37">
                  <c:v>4.2620269985896901E-2</c:v>
                </c:pt>
                <c:pt idx="38">
                  <c:v>4.2727927197608789E-2</c:v>
                </c:pt>
                <c:pt idx="39">
                  <c:v>4.2835527222680879E-2</c:v>
                </c:pt>
                <c:pt idx="40">
                  <c:v>4.2943065795137229E-2</c:v>
                </c:pt>
                <c:pt idx="41">
                  <c:v>4.3050538477002159E-2</c:v>
                </c:pt>
                <c:pt idx="42">
                  <c:v>4.315794071904986E-2</c:v>
                </c:pt>
                <c:pt idx="43">
                  <c:v>4.3265267924972151E-2</c:v>
                </c:pt>
                <c:pt idx="44">
                  <c:v>4.3372515518272238E-2</c:v>
                </c:pt>
                <c:pt idx="45">
                  <c:v>4.3479679011175817E-2</c:v>
                </c:pt>
                <c:pt idx="46">
                  <c:v>4.3586754074840896E-2</c:v>
                </c:pt>
                <c:pt idx="47">
                  <c:v>4.369373661014684E-2</c:v>
                </c:pt>
                <c:pt idx="48">
                  <c:v>4.3800622818348893E-2</c:v>
                </c:pt>
                <c:pt idx="49">
                  <c:v>4.3907409270897979E-2</c:v>
                </c:pt>
                <c:pt idx="50">
                  <c:v>4.4014092977747159E-2</c:v>
                </c:pt>
                <c:pt idx="51">
                  <c:v>4.4120671453491973E-2</c:v>
                </c:pt>
                <c:pt idx="52">
                  <c:v>4.4227142780727972E-2</c:v>
                </c:pt>
                <c:pt idx="53">
                  <c:v>4.4333505670046736E-2</c:v>
                </c:pt>
                <c:pt idx="54">
                  <c:v>4.4439759516137468E-2</c:v>
                </c:pt>
                <c:pt idx="55">
                  <c:v>4.4545904449511557E-2</c:v>
                </c:pt>
                <c:pt idx="56">
                  <c:v>4.4651941383420199E-2</c:v>
                </c:pt>
                <c:pt idx="57">
                  <c:v>4.4757872055593451E-2</c:v>
                </c:pt>
                <c:pt idx="58">
                  <c:v>4.4863699064488366E-2</c:v>
                </c:pt>
                <c:pt idx="59">
                  <c:v>4.4969425899795405E-2</c:v>
                </c:pt>
                <c:pt idx="60">
                  <c:v>4.5075056967016039E-2</c:v>
                </c:pt>
                <c:pt idx="61">
                  <c:v>4.5180597605986618E-2</c:v>
                </c:pt>
                <c:pt idx="62">
                  <c:v>4.5286054103287343E-2</c:v>
                </c:pt>
                <c:pt idx="63">
                  <c:v>4.5391433698536335E-2</c:v>
                </c:pt>
                <c:pt idx="64">
                  <c:v>4.5496744584629448E-2</c:v>
                </c:pt>
                <c:pt idx="65">
                  <c:v>4.5601995902043377E-2</c:v>
                </c:pt>
                <c:pt idx="66">
                  <c:v>4.5707197727374131E-2</c:v>
                </c:pt>
                <c:pt idx="67">
                  <c:v>4.5812361056334239E-2</c:v>
                </c:pt>
                <c:pt idx="68">
                  <c:v>4.5917497781477211E-2</c:v>
                </c:pt>
                <c:pt idx="69">
                  <c:v>4.6022620664960989E-2</c:v>
                </c:pt>
                <c:pt idx="70">
                  <c:v>4.6127743306697493E-2</c:v>
                </c:pt>
                <c:pt idx="71">
                  <c:v>4.6232880108266934E-2</c:v>
                </c:pt>
                <c:pt idx="72">
                  <c:v>4.6338046233001036E-2</c:v>
                </c:pt>
                <c:pt idx="73">
                  <c:v>4.6443257562658248E-2</c:v>
                </c:pt>
                <c:pt idx="74">
                  <c:v>4.654853065112758E-2</c:v>
                </c:pt>
                <c:pt idx="75">
                  <c:v>4.6653882675605031E-2</c:v>
                </c:pt>
                <c:pt idx="76">
                  <c:v>4.6759331385687247E-2</c:v>
                </c:pt>
                <c:pt idx="77">
                  <c:v>4.6864895050822634E-2</c:v>
                </c:pt>
                <c:pt idx="78">
                  <c:v>4.6970592406549411E-2</c:v>
                </c:pt>
                <c:pt idx="79">
                  <c:v>4.707644259993371E-2</c:v>
                </c:pt>
                <c:pt idx="80">
                  <c:v>4.718246513460022E-2</c:v>
                </c:pt>
                <c:pt idx="81">
                  <c:v>4.7288679815720977E-2</c:v>
                </c:pt>
                <c:pt idx="82">
                  <c:v>4.7395106695298443E-2</c:v>
                </c:pt>
                <c:pt idx="83">
                  <c:v>4.7501766018044123E-2</c:v>
                </c:pt>
                <c:pt idx="84">
                  <c:v>4.7608678168117202E-2</c:v>
                </c:pt>
                <c:pt idx="85">
                  <c:v>4.7715863616947393E-2</c:v>
                </c:pt>
                <c:pt idx="86">
                  <c:v>4.7823342872323857E-2</c:v>
                </c:pt>
                <c:pt idx="87">
                  <c:v>4.7931136428889611E-2</c:v>
                </c:pt>
                <c:pt idx="88">
                  <c:v>4.8039264720135741E-2</c:v>
                </c:pt>
                <c:pt idx="89">
                  <c:v>4.8147748071946377E-2</c:v>
                </c:pt>
                <c:pt idx="90">
                  <c:v>4.8256606657701533E-2</c:v>
                </c:pt>
                <c:pt idx="91">
                  <c:v>4.8365860454903521E-2</c:v>
                </c:pt>
                <c:pt idx="92">
                  <c:v>4.8475529203251509E-2</c:v>
                </c:pt>
                <c:pt idx="93">
                  <c:v>4.8585632364052507E-2</c:v>
                </c:pt>
                <c:pt idx="94">
                  <c:v>4.8696189080821843E-2</c:v>
                </c:pt>
                <c:pt idx="95">
                  <c:v>4.8807218140896134E-2</c:v>
                </c:pt>
                <c:pt idx="96">
                  <c:v>4.8918737937855117E-2</c:v>
                </c:pt>
                <c:pt idx="97">
                  <c:v>4.9030766434527251E-2</c:v>
                </c:pt>
                <c:pt idx="98">
                  <c:v>4.9143321126337111E-2</c:v>
                </c:pt>
                <c:pt idx="99">
                  <c:v>4.9256419004741515E-2</c:v>
                </c:pt>
                <c:pt idx="100">
                  <c:v>4.9370076520495146E-2</c:v>
                </c:pt>
                <c:pt idx="101">
                  <c:v>4.9484309546486957E-2</c:v>
                </c:pt>
                <c:pt idx="102">
                  <c:v>4.9599133339893894E-2</c:v>
                </c:pt>
                <c:pt idx="103">
                  <c:v>4.9714562503410532E-2</c:v>
                </c:pt>
                <c:pt idx="104">
                  <c:v>4.9830610945330131E-2</c:v>
                </c:pt>
                <c:pt idx="105">
                  <c:v>4.9947291838275988E-2</c:v>
                </c:pt>
                <c:pt idx="106">
                  <c:v>5.0064617576409738E-2</c:v>
                </c:pt>
                <c:pt idx="107">
                  <c:v>5.0182599730977329E-2</c:v>
                </c:pt>
                <c:pt idx="108">
                  <c:v>5.0301249004090276E-2</c:v>
                </c:pt>
                <c:pt idx="109">
                  <c:v>5.0420575180683429E-2</c:v>
                </c:pt>
                <c:pt idx="110">
                  <c:v>5.0540587078634784E-2</c:v>
                </c:pt>
                <c:pt idx="111">
                  <c:v>5.0661292497083232E-2</c:v>
                </c:pt>
                <c:pt idx="112">
                  <c:v>5.0782698163030909E-2</c:v>
                </c:pt>
                <c:pt idx="113">
                  <c:v>5.0904809676370281E-2</c:v>
                </c:pt>
                <c:pt idx="114">
                  <c:v>5.1027631453530432E-2</c:v>
                </c:pt>
                <c:pt idx="115">
                  <c:v>5.1151166669992046E-2</c:v>
                </c:pt>
                <c:pt idx="116">
                  <c:v>5.1275417201974906E-2</c:v>
                </c:pt>
                <c:pt idx="117">
                  <c:v>5.1400383567654952E-2</c:v>
                </c:pt>
                <c:pt idx="118">
                  <c:v>5.1526064868319101E-2</c:v>
                </c:pt>
                <c:pt idx="119">
                  <c:v>5.1652458729915501E-2</c:v>
                </c:pt>
                <c:pt idx="120">
                  <c:v>5.1779561245500941E-2</c:v>
                </c:pt>
                <c:pt idx="121">
                  <c:v>5.190736691912954E-2</c:v>
                </c:pt>
                <c:pt idx="122">
                  <c:v>5.2035868611762258E-2</c:v>
                </c:pt>
                <c:pt idx="123">
                  <c:v>5.2165057489808014E-2</c:v>
                </c:pt>
                <c:pt idx="124">
                  <c:v>5.2294922976932244E-2</c:v>
                </c:pt>
                <c:pt idx="125">
                  <c:v>5.2425452709786234E-2</c:v>
                </c:pt>
                <c:pt idx="126">
                  <c:v>5.2556632498322944E-2</c:v>
                </c:pt>
                <c:pt idx="127">
                  <c:v>5.2688446291368048E-2</c:v>
                </c:pt>
                <c:pt idx="128">
                  <c:v>5.2820876148111165E-2</c:v>
                </c:pt>
                <c:pt idx="129">
                  <c:v>5.2953902216171203E-2</c:v>
                </c:pt>
                <c:pt idx="130">
                  <c:v>5.3087502716869031E-2</c:v>
                </c:pt>
                <c:pt idx="131">
                  <c:v>5.3221653938313289E-2</c:v>
                </c:pt>
                <c:pt idx="132">
                  <c:v>5.3356330236869622E-2</c:v>
                </c:pt>
                <c:pt idx="133">
                  <c:v>5.3491504047538781E-2</c:v>
                </c:pt>
                <c:pt idx="134">
                  <c:v>5.3627145903718865E-2</c:v>
                </c:pt>
                <c:pt idx="135">
                  <c:v>5.3763224466767331E-2</c:v>
                </c:pt>
                <c:pt idx="136">
                  <c:v>5.3899706565713371E-2</c:v>
                </c:pt>
                <c:pt idx="137">
                  <c:v>5.4036557247399059E-2</c:v>
                </c:pt>
                <c:pt idx="138">
                  <c:v>5.4173739837250046E-2</c:v>
                </c:pt>
                <c:pt idx="139">
                  <c:v>5.4311216010794118E-2</c:v>
                </c:pt>
                <c:pt idx="140">
                  <c:v>5.4448945875958048E-2</c:v>
                </c:pt>
                <c:pt idx="141">
                  <c:v>5.4586888066083611E-2</c:v>
                </c:pt>
                <c:pt idx="142">
                  <c:v>5.4724999843509405E-2</c:v>
                </c:pt>
                <c:pt idx="143">
                  <c:v>5.4863237213470403E-2</c:v>
                </c:pt>
                <c:pt idx="144">
                  <c:v>5.5001555047971731E-2</c:v>
                </c:pt>
                <c:pt idx="145">
                  <c:v>5.5139907219196482E-2</c:v>
                </c:pt>
                <c:pt idx="146">
                  <c:v>5.5278246741913749E-2</c:v>
                </c:pt>
                <c:pt idx="147">
                  <c:v>5.541652592426044E-2</c:v>
                </c:pt>
                <c:pt idx="148">
                  <c:v>5.5554696526180648E-2</c:v>
                </c:pt>
                <c:pt idx="149">
                  <c:v>5.5692709924722174E-2</c:v>
                </c:pt>
                <c:pt idx="150">
                  <c:v>5.5830517285308995E-2</c:v>
                </c:pt>
                <c:pt idx="151">
                  <c:v>5.596806973803499E-2</c:v>
                </c:pt>
                <c:pt idx="152">
                  <c:v>5.610531855795664E-2</c:v>
                </c:pt>
                <c:pt idx="153">
                  <c:v>5.6242215348303357E-2</c:v>
                </c:pt>
                <c:pt idx="154">
                  <c:v>5.6378712225472964E-2</c:v>
                </c:pt>
                <c:pt idx="155">
                  <c:v>5.6514762004637439E-2</c:v>
                </c:pt>
                <c:pt idx="156">
                  <c:v>5.6650318384752693E-2</c:v>
                </c:pt>
                <c:pt idx="157">
                  <c:v>5.678533613174306E-2</c:v>
                </c:pt>
                <c:pt idx="158">
                  <c:v>5.6919771258620494E-2</c:v>
                </c:pt>
                <c:pt idx="159">
                  <c:v>5.70535812012972E-2</c:v>
                </c:pt>
                <c:pt idx="160">
                  <c:v>5.7186724988861043E-2</c:v>
                </c:pt>
                <c:pt idx="161">
                  <c:v>5.7319163407105043E-2</c:v>
                </c:pt>
                <c:pt idx="162">
                  <c:v>5.7450859154133754E-2</c:v>
                </c:pt>
                <c:pt idx="163">
                  <c:v>5.758177698691417E-2</c:v>
                </c:pt>
                <c:pt idx="164">
                  <c:v>5.7711883857691999E-2</c:v>
                </c:pt>
                <c:pt idx="165">
                  <c:v>5.7841149039259361E-2</c:v>
                </c:pt>
                <c:pt idx="166">
                  <c:v>5.7969544238133483E-2</c:v>
                </c:pt>
                <c:pt idx="167">
                  <c:v>5.8097043694790414E-2</c:v>
                </c:pt>
                <c:pt idx="168">
                  <c:v>5.8223624270189164E-2</c:v>
                </c:pt>
                <c:pt idx="169">
                  <c:v>5.8349265517921522E-2</c:v>
                </c:pt>
                <c:pt idx="170">
                  <c:v>5.8473949741429859E-2</c:v>
                </c:pt>
                <c:pt idx="171">
                  <c:v>5.8597662035847251E-2</c:v>
                </c:pt>
                <c:pt idx="172">
                  <c:v>5.8720390314132204E-2</c:v>
                </c:pt>
                <c:pt idx="173">
                  <c:v>5.8842125317291161E-2</c:v>
                </c:pt>
                <c:pt idx="174">
                  <c:v>5.8962860608606414E-2</c:v>
                </c:pt>
                <c:pt idx="175">
                  <c:v>5.9082592551911763E-2</c:v>
                </c:pt>
                <c:pt idx="176">
                  <c:v>5.9201320274085194E-2</c:v>
                </c:pt>
                <c:pt idx="177">
                  <c:v>5.9319045612051965E-2</c:v>
                </c:pt>
                <c:pt idx="178">
                  <c:v>5.943577304471475E-2</c:v>
                </c:pt>
                <c:pt idx="179">
                  <c:v>5.9551509610347206E-2</c:v>
                </c:pt>
                <c:pt idx="180">
                  <c:v>5.9666264810102662E-2</c:v>
                </c:pt>
                <c:pt idx="181">
                  <c:v>5.9780050498398962E-2</c:v>
                </c:pt>
                <c:pt idx="182">
                  <c:v>5.9892880761044195E-2</c:v>
                </c:pt>
                <c:pt idx="183">
                  <c:v>6.0004771782062698E-2</c:v>
                </c:pt>
                <c:pt idx="184">
                  <c:v>6.0115741700268642E-2</c:v>
                </c:pt>
                <c:pt idx="185">
                  <c:v>6.0225810456710729E-2</c:v>
                </c:pt>
                <c:pt idx="186">
                  <c:v>6.03349996341793E-2</c:v>
                </c:pt>
                <c:pt idx="187">
                  <c:v>6.0443332290023681E-2</c:v>
                </c:pt>
                <c:pt idx="188">
                  <c:v>6.0550832783571588E-2</c:v>
                </c:pt>
                <c:pt idx="189">
                  <c:v>6.0657526599475792E-2</c:v>
                </c:pt>
                <c:pt idx="190">
                  <c:v>6.0763440168333523E-2</c:v>
                </c:pt>
                <c:pt idx="191">
                  <c:v>6.086860068593232E-2</c:v>
                </c:pt>
                <c:pt idx="192">
                  <c:v>6.0973035932471581E-2</c:v>
                </c:pt>
                <c:pt idx="193">
                  <c:v>6.1076774093091715E-2</c:v>
                </c:pt>
                <c:pt idx="194">
                  <c:v>6.117984358101386E-2</c:v>
                </c:pt>
                <c:pt idx="195">
                  <c:v>6.1282272864551506E-2</c:v>
                </c:pt>
                <c:pt idx="196">
                  <c:v>6.1384090299202256E-2</c:v>
                </c:pt>
                <c:pt idx="197">
                  <c:v>6.1485323965964345E-2</c:v>
                </c:pt>
                <c:pt idx="198">
                  <c:v>6.1586001516947153E-2</c:v>
                </c:pt>
                <c:pt idx="199">
                  <c:v>6.1686150029261887E-2</c:v>
                </c:pt>
                <c:pt idx="200">
                  <c:v>6.1785795868084616E-2</c:v>
                </c:pt>
                <c:pt idx="201">
                  <c:v>6.1884964559684043E-2</c:v>
                </c:pt>
                <c:pt idx="202">
                  <c:v>6.1983680675098476E-2</c:v>
                </c:pt>
                <c:pt idx="203">
                  <c:v>6.2081967725033133E-2</c:v>
                </c:pt>
                <c:pt idx="204">
                  <c:v>6.2179848066432182E-2</c:v>
                </c:pt>
                <c:pt idx="205">
                  <c:v>6.2277342821058103E-2</c:v>
                </c:pt>
                <c:pt idx="206">
                  <c:v>6.2374471806289258E-2</c:v>
                </c:pt>
                <c:pt idx="207">
                  <c:v>6.2471253478222549E-2</c:v>
                </c:pt>
                <c:pt idx="208">
                  <c:v>6.2567704887045272E-2</c:v>
                </c:pt>
                <c:pt idx="209">
                  <c:v>6.2663841644520171E-2</c:v>
                </c:pt>
                <c:pt idx="210">
                  <c:v>6.2759677903309108E-2</c:v>
                </c:pt>
                <c:pt idx="211">
                  <c:v>6.2855226347748594E-2</c:v>
                </c:pt>
                <c:pt idx="212">
                  <c:v>6.2950498195582044E-2</c:v>
                </c:pt>
                <c:pt idx="213">
                  <c:v>6.3045503210053644E-2</c:v>
                </c:pt>
                <c:pt idx="214">
                  <c:v>6.3140249721675215E-2</c:v>
                </c:pt>
                <c:pt idx="215">
                  <c:v>6.3234744658893907E-2</c:v>
                </c:pt>
                <c:pt idx="216">
                  <c:v>6.3328993586813931E-2</c:v>
                </c:pt>
                <c:pt idx="217">
                  <c:v>6.3423000753061773E-2</c:v>
                </c:pt>
                <c:pt idx="218">
                  <c:v>6.3516769139831619E-2</c:v>
                </c:pt>
                <c:pt idx="219">
                  <c:v>6.3610300521107138E-2</c:v>
                </c:pt>
                <c:pt idx="220">
                  <c:v>6.3703595524026338E-2</c:v>
                </c:pt>
                <c:pt idx="221">
                  <c:v>6.3796653693340713E-2</c:v>
                </c:pt>
                <c:pt idx="222">
                  <c:v>6.3889473557915355E-2</c:v>
                </c:pt>
                <c:pt idx="223">
                  <c:v>6.3982052698226238E-2</c:v>
                </c:pt>
                <c:pt idx="224">
                  <c:v>6.4074387813832026E-2</c:v>
                </c:pt>
                <c:pt idx="225">
                  <c:v>6.4166474789831271E-2</c:v>
                </c:pt>
                <c:pt idx="226">
                  <c:v>6.425830876136171E-2</c:v>
                </c:pt>
                <c:pt idx="227">
                  <c:v>6.4349884175254904E-2</c:v>
                </c:pt>
                <c:pt idx="228">
                  <c:v>6.4441194848026934E-2</c:v>
                </c:pt>
                <c:pt idx="229">
                  <c:v>6.4532234019463647E-2</c:v>
                </c:pt>
                <c:pt idx="230">
                  <c:v>6.462299440114469E-2</c:v>
                </c:pt>
                <c:pt idx="231">
                  <c:v>6.471346821934551E-2</c:v>
                </c:pt>
                <c:pt idx="232">
                  <c:v>6.4803647251857555E-2</c:v>
                </c:pt>
                <c:pt idx="233">
                  <c:v>6.4893522858374006E-2</c:v>
                </c:pt>
                <c:pt idx="234">
                  <c:v>6.498308600419983E-2</c:v>
                </c:pt>
                <c:pt idx="235">
                  <c:v>6.5072327277160003E-2</c:v>
                </c:pt>
                <c:pt idx="236">
                  <c:v>6.5161236897695998E-2</c:v>
                </c:pt>
                <c:pt idx="237">
                  <c:v>6.5249804722258373E-2</c:v>
                </c:pt>
                <c:pt idx="238">
                  <c:v>6.5338020240218619E-2</c:v>
                </c:pt>
                <c:pt idx="239">
                  <c:v>6.5425872564638429E-2</c:v>
                </c:pt>
                <c:pt idx="240">
                  <c:v>6.5513350417344449E-2</c:v>
                </c:pt>
                <c:pt idx="241">
                  <c:v>6.5600442108861332E-2</c:v>
                </c:pt>
                <c:pt idx="242">
                  <c:v>6.5687135513856354E-2</c:v>
                </c:pt>
                <c:pt idx="243">
                  <c:v>6.5773418042839274E-2</c:v>
                </c:pt>
                <c:pt idx="244">
                  <c:v>6.5859276610944428E-2</c:v>
                </c:pt>
                <c:pt idx="245">
                  <c:v>6.594469760469529E-2</c:v>
                </c:pt>
                <c:pt idx="246">
                  <c:v>6.6029666847714413E-2</c:v>
                </c:pt>
                <c:pt idx="247">
                  <c:v>6.6114169566392197E-2</c:v>
                </c:pt>
                <c:pt idx="248">
                  <c:v>6.619819035656635E-2</c:v>
                </c:pt>
                <c:pt idx="249">
                  <c:v>6.6281713152290589E-2</c:v>
                </c:pt>
                <c:pt idx="250">
                  <c:v>6.6364721197782306E-2</c:v>
                </c:pt>
                <c:pt idx="251">
                  <c:v>6.6447197023637869E-2</c:v>
                </c:pt>
                <c:pt idx="252">
                  <c:v>6.6529122428389445E-2</c:v>
                </c:pt>
                <c:pt idx="253">
                  <c:v>6.6610478466446771E-2</c:v>
                </c:pt>
                <c:pt idx="254">
                  <c:v>6.669124544342582E-2</c:v>
                </c:pt>
                <c:pt idx="255">
                  <c:v>6.6771402919807571E-2</c:v>
                </c:pt>
                <c:pt idx="256">
                  <c:v>6.6850929723803049E-2</c:v>
                </c:pt>
                <c:pt idx="257">
                  <c:v>6.6929803974215857E-2</c:v>
                </c:pt>
                <c:pt idx="258">
                  <c:v>6.7008003114001624E-2</c:v>
                </c:pt>
                <c:pt idx="259">
                  <c:v>6.7085503955117046E-2</c:v>
                </c:pt>
                <c:pt idx="260">
                  <c:v>6.7162282735138037E-2</c:v>
                </c:pt>
                <c:pt idx="261">
                  <c:v>6.7238315186000971E-2</c:v>
                </c:pt>
                <c:pt idx="262">
                  <c:v>6.7313576615091214E-2</c:v>
                </c:pt>
                <c:pt idx="263">
                  <c:v>6.7388041998764331E-2</c:v>
                </c:pt>
                <c:pt idx="264">
                  <c:v>6.7461686088243489E-2</c:v>
                </c:pt>
                <c:pt idx="265">
                  <c:v>6.7534483527690481E-2</c:v>
                </c:pt>
                <c:pt idx="266">
                  <c:v>6.7606408984099378E-2</c:v>
                </c:pt>
                <c:pt idx="267">
                  <c:v>6.7677437288514664E-2</c:v>
                </c:pt>
                <c:pt idx="268">
                  <c:v>6.7747543587927617E-2</c:v>
                </c:pt>
                <c:pt idx="269">
                  <c:v>6.7816703507061621E-2</c:v>
                </c:pt>
                <c:pt idx="270">
                  <c:v>6.788489331911661E-2</c:v>
                </c:pt>
                <c:pt idx="271">
                  <c:v>6.7952090124409961E-2</c:v>
                </c:pt>
                <c:pt idx="272">
                  <c:v>6.8018272035724706E-2</c:v>
                </c:pt>
                <c:pt idx="273">
                  <c:v>6.8083418369058776E-2</c:v>
                </c:pt>
                <c:pt idx="274">
                  <c:v>6.8147509838362735E-2</c:v>
                </c:pt>
                <c:pt idx="275">
                  <c:v>6.8210528752757835E-2</c:v>
                </c:pt>
                <c:pt idx="276">
                  <c:v>6.8272459214644796E-2</c:v>
                </c:pt>
                <c:pt idx="277">
                  <c:v>6.8333287317044841E-2</c:v>
                </c:pt>
                <c:pt idx="278">
                  <c:v>6.8393001338461865E-2</c:v>
                </c:pt>
                <c:pt idx="279">
                  <c:v>6.8451591933516562E-2</c:v>
                </c:pt>
                <c:pt idx="280">
                  <c:v>6.8509052317582239E-2</c:v>
                </c:pt>
                <c:pt idx="281">
                  <c:v>6.8565378443647934E-2</c:v>
                </c:pt>
                <c:pt idx="282">
                  <c:v>6.8620569169646706E-2</c:v>
                </c:pt>
                <c:pt idx="283">
                  <c:v>6.8674626414517742E-2</c:v>
                </c:pt>
                <c:pt idx="284">
                  <c:v>6.8727555301317814E-2</c:v>
                </c:pt>
                <c:pt idx="285">
                  <c:v>6.877936428576259E-2</c:v>
                </c:pt>
                <c:pt idx="286">
                  <c:v>6.8830065268659563E-2</c:v>
                </c:pt>
                <c:pt idx="287">
                  <c:v>6.8879673690792134E-2</c:v>
                </c:pt>
                <c:pt idx="288">
                  <c:v>6.8928208608927052E-2</c:v>
                </c:pt>
                <c:pt idx="289">
                  <c:v>6.8975692751746268E-2</c:v>
                </c:pt>
                <c:pt idx="290">
                  <c:v>6.9022152554644445E-2</c:v>
                </c:pt>
                <c:pt idx="291">
                  <c:v>6.906761817248866E-2</c:v>
                </c:pt>
                <c:pt idx="292">
                  <c:v>6.9112123469601064E-2</c:v>
                </c:pt>
                <c:pt idx="293">
                  <c:v>6.9155705986400876E-2</c:v>
                </c:pt>
                <c:pt idx="294">
                  <c:v>6.9198406882324828E-2</c:v>
                </c:pt>
                <c:pt idx="295">
                  <c:v>6.9240270854835362E-2</c:v>
                </c:pt>
                <c:pt idx="296">
                  <c:v>6.9281346034519964E-2</c:v>
                </c:pt>
                <c:pt idx="297">
                  <c:v>6.9321683856483976E-2</c:v>
                </c:pt>
                <c:pt idx="298">
                  <c:v>6.9361338908436404E-2</c:v>
                </c:pt>
                <c:pt idx="299">
                  <c:v>6.9400368756069114E-2</c:v>
                </c:pt>
                <c:pt idx="300">
                  <c:v>6.9438833746523723E-2</c:v>
                </c:pt>
                <c:pt idx="301">
                  <c:v>6.9476796790933631E-2</c:v>
                </c:pt>
                <c:pt idx="302">
                  <c:v>6.9514323127213909E-2</c:v>
                </c:pt>
                <c:pt idx="303">
                  <c:v>6.9551480064449445E-2</c:v>
                </c:pt>
                <c:pt idx="304">
                  <c:v>6.9588336710399989E-2</c:v>
                </c:pt>
                <c:pt idx="305">
                  <c:v>6.9624963683797864E-2</c:v>
                </c:pt>
                <c:pt idx="306">
                  <c:v>6.9661432813257457E-2</c:v>
                </c:pt>
                <c:pt idx="307">
                  <c:v>6.969781682474667E-2</c:v>
                </c:pt>
                <c:pt idx="308">
                  <c:v>6.9734189019683007E-2</c:v>
                </c:pt>
                <c:pt idx="309">
                  <c:v>6.9770622945816541E-2</c:v>
                </c:pt>
                <c:pt idx="310">
                  <c:v>6.9807192063139623E-2</c:v>
                </c:pt>
                <c:pt idx="311">
                  <c:v>6.9843969407126033E-2</c:v>
                </c:pt>
                <c:pt idx="312">
                  <c:v>6.9881027251643218E-2</c:v>
                </c:pt>
                <c:pt idx="313">
                  <c:v>6.9918436773903192E-2</c:v>
                </c:pt>
                <c:pt idx="314">
                  <c:v>6.9956267723820284E-2</c:v>
                </c:pt>
                <c:pt idx="315">
                  <c:v>6.9994588100124558E-2</c:v>
                </c:pt>
                <c:pt idx="316">
                  <c:v>7.003346383554189E-2</c:v>
                </c:pt>
                <c:pt idx="317">
                  <c:v>7.0072958493293105E-2</c:v>
                </c:pt>
                <c:pt idx="318">
                  <c:v>7.0113132977085518E-2</c:v>
                </c:pt>
                <c:pt idx="319">
                  <c:v>7.0154045256675068E-2</c:v>
                </c:pt>
                <c:pt idx="320">
                  <c:v>7.0195750110959909E-2</c:v>
                </c:pt>
                <c:pt idx="321">
                  <c:v>7.023829889043659E-2</c:v>
                </c:pt>
                <c:pt idx="322">
                  <c:v>7.028173930069935E-2</c:v>
                </c:pt>
                <c:pt idx="323">
                  <c:v>7.0326115208502377E-2</c:v>
                </c:pt>
                <c:pt idx="324">
                  <c:v>7.037146647172729E-2</c:v>
                </c:pt>
                <c:pt idx="325">
                  <c:v>7.0417828794410831E-2</c:v>
                </c:pt>
                <c:pt idx="326">
                  <c:v>7.0465233607790237E-2</c:v>
                </c:pt>
                <c:pt idx="327">
                  <c:v>7.0513707978117124E-2</c:v>
                </c:pt>
                <c:pt idx="328">
                  <c:v>7.0563274541778645E-2</c:v>
                </c:pt>
                <c:pt idx="329">
                  <c:v>7.0613951468047803E-2</c:v>
                </c:pt>
                <c:pt idx="330">
                  <c:v>7.0665752449564689E-2</c:v>
                </c:pt>
                <c:pt idx="331">
                  <c:v>7.0718686720431245E-2</c:v>
                </c:pt>
                <c:pt idx="332">
                  <c:v>7.0772759101582941E-2</c:v>
                </c:pt>
                <c:pt idx="333">
                  <c:v>7.082797007288541E-2</c:v>
                </c:pt>
                <c:pt idx="334">
                  <c:v>7.0884315871194883E-2</c:v>
                </c:pt>
                <c:pt idx="335">
                  <c:v>7.0941788613417586E-2</c:v>
                </c:pt>
                <c:pt idx="336">
                  <c:v>7.1000376443410743E-2</c:v>
                </c:pt>
                <c:pt idx="337">
                  <c:v>7.1060063701383319E-2</c:v>
                </c:pt>
                <c:pt idx="338">
                  <c:v>7.1120831114286312E-2</c:v>
                </c:pt>
                <c:pt idx="339">
                  <c:v>7.1182656005523426E-2</c:v>
                </c:pt>
                <c:pt idx="340">
                  <c:v>7.1245512522172927E-2</c:v>
                </c:pt>
                <c:pt idx="341">
                  <c:v>7.1309371877786812E-2</c:v>
                </c:pt>
                <c:pt idx="342">
                  <c:v>7.1374202608724777E-2</c:v>
                </c:pt>
                <c:pt idx="343">
                  <c:v>7.1439970841892408E-2</c:v>
                </c:pt>
                <c:pt idx="344">
                  <c:v>7.1506640571683669E-2</c:v>
                </c:pt>
                <c:pt idx="345">
                  <c:v>7.1574173943876288E-2</c:v>
                </c:pt>
                <c:pt idx="346">
                  <c:v>7.1642531544200069E-2</c:v>
                </c:pt>
                <c:pt idx="347">
                  <c:v>7.1711672689287465E-2</c:v>
                </c:pt>
                <c:pt idx="348">
                  <c:v>7.1781555717726389E-2</c:v>
                </c:pt>
                <c:pt idx="349">
                  <c:v>7.1852138278965597E-2</c:v>
                </c:pt>
                <c:pt idx="350">
                  <c:v>7.1923377617872528E-2</c:v>
                </c:pt>
                <c:pt idx="351">
                  <c:v>7.1995230852813175E-2</c:v>
                </c:pt>
                <c:pt idx="352">
                  <c:v>7.2067655245208959E-2</c:v>
                </c:pt>
                <c:pt idx="353">
                  <c:v>7.2140608458631184E-2</c:v>
                </c:pt>
                <c:pt idx="354">
                  <c:v>7.2214048805613676E-2</c:v>
                </c:pt>
                <c:pt idx="355">
                  <c:v>7.2287935480498958E-2</c:v>
                </c:pt>
                <c:pt idx="356">
                  <c:v>7.2362228776782403E-2</c:v>
                </c:pt>
                <c:pt idx="357">
                  <c:v>7.2436890287579547E-2</c:v>
                </c:pt>
                <c:pt idx="358">
                  <c:v>7.2511883088012971E-2</c:v>
                </c:pt>
                <c:pt idx="359">
                  <c:v>7.2587171898494632E-2</c:v>
                </c:pt>
                <c:pt idx="360">
                  <c:v>7.2662723228067022E-2</c:v>
                </c:pt>
                <c:pt idx="361">
                  <c:v>7.273850549715781E-2</c:v>
                </c:pt>
                <c:pt idx="362">
                  <c:v>7.2814489139298055E-2</c:v>
                </c:pt>
                <c:pt idx="363">
                  <c:v>7.2890646681551069E-2</c:v>
                </c:pt>
                <c:pt idx="364">
                  <c:v>7.2966952803594651E-2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9.3462370491496378E-3</c:v>
                </c:pt>
                <c:pt idx="1">
                  <c:v>9.364493231011595E-3</c:v>
                </c:pt>
                <c:pt idx="2">
                  <c:v>9.371112240564609E-3</c:v>
                </c:pt>
                <c:pt idx="3">
                  <c:v>9.3668091596549284E-3</c:v>
                </c:pt>
                <c:pt idx="4">
                  <c:v>9.3522880710301196E-3</c:v>
                </c:pt>
                <c:pt idx="5">
                  <c:v>9.3282365683412163E-3</c:v>
                </c:pt>
                <c:pt idx="6">
                  <c:v>9.2953211721549314E-3</c:v>
                </c:pt>
                <c:pt idx="7">
                  <c:v>9.2541835865013623E-3</c:v>
                </c:pt>
                <c:pt idx="8">
                  <c:v>9.2044107268408771E-3</c:v>
                </c:pt>
                <c:pt idx="9">
                  <c:v>9.1382474981327282E-3</c:v>
                </c:pt>
                <c:pt idx="10">
                  <c:v>9.0563282281303503E-3</c:v>
                </c:pt>
                <c:pt idx="11">
                  <c:v>8.9588961992141999E-3</c:v>
                </c:pt>
                <c:pt idx="12">
                  <c:v>8.8462052656641445E-3</c:v>
                </c:pt>
                <c:pt idx="13">
                  <c:v>8.7185210499700194E-3</c:v>
                </c:pt>
                <c:pt idx="14">
                  <c:v>8.5761219596305893E-3</c:v>
                </c:pt>
                <c:pt idx="15">
                  <c:v>8.4109213379851069E-3</c:v>
                </c:pt>
                <c:pt idx="16">
                  <c:v>8.2318566534098046E-3</c:v>
                </c:pt>
                <c:pt idx="17">
                  <c:v>8.039246540777336E-3</c:v>
                </c:pt>
                <c:pt idx="18">
                  <c:v>7.8334250338346276E-3</c:v>
                </c:pt>
                <c:pt idx="19">
                  <c:v>7.6147843020614829E-3</c:v>
                </c:pt>
                <c:pt idx="20">
                  <c:v>7.3837457780882342E-3</c:v>
                </c:pt>
                <c:pt idx="21">
                  <c:v>7.1407076517317611E-3</c:v>
                </c:pt>
                <c:pt idx="22">
                  <c:v>6.8857432281799131E-3</c:v>
                </c:pt>
                <c:pt idx="23">
                  <c:v>6.619330989801245E-3</c:v>
                </c:pt>
                <c:pt idx="24">
                  <c:v>6.3484170764785E-3</c:v>
                </c:pt>
                <c:pt idx="25">
                  <c:v>6.0735506611817956E-3</c:v>
                </c:pt>
                <c:pt idx="26">
                  <c:v>5.7952269939604961E-3</c:v>
                </c:pt>
                <c:pt idx="27">
                  <c:v>5.5138875330104781E-3</c:v>
                </c:pt>
                <c:pt idx="28">
                  <c:v>5.2299205739054482E-3</c:v>
                </c:pt>
                <c:pt idx="29">
                  <c:v>4.9538963223103149E-3</c:v>
                </c:pt>
                <c:pt idx="30">
                  <c:v>4.6931361417768729E-3</c:v>
                </c:pt>
                <c:pt idx="31">
                  <c:v>4.4473875560710049E-3</c:v>
                </c:pt>
                <c:pt idx="32">
                  <c:v>4.2163722310063333E-3</c:v>
                </c:pt>
                <c:pt idx="33">
                  <c:v>3.9997920728881689E-3</c:v>
                </c:pt>
                <c:pt idx="34">
                  <c:v>3.7973347913252803E-3</c:v>
                </c:pt>
                <c:pt idx="35">
                  <c:v>3.6086789429695563E-3</c:v>
                </c:pt>
                <c:pt idx="36">
                  <c:v>3.4331327763635149E-3</c:v>
                </c:pt>
                <c:pt idx="37">
                  <c:v>3.2757304516568162E-3</c:v>
                </c:pt>
                <c:pt idx="38">
                  <c:v>3.1359707853621786E-3</c:v>
                </c:pt>
                <c:pt idx="39">
                  <c:v>3.0134567326022973E-3</c:v>
                </c:pt>
                <c:pt idx="40">
                  <c:v>2.9077954716564729E-3</c:v>
                </c:pt>
                <c:pt idx="41">
                  <c:v>2.8186006772094011E-3</c:v>
                </c:pt>
                <c:pt idx="42">
                  <c:v>2.7454945590812889E-3</c:v>
                </c:pt>
                <c:pt idx="43">
                  <c:v>2.6887895170631978E-3</c:v>
                </c:pt>
                <c:pt idx="44">
                  <c:v>2.6391498351283353E-3</c:v>
                </c:pt>
                <c:pt idx="45">
                  <c:v>2.5964343930384346E-3</c:v>
                </c:pt>
                <c:pt idx="46">
                  <c:v>2.5605070485299132E-3</c:v>
                </c:pt>
                <c:pt idx="47">
                  <c:v>2.5312373050343268E-3</c:v>
                </c:pt>
                <c:pt idx="48">
                  <c:v>2.5085009243801751E-3</c:v>
                </c:pt>
                <c:pt idx="49">
                  <c:v>2.4921804937313159E-3</c:v>
                </c:pt>
                <c:pt idx="50">
                  <c:v>2.4821025601302143E-3</c:v>
                </c:pt>
                <c:pt idx="51">
                  <c:v>2.4772179392201473E-3</c:v>
                </c:pt>
                <c:pt idx="52">
                  <c:v>2.4723449616113669E-3</c:v>
                </c:pt>
                <c:pt idx="53">
                  <c:v>2.4674643707673582E-3</c:v>
                </c:pt>
                <c:pt idx="54">
                  <c:v>2.4625700523211529E-3</c:v>
                </c:pt>
                <c:pt idx="55">
                  <c:v>2.4576567522968536E-3</c:v>
                </c:pt>
                <c:pt idx="56">
                  <c:v>2.4527200940954877E-3</c:v>
                </c:pt>
                <c:pt idx="57">
                  <c:v>2.4457424418473164E-3</c:v>
                </c:pt>
                <c:pt idx="58">
                  <c:v>2.4361462718223304E-3</c:v>
                </c:pt>
                <c:pt idx="59">
                  <c:v>2.4239783527569315E-3</c:v>
                </c:pt>
                <c:pt idx="60">
                  <c:v>2.4092844404529474E-3</c:v>
                </c:pt>
                <c:pt idx="61">
                  <c:v>2.392109367827926E-3</c:v>
                </c:pt>
                <c:pt idx="62">
                  <c:v>2.3724971139744556E-3</c:v>
                </c:pt>
                <c:pt idx="63">
                  <c:v>2.3504908529506357E-3</c:v>
                </c:pt>
                <c:pt idx="64">
                  <c:v>2.3261120998736592E-3</c:v>
                </c:pt>
                <c:pt idx="65">
                  <c:v>2.2982776767871672E-3</c:v>
                </c:pt>
                <c:pt idx="66">
                  <c:v>2.2678504747964817E-3</c:v>
                </c:pt>
                <c:pt idx="67">
                  <c:v>2.234895494056074E-3</c:v>
                </c:pt>
                <c:pt idx="68">
                  <c:v>2.1994749692251358E-3</c:v>
                </c:pt>
                <c:pt idx="69">
                  <c:v>2.1616481668301187E-3</c:v>
                </c:pt>
                <c:pt idx="70">
                  <c:v>2.1214711853404498E-3</c:v>
                </c:pt>
                <c:pt idx="71">
                  <c:v>2.079425711040151E-3</c:v>
                </c:pt>
                <c:pt idx="72">
                  <c:v>2.0373941059135411E-3</c:v>
                </c:pt>
                <c:pt idx="73">
                  <c:v>1.9953858416323403E-3</c:v>
                </c:pt>
                <c:pt idx="74">
                  <c:v>1.9534086935123693E-3</c:v>
                </c:pt>
                <c:pt idx="75">
                  <c:v>1.9114687078010896E-3</c:v>
                </c:pt>
                <c:pt idx="76">
                  <c:v>1.8695701700727884E-3</c:v>
                </c:pt>
                <c:pt idx="77">
                  <c:v>1.8277155737068884E-3</c:v>
                </c:pt>
                <c:pt idx="78">
                  <c:v>1.7858219531539825E-3</c:v>
                </c:pt>
                <c:pt idx="79">
                  <c:v>1.7439133006937242E-3</c:v>
                </c:pt>
                <c:pt idx="80">
                  <c:v>1.7030553123530687E-3</c:v>
                </c:pt>
                <c:pt idx="81">
                  <c:v>1.6632541234800108E-3</c:v>
                </c:pt>
                <c:pt idx="82">
                  <c:v>1.6245132286082794E-3</c:v>
                </c:pt>
                <c:pt idx="83">
                  <c:v>1.5868336873757316E-3</c:v>
                </c:pt>
                <c:pt idx="84">
                  <c:v>1.5502143262705985E-3</c:v>
                </c:pt>
                <c:pt idx="85">
                  <c:v>1.5150725592193578E-3</c:v>
                </c:pt>
                <c:pt idx="86">
                  <c:v>1.4810007789364107E-3</c:v>
                </c:pt>
                <c:pt idx="87">
                  <c:v>1.4479929535800183E-3</c:v>
                </c:pt>
                <c:pt idx="88">
                  <c:v>1.416041659936974E-3</c:v>
                </c:pt>
                <c:pt idx="89">
                  <c:v>0</c:v>
                </c:pt>
                <c:pt idx="90">
                  <c:v>8.4672939368854748E-8</c:v>
                </c:pt>
                <c:pt idx="91">
                  <c:v>1.6701879748435409E-7</c:v>
                </c:pt>
                <c:pt idx="92">
                  <c:v>2.4742979810446907E-7</c:v>
                </c:pt>
                <c:pt idx="93">
                  <c:v>3.2791246855601411E-7</c:v>
                </c:pt>
                <c:pt idx="94">
                  <c:v>4.0994646731341917E-7</c:v>
                </c:pt>
                <c:pt idx="95">
                  <c:v>4.9521386526344105E-7</c:v>
                </c:pt>
                <c:pt idx="96">
                  <c:v>5.8551228941260738E-7</c:v>
                </c:pt>
                <c:pt idx="97">
                  <c:v>6.8276494610138397E-7</c:v>
                </c:pt>
                <c:pt idx="98">
                  <c:v>7.8903092685065151E-7</c:v>
                </c:pt>
                <c:pt idx="99">
                  <c:v>9.1583324100495871E-7</c:v>
                </c:pt>
                <c:pt idx="100">
                  <c:v>1.067470047894431E-6</c:v>
                </c:pt>
                <c:pt idx="101">
                  <c:v>1.2496324086908855E-6</c:v>
                </c:pt>
                <c:pt idx="102">
                  <c:v>1.4684306747975587E-6</c:v>
                </c:pt>
                <c:pt idx="103">
                  <c:v>1.7304219937093135E-6</c:v>
                </c:pt>
                <c:pt idx="104">
                  <c:v>2.0426380824087133E-6</c:v>
                </c:pt>
                <c:pt idx="105">
                  <c:v>2.4126131077094475E-6</c:v>
                </c:pt>
                <c:pt idx="106">
                  <c:v>2.8484663663451923E-6</c:v>
                </c:pt>
                <c:pt idx="107">
                  <c:v>3.3784058449170209E-6</c:v>
                </c:pt>
                <c:pt idx="108">
                  <c:v>4.0061654596031832E-6</c:v>
                </c:pt>
                <c:pt idx="109">
                  <c:v>4.7443656788360165E-6</c:v>
                </c:pt>
                <c:pt idx="110">
                  <c:v>5.6065523667496606E-6</c:v>
                </c:pt>
                <c:pt idx="111">
                  <c:v>6.6072481507047488E-6</c:v>
                </c:pt>
                <c:pt idx="112">
                  <c:v>7.7619919555793961E-6</c:v>
                </c:pt>
                <c:pt idx="113">
                  <c:v>9.1033547505629342E-6</c:v>
                </c:pt>
                <c:pt idx="114">
                  <c:v>1.0620459928861486E-5</c:v>
                </c:pt>
                <c:pt idx="115">
                  <c:v>1.2329612596370386E-5</c:v>
                </c:pt>
                <c:pt idx="116">
                  <c:v>1.4248176833007025E-5</c:v>
                </c:pt>
                <c:pt idx="117">
                  <c:v>1.6394626003533572E-5</c:v>
                </c:pt>
                <c:pt idx="118">
                  <c:v>1.8788593018594429E-5</c:v>
                </c:pt>
                <c:pt idx="119">
                  <c:v>2.1450920223024696E-5</c:v>
                </c:pt>
                <c:pt idx="120">
                  <c:v>2.4403886210911224E-5</c:v>
                </c:pt>
                <c:pt idx="121">
                  <c:v>2.7694604643223608E-5</c:v>
                </c:pt>
                <c:pt idx="122">
                  <c:v>3.130195919938207E-5</c:v>
                </c:pt>
                <c:pt idx="123">
                  <c:v>3.5248008411539347E-5</c:v>
                </c:pt>
                <c:pt idx="124">
                  <c:v>3.9555832487495107E-5</c:v>
                </c:pt>
                <c:pt idx="125">
                  <c:v>4.4249530109949172E-5</c:v>
                </c:pt>
                <c:pt idx="126">
                  <c:v>4.9354208233487753E-5</c:v>
                </c:pt>
                <c:pt idx="127">
                  <c:v>5.4900409879354984E-5</c:v>
                </c:pt>
                <c:pt idx="128">
                  <c:v>6.0879424045298798E-5</c:v>
                </c:pt>
                <c:pt idx="129">
                  <c:v>6.7314536567120514E-5</c:v>
                </c:pt>
                <c:pt idx="130">
                  <c:v>7.4229592166097499E-5</c:v>
                </c:pt>
                <c:pt idx="131">
                  <c:v>8.1648931457896113E-5</c:v>
                </c:pt>
                <c:pt idx="132">
                  <c:v>8.9597318649114801E-5</c:v>
                </c:pt>
                <c:pt idx="133">
                  <c:v>9.8099859594712275E-5</c:v>
                </c:pt>
                <c:pt idx="134">
                  <c:v>1.0718377862620764E-4</c:v>
                </c:pt>
                <c:pt idx="135">
                  <c:v>1.1687528013023897E-4</c:v>
                </c:pt>
                <c:pt idx="136">
                  <c:v>1.2715244877957275E-4</c:v>
                </c:pt>
                <c:pt idx="137">
                  <c:v>1.3803591854934057E-4</c:v>
                </c:pt>
                <c:pt idx="138">
                  <c:v>1.4954605505624005E-4</c:v>
                </c:pt>
                <c:pt idx="139">
                  <c:v>1.6170285117060753E-4</c:v>
                </c:pt>
                <c:pt idx="140">
                  <c:v>1.7452581789260041E-4</c:v>
                </c:pt>
                <c:pt idx="141">
                  <c:v>1.8803595488613736E-4</c:v>
                </c:pt>
                <c:pt idx="142">
                  <c:v>2.022419401502523E-4</c:v>
                </c:pt>
                <c:pt idx="143">
                  <c:v>2.1715914941062488E-4</c:v>
                </c:pt>
                <c:pt idx="144">
                  <c:v>2.3280306738225344E-4</c:v>
                </c:pt>
                <c:pt idx="145">
                  <c:v>2.4918812632080209E-4</c:v>
                </c:pt>
                <c:pt idx="146">
                  <c:v>2.6632759661574044E-4</c:v>
                </c:pt>
                <c:pt idx="147">
                  <c:v>2.8423347970349129E-4</c:v>
                </c:pt>
                <c:pt idx="148">
                  <c:v>3.0291658655442078E-4</c:v>
                </c:pt>
                <c:pt idx="149">
                  <c:v>3.2225123136027492E-4</c:v>
                </c:pt>
                <c:pt idx="150">
                  <c:v>3.422357536720193E-4</c:v>
                </c:pt>
                <c:pt idx="151">
                  <c:v>3.6286324719127662E-4</c:v>
                </c:pt>
                <c:pt idx="152">
                  <c:v>3.841249917909797E-4</c:v>
                </c:pt>
                <c:pt idx="153">
                  <c:v>4.0601045029098348E-4</c:v>
                </c:pt>
                <c:pt idx="154">
                  <c:v>4.2850727823156464E-4</c:v>
                </c:pt>
                <c:pt idx="155">
                  <c:v>4.5131404874844107E-4</c:v>
                </c:pt>
                <c:pt idx="156">
                  <c:v>4.7438393055707469E-4</c:v>
                </c:pt>
                <c:pt idx="157">
                  <c:v>4.9767102679716126E-4</c:v>
                </c:pt>
                <c:pt idx="158">
                  <c:v>5.2112728104847965E-4</c:v>
                </c:pt>
                <c:pt idx="159">
                  <c:v>5.4470263474285148E-4</c:v>
                </c:pt>
                <c:pt idx="160">
                  <c:v>5.6834519937933861E-4</c:v>
                </c:pt>
                <c:pt idx="161">
                  <c:v>5.9200144185528726E-4</c:v>
                </c:pt>
                <c:pt idx="162">
                  <c:v>6.156232941372607E-4</c:v>
                </c:pt>
                <c:pt idx="163">
                  <c:v>6.3885911336188962E-4</c:v>
                </c:pt>
                <c:pt idx="164">
                  <c:v>6.6183801018131661E-4</c:v>
                </c:pt>
                <c:pt idx="165">
                  <c:v>6.8448883896271042E-4</c:v>
                </c:pt>
                <c:pt idx="166">
                  <c:v>7.0673898624771657E-4</c:v>
                </c:pt>
                <c:pt idx="167">
                  <c:v>7.2851463968222438E-4</c:v>
                </c:pt>
                <c:pt idx="168">
                  <c:v>7.4974106700843445E-4</c:v>
                </c:pt>
                <c:pt idx="169">
                  <c:v>7.6999495870500154E-4</c:v>
                </c:pt>
                <c:pt idx="170">
                  <c:v>7.896075165157076E-4</c:v>
                </c:pt>
                <c:pt idx="171">
                  <c:v>8.0850815351548742E-4</c:v>
                </c:pt>
                <c:pt idx="172">
                  <c:v>8.2662652192064018E-4</c:v>
                </c:pt>
                <c:pt idx="173">
                  <c:v>8.4388415644175076E-4</c:v>
                </c:pt>
                <c:pt idx="174">
                  <c:v>8.6020223919456478E-4</c:v>
                </c:pt>
                <c:pt idx="175">
                  <c:v>8.7551111452358337E-4</c:v>
                </c:pt>
                <c:pt idx="176">
                  <c:v>8.8975903041493755E-4</c:v>
                </c:pt>
                <c:pt idx="177">
                  <c:v>9.0240379506361648E-4</c:v>
                </c:pt>
                <c:pt idx="178">
                  <c:v>9.1378025020435896E-4</c:v>
                </c:pt>
                <c:pt idx="179">
                  <c:v>9.2382996596094115E-4</c:v>
                </c:pt>
                <c:pt idx="180">
                  <c:v>9.3249698567685318E-4</c:v>
                </c:pt>
                <c:pt idx="181">
                  <c:v>9.3972792288674262E-4</c:v>
                </c:pt>
                <c:pt idx="182">
                  <c:v>9.4547203443867776E-4</c:v>
                </c:pt>
                <c:pt idx="183">
                  <c:v>9.4936289524440512E-4</c:v>
                </c:pt>
                <c:pt idx="184">
                  <c:v>9.518023508565481E-4</c:v>
                </c:pt>
                <c:pt idx="185">
                  <c:v>9.5275417389824963E-4</c:v>
                </c:pt>
                <c:pt idx="186">
                  <c:v>9.5218464079652155E-4</c:v>
                </c:pt>
                <c:pt idx="187">
                  <c:v>9.5006248749297329E-4</c:v>
                </c:pt>
                <c:pt idx="188">
                  <c:v>9.46358848271564E-4</c:v>
                </c:pt>
                <c:pt idx="189">
                  <c:v>9.4104717914661408E-4</c:v>
                </c:pt>
                <c:pt idx="190">
                  <c:v>9.3411085061558647E-4</c:v>
                </c:pt>
                <c:pt idx="191">
                  <c:v>9.255401624516682E-4</c:v>
                </c:pt>
                <c:pt idx="192">
                  <c:v>9.1593264766245779E-4</c:v>
                </c:pt>
                <c:pt idx="193">
                  <c:v>9.0528786186525316E-4</c:v>
                </c:pt>
                <c:pt idx="194">
                  <c:v>8.936063598467272E-4</c:v>
                </c:pt>
                <c:pt idx="195">
                  <c:v>8.8088961992421042E-4</c:v>
                </c:pt>
                <c:pt idx="196">
                  <c:v>8.6713997033221514E-4</c:v>
                </c:pt>
                <c:pt idx="197">
                  <c:v>8.5235017958899015E-4</c:v>
                </c:pt>
                <c:pt idx="198">
                  <c:v>8.3690654523675115E-4</c:v>
                </c:pt>
                <c:pt idx="199">
                  <c:v>8.2082419624881641E-4</c:v>
                </c:pt>
                <c:pt idx="200">
                  <c:v>8.041183836372997E-4</c:v>
                </c:pt>
                <c:pt idx="201">
                  <c:v>7.8680443035486784E-4</c:v>
                </c:pt>
                <c:pt idx="202">
                  <c:v>7.6889768772976956E-4</c:v>
                </c:pt>
                <c:pt idx="203">
                  <c:v>7.5041349848595305E-4</c:v>
                </c:pt>
                <c:pt idx="204">
                  <c:v>7.3137002410118303E-4</c:v>
                </c:pt>
                <c:pt idx="205">
                  <c:v>7.1182120452825248E-4</c:v>
                </c:pt>
                <c:pt idx="206">
                  <c:v>6.9177726988852014E-4</c:v>
                </c:pt>
                <c:pt idx="207">
                  <c:v>6.7125622538489061E-4</c:v>
                </c:pt>
                <c:pt idx="208">
                  <c:v>6.5027550268531033E-4</c:v>
                </c:pt>
                <c:pt idx="209">
                  <c:v>6.2885193356154744E-4</c:v>
                </c:pt>
                <c:pt idx="210">
                  <c:v>6.0700172960015484E-4</c:v>
                </c:pt>
                <c:pt idx="211">
                  <c:v>5.8499520910483571E-4</c:v>
                </c:pt>
                <c:pt idx="212">
                  <c:v>5.6286384565149342E-4</c:v>
                </c:pt>
                <c:pt idx="213">
                  <c:v>5.406268343973405E-4</c:v>
                </c:pt>
                <c:pt idx="214">
                  <c:v>5.1830252547635741E-4</c:v>
                </c:pt>
                <c:pt idx="215">
                  <c:v>4.9590844144337847E-4</c:v>
                </c:pt>
                <c:pt idx="216">
                  <c:v>4.7346129743241951E-4</c:v>
                </c:pt>
                <c:pt idx="217">
                  <c:v>4.5097702346624298E-4</c:v>
                </c:pt>
                <c:pt idx="218">
                  <c:v>4.2847017862997325E-4</c:v>
                </c:pt>
                <c:pt idx="219">
                  <c:v>4.0624184439823E-4</c:v>
                </c:pt>
                <c:pt idx="220">
                  <c:v>3.8427210390555209E-4</c:v>
                </c:pt>
                <c:pt idx="221">
                  <c:v>3.625770515826418E-4</c:v>
                </c:pt>
                <c:pt idx="222">
                  <c:v>3.4117230393689214E-4</c:v>
                </c:pt>
                <c:pt idx="223">
                  <c:v>3.2007302781103276E-4</c:v>
                </c:pt>
                <c:pt idx="224">
                  <c:v>2.9929396684328817E-4</c:v>
                </c:pt>
                <c:pt idx="225">
                  <c:v>2.7939855207704097E-4</c:v>
                </c:pt>
                <c:pt idx="226">
                  <c:v>2.6013202159442703E-4</c:v>
                </c:pt>
                <c:pt idx="227">
                  <c:v>2.4151149057789482E-4</c:v>
                </c:pt>
                <c:pt idx="228">
                  <c:v>2.235535837040468E-4</c:v>
                </c:pt>
                <c:pt idx="229">
                  <c:v>2.0627444962613501E-4</c:v>
                </c:pt>
                <c:pt idx="230">
                  <c:v>1.8968977279992919E-4</c:v>
                </c:pt>
                <c:pt idx="231">
                  <c:v>1.7381478273571142E-4</c:v>
                </c:pt>
                <c:pt idx="232">
                  <c:v>1.5866164137168839E-4</c:v>
                </c:pt>
                <c:pt idx="233">
                  <c:v>1.4481774220205458E-4</c:v>
                </c:pt>
                <c:pt idx="234">
                  <c:v>1.3199778804258812E-4</c:v>
                </c:pt>
                <c:pt idx="235">
                  <c:v>1.2021974606134612E-4</c:v>
                </c:pt>
                <c:pt idx="236">
                  <c:v>1.0950041270667624E-4</c:v>
                </c:pt>
                <c:pt idx="237">
                  <c:v>9.9855415131017966E-5</c:v>
                </c:pt>
                <c:pt idx="238">
                  <c:v>9.12994178636594E-5</c:v>
                </c:pt>
                <c:pt idx="239">
                  <c:v>8.4126267445115154E-5</c:v>
                </c:pt>
                <c:pt idx="240">
                  <c:v>7.7770796476663725E-5</c:v>
                </c:pt>
                <c:pt idx="241">
                  <c:v>7.2242705349873212E-5</c:v>
                </c:pt>
                <c:pt idx="242">
                  <c:v>6.7551260748052074E-5</c:v>
                </c:pt>
                <c:pt idx="243">
                  <c:v>6.3705386793776262E-5</c:v>
                </c:pt>
                <c:pt idx="244">
                  <c:v>6.0713757519188144E-5</c:v>
                </c:pt>
                <c:pt idx="245">
                  <c:v>5.8584890633193308E-5</c:v>
                </c:pt>
                <c:pt idx="246">
                  <c:v>5.7325026882095187E-5</c:v>
                </c:pt>
                <c:pt idx="247">
                  <c:v>5.702392467599355E-5</c:v>
                </c:pt>
                <c:pt idx="248">
                  <c:v>5.7089210290787864E-5</c:v>
                </c:pt>
                <c:pt idx="249">
                  <c:v>5.7524437556400299E-5</c:v>
                </c:pt>
                <c:pt idx="250">
                  <c:v>5.8333083086596955E-5</c:v>
                </c:pt>
                <c:pt idx="251">
                  <c:v>5.951856959725802E-5</c:v>
                </c:pt>
                <c:pt idx="252">
                  <c:v>6.1084289258859839E-5</c:v>
                </c:pt>
                <c:pt idx="253">
                  <c:v>6.3070101752621348E-5</c:v>
                </c:pt>
                <c:pt idx="254">
                  <c:v>6.5187272180585942E-5</c:v>
                </c:pt>
                <c:pt idx="255">
                  <c:v>6.7437175813005659E-5</c:v>
                </c:pt>
                <c:pt idx="256">
                  <c:v>6.9821239924560221E-5</c:v>
                </c:pt>
                <c:pt idx="257">
                  <c:v>7.2340952152851262E-5</c:v>
                </c:pt>
                <c:pt idx="258">
                  <c:v>7.4997869182676151E-5</c:v>
                </c:pt>
                <c:pt idx="259">
                  <c:v>7.7793625876861221E-5</c:v>
                </c:pt>
                <c:pt idx="260">
                  <c:v>8.0728851743518018E-5</c:v>
                </c:pt>
                <c:pt idx="261">
                  <c:v>8.4118723945532994E-5</c:v>
                </c:pt>
                <c:pt idx="262">
                  <c:v>8.787960703709964E-5</c:v>
                </c:pt>
                <c:pt idx="263">
                  <c:v>9.2014196433610538E-5</c:v>
                </c:pt>
                <c:pt idx="264">
                  <c:v>9.6525143856245778E-5</c:v>
                </c:pt>
                <c:pt idx="265">
                  <c:v>1.0141558611780928E-4</c:v>
                </c:pt>
                <c:pt idx="266">
                  <c:v>1.0668842312814508E-4</c:v>
                </c:pt>
                <c:pt idx="267">
                  <c:v>1.1236131066167285E-4</c:v>
                </c:pt>
                <c:pt idx="268">
                  <c:v>1.183987154585472E-4</c:v>
                </c:pt>
                <c:pt idx="269">
                  <c:v>1.248026690406216E-4</c:v>
                </c:pt>
                <c:pt idx="270">
                  <c:v>1.3157507077293028E-4</c:v>
                </c:pt>
                <c:pt idx="271">
                  <c:v>1.3871767482239304E-4</c:v>
                </c:pt>
                <c:pt idx="272">
                  <c:v>1.4623207803400728E-4</c:v>
                </c:pt>
                <c:pt idx="273">
                  <c:v>1.5411970897979667E-4</c:v>
                </c:pt>
                <c:pt idx="274">
                  <c:v>1.6238426346238148E-4</c:v>
                </c:pt>
                <c:pt idx="275">
                  <c:v>1.7050234265469208E-4</c:v>
                </c:pt>
                <c:pt idx="276">
                  <c:v>1.7814329561969037E-4</c:v>
                </c:pt>
                <c:pt idx="277">
                  <c:v>1.8530167423276794E-4</c:v>
                </c:pt>
                <c:pt idx="278">
                  <c:v>1.9197192196558215E-4</c:v>
                </c:pt>
                <c:pt idx="279">
                  <c:v>1.9814841613616073E-4</c:v>
                </c:pt>
                <c:pt idx="280">
                  <c:v>2.0382551057746787E-4</c:v>
                </c:pt>
                <c:pt idx="281">
                  <c:v>2.0878334539371952E-4</c:v>
                </c:pt>
                <c:pt idx="282">
                  <c:v>2.1299913612723179E-4</c:v>
                </c:pt>
                <c:pt idx="283">
                  <c:v>2.1646597632921671E-4</c:v>
                </c:pt>
                <c:pt idx="284">
                  <c:v>2.1917720283725646E-4</c:v>
                </c:pt>
                <c:pt idx="285">
                  <c:v>2.2112644840481137E-4</c:v>
                </c:pt>
                <c:pt idx="286">
                  <c:v>2.2230769185803596E-4</c:v>
                </c:pt>
                <c:pt idx="287">
                  <c:v>2.2271530532390883E-4</c:v>
                </c:pt>
                <c:pt idx="288">
                  <c:v>2.2234595364653258E-4</c:v>
                </c:pt>
                <c:pt idx="289">
                  <c:v>2.2126427616200951E-4</c:v>
                </c:pt>
                <c:pt idx="290">
                  <c:v>2.200121043744724E-4</c:v>
                </c:pt>
                <c:pt idx="291">
                  <c:v>2.1859021036205425E-4</c:v>
                </c:pt>
                <c:pt idx="292">
                  <c:v>2.1699952756958009E-4</c:v>
                </c:pt>
                <c:pt idx="293">
                  <c:v>2.1524113988775944E-4</c:v>
                </c:pt>
                <c:pt idx="294">
                  <c:v>2.1331626857559838E-4</c:v>
                </c:pt>
                <c:pt idx="295">
                  <c:v>2.1126848180772064E-4</c:v>
                </c:pt>
                <c:pt idx="296">
                  <c:v>2.0932176803511443E-4</c:v>
                </c:pt>
                <c:pt idx="297">
                  <c:v>2.0748038964948562E-4</c:v>
                </c:pt>
                <c:pt idx="298">
                  <c:v>2.0574691989906109E-4</c:v>
                </c:pt>
                <c:pt idx="299">
                  <c:v>2.0412401414978377E-4</c:v>
                </c:pt>
                <c:pt idx="300">
                  <c:v>2.0261441683387907E-4</c:v>
                </c:pt>
                <c:pt idx="301">
                  <c:v>2.0122096932204185E-4</c:v>
                </c:pt>
                <c:pt idx="302">
                  <c:v>1.9996243028449541E-4</c:v>
                </c:pt>
                <c:pt idx="303">
                  <c:v>1.9891113547755167E-4</c:v>
                </c:pt>
                <c:pt idx="304">
                  <c:v>1.9799456760020929E-4</c:v>
                </c:pt>
                <c:pt idx="305">
                  <c:v>1.9720776030135166E-4</c:v>
                </c:pt>
                <c:pt idx="306">
                  <c:v>1.9654579526475805E-4</c:v>
                </c:pt>
                <c:pt idx="307">
                  <c:v>1.9600374507905644E-4</c:v>
                </c:pt>
                <c:pt idx="308">
                  <c:v>1.9557661730762804E-4</c:v>
                </c:pt>
                <c:pt idx="309">
                  <c:v>1.9545067910811816E-4</c:v>
                </c:pt>
                <c:pt idx="310">
                  <c:v>1.9557871281036893E-4</c:v>
                </c:pt>
                <c:pt idx="311">
                  <c:v>1.9595637431340824E-4</c:v>
                </c:pt>
                <c:pt idx="312">
                  <c:v>1.9657898380980512E-4</c:v>
                </c:pt>
                <c:pt idx="313">
                  <c:v>1.9744142301993209E-4</c:v>
                </c:pt>
                <c:pt idx="314">
                  <c:v>1.9853803105896606E-4</c:v>
                </c:pt>
                <c:pt idx="315">
                  <c:v>1.9986249992373189E-4</c:v>
                </c:pt>
                <c:pt idx="316">
                  <c:v>2.0143622342708574E-4</c:v>
                </c:pt>
                <c:pt idx="317">
                  <c:v>2.0324221972993259E-4</c:v>
                </c:pt>
                <c:pt idx="318">
                  <c:v>2.0522056421720992E-4</c:v>
                </c:pt>
                <c:pt idx="319">
                  <c:v>2.0737196021084267E-4</c:v>
                </c:pt>
                <c:pt idx="320">
                  <c:v>2.0969697812679524E-4</c:v>
                </c:pt>
                <c:pt idx="321">
                  <c:v>2.1219602480065136E-4</c:v>
                </c:pt>
                <c:pt idx="322">
                  <c:v>2.1486931040638182E-4</c:v>
                </c:pt>
                <c:pt idx="323">
                  <c:v>2.1743332816212337E-4</c:v>
                </c:pt>
                <c:pt idx="324">
                  <c:v>2.1968705782968815E-4</c:v>
                </c:pt>
                <c:pt idx="325">
                  <c:v>2.2162605804131039E-4</c:v>
                </c:pt>
                <c:pt idx="326">
                  <c:v>2.2324410422098053E-4</c:v>
                </c:pt>
                <c:pt idx="327">
                  <c:v>2.2453549125639206E-4</c:v>
                </c:pt>
                <c:pt idx="328">
                  <c:v>2.2549531761306368E-4</c:v>
                </c:pt>
                <c:pt idx="329">
                  <c:v>2.2611838078082173E-4</c:v>
                </c:pt>
                <c:pt idx="330">
                  <c:v>2.2643789712442603E-4</c:v>
                </c:pt>
                <c:pt idx="331">
                  <c:v>2.2664150359482562E-4</c:v>
                </c:pt>
                <c:pt idx="332">
                  <c:v>2.2676081948654869E-4</c:v>
                </c:pt>
                <c:pt idx="333">
                  <c:v>2.2678131579449999E-4</c:v>
                </c:pt>
                <c:pt idx="334">
                  <c:v>2.2668768901732065E-4</c:v>
                </c:pt>
                <c:pt idx="335">
                  <c:v>2.2646392853017947E-4</c:v>
                </c:pt>
                <c:pt idx="336">
                  <c:v>2.2609341154523292E-4</c:v>
                </c:pt>
                <c:pt idx="337">
                  <c:v>2.256612788370766E-4</c:v>
                </c:pt>
                <c:pt idx="338">
                  <c:v>2.2544728144152808E-4</c:v>
                </c:pt>
                <c:pt idx="339">
                  <c:v>2.2543706615763811E-4</c:v>
                </c:pt>
                <c:pt idx="340">
                  <c:v>2.2561551982531135E-4</c:v>
                </c:pt>
                <c:pt idx="341">
                  <c:v>2.2596670091008138E-4</c:v>
                </c:pt>
                <c:pt idx="342">
                  <c:v>2.264737951785774E-4</c:v>
                </c:pt>
                <c:pt idx="343">
                  <c:v>2.2711909898313592E-4</c:v>
                </c:pt>
                <c:pt idx="344">
                  <c:v>2.2791320532154243E-4</c:v>
                </c:pt>
                <c:pt idx="345">
                  <c:v>2.2887988260679321E-4</c:v>
                </c:pt>
                <c:pt idx="346">
                  <c:v>2.2974763911682674E-4</c:v>
                </c:pt>
                <c:pt idx="347">
                  <c:v>2.3051802868947563E-4</c:v>
                </c:pt>
                <c:pt idx="348">
                  <c:v>2.3119295194811489E-4</c:v>
                </c:pt>
                <c:pt idx="349">
                  <c:v>2.317746414301831E-4</c:v>
                </c:pt>
                <c:pt idx="350">
                  <c:v>2.322656444771271E-4</c:v>
                </c:pt>
                <c:pt idx="351">
                  <c:v>2.3256296374133401E-4</c:v>
                </c:pt>
                <c:pt idx="352">
                  <c:v>2.3256816973961589E-4</c:v>
                </c:pt>
                <c:pt idx="353">
                  <c:v>2.3228661978204115E-4</c:v>
                </c:pt>
                <c:pt idx="354">
                  <c:v>2.3172426156060149E-4</c:v>
                </c:pt>
                <c:pt idx="355">
                  <c:v>2.3088756955215667E-4</c:v>
                </c:pt>
                <c:pt idx="356">
                  <c:v>2.297804127579724E-4</c:v>
                </c:pt>
                <c:pt idx="357">
                  <c:v>2.2841300405584334E-4</c:v>
                </c:pt>
                <c:pt idx="358">
                  <c:v>2.2675102431832166E-4</c:v>
                </c:pt>
                <c:pt idx="359">
                  <c:v>2.2476827092204367E-4</c:v>
                </c:pt>
                <c:pt idx="360">
                  <c:v>2.2258286649941246E-4</c:v>
                </c:pt>
                <c:pt idx="361">
                  <c:v>2.2031381606758813E-4</c:v>
                </c:pt>
                <c:pt idx="362">
                  <c:v>2.1797647996881929E-4</c:v>
                </c:pt>
                <c:pt idx="363">
                  <c:v>2.155856615342519E-4</c:v>
                </c:pt>
                <c:pt idx="364">
                  <c:v>2.1315552278195697E-4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30808"/>
        <c:axId val="644431200"/>
      </c:lineChart>
      <c:dateAx>
        <c:axId val="644430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1200"/>
        <c:crosses val="autoZero"/>
        <c:auto val="1"/>
        <c:lblOffset val="100"/>
        <c:baseTimeUnit val="days"/>
        <c:majorUnit val="1"/>
        <c:majorTimeUnit val="months"/>
      </c:dateAx>
      <c:valAx>
        <c:axId val="6444312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0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24.925935297978743</c:v>
                </c:pt>
                <c:pt idx="1">
                  <c:v>25.108680960280193</c:v>
                </c:pt>
                <c:pt idx="2">
                  <c:v>25.296524397665433</c:v>
                </c:pt>
                <c:pt idx="3">
                  <c:v>25.488099301410731</c:v>
                </c:pt>
                <c:pt idx="4">
                  <c:v>25.68203988744451</c:v>
                </c:pt>
                <c:pt idx="5">
                  <c:v>25.876980890595256</c:v>
                </c:pt>
                <c:pt idx="6">
                  <c:v>26.071557569541714</c:v>
                </c:pt>
                <c:pt idx="7">
                  <c:v>26.264405707099854</c:v>
                </c:pt>
                <c:pt idx="8">
                  <c:v>26.457113844366397</c:v>
                </c:pt>
                <c:pt idx="9">
                  <c:v>26.652397332402664</c:v>
                </c:pt>
                <c:pt idx="10">
                  <c:v>26.850574488135496</c:v>
                </c:pt>
                <c:pt idx="11">
                  <c:v>27.051961068685234</c:v>
                </c:pt>
                <c:pt idx="12">
                  <c:v>27.256872658334562</c:v>
                </c:pt>
                <c:pt idx="13">
                  <c:v>27.465624676880996</c:v>
                </c:pt>
                <c:pt idx="14">
                  <c:v>27.678532381261778</c:v>
                </c:pt>
                <c:pt idx="15">
                  <c:v>27.895911953037526</c:v>
                </c:pt>
                <c:pt idx="16">
                  <c:v>28.118082161957119</c:v>
                </c:pt>
                <c:pt idx="17">
                  <c:v>28.345357797354175</c:v>
                </c:pt>
                <c:pt idx="18">
                  <c:v>28.578053501968121</c:v>
                </c:pt>
                <c:pt idx="19">
                  <c:v>28.816483742946797</c:v>
                </c:pt>
                <c:pt idx="20">
                  <c:v>29.060962834500767</c:v>
                </c:pt>
                <c:pt idx="21">
                  <c:v>29.311804980704725</c:v>
                </c:pt>
                <c:pt idx="22">
                  <c:v>29.570767063530766</c:v>
                </c:pt>
                <c:pt idx="23">
                  <c:v>29.838702473555522</c:v>
                </c:pt>
                <c:pt idx="24">
                  <c:v>30.114570729864656</c:v>
                </c:pt>
                <c:pt idx="25">
                  <c:v>30.39733870218403</c:v>
                </c:pt>
                <c:pt idx="26">
                  <c:v>30.685973707849456</c:v>
                </c:pt>
                <c:pt idx="27">
                  <c:v>30.97944352440021</c:v>
                </c:pt>
                <c:pt idx="28">
                  <c:v>31.276716381320998</c:v>
                </c:pt>
                <c:pt idx="29">
                  <c:v>31.576759464678517</c:v>
                </c:pt>
                <c:pt idx="30">
                  <c:v>31.878540843887013</c:v>
                </c:pt>
                <c:pt idx="31">
                  <c:v>32.181030140021797</c:v>
                </c:pt>
                <c:pt idx="32">
                  <c:v>32.483197441498689</c:v>
                </c:pt>
                <c:pt idx="33">
                  <c:v>32.784013304498551</c:v>
                </c:pt>
                <c:pt idx="34">
                  <c:v>33.082448754451647</c:v>
                </c:pt>
                <c:pt idx="35">
                  <c:v>33.377475285381955</c:v>
                </c:pt>
                <c:pt idx="36">
                  <c:v>33.671651771476718</c:v>
                </c:pt>
                <c:pt idx="37">
                  <c:v>33.967909186985977</c:v>
                </c:pt>
                <c:pt idx="38">
                  <c:v>34.265784164098626</c:v>
                </c:pt>
                <c:pt idx="39">
                  <c:v>34.564808733968277</c:v>
                </c:pt>
                <c:pt idx="40">
                  <c:v>34.864515149885591</c:v>
                </c:pt>
                <c:pt idx="41">
                  <c:v>35.164435882476404</c:v>
                </c:pt>
                <c:pt idx="42">
                  <c:v>35.464103616999779</c:v>
                </c:pt>
                <c:pt idx="43">
                  <c:v>35.763049514004592</c:v>
                </c:pt>
                <c:pt idx="44">
                  <c:v>36.060808183479296</c:v>
                </c:pt>
                <c:pt idx="45">
                  <c:v>36.356912925065267</c:v>
                </c:pt>
                <c:pt idx="46">
                  <c:v>36.65089723226491</c:v>
                </c:pt>
                <c:pt idx="47">
                  <c:v>36.942294785559469</c:v>
                </c:pt>
                <c:pt idx="48">
                  <c:v>37.230639448678879</c:v>
                </c:pt>
                <c:pt idx="49">
                  <c:v>37.515465258633071</c:v>
                </c:pt>
                <c:pt idx="50">
                  <c:v>37.797271898932181</c:v>
                </c:pt>
                <c:pt idx="51">
                  <c:v>38.076938216187699</c:v>
                </c:pt>
                <c:pt idx="52">
                  <c:v>38.354559628094897</c:v>
                </c:pt>
                <c:pt idx="53">
                  <c:v>38.630230379213693</c:v>
                </c:pt>
                <c:pt idx="54">
                  <c:v>38.904044596721235</c:v>
                </c:pt>
                <c:pt idx="55">
                  <c:v>39.176096312366646</c:v>
                </c:pt>
                <c:pt idx="56">
                  <c:v>39.446479459231917</c:v>
                </c:pt>
                <c:pt idx="57">
                  <c:v>39.715302184712954</c:v>
                </c:pt>
                <c:pt idx="58">
                  <c:v>39.982659987069205</c:v>
                </c:pt>
                <c:pt idx="59">
                  <c:v>40.248646508488896</c:v>
                </c:pt>
                <c:pt idx="60">
                  <c:v>40.513355277277718</c:v>
                </c:pt>
                <c:pt idx="61">
                  <c:v>40.776879706624506</c:v>
                </c:pt>
                <c:pt idx="62">
                  <c:v>41.039313090514248</c:v>
                </c:pt>
                <c:pt idx="63">
                  <c:v>41.300748603016736</c:v>
                </c:pt>
                <c:pt idx="64">
                  <c:v>41.561652483462076</c:v>
                </c:pt>
                <c:pt idx="65">
                  <c:v>41.822241504066284</c:v>
                </c:pt>
                <c:pt idx="66">
                  <c:v>42.082229434401192</c:v>
                </c:pt>
                <c:pt idx="67">
                  <c:v>42.341335840642799</c:v>
                </c:pt>
                <c:pt idx="68">
                  <c:v>42.599280324523455</c:v>
                </c:pt>
                <c:pt idx="69">
                  <c:v>42.855782524619769</c:v>
                </c:pt>
                <c:pt idx="70">
                  <c:v>43.110562117798828</c:v>
                </c:pt>
                <c:pt idx="71">
                  <c:v>43.363329825456212</c:v>
                </c:pt>
                <c:pt idx="72">
                  <c:v>43.613790856464384</c:v>
                </c:pt>
                <c:pt idx="73">
                  <c:v>43.861664926570093</c:v>
                </c:pt>
                <c:pt idx="74">
                  <c:v>44.106671793599737</c:v>
                </c:pt>
                <c:pt idx="75">
                  <c:v>44.348531265111916</c:v>
                </c:pt>
                <c:pt idx="76">
                  <c:v>44.586963195670556</c:v>
                </c:pt>
                <c:pt idx="77">
                  <c:v>44.8216874980535</c:v>
                </c:pt>
                <c:pt idx="78">
                  <c:v>45.054535746372238</c:v>
                </c:pt>
                <c:pt idx="79">
                  <c:v>45.287089191283762</c:v>
                </c:pt>
                <c:pt idx="80">
                  <c:v>45.51869452715146</c:v>
                </c:pt>
                <c:pt idx="81">
                  <c:v>45.748698254125323</c:v>
                </c:pt>
                <c:pt idx="82">
                  <c:v>45.976447105751419</c:v>
                </c:pt>
                <c:pt idx="83">
                  <c:v>46.201288056616242</c:v>
                </c:pt>
                <c:pt idx="84">
                  <c:v>46.422568332360775</c:v>
                </c:pt>
                <c:pt idx="85">
                  <c:v>46.639632865336353</c:v>
                </c:pt>
                <c:pt idx="86">
                  <c:v>46.851838652222924</c:v>
                </c:pt>
                <c:pt idx="87">
                  <c:v>47.058533775244285</c:v>
                </c:pt>
                <c:pt idx="88">
                  <c:v>47.259066609001707</c:v>
                </c:pt>
                <c:pt idx="89">
                  <c:v>47.452785826367077</c:v>
                </c:pt>
                <c:pt idx="90">
                  <c:v>47.639040416447621</c:v>
                </c:pt>
                <c:pt idx="91">
                  <c:v>47.817179686275189</c:v>
                </c:pt>
                <c:pt idx="92">
                  <c:v>47.987173376888812</c:v>
                </c:pt>
                <c:pt idx="93">
                  <c:v>48.149726327185398</c:v>
                </c:pt>
                <c:pt idx="94">
                  <c:v>48.305305115723066</c:v>
                </c:pt>
                <c:pt idx="95">
                  <c:v>48.454375025540905</c:v>
                </c:pt>
                <c:pt idx="96">
                  <c:v>48.597401163548504</c:v>
                </c:pt>
                <c:pt idx="97">
                  <c:v>48.734848462772753</c:v>
                </c:pt>
                <c:pt idx="98">
                  <c:v>48.867181676264828</c:v>
                </c:pt>
                <c:pt idx="99">
                  <c:v>48.994846012175884</c:v>
                </c:pt>
                <c:pt idx="100">
                  <c:v>49.118308249901432</c:v>
                </c:pt>
                <c:pt idx="101">
                  <c:v>49.238032295075605</c:v>
                </c:pt>
                <c:pt idx="102">
                  <c:v>49.354481841241181</c:v>
                </c:pt>
                <c:pt idx="103">
                  <c:v>49.468120372785727</c:v>
                </c:pt>
                <c:pt idx="104">
                  <c:v>49.579411161558383</c:v>
                </c:pt>
                <c:pt idx="105">
                  <c:v>49.688817260750191</c:v>
                </c:pt>
                <c:pt idx="106">
                  <c:v>49.795841997407898</c:v>
                </c:pt>
                <c:pt idx="107">
                  <c:v>49.899597409395007</c:v>
                </c:pt>
                <c:pt idx="108">
                  <c:v>49.999999182125272</c:v>
                </c:pt>
                <c:pt idx="109">
                  <c:v>50.096953442008193</c:v>
                </c:pt>
                <c:pt idx="110">
                  <c:v>50.190366373095991</c:v>
                </c:pt>
                <c:pt idx="111">
                  <c:v>50.280144229336415</c:v>
                </c:pt>
                <c:pt idx="112">
                  <c:v>50.366193348729055</c:v>
                </c:pt>
                <c:pt idx="113">
                  <c:v>50.44840868456658</c:v>
                </c:pt>
                <c:pt idx="114">
                  <c:v>50.526718074794779</c:v>
                </c:pt>
                <c:pt idx="115">
                  <c:v>50.601028392617749</c:v>
                </c:pt>
                <c:pt idx="116">
                  <c:v>50.671246628113238</c:v>
                </c:pt>
                <c:pt idx="117">
                  <c:v>50.737279892571379</c:v>
                </c:pt>
                <c:pt idx="118">
                  <c:v>50.799035427331717</c:v>
                </c:pt>
                <c:pt idx="119">
                  <c:v>55.003025170557372</c:v>
                </c:pt>
                <c:pt idx="120">
                  <c:v>55.058721531597811</c:v>
                </c:pt>
                <c:pt idx="121">
                  <c:v>55.109002037367759</c:v>
                </c:pt>
                <c:pt idx="122">
                  <c:v>55.15419215162607</c:v>
                </c:pt>
                <c:pt idx="123">
                  <c:v>55.194592765014875</c:v>
                </c:pt>
                <c:pt idx="124">
                  <c:v>55.230504538192889</c:v>
                </c:pt>
                <c:pt idx="125">
                  <c:v>55.262227904174424</c:v>
                </c:pt>
                <c:pt idx="126">
                  <c:v>55.290063073067863</c:v>
                </c:pt>
                <c:pt idx="127">
                  <c:v>55.314308191906122</c:v>
                </c:pt>
                <c:pt idx="128">
                  <c:v>55.335277549577228</c:v>
                </c:pt>
                <c:pt idx="129">
                  <c:v>55.353271193022991</c:v>
                </c:pt>
                <c:pt idx="130">
                  <c:v>55.36858898923137</c:v>
                </c:pt>
                <c:pt idx="131">
                  <c:v>55.381530638103037</c:v>
                </c:pt>
                <c:pt idx="132">
                  <c:v>55.392395674257436</c:v>
                </c:pt>
                <c:pt idx="133">
                  <c:v>55.40148347593896</c:v>
                </c:pt>
                <c:pt idx="134">
                  <c:v>55.408126667839618</c:v>
                </c:pt>
                <c:pt idx="135">
                  <c:v>55.411525761699075</c:v>
                </c:pt>
                <c:pt idx="136">
                  <c:v>55.411795837519286</c:v>
                </c:pt>
                <c:pt idx="137">
                  <c:v>55.409037625378225</c:v>
                </c:pt>
                <c:pt idx="138">
                  <c:v>55.403351895960732</c:v>
                </c:pt>
                <c:pt idx="139">
                  <c:v>55.394839467326868</c:v>
                </c:pt>
                <c:pt idx="140">
                  <c:v>55.383601215401654</c:v>
                </c:pt>
                <c:pt idx="141">
                  <c:v>55.369737521268</c:v>
                </c:pt>
                <c:pt idx="142">
                  <c:v>55.353351898995747</c:v>
                </c:pt>
                <c:pt idx="143">
                  <c:v>55.334545778111988</c:v>
                </c:pt>
                <c:pt idx="144">
                  <c:v>55.31342037077254</c:v>
                </c:pt>
                <c:pt idx="145">
                  <c:v>55.290076958643894</c:v>
                </c:pt>
                <c:pt idx="146">
                  <c:v>55.264616900399673</c:v>
                </c:pt>
                <c:pt idx="147">
                  <c:v>55.23714163048701</c:v>
                </c:pt>
                <c:pt idx="148">
                  <c:v>55.2077194098988</c:v>
                </c:pt>
                <c:pt idx="149">
                  <c:v>55.176315316885145</c:v>
                </c:pt>
                <c:pt idx="150">
                  <c:v>55.142832047532522</c:v>
                </c:pt>
                <c:pt idx="151">
                  <c:v>55.10717331299572</c:v>
                </c:pt>
                <c:pt idx="152">
                  <c:v>55.069243046890051</c:v>
                </c:pt>
                <c:pt idx="153">
                  <c:v>55.028945397000982</c:v>
                </c:pt>
                <c:pt idx="154">
                  <c:v>54.986184717563717</c:v>
                </c:pt>
                <c:pt idx="155">
                  <c:v>54.940921071767065</c:v>
                </c:pt>
                <c:pt idx="156">
                  <c:v>54.893061957647028</c:v>
                </c:pt>
                <c:pt idx="157">
                  <c:v>54.842514398023717</c:v>
                </c:pt>
                <c:pt idx="158">
                  <c:v>54.789185566637428</c:v>
                </c:pt>
                <c:pt idx="159">
                  <c:v>54.732982771835182</c:v>
                </c:pt>
                <c:pt idx="160">
                  <c:v>54.673813431901785</c:v>
                </c:pt>
                <c:pt idx="161">
                  <c:v>54.611585056336509</c:v>
                </c:pt>
                <c:pt idx="162">
                  <c:v>54.545591539397826</c:v>
                </c:pt>
                <c:pt idx="163">
                  <c:v>54.475509291561217</c:v>
                </c:pt>
                <c:pt idx="164">
                  <c:v>54.401709819608072</c:v>
                </c:pt>
                <c:pt idx="165">
                  <c:v>54.324598768599131</c:v>
                </c:pt>
                <c:pt idx="166">
                  <c:v>54.244581406579428</c:v>
                </c:pt>
                <c:pt idx="167">
                  <c:v>54.162062610305036</c:v>
                </c:pt>
                <c:pt idx="168">
                  <c:v>54.077446837762864</c:v>
                </c:pt>
                <c:pt idx="169">
                  <c:v>53.991191736869624</c:v>
                </c:pt>
                <c:pt idx="170">
                  <c:v>53.903636868746823</c:v>
                </c:pt>
                <c:pt idx="171">
                  <c:v>53.815184990597345</c:v>
                </c:pt>
                <c:pt idx="172">
                  <c:v>53.72623838548612</c:v>
                </c:pt>
                <c:pt idx="173">
                  <c:v>53.637200114689392</c:v>
                </c:pt>
                <c:pt idx="174">
                  <c:v>53.548472846918358</c:v>
                </c:pt>
                <c:pt idx="175">
                  <c:v>53.460457525751629</c:v>
                </c:pt>
                <c:pt idx="176">
                  <c:v>53.372561770382347</c:v>
                </c:pt>
                <c:pt idx="177">
                  <c:v>53.283998243194148</c:v>
                </c:pt>
                <c:pt idx="178">
                  <c:v>53.194714095984537</c:v>
                </c:pt>
                <c:pt idx="179">
                  <c:v>53.104712770104349</c:v>
                </c:pt>
                <c:pt idx="180">
                  <c:v>53.013997416044262</c:v>
                </c:pt>
                <c:pt idx="181">
                  <c:v>52.922570892481922</c:v>
                </c:pt>
                <c:pt idx="182">
                  <c:v>52.830435770066359</c:v>
                </c:pt>
                <c:pt idx="183">
                  <c:v>52.737636285287365</c:v>
                </c:pt>
                <c:pt idx="184">
                  <c:v>52.644114925511502</c:v>
                </c:pt>
                <c:pt idx="185">
                  <c:v>52.549873091781294</c:v>
                </c:pt>
                <c:pt idx="186">
                  <c:v>52.454911949786599</c:v>
                </c:pt>
                <c:pt idx="187">
                  <c:v>52.359232440633946</c:v>
                </c:pt>
                <c:pt idx="188">
                  <c:v>52.262835293529399</c:v>
                </c:pt>
                <c:pt idx="189">
                  <c:v>52.165721039527746</c:v>
                </c:pt>
                <c:pt idx="190">
                  <c:v>52.067460808073406</c:v>
                </c:pt>
                <c:pt idx="191">
                  <c:v>51.967756974964622</c:v>
                </c:pt>
                <c:pt idx="192">
                  <c:v>51.866731906013243</c:v>
                </c:pt>
                <c:pt idx="193">
                  <c:v>51.764582779698515</c:v>
                </c:pt>
                <c:pt idx="194">
                  <c:v>51.661506597936508</c:v>
                </c:pt>
                <c:pt idx="195">
                  <c:v>51.557700198004675</c:v>
                </c:pt>
                <c:pt idx="196">
                  <c:v>51.453360266047319</c:v>
                </c:pt>
                <c:pt idx="197">
                  <c:v>51.348684569694981</c:v>
                </c:pt>
                <c:pt idx="198">
                  <c:v>51.243824580531935</c:v>
                </c:pt>
                <c:pt idx="199">
                  <c:v>51.138976175108162</c:v>
                </c:pt>
                <c:pt idx="200">
                  <c:v>51.03433515583702</c:v>
                </c:pt>
                <c:pt idx="201">
                  <c:v>50.93009725718688</c:v>
                </c:pt>
                <c:pt idx="202">
                  <c:v>50.826458151455746</c:v>
                </c:pt>
                <c:pt idx="203">
                  <c:v>50.723613453859009</c:v>
                </c:pt>
                <c:pt idx="204">
                  <c:v>50.621478852160209</c:v>
                </c:pt>
                <c:pt idx="205">
                  <c:v>50.519768766181379</c:v>
                </c:pt>
                <c:pt idx="206">
                  <c:v>50.418383607029511</c:v>
                </c:pt>
                <c:pt idx="207">
                  <c:v>50.317222972277555</c:v>
                </c:pt>
                <c:pt idx="208">
                  <c:v>50.216186594335753</c:v>
                </c:pt>
                <c:pt idx="209">
                  <c:v>50.115174340032922</c:v>
                </c:pt>
                <c:pt idx="210">
                  <c:v>50.014086209773282</c:v>
                </c:pt>
                <c:pt idx="211">
                  <c:v>49.912794461390604</c:v>
                </c:pt>
                <c:pt idx="212">
                  <c:v>49.811197943192141</c:v>
                </c:pt>
                <c:pt idx="213">
                  <c:v>49.709196907684479</c:v>
                </c:pt>
                <c:pt idx="214">
                  <c:v>49.606691746907785</c:v>
                </c:pt>
                <c:pt idx="215">
                  <c:v>49.503582989232136</c:v>
                </c:pt>
                <c:pt idx="216">
                  <c:v>49.399771294657867</c:v>
                </c:pt>
                <c:pt idx="217">
                  <c:v>49.295157451999906</c:v>
                </c:pt>
                <c:pt idx="218">
                  <c:v>49.189712448733907</c:v>
                </c:pt>
                <c:pt idx="219">
                  <c:v>49.083496913603483</c:v>
                </c:pt>
                <c:pt idx="220">
                  <c:v>48.976595661937104</c:v>
                </c:pt>
                <c:pt idx="221">
                  <c:v>48.869089629183087</c:v>
                </c:pt>
                <c:pt idx="222">
                  <c:v>48.761059757254877</c:v>
                </c:pt>
                <c:pt idx="223">
                  <c:v>48.652586991376985</c:v>
                </c:pt>
                <c:pt idx="224">
                  <c:v>48.543752277350976</c:v>
                </c:pt>
                <c:pt idx="225">
                  <c:v>48.434579896931091</c:v>
                </c:pt>
                <c:pt idx="226">
                  <c:v>48.325179051289524</c:v>
                </c:pt>
                <c:pt idx="227">
                  <c:v>48.215630618761743</c:v>
                </c:pt>
                <c:pt idx="228">
                  <c:v>48.106015476709018</c:v>
                </c:pt>
                <c:pt idx="229">
                  <c:v>47.996414498943501</c:v>
                </c:pt>
                <c:pt idx="230">
                  <c:v>47.886908554161792</c:v>
                </c:pt>
                <c:pt idx="231">
                  <c:v>47.777578504037862</c:v>
                </c:pt>
                <c:pt idx="232">
                  <c:v>47.669292437792556</c:v>
                </c:pt>
                <c:pt idx="233">
                  <c:v>47.5625015763965</c:v>
                </c:pt>
                <c:pt idx="234">
                  <c:v>47.456778719933787</c:v>
                </c:pt>
                <c:pt idx="235">
                  <c:v>47.35166625550422</c:v>
                </c:pt>
                <c:pt idx="236">
                  <c:v>47.246706901695596</c:v>
                </c:pt>
                <c:pt idx="237">
                  <c:v>47.141443717347684</c:v>
                </c:pt>
                <c:pt idx="238">
                  <c:v>47.035420092159093</c:v>
                </c:pt>
                <c:pt idx="239">
                  <c:v>46.928152201044263</c:v>
                </c:pt>
                <c:pt idx="240">
                  <c:v>46.819241044333495</c:v>
                </c:pt>
                <c:pt idx="241">
                  <c:v>46.708230985992138</c:v>
                </c:pt>
                <c:pt idx="242">
                  <c:v>46.594666704383798</c:v>
                </c:pt>
                <c:pt idx="243">
                  <c:v>46.478093193285275</c:v>
                </c:pt>
                <c:pt idx="244">
                  <c:v>46.358055758586495</c:v>
                </c:pt>
                <c:pt idx="245">
                  <c:v>46.234100020100399</c:v>
                </c:pt>
                <c:pt idx="246">
                  <c:v>46.10755422244614</c:v>
                </c:pt>
                <c:pt idx="247">
                  <c:v>45.979844353249995</c:v>
                </c:pt>
                <c:pt idx="248">
                  <c:v>45.850732477743762</c:v>
                </c:pt>
                <c:pt idx="249">
                  <c:v>45.719923371089052</c:v>
                </c:pt>
                <c:pt idx="250">
                  <c:v>45.587122012253467</c:v>
                </c:pt>
                <c:pt idx="251">
                  <c:v>45.452033579914875</c:v>
                </c:pt>
                <c:pt idx="252">
                  <c:v>45.314363456816359</c:v>
                </c:pt>
                <c:pt idx="253">
                  <c:v>45.173813804462036</c:v>
                </c:pt>
                <c:pt idx="254">
                  <c:v>45.030117749513295</c:v>
                </c:pt>
                <c:pt idx="255">
                  <c:v>44.8829812019926</c:v>
                </c:pt>
                <c:pt idx="256">
                  <c:v>44.732110260212039</c:v>
                </c:pt>
                <c:pt idx="257">
                  <c:v>44.577211205349663</c:v>
                </c:pt>
                <c:pt idx="258">
                  <c:v>44.417990506444802</c:v>
                </c:pt>
                <c:pt idx="259">
                  <c:v>44.254154810021497</c:v>
                </c:pt>
                <c:pt idx="260">
                  <c:v>44.08600800530219</c:v>
                </c:pt>
                <c:pt idx="261">
                  <c:v>43.914066006961178</c:v>
                </c:pt>
                <c:pt idx="262">
                  <c:v>43.738404594445754</c:v>
                </c:pt>
                <c:pt idx="263">
                  <c:v>43.559091607443541</c:v>
                </c:pt>
                <c:pt idx="264">
                  <c:v>43.376194856335204</c:v>
                </c:pt>
                <c:pt idx="265">
                  <c:v>43.189782069420815</c:v>
                </c:pt>
                <c:pt idx="266">
                  <c:v>42.999920964175637</c:v>
                </c:pt>
                <c:pt idx="267">
                  <c:v>42.806677909635084</c:v>
                </c:pt>
                <c:pt idx="268">
                  <c:v>42.610123937417349</c:v>
                </c:pt>
                <c:pt idx="269">
                  <c:v>42.410326677622479</c:v>
                </c:pt>
                <c:pt idx="270">
                  <c:v>42.207353717444654</c:v>
                </c:pt>
                <c:pt idx="271">
                  <c:v>42.001272597849955</c:v>
                </c:pt>
                <c:pt idx="272">
                  <c:v>41.792150815479417</c:v>
                </c:pt>
                <c:pt idx="273">
                  <c:v>41.580055816257733</c:v>
                </c:pt>
                <c:pt idx="274">
                  <c:v>41.364431932518471</c:v>
                </c:pt>
                <c:pt idx="275">
                  <c:v>41.144866183171807</c:v>
                </c:pt>
                <c:pt idx="276">
                  <c:v>40.921600026529376</c:v>
                </c:pt>
                <c:pt idx="277">
                  <c:v>40.694846801216826</c:v>
                </c:pt>
                <c:pt idx="278">
                  <c:v>40.464819633218717</c:v>
                </c:pt>
                <c:pt idx="279">
                  <c:v>40.231731437334012</c:v>
                </c:pt>
                <c:pt idx="280">
                  <c:v>39.995794909866625</c:v>
                </c:pt>
                <c:pt idx="281">
                  <c:v>39.757240078877672</c:v>
                </c:pt>
                <c:pt idx="282">
                  <c:v>39.516280272573752</c:v>
                </c:pt>
                <c:pt idx="283">
                  <c:v>39.273127277912302</c:v>
                </c:pt>
                <c:pt idx="284">
                  <c:v>39.027992638069868</c:v>
                </c:pt>
                <c:pt idx="285">
                  <c:v>38.781087653532488</c:v>
                </c:pt>
                <c:pt idx="286">
                  <c:v>38.532623382880409</c:v>
                </c:pt>
                <c:pt idx="287">
                  <c:v>38.282810642967526</c:v>
                </c:pt>
                <c:pt idx="288">
                  <c:v>38.031542473949486</c:v>
                </c:pt>
                <c:pt idx="289">
                  <c:v>37.778500590554167</c:v>
                </c:pt>
                <c:pt idx="290">
                  <c:v>37.523544380808389</c:v>
                </c:pt>
                <c:pt idx="291">
                  <c:v>37.266575863896826</c:v>
                </c:pt>
                <c:pt idx="292">
                  <c:v>37.007497026583756</c:v>
                </c:pt>
                <c:pt idx="293">
                  <c:v>36.746209826303257</c:v>
                </c:pt>
                <c:pt idx="294">
                  <c:v>36.482616193490166</c:v>
                </c:pt>
                <c:pt idx="295">
                  <c:v>36.216614890295354</c:v>
                </c:pt>
                <c:pt idx="296">
                  <c:v>35.948091419341324</c:v>
                </c:pt>
                <c:pt idx="297">
                  <c:v>35.67694790890333</c:v>
                </c:pt>
                <c:pt idx="298">
                  <c:v>35.403086619820776</c:v>
                </c:pt>
                <c:pt idx="299">
                  <c:v>35.126409824158955</c:v>
                </c:pt>
                <c:pt idx="300">
                  <c:v>34.846819806016796</c:v>
                </c:pt>
                <c:pt idx="301">
                  <c:v>34.564218868964254</c:v>
                </c:pt>
                <c:pt idx="302">
                  <c:v>34.275797755866968</c:v>
                </c:pt>
                <c:pt idx="303">
                  <c:v>33.979718552757362</c:v>
                </c:pt>
                <c:pt idx="304">
                  <c:v>33.677351047227901</c:v>
                </c:pt>
                <c:pt idx="305">
                  <c:v>33.370059557717049</c:v>
                </c:pt>
                <c:pt idx="306">
                  <c:v>33.05920773730849</c:v>
                </c:pt>
                <c:pt idx="307">
                  <c:v>32.746158588455586</c:v>
                </c:pt>
                <c:pt idx="308">
                  <c:v>32.432274471380083</c:v>
                </c:pt>
                <c:pt idx="309">
                  <c:v>32.118904480819261</c:v>
                </c:pt>
                <c:pt idx="310">
                  <c:v>31.807412833358129</c:v>
                </c:pt>
                <c:pt idx="311">
                  <c:v>31.499160223978283</c:v>
                </c:pt>
                <c:pt idx="312">
                  <c:v>31.195506735822335</c:v>
                </c:pt>
                <c:pt idx="313">
                  <c:v>30.897811838868037</c:v>
                </c:pt>
                <c:pt idx="314">
                  <c:v>30.607434398230943</c:v>
                </c:pt>
                <c:pt idx="315">
                  <c:v>30.325732670729007</c:v>
                </c:pt>
                <c:pt idx="316">
                  <c:v>30.049817430630284</c:v>
                </c:pt>
                <c:pt idx="317">
                  <c:v>29.776155294770522</c:v>
                </c:pt>
                <c:pt idx="318">
                  <c:v>29.505137351546963</c:v>
                </c:pt>
                <c:pt idx="319">
                  <c:v>29.237150781819274</c:v>
                </c:pt>
                <c:pt idx="320">
                  <c:v>28.972582640622022</c:v>
                </c:pt>
                <c:pt idx="321">
                  <c:v>28.711819865116361</c:v>
                </c:pt>
                <c:pt idx="322">
                  <c:v>28.45524926433087</c:v>
                </c:pt>
                <c:pt idx="323">
                  <c:v>28.203273954825516</c:v>
                </c:pt>
                <c:pt idx="324">
                  <c:v>27.956291595979064</c:v>
                </c:pt>
                <c:pt idx="325">
                  <c:v>27.714688129885765</c:v>
                </c:pt>
                <c:pt idx="326">
                  <c:v>27.478849482225485</c:v>
                </c:pt>
                <c:pt idx="327">
                  <c:v>27.249161420589846</c:v>
                </c:pt>
                <c:pt idx="328">
                  <c:v>27.026009549746497</c:v>
                </c:pt>
                <c:pt idx="329">
                  <c:v>26.809779365317969</c:v>
                </c:pt>
                <c:pt idx="330">
                  <c:v>26.596309251989293</c:v>
                </c:pt>
                <c:pt idx="331">
                  <c:v>26.382272395612613</c:v>
                </c:pt>
                <c:pt idx="332">
                  <c:v>26.169316610298118</c:v>
                </c:pt>
                <c:pt idx="333">
                  <c:v>25.959091442987543</c:v>
                </c:pt>
                <c:pt idx="334">
                  <c:v>25.753245684568665</c:v>
                </c:pt>
                <c:pt idx="335">
                  <c:v>25.553427347096456</c:v>
                </c:pt>
                <c:pt idx="336">
                  <c:v>25.361283656343293</c:v>
                </c:pt>
                <c:pt idx="337">
                  <c:v>25.178455746001084</c:v>
                </c:pt>
                <c:pt idx="338">
                  <c:v>25.006574072027927</c:v>
                </c:pt>
                <c:pt idx="339">
                  <c:v>24.847283652911468</c:v>
                </c:pt>
                <c:pt idx="340">
                  <c:v>24.702228630714028</c:v>
                </c:pt>
                <c:pt idx="341">
                  <c:v>24.573052289530175</c:v>
                </c:pt>
                <c:pt idx="342">
                  <c:v>24.461397039439927</c:v>
                </c:pt>
                <c:pt idx="343">
                  <c:v>24.368904390209792</c:v>
                </c:pt>
                <c:pt idx="344">
                  <c:v>24.294103549128256</c:v>
                </c:pt>
                <c:pt idx="345">
                  <c:v>24.234116323614519</c:v>
                </c:pt>
                <c:pt idx="346">
                  <c:v>24.188486158675161</c:v>
                </c:pt>
                <c:pt idx="347">
                  <c:v>24.156743104453955</c:v>
                </c:pt>
                <c:pt idx="348">
                  <c:v>24.138417446535076</c:v>
                </c:pt>
                <c:pt idx="349">
                  <c:v>24.133039700493157</c:v>
                </c:pt>
                <c:pt idx="350">
                  <c:v>24.14014062430893</c:v>
                </c:pt>
                <c:pt idx="351">
                  <c:v>24.159256466476201</c:v>
                </c:pt>
                <c:pt idx="352">
                  <c:v>24.189923524997372</c:v>
                </c:pt>
                <c:pt idx="353">
                  <c:v>24.231673223691196</c:v>
                </c:pt>
                <c:pt idx="354">
                  <c:v>24.284037236789036</c:v>
                </c:pt>
                <c:pt idx="355">
                  <c:v>24.346547480315984</c:v>
                </c:pt>
                <c:pt idx="356">
                  <c:v>24.418736177345597</c:v>
                </c:pt>
                <c:pt idx="357">
                  <c:v>24.500135670428008</c:v>
                </c:pt>
                <c:pt idx="358">
                  <c:v>24.594720341949639</c:v>
                </c:pt>
                <c:pt idx="359">
                  <c:v>24.705834327856088</c:v>
                </c:pt>
                <c:pt idx="360">
                  <c:v>24.832060379845718</c:v>
                </c:pt>
                <c:pt idx="361">
                  <c:v>24.971981847507667</c:v>
                </c:pt>
                <c:pt idx="362">
                  <c:v>25.124188025807182</c:v>
                </c:pt>
                <c:pt idx="363">
                  <c:v>25.287268950988281</c:v>
                </c:pt>
                <c:pt idx="364">
                  <c:v>25.459815394100922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24.48628465342755</c:v>
                </c:pt>
                <c:pt idx="1">
                  <c:v>17.111978661233429</c:v>
                </c:pt>
                <c:pt idx="2">
                  <c:v>18.126268165137468</c:v>
                </c:pt>
                <c:pt idx="3">
                  <c:v>18.95096059978767</c:v>
                </c:pt>
                <c:pt idx="4">
                  <c:v>13.385810404983586</c:v>
                </c:pt>
                <c:pt idx="5">
                  <c:v>24.617861630340958</c:v>
                </c:pt>
                <c:pt idx="6">
                  <c:v>8.9470911694242954</c:v>
                </c:pt>
                <c:pt idx="7">
                  <c:v>5.1861868688495578</c:v>
                </c:pt>
                <c:pt idx="8">
                  <c:v>1.5419103265144223</c:v>
                </c:pt>
                <c:pt idx="9">
                  <c:v>1.4266718825251277</c:v>
                </c:pt>
                <c:pt idx="10">
                  <c:v>26.466423205124407</c:v>
                </c:pt>
                <c:pt idx="11">
                  <c:v>21.463627823504542</c:v>
                </c:pt>
                <c:pt idx="12">
                  <c:v>5.0145469893503698</c:v>
                </c:pt>
                <c:pt idx="13">
                  <c:v>27.463504783411011</c:v>
                </c:pt>
                <c:pt idx="14">
                  <c:v>27.307371086062634</c:v>
                </c:pt>
                <c:pt idx="15">
                  <c:v>27.008014103869229</c:v>
                </c:pt>
                <c:pt idx="16">
                  <c:v>18.717318362908028</c:v>
                </c:pt>
                <c:pt idx="17">
                  <c:v>4.0043738426027593</c:v>
                </c:pt>
                <c:pt idx="18">
                  <c:v>9.6998950436770794</c:v>
                </c:pt>
                <c:pt idx="19">
                  <c:v>5.3541788866619733</c:v>
                </c:pt>
                <c:pt idx="20">
                  <c:v>15.751167955079222</c:v>
                </c:pt>
                <c:pt idx="21">
                  <c:v>28.452534989361421</c:v>
                </c:pt>
                <c:pt idx="22">
                  <c:v>28.508332083192936</c:v>
                </c:pt>
                <c:pt idx="23">
                  <c:v>28.775666878875072</c:v>
                </c:pt>
                <c:pt idx="24">
                  <c:v>28.342204173598265</c:v>
                </c:pt>
                <c:pt idx="25">
                  <c:v>29.07170364506668</c:v>
                </c:pt>
                <c:pt idx="26">
                  <c:v>28.804234901102156</c:v>
                </c:pt>
                <c:pt idx="27">
                  <c:v>3.9021409768756876</c:v>
                </c:pt>
                <c:pt idx="28">
                  <c:v>5.8008867591269571</c:v>
                </c:pt>
                <c:pt idx="29">
                  <c:v>4.7564805367740695</c:v>
                </c:pt>
                <c:pt idx="30">
                  <c:v>6.5263827169584241</c:v>
                </c:pt>
                <c:pt idx="31">
                  <c:v>13.50182966468493</c:v>
                </c:pt>
                <c:pt idx="32">
                  <c:v>5.0808957577755081</c:v>
                </c:pt>
                <c:pt idx="33">
                  <c:v>11.112980140112775</c:v>
                </c:pt>
                <c:pt idx="34">
                  <c:v>10.657764353732672</c:v>
                </c:pt>
                <c:pt idx="35">
                  <c:v>10.069106672988108</c:v>
                </c:pt>
                <c:pt idx="36">
                  <c:v>22.219516682603007</c:v>
                </c:pt>
                <c:pt idx="37">
                  <c:v>8.7504912288040053</c:v>
                </c:pt>
                <c:pt idx="38">
                  <c:v>33.79722104829046</c:v>
                </c:pt>
                <c:pt idx="39">
                  <c:v>33.872017936495439</c:v>
                </c:pt>
                <c:pt idx="40">
                  <c:v>31.471619986815927</c:v>
                </c:pt>
                <c:pt idx="41">
                  <c:v>15.842576585647052</c:v>
                </c:pt>
                <c:pt idx="42">
                  <c:v>26.349602814872149</c:v>
                </c:pt>
                <c:pt idx="43">
                  <c:v>32.20015817454324</c:v>
                </c:pt>
                <c:pt idx="44">
                  <c:v>17.863021844284763</c:v>
                </c:pt>
                <c:pt idx="45">
                  <c:v>17.603227362747809</c:v>
                </c:pt>
                <c:pt idx="46">
                  <c:v>7.6561772269295219</c:v>
                </c:pt>
                <c:pt idx="47">
                  <c:v>8.9470294224688338</c:v>
                </c:pt>
                <c:pt idx="48">
                  <c:v>29.323001021581831</c:v>
                </c:pt>
                <c:pt idx="49">
                  <c:v>17.87956943635016</c:v>
                </c:pt>
                <c:pt idx="50">
                  <c:v>21.07473363279351</c:v>
                </c:pt>
                <c:pt idx="51">
                  <c:v>20.750681378653439</c:v>
                </c:pt>
                <c:pt idx="52">
                  <c:v>33.979101072073611</c:v>
                </c:pt>
                <c:pt idx="53">
                  <c:v>35.443033713369964</c:v>
                </c:pt>
                <c:pt idx="54">
                  <c:v>20.16120527977473</c:v>
                </c:pt>
                <c:pt idx="55">
                  <c:v>29.322299497517093</c:v>
                </c:pt>
                <c:pt idx="56">
                  <c:v>39.576781907879543</c:v>
                </c:pt>
                <c:pt idx="57">
                  <c:v>27.313161691848116</c:v>
                </c:pt>
                <c:pt idx="58">
                  <c:v>31.644951294758815</c:v>
                </c:pt>
                <c:pt idx="59">
                  <c:v>40.446832493154083</c:v>
                </c:pt>
                <c:pt idx="60">
                  <c:v>10.200329263243104</c:v>
                </c:pt>
                <c:pt idx="61">
                  <c:v>38.243752115146656</c:v>
                </c:pt>
                <c:pt idx="62">
                  <c:v>4.0889002330071476</c:v>
                </c:pt>
                <c:pt idx="63">
                  <c:v>14.537221147208824</c:v>
                </c:pt>
                <c:pt idx="64">
                  <c:v>20.58188910176084</c:v>
                </c:pt>
                <c:pt idx="65">
                  <c:v>31.228876895641225</c:v>
                </c:pt>
                <c:pt idx="66">
                  <c:v>29.957551688324646</c:v>
                </c:pt>
                <c:pt idx="67">
                  <c:v>31.620851635307904</c:v>
                </c:pt>
                <c:pt idx="68">
                  <c:v>22.885287218594286</c:v>
                </c:pt>
                <c:pt idx="69">
                  <c:v>15.258461554863439</c:v>
                </c:pt>
                <c:pt idx="70">
                  <c:v>12.599705270502685</c:v>
                </c:pt>
                <c:pt idx="71">
                  <c:v>11.860125078857227</c:v>
                </c:pt>
                <c:pt idx="72">
                  <c:v>12.529735818257972</c:v>
                </c:pt>
                <c:pt idx="73">
                  <c:v>14.224810098114611</c:v>
                </c:pt>
                <c:pt idx="74">
                  <c:v>9.7640174048078592</c:v>
                </c:pt>
                <c:pt idx="75">
                  <c:v>10.573297953313135</c:v>
                </c:pt>
                <c:pt idx="76">
                  <c:v>12.968175564978706</c:v>
                </c:pt>
                <c:pt idx="77">
                  <c:v>29.714620870976557</c:v>
                </c:pt>
                <c:pt idx="78">
                  <c:v>30.636408944244604</c:v>
                </c:pt>
                <c:pt idx="79">
                  <c:v>44.177868253023789</c:v>
                </c:pt>
                <c:pt idx="80">
                  <c:v>38.984914693589396</c:v>
                </c:pt>
                <c:pt idx="81">
                  <c:v>45.906688189216418</c:v>
                </c:pt>
                <c:pt idx="82">
                  <c:v>43.209380712038531</c:v>
                </c:pt>
                <c:pt idx="83">
                  <c:v>39.33656883447518</c:v>
                </c:pt>
                <c:pt idx="84">
                  <c:v>42.72765587097436</c:v>
                </c:pt>
                <c:pt idx="85">
                  <c:v>43.430515752117287</c:v>
                </c:pt>
                <c:pt idx="86">
                  <c:v>33.319371328679765</c:v>
                </c:pt>
                <c:pt idx="87">
                  <c:v>26.258788361133245</c:v>
                </c:pt>
                <c:pt idx="88">
                  <c:v>6.854513332128926</c:v>
                </c:pt>
                <c:pt idx="89">
                  <c:v>20.403735040543193</c:v>
                </c:pt>
                <c:pt idx="90">
                  <c:v>30.393078156662813</c:v>
                </c:pt>
                <c:pt idx="91">
                  <c:v>18.643069479165092</c:v>
                </c:pt>
                <c:pt idx="92">
                  <c:v>23.808774990415891</c:v>
                </c:pt>
                <c:pt idx="93">
                  <c:v>41.753253316431895</c:v>
                </c:pt>
                <c:pt idx="94">
                  <c:v>48.116794826759573</c:v>
                </c:pt>
                <c:pt idx="95">
                  <c:v>11.30053345660159</c:v>
                </c:pt>
                <c:pt idx="96">
                  <c:v>37.22318174440916</c:v>
                </c:pt>
                <c:pt idx="97">
                  <c:v>30.201955032752753</c:v>
                </c:pt>
                <c:pt idx="98">
                  <c:v>32.962650726479765</c:v>
                </c:pt>
                <c:pt idx="99">
                  <c:v>50.391421547252044</c:v>
                </c:pt>
                <c:pt idx="100">
                  <c:v>41.582390841590474</c:v>
                </c:pt>
                <c:pt idx="101">
                  <c:v>2.3495876272963137</c:v>
                </c:pt>
                <c:pt idx="102">
                  <c:v>0</c:v>
                </c:pt>
                <c:pt idx="103">
                  <c:v>39.465757250503053</c:v>
                </c:pt>
                <c:pt idx="104">
                  <c:v>43.924954571205888</c:v>
                </c:pt>
                <c:pt idx="105">
                  <c:v>39.521114192375279</c:v>
                </c:pt>
                <c:pt idx="106">
                  <c:v>49.906835519347617</c:v>
                </c:pt>
                <c:pt idx="107">
                  <c:v>35.588089062914186</c:v>
                </c:pt>
                <c:pt idx="108">
                  <c:v>8.5188952996796239</c:v>
                </c:pt>
                <c:pt idx="109">
                  <c:v>9.6115488146538652</c:v>
                </c:pt>
                <c:pt idx="110">
                  <c:v>8.6806097271227678</c:v>
                </c:pt>
                <c:pt idx="111">
                  <c:v>26.246434318331801</c:v>
                </c:pt>
                <c:pt idx="112">
                  <c:v>9.0186587180407471</c:v>
                </c:pt>
                <c:pt idx="113">
                  <c:v>23.182900274020771</c:v>
                </c:pt>
                <c:pt idx="114">
                  <c:v>43.969110135070189</c:v>
                </c:pt>
                <c:pt idx="115">
                  <c:v>49.176146698993975</c:v>
                </c:pt>
                <c:pt idx="116">
                  <c:v>36.248454036567011</c:v>
                </c:pt>
                <c:pt idx="117">
                  <c:v>19.495258290241125</c:v>
                </c:pt>
                <c:pt idx="118">
                  <c:v>39.468451097824691</c:v>
                </c:pt>
                <c:pt idx="119">
                  <c:v>41.624624717683275</c:v>
                </c:pt>
                <c:pt idx="120">
                  <c:v>46.592069929376045</c:v>
                </c:pt>
                <c:pt idx="121">
                  <c:v>27.292765351491287</c:v>
                </c:pt>
                <c:pt idx="122">
                  <c:v>31.172911377787855</c:v>
                </c:pt>
                <c:pt idx="123">
                  <c:v>18.386583745311633</c:v>
                </c:pt>
                <c:pt idx="124">
                  <c:v>38.61448614799788</c:v>
                </c:pt>
                <c:pt idx="125">
                  <c:v>36.062064774415958</c:v>
                </c:pt>
                <c:pt idx="126">
                  <c:v>46.663707011299145</c:v>
                </c:pt>
                <c:pt idx="127">
                  <c:v>48.681484115292214</c:v>
                </c:pt>
                <c:pt idx="128">
                  <c:v>52.957587448471116</c:v>
                </c:pt>
                <c:pt idx="129">
                  <c:v>50.473676759345942</c:v>
                </c:pt>
                <c:pt idx="130">
                  <c:v>54.145772170725216</c:v>
                </c:pt>
                <c:pt idx="131">
                  <c:v>41.683164783407427</c:v>
                </c:pt>
                <c:pt idx="132">
                  <c:v>38.168933686436908</c:v>
                </c:pt>
                <c:pt idx="133">
                  <c:v>49.818921032513565</c:v>
                </c:pt>
                <c:pt idx="134">
                  <c:v>50.827979043889272</c:v>
                </c:pt>
                <c:pt idx="135">
                  <c:v>48.944043373913736</c:v>
                </c:pt>
                <c:pt idx="136">
                  <c:v>52.407531119551685</c:v>
                </c:pt>
                <c:pt idx="137">
                  <c:v>50.772940770795678</c:v>
                </c:pt>
                <c:pt idx="138">
                  <c:v>53.041841419217313</c:v>
                </c:pt>
                <c:pt idx="139">
                  <c:v>48.112105983763357</c:v>
                </c:pt>
                <c:pt idx="140">
                  <c:v>48.702530798607782</c:v>
                </c:pt>
                <c:pt idx="141">
                  <c:v>37.25610649541666</c:v>
                </c:pt>
                <c:pt idx="142">
                  <c:v>17.401608853809318</c:v>
                </c:pt>
                <c:pt idx="143">
                  <c:v>16.542441636004593</c:v>
                </c:pt>
                <c:pt idx="144">
                  <c:v>38.536363662265174</c:v>
                </c:pt>
                <c:pt idx="145">
                  <c:v>26.224898282383215</c:v>
                </c:pt>
                <c:pt idx="146">
                  <c:v>41.795908877540576</c:v>
                </c:pt>
                <c:pt idx="147">
                  <c:v>51.482798238902213</c:v>
                </c:pt>
                <c:pt idx="148">
                  <c:v>55.743559569472566</c:v>
                </c:pt>
                <c:pt idx="149">
                  <c:v>46.709572743981397</c:v>
                </c:pt>
                <c:pt idx="150">
                  <c:v>51.901313079683497</c:v>
                </c:pt>
                <c:pt idx="151">
                  <c:v>52.756613242381853</c:v>
                </c:pt>
                <c:pt idx="152">
                  <c:v>41.764177238861734</c:v>
                </c:pt>
                <c:pt idx="153">
                  <c:v>52.463832424851489</c:v>
                </c:pt>
                <c:pt idx="154">
                  <c:v>21.729210850421687</c:v>
                </c:pt>
                <c:pt idx="155">
                  <c:v>30.658003880709167</c:v>
                </c:pt>
                <c:pt idx="156">
                  <c:v>45.933820801214175</c:v>
                </c:pt>
                <c:pt idx="157">
                  <c:v>26.893753030697464</c:v>
                </c:pt>
                <c:pt idx="158">
                  <c:v>19.996641860544472</c:v>
                </c:pt>
                <c:pt idx="159">
                  <c:v>44.430153632036848</c:v>
                </c:pt>
                <c:pt idx="160">
                  <c:v>54.403726608871757</c:v>
                </c:pt>
                <c:pt idx="161">
                  <c:v>52.92433416882713</c:v>
                </c:pt>
                <c:pt idx="162">
                  <c:v>40.568251993521194</c:v>
                </c:pt>
                <c:pt idx="163">
                  <c:v>49.837955385205355</c:v>
                </c:pt>
                <c:pt idx="164">
                  <c:v>47.451629775360054</c:v>
                </c:pt>
                <c:pt idx="165">
                  <c:v>50.94334939765497</c:v>
                </c:pt>
                <c:pt idx="166">
                  <c:v>49.43847569523718</c:v>
                </c:pt>
                <c:pt idx="167">
                  <c:v>50.084802132134058</c:v>
                </c:pt>
                <c:pt idx="168">
                  <c:v>51.773162837422063</c:v>
                </c:pt>
                <c:pt idx="169">
                  <c:v>52.862868182351562</c:v>
                </c:pt>
                <c:pt idx="170">
                  <c:v>33.343197104331026</c:v>
                </c:pt>
                <c:pt idx="171">
                  <c:v>23.573704466910858</c:v>
                </c:pt>
                <c:pt idx="172">
                  <c:v>41.6269371975282</c:v>
                </c:pt>
                <c:pt idx="173">
                  <c:v>41.264156889870755</c:v>
                </c:pt>
                <c:pt idx="174">
                  <c:v>39.304513129362789</c:v>
                </c:pt>
                <c:pt idx="175">
                  <c:v>33.723368256847145</c:v>
                </c:pt>
                <c:pt idx="176">
                  <c:v>10.926885295914895</c:v>
                </c:pt>
                <c:pt idx="177">
                  <c:v>10.245235553364603</c:v>
                </c:pt>
                <c:pt idx="178">
                  <c:v>52.758333668601786</c:v>
                </c:pt>
                <c:pt idx="179">
                  <c:v>53.582915754606454</c:v>
                </c:pt>
                <c:pt idx="180">
                  <c:v>12.20200069554029</c:v>
                </c:pt>
                <c:pt idx="181">
                  <c:v>45.666881020151195</c:v>
                </c:pt>
                <c:pt idx="182">
                  <c:v>52.557237662372778</c:v>
                </c:pt>
                <c:pt idx="183">
                  <c:v>45.454977814728487</c:v>
                </c:pt>
                <c:pt idx="184">
                  <c:v>43.347679974049342</c:v>
                </c:pt>
                <c:pt idx="185">
                  <c:v>52.782481584370771</c:v>
                </c:pt>
                <c:pt idx="186">
                  <c:v>43.239043130117714</c:v>
                </c:pt>
                <c:pt idx="187">
                  <c:v>51.075968009993957</c:v>
                </c:pt>
                <c:pt idx="188">
                  <c:v>53.529713623712205</c:v>
                </c:pt>
                <c:pt idx="189">
                  <c:v>52.921490149576883</c:v>
                </c:pt>
                <c:pt idx="190">
                  <c:v>52.572657068917508</c:v>
                </c:pt>
                <c:pt idx="191">
                  <c:v>51.319677276661984</c:v>
                </c:pt>
                <c:pt idx="192">
                  <c:v>50.877691770562912</c:v>
                </c:pt>
                <c:pt idx="193">
                  <c:v>51.134416321982265</c:v>
                </c:pt>
                <c:pt idx="194">
                  <c:v>50.338725309180191</c:v>
                </c:pt>
                <c:pt idx="195">
                  <c:v>48.280290837588566</c:v>
                </c:pt>
                <c:pt idx="196">
                  <c:v>50.108654749138708</c:v>
                </c:pt>
                <c:pt idx="197">
                  <c:v>50.080592399182315</c:v>
                </c:pt>
                <c:pt idx="198">
                  <c:v>50.862688854587986</c:v>
                </c:pt>
                <c:pt idx="199">
                  <c:v>34.742869577758761</c:v>
                </c:pt>
                <c:pt idx="200">
                  <c:v>39.5489847315785</c:v>
                </c:pt>
                <c:pt idx="201">
                  <c:v>49.358818388917101</c:v>
                </c:pt>
                <c:pt idx="202">
                  <c:v>37.671858556094868</c:v>
                </c:pt>
                <c:pt idx="203">
                  <c:v>42.028695072005469</c:v>
                </c:pt>
                <c:pt idx="204">
                  <c:v>49.75962513995534</c:v>
                </c:pt>
                <c:pt idx="205">
                  <c:v>25.576972977831353</c:v>
                </c:pt>
                <c:pt idx="206">
                  <c:v>48.622650849126458</c:v>
                </c:pt>
                <c:pt idx="207">
                  <c:v>52.644655381183028</c:v>
                </c:pt>
                <c:pt idx="208">
                  <c:v>41.823749184716448</c:v>
                </c:pt>
                <c:pt idx="209">
                  <c:v>27.858337263024261</c:v>
                </c:pt>
                <c:pt idx="210">
                  <c:v>41.981125642984814</c:v>
                </c:pt>
                <c:pt idx="211">
                  <c:v>50.463928384309568</c:v>
                </c:pt>
                <c:pt idx="212">
                  <c:v>50.389085651242077</c:v>
                </c:pt>
                <c:pt idx="213">
                  <c:v>50.434885895869691</c:v>
                </c:pt>
                <c:pt idx="214">
                  <c:v>48.83736894250044</c:v>
                </c:pt>
                <c:pt idx="215">
                  <c:v>48.307925502701607</c:v>
                </c:pt>
                <c:pt idx="216">
                  <c:v>43.554589142235436</c:v>
                </c:pt>
                <c:pt idx="217">
                  <c:v>46.04282449569034</c:v>
                </c:pt>
                <c:pt idx="218">
                  <c:v>49.11571330019175</c:v>
                </c:pt>
                <c:pt idx="219">
                  <c:v>49.713285405928644</c:v>
                </c:pt>
                <c:pt idx="220">
                  <c:v>47.896280199123652</c:v>
                </c:pt>
                <c:pt idx="221">
                  <c:v>46.520573028363579</c:v>
                </c:pt>
                <c:pt idx="222">
                  <c:v>44.01587670168918</c:v>
                </c:pt>
                <c:pt idx="223">
                  <c:v>45.391095704344153</c:v>
                </c:pt>
                <c:pt idx="224">
                  <c:v>35.628520011540914</c:v>
                </c:pt>
                <c:pt idx="225">
                  <c:v>32.632879680872229</c:v>
                </c:pt>
                <c:pt idx="226">
                  <c:v>37.006759708942425</c:v>
                </c:pt>
                <c:pt idx="227">
                  <c:v>34.271006175088218</c:v>
                </c:pt>
                <c:pt idx="228">
                  <c:v>25.015917284766861</c:v>
                </c:pt>
                <c:pt idx="229">
                  <c:v>33.282013624872448</c:v>
                </c:pt>
                <c:pt idx="230">
                  <c:v>33.960640754090484</c:v>
                </c:pt>
                <c:pt idx="231">
                  <c:v>47.898837905225861</c:v>
                </c:pt>
                <c:pt idx="232">
                  <c:v>31.830252995940629</c:v>
                </c:pt>
                <c:pt idx="233">
                  <c:v>22.786319623237109</c:v>
                </c:pt>
                <c:pt idx="234">
                  <c:v>44.211061911452525</c:v>
                </c:pt>
                <c:pt idx="235">
                  <c:v>45.638592818449652</c:v>
                </c:pt>
                <c:pt idx="236">
                  <c:v>29.471679024140919</c:v>
                </c:pt>
                <c:pt idx="237">
                  <c:v>40.470849828991931</c:v>
                </c:pt>
                <c:pt idx="238">
                  <c:v>45.463068381364295</c:v>
                </c:pt>
                <c:pt idx="239">
                  <c:v>45.570949989627614</c:v>
                </c:pt>
                <c:pt idx="240">
                  <c:v>32.022618983205057</c:v>
                </c:pt>
                <c:pt idx="241">
                  <c:v>45.263920572427473</c:v>
                </c:pt>
                <c:pt idx="242">
                  <c:v>20.579972135068875</c:v>
                </c:pt>
                <c:pt idx="243">
                  <c:v>41.827287221985195</c:v>
                </c:pt>
                <c:pt idx="244">
                  <c:v>39.006557051280708</c:v>
                </c:pt>
                <c:pt idx="245">
                  <c:v>37.071060150045525</c:v>
                </c:pt>
                <c:pt idx="246">
                  <c:v>44.30007836999593</c:v>
                </c:pt>
                <c:pt idx="247">
                  <c:v>40.669916512559951</c:v>
                </c:pt>
                <c:pt idx="248">
                  <c:v>43.786592540002097</c:v>
                </c:pt>
                <c:pt idx="249">
                  <c:v>35.029952387311525</c:v>
                </c:pt>
                <c:pt idx="250">
                  <c:v>38.426556532928032</c:v>
                </c:pt>
                <c:pt idx="251">
                  <c:v>19.883416441786498</c:v>
                </c:pt>
                <c:pt idx="252">
                  <c:v>43.406078185639529</c:v>
                </c:pt>
                <c:pt idx="253">
                  <c:v>44.216231526897268</c:v>
                </c:pt>
                <c:pt idx="254">
                  <c:v>31.101821907139019</c:v>
                </c:pt>
                <c:pt idx="255">
                  <c:v>11.237165776004165</c:v>
                </c:pt>
                <c:pt idx="256">
                  <c:v>33.968421310170839</c:v>
                </c:pt>
                <c:pt idx="257">
                  <c:v>38.982797843915698</c:v>
                </c:pt>
                <c:pt idx="258">
                  <c:v>25.96177720097462</c:v>
                </c:pt>
                <c:pt idx="259">
                  <c:v>45.789266142469373</c:v>
                </c:pt>
                <c:pt idx="260">
                  <c:v>44.284419157370408</c:v>
                </c:pt>
                <c:pt idx="261">
                  <c:v>43.735271844360042</c:v>
                </c:pt>
                <c:pt idx="262">
                  <c:v>45.050517129988584</c:v>
                </c:pt>
                <c:pt idx="263">
                  <c:v>44.057915486480496</c:v>
                </c:pt>
                <c:pt idx="264">
                  <c:v>42.843929674002084</c:v>
                </c:pt>
                <c:pt idx="265">
                  <c:v>28.244207102281166</c:v>
                </c:pt>
                <c:pt idx="266">
                  <c:v>20.643444314098172</c:v>
                </c:pt>
                <c:pt idx="267">
                  <c:v>30.445072828574126</c:v>
                </c:pt>
                <c:pt idx="268">
                  <c:v>31.811474544742122</c:v>
                </c:pt>
                <c:pt idx="269">
                  <c:v>15.282401536434357</c:v>
                </c:pt>
                <c:pt idx="270">
                  <c:v>14.94438786051151</c:v>
                </c:pt>
                <c:pt idx="271">
                  <c:v>21.532966566813876</c:v>
                </c:pt>
                <c:pt idx="272">
                  <c:v>31.040492667389753</c:v>
                </c:pt>
                <c:pt idx="273">
                  <c:v>37.575362597132013</c:v>
                </c:pt>
                <c:pt idx="274">
                  <c:v>37.000846638495638</c:v>
                </c:pt>
                <c:pt idx="275">
                  <c:v>34.590772473727256</c:v>
                </c:pt>
                <c:pt idx="276">
                  <c:v>40.510380278522305</c:v>
                </c:pt>
                <c:pt idx="277">
                  <c:v>40.45608700207562</c:v>
                </c:pt>
                <c:pt idx="278">
                  <c:v>15.000448963297055</c:v>
                </c:pt>
                <c:pt idx="279">
                  <c:v>29.909516539355554</c:v>
                </c:pt>
                <c:pt idx="280">
                  <c:v>17.299674779863896</c:v>
                </c:pt>
                <c:pt idx="281">
                  <c:v>37.736069470631598</c:v>
                </c:pt>
                <c:pt idx="282">
                  <c:v>30.802241496541278</c:v>
                </c:pt>
                <c:pt idx="283">
                  <c:v>21.964173765491712</c:v>
                </c:pt>
                <c:pt idx="284">
                  <c:v>30.710810606452007</c:v>
                </c:pt>
                <c:pt idx="285">
                  <c:v>22.224810893866888</c:v>
                </c:pt>
                <c:pt idx="286">
                  <c:v>16.601433669606209</c:v>
                </c:pt>
                <c:pt idx="287">
                  <c:v>37.072692232308725</c:v>
                </c:pt>
                <c:pt idx="288">
                  <c:v>33.470128330538472</c:v>
                </c:pt>
                <c:pt idx="289">
                  <c:v>22.540452476328401</c:v>
                </c:pt>
                <c:pt idx="290">
                  <c:v>34.49490892512155</c:v>
                </c:pt>
                <c:pt idx="291">
                  <c:v>14.685398460951061</c:v>
                </c:pt>
                <c:pt idx="292">
                  <c:v>8.422764911554232</c:v>
                </c:pt>
                <c:pt idx="293">
                  <c:v>15.394265773808735</c:v>
                </c:pt>
                <c:pt idx="294">
                  <c:v>33.207868028452609</c:v>
                </c:pt>
                <c:pt idx="295">
                  <c:v>18.914289035435861</c:v>
                </c:pt>
                <c:pt idx="296">
                  <c:v>25.231908130454318</c:v>
                </c:pt>
                <c:pt idx="297">
                  <c:v>22.28329964734996</c:v>
                </c:pt>
                <c:pt idx="298">
                  <c:v>12.455851484586448</c:v>
                </c:pt>
                <c:pt idx="299">
                  <c:v>13.646858472301888</c:v>
                </c:pt>
                <c:pt idx="300">
                  <c:v>17.190579436627161</c:v>
                </c:pt>
                <c:pt idx="301">
                  <c:v>25.672821611976801</c:v>
                </c:pt>
                <c:pt idx="302">
                  <c:v>21.022534185384924</c:v>
                </c:pt>
                <c:pt idx="303">
                  <c:v>21.734329853069667</c:v>
                </c:pt>
                <c:pt idx="304">
                  <c:v>23.4186741572118</c:v>
                </c:pt>
                <c:pt idx="305">
                  <c:v>29.347155535397899</c:v>
                </c:pt>
                <c:pt idx="306">
                  <c:v>10.206281970517527</c:v>
                </c:pt>
                <c:pt idx="307">
                  <c:v>11.915545218929577</c:v>
                </c:pt>
                <c:pt idx="308">
                  <c:v>31.306966088460424</c:v>
                </c:pt>
                <c:pt idx="309">
                  <c:v>30.942990232727873</c:v>
                </c:pt>
                <c:pt idx="310">
                  <c:v>29.57968451048793</c:v>
                </c:pt>
                <c:pt idx="311">
                  <c:v>20.236769181075992</c:v>
                </c:pt>
                <c:pt idx="312">
                  <c:v>10.705086168749297</c:v>
                </c:pt>
                <c:pt idx="313">
                  <c:v>23.878095333811196</c:v>
                </c:pt>
                <c:pt idx="314">
                  <c:v>29.765212303083501</c:v>
                </c:pt>
                <c:pt idx="315">
                  <c:v>28.424469223148797</c:v>
                </c:pt>
                <c:pt idx="316">
                  <c:v>28.614556942663963</c:v>
                </c:pt>
                <c:pt idx="317">
                  <c:v>10.696671001828896</c:v>
                </c:pt>
                <c:pt idx="318">
                  <c:v>12.775838824596375</c:v>
                </c:pt>
                <c:pt idx="319">
                  <c:v>28.310552678845355</c:v>
                </c:pt>
                <c:pt idx="320">
                  <c:v>15.12870787150008</c:v>
                </c:pt>
                <c:pt idx="321">
                  <c:v>13.814938341530368</c:v>
                </c:pt>
                <c:pt idx="322">
                  <c:v>5.9589014289584981</c:v>
                </c:pt>
                <c:pt idx="323">
                  <c:v>17.650549728114505</c:v>
                </c:pt>
                <c:pt idx="324">
                  <c:v>3.5232617258535841</c:v>
                </c:pt>
                <c:pt idx="325">
                  <c:v>7.8054837065663305</c:v>
                </c:pt>
                <c:pt idx="326">
                  <c:v>12.112063467973973</c:v>
                </c:pt>
                <c:pt idx="327">
                  <c:v>14.308206800088605</c:v>
                </c:pt>
                <c:pt idx="328">
                  <c:v>4.4012300847072341</c:v>
                </c:pt>
                <c:pt idx="329">
                  <c:v>13.653717089576284</c:v>
                </c:pt>
                <c:pt idx="330">
                  <c:v>14.544401656395339</c:v>
                </c:pt>
                <c:pt idx="331">
                  <c:v>9.3900174452281568</c:v>
                </c:pt>
                <c:pt idx="332">
                  <c:v>13.21280252977591</c:v>
                </c:pt>
                <c:pt idx="333">
                  <c:v>4.2978878142834045</c:v>
                </c:pt>
                <c:pt idx="334">
                  <c:v>3.4762316567269913</c:v>
                </c:pt>
                <c:pt idx="335">
                  <c:v>6.5656021694511164</c:v>
                </c:pt>
                <c:pt idx="336">
                  <c:v>7.3899583647636371</c:v>
                </c:pt>
                <c:pt idx="337">
                  <c:v>20.482476010309018</c:v>
                </c:pt>
                <c:pt idx="338">
                  <c:v>26.008176243077088</c:v>
                </c:pt>
                <c:pt idx="339">
                  <c:v>11.348845021780916</c:v>
                </c:pt>
                <c:pt idx="340">
                  <c:v>20.388096259564104</c:v>
                </c:pt>
                <c:pt idx="341">
                  <c:v>4.6760404429184401</c:v>
                </c:pt>
                <c:pt idx="342">
                  <c:v>5.693721434313562</c:v>
                </c:pt>
                <c:pt idx="343">
                  <c:v>14.18645897509076</c:v>
                </c:pt>
                <c:pt idx="344">
                  <c:v>17.29549172452052</c:v>
                </c:pt>
                <c:pt idx="345">
                  <c:v>5.1073442131753213</c:v>
                </c:pt>
                <c:pt idx="346">
                  <c:v>5.5995162622212353</c:v>
                </c:pt>
                <c:pt idx="347">
                  <c:v>17.203458825553444</c:v>
                </c:pt>
                <c:pt idx="348">
                  <c:v>7.2050362622288269</c:v>
                </c:pt>
                <c:pt idx="349">
                  <c:v>4.8942778202601804</c:v>
                </c:pt>
                <c:pt idx="350">
                  <c:v>2.7374562360478381</c:v>
                </c:pt>
                <c:pt idx="351">
                  <c:v>21.580569548527791</c:v>
                </c:pt>
                <c:pt idx="352">
                  <c:v>18.267063294474077</c:v>
                </c:pt>
                <c:pt idx="353">
                  <c:v>4.4503630138733472</c:v>
                </c:pt>
                <c:pt idx="354">
                  <c:v>22.490930790317481</c:v>
                </c:pt>
                <c:pt idx="355">
                  <c:v>17.391852646171891</c:v>
                </c:pt>
                <c:pt idx="356">
                  <c:v>17.940134253947374</c:v>
                </c:pt>
                <c:pt idx="357">
                  <c:v>23.51429423821385</c:v>
                </c:pt>
                <c:pt idx="358">
                  <c:v>13.77392795220304</c:v>
                </c:pt>
                <c:pt idx="359">
                  <c:v>22.739905884412945</c:v>
                </c:pt>
                <c:pt idx="360">
                  <c:v>6.1759328026492328</c:v>
                </c:pt>
                <c:pt idx="361">
                  <c:v>24.076716695711909</c:v>
                </c:pt>
                <c:pt idx="362">
                  <c:v>10.4838142738681</c:v>
                </c:pt>
                <c:pt idx="363">
                  <c:v>15.057353540031951</c:v>
                </c:pt>
                <c:pt idx="364">
                  <c:v>11.386994143200267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24.48628465342755</c:v>
                </c:pt>
                <c:pt idx="1">
                  <c:v>17.111978661233429</c:v>
                </c:pt>
                <c:pt idx="2">
                  <c:v>18.126268165137468</c:v>
                </c:pt>
                <c:pt idx="3">
                  <c:v>18.95096059978767</c:v>
                </c:pt>
                <c:pt idx="4">
                  <c:v>13.385810404983586</c:v>
                </c:pt>
                <c:pt idx="5">
                  <c:v>24.617861630340958</c:v>
                </c:pt>
                <c:pt idx="6">
                  <c:v>8.9470911694242954</c:v>
                </c:pt>
                <c:pt idx="7">
                  <c:v>5.1861868688495578</c:v>
                </c:pt>
                <c:pt idx="8">
                  <c:v>1.5419103265144223</c:v>
                </c:pt>
                <c:pt idx="9">
                  <c:v>1.4266718825251277</c:v>
                </c:pt>
                <c:pt idx="10">
                  <c:v>26.466423205124407</c:v>
                </c:pt>
                <c:pt idx="11">
                  <c:v>21.463627823504542</c:v>
                </c:pt>
                <c:pt idx="12">
                  <c:v>5.0145469893503698</c:v>
                </c:pt>
                <c:pt idx="13">
                  <c:v>27.463504783411011</c:v>
                </c:pt>
                <c:pt idx="14">
                  <c:v>27.307371086062634</c:v>
                </c:pt>
                <c:pt idx="15">
                  <c:v>27.008014103869229</c:v>
                </c:pt>
                <c:pt idx="16">
                  <c:v>18.717318362908028</c:v>
                </c:pt>
                <c:pt idx="17">
                  <c:v>4.0043738426027593</c:v>
                </c:pt>
                <c:pt idx="18">
                  <c:v>9.6998950436770794</c:v>
                </c:pt>
                <c:pt idx="19">
                  <c:v>5.3541788866619733</c:v>
                </c:pt>
                <c:pt idx="20">
                  <c:v>15.751167955079222</c:v>
                </c:pt>
                <c:pt idx="21">
                  <c:v>28.452534989361421</c:v>
                </c:pt>
                <c:pt idx="22">
                  <c:v>28.508332083192936</c:v>
                </c:pt>
                <c:pt idx="23">
                  <c:v>28.775666878875072</c:v>
                </c:pt>
                <c:pt idx="24">
                  <c:v>28.342204173598265</c:v>
                </c:pt>
                <c:pt idx="25">
                  <c:v>29.07170364506668</c:v>
                </c:pt>
                <c:pt idx="26">
                  <c:v>28.804234901102156</c:v>
                </c:pt>
                <c:pt idx="27">
                  <c:v>3.9021409768756876</c:v>
                </c:pt>
                <c:pt idx="28">
                  <c:v>5.8008867591269571</c:v>
                </c:pt>
                <c:pt idx="29">
                  <c:v>4.7564805367740695</c:v>
                </c:pt>
                <c:pt idx="30">
                  <c:v>6.5263827169584241</c:v>
                </c:pt>
                <c:pt idx="31">
                  <c:v>13.50182966468493</c:v>
                </c:pt>
                <c:pt idx="32">
                  <c:v>5.0808957577755081</c:v>
                </c:pt>
                <c:pt idx="33">
                  <c:v>11.112980140112775</c:v>
                </c:pt>
                <c:pt idx="34">
                  <c:v>10.657764353732672</c:v>
                </c:pt>
                <c:pt idx="35">
                  <c:v>10.069106672988108</c:v>
                </c:pt>
                <c:pt idx="36">
                  <c:v>22.219516682603007</c:v>
                </c:pt>
                <c:pt idx="37">
                  <c:v>8.7504912288040053</c:v>
                </c:pt>
                <c:pt idx="38">
                  <c:v>33.79722104829046</c:v>
                </c:pt>
                <c:pt idx="39">
                  <c:v>33.872017936495439</c:v>
                </c:pt>
                <c:pt idx="40">
                  <c:v>31.471619986815927</c:v>
                </c:pt>
                <c:pt idx="41">
                  <c:v>15.842576585647052</c:v>
                </c:pt>
                <c:pt idx="42">
                  <c:v>26.349602814872149</c:v>
                </c:pt>
                <c:pt idx="43">
                  <c:v>32.20015817454324</c:v>
                </c:pt>
                <c:pt idx="44">
                  <c:v>17.863021844284763</c:v>
                </c:pt>
                <c:pt idx="45">
                  <c:v>17.603227362747809</c:v>
                </c:pt>
                <c:pt idx="46">
                  <c:v>7.6561772269295219</c:v>
                </c:pt>
                <c:pt idx="47">
                  <c:v>8.9470294224688338</c:v>
                </c:pt>
                <c:pt idx="48">
                  <c:v>29.323001021581831</c:v>
                </c:pt>
                <c:pt idx="49">
                  <c:v>17.87956943635016</c:v>
                </c:pt>
                <c:pt idx="50">
                  <c:v>21.07473363279351</c:v>
                </c:pt>
                <c:pt idx="51">
                  <c:v>20.750681378653439</c:v>
                </c:pt>
                <c:pt idx="52">
                  <c:v>33.979101072073611</c:v>
                </c:pt>
                <c:pt idx="53">
                  <c:v>35.443033713369964</c:v>
                </c:pt>
                <c:pt idx="54">
                  <c:v>20.16120527977473</c:v>
                </c:pt>
                <c:pt idx="55">
                  <c:v>29.322299497517093</c:v>
                </c:pt>
                <c:pt idx="56">
                  <c:v>39.576781907879543</c:v>
                </c:pt>
                <c:pt idx="57">
                  <c:v>27.313161691848116</c:v>
                </c:pt>
                <c:pt idx="58">
                  <c:v>31.644951294758815</c:v>
                </c:pt>
                <c:pt idx="59">
                  <c:v>40.446832493154083</c:v>
                </c:pt>
                <c:pt idx="60">
                  <c:v>10.200329263243104</c:v>
                </c:pt>
                <c:pt idx="61">
                  <c:v>38.243752115146656</c:v>
                </c:pt>
                <c:pt idx="62">
                  <c:v>4.0889002330071476</c:v>
                </c:pt>
                <c:pt idx="63">
                  <c:v>14.537221147208824</c:v>
                </c:pt>
                <c:pt idx="64">
                  <c:v>20.58188910176084</c:v>
                </c:pt>
                <c:pt idx="65">
                  <c:v>31.228876895641225</c:v>
                </c:pt>
                <c:pt idx="66">
                  <c:v>29.957551688324646</c:v>
                </c:pt>
                <c:pt idx="67">
                  <c:v>31.620851635307904</c:v>
                </c:pt>
                <c:pt idx="68">
                  <c:v>22.885287218594286</c:v>
                </c:pt>
                <c:pt idx="69">
                  <c:v>15.258461554863439</c:v>
                </c:pt>
                <c:pt idx="70">
                  <c:v>12.599705270502685</c:v>
                </c:pt>
                <c:pt idx="71">
                  <c:v>11.860125078857227</c:v>
                </c:pt>
                <c:pt idx="72">
                  <c:v>12.529735818257972</c:v>
                </c:pt>
                <c:pt idx="73">
                  <c:v>14.224810098114611</c:v>
                </c:pt>
                <c:pt idx="74">
                  <c:v>9.7640174048078592</c:v>
                </c:pt>
                <c:pt idx="75">
                  <c:v>10.573297953313135</c:v>
                </c:pt>
                <c:pt idx="76">
                  <c:v>12.968175564978706</c:v>
                </c:pt>
                <c:pt idx="77">
                  <c:v>29.714620870976557</c:v>
                </c:pt>
                <c:pt idx="78">
                  <c:v>30.636408944244604</c:v>
                </c:pt>
                <c:pt idx="79">
                  <c:v>44.177868253023789</c:v>
                </c:pt>
                <c:pt idx="80">
                  <c:v>38.984914693589396</c:v>
                </c:pt>
                <c:pt idx="81">
                  <c:v>45.906688189216418</c:v>
                </c:pt>
                <c:pt idx="82">
                  <c:v>43.209380712038531</c:v>
                </c:pt>
                <c:pt idx="83">
                  <c:v>39.33656883447518</c:v>
                </c:pt>
                <c:pt idx="84">
                  <c:v>42.72765587097436</c:v>
                </c:pt>
                <c:pt idx="85">
                  <c:v>43.430515752117287</c:v>
                </c:pt>
                <c:pt idx="86">
                  <c:v>33.319371328679765</c:v>
                </c:pt>
                <c:pt idx="87">
                  <c:v>26.258788361133245</c:v>
                </c:pt>
                <c:pt idx="88">
                  <c:v>6.854513332128926</c:v>
                </c:pt>
                <c:pt idx="89">
                  <c:v>20.403735040543193</c:v>
                </c:pt>
                <c:pt idx="90">
                  <c:v>30.393078156662813</c:v>
                </c:pt>
                <c:pt idx="91">
                  <c:v>18.643069479165092</c:v>
                </c:pt>
                <c:pt idx="92">
                  <c:v>23.808774990415891</c:v>
                </c:pt>
                <c:pt idx="93">
                  <c:v>41.753253316431895</c:v>
                </c:pt>
                <c:pt idx="94">
                  <c:v>48.116794826759573</c:v>
                </c:pt>
                <c:pt idx="95">
                  <c:v>11.30053345660159</c:v>
                </c:pt>
                <c:pt idx="96">
                  <c:v>37.22318174440916</c:v>
                </c:pt>
                <c:pt idx="97">
                  <c:v>30.201955032752753</c:v>
                </c:pt>
                <c:pt idx="98">
                  <c:v>32.962650726479765</c:v>
                </c:pt>
                <c:pt idx="99">
                  <c:v>50.391421547252044</c:v>
                </c:pt>
                <c:pt idx="100">
                  <c:v>41.582390841590474</c:v>
                </c:pt>
                <c:pt idx="101">
                  <c:v>2.3495876272963137</c:v>
                </c:pt>
                <c:pt idx="102">
                  <c:v>0</c:v>
                </c:pt>
                <c:pt idx="103">
                  <c:v>39.465757250503053</c:v>
                </c:pt>
                <c:pt idx="104">
                  <c:v>43.924954571205888</c:v>
                </c:pt>
                <c:pt idx="105">
                  <c:v>39.521114192375279</c:v>
                </c:pt>
                <c:pt idx="106">
                  <c:v>49.906835519347617</c:v>
                </c:pt>
                <c:pt idx="107">
                  <c:v>35.588089062914186</c:v>
                </c:pt>
                <c:pt idx="108">
                  <c:v>8.5188952996796239</c:v>
                </c:pt>
                <c:pt idx="109">
                  <c:v>9.6115488146538652</c:v>
                </c:pt>
                <c:pt idx="110">
                  <c:v>8.6806097271227678</c:v>
                </c:pt>
                <c:pt idx="111">
                  <c:v>26.246434318331801</c:v>
                </c:pt>
                <c:pt idx="112">
                  <c:v>9.0186587180407471</c:v>
                </c:pt>
                <c:pt idx="113">
                  <c:v>23.182900274020771</c:v>
                </c:pt>
                <c:pt idx="114">
                  <c:v>43.969110135070189</c:v>
                </c:pt>
                <c:pt idx="115">
                  <c:v>49.176146698993975</c:v>
                </c:pt>
                <c:pt idx="116">
                  <c:v>36.248454036567011</c:v>
                </c:pt>
                <c:pt idx="117">
                  <c:v>19.495258290241125</c:v>
                </c:pt>
                <c:pt idx="118">
                  <c:v>39.468451097824691</c:v>
                </c:pt>
                <c:pt idx="119">
                  <c:v>41.624624717683275</c:v>
                </c:pt>
                <c:pt idx="120">
                  <c:v>46.592069929376045</c:v>
                </c:pt>
                <c:pt idx="121">
                  <c:v>27.292765351491287</c:v>
                </c:pt>
                <c:pt idx="122">
                  <c:v>31.172911377787855</c:v>
                </c:pt>
                <c:pt idx="123">
                  <c:v>18.386583745311633</c:v>
                </c:pt>
                <c:pt idx="124">
                  <c:v>38.61448614799788</c:v>
                </c:pt>
                <c:pt idx="125">
                  <c:v>36.062064774415958</c:v>
                </c:pt>
                <c:pt idx="126">
                  <c:v>46.663707011299145</c:v>
                </c:pt>
                <c:pt idx="127">
                  <c:v>48.681484115292214</c:v>
                </c:pt>
                <c:pt idx="128">
                  <c:v>52.957587448471116</c:v>
                </c:pt>
                <c:pt idx="129">
                  <c:v>50.473676759345942</c:v>
                </c:pt>
                <c:pt idx="130">
                  <c:v>54.145772170725216</c:v>
                </c:pt>
                <c:pt idx="131">
                  <c:v>41.683164783407427</c:v>
                </c:pt>
                <c:pt idx="132">
                  <c:v>38.168933686436908</c:v>
                </c:pt>
                <c:pt idx="133">
                  <c:v>49.818921032513565</c:v>
                </c:pt>
                <c:pt idx="134">
                  <c:v>50.827979043889272</c:v>
                </c:pt>
                <c:pt idx="135">
                  <c:v>48.944043373913736</c:v>
                </c:pt>
                <c:pt idx="136">
                  <c:v>52.407531119551685</c:v>
                </c:pt>
                <c:pt idx="137">
                  <c:v>50.772940770795678</c:v>
                </c:pt>
                <c:pt idx="138">
                  <c:v>53.041841419217313</c:v>
                </c:pt>
                <c:pt idx="139">
                  <c:v>48.112105983763357</c:v>
                </c:pt>
                <c:pt idx="140">
                  <c:v>48.702530798607782</c:v>
                </c:pt>
                <c:pt idx="141">
                  <c:v>37.25610649541666</c:v>
                </c:pt>
                <c:pt idx="142">
                  <c:v>17.401608853809318</c:v>
                </c:pt>
                <c:pt idx="143">
                  <c:v>16.542441636004593</c:v>
                </c:pt>
                <c:pt idx="144">
                  <c:v>38.536363662265174</c:v>
                </c:pt>
                <c:pt idx="145">
                  <c:v>26.224898282383215</c:v>
                </c:pt>
                <c:pt idx="146">
                  <c:v>41.795908877540576</c:v>
                </c:pt>
                <c:pt idx="147">
                  <c:v>51.482798238902213</c:v>
                </c:pt>
                <c:pt idx="148">
                  <c:v>55.743559569472566</c:v>
                </c:pt>
                <c:pt idx="149">
                  <c:v>46.709572743981397</c:v>
                </c:pt>
                <c:pt idx="150">
                  <c:v>51.901313079683497</c:v>
                </c:pt>
                <c:pt idx="151">
                  <c:v>52.756613242381853</c:v>
                </c:pt>
                <c:pt idx="152">
                  <c:v>41.764177238861734</c:v>
                </c:pt>
                <c:pt idx="153">
                  <c:v>52.463832424851489</c:v>
                </c:pt>
                <c:pt idx="154">
                  <c:v>21.729210850421687</c:v>
                </c:pt>
                <c:pt idx="155">
                  <c:v>30.658003880709167</c:v>
                </c:pt>
                <c:pt idx="156">
                  <c:v>45.933820801214175</c:v>
                </c:pt>
                <c:pt idx="157">
                  <c:v>26.893753030697464</c:v>
                </c:pt>
                <c:pt idx="158">
                  <c:v>19.996641860544472</c:v>
                </c:pt>
                <c:pt idx="159">
                  <c:v>44.430153632036848</c:v>
                </c:pt>
                <c:pt idx="160">
                  <c:v>54.403726608871757</c:v>
                </c:pt>
                <c:pt idx="161">
                  <c:v>52.92433416882713</c:v>
                </c:pt>
                <c:pt idx="162">
                  <c:v>40.568251993521194</c:v>
                </c:pt>
                <c:pt idx="163">
                  <c:v>49.837955385205355</c:v>
                </c:pt>
                <c:pt idx="164">
                  <c:v>47.451629775360054</c:v>
                </c:pt>
                <c:pt idx="165">
                  <c:v>50.94334939765497</c:v>
                </c:pt>
                <c:pt idx="166">
                  <c:v>49.43847569523718</c:v>
                </c:pt>
                <c:pt idx="167">
                  <c:v>50.084802132134058</c:v>
                </c:pt>
                <c:pt idx="168">
                  <c:v>51.773162837422063</c:v>
                </c:pt>
                <c:pt idx="169">
                  <c:v>52.862868182351562</c:v>
                </c:pt>
                <c:pt idx="170">
                  <c:v>33.343197104331026</c:v>
                </c:pt>
                <c:pt idx="171">
                  <c:v>23.573704466910858</c:v>
                </c:pt>
                <c:pt idx="172">
                  <c:v>41.6269371975282</c:v>
                </c:pt>
                <c:pt idx="173">
                  <c:v>41.264156889870755</c:v>
                </c:pt>
                <c:pt idx="174">
                  <c:v>39.304513129362789</c:v>
                </c:pt>
                <c:pt idx="175">
                  <c:v>33.723368256847145</c:v>
                </c:pt>
                <c:pt idx="176">
                  <c:v>10.926885295914895</c:v>
                </c:pt>
                <c:pt idx="177">
                  <c:v>10.245235553364603</c:v>
                </c:pt>
                <c:pt idx="178">
                  <c:v>52.758333668601786</c:v>
                </c:pt>
                <c:pt idx="179">
                  <c:v>53.582915754606454</c:v>
                </c:pt>
                <c:pt idx="180">
                  <c:v>12.20200069554029</c:v>
                </c:pt>
                <c:pt idx="181">
                  <c:v>45.666881020151195</c:v>
                </c:pt>
                <c:pt idx="182">
                  <c:v>52.557237662372778</c:v>
                </c:pt>
                <c:pt idx="183">
                  <c:v>45.454977814728487</c:v>
                </c:pt>
                <c:pt idx="184">
                  <c:v>43.347679974049342</c:v>
                </c:pt>
                <c:pt idx="185">
                  <c:v>52.782481584370771</c:v>
                </c:pt>
                <c:pt idx="186">
                  <c:v>43.239043130117714</c:v>
                </c:pt>
                <c:pt idx="187">
                  <c:v>51.075968009993957</c:v>
                </c:pt>
                <c:pt idx="188">
                  <c:v>53.529713623712205</c:v>
                </c:pt>
                <c:pt idx="189">
                  <c:v>52.921490149576883</c:v>
                </c:pt>
                <c:pt idx="190">
                  <c:v>52.572657068917508</c:v>
                </c:pt>
                <c:pt idx="191">
                  <c:v>51.319677276661984</c:v>
                </c:pt>
                <c:pt idx="192">
                  <c:v>50.877691770562912</c:v>
                </c:pt>
                <c:pt idx="193">
                  <c:v>51.134416321982265</c:v>
                </c:pt>
                <c:pt idx="194">
                  <c:v>50.338725309180191</c:v>
                </c:pt>
                <c:pt idx="195">
                  <c:v>48.280290837588566</c:v>
                </c:pt>
                <c:pt idx="196">
                  <c:v>50.108654749138708</c:v>
                </c:pt>
                <c:pt idx="197">
                  <c:v>50.080592399182315</c:v>
                </c:pt>
                <c:pt idx="198">
                  <c:v>50.862688854587986</c:v>
                </c:pt>
                <c:pt idx="199">
                  <c:v>34.742869577758761</c:v>
                </c:pt>
                <c:pt idx="200">
                  <c:v>39.5489847315785</c:v>
                </c:pt>
                <c:pt idx="201">
                  <c:v>49.358818388917101</c:v>
                </c:pt>
                <c:pt idx="202">
                  <c:v>37.671858556094868</c:v>
                </c:pt>
                <c:pt idx="203">
                  <c:v>42.028695072005469</c:v>
                </c:pt>
                <c:pt idx="204">
                  <c:v>49.75962513995534</c:v>
                </c:pt>
                <c:pt idx="205">
                  <c:v>25.576972977831353</c:v>
                </c:pt>
                <c:pt idx="206">
                  <c:v>48.622650849126458</c:v>
                </c:pt>
                <c:pt idx="207">
                  <c:v>52.644655381183028</c:v>
                </c:pt>
                <c:pt idx="208">
                  <c:v>41.823749184716448</c:v>
                </c:pt>
                <c:pt idx="209">
                  <c:v>27.858337263024261</c:v>
                </c:pt>
                <c:pt idx="210">
                  <c:v>41.981125642984814</c:v>
                </c:pt>
                <c:pt idx="211">
                  <c:v>50.463928384309568</c:v>
                </c:pt>
                <c:pt idx="212">
                  <c:v>50.389085651242077</c:v>
                </c:pt>
                <c:pt idx="213">
                  <c:v>50.434885895869691</c:v>
                </c:pt>
                <c:pt idx="214">
                  <c:v>48.83736894250044</c:v>
                </c:pt>
                <c:pt idx="215">
                  <c:v>48.307925502701607</c:v>
                </c:pt>
                <c:pt idx="216">
                  <c:v>43.554589142235436</c:v>
                </c:pt>
                <c:pt idx="217">
                  <c:v>46.04282449569034</c:v>
                </c:pt>
                <c:pt idx="218">
                  <c:v>49.11571330019175</c:v>
                </c:pt>
                <c:pt idx="219">
                  <c:v>49.713285405928644</c:v>
                </c:pt>
                <c:pt idx="220">
                  <c:v>47.896280199123652</c:v>
                </c:pt>
                <c:pt idx="221">
                  <c:v>46.520573028363579</c:v>
                </c:pt>
                <c:pt idx="222">
                  <c:v>44.01587670168918</c:v>
                </c:pt>
                <c:pt idx="223">
                  <c:v>45.391095704344153</c:v>
                </c:pt>
                <c:pt idx="224">
                  <c:v>35.628520011540914</c:v>
                </c:pt>
                <c:pt idx="225">
                  <c:v>32.632879680872229</c:v>
                </c:pt>
                <c:pt idx="226">
                  <c:v>37.006759708942425</c:v>
                </c:pt>
                <c:pt idx="227">
                  <c:v>34.271006175088218</c:v>
                </c:pt>
                <c:pt idx="228">
                  <c:v>25.015917284766861</c:v>
                </c:pt>
                <c:pt idx="229">
                  <c:v>33.282013624872448</c:v>
                </c:pt>
                <c:pt idx="230">
                  <c:v>33.960640754090484</c:v>
                </c:pt>
                <c:pt idx="231">
                  <c:v>47.898837905225861</c:v>
                </c:pt>
                <c:pt idx="232">
                  <c:v>31.830252995940629</c:v>
                </c:pt>
                <c:pt idx="233">
                  <c:v>22.786319623237109</c:v>
                </c:pt>
                <c:pt idx="234">
                  <c:v>44.211061911452525</c:v>
                </c:pt>
                <c:pt idx="235">
                  <c:v>45.638592818449652</c:v>
                </c:pt>
                <c:pt idx="236">
                  <c:v>29.471679024140919</c:v>
                </c:pt>
                <c:pt idx="237">
                  <c:v>40.470849828991931</c:v>
                </c:pt>
                <c:pt idx="238">
                  <c:v>45.463068381364295</c:v>
                </c:pt>
                <c:pt idx="239">
                  <c:v>45.570949989627614</c:v>
                </c:pt>
                <c:pt idx="240">
                  <c:v>32.022618983205057</c:v>
                </c:pt>
                <c:pt idx="241">
                  <c:v>45.263920572427473</c:v>
                </c:pt>
                <c:pt idx="242">
                  <c:v>20.579972135068875</c:v>
                </c:pt>
                <c:pt idx="243">
                  <c:v>41.827287221985195</c:v>
                </c:pt>
                <c:pt idx="244">
                  <c:v>39.006557051280708</c:v>
                </c:pt>
                <c:pt idx="245">
                  <c:v>37.071060150045525</c:v>
                </c:pt>
                <c:pt idx="246">
                  <c:v>44.30007836999593</c:v>
                </c:pt>
                <c:pt idx="247">
                  <c:v>40.669916512559951</c:v>
                </c:pt>
                <c:pt idx="248">
                  <c:v>43.786592540002097</c:v>
                </c:pt>
                <c:pt idx="249">
                  <c:v>35.029952387311525</c:v>
                </c:pt>
                <c:pt idx="250">
                  <c:v>38.426556532928032</c:v>
                </c:pt>
                <c:pt idx="251">
                  <c:v>19.883416441786498</c:v>
                </c:pt>
                <c:pt idx="252">
                  <c:v>43.406078185639529</c:v>
                </c:pt>
                <c:pt idx="253">
                  <c:v>44.216231526897268</c:v>
                </c:pt>
                <c:pt idx="254">
                  <c:v>31.101821907139019</c:v>
                </c:pt>
                <c:pt idx="255">
                  <c:v>11.237165776004165</c:v>
                </c:pt>
                <c:pt idx="256">
                  <c:v>33.968421310170839</c:v>
                </c:pt>
                <c:pt idx="257">
                  <c:v>38.982797843915698</c:v>
                </c:pt>
                <c:pt idx="258">
                  <c:v>25.96177720097462</c:v>
                </c:pt>
                <c:pt idx="259">
                  <c:v>45.789266142469373</c:v>
                </c:pt>
                <c:pt idx="260">
                  <c:v>44.284419157370408</c:v>
                </c:pt>
                <c:pt idx="261">
                  <c:v>43.735271844360042</c:v>
                </c:pt>
                <c:pt idx="262">
                  <c:v>45.050517129988584</c:v>
                </c:pt>
                <c:pt idx="263">
                  <c:v>44.057915486480496</c:v>
                </c:pt>
                <c:pt idx="264">
                  <c:v>42.843929674002084</c:v>
                </c:pt>
                <c:pt idx="265">
                  <c:v>28.244207102281166</c:v>
                </c:pt>
                <c:pt idx="266">
                  <c:v>20.643444314098172</c:v>
                </c:pt>
                <c:pt idx="267">
                  <c:v>30.445072828574126</c:v>
                </c:pt>
                <c:pt idx="268">
                  <c:v>31.811474544742122</c:v>
                </c:pt>
                <c:pt idx="269">
                  <c:v>15.282401536434357</c:v>
                </c:pt>
                <c:pt idx="270">
                  <c:v>14.94438786051151</c:v>
                </c:pt>
                <c:pt idx="271">
                  <c:v>21.532966566813876</c:v>
                </c:pt>
                <c:pt idx="272">
                  <c:v>31.040492667389753</c:v>
                </c:pt>
                <c:pt idx="273">
                  <c:v>37.575362597132013</c:v>
                </c:pt>
                <c:pt idx="274">
                  <c:v>37.000846638495638</c:v>
                </c:pt>
                <c:pt idx="275">
                  <c:v>34.590772473727256</c:v>
                </c:pt>
                <c:pt idx="276">
                  <c:v>40.510380278522305</c:v>
                </c:pt>
                <c:pt idx="277">
                  <c:v>40.45608700207562</c:v>
                </c:pt>
                <c:pt idx="278">
                  <c:v>15.000448963297055</c:v>
                </c:pt>
                <c:pt idx="279">
                  <c:v>29.909516539355554</c:v>
                </c:pt>
                <c:pt idx="280">
                  <c:v>17.299674779863896</c:v>
                </c:pt>
                <c:pt idx="281">
                  <c:v>37.736069470631598</c:v>
                </c:pt>
                <c:pt idx="282">
                  <c:v>30.802241496541278</c:v>
                </c:pt>
                <c:pt idx="283">
                  <c:v>21.964173765491712</c:v>
                </c:pt>
                <c:pt idx="284">
                  <c:v>30.710810606452007</c:v>
                </c:pt>
                <c:pt idx="285">
                  <c:v>22.224810893866888</c:v>
                </c:pt>
                <c:pt idx="286">
                  <c:v>16.601433669606209</c:v>
                </c:pt>
                <c:pt idx="287">
                  <c:v>37.072692232308725</c:v>
                </c:pt>
                <c:pt idx="288">
                  <c:v>33.470128330538472</c:v>
                </c:pt>
                <c:pt idx="289">
                  <c:v>22.540452476328401</c:v>
                </c:pt>
                <c:pt idx="290">
                  <c:v>34.49490892512155</c:v>
                </c:pt>
                <c:pt idx="291">
                  <c:v>14.685398460951061</c:v>
                </c:pt>
                <c:pt idx="292">
                  <c:v>8.422764911554232</c:v>
                </c:pt>
                <c:pt idx="293">
                  <c:v>15.394265773808735</c:v>
                </c:pt>
                <c:pt idx="294">
                  <c:v>33.207868028452609</c:v>
                </c:pt>
                <c:pt idx="295">
                  <c:v>18.914289035435861</c:v>
                </c:pt>
                <c:pt idx="296">
                  <c:v>25.231908130454318</c:v>
                </c:pt>
                <c:pt idx="297">
                  <c:v>22.28329964734996</c:v>
                </c:pt>
                <c:pt idx="298">
                  <c:v>12.455851484586448</c:v>
                </c:pt>
                <c:pt idx="299">
                  <c:v>13.646858472301888</c:v>
                </c:pt>
                <c:pt idx="300">
                  <c:v>17.190579436627161</c:v>
                </c:pt>
                <c:pt idx="301">
                  <c:v>25.672821611976801</c:v>
                </c:pt>
                <c:pt idx="302">
                  <c:v>21.022534185384924</c:v>
                </c:pt>
                <c:pt idx="303">
                  <c:v>21.734329853069667</c:v>
                </c:pt>
                <c:pt idx="304">
                  <c:v>23.4186741572118</c:v>
                </c:pt>
                <c:pt idx="305">
                  <c:v>29.347155535397899</c:v>
                </c:pt>
                <c:pt idx="306">
                  <c:v>10.206281970517527</c:v>
                </c:pt>
                <c:pt idx="307">
                  <c:v>11.915545218929577</c:v>
                </c:pt>
                <c:pt idx="308">
                  <c:v>31.306966088460424</c:v>
                </c:pt>
                <c:pt idx="309">
                  <c:v>30.942990232727873</c:v>
                </c:pt>
                <c:pt idx="310">
                  <c:v>29.57968451048793</c:v>
                </c:pt>
                <c:pt idx="311">
                  <c:v>20.236769181075992</c:v>
                </c:pt>
                <c:pt idx="312">
                  <c:v>10.705086168749297</c:v>
                </c:pt>
                <c:pt idx="313">
                  <c:v>23.878095333811196</c:v>
                </c:pt>
                <c:pt idx="314">
                  <c:v>29.765212303083501</c:v>
                </c:pt>
                <c:pt idx="315">
                  <c:v>28.424469223148797</c:v>
                </c:pt>
                <c:pt idx="316">
                  <c:v>28.614556942663963</c:v>
                </c:pt>
                <c:pt idx="317">
                  <c:v>10.696671001828896</c:v>
                </c:pt>
                <c:pt idx="318">
                  <c:v>12.775838824596375</c:v>
                </c:pt>
                <c:pt idx="319">
                  <c:v>28.310552678845355</c:v>
                </c:pt>
                <c:pt idx="320">
                  <c:v>15.12870787150008</c:v>
                </c:pt>
                <c:pt idx="321">
                  <c:v>13.814938341530368</c:v>
                </c:pt>
                <c:pt idx="322">
                  <c:v>5.9589014289584981</c:v>
                </c:pt>
                <c:pt idx="323">
                  <c:v>17.650549728114505</c:v>
                </c:pt>
                <c:pt idx="324">
                  <c:v>3.5232617258535841</c:v>
                </c:pt>
                <c:pt idx="325">
                  <c:v>7.8054837065663305</c:v>
                </c:pt>
                <c:pt idx="326">
                  <c:v>12.112063467973973</c:v>
                </c:pt>
                <c:pt idx="327">
                  <c:v>14.308206800088605</c:v>
                </c:pt>
                <c:pt idx="328">
                  <c:v>4.4012300847072341</c:v>
                </c:pt>
                <c:pt idx="329">
                  <c:v>13.653717089576284</c:v>
                </c:pt>
                <c:pt idx="330">
                  <c:v>14.544401656395339</c:v>
                </c:pt>
                <c:pt idx="331">
                  <c:v>9.3900174452281568</c:v>
                </c:pt>
                <c:pt idx="332">
                  <c:v>13.21280252977591</c:v>
                </c:pt>
                <c:pt idx="333">
                  <c:v>4.2978878142834045</c:v>
                </c:pt>
                <c:pt idx="334">
                  <c:v>3.4762316567269913</c:v>
                </c:pt>
                <c:pt idx="335">
                  <c:v>6.5656021694511164</c:v>
                </c:pt>
                <c:pt idx="336">
                  <c:v>7.3899583647636371</c:v>
                </c:pt>
                <c:pt idx="337">
                  <c:v>20.482476010309018</c:v>
                </c:pt>
                <c:pt idx="338">
                  <c:v>26.008176243077088</c:v>
                </c:pt>
                <c:pt idx="339">
                  <c:v>11.348845021780916</c:v>
                </c:pt>
                <c:pt idx="340">
                  <c:v>20.388096259564104</c:v>
                </c:pt>
                <c:pt idx="341">
                  <c:v>4.6760404429184401</c:v>
                </c:pt>
                <c:pt idx="342">
                  <c:v>5.693721434313562</c:v>
                </c:pt>
                <c:pt idx="343">
                  <c:v>14.18645897509076</c:v>
                </c:pt>
                <c:pt idx="344">
                  <c:v>17.29549172452052</c:v>
                </c:pt>
                <c:pt idx="345">
                  <c:v>5.1073442131753213</c:v>
                </c:pt>
                <c:pt idx="346">
                  <c:v>5.5995162622212353</c:v>
                </c:pt>
                <c:pt idx="347">
                  <c:v>17.203458825553444</c:v>
                </c:pt>
                <c:pt idx="348">
                  <c:v>7.2050362622288269</c:v>
                </c:pt>
                <c:pt idx="349">
                  <c:v>4.8942778202601804</c:v>
                </c:pt>
                <c:pt idx="350">
                  <c:v>2.7374562360478381</c:v>
                </c:pt>
                <c:pt idx="351">
                  <c:v>21.580569548527791</c:v>
                </c:pt>
                <c:pt idx="352">
                  <c:v>18.267063294474077</c:v>
                </c:pt>
                <c:pt idx="353">
                  <c:v>4.4503630138733472</c:v>
                </c:pt>
                <c:pt idx="354">
                  <c:v>22.490930790317481</c:v>
                </c:pt>
                <c:pt idx="355">
                  <c:v>17.391852646171891</c:v>
                </c:pt>
                <c:pt idx="356">
                  <c:v>17.940134253947374</c:v>
                </c:pt>
                <c:pt idx="357">
                  <c:v>23.51429423821385</c:v>
                </c:pt>
                <c:pt idx="358">
                  <c:v>13.77392795220304</c:v>
                </c:pt>
                <c:pt idx="359">
                  <c:v>22.739905884412945</c:v>
                </c:pt>
                <c:pt idx="360">
                  <c:v>6.1759328026492328</c:v>
                </c:pt>
                <c:pt idx="361">
                  <c:v>24.076716695711909</c:v>
                </c:pt>
                <c:pt idx="362">
                  <c:v>10.4838142738681</c:v>
                </c:pt>
                <c:pt idx="363">
                  <c:v>15.057353540031951</c:v>
                </c:pt>
                <c:pt idx="364">
                  <c:v>11.386994143200267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31984"/>
        <c:axId val="644432376"/>
      </c:lineChart>
      <c:dateAx>
        <c:axId val="644431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2376"/>
        <c:crosses val="autoZero"/>
        <c:auto val="1"/>
        <c:lblOffset val="100"/>
        <c:baseTimeUnit val="days"/>
        <c:majorUnit val="1"/>
        <c:majorTimeUnit val="months"/>
      </c:dateAx>
      <c:valAx>
        <c:axId val="6444323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19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5.9073077206924229E-2</c:v>
                </c:pt>
                <c:pt idx="1">
                  <c:v>5.9093685921358663E-2</c:v>
                </c:pt>
                <c:pt idx="2">
                  <c:v>5.9114294184409388E-2</c:v>
                </c:pt>
                <c:pt idx="3">
                  <c:v>5.9134901996086287E-2</c:v>
                </c:pt>
                <c:pt idx="4">
                  <c:v>5.9155509356399127E-2</c:v>
                </c:pt>
                <c:pt idx="5">
                  <c:v>5.9176116265358014E-2</c:v>
                </c:pt>
                <c:pt idx="6">
                  <c:v>5.9196722722972606E-2</c:v>
                </c:pt>
                <c:pt idx="7">
                  <c:v>5.9217328729253005E-2</c:v>
                </c:pt>
                <c:pt idx="8">
                  <c:v>5.9237934284208871E-2</c:v>
                </c:pt>
                <c:pt idx="9">
                  <c:v>5.9258539387850195E-2</c:v>
                </c:pt>
                <c:pt idx="10">
                  <c:v>5.9279144040186971E-2</c:v>
                </c:pt>
                <c:pt idx="11">
                  <c:v>5.9299748241228967E-2</c:v>
                </c:pt>
                <c:pt idx="12">
                  <c:v>5.9320351990985953E-2</c:v>
                </c:pt>
                <c:pt idx="13">
                  <c:v>5.9340955289468034E-2</c:v>
                </c:pt>
                <c:pt idx="14">
                  <c:v>5.9361558136684978E-2</c:v>
                </c:pt>
                <c:pt idx="15">
                  <c:v>5.9382160532646777E-2</c:v>
                </c:pt>
                <c:pt idx="16">
                  <c:v>5.9402762477363091E-2</c:v>
                </c:pt>
                <c:pt idx="17">
                  <c:v>5.9423363970844023E-2</c:v>
                </c:pt>
                <c:pt idx="18">
                  <c:v>5.9443965013099342E-2</c:v>
                </c:pt>
                <c:pt idx="19">
                  <c:v>5.9464565604139041E-2</c:v>
                </c:pt>
                <c:pt idx="20">
                  <c:v>5.948516574397289E-2</c:v>
                </c:pt>
                <c:pt idx="21">
                  <c:v>5.9505765432610769E-2</c:v>
                </c:pt>
                <c:pt idx="22">
                  <c:v>5.952636467006267E-2</c:v>
                </c:pt>
                <c:pt idx="23">
                  <c:v>5.9546963456338253E-2</c:v>
                </c:pt>
                <c:pt idx="24">
                  <c:v>5.9567561791447732E-2</c:v>
                </c:pt>
                <c:pt idx="25">
                  <c:v>5.9588159675400654E-2</c:v>
                </c:pt>
                <c:pt idx="26">
                  <c:v>5.9608757108207122E-2</c:v>
                </c:pt>
                <c:pt idx="27">
                  <c:v>5.9629354089877018E-2</c:v>
                </c:pt>
                <c:pt idx="28">
                  <c:v>5.9649950620420111E-2</c:v>
                </c:pt>
                <c:pt idx="29">
                  <c:v>5.9670546699846283E-2</c:v>
                </c:pt>
                <c:pt idx="30">
                  <c:v>5.9691142328165525E-2</c:v>
                </c:pt>
                <c:pt idx="31">
                  <c:v>5.9711737505387608E-2</c:v>
                </c:pt>
                <c:pt idx="32">
                  <c:v>5.9732332231522411E-2</c:v>
                </c:pt>
                <c:pt idx="33">
                  <c:v>5.9752926506579929E-2</c:v>
                </c:pt>
                <c:pt idx="34">
                  <c:v>5.9773520330569929E-2</c:v>
                </c:pt>
                <c:pt idx="35">
                  <c:v>5.9794113703502294E-2</c:v>
                </c:pt>
                <c:pt idx="36">
                  <c:v>5.9814706625387015E-2</c:v>
                </c:pt>
                <c:pt idx="37">
                  <c:v>5.9835299096233863E-2</c:v>
                </c:pt>
                <c:pt idx="38">
                  <c:v>5.9855891116052717E-2</c:v>
                </c:pt>
                <c:pt idx="39">
                  <c:v>5.9876482684853571E-2</c:v>
                </c:pt>
                <c:pt idx="40">
                  <c:v>5.9897073802646195E-2</c:v>
                </c:pt>
                <c:pt idx="41">
                  <c:v>5.9917664469440468E-2</c:v>
                </c:pt>
                <c:pt idx="42">
                  <c:v>5.9938254685246273E-2</c:v>
                </c:pt>
                <c:pt idx="43">
                  <c:v>5.995884445007349E-2</c:v>
                </c:pt>
                <c:pt idx="44">
                  <c:v>5.9979433763932111E-2</c:v>
                </c:pt>
                <c:pt idx="45">
                  <c:v>6.0000022626831906E-2</c:v>
                </c:pt>
                <c:pt idx="46">
                  <c:v>6.0020611038782645E-2</c:v>
                </c:pt>
                <c:pt idx="47">
                  <c:v>6.0041198999794432E-2</c:v>
                </c:pt>
                <c:pt idx="48">
                  <c:v>6.0061786509877035E-2</c:v>
                </c:pt>
                <c:pt idx="49">
                  <c:v>6.0082373569040337E-2</c:v>
                </c:pt>
                <c:pt idx="50">
                  <c:v>6.0102960177294107E-2</c:v>
                </c:pt>
                <c:pt idx="51">
                  <c:v>6.0123546334648448E-2</c:v>
                </c:pt>
                <c:pt idx="52">
                  <c:v>6.0144132041113019E-2</c:v>
                </c:pt>
                <c:pt idx="53">
                  <c:v>6.0164717296697812E-2</c:v>
                </c:pt>
                <c:pt idx="54">
                  <c:v>6.0185302101412708E-2</c:v>
                </c:pt>
                <c:pt idx="55">
                  <c:v>6.0205886455267477E-2</c:v>
                </c:pt>
                <c:pt idx="56">
                  <c:v>6.0226470358272111E-2</c:v>
                </c:pt>
                <c:pt idx="57">
                  <c:v>6.0247053810436491E-2</c:v>
                </c:pt>
                <c:pt idx="58">
                  <c:v>6.0267636811770386E-2</c:v>
                </c:pt>
                <c:pt idx="59">
                  <c:v>6.028821936228379E-2</c:v>
                </c:pt>
                <c:pt idx="60">
                  <c:v>6.0308801461986472E-2</c:v>
                </c:pt>
                <c:pt idx="61">
                  <c:v>6.0329383110888313E-2</c:v>
                </c:pt>
                <c:pt idx="62">
                  <c:v>6.0349964308999193E-2</c:v>
                </c:pt>
                <c:pt idx="63">
                  <c:v>6.0370545056329106E-2</c:v>
                </c:pt>
                <c:pt idx="64">
                  <c:v>6.039112535288782E-2</c:v>
                </c:pt>
                <c:pt idx="65">
                  <c:v>6.0411705198685217E-2</c:v>
                </c:pt>
                <c:pt idx="66">
                  <c:v>6.0432284593731178E-2</c:v>
                </c:pt>
                <c:pt idx="67">
                  <c:v>6.0452863538035473E-2</c:v>
                </c:pt>
                <c:pt idx="68">
                  <c:v>6.0473442031608204E-2</c:v>
                </c:pt>
                <c:pt idx="69">
                  <c:v>6.0494020074459032E-2</c:v>
                </c:pt>
                <c:pt idx="70">
                  <c:v>6.0514597666597947E-2</c:v>
                </c:pt>
                <c:pt idx="71">
                  <c:v>6.053517480803472E-2</c:v>
                </c:pt>
                <c:pt idx="72">
                  <c:v>6.0555751498779342E-2</c:v>
                </c:pt>
                <c:pt idx="73">
                  <c:v>6.0576327738841695E-2</c:v>
                </c:pt>
                <c:pt idx="74">
                  <c:v>6.0596903528231438E-2</c:v>
                </c:pt>
                <c:pt idx="75">
                  <c:v>6.0617478866958674E-2</c:v>
                </c:pt>
                <c:pt idx="76">
                  <c:v>6.0638053755033172E-2</c:v>
                </c:pt>
                <c:pt idx="77">
                  <c:v>6.0658628192464814E-2</c:v>
                </c:pt>
                <c:pt idx="78">
                  <c:v>6.0679202179263481E-2</c:v>
                </c:pt>
                <c:pt idx="79">
                  <c:v>6.0699775715439053E-2</c:v>
                </c:pt>
                <c:pt idx="80">
                  <c:v>6.0720348801001411E-2</c:v>
                </c:pt>
                <c:pt idx="81">
                  <c:v>6.0740921435960327E-2</c:v>
                </c:pt>
                <c:pt idx="82">
                  <c:v>6.076149362032579E-2</c:v>
                </c:pt>
                <c:pt idx="83">
                  <c:v>6.0782065354107573E-2</c:v>
                </c:pt>
                <c:pt idx="84">
                  <c:v>6.0802636637315555E-2</c:v>
                </c:pt>
                <c:pt idx="85">
                  <c:v>6.0823207469959728E-2</c:v>
                </c:pt>
                <c:pt idx="86">
                  <c:v>6.0843777852049863E-2</c:v>
                </c:pt>
                <c:pt idx="87">
                  <c:v>6.0864347783595729E-2</c:v>
                </c:pt>
                <c:pt idx="88">
                  <c:v>6.088491726460743E-2</c:v>
                </c:pt>
                <c:pt idx="89">
                  <c:v>6.0905486295094624E-2</c:v>
                </c:pt>
                <c:pt idx="90">
                  <c:v>6.0926054875067304E-2</c:v>
                </c:pt>
                <c:pt idx="91">
                  <c:v>6.094662300453535E-2</c:v>
                </c:pt>
                <c:pt idx="92">
                  <c:v>6.0967190683508532E-2</c:v>
                </c:pt>
                <c:pt idx="93">
                  <c:v>6.0987757911996732E-2</c:v>
                </c:pt>
                <c:pt idx="94">
                  <c:v>6.100832469000983E-2</c:v>
                </c:pt>
                <c:pt idx="95">
                  <c:v>6.1028891017557707E-2</c:v>
                </c:pt>
                <c:pt idx="96">
                  <c:v>6.1049456894650245E-2</c:v>
                </c:pt>
                <c:pt idx="97">
                  <c:v>6.1070022321297324E-2</c:v>
                </c:pt>
                <c:pt idx="98">
                  <c:v>6.1090587297508714E-2</c:v>
                </c:pt>
                <c:pt idx="99">
                  <c:v>6.1111151823294407E-2</c:v>
                </c:pt>
                <c:pt idx="100">
                  <c:v>6.1131715898664174E-2</c:v>
                </c:pt>
                <c:pt idx="101">
                  <c:v>6.1152279523627895E-2</c:v>
                </c:pt>
                <c:pt idx="102">
                  <c:v>6.1172842698195562E-2</c:v>
                </c:pt>
                <c:pt idx="103">
                  <c:v>6.1193405422376834E-2</c:v>
                </c:pt>
                <c:pt idx="104">
                  <c:v>6.1213967696181704E-2</c:v>
                </c:pt>
                <c:pt idx="105">
                  <c:v>6.123452951961994E-2</c:v>
                </c:pt>
                <c:pt idx="106">
                  <c:v>6.1255090892701536E-2</c:v>
                </c:pt>
                <c:pt idx="107">
                  <c:v>6.1275651815436261E-2</c:v>
                </c:pt>
                <c:pt idx="108">
                  <c:v>6.1296212287834106E-2</c:v>
                </c:pt>
                <c:pt idx="109">
                  <c:v>6.1316772309904732E-2</c:v>
                </c:pt>
                <c:pt idx="110">
                  <c:v>6.133733188165813E-2</c:v>
                </c:pt>
                <c:pt idx="111">
                  <c:v>6.1357891003104181E-2</c:v>
                </c:pt>
                <c:pt idx="112">
                  <c:v>6.1378449674252655E-2</c:v>
                </c:pt>
                <c:pt idx="113">
                  <c:v>6.1399007895113544E-2</c:v>
                </c:pt>
                <c:pt idx="114">
                  <c:v>6.1419565665696618E-2</c:v>
                </c:pt>
                <c:pt idx="115">
                  <c:v>6.1440122986011647E-2</c:v>
                </c:pt>
                <c:pt idx="116">
                  <c:v>6.1460679856068734E-2</c:v>
                </c:pt>
                <c:pt idx="117">
                  <c:v>6.1481236275877538E-2</c:v>
                </c:pt>
                <c:pt idx="118">
                  <c:v>6.150179224544805E-2</c:v>
                </c:pt>
                <c:pt idx="119">
                  <c:v>6.1522347764789931E-2</c:v>
                </c:pt>
                <c:pt idx="120">
                  <c:v>6.1542902833913393E-2</c:v>
                </c:pt>
                <c:pt idx="121">
                  <c:v>6.1563457452827985E-2</c:v>
                </c:pt>
                <c:pt idx="122">
                  <c:v>6.1584011621543588E-2</c:v>
                </c:pt>
                <c:pt idx="123">
                  <c:v>6.1604565340070194E-2</c:v>
                </c:pt>
                <c:pt idx="124">
                  <c:v>6.1625118608417684E-2</c:v>
                </c:pt>
                <c:pt idx="125">
                  <c:v>6.1645671426595827E-2</c:v>
                </c:pt>
                <c:pt idx="126">
                  <c:v>6.1666223794614505E-2</c:v>
                </c:pt>
                <c:pt idx="127">
                  <c:v>6.1686775712483488E-2</c:v>
                </c:pt>
                <c:pt idx="128">
                  <c:v>6.1707327180212879E-2</c:v>
                </c:pt>
                <c:pt idx="129">
                  <c:v>6.1727878197812225E-2</c:v>
                </c:pt>
                <c:pt idx="130">
                  <c:v>6.174842876529163E-2</c:v>
                </c:pt>
                <c:pt idx="131">
                  <c:v>6.1768978882660863E-2</c:v>
                </c:pt>
                <c:pt idx="132">
                  <c:v>6.1789528549929806E-2</c:v>
                </c:pt>
                <c:pt idx="133">
                  <c:v>6.1810077767108229E-2</c:v>
                </c:pt>
                <c:pt idx="134">
                  <c:v>6.1830626534206123E-2</c:v>
                </c:pt>
                <c:pt idx="135">
                  <c:v>6.1851174851233259E-2</c:v>
                </c:pt>
                <c:pt idx="136">
                  <c:v>6.1871722718199518E-2</c:v>
                </c:pt>
                <c:pt idx="137">
                  <c:v>6.1892270135114669E-2</c:v>
                </c:pt>
                <c:pt idx="138">
                  <c:v>6.1912817101988815E-2</c:v>
                </c:pt>
                <c:pt idx="139">
                  <c:v>6.1933363618831505E-2</c:v>
                </c:pt>
                <c:pt idx="140">
                  <c:v>6.1953909685652842E-2</c:v>
                </c:pt>
                <c:pt idx="141">
                  <c:v>6.1974455302462594E-2</c:v>
                </c:pt>
                <c:pt idx="142">
                  <c:v>6.1995000469270534E-2</c:v>
                </c:pt>
                <c:pt idx="143">
                  <c:v>6.2015545186086651E-2</c:v>
                </c:pt>
                <c:pt idx="144">
                  <c:v>6.2036089452920717E-2</c:v>
                </c:pt>
                <c:pt idx="145">
                  <c:v>6.2056633269782613E-2</c:v>
                </c:pt>
                <c:pt idx="146">
                  <c:v>6.2077176636682219E-2</c:v>
                </c:pt>
                <c:pt idx="147">
                  <c:v>6.2097719553629305E-2</c:v>
                </c:pt>
                <c:pt idx="148">
                  <c:v>6.2118262020633863E-2</c:v>
                </c:pt>
                <c:pt idx="149">
                  <c:v>6.2138804037705553E-2</c:v>
                </c:pt>
                <c:pt idx="150">
                  <c:v>6.2159345604854477E-2</c:v>
                </c:pt>
                <c:pt idx="151">
                  <c:v>6.2179886722090294E-2</c:v>
                </c:pt>
                <c:pt idx="152">
                  <c:v>6.2200427389422996E-2</c:v>
                </c:pt>
                <c:pt idx="153">
                  <c:v>6.2220967606862354E-2</c:v>
                </c:pt>
                <c:pt idx="154">
                  <c:v>6.2241507374418137E-2</c:v>
                </c:pt>
                <c:pt idx="155">
                  <c:v>6.2262046692100448E-2</c:v>
                </c:pt>
                <c:pt idx="156">
                  <c:v>6.2282585559918835E-2</c:v>
                </c:pt>
                <c:pt idx="157">
                  <c:v>6.2303123977883401E-2</c:v>
                </c:pt>
                <c:pt idx="158">
                  <c:v>6.2323661946003917E-2</c:v>
                </c:pt>
                <c:pt idx="159">
                  <c:v>6.2344199464290151E-2</c:v>
                </c:pt>
                <c:pt idx="160">
                  <c:v>6.2364736532752096E-2</c:v>
                </c:pt>
                <c:pt idx="161">
                  <c:v>6.2385273151399412E-2</c:v>
                </c:pt>
                <c:pt idx="162">
                  <c:v>6.24058093202422E-2</c:v>
                </c:pt>
                <c:pt idx="163">
                  <c:v>6.2426345039290121E-2</c:v>
                </c:pt>
                <c:pt idx="164">
                  <c:v>6.2446880308553165E-2</c:v>
                </c:pt>
                <c:pt idx="165">
                  <c:v>6.2467415128040993E-2</c:v>
                </c:pt>
                <c:pt idx="166">
                  <c:v>6.2487949497763706E-2</c:v>
                </c:pt>
                <c:pt idx="167">
                  <c:v>6.2508483417730965E-2</c:v>
                </c:pt>
                <c:pt idx="168">
                  <c:v>6.2529016887952649E-2</c:v>
                </c:pt>
                <c:pt idx="169">
                  <c:v>6.254954990843864E-2</c:v>
                </c:pt>
                <c:pt idx="170">
                  <c:v>6.2570082479198819E-2</c:v>
                </c:pt>
                <c:pt idx="171">
                  <c:v>6.2590614600242955E-2</c:v>
                </c:pt>
                <c:pt idx="172">
                  <c:v>6.2611146271581042E-2</c:v>
                </c:pt>
                <c:pt idx="173">
                  <c:v>6.2631677493222737E-2</c:v>
                </c:pt>
                <c:pt idx="174">
                  <c:v>6.2652208265178033E-2</c:v>
                </c:pt>
                <c:pt idx="175">
                  <c:v>6.26727385874567E-2</c:v>
                </c:pt>
                <c:pt idx="176">
                  <c:v>6.2693268460068619E-2</c:v>
                </c:pt>
                <c:pt idx="177">
                  <c:v>6.271379788302367E-2</c:v>
                </c:pt>
                <c:pt idx="178">
                  <c:v>6.2734326856331624E-2</c:v>
                </c:pt>
                <c:pt idx="179">
                  <c:v>6.2754855380002472E-2</c:v>
                </c:pt>
                <c:pt idx="180">
                  <c:v>6.2775383454045874E-2</c:v>
                </c:pt>
                <c:pt idx="181">
                  <c:v>6.2795911078471822E-2</c:v>
                </c:pt>
                <c:pt idx="182">
                  <c:v>6.2816438253290086E-2</c:v>
                </c:pt>
                <c:pt idx="183">
                  <c:v>6.2836964978510546E-2</c:v>
                </c:pt>
                <c:pt idx="184">
                  <c:v>6.2857491254143083E-2</c:v>
                </c:pt>
                <c:pt idx="185">
                  <c:v>6.2878017080197468E-2</c:v>
                </c:pt>
                <c:pt idx="186">
                  <c:v>6.2898542456683582E-2</c:v>
                </c:pt>
                <c:pt idx="187">
                  <c:v>6.2919067383611194E-2</c:v>
                </c:pt>
                <c:pt idx="188">
                  <c:v>6.2939591860990296E-2</c:v>
                </c:pt>
                <c:pt idx="189">
                  <c:v>6.296011588883077E-2</c:v>
                </c:pt>
                <c:pt idx="190">
                  <c:v>6.2980639467142274E-2</c:v>
                </c:pt>
                <c:pt idx="191">
                  <c:v>6.300116259593469E-2</c:v>
                </c:pt>
                <c:pt idx="192">
                  <c:v>6.3021685275218009E-2</c:v>
                </c:pt>
                <c:pt idx="193">
                  <c:v>6.304220750500189E-2</c:v>
                </c:pt>
                <c:pt idx="194">
                  <c:v>6.3062729285296326E-2</c:v>
                </c:pt>
                <c:pt idx="195">
                  <c:v>6.3083250616111086E-2</c:v>
                </c:pt>
                <c:pt idx="196">
                  <c:v>6.3103771497456052E-2</c:v>
                </c:pt>
                <c:pt idx="197">
                  <c:v>6.3124291929340992E-2</c:v>
                </c:pt>
                <c:pt idx="198">
                  <c:v>6.31448119117759E-2</c:v>
                </c:pt>
                <c:pt idx="199">
                  <c:v>6.3165331444770545E-2</c:v>
                </c:pt>
                <c:pt idx="200">
                  <c:v>6.3185850528334697E-2</c:v>
                </c:pt>
                <c:pt idx="201">
                  <c:v>6.3206369162478238E-2</c:v>
                </c:pt>
                <c:pt idx="202">
                  <c:v>6.3226887347211047E-2</c:v>
                </c:pt>
                <c:pt idx="203">
                  <c:v>6.3247405082542896E-2</c:v>
                </c:pt>
                <c:pt idx="204">
                  <c:v>6.3267922368483775E-2</c:v>
                </c:pt>
                <c:pt idx="205">
                  <c:v>6.3288439205043456E-2</c:v>
                </c:pt>
                <c:pt idx="206">
                  <c:v>6.3308955592231708E-2</c:v>
                </c:pt>
                <c:pt idx="207">
                  <c:v>6.3329471530058412E-2</c:v>
                </c:pt>
                <c:pt idx="208">
                  <c:v>6.3349987018533449E-2</c:v>
                </c:pt>
                <c:pt idx="209">
                  <c:v>6.3370502057666589E-2</c:v>
                </c:pt>
                <c:pt idx="210">
                  <c:v>6.3391016647467824E-2</c:v>
                </c:pt>
                <c:pt idx="211">
                  <c:v>6.3411530787946813E-2</c:v>
                </c:pt>
                <c:pt idx="212">
                  <c:v>6.3432044479113547E-2</c:v>
                </c:pt>
                <c:pt idx="213">
                  <c:v>6.3452557720977687E-2</c:v>
                </c:pt>
                <c:pt idx="214">
                  <c:v>6.3473070513549223E-2</c:v>
                </c:pt>
                <c:pt idx="215">
                  <c:v>6.3493582856838038E-2</c:v>
                </c:pt>
                <c:pt idx="216">
                  <c:v>6.3514094750853789E-2</c:v>
                </c:pt>
                <c:pt idx="217">
                  <c:v>6.3534606195606469E-2</c:v>
                </c:pt>
                <c:pt idx="218">
                  <c:v>6.3555117191105848E-2</c:v>
                </c:pt>
                <c:pt idx="219">
                  <c:v>6.3575627737361806E-2</c:v>
                </c:pt>
                <c:pt idx="220">
                  <c:v>6.3596137834384225E-2</c:v>
                </c:pt>
                <c:pt idx="221">
                  <c:v>6.3616647482182764E-2</c:v>
                </c:pt>
                <c:pt idx="222">
                  <c:v>6.3637156680767415E-2</c:v>
                </c:pt>
                <c:pt idx="223">
                  <c:v>6.3657665430148058E-2</c:v>
                </c:pt>
                <c:pt idx="224">
                  <c:v>6.3678173730334353E-2</c:v>
                </c:pt>
                <c:pt idx="225">
                  <c:v>6.3698681581336292E-2</c:v>
                </c:pt>
                <c:pt idx="226">
                  <c:v>6.3719188983163644E-2</c:v>
                </c:pt>
                <c:pt idx="227">
                  <c:v>6.373969593582629E-2</c:v>
                </c:pt>
                <c:pt idx="228">
                  <c:v>6.3760202439334002E-2</c:v>
                </c:pt>
                <c:pt idx="229">
                  <c:v>6.3780708493696658E-2</c:v>
                </c:pt>
                <c:pt idx="230">
                  <c:v>6.3801214098924142E-2</c:v>
                </c:pt>
                <c:pt idx="231">
                  <c:v>6.3821719255026221E-2</c:v>
                </c:pt>
                <c:pt idx="232">
                  <c:v>6.3842223962012778E-2</c:v>
                </c:pt>
                <c:pt idx="233">
                  <c:v>6.3862728219893583E-2</c:v>
                </c:pt>
                <c:pt idx="234">
                  <c:v>6.3883232028678516E-2</c:v>
                </c:pt>
                <c:pt idx="235">
                  <c:v>6.3903735388377458E-2</c:v>
                </c:pt>
                <c:pt idx="236">
                  <c:v>6.392423829900018E-2</c:v>
                </c:pt>
                <c:pt idx="237">
                  <c:v>6.3944740760556562E-2</c:v>
                </c:pt>
                <c:pt idx="238">
                  <c:v>6.3965242773056374E-2</c:v>
                </c:pt>
                <c:pt idx="239">
                  <c:v>6.3985744336509609E-2</c:v>
                </c:pt>
                <c:pt idx="240">
                  <c:v>6.4006245450925814E-2</c:v>
                </c:pt>
                <c:pt idx="241">
                  <c:v>6.4026746116315092E-2</c:v>
                </c:pt>
                <c:pt idx="242">
                  <c:v>6.4047246332687213E-2</c:v>
                </c:pt>
                <c:pt idx="243">
                  <c:v>6.4067746100051948E-2</c:v>
                </c:pt>
                <c:pt idx="244">
                  <c:v>6.4088245418419176E-2</c:v>
                </c:pt>
                <c:pt idx="245">
                  <c:v>6.4108744287798669E-2</c:v>
                </c:pt>
                <c:pt idx="246">
                  <c:v>6.4129242708200418E-2</c:v>
                </c:pt>
                <c:pt idx="247">
                  <c:v>6.4149740679634082E-2</c:v>
                </c:pt>
                <c:pt idx="248">
                  <c:v>6.4170238202109542E-2</c:v>
                </c:pt>
                <c:pt idx="249">
                  <c:v>6.4190735275636679E-2</c:v>
                </c:pt>
                <c:pt idx="250">
                  <c:v>6.4211231900225374E-2</c:v>
                </c:pt>
                <c:pt idx="251">
                  <c:v>6.4231728075885286E-2</c:v>
                </c:pt>
                <c:pt idx="252">
                  <c:v>6.4252223802626407E-2</c:v>
                </c:pt>
                <c:pt idx="253">
                  <c:v>6.4272719080458507E-2</c:v>
                </c:pt>
                <c:pt idx="254">
                  <c:v>6.4293213909391356E-2</c:v>
                </c:pt>
                <c:pt idx="255">
                  <c:v>6.4313708289434945E-2</c:v>
                </c:pt>
                <c:pt idx="256">
                  <c:v>6.4334202220598935E-2</c:v>
                </c:pt>
                <c:pt idx="257">
                  <c:v>6.4354695702893316E-2</c:v>
                </c:pt>
                <c:pt idx="258">
                  <c:v>6.4375188736327749E-2</c:v>
                </c:pt>
                <c:pt idx="259">
                  <c:v>6.4395681320912224E-2</c:v>
                </c:pt>
                <c:pt idx="260">
                  <c:v>6.4416173456656511E-2</c:v>
                </c:pt>
                <c:pt idx="261">
                  <c:v>6.4436665143570382E-2</c:v>
                </c:pt>
                <c:pt idx="262">
                  <c:v>6.4457156381663716E-2</c:v>
                </c:pt>
                <c:pt idx="263">
                  <c:v>6.4477647170946395E-2</c:v>
                </c:pt>
                <c:pt idx="264">
                  <c:v>6.4498137511428189E-2</c:v>
                </c:pt>
                <c:pt idx="265">
                  <c:v>6.4518627403118867E-2</c:v>
                </c:pt>
                <c:pt idx="266">
                  <c:v>6.4539116846028421E-2</c:v>
                </c:pt>
                <c:pt idx="267">
                  <c:v>6.4559605840166623E-2</c:v>
                </c:pt>
                <c:pt idx="268">
                  <c:v>6.458009438554313E-2</c:v>
                </c:pt>
                <c:pt idx="269">
                  <c:v>6.4600582482168045E-2</c:v>
                </c:pt>
                <c:pt idx="270">
                  <c:v>6.4621070130051028E-2</c:v>
                </c:pt>
                <c:pt idx="271">
                  <c:v>6.4641557329201849E-2</c:v>
                </c:pt>
                <c:pt idx="272">
                  <c:v>6.4662044079630498E-2</c:v>
                </c:pt>
                <c:pt idx="273">
                  <c:v>6.4682530381346748E-2</c:v>
                </c:pt>
                <c:pt idx="274">
                  <c:v>6.4703016234360478E-2</c:v>
                </c:pt>
                <c:pt idx="275">
                  <c:v>6.4723501638681347E-2</c:v>
                </c:pt>
                <c:pt idx="276">
                  <c:v>6.4743986594319347E-2</c:v>
                </c:pt>
                <c:pt idx="277">
                  <c:v>6.4764471101284138E-2</c:v>
                </c:pt>
                <c:pt idx="278">
                  <c:v>6.4784955159585711E-2</c:v>
                </c:pt>
                <c:pt idx="279">
                  <c:v>6.4805438769233947E-2</c:v>
                </c:pt>
                <c:pt idx="280">
                  <c:v>6.4825921930238395E-2</c:v>
                </c:pt>
                <c:pt idx="281">
                  <c:v>6.4846404642609157E-2</c:v>
                </c:pt>
                <c:pt idx="282">
                  <c:v>6.4866886906355892E-2</c:v>
                </c:pt>
                <c:pt idx="283">
                  <c:v>6.4887368721488592E-2</c:v>
                </c:pt>
                <c:pt idx="284">
                  <c:v>6.4907850088016805E-2</c:v>
                </c:pt>
                <c:pt idx="285">
                  <c:v>6.4928331005950635E-2</c:v>
                </c:pt>
                <c:pt idx="286">
                  <c:v>6.494881147529985E-2</c:v>
                </c:pt>
                <c:pt idx="287">
                  <c:v>6.4969291496074111E-2</c:v>
                </c:pt>
                <c:pt idx="288">
                  <c:v>6.4989771068283408E-2</c:v>
                </c:pt>
                <c:pt idx="289">
                  <c:v>6.5010250191937513E-2</c:v>
                </c:pt>
                <c:pt idx="290">
                  <c:v>6.5030728867046195E-2</c:v>
                </c:pt>
                <c:pt idx="291">
                  <c:v>6.5051207093619445E-2</c:v>
                </c:pt>
                <c:pt idx="292">
                  <c:v>6.5071684871666924E-2</c:v>
                </c:pt>
                <c:pt idx="293">
                  <c:v>6.5092162201198511E-2</c:v>
                </c:pt>
                <c:pt idx="294">
                  <c:v>6.5112639082223978E-2</c:v>
                </c:pt>
                <c:pt idx="295">
                  <c:v>6.5133115514753315E-2</c:v>
                </c:pt>
                <c:pt idx="296">
                  <c:v>6.5153591498796071E-2</c:v>
                </c:pt>
                <c:pt idx="297">
                  <c:v>6.5174067034362348E-2</c:v>
                </c:pt>
                <c:pt idx="298">
                  <c:v>6.5194542121461807E-2</c:v>
                </c:pt>
                <c:pt idx="299">
                  <c:v>6.5215016760104327E-2</c:v>
                </c:pt>
                <c:pt idx="300">
                  <c:v>6.5235490950299679E-2</c:v>
                </c:pt>
                <c:pt idx="301">
                  <c:v>6.5255964692057744E-2</c:v>
                </c:pt>
                <c:pt idx="302">
                  <c:v>6.5276437985388291E-2</c:v>
                </c:pt>
                <c:pt idx="303">
                  <c:v>6.5296910830301202E-2</c:v>
                </c:pt>
                <c:pt idx="304">
                  <c:v>6.5317383226806247E-2</c:v>
                </c:pt>
                <c:pt idx="305">
                  <c:v>6.5337855174913306E-2</c:v>
                </c:pt>
                <c:pt idx="306">
                  <c:v>6.535832667463215E-2</c:v>
                </c:pt>
                <c:pt idx="307">
                  <c:v>6.5378797725972548E-2</c:v>
                </c:pt>
                <c:pt idx="308">
                  <c:v>6.5399268328944493E-2</c:v>
                </c:pt>
                <c:pt idx="309">
                  <c:v>6.5419738483557643E-2</c:v>
                </c:pt>
                <c:pt idx="310">
                  <c:v>6.544020818982188E-2</c:v>
                </c:pt>
                <c:pt idx="311">
                  <c:v>6.5460677447746973E-2</c:v>
                </c:pt>
                <c:pt idx="312">
                  <c:v>6.5481146257342804E-2</c:v>
                </c:pt>
                <c:pt idx="313">
                  <c:v>6.5501614618619142E-2</c:v>
                </c:pt>
                <c:pt idx="314">
                  <c:v>6.5522082531585868E-2</c:v>
                </c:pt>
                <c:pt idx="315">
                  <c:v>6.5542549996252863E-2</c:v>
                </c:pt>
                <c:pt idx="316">
                  <c:v>6.5563017012629787E-2</c:v>
                </c:pt>
                <c:pt idx="317">
                  <c:v>6.5583483580726409E-2</c:v>
                </c:pt>
                <c:pt idx="318">
                  <c:v>6.5603949700552833E-2</c:v>
                </c:pt>
                <c:pt idx="319">
                  <c:v>6.5624415372118605E-2</c:v>
                </c:pt>
                <c:pt idx="320">
                  <c:v>6.5644880595433719E-2</c:v>
                </c:pt>
                <c:pt idx="321">
                  <c:v>6.5665345370507833E-2</c:v>
                </c:pt>
                <c:pt idx="322">
                  <c:v>6.5685809697350939E-2</c:v>
                </c:pt>
                <c:pt idx="323">
                  <c:v>6.5706273575972696E-2</c:v>
                </c:pt>
                <c:pt idx="324">
                  <c:v>6.5726737006382985E-2</c:v>
                </c:pt>
                <c:pt idx="325">
                  <c:v>6.5747199988591687E-2</c:v>
                </c:pt>
                <c:pt idx="326">
                  <c:v>6.5767662522608572E-2</c:v>
                </c:pt>
                <c:pt idx="327">
                  <c:v>6.578812460844341E-2</c:v>
                </c:pt>
                <c:pt idx="328">
                  <c:v>6.5808586246106082E-2</c:v>
                </c:pt>
                <c:pt idx="329">
                  <c:v>6.5829047435606358E-2</c:v>
                </c:pt>
                <c:pt idx="330">
                  <c:v>6.5849508176954008E-2</c:v>
                </c:pt>
                <c:pt idx="331">
                  <c:v>6.5869968470159024E-2</c:v>
                </c:pt>
                <c:pt idx="332">
                  <c:v>6.5890428315231064E-2</c:v>
                </c:pt>
                <c:pt idx="333">
                  <c:v>6.59108877121799E-2</c:v>
                </c:pt>
                <c:pt idx="334">
                  <c:v>6.5931346661015522E-2</c:v>
                </c:pt>
                <c:pt idx="335">
                  <c:v>6.5951805161747701E-2</c:v>
                </c:pt>
                <c:pt idx="336">
                  <c:v>6.5972263214386206E-2</c:v>
                </c:pt>
                <c:pt idx="337">
                  <c:v>6.5992720818940809E-2</c:v>
                </c:pt>
                <c:pt idx="338">
                  <c:v>6.6013177975421278E-2</c:v>
                </c:pt>
                <c:pt idx="339">
                  <c:v>6.6033634683837605E-2</c:v>
                </c:pt>
                <c:pt idx="340">
                  <c:v>6.6054090944199562E-2</c:v>
                </c:pt>
                <c:pt idx="341">
                  <c:v>6.6074546756516916E-2</c:v>
                </c:pt>
                <c:pt idx="342">
                  <c:v>6.609500212079944E-2</c:v>
                </c:pt>
                <c:pt idx="343">
                  <c:v>6.6115457037056902E-2</c:v>
                </c:pt>
                <c:pt idx="344">
                  <c:v>6.6135911505299294E-2</c:v>
                </c:pt>
                <c:pt idx="345">
                  <c:v>6.6156365525536387E-2</c:v>
                </c:pt>
                <c:pt idx="346">
                  <c:v>6.6176819097777839E-2</c:v>
                </c:pt>
                <c:pt idx="347">
                  <c:v>6.6197272222033643E-2</c:v>
                </c:pt>
                <c:pt idx="348">
                  <c:v>6.6217724898313568E-2</c:v>
                </c:pt>
                <c:pt idx="349">
                  <c:v>6.6238177126627273E-2</c:v>
                </c:pt>
                <c:pt idx="350">
                  <c:v>6.6258628906984751E-2</c:v>
                </c:pt>
                <c:pt idx="351">
                  <c:v>6.6279080239395771E-2</c:v>
                </c:pt>
                <c:pt idx="352">
                  <c:v>6.6299531123870103E-2</c:v>
                </c:pt>
                <c:pt idx="353">
                  <c:v>6.6319981560417518E-2</c:v>
                </c:pt>
                <c:pt idx="354">
                  <c:v>6.6340431549048007E-2</c:v>
                </c:pt>
                <c:pt idx="355">
                  <c:v>6.6360881089771118E-2</c:v>
                </c:pt>
                <c:pt idx="356">
                  <c:v>6.6381330182596954E-2</c:v>
                </c:pt>
                <c:pt idx="357">
                  <c:v>6.6401778827535063E-2</c:v>
                </c:pt>
                <c:pt idx="358">
                  <c:v>6.6422227024595437E-2</c:v>
                </c:pt>
                <c:pt idx="359">
                  <c:v>6.6442674773787735E-2</c:v>
                </c:pt>
                <c:pt idx="360">
                  <c:v>6.646312207512195E-2</c:v>
                </c:pt>
                <c:pt idx="361">
                  <c:v>6.6483568928607739E-2</c:v>
                </c:pt>
                <c:pt idx="362">
                  <c:v>6.6504015334254984E-2</c:v>
                </c:pt>
                <c:pt idx="363">
                  <c:v>6.6524461292073456E-2</c:v>
                </c:pt>
                <c:pt idx="364">
                  <c:v>6.6544906802072923E-2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7.3043384375593601E-2</c:v>
                </c:pt>
                <c:pt idx="1">
                  <c:v>7.3119920475188824E-2</c:v>
                </c:pt>
                <c:pt idx="2">
                  <c:v>7.3196542384113744E-2</c:v>
                </c:pt>
                <c:pt idx="3">
                  <c:v>7.3273233565124801E-2</c:v>
                </c:pt>
                <c:pt idx="4">
                  <c:v>7.3349979620099023E-2</c:v>
                </c:pt>
                <c:pt idx="5">
                  <c:v>7.3426768230310357E-2</c:v>
                </c:pt>
                <c:pt idx="6">
                  <c:v>7.350358908003829E-2</c:v>
                </c:pt>
                <c:pt idx="7">
                  <c:v>7.3580433764795894E-2</c:v>
                </c:pt>
                <c:pt idx="8">
                  <c:v>7.3657295685579577E-2</c:v>
                </c:pt>
                <c:pt idx="9">
                  <c:v>7.3734169930645521E-2</c:v>
                </c:pt>
                <c:pt idx="10">
                  <c:v>7.3811053146402891E-2</c:v>
                </c:pt>
                <c:pt idx="11">
                  <c:v>7.3887943399082695E-2</c:v>
                </c:pt>
                <c:pt idx="12">
                  <c:v>7.3964840028893128E-2</c:v>
                </c:pt>
                <c:pt idx="13">
                  <c:v>7.4041743498406393E-2</c:v>
                </c:pt>
                <c:pt idx="14">
                  <c:v>7.4118655236938655E-2</c:v>
                </c:pt>
                <c:pt idx="15">
                  <c:v>7.4195577482684502E-2</c:v>
                </c:pt>
                <c:pt idx="16">
                  <c:v>7.427251312434946E-2</c:v>
                </c:pt>
                <c:pt idx="17">
                  <c:v>7.4349465543988788E-2</c:v>
                </c:pt>
                <c:pt idx="18">
                  <c:v>7.4426438462711408E-2</c:v>
                </c:pt>
                <c:pt idx="19">
                  <c:v>7.4503435790840955E-2</c:v>
                </c:pt>
                <c:pt idx="20">
                  <c:v>7.4580461484044902E-2</c:v>
                </c:pt>
                <c:pt idx="21">
                  <c:v>7.4657519406849657E-2</c:v>
                </c:pt>
                <c:pt idx="22">
                  <c:v>7.4734613204851696E-2</c:v>
                </c:pt>
                <c:pt idx="23">
                  <c:v>7.4811746186818961E-2</c:v>
                </c:pt>
                <c:pt idx="24">
                  <c:v>7.4888921217746957E-2</c:v>
                </c:pt>
                <c:pt idx="25">
                  <c:v>7.4966140623800873E-2</c:v>
                </c:pt>
                <c:pt idx="26">
                  <c:v>7.5043406109930669E-2</c:v>
                </c:pt>
                <c:pt idx="27">
                  <c:v>7.5120718690799282E-2</c:v>
                </c:pt>
                <c:pt idx="28">
                  <c:v>7.5198078635512103E-2</c:v>
                </c:pt>
                <c:pt idx="29">
                  <c:v>7.5275485426483379E-2</c:v>
                </c:pt>
                <c:pt idx="30">
                  <c:v>7.5352937732619821E-2</c:v>
                </c:pt>
                <c:pt idx="31">
                  <c:v>7.5430433396849697E-2</c:v>
                </c:pt>
                <c:pt idx="32">
                  <c:v>7.5507969437876021E-2</c:v>
                </c:pt>
                <c:pt idx="33">
                  <c:v>7.5585542065884831E-2</c:v>
                </c:pt>
                <c:pt idx="34">
                  <c:v>7.566314671180073E-2</c:v>
                </c:pt>
                <c:pt idx="35">
                  <c:v>7.574077806954746E-2</c:v>
                </c:pt>
                <c:pt idx="36">
                  <c:v>7.5818430150646321E-2</c:v>
                </c:pt>
                <c:pt idx="37">
                  <c:v>7.5896096350369313E-2</c:v>
                </c:pt>
                <c:pt idx="38">
                  <c:v>7.5973769524558046E-2</c:v>
                </c:pt>
                <c:pt idx="39">
                  <c:v>7.605144207612638E-2</c:v>
                </c:pt>
                <c:pt idx="40">
                  <c:v>7.6129106050181208E-2</c:v>
                </c:pt>
                <c:pt idx="41">
                  <c:v>7.6206753236627803E-2</c:v>
                </c:pt>
                <c:pt idx="42">
                  <c:v>7.6284375279068908E-2</c:v>
                </c:pt>
                <c:pt idx="43">
                  <c:v>7.6361963788766127E-2</c:v>
                </c:pt>
                <c:pt idx="44">
                  <c:v>7.6439510462400662E-2</c:v>
                </c:pt>
                <c:pt idx="45">
                  <c:v>7.6517007202358753E-2</c:v>
                </c:pt>
                <c:pt idx="46">
                  <c:v>7.6594446238263364E-2</c:v>
                </c:pt>
                <c:pt idx="47">
                  <c:v>7.6671820248487524E-2</c:v>
                </c:pt>
                <c:pt idx="48">
                  <c:v>7.6749122480409521E-2</c:v>
                </c:pt>
                <c:pt idx="49">
                  <c:v>7.6826346868207745E-2</c:v>
                </c:pt>
                <c:pt idx="50">
                  <c:v>7.6903488147043397E-2</c:v>
                </c:pt>
                <c:pt idx="51">
                  <c:v>7.6980541962539048E-2</c:v>
                </c:pt>
                <c:pt idx="52">
                  <c:v>7.7057504974532509E-2</c:v>
                </c:pt>
                <c:pt idx="53">
                  <c:v>7.713437495416596E-2</c:v>
                </c:pt>
                <c:pt idx="54">
                  <c:v>7.7211150873456924E-2</c:v>
                </c:pt>
                <c:pt idx="55">
                  <c:v>7.7287832986594571E-2</c:v>
                </c:pt>
                <c:pt idx="56">
                  <c:v>7.7364422902304039E-2</c:v>
                </c:pt>
                <c:pt idx="57">
                  <c:v>7.7440923646727944E-2</c:v>
                </c:pt>
                <c:pt idx="58">
                  <c:v>7.7517339716381375E-2</c:v>
                </c:pt>
                <c:pt idx="59">
                  <c:v>7.7593677120848442E-2</c:v>
                </c:pt>
                <c:pt idx="60">
                  <c:v>7.7669943414997666E-2</c:v>
                </c:pt>
                <c:pt idx="61">
                  <c:v>7.77461477206048E-2</c:v>
                </c:pt>
                <c:pt idx="62">
                  <c:v>7.7822300737379543E-2</c:v>
                </c:pt>
                <c:pt idx="63">
                  <c:v>7.7898414743496597E-2</c:v>
                </c:pt>
                <c:pt idx="64">
                  <c:v>7.797450358583384E-2</c:v>
                </c:pt>
                <c:pt idx="65">
                  <c:v>7.8050582660214127E-2</c:v>
                </c:pt>
                <c:pt idx="66">
                  <c:v>7.8126668882036135E-2</c:v>
                </c:pt>
                <c:pt idx="67">
                  <c:v>7.8202780647762274E-2</c:v>
                </c:pt>
                <c:pt idx="68">
                  <c:v>7.8278937787802719E-2</c:v>
                </c:pt>
                <c:pt idx="69">
                  <c:v>7.8355161511401664E-2</c:v>
                </c:pt>
                <c:pt idx="70">
                  <c:v>7.8431474344184335E-2</c:v>
                </c:pt>
                <c:pt idx="71">
                  <c:v>7.850790005907074E-2</c:v>
                </c:pt>
                <c:pt idx="72">
                  <c:v>7.8584463601294965E-2</c:v>
                </c:pt>
                <c:pt idx="73">
                  <c:v>7.8661191008294967E-2</c:v>
                </c:pt>
                <c:pt idx="74">
                  <c:v>7.8738109325251243E-2</c:v>
                </c:pt>
                <c:pt idx="75">
                  <c:v>7.8815246517055931E-2</c:v>
                </c:pt>
                <c:pt idx="76">
                  <c:v>7.8892631377489073E-2</c:v>
                </c:pt>
                <c:pt idx="77">
                  <c:v>7.8970293436360348E-2</c:v>
                </c:pt>
                <c:pt idx="78">
                  <c:v>7.9048262865350452E-2</c:v>
                </c:pt>
                <c:pt idx="79">
                  <c:v>7.9126570383251271E-2</c:v>
                </c:pt>
                <c:pt idx="80">
                  <c:v>7.9205247161260622E-2</c:v>
                </c:pt>
                <c:pt idx="81">
                  <c:v>7.9284324728938094E-2</c:v>
                </c:pt>
                <c:pt idx="82">
                  <c:v>7.936383488137129E-2</c:v>
                </c:pt>
                <c:pt idx="83">
                  <c:v>7.9443809588039122E-2</c:v>
                </c:pt>
                <c:pt idx="84">
                  <c:v>7.9524280903792391E-2</c:v>
                </c:pt>
                <c:pt idx="85">
                  <c:v>7.9605280882300858E-2</c:v>
                </c:pt>
                <c:pt idx="86">
                  <c:v>7.9686841492242616E-2</c:v>
                </c:pt>
                <c:pt idx="87">
                  <c:v>7.976899453643789E-2</c:v>
                </c:pt>
                <c:pt idx="88">
                  <c:v>7.9851771574053321E-2</c:v>
                </c:pt>
                <c:pt idx="89">
                  <c:v>7.9935203845929628E-2</c:v>
                </c:pt>
                <c:pt idx="90">
                  <c:v>8.0019322203013457E-2</c:v>
                </c:pt>
                <c:pt idx="91">
                  <c:v>8.0104157037804102E-2</c:v>
                </c:pt>
                <c:pt idx="92">
                  <c:v>8.0189738218662224E-2</c:v>
                </c:pt>
                <c:pt idx="93">
                  <c:v>8.0276095026765762E-2</c:v>
                </c:pt>
                <c:pt idx="94">
                  <c:v>8.0363256095445937E-2</c:v>
                </c:pt>
                <c:pt idx="95">
                  <c:v>8.0451249351586707E-2</c:v>
                </c:pt>
                <c:pt idx="96">
                  <c:v>8.0540101958732499E-2</c:v>
                </c:pt>
                <c:pt idx="97">
                  <c:v>8.0629840261515789E-2</c:v>
                </c:pt>
                <c:pt idx="98">
                  <c:v>8.0720489730993356E-2</c:v>
                </c:pt>
                <c:pt idx="99">
                  <c:v>8.0812074910464701E-2</c:v>
                </c:pt>
                <c:pt idx="100">
                  <c:v>8.0904619361341648E-2</c:v>
                </c:pt>
                <c:pt idx="101">
                  <c:v>8.099814560864077E-2</c:v>
                </c:pt>
                <c:pt idx="102">
                  <c:v>8.1092675085685684E-2</c:v>
                </c:pt>
                <c:pt idx="103">
                  <c:v>8.1188228077626587E-2</c:v>
                </c:pt>
                <c:pt idx="104">
                  <c:v>8.1284823663419062E-2</c:v>
                </c:pt>
                <c:pt idx="105">
                  <c:v>8.1382479655941461E-2</c:v>
                </c:pt>
                <c:pt idx="106">
                  <c:v>8.1481212539982348E-2</c:v>
                </c:pt>
                <c:pt idx="107">
                  <c:v>8.1581037407883403E-2</c:v>
                </c:pt>
                <c:pt idx="108">
                  <c:v>8.1681967892687973E-2</c:v>
                </c:pt>
                <c:pt idx="109">
                  <c:v>8.1784016098714746E-2</c:v>
                </c:pt>
                <c:pt idx="110">
                  <c:v>8.1887192529550762E-2</c:v>
                </c:pt>
                <c:pt idx="111">
                  <c:v>8.1991506013537288E-2</c:v>
                </c:pt>
                <c:pt idx="112">
                  <c:v>8.209696362690494E-2</c:v>
                </c:pt>
                <c:pt idx="113">
                  <c:v>8.22035706147978E-2</c:v>
                </c:pt>
                <c:pt idx="114">
                  <c:v>8.2311330310513117E-2</c:v>
                </c:pt>
                <c:pt idx="115">
                  <c:v>8.2420244053367842E-2</c:v>
                </c:pt>
                <c:pt idx="116">
                  <c:v>8.253031110568701E-2</c:v>
                </c:pt>
                <c:pt idx="117">
                  <c:v>8.2641528569490905E-2</c:v>
                </c:pt>
                <c:pt idx="118">
                  <c:v>8.2753891303534374E-2</c:v>
                </c:pt>
                <c:pt idx="119">
                  <c:v>8.0885102312609237E-3</c:v>
                </c:pt>
                <c:pt idx="120">
                  <c:v>8.2330216795900822E-3</c:v>
                </c:pt>
                <c:pt idx="121">
                  <c:v>8.3776607071137481E-3</c:v>
                </c:pt>
                <c:pt idx="122">
                  <c:v>8.5224310201680777E-3</c:v>
                </c:pt>
                <c:pt idx="123">
                  <c:v>8.6673359293423895E-3</c:v>
                </c:pt>
                <c:pt idx="124">
                  <c:v>8.8123783227044439E-3</c:v>
                </c:pt>
                <c:pt idx="125">
                  <c:v>8.9575606392817159E-3</c:v>
                </c:pt>
                <c:pt idx="126">
                  <c:v>9.1028848429851889E-3</c:v>
                </c:pt>
                <c:pt idx="127">
                  <c:v>9.2483523971733216E-3</c:v>
                </c:pt>
                <c:pt idx="128">
                  <c:v>9.3939642400649448E-3</c:v>
                </c:pt>
                <c:pt idx="129">
                  <c:v>9.5397207612171672E-3</c:v>
                </c:pt>
                <c:pt idx="130">
                  <c:v>9.6856217792920633E-3</c:v>
                </c:pt>
                <c:pt idx="131">
                  <c:v>9.8316665213393807E-3</c:v>
                </c:pt>
                <c:pt idx="132">
                  <c:v>9.9778536038252416E-3</c:v>
                </c:pt>
                <c:pt idx="133">
                  <c:v>1.0124181015636382E-2</c:v>
                </c:pt>
                <c:pt idx="134">
                  <c:v>1.0270646103286502E-2</c:v>
                </c:pt>
                <c:pt idx="135">
                  <c:v>1.0417245558546265E-2</c:v>
                </c:pt>
                <c:pt idx="136">
                  <c:v>1.0563975408710105E-2</c:v>
                </c:pt>
                <c:pt idx="137">
                  <c:v>1.0710831009702732E-2</c:v>
                </c:pt>
                <c:pt idx="138">
                  <c:v>1.0857807042214205E-2</c:v>
                </c:pt>
                <c:pt idx="139">
                  <c:v>1.1004897511037266E-2</c:v>
                </c:pt>
                <c:pt idx="140">
                  <c:v>1.1152095747761425E-2</c:v>
                </c:pt>
                <c:pt idx="141">
                  <c:v>1.1299394416957835E-2</c:v>
                </c:pt>
                <c:pt idx="142">
                  <c:v>1.1446785525965387E-2</c:v>
                </c:pt>
                <c:pt idx="143">
                  <c:v>1.1594260438363424E-2</c:v>
                </c:pt>
                <c:pt idx="144">
                  <c:v>1.1741809891189049E-2</c:v>
                </c:pt>
                <c:pt idx="145">
                  <c:v>1.1889424015928143E-2</c:v>
                </c:pt>
                <c:pt idx="146">
                  <c:v>1.2037092363278922E-2</c:v>
                </c:pt>
                <c:pt idx="147">
                  <c:v>1.2184803931655235E-2</c:v>
                </c:pt>
                <c:pt idx="148">
                  <c:v>1.2332547199364821E-2</c:v>
                </c:pt>
                <c:pt idx="149">
                  <c:v>1.2480310160364451E-2</c:v>
                </c:pt>
                <c:pt idx="150">
                  <c:v>1.2628080363461421E-2</c:v>
                </c:pt>
                <c:pt idx="151">
                  <c:v>1.2775844954797676E-2</c:v>
                </c:pt>
                <c:pt idx="152">
                  <c:v>1.2923590723420792E-2</c:v>
                </c:pt>
                <c:pt idx="153">
                  <c:v>1.30713041497142E-2</c:v>
                </c:pt>
                <c:pt idx="154">
                  <c:v>1.3218971456429618E-2</c:v>
                </c:pt>
                <c:pt idx="155">
                  <c:v>1.336657866203513E-2</c:v>
                </c:pt>
                <c:pt idx="156">
                  <c:v>1.3514111636066261E-2</c:v>
                </c:pt>
                <c:pt idx="157">
                  <c:v>1.3661556156142667E-2</c:v>
                </c:pt>
                <c:pt idx="158">
                  <c:v>1.3808897966291388E-2</c:v>
                </c:pt>
                <c:pt idx="159">
                  <c:v>1.3956122836197991E-2</c:v>
                </c:pt>
                <c:pt idx="160">
                  <c:v>1.4103216620991413E-2</c:v>
                </c:pt>
                <c:pt idx="161">
                  <c:v>1.4250165321155604E-2</c:v>
                </c:pt>
                <c:pt idx="162">
                  <c:v>1.4396955142151436E-2</c:v>
                </c:pt>
                <c:pt idx="163">
                  <c:v>1.4543572553327326E-2</c:v>
                </c:pt>
                <c:pt idx="164">
                  <c:v>1.4690004345695137E-2</c:v>
                </c:pt>
                <c:pt idx="165">
                  <c:v>1.4836237688150128E-2</c:v>
                </c:pt>
                <c:pt idx="166">
                  <c:v>1.498226018171997E-2</c:v>
                </c:pt>
                <c:pt idx="167">
                  <c:v>1.5128059911437864E-2</c:v>
                </c:pt>
                <c:pt idx="168">
                  <c:v>1.5273625495448846E-2</c:v>
                </c:pt>
                <c:pt idx="169">
                  <c:v>1.541894613097637E-2</c:v>
                </c:pt>
                <c:pt idx="170">
                  <c:v>1.5564011636797607E-2</c:v>
                </c:pt>
                <c:pt idx="171">
                  <c:v>1.5708812491901248E-2</c:v>
                </c:pt>
                <c:pt idx="172">
                  <c:v>1.5853339870030039E-2</c:v>
                </c:pt>
                <c:pt idx="173">
                  <c:v>1.5997585669841656E-2</c:v>
                </c:pt>
                <c:pt idx="174">
                  <c:v>1.614154254045632E-2</c:v>
                </c:pt>
                <c:pt idx="175">
                  <c:v>1.6285203902196014E-2</c:v>
                </c:pt>
                <c:pt idx="176">
                  <c:v>1.6428563962359748E-2</c:v>
                </c:pt>
                <c:pt idx="177">
                  <c:v>1.657161772591972E-2</c:v>
                </c:pt>
                <c:pt idx="178">
                  <c:v>1.671436100106562E-2</c:v>
                </c:pt>
                <c:pt idx="179">
                  <c:v>1.6856790399568063E-2</c:v>
                </c:pt>
                <c:pt idx="180">
                  <c:v>1.6998903331974749E-2</c:v>
                </c:pt>
                <c:pt idx="181">
                  <c:v>1.7140697997698417E-2</c:v>
                </c:pt>
                <c:pt idx="182">
                  <c:v>1.7282173370097523E-2</c:v>
                </c:pt>
                <c:pt idx="183">
                  <c:v>1.742332917669473E-2</c:v>
                </c:pt>
                <c:pt idx="184">
                  <c:v>1.756416587471896E-2</c:v>
                </c:pt>
                <c:pt idx="185">
                  <c:v>1.7704684622196779E-2</c:v>
                </c:pt>
                <c:pt idx="186">
                  <c:v>1.7844887244856649E-2</c:v>
                </c:pt>
                <c:pt idx="187">
                  <c:v>1.7984776199145038E-2</c:v>
                </c:pt>
                <c:pt idx="188">
                  <c:v>1.8124354531685091E-2</c:v>
                </c:pt>
                <c:pt idx="189">
                  <c:v>1.826362583553828E-2</c:v>
                </c:pt>
                <c:pt idx="190">
                  <c:v>1.8402594203654879E-2</c:v>
                </c:pt>
                <c:pt idx="191">
                  <c:v>1.85412641799204E-2</c:v>
                </c:pt>
                <c:pt idx="192">
                  <c:v>1.8679640708223352E-2</c:v>
                </c:pt>
                <c:pt idx="193">
                  <c:v>1.8817729079982696E-2</c:v>
                </c:pt>
                <c:pt idx="194">
                  <c:v>1.8955534880582343E-2</c:v>
                </c:pt>
                <c:pt idx="195">
                  <c:v>1.9093063935164467E-2</c:v>
                </c:pt>
                <c:pt idx="196">
                  <c:v>1.9230322254233313E-2</c:v>
                </c:pt>
                <c:pt idx="197">
                  <c:v>1.9367315979515982E-2</c:v>
                </c:pt>
                <c:pt idx="198">
                  <c:v>1.9504051330517736E-2</c:v>
                </c:pt>
                <c:pt idx="199">
                  <c:v>1.9640534552195305E-2</c:v>
                </c:pt>
                <c:pt idx="200">
                  <c:v>1.9776771864153539E-2</c:v>
                </c:pt>
                <c:pt idx="201">
                  <c:v>1.9912769411748112E-2</c:v>
                </c:pt>
                <c:pt idx="202">
                  <c:v>2.0048533219451742E-2</c:v>
                </c:pt>
                <c:pt idx="203">
                  <c:v>2.0184069146810361E-2</c:v>
                </c:pt>
                <c:pt idx="204">
                  <c:v>2.0319382847283428E-2</c:v>
                </c:pt>
                <c:pt idx="205">
                  <c:v>2.0454479730226516E-2</c:v>
                </c:pt>
                <c:pt idx="206">
                  <c:v>2.058936492623541E-2</c:v>
                </c:pt>
                <c:pt idx="207">
                  <c:v>2.072404325603084E-2</c:v>
                </c:pt>
                <c:pt idx="208">
                  <c:v>2.0858519203020748E-2</c:v>
                </c:pt>
                <c:pt idx="209">
                  <c:v>2.0992796889633042E-2</c:v>
                </c:pt>
                <c:pt idx="210">
                  <c:v>2.1126880057469277E-2</c:v>
                </c:pt>
                <c:pt idx="211">
                  <c:v>2.1260772051283749E-2</c:v>
                </c:pt>
                <c:pt idx="212">
                  <c:v>2.1394475806750527E-2</c:v>
                </c:pt>
                <c:pt idx="213">
                  <c:v>2.1527993841937088E-2</c:v>
                </c:pt>
                <c:pt idx="214">
                  <c:v>2.1661328252362094E-2</c:v>
                </c:pt>
                <c:pt idx="215">
                  <c:v>2.1794480709475445E-2</c:v>
                </c:pt>
                <c:pt idx="216">
                  <c:v>2.1927452462361462E-2</c:v>
                </c:pt>
                <c:pt idx="217">
                  <c:v>2.2060244342431593E-2</c:v>
                </c:pt>
                <c:pt idx="218">
                  <c:v>2.2192856770841946E-2</c:v>
                </c:pt>
                <c:pt idx="219">
                  <c:v>2.2325289768343436E-2</c:v>
                </c:pt>
                <c:pt idx="220">
                  <c:v>2.2457542967248639E-2</c:v>
                </c:pt>
                <c:pt idx="221">
                  <c:v>2.2589615625179908E-2</c:v>
                </c:pt>
                <c:pt idx="222">
                  <c:v>2.2721506640248783E-2</c:v>
                </c:pt>
                <c:pt idx="223">
                  <c:v>2.2853214567306112E-2</c:v>
                </c:pt>
                <c:pt idx="224">
                  <c:v>2.2984737634897071E-2</c:v>
                </c:pt>
                <c:pt idx="225">
                  <c:v>2.3116073762555311E-2</c:v>
                </c:pt>
                <c:pt idx="226">
                  <c:v>2.3247220578073803E-2</c:v>
                </c:pt>
                <c:pt idx="227">
                  <c:v>2.3378175434401058E-2</c:v>
                </c:pt>
                <c:pt idx="228">
                  <c:v>2.350893542582418E-2</c:v>
                </c:pt>
                <c:pt idx="229">
                  <c:v>2.3639497403120414E-2</c:v>
                </c:pt>
                <c:pt idx="230">
                  <c:v>2.3769857987381706E-2</c:v>
                </c:pt>
                <c:pt idx="231">
                  <c:v>2.3900013582245062E-2</c:v>
                </c:pt>
                <c:pt idx="232">
                  <c:v>2.4029960384292968E-2</c:v>
                </c:pt>
                <c:pt idx="233">
                  <c:v>2.415969439142383E-2</c:v>
                </c:pt>
                <c:pt idx="234">
                  <c:v>2.4289211409030623E-2</c:v>
                </c:pt>
                <c:pt idx="235">
                  <c:v>2.4418507053867586E-2</c:v>
                </c:pt>
                <c:pt idx="236">
                  <c:v>2.4547576755528044E-2</c:v>
                </c:pt>
                <c:pt idx="237">
                  <c:v>2.4676415755501991E-2</c:v>
                </c:pt>
                <c:pt idx="238">
                  <c:v>2.4805019103828527E-2</c:v>
                </c:pt>
                <c:pt idx="239">
                  <c:v>2.4933381653404921E-2</c:v>
                </c:pt>
                <c:pt idx="240">
                  <c:v>2.5061498052061981E-2</c:v>
                </c:pt>
                <c:pt idx="241">
                  <c:v>2.5189362732561067E-2</c:v>
                </c:pt>
                <c:pt idx="242">
                  <c:v>2.5316969900714296E-2</c:v>
                </c:pt>
                <c:pt idx="243">
                  <c:v>2.5444313521872573E-2</c:v>
                </c:pt>
                <c:pt idx="244">
                  <c:v>2.5571387306067506E-2</c:v>
                </c:pt>
                <c:pt idx="245">
                  <c:v>2.5698184692132104E-2</c:v>
                </c:pt>
                <c:pt idx="246">
                  <c:v>2.5824698831159683E-2</c:v>
                </c:pt>
                <c:pt idx="247">
                  <c:v>2.5950922569691552E-2</c:v>
                </c:pt>
                <c:pt idx="248">
                  <c:v>2.6076848433051174E-2</c:v>
                </c:pt>
                <c:pt idx="249">
                  <c:v>2.6202468609263931E-2</c:v>
                </c:pt>
                <c:pt idx="250">
                  <c:v>2.6327774934018344E-2</c:v>
                </c:pt>
                <c:pt idx="251">
                  <c:v>2.6452758877136193E-2</c:v>
                </c:pt>
                <c:pt idx="252">
                  <c:v>2.6577411531024032E-2</c:v>
                </c:pt>
                <c:pt idx="253">
                  <c:v>2.6701723601577951E-2</c:v>
                </c:pt>
                <c:pt idx="254">
                  <c:v>2.6825685402007471E-2</c:v>
                </c:pt>
                <c:pt idx="255">
                  <c:v>2.6949286850030618E-2</c:v>
                </c:pt>
                <c:pt idx="256">
                  <c:v>2.707251746887419E-2</c:v>
                </c:pt>
                <c:pt idx="257">
                  <c:v>2.7195366392487836E-2</c:v>
                </c:pt>
                <c:pt idx="258">
                  <c:v>2.7317822375348966E-2</c:v>
                </c:pt>
                <c:pt idx="259">
                  <c:v>2.7439873807200046E-2</c:v>
                </c:pt>
                <c:pt idx="260">
                  <c:v>2.7561508733016226E-2</c:v>
                </c:pt>
                <c:pt idx="261">
                  <c:v>2.7682714878454938E-2</c:v>
                </c:pt>
                <c:pt idx="262">
                  <c:v>2.7803479680986707E-2</c:v>
                </c:pt>
                <c:pt idx="263">
                  <c:v>2.7923790326850145E-2</c:v>
                </c:pt>
                <c:pt idx="264">
                  <c:v>2.8043633793914471E-2</c:v>
                </c:pt>
                <c:pt idx="265">
                  <c:v>2.8162996900469525E-2</c:v>
                </c:pt>
                <c:pt idx="266">
                  <c:v>2.8281866359898187E-2</c:v>
                </c:pt>
                <c:pt idx="267">
                  <c:v>2.8400228841118213E-2</c:v>
                </c:pt>
                <c:pt idx="268">
                  <c:v>2.8518071034612756E-2</c:v>
                </c:pt>
                <c:pt idx="269">
                  <c:v>2.8635379723799211E-2</c:v>
                </c:pt>
                <c:pt idx="270">
                  <c:v>2.8752141861418279E-2</c:v>
                </c:pt>
                <c:pt idx="271">
                  <c:v>2.8868344650556987E-2</c:v>
                </c:pt>
                <c:pt idx="272">
                  <c:v>2.8983975629854348E-2</c:v>
                </c:pt>
                <c:pt idx="273">
                  <c:v>2.9099022762375071E-2</c:v>
                </c:pt>
                <c:pt idx="274">
                  <c:v>2.9213474527576905E-2</c:v>
                </c:pt>
                <c:pt idx="275">
                  <c:v>2.9327320015742016E-2</c:v>
                </c:pt>
                <c:pt idx="276">
                  <c:v>2.9440549024190972E-2</c:v>
                </c:pt>
                <c:pt idx="277">
                  <c:v>2.9553152154553362E-2</c:v>
                </c:pt>
                <c:pt idx="278">
                  <c:v>2.9665120910328122E-2</c:v>
                </c:pt>
                <c:pt idx="279">
                  <c:v>2.9776447793934884E-2</c:v>
                </c:pt>
                <c:pt idx="280">
                  <c:v>2.9887126402429836E-2</c:v>
                </c:pt>
                <c:pt idx="281">
                  <c:v>2.9997151521042327E-2</c:v>
                </c:pt>
                <c:pt idx="282">
                  <c:v>3.0106519213676183E-2</c:v>
                </c:pt>
                <c:pt idx="283">
                  <c:v>3.0215226909517209E-2</c:v>
                </c:pt>
                <c:pt idx="284">
                  <c:v>3.0323273484893779E-2</c:v>
                </c:pt>
                <c:pt idx="285">
                  <c:v>3.043065933955021E-2</c:v>
                </c:pt>
                <c:pt idx="286">
                  <c:v>3.0537386466515333E-2</c:v>
                </c:pt>
                <c:pt idx="287">
                  <c:v>3.0643458514778718E-2</c:v>
                </c:pt>
                <c:pt idx="288">
                  <c:v>3.0748880844025248E-2</c:v>
                </c:pt>
                <c:pt idx="289">
                  <c:v>3.0853660570725566E-2</c:v>
                </c:pt>
                <c:pt idx="290">
                  <c:v>3.0957806604933958E-2</c:v>
                </c:pt>
                <c:pt idx="291">
                  <c:v>3.1061329677206859E-2</c:v>
                </c:pt>
                <c:pt idx="292">
                  <c:v>3.1164242355123002E-2</c:v>
                </c:pt>
                <c:pt idx="293">
                  <c:v>3.1266559048961612E-2</c:v>
                </c:pt>
                <c:pt idx="294">
                  <c:v>3.1368296006174363E-2</c:v>
                </c:pt>
                <c:pt idx="295">
                  <c:v>3.1469471294373108E-2</c:v>
                </c:pt>
                <c:pt idx="296">
                  <c:v>3.1570104772643999E-2</c:v>
                </c:pt>
                <c:pt idx="297">
                  <c:v>3.1670218051092158E-2</c:v>
                </c:pt>
                <c:pt idx="298">
                  <c:v>3.1769834438616744E-2</c:v>
                </c:pt>
                <c:pt idx="299">
                  <c:v>3.1868978879013195E-2</c:v>
                </c:pt>
                <c:pt idx="300">
                  <c:v>3.1967677875598469E-2</c:v>
                </c:pt>
                <c:pt idx="301">
                  <c:v>3.2065959404652462E-2</c:v>
                </c:pt>
                <c:pt idx="302">
                  <c:v>3.2163852818066802E-2</c:v>
                </c:pt>
                <c:pt idx="303">
                  <c:v>3.2261388735687395E-2</c:v>
                </c:pt>
                <c:pt idx="304">
                  <c:v>3.2358598927929166E-2</c:v>
                </c:pt>
                <c:pt idx="305">
                  <c:v>3.2455516189330916E-2</c:v>
                </c:pt>
                <c:pt idx="306">
                  <c:v>3.2552174203801978E-2</c:v>
                </c:pt>
                <c:pt idx="307">
                  <c:v>3.26486074023912E-2</c:v>
                </c:pt>
                <c:pt idx="308">
                  <c:v>3.274485081448119E-2</c:v>
                </c:pt>
                <c:pt idx="309">
                  <c:v>3.2840939913376554E-2</c:v>
                </c:pt>
                <c:pt idx="310">
                  <c:v>3.2936910457312001E-2</c:v>
                </c:pt>
                <c:pt idx="311">
                  <c:v>3.3032798326956277E-2</c:v>
                </c:pt>
                <c:pt idx="312">
                  <c:v>3.3128639360528643E-2</c:v>
                </c:pt>
                <c:pt idx="313">
                  <c:v>3.3224469187674792E-2</c:v>
                </c:pt>
                <c:pt idx="314">
                  <c:v>3.3320323063272622E-2</c:v>
                </c:pt>
                <c:pt idx="315">
                  <c:v>3.3416235702348168E-2</c:v>
                </c:pt>
                <c:pt idx="316">
                  <c:v>3.3512241117284632E-2</c:v>
                </c:pt>
                <c:pt idx="317">
                  <c:v>3.3608372458498556E-2</c:v>
                </c:pt>
                <c:pt idx="318">
                  <c:v>3.3704661859737715E-2</c:v>
                </c:pt>
                <c:pt idx="319">
                  <c:v>3.3801140289126765E-2</c:v>
                </c:pt>
                <c:pt idx="320">
                  <c:v>3.3897837407047368E-2</c:v>
                </c:pt>
                <c:pt idx="321">
                  <c:v>3.3994781431890796E-2</c:v>
                </c:pt>
                <c:pt idx="322">
                  <c:v>3.4091999014662838E-2</c:v>
                </c:pt>
                <c:pt idx="323">
                  <c:v>3.4189515123354601E-2</c:v>
                </c:pt>
                <c:pt idx="324">
                  <c:v>3.4287352937916959E-2</c:v>
                </c:pt>
                <c:pt idx="325">
                  <c:v>3.438553375659479E-2</c:v>
                </c:pt>
                <c:pt idx="326">
                  <c:v>3.4484076914286767E-2</c:v>
                </c:pt>
                <c:pt idx="327">
                  <c:v>3.4582999713501789E-2</c:v>
                </c:pt>
                <c:pt idx="328">
                  <c:v>3.4682317368381996E-2</c:v>
                </c:pt>
                <c:pt idx="329">
                  <c:v>3.4782042962157415E-2</c:v>
                </c:pt>
                <c:pt idx="330">
                  <c:v>3.4882187418289183E-2</c:v>
                </c:pt>
                <c:pt idx="331">
                  <c:v>3.4982759485447282E-2</c:v>
                </c:pt>
                <c:pt idx="332">
                  <c:v>3.5083765736357068E-2</c:v>
                </c:pt>
                <c:pt idx="333">
                  <c:v>3.5185210580436242E-2</c:v>
                </c:pt>
                <c:pt idx="334">
                  <c:v>3.5287096290032377E-2</c:v>
                </c:pt>
                <c:pt idx="335">
                  <c:v>3.5389423039961322E-2</c:v>
                </c:pt>
                <c:pt idx="336">
                  <c:v>3.5492188959939573E-2</c:v>
                </c:pt>
                <c:pt idx="337">
                  <c:v>3.5595390199400168E-2</c:v>
                </c:pt>
                <c:pt idx="338">
                  <c:v>3.5699021004083203E-2</c:v>
                </c:pt>
                <c:pt idx="339">
                  <c:v>3.5803073803698848E-2</c:v>
                </c:pt>
                <c:pt idx="340">
                  <c:v>3.5907539309873948E-2</c:v>
                </c:pt>
                <c:pt idx="341">
                  <c:v>3.6012406623513876E-2</c:v>
                </c:pt>
                <c:pt idx="342">
                  <c:v>3.6117663350640351E-2</c:v>
                </c:pt>
                <c:pt idx="343">
                  <c:v>3.6223295725702119E-2</c:v>
                </c:pt>
                <c:pt idx="344">
                  <c:v>3.632928874130284E-2</c:v>
                </c:pt>
                <c:pt idx="345">
                  <c:v>3.6435626283245655E-2</c:v>
                </c:pt>
                <c:pt idx="346">
                  <c:v>3.6542291269760462E-2</c:v>
                </c:pt>
                <c:pt idx="347">
                  <c:v>3.6649265793756082E-2</c:v>
                </c:pt>
                <c:pt idx="348">
                  <c:v>3.6756531266926434E-2</c:v>
                </c:pt>
                <c:pt idx="349">
                  <c:v>3.6864068564537174E-2</c:v>
                </c:pt>
                <c:pt idx="350">
                  <c:v>3.6971858169727659E-2</c:v>
                </c:pt>
                <c:pt idx="351">
                  <c:v>3.7079880316180994E-2</c:v>
                </c:pt>
                <c:pt idx="352">
                  <c:v>3.7188115128044132E-2</c:v>
                </c:pt>
                <c:pt idx="353">
                  <c:v>3.7296542756018423E-2</c:v>
                </c:pt>
                <c:pt idx="354">
                  <c:v>3.7405143508589228E-2</c:v>
                </c:pt>
                <c:pt idx="355">
                  <c:v>3.7513897977419906E-2</c:v>
                </c:pt>
                <c:pt idx="356">
                  <c:v>3.7622787156001654E-2</c:v>
                </c:pt>
                <c:pt idx="357">
                  <c:v>3.7731792550723134E-2</c:v>
                </c:pt>
                <c:pt idx="358">
                  <c:v>3.7840896283604882E-2</c:v>
                </c:pt>
                <c:pt idx="359">
                  <c:v>3.7950081186028564E-2</c:v>
                </c:pt>
                <c:pt idx="360">
                  <c:v>3.8059330882884448E-2</c:v>
                </c:pt>
                <c:pt idx="361">
                  <c:v>3.8168629866654979E-2</c:v>
                </c:pt>
                <c:pt idx="362">
                  <c:v>3.8277963561052605E-2</c:v>
                </c:pt>
                <c:pt idx="363">
                  <c:v>3.8387318373932021E-2</c:v>
                </c:pt>
                <c:pt idx="364">
                  <c:v>3.8496681739299765E-2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2.107000526303561E-4</c:v>
                </c:pt>
                <c:pt idx="1">
                  <c:v>2.0849402931887194E-4</c:v>
                </c:pt>
                <c:pt idx="2">
                  <c:v>2.0653173208706209E-4</c:v>
                </c:pt>
                <c:pt idx="3">
                  <c:v>2.0481871201232166E-4</c:v>
                </c:pt>
                <c:pt idx="4">
                  <c:v>2.03359878925407E-4</c:v>
                </c:pt>
                <c:pt idx="5">
                  <c:v>2.0215963713897367E-4</c:v>
                </c:pt>
                <c:pt idx="6">
                  <c:v>2.012220214589063E-4</c:v>
                </c:pt>
                <c:pt idx="7">
                  <c:v>2.0055083255859305E-4</c:v>
                </c:pt>
                <c:pt idx="8">
                  <c:v>2.0012744171838266E-4</c:v>
                </c:pt>
                <c:pt idx="9">
                  <c:v>1.9966685347448489E-4</c:v>
                </c:pt>
                <c:pt idx="10">
                  <c:v>1.990781744772928E-4</c:v>
                </c:pt>
                <c:pt idx="11">
                  <c:v>1.9836153079775707E-4</c:v>
                </c:pt>
                <c:pt idx="12">
                  <c:v>1.9751720355768649E-4</c:v>
                </c:pt>
                <c:pt idx="13">
                  <c:v>1.9654563568378107E-4</c:v>
                </c:pt>
                <c:pt idx="14">
                  <c:v>1.9544743741999572E-4</c:v>
                </c:pt>
                <c:pt idx="15">
                  <c:v>1.9418446101061339E-4</c:v>
                </c:pt>
                <c:pt idx="16">
                  <c:v>1.9262245270267316E-4</c:v>
                </c:pt>
                <c:pt idx="17">
                  <c:v>1.9076673748436295E-4</c:v>
                </c:pt>
                <c:pt idx="18">
                  <c:v>1.8862289554554335E-4</c:v>
                </c:pt>
                <c:pt idx="19">
                  <c:v>1.8619781186885774E-4</c:v>
                </c:pt>
                <c:pt idx="20">
                  <c:v>1.8349904833325477E-4</c:v>
                </c:pt>
                <c:pt idx="21">
                  <c:v>1.8053356336106564E-4</c:v>
                </c:pt>
                <c:pt idx="22">
                  <c:v>1.7729988137339884E-4</c:v>
                </c:pt>
                <c:pt idx="23">
                  <c:v>1.7396445397379831E-4</c:v>
                </c:pt>
                <c:pt idx="24">
                  <c:v>1.7076825029554803E-4</c:v>
                </c:pt>
                <c:pt idx="25">
                  <c:v>1.6771597592143728E-4</c:v>
                </c:pt>
                <c:pt idx="26">
                  <c:v>1.6481152538942251E-4</c:v>
                </c:pt>
                <c:pt idx="27">
                  <c:v>1.6205806088232625E-4</c:v>
                </c:pt>
                <c:pt idx="28">
                  <c:v>1.5945809139357187E-4</c:v>
                </c:pt>
                <c:pt idx="29">
                  <c:v>1.5706127762124425E-4</c:v>
                </c:pt>
                <c:pt idx="30">
                  <c:v>1.5490179957942292E-4</c:v>
                </c:pt>
                <c:pt idx="31">
                  <c:v>1.5297842553009704E-4</c:v>
                </c:pt>
                <c:pt idx="32">
                  <c:v>1.5128967376121547E-4</c:v>
                </c:pt>
                <c:pt idx="33">
                  <c:v>1.4983390110532422E-4</c:v>
                </c:pt>
                <c:pt idx="34">
                  <c:v>1.486093855586401E-4</c:v>
                </c:pt>
                <c:pt idx="35">
                  <c:v>1.4761440330431067E-4</c:v>
                </c:pt>
                <c:pt idx="36">
                  <c:v>1.4683165975385961E-4</c:v>
                </c:pt>
                <c:pt idx="37">
                  <c:v>1.4627533750651429E-4</c:v>
                </c:pt>
                <c:pt idx="38">
                  <c:v>1.458010146506915E-4</c:v>
                </c:pt>
                <c:pt idx="39">
                  <c:v>1.4540875536855086E-4</c:v>
                </c:pt>
                <c:pt idx="40">
                  <c:v>1.4509858626342615E-4</c:v>
                </c:pt>
                <c:pt idx="41">
                  <c:v>1.4487051169860673E-4</c:v>
                </c:pt>
                <c:pt idx="42">
                  <c:v>1.4472452857068556E-4</c:v>
                </c:pt>
                <c:pt idx="43">
                  <c:v>1.447091436503986E-4</c:v>
                </c:pt>
                <c:pt idx="44">
                  <c:v>1.4478129961679502E-4</c:v>
                </c:pt>
                <c:pt idx="45">
                  <c:v>1.4494093923638778E-4</c:v>
                </c:pt>
                <c:pt idx="46">
                  <c:v>1.4518806104258787E-4</c:v>
                </c:pt>
                <c:pt idx="47">
                  <c:v>1.4552273221548714E-4</c:v>
                </c:pt>
                <c:pt idx="48">
                  <c:v>1.4594510114270014E-4</c:v>
                </c:pt>
                <c:pt idx="49">
                  <c:v>1.4645540977078402E-4</c:v>
                </c:pt>
                <c:pt idx="50">
                  <c:v>1.4705025003681015E-4</c:v>
                </c:pt>
                <c:pt idx="51">
                  <c:v>1.4757482090893578E-4</c:v>
                </c:pt>
                <c:pt idx="52">
                  <c:v>1.4800112358457146E-4</c:v>
                </c:pt>
                <c:pt idx="53">
                  <c:v>1.4833017609400424E-4</c:v>
                </c:pt>
                <c:pt idx="54">
                  <c:v>1.4856366637594129E-4</c:v>
                </c:pt>
                <c:pt idx="55">
                  <c:v>1.4870323202495963E-4</c:v>
                </c:pt>
                <c:pt idx="56">
                  <c:v>1.4875046789283712E-4</c:v>
                </c:pt>
                <c:pt idx="57">
                  <c:v>1.4834642999460746E-4</c:v>
                </c:pt>
                <c:pt idx="58">
                  <c:v>1.4745540532172443E-4</c:v>
                </c:pt>
                <c:pt idx="59">
                  <c:v>1.460858652365779E-4</c:v>
                </c:pt>
                <c:pt idx="60">
                  <c:v>1.4424593942696402E-4</c:v>
                </c:pt>
                <c:pt idx="61">
                  <c:v>1.4194343115885304E-4</c:v>
                </c:pt>
                <c:pt idx="62">
                  <c:v>1.391858289623385E-4</c:v>
                </c:pt>
                <c:pt idx="63">
                  <c:v>1.3598031490967728E-4</c:v>
                </c:pt>
                <c:pt idx="64">
                  <c:v>1.323325816089716E-4</c:v>
                </c:pt>
                <c:pt idx="65">
                  <c:v>1.2825911639617686E-4</c:v>
                </c:pt>
                <c:pt idx="66">
                  <c:v>1.2390464808681876E-4</c:v>
                </c:pt>
                <c:pt idx="67">
                  <c:v>1.1927400887146842E-4</c:v>
                </c:pt>
                <c:pt idx="68">
                  <c:v>1.1437163866224725E-4</c:v>
                </c:pt>
                <c:pt idx="69">
                  <c:v>1.0920155980801081E-4</c:v>
                </c:pt>
                <c:pt idx="70">
                  <c:v>1.0376735182232626E-4</c:v>
                </c:pt>
                <c:pt idx="71">
                  <c:v>9.8279598274908414E-5</c:v>
                </c:pt>
                <c:pt idx="72">
                  <c:v>9.3071077920560077E-5</c:v>
                </c:pt>
                <c:pt idx="73">
                  <c:v>8.8137063964623867E-5</c:v>
                </c:pt>
                <c:pt idx="74">
                  <c:v>8.3472918822997087E-5</c:v>
                </c:pt>
                <c:pt idx="75">
                  <c:v>7.9074112225167807E-5</c:v>
                </c:pt>
                <c:pt idx="76">
                  <c:v>7.4936239223987803E-5</c:v>
                </c:pt>
                <c:pt idx="77">
                  <c:v>7.1055038085616207E-5</c:v>
                </c:pt>
                <c:pt idx="78">
                  <c:v>6.74232504548758E-5</c:v>
                </c:pt>
                <c:pt idx="79">
                  <c:v>6.4058895993283462E-5</c:v>
                </c:pt>
                <c:pt idx="80">
                  <c:v>6.0949997277254107E-5</c:v>
                </c:pt>
                <c:pt idx="81">
                  <c:v>5.809400211775087E-5</c:v>
                </c:pt>
                <c:pt idx="82">
                  <c:v>5.54883988829166E-5</c:v>
                </c:pt>
                <c:pt idx="83">
                  <c:v>5.3130763467113261E-5</c:v>
                </c:pt>
                <c:pt idx="84">
                  <c:v>5.101880481147892E-5</c:v>
                </c:pt>
                <c:pt idx="85">
                  <c:v>4.9205037793488839E-5</c:v>
                </c:pt>
                <c:pt idx="86">
                  <c:v>4.7489415372300383E-5</c:v>
                </c:pt>
                <c:pt idx="87">
                  <c:v>4.5870921726962218E-5</c:v>
                </c:pt>
                <c:pt idx="88">
                  <c:v>4.4348571220132619E-5</c:v>
                </c:pt>
                <c:pt idx="89">
                  <c:v>4.292142477287212E-5</c:v>
                </c:pt>
                <c:pt idx="90">
                  <c:v>4.1588605793699156E-5</c:v>
                </c:pt>
                <c:pt idx="91">
                  <c:v>4.0349315754732422E-5</c:v>
                </c:pt>
                <c:pt idx="92">
                  <c:v>3.9202342893946576E-5</c:v>
                </c:pt>
                <c:pt idx="93">
                  <c:v>3.8332872613817479E-5</c:v>
                </c:pt>
                <c:pt idx="94">
                  <c:v>3.7716969749596742E-5</c:v>
                </c:pt>
                <c:pt idx="95">
                  <c:v>3.7354586499223057E-5</c:v>
                </c:pt>
                <c:pt idx="96">
                  <c:v>3.7246212524887434E-5</c:v>
                </c:pt>
                <c:pt idx="97">
                  <c:v>3.7392861245566655E-5</c:v>
                </c:pt>
                <c:pt idx="98">
                  <c:v>3.7796057275986548E-5</c:v>
                </c:pt>
                <c:pt idx="99">
                  <c:v>3.885310652850416E-5</c:v>
                </c:pt>
                <c:pt idx="100">
                  <c:v>4.0515042035231647E-5</c:v>
                </c:pt>
                <c:pt idx="101">
                  <c:v>4.2788847378422955E-5</c:v>
                </c:pt>
                <c:pt idx="102">
                  <c:v>4.5682627681324466E-5</c:v>
                </c:pt>
                <c:pt idx="103">
                  <c:v>4.9205586535002961E-5</c:v>
                </c:pt>
                <c:pt idx="104">
                  <c:v>5.3368002302876817E-5</c:v>
                </c:pt>
                <c:pt idx="105">
                  <c:v>5.8181203275694994E-5</c:v>
                </c:pt>
                <c:pt idx="106">
                  <c:v>6.3658767673413071E-5</c:v>
                </c:pt>
                <c:pt idx="107">
                  <c:v>7.0220880044921094E-5</c:v>
                </c:pt>
                <c:pt idx="108">
                  <c:v>7.7693738547208744E-5</c:v>
                </c:pt>
                <c:pt idx="109">
                  <c:v>8.6099103763237277E-5</c:v>
                </c:pt>
                <c:pt idx="110">
                  <c:v>9.5460965207154285E-5</c:v>
                </c:pt>
                <c:pt idx="111">
                  <c:v>1.0580545521969352E-4</c:v>
                </c:pt>
                <c:pt idx="112">
                  <c:v>1.1716060378392051E-4</c:v>
                </c:pt>
                <c:pt idx="113">
                  <c:v>1.2978393887927848E-4</c:v>
                </c:pt>
                <c:pt idx="114">
                  <c:v>1.432847538964765E-4</c:v>
                </c:pt>
                <c:pt idx="115">
                  <c:v>1.5769330795917962E-4</c:v>
                </c:pt>
                <c:pt idx="116">
                  <c:v>1.7304175002829934E-4</c:v>
                </c:pt>
                <c:pt idx="117">
                  <c:v>1.8936416056422554E-4</c:v>
                </c:pt>
                <c:pt idx="118">
                  <c:v>2.0669659103427556E-4</c:v>
                </c:pt>
                <c:pt idx="119">
                  <c:v>2.2507710092120961E-4</c:v>
                </c:pt>
                <c:pt idx="120">
                  <c:v>2.4454757210844023E-4</c:v>
                </c:pt>
                <c:pt idx="121">
                  <c:v>2.6537710350515531E-4</c:v>
                </c:pt>
                <c:pt idx="122">
                  <c:v>2.8715985354164507E-4</c:v>
                </c:pt>
                <c:pt idx="123">
                  <c:v>3.0993328680633864E-4</c:v>
                </c:pt>
                <c:pt idx="124">
                  <c:v>3.3373577793756922E-4</c:v>
                </c:pt>
                <c:pt idx="125">
                  <c:v>3.5860653628024143E-4</c:v>
                </c:pt>
                <c:pt idx="126">
                  <c:v>3.8458551940452802E-4</c:v>
                </c:pt>
                <c:pt idx="127">
                  <c:v>4.117466771915653E-4</c:v>
                </c:pt>
                <c:pt idx="128">
                  <c:v>4.3986902984332639E-4</c:v>
                </c:pt>
                <c:pt idx="129">
                  <c:v>4.6898584928981447E-4</c:v>
                </c:pt>
                <c:pt idx="130">
                  <c:v>4.9913019281002204E-4</c:v>
                </c:pt>
                <c:pt idx="131">
                  <c:v>5.3033476700087745E-4</c:v>
                </c:pt>
                <c:pt idx="132">
                  <c:v>5.6263178101661766E-4</c:v>
                </c:pt>
                <c:pt idx="133">
                  <c:v>5.9605278904556046E-4</c:v>
                </c:pt>
                <c:pt idx="134">
                  <c:v>6.3063951681264238E-4</c:v>
                </c:pt>
                <c:pt idx="135">
                  <c:v>6.6642467089345135E-4</c:v>
                </c:pt>
                <c:pt idx="136">
                  <c:v>7.0317308795542818E-4</c:v>
                </c:pt>
                <c:pt idx="137">
                  <c:v>7.409080744511696E-4</c:v>
                </c:pt>
                <c:pt idx="138">
                  <c:v>7.7965172053814935E-4</c:v>
                </c:pt>
                <c:pt idx="139">
                  <c:v>8.1942476804145446E-4</c:v>
                </c:pt>
                <c:pt idx="140">
                  <c:v>8.6024647645125134E-4</c:v>
                </c:pt>
                <c:pt idx="141">
                  <c:v>9.0214448534210929E-4</c:v>
                </c:pt>
                <c:pt idx="142">
                  <c:v>9.4508938927603272E-4</c:v>
                </c:pt>
                <c:pt idx="143">
                  <c:v>9.8908877763295017E-4</c:v>
                </c:pt>
                <c:pt idx="144">
                  <c:v>1.0341535681270061E-3</c:v>
                </c:pt>
                <c:pt idx="145">
                  <c:v>1.0802927192957365E-3</c:v>
                </c:pt>
                <c:pt idx="146">
                  <c:v>1.127513128363205E-3</c:v>
                </c:pt>
                <c:pt idx="147">
                  <c:v>1.175819536275439E-3</c:v>
                </c:pt>
                <c:pt idx="148">
                  <c:v>1.2252151778445301E-3</c:v>
                </c:pt>
                <c:pt idx="149">
                  <c:v>1.2751666021897071E-3</c:v>
                </c:pt>
                <c:pt idx="150">
                  <c:v>1.3256694966225567E-3</c:v>
                </c:pt>
                <c:pt idx="151">
                  <c:v>1.3767032285330954E-3</c:v>
                </c:pt>
                <c:pt idx="152">
                  <c:v>1.4282451575999108E-3</c:v>
                </c:pt>
                <c:pt idx="153">
                  <c:v>1.4802707008143656E-3</c:v>
                </c:pt>
                <c:pt idx="154">
                  <c:v>1.532753413027874E-3</c:v>
                </c:pt>
                <c:pt idx="155">
                  <c:v>1.5846563197179117E-3</c:v>
                </c:pt>
                <c:pt idx="156">
                  <c:v>1.6358968810723743E-3</c:v>
                </c:pt>
                <c:pt idx="157">
                  <c:v>1.6864024256880281E-3</c:v>
                </c:pt>
                <c:pt idx="158">
                  <c:v>1.7360985913322691E-3</c:v>
                </c:pt>
                <c:pt idx="159">
                  <c:v>1.7849095736678549E-3</c:v>
                </c:pt>
                <c:pt idx="160">
                  <c:v>1.8327583852731672E-3</c:v>
                </c:pt>
                <c:pt idx="161">
                  <c:v>1.8795671220866996E-3</c:v>
                </c:pt>
                <c:pt idx="162">
                  <c:v>1.9252788541211712E-3</c:v>
                </c:pt>
                <c:pt idx="163">
                  <c:v>1.9689032606777009E-3</c:v>
                </c:pt>
                <c:pt idx="164">
                  <c:v>2.010965221912576E-3</c:v>
                </c:pt>
                <c:pt idx="165">
                  <c:v>2.0513577844110597E-3</c:v>
                </c:pt>
                <c:pt idx="166">
                  <c:v>2.0899728906998817E-3</c:v>
                </c:pt>
                <c:pt idx="167">
                  <c:v>2.1267017908964958E-3</c:v>
                </c:pt>
                <c:pt idx="168">
                  <c:v>2.1614354595023977E-3</c:v>
                </c:pt>
                <c:pt idx="169">
                  <c:v>2.1930740115822167E-3</c:v>
                </c:pt>
                <c:pt idx="170">
                  <c:v>2.2226892388279925E-3</c:v>
                </c:pt>
                <c:pt idx="171">
                  <c:v>2.2501810491681986E-3</c:v>
                </c:pt>
                <c:pt idx="172">
                  <c:v>2.275450653320387E-3</c:v>
                </c:pt>
                <c:pt idx="173">
                  <c:v>2.2983774298837687E-3</c:v>
                </c:pt>
                <c:pt idx="174">
                  <c:v>2.3188406922677609E-3</c:v>
                </c:pt>
                <c:pt idx="175">
                  <c:v>2.336744774492615E-3</c:v>
                </c:pt>
                <c:pt idx="176">
                  <c:v>2.3520406498732469E-3</c:v>
                </c:pt>
                <c:pt idx="177">
                  <c:v>2.3633922111131033E-3</c:v>
                </c:pt>
                <c:pt idx="178">
                  <c:v>2.3717831172195619E-3</c:v>
                </c:pt>
                <c:pt idx="179">
                  <c:v>2.3771449256792978E-3</c:v>
                </c:pt>
                <c:pt idx="180">
                  <c:v>2.3794130665794767E-3</c:v>
                </c:pt>
                <c:pt idx="181">
                  <c:v>2.378526860360373E-3</c:v>
                </c:pt>
                <c:pt idx="182">
                  <c:v>2.3744295032607052E-3</c:v>
                </c:pt>
                <c:pt idx="183">
                  <c:v>2.3662744768120042E-3</c:v>
                </c:pt>
                <c:pt idx="184">
                  <c:v>2.3551363333172396E-3</c:v>
                </c:pt>
                <c:pt idx="185">
                  <c:v>2.3409777623801557E-3</c:v>
                </c:pt>
                <c:pt idx="186">
                  <c:v>2.3237646620122079E-3</c:v>
                </c:pt>
                <c:pt idx="187">
                  <c:v>2.3034659876813805E-3</c:v>
                </c:pt>
                <c:pt idx="188">
                  <c:v>2.2800535827278263E-3</c:v>
                </c:pt>
                <c:pt idx="189">
                  <c:v>2.2535019925350483E-3</c:v>
                </c:pt>
                <c:pt idx="190">
                  <c:v>2.2238065561973053E-3</c:v>
                </c:pt>
                <c:pt idx="191">
                  <c:v>2.1909758564318642E-3</c:v>
                </c:pt>
                <c:pt idx="192">
                  <c:v>2.1564448386669987E-3</c:v>
                </c:pt>
                <c:pt idx="193">
                  <c:v>2.1202149604970127E-3</c:v>
                </c:pt>
                <c:pt idx="194">
                  <c:v>2.0822886226156629E-3</c:v>
                </c:pt>
                <c:pt idx="195">
                  <c:v>2.0426690676844622E-3</c:v>
                </c:pt>
                <c:pt idx="196">
                  <c:v>2.0013602861883011E-3</c:v>
                </c:pt>
                <c:pt idx="197">
                  <c:v>1.9583431759010142E-3</c:v>
                </c:pt>
                <c:pt idx="198">
                  <c:v>1.9144982361518591E-3</c:v>
                </c:pt>
                <c:pt idx="199">
                  <c:v>1.8698447967968692E-3</c:v>
                </c:pt>
                <c:pt idx="200">
                  <c:v>1.8244020718717713E-3</c:v>
                </c:pt>
                <c:pt idx="201">
                  <c:v>1.7781891182437792E-3</c:v>
                </c:pt>
                <c:pt idx="202">
                  <c:v>1.7312248051249903E-3</c:v>
                </c:pt>
                <c:pt idx="203">
                  <c:v>1.6835277942984378E-3</c:v>
                </c:pt>
                <c:pt idx="204">
                  <c:v>1.6351229199311752E-3</c:v>
                </c:pt>
                <c:pt idx="205">
                  <c:v>1.5861145787401457E-3</c:v>
                </c:pt>
                <c:pt idx="206">
                  <c:v>1.5365089561703189E-3</c:v>
                </c:pt>
                <c:pt idx="207">
                  <c:v>1.4863296797711393E-3</c:v>
                </c:pt>
                <c:pt idx="208">
                  <c:v>1.4355991516150776E-3</c:v>
                </c:pt>
                <c:pt idx="209">
                  <c:v>1.384338545654889E-3</c:v>
                </c:pt>
                <c:pt idx="210">
                  <c:v>1.3325678130766227E-3</c:v>
                </c:pt>
                <c:pt idx="211">
                  <c:v>1.2808634586470176E-3</c:v>
                </c:pt>
                <c:pt idx="212">
                  <c:v>1.2292749058048235E-3</c:v>
                </c:pt>
                <c:pt idx="213">
                  <c:v>1.1778250687795469E-3</c:v>
                </c:pt>
                <c:pt idx="214">
                  <c:v>1.1265355433990024E-3</c:v>
                </c:pt>
                <c:pt idx="215">
                  <c:v>1.0754266624072716E-3</c:v>
                </c:pt>
                <c:pt idx="216">
                  <c:v>1.0245175524374848E-3</c:v>
                </c:pt>
                <c:pt idx="217">
                  <c:v>9.7382619178415747E-4</c:v>
                </c:pt>
                <c:pt idx="218">
                  <c:v>9.2336815413764984E-4</c:v>
                </c:pt>
                <c:pt idx="219">
                  <c:v>8.737758472966169E-4</c:v>
                </c:pt>
                <c:pt idx="220">
                  <c:v>8.2498850423023495E-4</c:v>
                </c:pt>
                <c:pt idx="221">
                  <c:v>7.7702386819767223E-4</c:v>
                </c:pt>
                <c:pt idx="222">
                  <c:v>7.2989937914084231E-4</c:v>
                </c:pt>
                <c:pt idx="223">
                  <c:v>6.8363221392514918E-4</c:v>
                </c:pt>
                <c:pt idx="224">
                  <c:v>6.3823932203548473E-4</c:v>
                </c:pt>
                <c:pt idx="225">
                  <c:v>5.9490659273575997E-4</c:v>
                </c:pt>
                <c:pt idx="226">
                  <c:v>5.5307412787843611E-4</c:v>
                </c:pt>
                <c:pt idx="227">
                  <c:v>5.1276349526294162E-4</c:v>
                </c:pt>
                <c:pt idx="228">
                  <c:v>4.7399595957206965E-4</c:v>
                </c:pt>
                <c:pt idx="229">
                  <c:v>4.3679248459455033E-4</c:v>
                </c:pt>
                <c:pt idx="230">
                  <c:v>4.0117373028585008E-4</c:v>
                </c:pt>
                <c:pt idx="231">
                  <c:v>3.671600449410659E-4</c:v>
                </c:pt>
                <c:pt idx="232">
                  <c:v>3.3476592599658534E-4</c:v>
                </c:pt>
                <c:pt idx="233">
                  <c:v>3.0521885166514016E-4</c:v>
                </c:pt>
                <c:pt idx="234">
                  <c:v>2.7790440534197883E-4</c:v>
                </c:pt>
                <c:pt idx="235">
                  <c:v>2.5284942318842596E-4</c:v>
                </c:pt>
                <c:pt idx="236">
                  <c:v>2.3007889532880514E-4</c:v>
                </c:pt>
                <c:pt idx="237">
                  <c:v>2.0961594774662295E-4</c:v>
                </c:pt>
                <c:pt idx="238">
                  <c:v>1.9148225480598307E-4</c:v>
                </c:pt>
                <c:pt idx="239">
                  <c:v>1.7628505463288406E-4</c:v>
                </c:pt>
                <c:pt idx="240">
                  <c:v>1.6283160025007672E-4</c:v>
                </c:pt>
                <c:pt idx="241">
                  <c:v>1.5113628884896524E-4</c:v>
                </c:pt>
                <c:pt idx="242">
                  <c:v>1.412129738319771E-4</c:v>
                </c:pt>
                <c:pt idx="243">
                  <c:v>1.330751377537697E-4</c:v>
                </c:pt>
                <c:pt idx="244">
                  <c:v>1.2673606790213366E-4</c:v>
                </c:pt>
                <c:pt idx="245">
                  <c:v>1.2220903454974067E-4</c:v>
                </c:pt>
                <c:pt idx="246">
                  <c:v>1.1950285297607827E-4</c:v>
                </c:pt>
                <c:pt idx="247">
                  <c:v>1.1880062097826173E-4</c:v>
                </c:pt>
                <c:pt idx="248">
                  <c:v>1.1886502366361963E-4</c:v>
                </c:pt>
                <c:pt idx="249">
                  <c:v>1.1970196479909858E-4</c:v>
                </c:pt>
                <c:pt idx="250">
                  <c:v>1.2131728543465412E-4</c:v>
                </c:pt>
                <c:pt idx="251">
                  <c:v>1.237168069199069E-4</c:v>
                </c:pt>
                <c:pt idx="252">
                  <c:v>1.2690637411176162E-4</c:v>
                </c:pt>
                <c:pt idx="253">
                  <c:v>1.3096763992173405E-4</c:v>
                </c:pt>
                <c:pt idx="254">
                  <c:v>1.3530017295621801E-4</c:v>
                </c:pt>
                <c:pt idx="255">
                  <c:v>1.3990658963727035E-4</c:v>
                </c:pt>
                <c:pt idx="256">
                  <c:v>1.4478963059892517E-4</c:v>
                </c:pt>
                <c:pt idx="257">
                  <c:v>1.4995217674921047E-4</c:v>
                </c:pt>
                <c:pt idx="258">
                  <c:v>1.5539726605034716E-4</c:v>
                </c:pt>
                <c:pt idx="259">
                  <c:v>1.6112811126587175E-4</c:v>
                </c:pt>
                <c:pt idx="260">
                  <c:v>1.6714585543184247E-4</c:v>
                </c:pt>
                <c:pt idx="261">
                  <c:v>1.7410268296473867E-4</c:v>
                </c:pt>
                <c:pt idx="262">
                  <c:v>1.8182475302025379E-4</c:v>
                </c:pt>
                <c:pt idx="263">
                  <c:v>1.9031708037901016E-4</c:v>
                </c:pt>
                <c:pt idx="264">
                  <c:v>1.9958463153256883E-4</c:v>
                </c:pt>
                <c:pt idx="265">
                  <c:v>2.0963341510647383E-4</c:v>
                </c:pt>
                <c:pt idx="266">
                  <c:v>2.2046898582301353E-4</c:v>
                </c:pt>
                <c:pt idx="267">
                  <c:v>2.321274164287106E-4</c:v>
                </c:pt>
                <c:pt idx="268">
                  <c:v>2.4453492474856123E-4</c:v>
                </c:pt>
                <c:pt idx="269">
                  <c:v>2.5769540588721967E-4</c:v>
                </c:pt>
                <c:pt idx="270">
                  <c:v>2.7161250829777368E-4</c:v>
                </c:pt>
                <c:pt idx="271">
                  <c:v>2.8628960533453419E-4</c:v>
                </c:pt>
                <c:pt idx="272">
                  <c:v>3.017297688097603E-4</c:v>
                </c:pt>
                <c:pt idx="273">
                  <c:v>3.1793574507022582E-4</c:v>
                </c:pt>
                <c:pt idx="274">
                  <c:v>3.3491497693842036E-4</c:v>
                </c:pt>
                <c:pt idx="275">
                  <c:v>3.515880155109067E-4</c:v>
                </c:pt>
                <c:pt idx="276">
                  <c:v>3.6727364459167723E-4</c:v>
                </c:pt>
                <c:pt idx="277">
                  <c:v>3.8196145790566255E-4</c:v>
                </c:pt>
                <c:pt idx="278">
                  <c:v>3.9564077335807219E-4</c:v>
                </c:pt>
                <c:pt idx="279">
                  <c:v>4.0830072330807267E-4</c:v>
                </c:pt>
                <c:pt idx="280">
                  <c:v>4.1993034543838628E-4</c:v>
                </c:pt>
                <c:pt idx="281">
                  <c:v>4.3007737032770644E-4</c:v>
                </c:pt>
                <c:pt idx="282">
                  <c:v>4.386956517166673E-4</c:v>
                </c:pt>
                <c:pt idx="283">
                  <c:v>4.4577170690202831E-4</c:v>
                </c:pt>
                <c:pt idx="284">
                  <c:v>4.5129250305289773E-4</c:v>
                </c:pt>
                <c:pt idx="285">
                  <c:v>4.5524556834469066E-4</c:v>
                </c:pt>
                <c:pt idx="286">
                  <c:v>4.5761909779023575E-4</c:v>
                </c:pt>
                <c:pt idx="287">
                  <c:v>4.5840205285036667E-4</c:v>
                </c:pt>
                <c:pt idx="288">
                  <c:v>4.5758807267494412E-4</c:v>
                </c:pt>
                <c:pt idx="289">
                  <c:v>4.5531063192497996E-4</c:v>
                </c:pt>
                <c:pt idx="290">
                  <c:v>4.5268495180210346E-4</c:v>
                </c:pt>
                <c:pt idx="291">
                  <c:v>4.4971261716285999E-4</c:v>
                </c:pt>
                <c:pt idx="292">
                  <c:v>4.4639554031853344E-4</c:v>
                </c:pt>
                <c:pt idx="293">
                  <c:v>4.4273593885286734E-4</c:v>
                </c:pt>
                <c:pt idx="294">
                  <c:v>4.387363090038529E-4</c:v>
                </c:pt>
                <c:pt idx="295">
                  <c:v>4.3448623239247851E-4</c:v>
                </c:pt>
                <c:pt idx="296">
                  <c:v>4.3044627162958451E-4</c:v>
                </c:pt>
                <c:pt idx="297">
                  <c:v>4.2662503463602319E-4</c:v>
                </c:pt>
                <c:pt idx="298">
                  <c:v>4.2302766254728459E-4</c:v>
                </c:pt>
                <c:pt idx="299">
                  <c:v>4.1965947233889365E-4</c:v>
                </c:pt>
                <c:pt idx="300">
                  <c:v>4.1652597073222935E-4</c:v>
                </c:pt>
                <c:pt idx="301">
                  <c:v>4.1363287001318903E-4</c:v>
                </c:pt>
                <c:pt idx="302">
                  <c:v>4.1101860610520924E-4</c:v>
                </c:pt>
                <c:pt idx="303">
                  <c:v>4.0883173190678243E-4</c:v>
                </c:pt>
                <c:pt idx="304">
                  <c:v>4.0692306604667936E-4</c:v>
                </c:pt>
                <c:pt idx="305">
                  <c:v>4.0528229532263389E-4</c:v>
                </c:pt>
                <c:pt idx="306">
                  <c:v>4.0389921401015529E-4</c:v>
                </c:pt>
                <c:pt idx="307">
                  <c:v>4.0276360583527484E-4</c:v>
                </c:pt>
                <c:pt idx="308">
                  <c:v>4.0186512849190928E-4</c:v>
                </c:pt>
                <c:pt idx="309">
                  <c:v>4.0158642188319467E-4</c:v>
                </c:pt>
                <c:pt idx="310">
                  <c:v>4.0183034646711275E-4</c:v>
                </c:pt>
                <c:pt idx="311">
                  <c:v>4.0258787197380164E-4</c:v>
                </c:pt>
                <c:pt idx="312">
                  <c:v>4.0384928717723177E-4</c:v>
                </c:pt>
                <c:pt idx="313">
                  <c:v>4.0560398832742265E-4</c:v>
                </c:pt>
                <c:pt idx="314">
                  <c:v>4.0784026484608698E-4</c:v>
                </c:pt>
                <c:pt idx="315">
                  <c:v>4.1054508430621528E-4</c:v>
                </c:pt>
                <c:pt idx="316">
                  <c:v>4.1376232259092281E-4</c:v>
                </c:pt>
                <c:pt idx="317">
                  <c:v>4.1745703089789756E-4</c:v>
                </c:pt>
                <c:pt idx="318">
                  <c:v>4.2150606909663367E-4</c:v>
                </c:pt>
                <c:pt idx="319">
                  <c:v>4.2591083813583525E-4</c:v>
                </c:pt>
                <c:pt idx="320">
                  <c:v>4.3067246877762024E-4</c:v>
                </c:pt>
                <c:pt idx="321">
                  <c:v>4.3579175847417012E-4</c:v>
                </c:pt>
                <c:pt idx="322">
                  <c:v>4.4126910331709164E-4</c:v>
                </c:pt>
                <c:pt idx="323">
                  <c:v>4.4652225912713525E-4</c:v>
                </c:pt>
                <c:pt idx="324">
                  <c:v>4.5113843672407332E-4</c:v>
                </c:pt>
                <c:pt idx="325">
                  <c:v>4.5510856201483595E-4</c:v>
                </c:pt>
                <c:pt idx="326">
                  <c:v>4.5841989601261898E-4</c:v>
                </c:pt>
                <c:pt idx="327">
                  <c:v>4.6106076376192676E-4</c:v>
                </c:pt>
                <c:pt idx="328">
                  <c:v>4.6302113774760898E-4</c:v>
                </c:pt>
                <c:pt idx="329">
                  <c:v>4.6429036987525061E-4</c:v>
                </c:pt>
                <c:pt idx="330">
                  <c:v>4.6493669375119386E-4</c:v>
                </c:pt>
                <c:pt idx="331">
                  <c:v>4.6534539419645048E-4</c:v>
                </c:pt>
                <c:pt idx="332">
                  <c:v>4.6558139099789949E-4</c:v>
                </c:pt>
                <c:pt idx="333">
                  <c:v>4.656148494374506E-4</c:v>
                </c:pt>
                <c:pt idx="334">
                  <c:v>4.6541434657732553E-4</c:v>
                </c:pt>
                <c:pt idx="335">
                  <c:v>4.6494700953346387E-4</c:v>
                </c:pt>
                <c:pt idx="336">
                  <c:v>4.641787103724471E-4</c:v>
                </c:pt>
                <c:pt idx="337">
                  <c:v>4.6328424414366801E-4</c:v>
                </c:pt>
                <c:pt idx="338">
                  <c:v>4.6283792502793995E-4</c:v>
                </c:pt>
                <c:pt idx="339">
                  <c:v>4.628102537786162E-4</c:v>
                </c:pt>
                <c:pt idx="340">
                  <c:v>4.6317017478196678E-4</c:v>
                </c:pt>
                <c:pt idx="341">
                  <c:v>4.6388493541870302E-4</c:v>
                </c:pt>
                <c:pt idx="342">
                  <c:v>4.6491999489926594E-4</c:v>
                </c:pt>
                <c:pt idx="343">
                  <c:v>4.6623898978974686E-4</c:v>
                </c:pt>
                <c:pt idx="344">
                  <c:v>4.6786364744125117E-4</c:v>
                </c:pt>
                <c:pt idx="345">
                  <c:v>4.6984274171757803E-4</c:v>
                </c:pt>
                <c:pt idx="346">
                  <c:v>4.7161894447243855E-4</c:v>
                </c:pt>
                <c:pt idx="347">
                  <c:v>4.7319544571239471E-4</c:v>
                </c:pt>
                <c:pt idx="348">
                  <c:v>4.7457614686731268E-4</c:v>
                </c:pt>
                <c:pt idx="349">
                  <c:v>4.757656302696647E-4</c:v>
                </c:pt>
                <c:pt idx="350">
                  <c:v>4.7676912404165969E-4</c:v>
                </c:pt>
                <c:pt idx="351">
                  <c:v>4.7737520741491032E-4</c:v>
                </c:pt>
                <c:pt idx="352">
                  <c:v>4.7738184286771993E-4</c:v>
                </c:pt>
                <c:pt idx="353">
                  <c:v>4.7680003545169783E-4</c:v>
                </c:pt>
                <c:pt idx="354">
                  <c:v>4.7564200076672183E-4</c:v>
                </c:pt>
                <c:pt idx="355">
                  <c:v>4.7392103448023028E-4</c:v>
                </c:pt>
                <c:pt idx="356">
                  <c:v>4.7164847864602334E-4</c:v>
                </c:pt>
                <c:pt idx="357">
                  <c:v>4.6884172838256288E-4</c:v>
                </c:pt>
                <c:pt idx="358">
                  <c:v>4.6543034006911108E-4</c:v>
                </c:pt>
                <c:pt idx="359">
                  <c:v>4.6136053006372248E-4</c:v>
                </c:pt>
                <c:pt idx="360">
                  <c:v>4.5687475750030566E-4</c:v>
                </c:pt>
                <c:pt idx="361">
                  <c:v>4.522172927003436E-4</c:v>
                </c:pt>
                <c:pt idx="362">
                  <c:v>4.4741966438278035E-4</c:v>
                </c:pt>
                <c:pt idx="363">
                  <c:v>4.4251225794265811E-4</c:v>
                </c:pt>
                <c:pt idx="364">
                  <c:v>4.3752414241243764E-4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33160"/>
        <c:axId val="644433552"/>
      </c:lineChart>
      <c:dateAx>
        <c:axId val="6444331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3552"/>
        <c:crosses val="autoZero"/>
        <c:auto val="1"/>
        <c:lblOffset val="100"/>
        <c:baseTimeUnit val="days"/>
        <c:majorUnit val="1"/>
        <c:majorTimeUnit val="months"/>
      </c:dateAx>
      <c:valAx>
        <c:axId val="6444335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3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25.640418847798855</c:v>
                </c:pt>
                <c:pt idx="1">
                  <c:v>25.827657978826895</c:v>
                </c:pt>
                <c:pt idx="2">
                  <c:v>26.02012607965786</c:v>
                </c:pt>
                <c:pt idx="3">
                  <c:v>26.216416866210629</c:v>
                </c:pt>
                <c:pt idx="4">
                  <c:v>26.415124791499096</c:v>
                </c:pt>
                <c:pt idx="5">
                  <c:v>26.614845038482219</c:v>
                </c:pt>
                <c:pt idx="6">
                  <c:v>26.814173523882044</c:v>
                </c:pt>
                <c:pt idx="7">
                  <c:v>27.011706897114895</c:v>
                </c:pt>
                <c:pt idx="8">
                  <c:v>27.209079320971455</c:v>
                </c:pt>
                <c:pt idx="9">
                  <c:v>27.409091285482109</c:v>
                </c:pt>
                <c:pt idx="10">
                  <c:v>27.612072548168349</c:v>
                </c:pt>
                <c:pt idx="11">
                  <c:v>27.818347629534141</c:v>
                </c:pt>
                <c:pt idx="12">
                  <c:v>28.028240850708549</c:v>
                </c:pt>
                <c:pt idx="13">
                  <c:v>28.242076340616936</c:v>
                </c:pt>
                <c:pt idx="14">
                  <c:v>28.460178036139219</c:v>
                </c:pt>
                <c:pt idx="15">
                  <c:v>28.682871973269055</c:v>
                </c:pt>
                <c:pt idx="16">
                  <c:v>28.910489785592176</c:v>
                </c:pt>
                <c:pt idx="17">
                  <c:v>29.14335484343562</c:v>
                </c:pt>
                <c:pt idx="18">
                  <c:v>29.381790334653267</c:v>
                </c:pt>
                <c:pt idx="19">
                  <c:v>29.626119200677092</c:v>
                </c:pt>
                <c:pt idx="20">
                  <c:v>29.876664176688397</c:v>
                </c:pt>
                <c:pt idx="21">
                  <c:v>30.133747874034128</c:v>
                </c:pt>
                <c:pt idx="22">
                  <c:v>30.399176236881161</c:v>
                </c:pt>
                <c:pt idx="23">
                  <c:v>30.673820843583176</c:v>
                </c:pt>
                <c:pt idx="24">
                  <c:v>30.956603749730625</c:v>
                </c:pt>
                <c:pt idx="25">
                  <c:v>31.246462145311103</c:v>
                </c:pt>
                <c:pt idx="26">
                  <c:v>31.542333800592342</c:v>
                </c:pt>
                <c:pt idx="27">
                  <c:v>31.843157076661875</c:v>
                </c:pt>
                <c:pt idx="28">
                  <c:v>32.147870914659151</c:v>
                </c:pt>
                <c:pt idx="29">
                  <c:v>32.455411670887038</c:v>
                </c:pt>
                <c:pt idx="30">
                  <c:v>32.764717175732343</c:v>
                </c:pt>
                <c:pt idx="31">
                  <c:v>33.07472813661208</c:v>
                </c:pt>
                <c:pt idx="32">
                  <c:v>33.384385849451427</c:v>
                </c:pt>
                <c:pt idx="33">
                  <c:v>33.692632197909624</c:v>
                </c:pt>
                <c:pt idx="34">
                  <c:v>33.998409653989775</c:v>
                </c:pt>
                <c:pt idx="35">
                  <c:v>34.300661276759193</c:v>
                </c:pt>
                <c:pt idx="36">
                  <c:v>34.602017298956625</c:v>
                </c:pt>
                <c:pt idx="37">
                  <c:v>34.905488891986913</c:v>
                </c:pt>
                <c:pt idx="38">
                  <c:v>35.210604775316177</c:v>
                </c:pt>
                <c:pt idx="39">
                  <c:v>35.516883787449999</c:v>
                </c:pt>
                <c:pt idx="40">
                  <c:v>35.82384504008045</c:v>
                </c:pt>
                <c:pt idx="41">
                  <c:v>36.131007914387673</c:v>
                </c:pt>
                <c:pt idx="42">
                  <c:v>36.437892059721086</c:v>
                </c:pt>
                <c:pt idx="43">
                  <c:v>36.744013744608246</c:v>
                </c:pt>
                <c:pt idx="44">
                  <c:v>37.048896320533323</c:v>
                </c:pt>
                <c:pt idx="45">
                  <c:v>37.35206022169033</c:v>
                </c:pt>
                <c:pt idx="46">
                  <c:v>37.653026136757624</c:v>
                </c:pt>
                <c:pt idx="47">
                  <c:v>37.951315004084222</c:v>
                </c:pt>
                <c:pt idx="48">
                  <c:v>38.246448010194165</c:v>
                </c:pt>
                <c:pt idx="49">
                  <c:v>38.53794658192809</c:v>
                </c:pt>
                <c:pt idx="50">
                  <c:v>38.826324299676379</c:v>
                </c:pt>
                <c:pt idx="51">
                  <c:v>39.112490352833262</c:v>
                </c:pt>
                <c:pt idx="52">
                  <c:v>39.396544101469814</c:v>
                </c:pt>
                <c:pt idx="53">
                  <c:v>39.678582539950689</c:v>
                </c:pt>
                <c:pt idx="54">
                  <c:v>39.958702522661497</c:v>
                </c:pt>
                <c:pt idx="55">
                  <c:v>40.237000818139421</c:v>
                </c:pt>
                <c:pt idx="56">
                  <c:v>40.513574107688349</c:v>
                </c:pt>
                <c:pt idx="57">
                  <c:v>40.788548963829761</c:v>
                </c:pt>
                <c:pt idx="58">
                  <c:v>41.062025574110073</c:v>
                </c:pt>
                <c:pt idx="59">
                  <c:v>41.334100374361746</c:v>
                </c:pt>
                <c:pt idx="60">
                  <c:v>41.604869703834432</c:v>
                </c:pt>
                <c:pt idx="61">
                  <c:v>41.874429805271014</c:v>
                </c:pt>
                <c:pt idx="62">
                  <c:v>42.142876821934834</c:v>
                </c:pt>
                <c:pt idx="63">
                  <c:v>42.410306797982436</c:v>
                </c:pt>
                <c:pt idx="64">
                  <c:v>42.677198933612416</c:v>
                </c:pt>
                <c:pt idx="65">
                  <c:v>42.943775770957807</c:v>
                </c:pt>
                <c:pt idx="66">
                  <c:v>43.209737646466706</c:v>
                </c:pt>
                <c:pt idx="67">
                  <c:v>43.474797040881541</c:v>
                </c:pt>
                <c:pt idx="68">
                  <c:v>43.738666540824333</c:v>
                </c:pt>
                <c:pt idx="69">
                  <c:v>44.00105883995888</c:v>
                </c:pt>
                <c:pt idx="70">
                  <c:v>44.261686740105212</c:v>
                </c:pt>
                <c:pt idx="71">
                  <c:v>44.520244429115472</c:v>
                </c:pt>
                <c:pt idx="72">
                  <c:v>44.776414689312709</c:v>
                </c:pt>
                <c:pt idx="73">
                  <c:v>45.029910547760437</c:v>
                </c:pt>
                <c:pt idx="74">
                  <c:v>45.280445134185044</c:v>
                </c:pt>
                <c:pt idx="75">
                  <c:v>45.527731686404927</c:v>
                </c:pt>
                <c:pt idx="76">
                  <c:v>45.771483544873604</c:v>
                </c:pt>
                <c:pt idx="77">
                  <c:v>46.011414161318051</c:v>
                </c:pt>
                <c:pt idx="78">
                  <c:v>46.24940484832883</c:v>
                </c:pt>
                <c:pt idx="79">
                  <c:v>46.487078627566468</c:v>
                </c:pt>
                <c:pt idx="80">
                  <c:v>46.723766092913174</c:v>
                </c:pt>
                <c:pt idx="81">
                  <c:v>46.958797278802983</c:v>
                </c:pt>
                <c:pt idx="82">
                  <c:v>47.191502537796026</c:v>
                </c:pt>
                <c:pt idx="83">
                  <c:v>47.421212544141312</c:v>
                </c:pt>
                <c:pt idx="84">
                  <c:v>47.647258299585445</c:v>
                </c:pt>
                <c:pt idx="85">
                  <c:v>47.868965882298887</c:v>
                </c:pt>
                <c:pt idx="86">
                  <c:v>48.085686010653632</c:v>
                </c:pt>
                <c:pt idx="87">
                  <c:v>48.29675077078381</c:v>
                </c:pt>
                <c:pt idx="88">
                  <c:v>48.501492603725971</c:v>
                </c:pt>
                <c:pt idx="89">
                  <c:v>48.69924404463633</c:v>
                </c:pt>
                <c:pt idx="90">
                  <c:v>48.889331824555498</c:v>
                </c:pt>
                <c:pt idx="91">
                  <c:v>49.071096136537179</c:v>
                </c:pt>
                <c:pt idx="92">
                  <c:v>49.244507223758866</c:v>
                </c:pt>
                <c:pt idx="93">
                  <c:v>49.410280535733065</c:v>
                </c:pt>
                <c:pt idx="94">
                  <c:v>49.568897211803332</c:v>
                </c:pt>
                <c:pt idx="95">
                  <c:v>49.720835824063428</c:v>
                </c:pt>
                <c:pt idx="96">
                  <c:v>49.866574684309761</c:v>
                </c:pt>
                <c:pt idx="97">
                  <c:v>50.00659184586641</c:v>
                </c:pt>
                <c:pt idx="98">
                  <c:v>50.141365097026551</c:v>
                </c:pt>
                <c:pt idx="99">
                  <c:v>50.271332759350372</c:v>
                </c:pt>
                <c:pt idx="100">
                  <c:v>50.396977179414861</c:v>
                </c:pt>
                <c:pt idx="101">
                  <c:v>50.518774928017521</c:v>
                </c:pt>
                <c:pt idx="102">
                  <c:v>50.637202266985781</c:v>
                </c:pt>
                <c:pt idx="103">
                  <c:v>50.752735152510986</c:v>
                </c:pt>
                <c:pt idx="104">
                  <c:v>50.865849232161693</c:v>
                </c:pt>
                <c:pt idx="105">
                  <c:v>50.977019839242189</c:v>
                </c:pt>
                <c:pt idx="106">
                  <c:v>51.08573756908168</c:v>
                </c:pt>
                <c:pt idx="107">
                  <c:v>51.191071970368739</c:v>
                </c:pt>
                <c:pt idx="108">
                  <c:v>51.292945918104991</c:v>
                </c:pt>
                <c:pt idx="109">
                  <c:v>51.391263030185108</c:v>
                </c:pt>
                <c:pt idx="110">
                  <c:v>51.485926899614881</c:v>
                </c:pt>
                <c:pt idx="111">
                  <c:v>51.576841113189211</c:v>
                </c:pt>
                <c:pt idx="112">
                  <c:v>51.663909279962787</c:v>
                </c:pt>
                <c:pt idx="113">
                  <c:v>51.747012409500215</c:v>
                </c:pt>
                <c:pt idx="114">
                  <c:v>51.826096176832067</c:v>
                </c:pt>
                <c:pt idx="115">
                  <c:v>51.901064617686878</c:v>
                </c:pt>
                <c:pt idx="116">
                  <c:v>51.971821816064647</c:v>
                </c:pt>
                <c:pt idx="117">
                  <c:v>52.038271908205026</c:v>
                </c:pt>
                <c:pt idx="118">
                  <c:v>52.100319091419536</c:v>
                </c:pt>
                <c:pt idx="119">
                  <c:v>52.157867630212841</c:v>
                </c:pt>
                <c:pt idx="120">
                  <c:v>52.210441597818637</c:v>
                </c:pt>
                <c:pt idx="121">
                  <c:v>52.257796590894536</c:v>
                </c:pt>
                <c:pt idx="122">
                  <c:v>52.300261651513999</c:v>
                </c:pt>
                <c:pt idx="123">
                  <c:v>52.33812206168718</c:v>
                </c:pt>
                <c:pt idx="124">
                  <c:v>52.371662996934056</c:v>
                </c:pt>
                <c:pt idx="125">
                  <c:v>52.401169530190039</c:v>
                </c:pt>
                <c:pt idx="126">
                  <c:v>52.426926637843557</c:v>
                </c:pt>
                <c:pt idx="127">
                  <c:v>52.449216228951578</c:v>
                </c:pt>
                <c:pt idx="128">
                  <c:v>52.468348572272497</c:v>
                </c:pt>
                <c:pt idx="129">
                  <c:v>52.484609055264258</c:v>
                </c:pt>
                <c:pt idx="130">
                  <c:v>52.498283020739457</c:v>
                </c:pt>
                <c:pt idx="131">
                  <c:v>52.509655778865451</c:v>
                </c:pt>
                <c:pt idx="132">
                  <c:v>52.51901260830801</c:v>
                </c:pt>
                <c:pt idx="133">
                  <c:v>52.52663876372209</c:v>
                </c:pt>
                <c:pt idx="134">
                  <c:v>52.531902579884374</c:v>
                </c:pt>
                <c:pt idx="135">
                  <c:v>52.534048880722409</c:v>
                </c:pt>
                <c:pt idx="136">
                  <c:v>52.533199982722266</c:v>
                </c:pt>
                <c:pt idx="137">
                  <c:v>52.529453539032168</c:v>
                </c:pt>
                <c:pt idx="138">
                  <c:v>52.522907364161782</c:v>
                </c:pt>
                <c:pt idx="139">
                  <c:v>52.513659435320598</c:v>
                </c:pt>
                <c:pt idx="140">
                  <c:v>52.501807896561481</c:v>
                </c:pt>
                <c:pt idx="141">
                  <c:v>52.487447084361264</c:v>
                </c:pt>
                <c:pt idx="142">
                  <c:v>52.470678786877336</c:v>
                </c:pt>
                <c:pt idx="143">
                  <c:v>52.451601735514394</c:v>
                </c:pt>
                <c:pt idx="144">
                  <c:v>52.430314297956912</c:v>
                </c:pt>
                <c:pt idx="145">
                  <c:v>52.406914953093562</c:v>
                </c:pt>
                <c:pt idx="146">
                  <c:v>52.381502289020212</c:v>
                </c:pt>
                <c:pt idx="147">
                  <c:v>52.354174992396892</c:v>
                </c:pt>
                <c:pt idx="148">
                  <c:v>52.325000297652643</c:v>
                </c:pt>
                <c:pt idx="149">
                  <c:v>52.293966409761062</c:v>
                </c:pt>
                <c:pt idx="150">
                  <c:v>52.260980943849688</c:v>
                </c:pt>
                <c:pt idx="151">
                  <c:v>52.225954916588421</c:v>
                </c:pt>
                <c:pt idx="152">
                  <c:v>52.188799505406884</c:v>
                </c:pt>
                <c:pt idx="153">
                  <c:v>52.149426029590487</c:v>
                </c:pt>
                <c:pt idx="154">
                  <c:v>52.107745932046754</c:v>
                </c:pt>
                <c:pt idx="155">
                  <c:v>52.063771540288187</c:v>
                </c:pt>
                <c:pt idx="156">
                  <c:v>52.017424247987684</c:v>
                </c:pt>
                <c:pt idx="157">
                  <c:v>51.968619771441887</c:v>
                </c:pt>
                <c:pt idx="158">
                  <c:v>51.917273848758292</c:v>
                </c:pt>
                <c:pt idx="159">
                  <c:v>51.863302208062031</c:v>
                </c:pt>
                <c:pt idx="160">
                  <c:v>51.806620528394028</c:v>
                </c:pt>
                <c:pt idx="161">
                  <c:v>51.747144406998373</c:v>
                </c:pt>
                <c:pt idx="162">
                  <c:v>51.684207120475492</c:v>
                </c:pt>
                <c:pt idx="163">
                  <c:v>51.61752102201573</c:v>
                </c:pt>
                <c:pt idx="164">
                  <c:v>51.547421234718669</c:v>
                </c:pt>
                <c:pt idx="165">
                  <c:v>51.474294282090035</c:v>
                </c:pt>
                <c:pt idx="166">
                  <c:v>51.398526121948052</c:v>
                </c:pt>
                <c:pt idx="167">
                  <c:v>51.320502131650414</c:v>
                </c:pt>
                <c:pt idx="168">
                  <c:v>51.240607082324928</c:v>
                </c:pt>
                <c:pt idx="169">
                  <c:v>51.159290712378088</c:v>
                </c:pt>
                <c:pt idx="170">
                  <c:v>51.076819433483656</c:v>
                </c:pt>
                <c:pt idx="171">
                  <c:v>50.993573585618016</c:v>
                </c:pt>
                <c:pt idx="172">
                  <c:v>50.909932912512552</c:v>
                </c:pt>
                <c:pt idx="173">
                  <c:v>50.826278449220538</c:v>
                </c:pt>
                <c:pt idx="174">
                  <c:v>50.742990777894654</c:v>
                </c:pt>
                <c:pt idx="175">
                  <c:v>50.6604480719827</c:v>
                </c:pt>
                <c:pt idx="176">
                  <c:v>50.578085852592025</c:v>
                </c:pt>
                <c:pt idx="177">
                  <c:v>50.49521291018663</c:v>
                </c:pt>
                <c:pt idx="178">
                  <c:v>50.411765478173024</c:v>
                </c:pt>
                <c:pt idx="179">
                  <c:v>50.327746004341144</c:v>
                </c:pt>
                <c:pt idx="180">
                  <c:v>50.243156512075942</c:v>
                </c:pt>
                <c:pt idx="181">
                  <c:v>50.157998609539938</c:v>
                </c:pt>
                <c:pt idx="182">
                  <c:v>50.072273503962371</c:v>
                </c:pt>
                <c:pt idx="183">
                  <c:v>49.986040717124752</c:v>
                </c:pt>
                <c:pt idx="184">
                  <c:v>49.899233701028848</c:v>
                </c:pt>
                <c:pt idx="185">
                  <c:v>49.811852928685219</c:v>
                </c:pt>
                <c:pt idx="186">
                  <c:v>49.723898540874359</c:v>
                </c:pt>
                <c:pt idx="187">
                  <c:v>49.635370367739938</c:v>
                </c:pt>
                <c:pt idx="188">
                  <c:v>49.546267952500735</c:v>
                </c:pt>
                <c:pt idx="189">
                  <c:v>49.45659057637441</c:v>
                </c:pt>
                <c:pt idx="190">
                  <c:v>49.365929859471954</c:v>
                </c:pt>
                <c:pt idx="191">
                  <c:v>49.273991335904263</c:v>
                </c:pt>
                <c:pt idx="192">
                  <c:v>49.180826534736113</c:v>
                </c:pt>
                <c:pt idx="193">
                  <c:v>49.086620255643815</c:v>
                </c:pt>
                <c:pt idx="194">
                  <c:v>48.991557209211919</c:v>
                </c:pt>
                <c:pt idx="195">
                  <c:v>48.895822036777538</c:v>
                </c:pt>
                <c:pt idx="196">
                  <c:v>48.799599330980193</c:v>
                </c:pt>
                <c:pt idx="197">
                  <c:v>48.703080801947955</c:v>
                </c:pt>
                <c:pt idx="198">
                  <c:v>48.606390204423704</c:v>
                </c:pt>
                <c:pt idx="199">
                  <c:v>48.50971192896948</c:v>
                </c:pt>
                <c:pt idx="200">
                  <c:v>48.413230402686693</c:v>
                </c:pt>
                <c:pt idx="201">
                  <c:v>48.317130098311452</c:v>
                </c:pt>
                <c:pt idx="202">
                  <c:v>48.221595542193754</c:v>
                </c:pt>
                <c:pt idx="203">
                  <c:v>48.126811320920623</c:v>
                </c:pt>
                <c:pt idx="204">
                  <c:v>48.032696368330456</c:v>
                </c:pt>
                <c:pt idx="205">
                  <c:v>47.938978596514708</c:v>
                </c:pt>
                <c:pt idx="206">
                  <c:v>47.845574341807136</c:v>
                </c:pt>
                <c:pt idx="207">
                  <c:v>47.752387637959984</c:v>
                </c:pt>
                <c:pt idx="208">
                  <c:v>47.659322701695743</c:v>
                </c:pt>
                <c:pt idx="209">
                  <c:v>47.566283930987218</c:v>
                </c:pt>
                <c:pt idx="210">
                  <c:v>47.473175902513255</c:v>
                </c:pt>
                <c:pt idx="211">
                  <c:v>47.379863709145624</c:v>
                </c:pt>
                <c:pt idx="212">
                  <c:v>47.286244478272543</c:v>
                </c:pt>
                <c:pt idx="213">
                  <c:v>47.192223123332823</c:v>
                </c:pt>
                <c:pt idx="214">
                  <c:v>47.097704736929387</c:v>
                </c:pt>
                <c:pt idx="215">
                  <c:v>47.002594584182795</c:v>
                </c:pt>
                <c:pt idx="216">
                  <c:v>46.906798094519296</c:v>
                </c:pt>
                <c:pt idx="217">
                  <c:v>46.810220855144586</c:v>
                </c:pt>
                <c:pt idx="218">
                  <c:v>46.712835181333858</c:v>
                </c:pt>
                <c:pt idx="219">
                  <c:v>46.614684693960577</c:v>
                </c:pt>
                <c:pt idx="220">
                  <c:v>46.515849813528078</c:v>
                </c:pt>
                <c:pt idx="221">
                  <c:v>46.416407462355551</c:v>
                </c:pt>
                <c:pt idx="222">
                  <c:v>46.316434610745269</c:v>
                </c:pt>
                <c:pt idx="223">
                  <c:v>46.216008270509661</c:v>
                </c:pt>
                <c:pt idx="224">
                  <c:v>46.115205489079649</c:v>
                </c:pt>
                <c:pt idx="225">
                  <c:v>46.014024593065351</c:v>
                </c:pt>
                <c:pt idx="226">
                  <c:v>45.912582636277584</c:v>
                </c:pt>
                <c:pt idx="227">
                  <c:v>45.810956724070365</c:v>
                </c:pt>
                <c:pt idx="228">
                  <c:v>45.709223984838331</c:v>
                </c:pt>
                <c:pt idx="229">
                  <c:v>45.607461565728769</c:v>
                </c:pt>
                <c:pt idx="230">
                  <c:v>45.505746629609419</c:v>
                </c:pt>
                <c:pt idx="231">
                  <c:v>45.404156352013331</c:v>
                </c:pt>
                <c:pt idx="232">
                  <c:v>45.303516259401512</c:v>
                </c:pt>
                <c:pt idx="233">
                  <c:v>45.204231020932525</c:v>
                </c:pt>
                <c:pt idx="234">
                  <c:v>45.105908795526418</c:v>
                </c:pt>
                <c:pt idx="235">
                  <c:v>45.008115002008005</c:v>
                </c:pt>
                <c:pt idx="236">
                  <c:v>44.910415315543773</c:v>
                </c:pt>
                <c:pt idx="237">
                  <c:v>44.812375684211318</c:v>
                </c:pt>
                <c:pt idx="238">
                  <c:v>44.713562313643038</c:v>
                </c:pt>
                <c:pt idx="239">
                  <c:v>44.613504324330563</c:v>
                </c:pt>
                <c:pt idx="240">
                  <c:v>44.511847174313552</c:v>
                </c:pt>
                <c:pt idx="241">
                  <c:v>44.408157790948579</c:v>
                </c:pt>
                <c:pt idx="242">
                  <c:v>44.302003343022577</c:v>
                </c:pt>
                <c:pt idx="243">
                  <c:v>44.192951242084739</c:v>
                </c:pt>
                <c:pt idx="244">
                  <c:v>44.080569139691967</c:v>
                </c:pt>
                <c:pt idx="245">
                  <c:v>43.964424929498364</c:v>
                </c:pt>
                <c:pt idx="246">
                  <c:v>43.845781894898572</c:v>
                </c:pt>
                <c:pt idx="247">
                  <c:v>43.725989289286154</c:v>
                </c:pt>
                <c:pt idx="248">
                  <c:v>43.604845434566172</c:v>
                </c:pt>
                <c:pt idx="249">
                  <c:v>43.482069751135619</c:v>
                </c:pt>
                <c:pt idx="250">
                  <c:v>43.357381824205525</c:v>
                </c:pt>
                <c:pt idx="251">
                  <c:v>43.230501399770056</c:v>
                </c:pt>
                <c:pt idx="252">
                  <c:v>43.101148388400773</c:v>
                </c:pt>
                <c:pt idx="253">
                  <c:v>42.969031936485251</c:v>
                </c:pt>
                <c:pt idx="254">
                  <c:v>42.833909234226006</c:v>
                </c:pt>
                <c:pt idx="255">
                  <c:v>42.695500569023018</c:v>
                </c:pt>
                <c:pt idx="256">
                  <c:v>42.553526374605354</c:v>
                </c:pt>
                <c:pt idx="257">
                  <c:v>42.407707223886099</c:v>
                </c:pt>
                <c:pt idx="258">
                  <c:v>42.257763831383699</c:v>
                </c:pt>
                <c:pt idx="259">
                  <c:v>42.103417040659323</c:v>
                </c:pt>
                <c:pt idx="260">
                  <c:v>41.944956011474851</c:v>
                </c:pt>
                <c:pt idx="261">
                  <c:v>41.7828653490918</c:v>
                </c:pt>
                <c:pt idx="262">
                  <c:v>41.617224390332453</c:v>
                </c:pt>
                <c:pt idx="263">
                  <c:v>41.448097797253872</c:v>
                </c:pt>
                <c:pt idx="264">
                  <c:v>41.275550207857428</c:v>
                </c:pt>
                <c:pt idx="265">
                  <c:v>41.099646127266126</c:v>
                </c:pt>
                <c:pt idx="266">
                  <c:v>40.920450069506565</c:v>
                </c:pt>
                <c:pt idx="267">
                  <c:v>40.738035755899091</c:v>
                </c:pt>
                <c:pt idx="268">
                  <c:v>40.552478348662703</c:v>
                </c:pt>
                <c:pt idx="269">
                  <c:v>40.363842183502648</c:v>
                </c:pt>
                <c:pt idx="270">
                  <c:v>40.172191527556976</c:v>
                </c:pt>
                <c:pt idx="271">
                  <c:v>39.977590571847649</c:v>
                </c:pt>
                <c:pt idx="272">
                  <c:v>39.780103428697203</c:v>
                </c:pt>
                <c:pt idx="273">
                  <c:v>39.579794121286881</c:v>
                </c:pt>
                <c:pt idx="274">
                  <c:v>39.376133267119258</c:v>
                </c:pt>
                <c:pt idx="275">
                  <c:v>39.16874179951396</c:v>
                </c:pt>
                <c:pt idx="276">
                  <c:v>38.957855097975028</c:v>
                </c:pt>
                <c:pt idx="277">
                  <c:v>38.743675560570431</c:v>
                </c:pt>
                <c:pt idx="278">
                  <c:v>38.526405334327244</c:v>
                </c:pt>
                <c:pt idx="279">
                  <c:v>38.306246313744715</c:v>
                </c:pt>
                <c:pt idx="280">
                  <c:v>38.083400131468238</c:v>
                </c:pt>
                <c:pt idx="281">
                  <c:v>37.858089839201739</c:v>
                </c:pt>
                <c:pt idx="282">
                  <c:v>37.630507466074782</c:v>
                </c:pt>
                <c:pt idx="283">
                  <c:v>37.400853662693379</c:v>
                </c:pt>
                <c:pt idx="284">
                  <c:v>37.169328795328092</c:v>
                </c:pt>
                <c:pt idx="285">
                  <c:v>36.936132947614155</c:v>
                </c:pt>
                <c:pt idx="286">
                  <c:v>36.701465922620784</c:v>
                </c:pt>
                <c:pt idx="287">
                  <c:v>36.465527245011174</c:v>
                </c:pt>
                <c:pt idx="288">
                  <c:v>36.228213565426792</c:v>
                </c:pt>
                <c:pt idx="289">
                  <c:v>35.98922404597117</c:v>
                </c:pt>
                <c:pt idx="290">
                  <c:v>35.74840928162795</c:v>
                </c:pt>
                <c:pt idx="291">
                  <c:v>35.505674280099228</c:v>
                </c:pt>
                <c:pt idx="292">
                  <c:v>35.260923924803429</c:v>
                </c:pt>
                <c:pt idx="293">
                  <c:v>35.014062982424662</c:v>
                </c:pt>
                <c:pt idx="294">
                  <c:v>34.764996110385383</c:v>
                </c:pt>
                <c:pt idx="295">
                  <c:v>34.513624165507835</c:v>
                </c:pt>
                <c:pt idx="296">
                  <c:v>34.259831262072325</c:v>
                </c:pt>
                <c:pt idx="297">
                  <c:v>34.003522027041598</c:v>
                </c:pt>
                <c:pt idx="298">
                  <c:v>33.744601273032522</c:v>
                </c:pt>
                <c:pt idx="299">
                  <c:v>33.482973777425684</c:v>
                </c:pt>
                <c:pt idx="300">
                  <c:v>33.218544291090588</c:v>
                </c:pt>
                <c:pt idx="301">
                  <c:v>32.951217553752336</c:v>
                </c:pt>
                <c:pt idx="302">
                  <c:v>32.678312125043938</c:v>
                </c:pt>
                <c:pt idx="303">
                  <c:v>32.398068689936125</c:v>
                </c:pt>
                <c:pt idx="304">
                  <c:v>32.111787364950857</c:v>
                </c:pt>
                <c:pt idx="305">
                  <c:v>31.820767146503428</c:v>
                </c:pt>
                <c:pt idx="306">
                  <c:v>31.526306752043197</c:v>
                </c:pt>
                <c:pt idx="307">
                  <c:v>31.22970464145012</c:v>
                </c:pt>
                <c:pt idx="308">
                  <c:v>30.932259031061609</c:v>
                </c:pt>
                <c:pt idx="309">
                  <c:v>30.635247993255767</c:v>
                </c:pt>
                <c:pt idx="310">
                  <c:v>30.339973063750747</c:v>
                </c:pt>
                <c:pt idx="311">
                  <c:v>30.047732149415086</c:v>
                </c:pt>
                <c:pt idx="312">
                  <c:v>29.759822949466727</c:v>
                </c:pt>
                <c:pt idx="313">
                  <c:v>29.477542952221125</c:v>
                </c:pt>
                <c:pt idx="314">
                  <c:v>29.202189439597113</c:v>
                </c:pt>
                <c:pt idx="315">
                  <c:v>28.935059479037751</c:v>
                </c:pt>
                <c:pt idx="316">
                  <c:v>28.673396060737687</c:v>
                </c:pt>
                <c:pt idx="317">
                  <c:v>28.41375063595574</c:v>
                </c:pt>
                <c:pt idx="318">
                  <c:v>28.156501424648738</c:v>
                </c:pt>
                <c:pt idx="319">
                  <c:v>27.902019610642395</c:v>
                </c:pt>
                <c:pt idx="320">
                  <c:v>27.650676353335207</c:v>
                </c:pt>
                <c:pt idx="321">
                  <c:v>27.402842787285191</c:v>
                </c:pt>
                <c:pt idx="322">
                  <c:v>27.158890004523446</c:v>
                </c:pt>
                <c:pt idx="323">
                  <c:v>26.919168202541854</c:v>
                </c:pt>
                <c:pt idx="324">
                  <c:v>26.68406674150836</c:v>
                </c:pt>
                <c:pt idx="325">
                  <c:v>26.45395658882104</c:v>
                </c:pt>
                <c:pt idx="326">
                  <c:v>26.229208808788993</c:v>
                </c:pt>
                <c:pt idx="327">
                  <c:v>26.010194285171526</c:v>
                </c:pt>
                <c:pt idx="328">
                  <c:v>25.797283678243438</c:v>
                </c:pt>
                <c:pt idx="329">
                  <c:v>25.590847536380235</c:v>
                </c:pt>
                <c:pt idx="330">
                  <c:v>25.386912739669171</c:v>
                </c:pt>
                <c:pt idx="331">
                  <c:v>25.182396285742268</c:v>
                </c:pt>
                <c:pt idx="332">
                  <c:v>24.978941712293629</c:v>
                </c:pt>
                <c:pt idx="333">
                  <c:v>24.778124008179134</c:v>
                </c:pt>
                <c:pt idx="334">
                  <c:v>24.58151785525169</c:v>
                </c:pt>
                <c:pt idx="335">
                  <c:v>24.390697594838752</c:v>
                </c:pt>
                <c:pt idx="336">
                  <c:v>24.207237208052618</c:v>
                </c:pt>
                <c:pt idx="337">
                  <c:v>24.032747714670815</c:v>
                </c:pt>
                <c:pt idx="338">
                  <c:v>23.868821218090186</c:v>
                </c:pt>
                <c:pt idx="339">
                  <c:v>23.717029887603001</c:v>
                </c:pt>
                <c:pt idx="340">
                  <c:v>23.578945482484027</c:v>
                </c:pt>
                <c:pt idx="341">
                  <c:v>23.456139352527806</c:v>
                </c:pt>
                <c:pt idx="342">
                  <c:v>23.350182405217058</c:v>
                </c:pt>
                <c:pt idx="343">
                  <c:v>23.262645062911425</c:v>
                </c:pt>
                <c:pt idx="344">
                  <c:v>23.192123290737161</c:v>
                </c:pt>
                <c:pt idx="345">
                  <c:v>23.135867668827277</c:v>
                </c:pt>
                <c:pt idx="346">
                  <c:v>23.093328987661572</c:v>
                </c:pt>
                <c:pt idx="347">
                  <c:v>23.064060322734729</c:v>
                </c:pt>
                <c:pt idx="348">
                  <c:v>23.047614888274985</c:v>
                </c:pt>
                <c:pt idx="349">
                  <c:v>23.043546031297392</c:v>
                </c:pt>
                <c:pt idx="350">
                  <c:v>23.051407242737827</c:v>
                </c:pt>
                <c:pt idx="351">
                  <c:v>23.070731656630567</c:v>
                </c:pt>
                <c:pt idx="352">
                  <c:v>23.101037089467511</c:v>
                </c:pt>
                <c:pt idx="353">
                  <c:v>23.141877643596164</c:v>
                </c:pt>
                <c:pt idx="354">
                  <c:v>23.192807518951728</c:v>
                </c:pt>
                <c:pt idx="355">
                  <c:v>23.253381007997383</c:v>
                </c:pt>
                <c:pt idx="356">
                  <c:v>23.323152838285232</c:v>
                </c:pt>
                <c:pt idx="357">
                  <c:v>23.401677196265521</c:v>
                </c:pt>
                <c:pt idx="358">
                  <c:v>23.492756388386749</c:v>
                </c:pt>
                <c:pt idx="359">
                  <c:v>23.599590428014075</c:v>
                </c:pt>
                <c:pt idx="360">
                  <c:v>23.720866733849288</c:v>
                </c:pt>
                <c:pt idx="361">
                  <c:v>23.855257679390071</c:v>
                </c:pt>
                <c:pt idx="362">
                  <c:v>24.001415785127833</c:v>
                </c:pt>
                <c:pt idx="363">
                  <c:v>24.157994077234097</c:v>
                </c:pt>
                <c:pt idx="364">
                  <c:v>24.323646082304091</c:v>
                </c:pt>
                <c:pt idx="365">
                  <c:v>24.982032465051475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25.188165941810151</c:v>
                </c:pt>
                <c:pt idx="1">
                  <c:v>17.601973313630776</c:v>
                </c:pt>
                <c:pt idx="2">
                  <c:v>18.644766197766398</c:v>
                </c:pt>
                <c:pt idx="3">
                  <c:v>19.492480675939138</c:v>
                </c:pt>
                <c:pt idx="4">
                  <c:v>13.767903711412396</c:v>
                </c:pt>
                <c:pt idx="5">
                  <c:v>25.319822866524905</c:v>
                </c:pt>
                <c:pt idx="6">
                  <c:v>9.2019379552225544</c:v>
                </c:pt>
                <c:pt idx="7">
                  <c:v>5.3337494545769015</c:v>
                </c:pt>
                <c:pt idx="8">
                  <c:v>1.5857345826438023</c:v>
                </c:pt>
                <c:pt idx="9">
                  <c:v>1.4671768312196589</c:v>
                </c:pt>
                <c:pt idx="10">
                  <c:v>27.21702650918467</c:v>
                </c:pt>
                <c:pt idx="11">
                  <c:v>22.071695973138176</c:v>
                </c:pt>
                <c:pt idx="12">
                  <c:v>5.1564584292736448</c:v>
                </c:pt>
                <c:pt idx="13">
                  <c:v>28.239896517877874</c:v>
                </c:pt>
                <c:pt idx="14">
                  <c:v>28.07853509365998</c:v>
                </c:pt>
                <c:pt idx="15">
                  <c:v>27.769926005562052</c:v>
                </c:pt>
                <c:pt idx="16">
                  <c:v>19.24479906658275</c:v>
                </c:pt>
                <c:pt idx="17">
                  <c:v>4.1171075932453807</c:v>
                </c:pt>
                <c:pt idx="18">
                  <c:v>9.9726974904653627</c:v>
                </c:pt>
                <c:pt idx="19">
                  <c:v>5.5046112958462992</c:v>
                </c:pt>
                <c:pt idx="20">
                  <c:v>16.193281621964601</c:v>
                </c:pt>
                <c:pt idx="21">
                  <c:v>29.250382783009968</c:v>
                </c:pt>
                <c:pt idx="22">
                  <c:v>29.306977710609289</c:v>
                </c:pt>
                <c:pt idx="23">
                  <c:v>29.581033266426353</c:v>
                </c:pt>
                <c:pt idx="24">
                  <c:v>29.134680081159047</c:v>
                </c:pt>
                <c:pt idx="25">
                  <c:v>29.883796616050855</c:v>
                </c:pt>
                <c:pt idx="26">
                  <c:v>29.608080902735988</c:v>
                </c:pt>
                <c:pt idx="27">
                  <c:v>4.0109335070548866</c:v>
                </c:pt>
                <c:pt idx="28">
                  <c:v>5.9624596280938773</c:v>
                </c:pt>
                <c:pt idx="29">
                  <c:v>4.8888339570830581</c:v>
                </c:pt>
                <c:pt idx="30">
                  <c:v>6.7078065131307643</c:v>
                </c:pt>
                <c:pt idx="31">
                  <c:v>13.876788392517128</c:v>
                </c:pt>
                <c:pt idx="32">
                  <c:v>5.2218561532898322</c:v>
                </c:pt>
                <c:pt idx="33">
                  <c:v>11.420979762478195</c:v>
                </c:pt>
                <c:pt idx="34">
                  <c:v>10.952848175881622</c:v>
                </c:pt>
                <c:pt idx="35">
                  <c:v>10.347607612520129</c:v>
                </c:pt>
                <c:pt idx="36">
                  <c:v>22.833453667312206</c:v>
                </c:pt>
                <c:pt idx="37">
                  <c:v>8.992021637395025</c:v>
                </c:pt>
                <c:pt idx="38">
                  <c:v>34.729121829996693</c:v>
                </c:pt>
                <c:pt idx="39">
                  <c:v>34.805010320067652</c:v>
                </c:pt>
                <c:pt idx="40">
                  <c:v>32.337591178912241</c:v>
                </c:pt>
                <c:pt idx="41">
                  <c:v>16.278044724316377</c:v>
                </c:pt>
                <c:pt idx="42">
                  <c:v>27.073121417471757</c:v>
                </c:pt>
                <c:pt idx="43">
                  <c:v>33.083393911379311</c:v>
                </c:pt>
                <c:pt idx="44">
                  <c:v>18.352479537148145</c:v>
                </c:pt>
                <c:pt idx="45">
                  <c:v>18.085056063606448</c:v>
                </c:pt>
                <c:pt idx="46">
                  <c:v>7.8655166176790239</c:v>
                </c:pt>
                <c:pt idx="47">
                  <c:v>9.191403347678694</c:v>
                </c:pt>
                <c:pt idx="48">
                  <c:v>30.123055920668484</c:v>
                </c:pt>
                <c:pt idx="49">
                  <c:v>18.366875822961411</c:v>
                </c:pt>
                <c:pt idx="50">
                  <c:v>21.648505340388187</c:v>
                </c:pt>
                <c:pt idx="51">
                  <c:v>21.315023299122782</c:v>
                </c:pt>
                <c:pt idx="52">
                  <c:v>34.902216761046425</c:v>
                </c:pt>
                <c:pt idx="53">
                  <c:v>36.404891321044985</c:v>
                </c:pt>
                <c:pt idx="54">
                  <c:v>20.707759633319121</c:v>
                </c:pt>
                <c:pt idx="55">
                  <c:v>30.116359207001594</c:v>
                </c:pt>
                <c:pt idx="56">
                  <c:v>40.647401460143335</c:v>
                </c:pt>
                <c:pt idx="57">
                  <c:v>28.051259130385446</c:v>
                </c:pt>
                <c:pt idx="58">
                  <c:v>32.499233412111529</c:v>
                </c:pt>
                <c:pt idx="59">
                  <c:v>41.537631178340831</c:v>
                </c:pt>
                <c:pt idx="60">
                  <c:v>10.475147442834931</c:v>
                </c:pt>
                <c:pt idx="61">
                  <c:v>39.273120576112362</c:v>
                </c:pt>
                <c:pt idx="62">
                  <c:v>4.1988524144335679</c:v>
                </c:pt>
                <c:pt idx="63">
                  <c:v>14.927768374595788</c:v>
                </c:pt>
                <c:pt idx="64">
                  <c:v>21.134322702277409</c:v>
                </c:pt>
                <c:pt idx="65">
                  <c:v>32.066332141831062</c:v>
                </c:pt>
                <c:pt idx="66">
                  <c:v>30.760203686470707</c:v>
                </c:pt>
                <c:pt idx="67">
                  <c:v>32.467329615644175</c:v>
                </c:pt>
                <c:pt idx="68">
                  <c:v>23.497391005660894</c:v>
                </c:pt>
                <c:pt idx="69">
                  <c:v>15.666228105789404</c:v>
                </c:pt>
                <c:pt idx="70">
                  <c:v>12.936138623680677</c:v>
                </c:pt>
                <c:pt idx="71">
                  <c:v>12.17654800948052</c:v>
                </c:pt>
                <c:pt idx="72">
                  <c:v>12.863744149006889</c:v>
                </c:pt>
                <c:pt idx="73">
                  <c:v>14.603684729007155</c:v>
                </c:pt>
                <c:pt idx="74">
                  <c:v>10.023858895011559</c:v>
                </c:pt>
                <c:pt idx="75">
                  <c:v>10.854435502750126</c:v>
                </c:pt>
                <c:pt idx="76">
                  <c:v>13.312694831324402</c:v>
                </c:pt>
                <c:pt idx="77">
                  <c:v>30.503352369328407</c:v>
                </c:pt>
                <c:pt idx="78">
                  <c:v>31.448902022598695</c:v>
                </c:pt>
                <c:pt idx="79">
                  <c:v>45.348466235093277</c:v>
                </c:pt>
                <c:pt idx="80">
                  <c:v>40.017009587322953</c:v>
                </c:pt>
                <c:pt idx="81">
                  <c:v>47.120966206382583</c:v>
                </c:pt>
                <c:pt idx="82">
                  <c:v>44.351308722019063</c:v>
                </c:pt>
                <c:pt idx="83">
                  <c:v>40.375233460396139</c:v>
                </c:pt>
                <c:pt idx="84">
                  <c:v>43.854869063781123</c:v>
                </c:pt>
                <c:pt idx="85">
                  <c:v>44.575262476688323</c:v>
                </c:pt>
                <c:pt idx="86">
                  <c:v>34.19683995063987</c:v>
                </c:pt>
                <c:pt idx="87">
                  <c:v>26.949716773529619</c:v>
                </c:pt>
                <c:pt idx="88">
                  <c:v>7.034716331385769</c:v>
                </c:pt>
                <c:pt idx="89">
                  <c:v>20.939686782506925</c:v>
                </c:pt>
                <c:pt idx="90">
                  <c:v>31.190747550358385</c:v>
                </c:pt>
                <c:pt idx="91">
                  <c:v>19.131949242812301</c:v>
                </c:pt>
                <c:pt idx="92">
                  <c:v>24.432599578141669</c:v>
                </c:pt>
                <c:pt idx="93">
                  <c:v>42.846348609039381</c:v>
                </c:pt>
                <c:pt idx="94">
                  <c:v>49.375455785139877</c:v>
                </c:pt>
                <c:pt idx="95">
                  <c:v>11.595897551539029</c:v>
                </c:pt>
                <c:pt idx="96">
                  <c:v>38.195305263308839</c:v>
                </c:pt>
                <c:pt idx="97">
                  <c:v>30.990079704951853</c:v>
                </c:pt>
                <c:pt idx="98">
                  <c:v>33.822132726859579</c:v>
                </c:pt>
                <c:pt idx="99">
                  <c:v>51.704293961635486</c:v>
                </c:pt>
                <c:pt idx="100">
                  <c:v>42.664881527416</c:v>
                </c:pt>
                <c:pt idx="101">
                  <c:v>2.4107033320441693</c:v>
                </c:pt>
                <c:pt idx="102">
                  <c:v>0</c:v>
                </c:pt>
                <c:pt idx="103">
                  <c:v>40.490625280155065</c:v>
                </c:pt>
                <c:pt idx="104">
                  <c:v>45.06467633243836</c:v>
                </c:pt>
                <c:pt idx="105">
                  <c:v>40.545714978108009</c:v>
                </c:pt>
                <c:pt idx="106">
                  <c:v>51.199606231729774</c:v>
                </c:pt>
                <c:pt idx="107">
                  <c:v>36.50916085676733</c:v>
                </c:pt>
                <c:pt idx="108">
                  <c:v>8.7391848607204849</c:v>
                </c:pt>
                <c:pt idx="109">
                  <c:v>9.8598736913838998</c:v>
                </c:pt>
                <c:pt idx="110">
                  <c:v>8.9046817178505453</c:v>
                </c:pt>
                <c:pt idx="111">
                  <c:v>26.923315224591626</c:v>
                </c:pt>
                <c:pt idx="112">
                  <c:v>9.2510300035918878</c:v>
                </c:pt>
                <c:pt idx="113">
                  <c:v>23.779656473782097</c:v>
                </c:pt>
                <c:pt idx="114">
                  <c:v>45.099848505826877</c:v>
                </c:pt>
                <c:pt idx="115">
                  <c:v>50.439575015548364</c:v>
                </c:pt>
                <c:pt idx="116">
                  <c:v>37.178840460006612</c:v>
                </c:pt>
                <c:pt idx="117">
                  <c:v>19.995150587030036</c:v>
                </c:pt>
                <c:pt idx="118">
                  <c:v>40.47948704030668</c:v>
                </c:pt>
                <c:pt idx="119">
                  <c:v>39.471495603197376</c:v>
                </c:pt>
                <c:pt idx="120">
                  <c:v>44.181784071631995</c:v>
                </c:pt>
                <c:pt idx="121">
                  <c:v>25.880704193738474</c:v>
                </c:pt>
                <c:pt idx="122">
                  <c:v>29.559882175695979</c:v>
                </c:pt>
                <c:pt idx="123">
                  <c:v>17.435027892252524</c:v>
                </c:pt>
                <c:pt idx="124">
                  <c:v>36.615723000398503</c:v>
                </c:pt>
                <c:pt idx="125">
                  <c:v>34.195044997636089</c:v>
                </c:pt>
                <c:pt idx="126">
                  <c:v>44.247277144505198</c:v>
                </c:pt>
                <c:pt idx="127">
                  <c:v>46.15994975207601</c:v>
                </c:pt>
                <c:pt idx="128">
                  <c:v>50.213846949688147</c:v>
                </c:pt>
                <c:pt idx="129">
                  <c:v>47.857897739383361</c:v>
                </c:pt>
                <c:pt idx="130">
                  <c:v>51.338856988897803</c:v>
                </c:pt>
                <c:pt idx="131">
                  <c:v>39.521634908453692</c:v>
                </c:pt>
                <c:pt idx="132">
                  <c:v>36.188987407440294</c:v>
                </c:pt>
                <c:pt idx="133">
                  <c:v>47.233761706213699</c:v>
                </c:pt>
                <c:pt idx="134">
                  <c:v>48.189509446378537</c:v>
                </c:pt>
                <c:pt idx="135">
                  <c:v>46.402417758412234</c:v>
                </c:pt>
                <c:pt idx="136">
                  <c:v>49.685004271960509</c:v>
                </c:pt>
                <c:pt idx="137">
                  <c:v>48.134292663440533</c:v>
                </c:pt>
                <c:pt idx="138">
                  <c:v>50.284172851448396</c:v>
                </c:pt>
                <c:pt idx="139">
                  <c:v>45.609713335077203</c:v>
                </c:pt>
                <c:pt idx="140">
                  <c:v>46.16837583601923</c:v>
                </c:pt>
                <c:pt idx="141">
                  <c:v>35.316727255504752</c:v>
                </c:pt>
                <c:pt idx="142">
                  <c:v>16.495373761813241</c:v>
                </c:pt>
                <c:pt idx="143">
                  <c:v>15.680576179373297</c:v>
                </c:pt>
                <c:pt idx="144">
                  <c:v>36.527729530545201</c:v>
                </c:pt>
                <c:pt idx="145">
                  <c:v>24.857372055502669</c:v>
                </c:pt>
                <c:pt idx="146">
                  <c:v>39.615446904956983</c:v>
                </c:pt>
                <c:pt idx="147">
                  <c:v>48.795780312609651</c:v>
                </c:pt>
                <c:pt idx="148">
                  <c:v>52.832861096991586</c:v>
                </c:pt>
                <c:pt idx="149">
                  <c:v>44.269516984954535</c:v>
                </c:pt>
                <c:pt idx="150">
                  <c:v>49.188868853889204</c:v>
                </c:pt>
                <c:pt idx="151">
                  <c:v>49.998291313170341</c:v>
                </c:pt>
                <c:pt idx="152">
                  <c:v>39.579666467747529</c:v>
                </c:pt>
                <c:pt idx="153">
                  <c:v>49.718538644168355</c:v>
                </c:pt>
                <c:pt idx="154">
                  <c:v>20.591721431728644</c:v>
                </c:pt>
                <c:pt idx="155">
                  <c:v>29.052503649174316</c:v>
                </c:pt>
                <c:pt idx="156">
                  <c:v>43.527523492701491</c:v>
                </c:pt>
                <c:pt idx="157">
                  <c:v>25.484448348519628</c:v>
                </c:pt>
                <c:pt idx="158">
                  <c:v>18.948468037853083</c:v>
                </c:pt>
                <c:pt idx="159">
                  <c:v>42.100656099354943</c:v>
                </c:pt>
                <c:pt idx="160">
                  <c:v>51.550697543108498</c:v>
                </c:pt>
                <c:pt idx="161">
                  <c:v>50.148391775359578</c:v>
                </c:pt>
                <c:pt idx="162">
                  <c:v>38.440098995614264</c:v>
                </c:pt>
                <c:pt idx="163">
                  <c:v>47.223270479613973</c:v>
                </c:pt>
                <c:pt idx="164">
                  <c:v>44.961990283305134</c:v>
                </c:pt>
                <c:pt idx="165">
                  <c:v>48.270452392663785</c:v>
                </c:pt>
                <c:pt idx="166">
                  <c:v>46.844582787078743</c:v>
                </c:pt>
                <c:pt idx="167">
                  <c:v>47.457151199711276</c:v>
                </c:pt>
                <c:pt idx="168">
                  <c:v>49.057203131658028</c:v>
                </c:pt>
                <c:pt idx="169">
                  <c:v>50.090149045260667</c:v>
                </c:pt>
                <c:pt idx="170">
                  <c:v>31.594611361379272</c:v>
                </c:pt>
                <c:pt idx="171">
                  <c:v>22.337699547610299</c:v>
                </c:pt>
                <c:pt idx="172">
                  <c:v>39.444871700752309</c:v>
                </c:pt>
                <c:pt idx="173">
                  <c:v>39.101659362762177</c:v>
                </c:pt>
                <c:pt idx="174">
                  <c:v>37.245292745405941</c:v>
                </c:pt>
                <c:pt idx="175">
                  <c:v>31.957095495589563</c:v>
                </c:pt>
                <c:pt idx="176">
                  <c:v>10.35477639195676</c:v>
                </c:pt>
                <c:pt idx="177">
                  <c:v>9.709018985793497</c:v>
                </c:pt>
                <c:pt idx="178">
                  <c:v>49.998214843709803</c:v>
                </c:pt>
                <c:pt idx="179">
                  <c:v>50.780942662173146</c:v>
                </c:pt>
                <c:pt idx="180">
                  <c:v>11.56424832285804</c:v>
                </c:pt>
                <c:pt idx="181">
                  <c:v>43.281331879441289</c:v>
                </c:pt>
                <c:pt idx="182">
                  <c:v>49.813338475889992</c:v>
                </c:pt>
                <c:pt idx="183">
                  <c:v>43.083356249640829</c:v>
                </c:pt>
                <c:pt idx="184">
                  <c:v>41.087517882730928</c:v>
                </c:pt>
                <c:pt idx="185">
                  <c:v>50.032341758460191</c:v>
                </c:pt>
                <c:pt idx="186">
                  <c:v>40.987844868839026</c:v>
                </c:pt>
                <c:pt idx="187">
                  <c:v>48.418864656607106</c:v>
                </c:pt>
                <c:pt idx="188">
                  <c:v>50.747295276370885</c:v>
                </c:pt>
                <c:pt idx="189">
                  <c:v>50.173110212279539</c:v>
                </c:pt>
                <c:pt idx="190">
                  <c:v>49.844913908070509</c:v>
                </c:pt>
                <c:pt idx="191">
                  <c:v>48.65950506022137</c:v>
                </c:pt>
                <c:pt idx="192">
                  <c:v>48.243003588312241</c:v>
                </c:pt>
                <c:pt idx="193">
                  <c:v>48.489054508047502</c:v>
                </c:pt>
                <c:pt idx="194">
                  <c:v>47.737139375683839</c:v>
                </c:pt>
                <c:pt idx="195">
                  <c:v>45.787622403878153</c:v>
                </c:pt>
                <c:pt idx="196">
                  <c:v>47.524248409213463</c:v>
                </c:pt>
                <c:pt idx="197">
                  <c:v>47.500323692153451</c:v>
                </c:pt>
                <c:pt idx="198">
                  <c:v>48.244870900044617</c:v>
                </c:pt>
                <c:pt idx="199">
                  <c:v>32.956596335285752</c:v>
                </c:pt>
                <c:pt idx="200">
                  <c:v>37.517763367654176</c:v>
                </c:pt>
                <c:pt idx="201">
                  <c:v>46.826465646689869</c:v>
                </c:pt>
                <c:pt idx="202">
                  <c:v>35.74117089177318</c:v>
                </c:pt>
                <c:pt idx="203">
                  <c:v>39.877030441352119</c:v>
                </c:pt>
                <c:pt idx="204">
                  <c:v>47.214917855909768</c:v>
                </c:pt>
                <c:pt idx="205">
                  <c:v>24.270379498820727</c:v>
                </c:pt>
                <c:pt idx="206">
                  <c:v>46.141476371591963</c:v>
                </c:pt>
                <c:pt idx="207">
                  <c:v>49.961183116447302</c:v>
                </c:pt>
                <c:pt idx="208">
                  <c:v>39.694204083868513</c:v>
                </c:pt>
                <c:pt idx="209">
                  <c:v>26.441444084525212</c:v>
                </c:pt>
                <c:pt idx="210">
                  <c:v>39.848321008521779</c:v>
                </c:pt>
                <c:pt idx="211">
                  <c:v>47.903029170730562</c:v>
                </c:pt>
                <c:pt idx="212">
                  <c:v>47.834838781806511</c:v>
                </c:pt>
                <c:pt idx="213">
                  <c:v>47.881167599989375</c:v>
                </c:pt>
                <c:pt idx="214">
                  <c:v>46.367292427351771</c:v>
                </c:pt>
                <c:pt idx="215">
                  <c:v>45.867343341597753</c:v>
                </c:pt>
                <c:pt idx="216">
                  <c:v>41.356594685399131</c:v>
                </c:pt>
                <c:pt idx="217">
                  <c:v>43.721835872754404</c:v>
                </c:pt>
                <c:pt idx="218">
                  <c:v>46.642562153553683</c:v>
                </c:pt>
                <c:pt idx="219">
                  <c:v>47.212795950077819</c:v>
                </c:pt>
                <c:pt idx="220">
                  <c:v>45.489812965921772</c:v>
                </c:pt>
                <c:pt idx="221">
                  <c:v>44.185760149239918</c:v>
                </c:pt>
                <c:pt idx="222">
                  <c:v>41.809150277647376</c:v>
                </c:pt>
                <c:pt idx="223">
                  <c:v>43.117856299219419</c:v>
                </c:pt>
                <c:pt idx="224">
                  <c:v>33.846096449585275</c:v>
                </c:pt>
                <c:pt idx="225">
                  <c:v>31.002026473101292</c:v>
                </c:pt>
                <c:pt idx="226">
                  <c:v>35.159226444549475</c:v>
                </c:pt>
                <c:pt idx="227">
                  <c:v>32.56179709005815</c:v>
                </c:pt>
                <c:pt idx="228">
                  <c:v>23.76954638675517</c:v>
                </c:pt>
                <c:pt idx="229">
                  <c:v>31.62544896473139</c:v>
                </c:pt>
                <c:pt idx="230">
                  <c:v>32.271958249025879</c:v>
                </c:pt>
                <c:pt idx="231">
                  <c:v>45.51939201240215</c:v>
                </c:pt>
                <c:pt idx="232">
                  <c:v>30.25055146401154</c:v>
                </c:pt>
                <c:pt idx="233">
                  <c:v>21.656515579003692</c:v>
                </c:pt>
                <c:pt idx="234">
                  <c:v>42.020975298386873</c:v>
                </c:pt>
                <c:pt idx="235">
                  <c:v>43.379825812651873</c:v>
                </c:pt>
                <c:pt idx="236">
                  <c:v>28.014340719544784</c:v>
                </c:pt>
                <c:pt idx="237">
                  <c:v>38.471348855374508</c:v>
                </c:pt>
                <c:pt idx="238">
                  <c:v>43.218828216194076</c:v>
                </c:pt>
                <c:pt idx="239">
                  <c:v>43.323243704891972</c:v>
                </c:pt>
                <c:pt idx="240">
                  <c:v>30.444447421776587</c:v>
                </c:pt>
                <c:pt idx="241">
                  <c:v>43.034970166610478</c:v>
                </c:pt>
                <c:pt idx="242">
                  <c:v>19.567346625989568</c:v>
                </c:pt>
                <c:pt idx="243">
                  <c:v>39.770806799296921</c:v>
                </c:pt>
                <c:pt idx="244">
                  <c:v>37.090236138340281</c:v>
                </c:pt>
                <c:pt idx="245">
                  <c:v>35.251207232649307</c:v>
                </c:pt>
                <c:pt idx="246">
                  <c:v>42.126970447549084</c:v>
                </c:pt>
                <c:pt idx="247">
                  <c:v>38.676345229921608</c:v>
                </c:pt>
                <c:pt idx="248">
                  <c:v>41.641812390672484</c:v>
                </c:pt>
                <c:pt idx="249">
                  <c:v>33.315340901188335</c:v>
                </c:pt>
                <c:pt idx="250">
                  <c:v>36.547051233893463</c:v>
                </c:pt>
                <c:pt idx="251">
                  <c:v>18.91158644876791</c:v>
                </c:pt>
                <c:pt idx="252">
                  <c:v>41.286066362173614</c:v>
                </c:pt>
                <c:pt idx="253">
                  <c:v>42.058186028176564</c:v>
                </c:pt>
                <c:pt idx="254">
                  <c:v>29.584924116789676</c:v>
                </c:pt>
                <c:pt idx="255">
                  <c:v>10.689495326177038</c:v>
                </c:pt>
                <c:pt idx="256">
                  <c:v>32.31406038565035</c:v>
                </c:pt>
                <c:pt idx="257">
                  <c:v>37.08556531536275</c:v>
                </c:pt>
                <c:pt idx="258">
                  <c:v>24.69915088667971</c:v>
                </c:pt>
                <c:pt idx="259">
                  <c:v>43.563922453345647</c:v>
                </c:pt>
                <c:pt idx="260">
                  <c:v>42.133731258366943</c:v>
                </c:pt>
                <c:pt idx="261">
                  <c:v>41.6127482749866</c:v>
                </c:pt>
                <c:pt idx="262">
                  <c:v>42.865703440343076</c:v>
                </c:pt>
                <c:pt idx="263">
                  <c:v>41.92274729426947</c:v>
                </c:pt>
                <c:pt idx="264">
                  <c:v>40.769061837218885</c:v>
                </c:pt>
                <c:pt idx="265">
                  <c:v>26.877350647037879</c:v>
                </c:pt>
                <c:pt idx="266">
                  <c:v>19.645129883412292</c:v>
                </c:pt>
                <c:pt idx="267">
                  <c:v>28.973807967523676</c:v>
                </c:pt>
                <c:pt idx="268">
                  <c:v>30.275296420385867</c:v>
                </c:pt>
                <c:pt idx="269">
                  <c:v>14.544958554328582</c:v>
                </c:pt>
                <c:pt idx="270">
                  <c:v>14.223796531134729</c:v>
                </c:pt>
                <c:pt idx="271">
                  <c:v>20.495477112030059</c:v>
                </c:pt>
                <c:pt idx="272">
                  <c:v>29.54607467412578</c:v>
                </c:pt>
                <c:pt idx="273">
                  <c:v>35.767751784635315</c:v>
                </c:pt>
                <c:pt idx="274">
                  <c:v>35.222296068528152</c:v>
                </c:pt>
                <c:pt idx="275">
                  <c:v>32.929431089589997</c:v>
                </c:pt>
                <c:pt idx="276">
                  <c:v>38.566368955060298</c:v>
                </c:pt>
                <c:pt idx="277">
                  <c:v>38.516363433312165</c:v>
                </c:pt>
                <c:pt idx="278">
                  <c:v>14.281872060599667</c:v>
                </c:pt>
                <c:pt idx="279">
                  <c:v>28.478051198621181</c:v>
                </c:pt>
                <c:pt idx="280">
                  <c:v>16.472492627551166</c:v>
                </c:pt>
                <c:pt idx="281">
                  <c:v>35.933467850463984</c:v>
                </c:pt>
                <c:pt idx="282">
                  <c:v>29.332314949995695</c:v>
                </c:pt>
                <c:pt idx="283">
                  <c:v>20.917072455473502</c:v>
                </c:pt>
                <c:pt idx="284">
                  <c:v>29.248243115860056</c:v>
                </c:pt>
                <c:pt idx="285">
                  <c:v>21.16749734420295</c:v>
                </c:pt>
                <c:pt idx="286">
                  <c:v>15.812495973539269</c:v>
                </c:pt>
                <c:pt idx="287">
                  <c:v>35.312853103994982</c:v>
                </c:pt>
                <c:pt idx="288">
                  <c:v>31.883086468332447</c:v>
                </c:pt>
                <c:pt idx="289">
                  <c:v>21.472884883921989</c:v>
                </c:pt>
                <c:pt idx="290">
                  <c:v>32.863050192519147</c:v>
                </c:pt>
                <c:pt idx="291">
                  <c:v>13.991491365675378</c:v>
                </c:pt>
                <c:pt idx="292">
                  <c:v>8.0252515475303863</c:v>
                </c:pt>
                <c:pt idx="293">
                  <c:v>14.668609195892937</c:v>
                </c:pt>
                <c:pt idx="294">
                  <c:v>31.644424750693894</c:v>
                </c:pt>
                <c:pt idx="295">
                  <c:v>18.024894516073182</c:v>
                </c:pt>
                <c:pt idx="296">
                  <c:v>24.046921014125843</c:v>
                </c:pt>
                <c:pt idx="297">
                  <c:v>21.238102326705551</c:v>
                </c:pt>
                <c:pt idx="298">
                  <c:v>11.872347357084983</c:v>
                </c:pt>
                <c:pt idx="299">
                  <c:v>13.0083719531751</c:v>
                </c:pt>
                <c:pt idx="300">
                  <c:v>16.387321069296291</c:v>
                </c:pt>
                <c:pt idx="301">
                  <c:v>24.474753309542155</c:v>
                </c:pt>
                <c:pt idx="302">
                  <c:v>20.042740906061759</c:v>
                </c:pt>
                <c:pt idx="303">
                  <c:v>20.722664621727439</c:v>
                </c:pt>
                <c:pt idx="304">
                  <c:v>22.330007008296338</c:v>
                </c:pt>
                <c:pt idx="305">
                  <c:v>27.984636979413388</c:v>
                </c:pt>
                <c:pt idx="306">
                  <c:v>9.7330334942436831</c:v>
                </c:pt>
                <c:pt idx="307">
                  <c:v>11.363743836512217</c:v>
                </c:pt>
                <c:pt idx="308">
                  <c:v>29.85899695007458</c:v>
                </c:pt>
                <c:pt idx="309">
                  <c:v>29.513652310233777</c:v>
                </c:pt>
                <c:pt idx="310">
                  <c:v>28.215021321735687</c:v>
                </c:pt>
                <c:pt idx="311">
                  <c:v>19.304293054124845</c:v>
                </c:pt>
                <c:pt idx="312">
                  <c:v>10.212415260269891</c:v>
                </c:pt>
                <c:pt idx="313">
                  <c:v>22.780499295235433</c:v>
                </c:pt>
                <c:pt idx="314">
                  <c:v>28.398635347061624</c:v>
                </c:pt>
                <c:pt idx="315">
                  <c:v>27.120983903737521</c:v>
                </c:pt>
                <c:pt idx="316">
                  <c:v>27.303877177077609</c:v>
                </c:pt>
                <c:pt idx="317">
                  <c:v>10.207246015210153</c:v>
                </c:pt>
                <c:pt idx="318">
                  <c:v>12.191874241418169</c:v>
                </c:pt>
                <c:pt idx="319">
                  <c:v>27.017735138694491</c:v>
                </c:pt>
                <c:pt idx="320">
                  <c:v>14.43844375863423</c:v>
                </c:pt>
                <c:pt idx="321">
                  <c:v>13.185112795616964</c:v>
                </c:pt>
                <c:pt idx="322">
                  <c:v>5.687426841828688</c:v>
                </c:pt>
                <c:pt idx="323">
                  <c:v>16.846913509385271</c:v>
                </c:pt>
                <c:pt idx="324">
                  <c:v>3.3629263995086203</c:v>
                </c:pt>
                <c:pt idx="325">
                  <c:v>7.4504149626563647</c:v>
                </c:pt>
                <c:pt idx="326">
                  <c:v>11.561249753643795</c:v>
                </c:pt>
                <c:pt idx="327">
                  <c:v>13.657640064530877</c:v>
                </c:pt>
                <c:pt idx="328">
                  <c:v>4.2011300565634899</c:v>
                </c:pt>
                <c:pt idx="329">
                  <c:v>13.032938003071548</c:v>
                </c:pt>
                <c:pt idx="330">
                  <c:v>13.883033627080826</c:v>
                </c:pt>
                <c:pt idx="331">
                  <c:v>8.9629557640035813</c:v>
                </c:pt>
                <c:pt idx="332">
                  <c:v>12.61178612961718</c:v>
                </c:pt>
                <c:pt idx="333">
                  <c:v>4.1023622675486129</c:v>
                </c:pt>
                <c:pt idx="334">
                  <c:v>3.3180691702105705</c:v>
                </c:pt>
                <c:pt idx="335">
                  <c:v>6.2668547302049298</c:v>
                </c:pt>
                <c:pt idx="336">
                  <c:v>7.0536837771112753</c:v>
                </c:pt>
                <c:pt idx="337">
                  <c:v>19.550451524642629</c:v>
                </c:pt>
                <c:pt idx="338">
                  <c:v>24.824852343487951</c:v>
                </c:pt>
                <c:pt idx="339">
                  <c:v>10.832608518952281</c:v>
                </c:pt>
                <c:pt idx="340">
                  <c:v>19.460989426604737</c:v>
                </c:pt>
                <c:pt idx="341">
                  <c:v>4.4635015200729811</c:v>
                </c:pt>
                <c:pt idx="342">
                  <c:v>5.4350711793507527</c:v>
                </c:pt>
                <c:pt idx="343">
                  <c:v>13.542445509765056</c:v>
                </c:pt>
                <c:pt idx="344">
                  <c:v>16.510968418235688</c:v>
                </c:pt>
                <c:pt idx="345">
                  <c:v>4.8758881189339363</c:v>
                </c:pt>
                <c:pt idx="346">
                  <c:v>5.34599273253232</c:v>
                </c:pt>
                <c:pt idx="347">
                  <c:v>16.425294187902765</c:v>
                </c:pt>
                <c:pt idx="348">
                  <c:v>6.8794444124481329</c:v>
                </c:pt>
                <c:pt idx="349">
                  <c:v>4.6733241083931354</c:v>
                </c:pt>
                <c:pt idx="350">
                  <c:v>2.613995481151735</c:v>
                </c:pt>
                <c:pt idx="351">
                  <c:v>20.608230627552796</c:v>
                </c:pt>
                <c:pt idx="352">
                  <c:v>17.444788787580183</c:v>
                </c:pt>
                <c:pt idx="353">
                  <c:v>4.2502123310226159</c:v>
                </c:pt>
                <c:pt idx="354">
                  <c:v>21.480276267722878</c:v>
                </c:pt>
                <c:pt idx="355">
                  <c:v>16.610953825931695</c:v>
                </c:pt>
                <c:pt idx="356">
                  <c:v>17.135223137893558</c:v>
                </c:pt>
                <c:pt idx="357">
                  <c:v>22.460035759102947</c:v>
                </c:pt>
                <c:pt idx="358">
                  <c:v>13.156788505554758</c:v>
                </c:pt>
                <c:pt idx="359">
                  <c:v>21.721689626917449</c:v>
                </c:pt>
                <c:pt idx="360">
                  <c:v>5.8995700206879489</c:v>
                </c:pt>
                <c:pt idx="361">
                  <c:v>23.000027965629982</c:v>
                </c:pt>
                <c:pt idx="362">
                  <c:v>10.015304181878417</c:v>
                </c:pt>
                <c:pt idx="363">
                  <c:v>14.384924617361472</c:v>
                </c:pt>
                <c:pt idx="364">
                  <c:v>10.878838325930985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25.188165941810151</c:v>
                </c:pt>
                <c:pt idx="1">
                  <c:v>17.601973313630776</c:v>
                </c:pt>
                <c:pt idx="2">
                  <c:v>18.644766197766398</c:v>
                </c:pt>
                <c:pt idx="3">
                  <c:v>19.492480675939138</c:v>
                </c:pt>
                <c:pt idx="4">
                  <c:v>13.767903711412396</c:v>
                </c:pt>
                <c:pt idx="5">
                  <c:v>25.319822866524905</c:v>
                </c:pt>
                <c:pt idx="6">
                  <c:v>9.2019379552225544</c:v>
                </c:pt>
                <c:pt idx="7">
                  <c:v>5.3337494545769015</c:v>
                </c:pt>
                <c:pt idx="8">
                  <c:v>1.5857345826438023</c:v>
                </c:pt>
                <c:pt idx="9">
                  <c:v>1.4671768312196589</c:v>
                </c:pt>
                <c:pt idx="10">
                  <c:v>27.21702650918467</c:v>
                </c:pt>
                <c:pt idx="11">
                  <c:v>22.071695973138176</c:v>
                </c:pt>
                <c:pt idx="12">
                  <c:v>5.1564584292736448</c:v>
                </c:pt>
                <c:pt idx="13">
                  <c:v>28.239896517877874</c:v>
                </c:pt>
                <c:pt idx="14">
                  <c:v>28.07853509365998</c:v>
                </c:pt>
                <c:pt idx="15">
                  <c:v>27.769926005562052</c:v>
                </c:pt>
                <c:pt idx="16">
                  <c:v>19.24479906658275</c:v>
                </c:pt>
                <c:pt idx="17">
                  <c:v>4.1171075932453807</c:v>
                </c:pt>
                <c:pt idx="18">
                  <c:v>9.9726974904653627</c:v>
                </c:pt>
                <c:pt idx="19">
                  <c:v>5.5046112958462992</c:v>
                </c:pt>
                <c:pt idx="20">
                  <c:v>16.193281621964601</c:v>
                </c:pt>
                <c:pt idx="21">
                  <c:v>29.250382783009968</c:v>
                </c:pt>
                <c:pt idx="22">
                  <c:v>29.306977710609289</c:v>
                </c:pt>
                <c:pt idx="23">
                  <c:v>29.581033266426353</c:v>
                </c:pt>
                <c:pt idx="24">
                  <c:v>29.134680081159047</c:v>
                </c:pt>
                <c:pt idx="25">
                  <c:v>29.883796616050855</c:v>
                </c:pt>
                <c:pt idx="26">
                  <c:v>29.608080902735988</c:v>
                </c:pt>
                <c:pt idx="27">
                  <c:v>4.0109335070548866</c:v>
                </c:pt>
                <c:pt idx="28">
                  <c:v>5.9624596280938773</c:v>
                </c:pt>
                <c:pt idx="29">
                  <c:v>4.8888339570830581</c:v>
                </c:pt>
                <c:pt idx="30">
                  <c:v>6.7078065131307643</c:v>
                </c:pt>
                <c:pt idx="31">
                  <c:v>13.876788392517128</c:v>
                </c:pt>
                <c:pt idx="32">
                  <c:v>5.2218561532898322</c:v>
                </c:pt>
                <c:pt idx="33">
                  <c:v>11.420979762478195</c:v>
                </c:pt>
                <c:pt idx="34">
                  <c:v>10.952848175881622</c:v>
                </c:pt>
                <c:pt idx="35">
                  <c:v>10.347607612520129</c:v>
                </c:pt>
                <c:pt idx="36">
                  <c:v>22.833453667312206</c:v>
                </c:pt>
                <c:pt idx="37">
                  <c:v>8.992021637395025</c:v>
                </c:pt>
                <c:pt idx="38">
                  <c:v>34.729121829996693</c:v>
                </c:pt>
                <c:pt idx="39">
                  <c:v>34.805010320067652</c:v>
                </c:pt>
                <c:pt idx="40">
                  <c:v>32.337591178912241</c:v>
                </c:pt>
                <c:pt idx="41">
                  <c:v>16.278044724316377</c:v>
                </c:pt>
                <c:pt idx="42">
                  <c:v>27.073121417471757</c:v>
                </c:pt>
                <c:pt idx="43">
                  <c:v>33.083393911379311</c:v>
                </c:pt>
                <c:pt idx="44">
                  <c:v>18.352479537148145</c:v>
                </c:pt>
                <c:pt idx="45">
                  <c:v>18.085056063606448</c:v>
                </c:pt>
                <c:pt idx="46">
                  <c:v>7.8655166176790239</c:v>
                </c:pt>
                <c:pt idx="47">
                  <c:v>9.191403347678694</c:v>
                </c:pt>
                <c:pt idx="48">
                  <c:v>30.123055920668484</c:v>
                </c:pt>
                <c:pt idx="49">
                  <c:v>18.366875822961411</c:v>
                </c:pt>
                <c:pt idx="50">
                  <c:v>21.648505340388187</c:v>
                </c:pt>
                <c:pt idx="51">
                  <c:v>21.315023299122782</c:v>
                </c:pt>
                <c:pt idx="52">
                  <c:v>34.902216761046425</c:v>
                </c:pt>
                <c:pt idx="53">
                  <c:v>36.404891321044985</c:v>
                </c:pt>
                <c:pt idx="54">
                  <c:v>20.707759633319121</c:v>
                </c:pt>
                <c:pt idx="55">
                  <c:v>30.116359207001594</c:v>
                </c:pt>
                <c:pt idx="56">
                  <c:v>40.647401460143335</c:v>
                </c:pt>
                <c:pt idx="57">
                  <c:v>28.051259130385446</c:v>
                </c:pt>
                <c:pt idx="58">
                  <c:v>32.499233412111529</c:v>
                </c:pt>
                <c:pt idx="59">
                  <c:v>41.537631178340831</c:v>
                </c:pt>
                <c:pt idx="60">
                  <c:v>10.475147442834931</c:v>
                </c:pt>
                <c:pt idx="61">
                  <c:v>39.273120576112362</c:v>
                </c:pt>
                <c:pt idx="62">
                  <c:v>4.1988524144335679</c:v>
                </c:pt>
                <c:pt idx="63">
                  <c:v>14.927768374595788</c:v>
                </c:pt>
                <c:pt idx="64">
                  <c:v>21.134322702277409</c:v>
                </c:pt>
                <c:pt idx="65">
                  <c:v>32.066332141831062</c:v>
                </c:pt>
                <c:pt idx="66">
                  <c:v>30.760203686470707</c:v>
                </c:pt>
                <c:pt idx="67">
                  <c:v>32.467329615644175</c:v>
                </c:pt>
                <c:pt idx="68">
                  <c:v>23.497391005660894</c:v>
                </c:pt>
                <c:pt idx="69">
                  <c:v>15.666228105789404</c:v>
                </c:pt>
                <c:pt idx="70">
                  <c:v>12.936138623680677</c:v>
                </c:pt>
                <c:pt idx="71">
                  <c:v>12.17654800948052</c:v>
                </c:pt>
                <c:pt idx="72">
                  <c:v>12.863744149006889</c:v>
                </c:pt>
                <c:pt idx="73">
                  <c:v>14.603684729007155</c:v>
                </c:pt>
                <c:pt idx="74">
                  <c:v>10.023858895011559</c:v>
                </c:pt>
                <c:pt idx="75">
                  <c:v>10.854435502750126</c:v>
                </c:pt>
                <c:pt idx="76">
                  <c:v>13.312694831324402</c:v>
                </c:pt>
                <c:pt idx="77">
                  <c:v>30.503352369328407</c:v>
                </c:pt>
                <c:pt idx="78">
                  <c:v>31.448902022598695</c:v>
                </c:pt>
                <c:pt idx="79">
                  <c:v>45.348466235093277</c:v>
                </c:pt>
                <c:pt idx="80">
                  <c:v>40.017009587322953</c:v>
                </c:pt>
                <c:pt idx="81">
                  <c:v>47.120966206382583</c:v>
                </c:pt>
                <c:pt idx="82">
                  <c:v>44.351308722019063</c:v>
                </c:pt>
                <c:pt idx="83">
                  <c:v>40.375233460396139</c:v>
                </c:pt>
                <c:pt idx="84">
                  <c:v>43.854869063781123</c:v>
                </c:pt>
                <c:pt idx="85">
                  <c:v>44.575262476688323</c:v>
                </c:pt>
                <c:pt idx="86">
                  <c:v>34.19683995063987</c:v>
                </c:pt>
                <c:pt idx="87">
                  <c:v>26.949716773529619</c:v>
                </c:pt>
                <c:pt idx="88">
                  <c:v>7.034716331385769</c:v>
                </c:pt>
                <c:pt idx="89">
                  <c:v>20.939686782506925</c:v>
                </c:pt>
                <c:pt idx="90">
                  <c:v>31.190747550358385</c:v>
                </c:pt>
                <c:pt idx="91">
                  <c:v>19.131949242812301</c:v>
                </c:pt>
                <c:pt idx="92">
                  <c:v>24.432599578141669</c:v>
                </c:pt>
                <c:pt idx="93">
                  <c:v>42.846348609039381</c:v>
                </c:pt>
                <c:pt idx="94">
                  <c:v>49.375455785139877</c:v>
                </c:pt>
                <c:pt idx="95">
                  <c:v>11.595897551539029</c:v>
                </c:pt>
                <c:pt idx="96">
                  <c:v>38.195305263308839</c:v>
                </c:pt>
                <c:pt idx="97">
                  <c:v>30.990079704951853</c:v>
                </c:pt>
                <c:pt idx="98">
                  <c:v>33.822132726859579</c:v>
                </c:pt>
                <c:pt idx="99">
                  <c:v>51.704293961635486</c:v>
                </c:pt>
                <c:pt idx="100">
                  <c:v>42.664881527416</c:v>
                </c:pt>
                <c:pt idx="101">
                  <c:v>2.4107033320441693</c:v>
                </c:pt>
                <c:pt idx="102">
                  <c:v>0</c:v>
                </c:pt>
                <c:pt idx="103">
                  <c:v>40.490625280155065</c:v>
                </c:pt>
                <c:pt idx="104">
                  <c:v>45.06467633243836</c:v>
                </c:pt>
                <c:pt idx="105">
                  <c:v>40.545714978108009</c:v>
                </c:pt>
                <c:pt idx="106">
                  <c:v>51.199606231729774</c:v>
                </c:pt>
                <c:pt idx="107">
                  <c:v>36.50916085676733</c:v>
                </c:pt>
                <c:pt idx="108">
                  <c:v>8.7391848607204849</c:v>
                </c:pt>
                <c:pt idx="109">
                  <c:v>9.8598736913838998</c:v>
                </c:pt>
                <c:pt idx="110">
                  <c:v>8.9046817178505453</c:v>
                </c:pt>
                <c:pt idx="111">
                  <c:v>26.923315224591626</c:v>
                </c:pt>
                <c:pt idx="112">
                  <c:v>9.2510300035918878</c:v>
                </c:pt>
                <c:pt idx="113">
                  <c:v>23.779656473782097</c:v>
                </c:pt>
                <c:pt idx="114">
                  <c:v>45.099848505826877</c:v>
                </c:pt>
                <c:pt idx="115">
                  <c:v>50.439575015548364</c:v>
                </c:pt>
                <c:pt idx="116">
                  <c:v>37.178840460006612</c:v>
                </c:pt>
                <c:pt idx="117">
                  <c:v>19.995150587030036</c:v>
                </c:pt>
                <c:pt idx="118">
                  <c:v>40.47948704030668</c:v>
                </c:pt>
                <c:pt idx="119">
                  <c:v>39.471495603197376</c:v>
                </c:pt>
                <c:pt idx="120">
                  <c:v>44.181784071631995</c:v>
                </c:pt>
                <c:pt idx="121">
                  <c:v>25.880704193738474</c:v>
                </c:pt>
                <c:pt idx="122">
                  <c:v>29.559882175695979</c:v>
                </c:pt>
                <c:pt idx="123">
                  <c:v>17.435027892252524</c:v>
                </c:pt>
                <c:pt idx="124">
                  <c:v>36.615723000398503</c:v>
                </c:pt>
                <c:pt idx="125">
                  <c:v>34.195044997636089</c:v>
                </c:pt>
                <c:pt idx="126">
                  <c:v>44.247277144505198</c:v>
                </c:pt>
                <c:pt idx="127">
                  <c:v>46.15994975207601</c:v>
                </c:pt>
                <c:pt idx="128">
                  <c:v>50.213846949688147</c:v>
                </c:pt>
                <c:pt idx="129">
                  <c:v>47.857897739383361</c:v>
                </c:pt>
                <c:pt idx="130">
                  <c:v>51.338856988897803</c:v>
                </c:pt>
                <c:pt idx="131">
                  <c:v>39.521634908453692</c:v>
                </c:pt>
                <c:pt idx="132">
                  <c:v>36.188987407440294</c:v>
                </c:pt>
                <c:pt idx="133">
                  <c:v>47.233761706213699</c:v>
                </c:pt>
                <c:pt idx="134">
                  <c:v>48.189509446378537</c:v>
                </c:pt>
                <c:pt idx="135">
                  <c:v>46.402417758412234</c:v>
                </c:pt>
                <c:pt idx="136">
                  <c:v>49.685004271960509</c:v>
                </c:pt>
                <c:pt idx="137">
                  <c:v>48.134292663440533</c:v>
                </c:pt>
                <c:pt idx="138">
                  <c:v>50.284172851448396</c:v>
                </c:pt>
                <c:pt idx="139">
                  <c:v>45.609713335077203</c:v>
                </c:pt>
                <c:pt idx="140">
                  <c:v>46.16837583601923</c:v>
                </c:pt>
                <c:pt idx="141">
                  <c:v>35.316727255504752</c:v>
                </c:pt>
                <c:pt idx="142">
                  <c:v>16.495373761813241</c:v>
                </c:pt>
                <c:pt idx="143">
                  <c:v>15.680576179373297</c:v>
                </c:pt>
                <c:pt idx="144">
                  <c:v>36.527729530545201</c:v>
                </c:pt>
                <c:pt idx="145">
                  <c:v>24.857372055502669</c:v>
                </c:pt>
                <c:pt idx="146">
                  <c:v>39.615446904956983</c:v>
                </c:pt>
                <c:pt idx="147">
                  <c:v>48.795780312609651</c:v>
                </c:pt>
                <c:pt idx="148">
                  <c:v>52.832861096991586</c:v>
                </c:pt>
                <c:pt idx="149">
                  <c:v>44.269516984954535</c:v>
                </c:pt>
                <c:pt idx="150">
                  <c:v>49.188868853889204</c:v>
                </c:pt>
                <c:pt idx="151">
                  <c:v>49.998291313170341</c:v>
                </c:pt>
                <c:pt idx="152">
                  <c:v>39.579666467747529</c:v>
                </c:pt>
                <c:pt idx="153">
                  <c:v>49.718538644168355</c:v>
                </c:pt>
                <c:pt idx="154">
                  <c:v>20.591721431728644</c:v>
                </c:pt>
                <c:pt idx="155">
                  <c:v>29.052503649174316</c:v>
                </c:pt>
                <c:pt idx="156">
                  <c:v>43.527523492701491</c:v>
                </c:pt>
                <c:pt idx="157">
                  <c:v>25.484448348519628</c:v>
                </c:pt>
                <c:pt idx="158">
                  <c:v>18.948468037853083</c:v>
                </c:pt>
                <c:pt idx="159">
                  <c:v>42.100656099354943</c:v>
                </c:pt>
                <c:pt idx="160">
                  <c:v>51.550697543108498</c:v>
                </c:pt>
                <c:pt idx="161">
                  <c:v>50.148391775359578</c:v>
                </c:pt>
                <c:pt idx="162">
                  <c:v>38.440098995614264</c:v>
                </c:pt>
                <c:pt idx="163">
                  <c:v>47.223270479613973</c:v>
                </c:pt>
                <c:pt idx="164">
                  <c:v>44.961990283305134</c:v>
                </c:pt>
                <c:pt idx="165">
                  <c:v>48.270452392663785</c:v>
                </c:pt>
                <c:pt idx="166">
                  <c:v>46.844582787078743</c:v>
                </c:pt>
                <c:pt idx="167">
                  <c:v>47.457151199711276</c:v>
                </c:pt>
                <c:pt idx="168">
                  <c:v>49.057203131658028</c:v>
                </c:pt>
                <c:pt idx="169">
                  <c:v>50.090149045260667</c:v>
                </c:pt>
                <c:pt idx="170">
                  <c:v>31.594611361379272</c:v>
                </c:pt>
                <c:pt idx="171">
                  <c:v>22.337699547610299</c:v>
                </c:pt>
                <c:pt idx="172">
                  <c:v>39.444871700752309</c:v>
                </c:pt>
                <c:pt idx="173">
                  <c:v>39.101659362762177</c:v>
                </c:pt>
                <c:pt idx="174">
                  <c:v>37.245292745405941</c:v>
                </c:pt>
                <c:pt idx="175">
                  <c:v>31.957095495589563</c:v>
                </c:pt>
                <c:pt idx="176">
                  <c:v>10.35477639195676</c:v>
                </c:pt>
                <c:pt idx="177">
                  <c:v>9.709018985793497</c:v>
                </c:pt>
                <c:pt idx="178">
                  <c:v>49.998214843709803</c:v>
                </c:pt>
                <c:pt idx="179">
                  <c:v>50.780942662173146</c:v>
                </c:pt>
                <c:pt idx="180">
                  <c:v>11.56424832285804</c:v>
                </c:pt>
                <c:pt idx="181">
                  <c:v>43.281331879441289</c:v>
                </c:pt>
                <c:pt idx="182">
                  <c:v>49.813338475889992</c:v>
                </c:pt>
                <c:pt idx="183">
                  <c:v>43.083356249640829</c:v>
                </c:pt>
                <c:pt idx="184">
                  <c:v>41.087517882730928</c:v>
                </c:pt>
                <c:pt idx="185">
                  <c:v>50.032341758460191</c:v>
                </c:pt>
                <c:pt idx="186">
                  <c:v>40.987844868839026</c:v>
                </c:pt>
                <c:pt idx="187">
                  <c:v>48.418864656607106</c:v>
                </c:pt>
                <c:pt idx="188">
                  <c:v>50.747295276370885</c:v>
                </c:pt>
                <c:pt idx="189">
                  <c:v>50.173110212279539</c:v>
                </c:pt>
                <c:pt idx="190">
                  <c:v>49.844913908070509</c:v>
                </c:pt>
                <c:pt idx="191">
                  <c:v>48.65950506022137</c:v>
                </c:pt>
                <c:pt idx="192">
                  <c:v>48.243003588312241</c:v>
                </c:pt>
                <c:pt idx="193">
                  <c:v>48.489054508047502</c:v>
                </c:pt>
                <c:pt idx="194">
                  <c:v>47.737139375683839</c:v>
                </c:pt>
                <c:pt idx="195">
                  <c:v>45.787622403878153</c:v>
                </c:pt>
                <c:pt idx="196">
                  <c:v>47.524248409213463</c:v>
                </c:pt>
                <c:pt idx="197">
                  <c:v>47.500323692153451</c:v>
                </c:pt>
                <c:pt idx="198">
                  <c:v>48.244870900044617</c:v>
                </c:pt>
                <c:pt idx="199">
                  <c:v>32.956596335285752</c:v>
                </c:pt>
                <c:pt idx="200">
                  <c:v>37.517763367654176</c:v>
                </c:pt>
                <c:pt idx="201">
                  <c:v>46.826465646689869</c:v>
                </c:pt>
                <c:pt idx="202">
                  <c:v>35.74117089177318</c:v>
                </c:pt>
                <c:pt idx="203">
                  <c:v>39.877030441352119</c:v>
                </c:pt>
                <c:pt idx="204">
                  <c:v>47.214917855909768</c:v>
                </c:pt>
                <c:pt idx="205">
                  <c:v>24.270379498820727</c:v>
                </c:pt>
                <c:pt idx="206">
                  <c:v>46.141476371591963</c:v>
                </c:pt>
                <c:pt idx="207">
                  <c:v>49.961183116447302</c:v>
                </c:pt>
                <c:pt idx="208">
                  <c:v>39.694204083868513</c:v>
                </c:pt>
                <c:pt idx="209">
                  <c:v>26.441444084525212</c:v>
                </c:pt>
                <c:pt idx="210">
                  <c:v>39.848321008521779</c:v>
                </c:pt>
                <c:pt idx="211">
                  <c:v>47.903029170730562</c:v>
                </c:pt>
                <c:pt idx="212">
                  <c:v>47.834838781806511</c:v>
                </c:pt>
                <c:pt idx="213">
                  <c:v>47.881167599989375</c:v>
                </c:pt>
                <c:pt idx="214">
                  <c:v>46.367292427351771</c:v>
                </c:pt>
                <c:pt idx="215">
                  <c:v>45.867343341597753</c:v>
                </c:pt>
                <c:pt idx="216">
                  <c:v>41.356594685399131</c:v>
                </c:pt>
                <c:pt idx="217">
                  <c:v>43.721835872754404</c:v>
                </c:pt>
                <c:pt idx="218">
                  <c:v>46.642562153553683</c:v>
                </c:pt>
                <c:pt idx="219">
                  <c:v>47.212795950077819</c:v>
                </c:pt>
                <c:pt idx="220">
                  <c:v>45.489812965921772</c:v>
                </c:pt>
                <c:pt idx="221">
                  <c:v>44.185760149239918</c:v>
                </c:pt>
                <c:pt idx="222">
                  <c:v>41.809150277647376</c:v>
                </c:pt>
                <c:pt idx="223">
                  <c:v>43.117856299219419</c:v>
                </c:pt>
                <c:pt idx="224">
                  <c:v>33.846096449585275</c:v>
                </c:pt>
                <c:pt idx="225">
                  <c:v>31.002026473101292</c:v>
                </c:pt>
                <c:pt idx="226">
                  <c:v>35.159226444549475</c:v>
                </c:pt>
                <c:pt idx="227">
                  <c:v>32.56179709005815</c:v>
                </c:pt>
                <c:pt idx="228">
                  <c:v>23.76954638675517</c:v>
                </c:pt>
                <c:pt idx="229">
                  <c:v>31.62544896473139</c:v>
                </c:pt>
                <c:pt idx="230">
                  <c:v>32.271958249025879</c:v>
                </c:pt>
                <c:pt idx="231">
                  <c:v>45.51939201240215</c:v>
                </c:pt>
                <c:pt idx="232">
                  <c:v>30.25055146401154</c:v>
                </c:pt>
                <c:pt idx="233">
                  <c:v>21.656515579003692</c:v>
                </c:pt>
                <c:pt idx="234">
                  <c:v>42.020975298386873</c:v>
                </c:pt>
                <c:pt idx="235">
                  <c:v>43.379825812651873</c:v>
                </c:pt>
                <c:pt idx="236">
                  <c:v>28.014340719544784</c:v>
                </c:pt>
                <c:pt idx="237">
                  <c:v>38.471348855374508</c:v>
                </c:pt>
                <c:pt idx="238">
                  <c:v>43.218828216194076</c:v>
                </c:pt>
                <c:pt idx="239">
                  <c:v>43.323243704891972</c:v>
                </c:pt>
                <c:pt idx="240">
                  <c:v>30.444447421776587</c:v>
                </c:pt>
                <c:pt idx="241">
                  <c:v>43.034970166610478</c:v>
                </c:pt>
                <c:pt idx="242">
                  <c:v>19.567346625989568</c:v>
                </c:pt>
                <c:pt idx="243">
                  <c:v>39.770806799296921</c:v>
                </c:pt>
                <c:pt idx="244">
                  <c:v>37.090236138340281</c:v>
                </c:pt>
                <c:pt idx="245">
                  <c:v>35.251207232649307</c:v>
                </c:pt>
                <c:pt idx="246">
                  <c:v>42.126970447549084</c:v>
                </c:pt>
                <c:pt idx="247">
                  <c:v>38.676345229921608</c:v>
                </c:pt>
                <c:pt idx="248">
                  <c:v>41.641812390672484</c:v>
                </c:pt>
                <c:pt idx="249">
                  <c:v>33.315340901188335</c:v>
                </c:pt>
                <c:pt idx="250">
                  <c:v>36.547051233893463</c:v>
                </c:pt>
                <c:pt idx="251">
                  <c:v>18.91158644876791</c:v>
                </c:pt>
                <c:pt idx="252">
                  <c:v>41.286066362173614</c:v>
                </c:pt>
                <c:pt idx="253">
                  <c:v>42.058186028176564</c:v>
                </c:pt>
                <c:pt idx="254">
                  <c:v>29.584924116789676</c:v>
                </c:pt>
                <c:pt idx="255">
                  <c:v>10.689495326177038</c:v>
                </c:pt>
                <c:pt idx="256">
                  <c:v>32.31406038565035</c:v>
                </c:pt>
                <c:pt idx="257">
                  <c:v>37.08556531536275</c:v>
                </c:pt>
                <c:pt idx="258">
                  <c:v>24.69915088667971</c:v>
                </c:pt>
                <c:pt idx="259">
                  <c:v>43.563922453345647</c:v>
                </c:pt>
                <c:pt idx="260">
                  <c:v>42.133731258366943</c:v>
                </c:pt>
                <c:pt idx="261">
                  <c:v>41.6127482749866</c:v>
                </c:pt>
                <c:pt idx="262">
                  <c:v>42.865703440343076</c:v>
                </c:pt>
                <c:pt idx="263">
                  <c:v>41.92274729426947</c:v>
                </c:pt>
                <c:pt idx="264">
                  <c:v>40.769061837218885</c:v>
                </c:pt>
                <c:pt idx="265">
                  <c:v>26.877350647037879</c:v>
                </c:pt>
                <c:pt idx="266">
                  <c:v>19.645129883412292</c:v>
                </c:pt>
                <c:pt idx="267">
                  <c:v>28.973807967523676</c:v>
                </c:pt>
                <c:pt idx="268">
                  <c:v>30.275296420385867</c:v>
                </c:pt>
                <c:pt idx="269">
                  <c:v>14.544958554328582</c:v>
                </c:pt>
                <c:pt idx="270">
                  <c:v>14.223796531134729</c:v>
                </c:pt>
                <c:pt idx="271">
                  <c:v>20.495477112030059</c:v>
                </c:pt>
                <c:pt idx="272">
                  <c:v>29.54607467412578</c:v>
                </c:pt>
                <c:pt idx="273">
                  <c:v>35.767751784635315</c:v>
                </c:pt>
                <c:pt idx="274">
                  <c:v>35.222296068528152</c:v>
                </c:pt>
                <c:pt idx="275">
                  <c:v>32.929431089589997</c:v>
                </c:pt>
                <c:pt idx="276">
                  <c:v>38.566368955060298</c:v>
                </c:pt>
                <c:pt idx="277">
                  <c:v>38.516363433312165</c:v>
                </c:pt>
                <c:pt idx="278">
                  <c:v>14.281872060599667</c:v>
                </c:pt>
                <c:pt idx="279">
                  <c:v>28.478051198621181</c:v>
                </c:pt>
                <c:pt idx="280">
                  <c:v>16.472492627551166</c:v>
                </c:pt>
                <c:pt idx="281">
                  <c:v>35.933467850463984</c:v>
                </c:pt>
                <c:pt idx="282">
                  <c:v>29.332314949995695</c:v>
                </c:pt>
                <c:pt idx="283">
                  <c:v>20.917072455473502</c:v>
                </c:pt>
                <c:pt idx="284">
                  <c:v>29.248243115860056</c:v>
                </c:pt>
                <c:pt idx="285">
                  <c:v>21.16749734420295</c:v>
                </c:pt>
                <c:pt idx="286">
                  <c:v>15.812495973539269</c:v>
                </c:pt>
                <c:pt idx="287">
                  <c:v>35.312853103994982</c:v>
                </c:pt>
                <c:pt idx="288">
                  <c:v>31.883086468332447</c:v>
                </c:pt>
                <c:pt idx="289">
                  <c:v>21.472884883921989</c:v>
                </c:pt>
                <c:pt idx="290">
                  <c:v>32.863050192519147</c:v>
                </c:pt>
                <c:pt idx="291">
                  <c:v>13.991491365675378</c:v>
                </c:pt>
                <c:pt idx="292">
                  <c:v>8.0252515475303863</c:v>
                </c:pt>
                <c:pt idx="293">
                  <c:v>14.668609195892937</c:v>
                </c:pt>
                <c:pt idx="294">
                  <c:v>31.644424750693894</c:v>
                </c:pt>
                <c:pt idx="295">
                  <c:v>18.024894516073182</c:v>
                </c:pt>
                <c:pt idx="296">
                  <c:v>24.046921014125843</c:v>
                </c:pt>
                <c:pt idx="297">
                  <c:v>21.238102326705551</c:v>
                </c:pt>
                <c:pt idx="298">
                  <c:v>11.872347357084983</c:v>
                </c:pt>
                <c:pt idx="299">
                  <c:v>13.0083719531751</c:v>
                </c:pt>
                <c:pt idx="300">
                  <c:v>16.387321069296291</c:v>
                </c:pt>
                <c:pt idx="301">
                  <c:v>24.474753309542155</c:v>
                </c:pt>
                <c:pt idx="302">
                  <c:v>20.042740906061759</c:v>
                </c:pt>
                <c:pt idx="303">
                  <c:v>20.722664621727439</c:v>
                </c:pt>
                <c:pt idx="304">
                  <c:v>22.330007008296338</c:v>
                </c:pt>
                <c:pt idx="305">
                  <c:v>27.984636979413388</c:v>
                </c:pt>
                <c:pt idx="306">
                  <c:v>9.7330334942436831</c:v>
                </c:pt>
                <c:pt idx="307">
                  <c:v>11.363743836512217</c:v>
                </c:pt>
                <c:pt idx="308">
                  <c:v>29.85899695007458</c:v>
                </c:pt>
                <c:pt idx="309">
                  <c:v>29.513652310233777</c:v>
                </c:pt>
                <c:pt idx="310">
                  <c:v>28.215021321735687</c:v>
                </c:pt>
                <c:pt idx="311">
                  <c:v>19.304293054124845</c:v>
                </c:pt>
                <c:pt idx="312">
                  <c:v>10.212415260269891</c:v>
                </c:pt>
                <c:pt idx="313">
                  <c:v>22.780499295235433</c:v>
                </c:pt>
                <c:pt idx="314">
                  <c:v>28.398635347061624</c:v>
                </c:pt>
                <c:pt idx="315">
                  <c:v>27.120983903737521</c:v>
                </c:pt>
                <c:pt idx="316">
                  <c:v>27.303877177077609</c:v>
                </c:pt>
                <c:pt idx="317">
                  <c:v>10.207246015210153</c:v>
                </c:pt>
                <c:pt idx="318">
                  <c:v>12.191874241418169</c:v>
                </c:pt>
                <c:pt idx="319">
                  <c:v>27.017735138694491</c:v>
                </c:pt>
                <c:pt idx="320">
                  <c:v>14.43844375863423</c:v>
                </c:pt>
                <c:pt idx="321">
                  <c:v>13.185112795616964</c:v>
                </c:pt>
                <c:pt idx="322">
                  <c:v>5.687426841828688</c:v>
                </c:pt>
                <c:pt idx="323">
                  <c:v>16.846913509385271</c:v>
                </c:pt>
                <c:pt idx="324">
                  <c:v>3.3629263995086203</c:v>
                </c:pt>
                <c:pt idx="325">
                  <c:v>7.4504149626563647</c:v>
                </c:pt>
                <c:pt idx="326">
                  <c:v>11.561249753643795</c:v>
                </c:pt>
                <c:pt idx="327">
                  <c:v>13.657640064530877</c:v>
                </c:pt>
                <c:pt idx="328">
                  <c:v>4.2011300565634899</c:v>
                </c:pt>
                <c:pt idx="329">
                  <c:v>13.032938003071548</c:v>
                </c:pt>
                <c:pt idx="330">
                  <c:v>13.883033627080826</c:v>
                </c:pt>
                <c:pt idx="331">
                  <c:v>8.9629557640035813</c:v>
                </c:pt>
                <c:pt idx="332">
                  <c:v>12.61178612961718</c:v>
                </c:pt>
                <c:pt idx="333">
                  <c:v>4.1023622675486129</c:v>
                </c:pt>
                <c:pt idx="334">
                  <c:v>3.3180691702105705</c:v>
                </c:pt>
                <c:pt idx="335">
                  <c:v>6.2668547302049298</c:v>
                </c:pt>
                <c:pt idx="336">
                  <c:v>7.0536837771112753</c:v>
                </c:pt>
                <c:pt idx="337">
                  <c:v>19.550451524642629</c:v>
                </c:pt>
                <c:pt idx="338">
                  <c:v>24.824852343487951</c:v>
                </c:pt>
                <c:pt idx="339">
                  <c:v>10.832608518952281</c:v>
                </c:pt>
                <c:pt idx="340">
                  <c:v>19.460989426604737</c:v>
                </c:pt>
                <c:pt idx="341">
                  <c:v>4.4635015200729811</c:v>
                </c:pt>
                <c:pt idx="342">
                  <c:v>5.4350711793507527</c:v>
                </c:pt>
                <c:pt idx="343">
                  <c:v>13.542445509765056</c:v>
                </c:pt>
                <c:pt idx="344">
                  <c:v>16.510968418235688</c:v>
                </c:pt>
                <c:pt idx="345">
                  <c:v>4.8758881189339363</c:v>
                </c:pt>
                <c:pt idx="346">
                  <c:v>5.34599273253232</c:v>
                </c:pt>
                <c:pt idx="347">
                  <c:v>16.425294187902765</c:v>
                </c:pt>
                <c:pt idx="348">
                  <c:v>6.8794444124481329</c:v>
                </c:pt>
                <c:pt idx="349">
                  <c:v>4.6733241083931354</c:v>
                </c:pt>
                <c:pt idx="350">
                  <c:v>2.613995481151735</c:v>
                </c:pt>
                <c:pt idx="351">
                  <c:v>20.608230627552796</c:v>
                </c:pt>
                <c:pt idx="352">
                  <c:v>17.444788787580183</c:v>
                </c:pt>
                <c:pt idx="353">
                  <c:v>4.2502123310226159</c:v>
                </c:pt>
                <c:pt idx="354">
                  <c:v>21.480276267722878</c:v>
                </c:pt>
                <c:pt idx="355">
                  <c:v>16.610953825931695</c:v>
                </c:pt>
                <c:pt idx="356">
                  <c:v>17.135223137893558</c:v>
                </c:pt>
                <c:pt idx="357">
                  <c:v>22.460035759102947</c:v>
                </c:pt>
                <c:pt idx="358">
                  <c:v>13.156788505554758</c:v>
                </c:pt>
                <c:pt idx="359">
                  <c:v>21.721689626917449</c:v>
                </c:pt>
                <c:pt idx="360">
                  <c:v>5.8995700206879489</c:v>
                </c:pt>
                <c:pt idx="361">
                  <c:v>23.000027965629982</c:v>
                </c:pt>
                <c:pt idx="362">
                  <c:v>10.015304181878417</c:v>
                </c:pt>
                <c:pt idx="363">
                  <c:v>14.384924617361472</c:v>
                </c:pt>
                <c:pt idx="364">
                  <c:v>10.878838325930985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34728"/>
        <c:axId val="644435120"/>
      </c:lineChart>
      <c:dateAx>
        <c:axId val="644434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5120"/>
        <c:crosses val="autoZero"/>
        <c:auto val="1"/>
        <c:lblOffset val="100"/>
        <c:baseTimeUnit val="days"/>
        <c:majorUnit val="1"/>
        <c:majorTimeUnit val="months"/>
      </c:dateAx>
      <c:valAx>
        <c:axId val="6444351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47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Aureville</c:v>
            </c:pt>
          </c:strCache>
        </c:strRef>
      </c:tx>
      <c:layout>
        <c:manualLayout>
          <c:xMode val="edge"/>
          <c:yMode val="edge"/>
          <c:x val="3.7141021137319749E-2"/>
          <c:y val="5.17127104842445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Masques!$P$48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Masques!$P$49:$P$70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-1.2429377696884656</c:v>
                </c:pt>
                <c:pt idx="3">
                  <c:v>-3.306173167150432</c:v>
                </c:pt>
                <c:pt idx="4">
                  <c:v>-0.76127662752435143</c:v>
                </c:pt>
                <c:pt idx="5">
                  <c:v>3.5140868431875494</c:v>
                </c:pt>
                <c:pt idx="6">
                  <c:v>2.9041259410057814</c:v>
                </c:pt>
                <c:pt idx="7">
                  <c:v>3.3015223833880096</c:v>
                </c:pt>
                <c:pt idx="8">
                  <c:v>8.9553661987281092</c:v>
                </c:pt>
                <c:pt idx="9">
                  <c:v>7.9155197569860212</c:v>
                </c:pt>
                <c:pt idx="10">
                  <c:v>6.2578163232642741</c:v>
                </c:pt>
                <c:pt idx="11">
                  <c:v>7.8577818627086105</c:v>
                </c:pt>
                <c:pt idx="12">
                  <c:v>5.0643334581523254</c:v>
                </c:pt>
                <c:pt idx="13">
                  <c:v>6.43173204058417</c:v>
                </c:pt>
                <c:pt idx="14">
                  <c:v>3.0502776029197713</c:v>
                </c:pt>
                <c:pt idx="15">
                  <c:v>3.8346591126693546</c:v>
                </c:pt>
                <c:pt idx="16">
                  <c:v>17.148460729111125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Masques!$Q$48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Masques!$Q$49:$Q$70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0.5297498807539196</c:v>
                </c:pt>
                <c:pt idx="3">
                  <c:v>-3.306173167150432</c:v>
                </c:pt>
                <c:pt idx="4">
                  <c:v>0.71890462307338099</c:v>
                </c:pt>
                <c:pt idx="5">
                  <c:v>4.6669432002478732</c:v>
                </c:pt>
                <c:pt idx="6">
                  <c:v>3.9184830686205552</c:v>
                </c:pt>
                <c:pt idx="7">
                  <c:v>3.5947670563958378</c:v>
                </c:pt>
                <c:pt idx="8">
                  <c:v>9.1622462944338121</c:v>
                </c:pt>
                <c:pt idx="9">
                  <c:v>8.1621388620267652</c:v>
                </c:pt>
                <c:pt idx="10">
                  <c:v>6.5128156455153032</c:v>
                </c:pt>
                <c:pt idx="11">
                  <c:v>8.1363242303306205</c:v>
                </c:pt>
                <c:pt idx="12">
                  <c:v>5.5085214366535569</c:v>
                </c:pt>
                <c:pt idx="13">
                  <c:v>7.0563160897321611</c:v>
                </c:pt>
                <c:pt idx="14">
                  <c:v>3.4472804723209003</c:v>
                </c:pt>
                <c:pt idx="15">
                  <c:v>8.0351484194693761</c:v>
                </c:pt>
                <c:pt idx="16">
                  <c:v>19.580178920202783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Masques!$R$48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Masques!$R$49:$R$70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-0.85070835461390082</c:v>
                </c:pt>
                <c:pt idx="2">
                  <c:v>2.3014242135928979</c:v>
                </c:pt>
                <c:pt idx="3">
                  <c:v>-3.306173167150432</c:v>
                </c:pt>
                <c:pt idx="4">
                  <c:v>2.1981270679199549</c:v>
                </c:pt>
                <c:pt idx="5">
                  <c:v>5.8160251654012596</c:v>
                </c:pt>
                <c:pt idx="6">
                  <c:v>4.9303862495148376</c:v>
                </c:pt>
                <c:pt idx="7">
                  <c:v>3.8878232763662468</c:v>
                </c:pt>
                <c:pt idx="8">
                  <c:v>9.3688857096959328</c:v>
                </c:pt>
                <c:pt idx="9">
                  <c:v>8.408453839782835</c:v>
                </c:pt>
                <c:pt idx="10">
                  <c:v>6.7675561084731672</c:v>
                </c:pt>
                <c:pt idx="11">
                  <c:v>8.4144799444983125</c:v>
                </c:pt>
                <c:pt idx="12">
                  <c:v>5.952046226973164</c:v>
                </c:pt>
                <c:pt idx="13">
                  <c:v>7.6792191668987844</c:v>
                </c:pt>
                <c:pt idx="14">
                  <c:v>3.843952207704354</c:v>
                </c:pt>
                <c:pt idx="15">
                  <c:v>12.150603418462989</c:v>
                </c:pt>
                <c:pt idx="16">
                  <c:v>21.940669791028864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Masques!$S$48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Masques!$S$49:$S$70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2.2915339970628024</c:v>
                </c:pt>
                <c:pt idx="2">
                  <c:v>4.0687075098763392</c:v>
                </c:pt>
                <c:pt idx="3">
                  <c:v>-0.20101651564224909</c:v>
                </c:pt>
                <c:pt idx="4">
                  <c:v>3.6744242717650737</c:v>
                </c:pt>
                <c:pt idx="5">
                  <c:v>6.9604321502625579</c:v>
                </c:pt>
                <c:pt idx="6">
                  <c:v>5.9392158029090885</c:v>
                </c:pt>
                <c:pt idx="7">
                  <c:v>4.1806759071069806</c:v>
                </c:pt>
                <c:pt idx="8">
                  <c:v>9.5752794982161635</c:v>
                </c:pt>
                <c:pt idx="9">
                  <c:v>8.6544561651056533</c:v>
                </c:pt>
                <c:pt idx="10">
                  <c:v>7.0220280506811514</c:v>
                </c:pt>
                <c:pt idx="11">
                  <c:v>8.6922367262256799</c:v>
                </c:pt>
                <c:pt idx="12">
                  <c:v>6.3948562841252219</c:v>
                </c:pt>
                <c:pt idx="13">
                  <c:v>8.3003014293219071</c:v>
                </c:pt>
                <c:pt idx="14">
                  <c:v>4.2402552485420104</c:v>
                </c:pt>
                <c:pt idx="15">
                  <c:v>16.142786009649384</c:v>
                </c:pt>
                <c:pt idx="16">
                  <c:v>24.225370209281802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Masques!$T$48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Masques!$T$49:$T$70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5.4200584256745525</c:v>
                </c:pt>
                <c:pt idx="2">
                  <c:v>5.8282720678036588</c:v>
                </c:pt>
                <c:pt idx="3">
                  <c:v>4.258253743357332</c:v>
                </c:pt>
                <c:pt idx="4">
                  <c:v>5.1458530645571781</c:v>
                </c:pt>
                <c:pt idx="5">
                  <c:v>8.0992857768196558</c:v>
                </c:pt>
                <c:pt idx="6">
                  <c:v>6.9443634206264671</c:v>
                </c:pt>
                <c:pt idx="7">
                  <c:v>4.473309875994441</c:v>
                </c:pt>
                <c:pt idx="8">
                  <c:v>9.7814227509454632</c:v>
                </c:pt>
                <c:pt idx="9">
                  <c:v>8.9001373805808655</c:v>
                </c:pt>
                <c:pt idx="10">
                  <c:v>7.2762218734110498</c:v>
                </c:pt>
                <c:pt idx="11">
                  <c:v>8.9695824067180503</c:v>
                </c:pt>
                <c:pt idx="12">
                  <c:v>6.8369005705640733</c:v>
                </c:pt>
                <c:pt idx="13">
                  <c:v>8.919425561449934</c:v>
                </c:pt>
                <c:pt idx="14">
                  <c:v>4.6361522451820907</c:v>
                </c:pt>
                <c:pt idx="15">
                  <c:v>19.980418102763387</c:v>
                </c:pt>
                <c:pt idx="16">
                  <c:v>26.430965501225863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Masques!$U$48</c:f>
              <c:strCache>
                <c:ptCount val="1"/>
                <c:pt idx="0">
                  <c:v>0,00m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Masques!$U$49:$U$70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8.5165300307350549</c:v>
                </c:pt>
                <c:pt idx="2">
                  <c:v>7.5768772100888402</c:v>
                </c:pt>
                <c:pt idx="3">
                  <c:v>8.6665342510555572</c:v>
                </c:pt>
                <c:pt idx="4">
                  <c:v>6.610508690823294</c:v>
                </c:pt>
                <c:pt idx="5">
                  <c:v>9.2317336967595711</c:v>
                </c:pt>
                <c:pt idx="6">
                  <c:v>7.9452342810500545</c:v>
                </c:pt>
                <c:pt idx="7">
                  <c:v>4.7657101785319922</c:v>
                </c:pt>
                <c:pt idx="8">
                  <c:v>9.9873105966891735</c:v>
                </c:pt>
                <c:pt idx="9">
                  <c:v>9.1454890980882055</c:v>
                </c:pt>
                <c:pt idx="10">
                  <c:v>7.5301280426944439</c:v>
                </c:pt>
                <c:pt idx="11">
                  <c:v>9.2465049302300404</c:v>
                </c:pt>
                <c:pt idx="12">
                  <c:v>7.2781285896789738</c:v>
                </c:pt>
                <c:pt idx="13">
                  <c:v>9.5364569405200825</c:v>
                </c:pt>
                <c:pt idx="14">
                  <c:v>5.0316060795292854</c:v>
                </c:pt>
                <c:pt idx="15">
                  <c:v>23.640060919050594</c:v>
                </c:pt>
                <c:pt idx="16">
                  <c:v>28.555301252061604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Masques!$V$48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Masques!$V$49:$V$70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11.563728053983908</c:v>
                </c:pt>
                <c:pt idx="2">
                  <c:v>9.3114038662676393</c:v>
                </c:pt>
                <c:pt idx="3">
                  <c:v>12.973979684979001</c:v>
                </c:pt>
                <c:pt idx="4">
                  <c:v>8.0665392078872653</c:v>
                </c:pt>
                <c:pt idx="5">
                  <c:v>10.356953112563019</c:v>
                </c:pt>
                <c:pt idx="6">
                  <c:v>8.9412490415770165</c:v>
                </c:pt>
                <c:pt idx="7">
                  <c:v>5.0578618828555637</c:v>
                </c:pt>
                <c:pt idx="8">
                  <c:v>10.192938202698388</c:v>
                </c:pt>
                <c:pt idx="9">
                  <c:v>9.3905030003251593</c:v>
                </c:pt>
                <c:pt idx="10">
                  <c:v>7.78373709131706</c:v>
                </c:pt>
                <c:pt idx="11">
                  <c:v>9.5229923568483699</c:v>
                </c:pt>
                <c:pt idx="12">
                  <c:v>7.7184904183501182</c:v>
                </c:pt>
                <c:pt idx="13">
                  <c:v>10.151263793157824</c:v>
                </c:pt>
                <c:pt idx="14">
                  <c:v>5.4265798853972802</c:v>
                </c:pt>
                <c:pt idx="15">
                  <c:v>27.106140153427113</c:v>
                </c:pt>
                <c:pt idx="16">
                  <c:v>30.597270283857156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Masques!$W$48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Masques!$W$49:$W$70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14.546078373684997</c:v>
                </c:pt>
                <c:pt idx="2">
                  <c:v>11.028885843968789</c:v>
                </c:pt>
                <c:pt idx="3">
                  <c:v>17.137460379281482</c:v>
                </c:pt>
                <c:pt idx="4">
                  <c:v>9.5121588690676244</c:v>
                </c:pt>
                <c:pt idx="5">
                  <c:v>11.474153967945229</c:v>
                </c:pt>
                <c:pt idx="6">
                  <c:v>9.931845694058886</c:v>
                </c:pt>
                <c:pt idx="7">
                  <c:v>5.3497501341833118</c:v>
                </c:pt>
                <c:pt idx="8">
                  <c:v>10.398300775247481</c:v>
                </c:pt>
                <c:pt idx="9">
                  <c:v>9.6351708422938955</c:v>
                </c:pt>
                <c:pt idx="10">
                  <c:v>8.0370396207752961</c:v>
                </c:pt>
                <c:pt idx="11">
                  <c:v>9.799032865198166</c:v>
                </c:pt>
                <c:pt idx="12">
                  <c:v>8.1579367385175114</c:v>
                </c:pt>
                <c:pt idx="13">
                  <c:v>10.763717342616772</c:v>
                </c:pt>
                <c:pt idx="14">
                  <c:v>5.8210370685065502</c:v>
                </c:pt>
                <c:pt idx="15">
                  <c:v>30.370303332353703</c:v>
                </c:pt>
                <c:pt idx="16">
                  <c:v>32.556685084238531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Masques!$X$48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Masques!$X$49:$X$70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17.450054352917732</c:v>
                </c:pt>
                <c:pt idx="2">
                  <c:v>12.726537067985547</c:v>
                </c:pt>
                <c:pt idx="3">
                  <c:v>21.122648466238154</c:v>
                </c:pt>
                <c:pt idx="4">
                  <c:v>10.945660263845165</c:v>
                </c:pt>
                <c:pt idx="5">
                  <c:v>12.582581781900826</c:v>
                </c:pt>
                <c:pt idx="6">
                  <c:v>10.916481269927862</c:v>
                </c:pt>
                <c:pt idx="7">
                  <c:v>5.641360159206072</c:v>
                </c:pt>
                <c:pt idx="8">
                  <c:v>10.603393560197643</c:v>
                </c:pt>
                <c:pt idx="9">
                  <c:v>9.8794844527509227</c:v>
                </c:pt>
                <c:pt idx="10">
                  <c:v>8.2900263031939652</c:v>
                </c:pt>
                <c:pt idx="11">
                  <c:v>10.074614755071547</c:v>
                </c:pt>
                <c:pt idx="12">
                  <c:v>8.5964188677172331</c:v>
                </c:pt>
                <c:pt idx="13">
                  <c:v>11.373691946333544</c:v>
                </c:pt>
                <c:pt idx="14">
                  <c:v>6.2149413261012443</c:v>
                </c:pt>
                <c:pt idx="15">
                  <c:v>33.430356059247728</c:v>
                </c:pt>
                <c:pt idx="16">
                  <c:v>34.434144564197112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Masques!$Y$48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Masques!$Y$49:$Y$70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20.264427405920163</c:v>
                </c:pt>
                <c:pt idx="2">
                  <c:v>14.401774258249144</c:v>
                </c:pt>
                <c:pt idx="3">
                  <c:v>24.904886214676072</c:v>
                </c:pt>
                <c:pt idx="4">
                  <c:v>12.36542502954523</c:v>
                </c:pt>
                <c:pt idx="5">
                  <c:v>13.68152010753743</c:v>
                </c:pt>
                <c:pt idx="6">
                  <c:v>11.894633384066815</c:v>
                </c:pt>
                <c:pt idx="7">
                  <c:v>5.9326772704155246</c:v>
                </c:pt>
                <c:pt idx="8">
                  <c:v>10.808211843546305</c:v>
                </c:pt>
                <c:pt idx="9">
                  <c:v>10.123435735618976</c:v>
                </c:pt>
                <c:pt idx="10">
                  <c:v>8.5426878832044153</c:v>
                </c:pt>
                <c:pt idx="11">
                  <c:v>10.34972644997737</c:v>
                </c:pt>
                <c:pt idx="12">
                  <c:v>9.0338887885428516</c:v>
                </c:pt>
                <c:pt idx="13">
                  <c:v>11.981065223527819</c:v>
                </c:pt>
                <c:pt idx="14">
                  <c:v>6.6082566661599413</c:v>
                </c:pt>
                <c:pt idx="15">
                  <c:v>36.289014083663488</c:v>
                </c:pt>
                <c:pt idx="16">
                  <c:v>36.230902258032792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Masques!$Z$48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Masques!$Z$49:$Z$70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22.980367536275452</c:v>
                </c:pt>
                <c:pt idx="2">
                  <c:v>16.052234723306679</c:v>
                </c:pt>
                <c:pt idx="3">
                  <c:v>28.468953854249847</c:v>
                </c:pt>
                <c:pt idx="4">
                  <c:v>13.769932996059271</c:v>
                </c:pt>
                <c:pt idx="5">
                  <c:v>14.770292603850663</c:v>
                </c:pt>
                <c:pt idx="6">
                  <c:v>12.86580160892783</c:v>
                </c:pt>
                <c:pt idx="7">
                  <c:v>6.2236868703669792</c:v>
                </c:pt>
                <c:pt idx="8">
                  <c:v>11.012750951962373</c:v>
                </c:pt>
                <c:pt idx="9">
                  <c:v>10.367016671360629</c:v>
                </c:pt>
                <c:pt idx="10">
                  <c:v>8.7950151797821938</c:v>
                </c:pt>
                <c:pt idx="11">
                  <c:v>10.624356499611052</c:v>
                </c:pt>
                <c:pt idx="12">
                  <c:v>9.4702991769930662</c:v>
                </c:pt>
                <c:pt idx="13">
                  <c:v>12.585718172633785</c:v>
                </c:pt>
                <c:pt idx="14">
                  <c:v>7.0009474261761024</c:v>
                </c:pt>
                <c:pt idx="15">
                  <c:v>38.952656186642685</c:v>
                </c:pt>
                <c:pt idx="16">
                  <c:v>37.9487412305728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Masques!$I$7</c:f>
              <c:numCache>
                <c:formatCode>0.0</c:formatCode>
                <c:ptCount val="1"/>
                <c:pt idx="0">
                  <c:v>20</c:v>
                </c:pt>
              </c:numCache>
            </c:numRef>
          </c:xVal>
          <c:yVal>
            <c:numRef>
              <c:f>Masques!$J$7</c:f>
              <c:numCache>
                <c:formatCode>0.0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285800"/>
        <c:axId val="640286192"/>
      </c:scatterChart>
      <c:valAx>
        <c:axId val="64028580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640286192"/>
        <c:crosses val="autoZero"/>
        <c:crossBetween val="midCat"/>
        <c:majorUnit val="30"/>
      </c:valAx>
      <c:valAx>
        <c:axId val="640286192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580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795875352362E-2"/>
          <c:y val="0.95476619502258608"/>
          <c:w val="0.95223062840757544"/>
          <c:h val="4.33322874488886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6.6565351864263378E-2</c:v>
                </c:pt>
                <c:pt idx="1">
                  <c:v>6.6585796478654369E-2</c:v>
                </c:pt>
                <c:pt idx="2">
                  <c:v>6.6606240645255888E-2</c:v>
                </c:pt>
                <c:pt idx="3">
                  <c:v>6.6626684364077704E-2</c:v>
                </c:pt>
                <c:pt idx="4">
                  <c:v>6.6647127635129588E-2</c:v>
                </c:pt>
                <c:pt idx="5">
                  <c:v>6.6667570458421421E-2</c:v>
                </c:pt>
                <c:pt idx="6">
                  <c:v>6.6688012833962862E-2</c:v>
                </c:pt>
                <c:pt idx="7">
                  <c:v>6.6708454761763902E-2</c:v>
                </c:pt>
                <c:pt idx="8">
                  <c:v>6.6728896241834201E-2</c:v>
                </c:pt>
                <c:pt idx="9">
                  <c:v>6.6749337274183751E-2</c:v>
                </c:pt>
                <c:pt idx="10">
                  <c:v>6.6769777858822099E-2</c:v>
                </c:pt>
                <c:pt idx="11">
                  <c:v>6.6790217995759238E-2</c:v>
                </c:pt>
                <c:pt idx="12">
                  <c:v>6.6810657685004826E-2</c:v>
                </c:pt>
                <c:pt idx="13">
                  <c:v>6.6831096926568856E-2</c:v>
                </c:pt>
                <c:pt idx="14">
                  <c:v>6.6851535720461097E-2</c:v>
                </c:pt>
                <c:pt idx="15">
                  <c:v>6.6871974066691209E-2</c:v>
                </c:pt>
                <c:pt idx="16">
                  <c:v>6.6892411965269072E-2</c:v>
                </c:pt>
                <c:pt idx="17">
                  <c:v>6.6912849416204456E-2</c:v>
                </c:pt>
                <c:pt idx="18">
                  <c:v>6.6933286419507354E-2</c:v>
                </c:pt>
                <c:pt idx="19">
                  <c:v>6.6953722975187313E-2</c:v>
                </c:pt>
                <c:pt idx="20">
                  <c:v>6.6974159083254325E-2</c:v>
                </c:pt>
                <c:pt idx="21">
                  <c:v>6.6994594743718161E-2</c:v>
                </c:pt>
                <c:pt idx="22">
                  <c:v>6.7015029956588479E-2</c:v>
                </c:pt>
                <c:pt idx="23">
                  <c:v>6.7035464721875271E-2</c:v>
                </c:pt>
                <c:pt idx="24">
                  <c:v>6.7055899039588196E-2</c:v>
                </c:pt>
                <c:pt idx="25">
                  <c:v>6.7076332909737135E-2</c:v>
                </c:pt>
                <c:pt idx="26">
                  <c:v>6.7096766332331859E-2</c:v>
                </c:pt>
                <c:pt idx="27">
                  <c:v>6.7117199307382247E-2</c:v>
                </c:pt>
                <c:pt idx="28">
                  <c:v>6.7137631834897959E-2</c:v>
                </c:pt>
                <c:pt idx="29">
                  <c:v>6.7158063914888988E-2</c:v>
                </c:pt>
                <c:pt idx="30">
                  <c:v>6.7178495547364991E-2</c:v>
                </c:pt>
                <c:pt idx="31">
                  <c:v>6.719892673233574E-2</c:v>
                </c:pt>
                <c:pt idx="32">
                  <c:v>6.7219357469811225E-2</c:v>
                </c:pt>
                <c:pt idx="33">
                  <c:v>6.7239787759800995E-2</c:v>
                </c:pt>
                <c:pt idx="34">
                  <c:v>6.7260217602315042E-2</c:v>
                </c:pt>
                <c:pt idx="35">
                  <c:v>6.7280646997363136E-2</c:v>
                </c:pt>
                <c:pt idx="36">
                  <c:v>6.7301075944954936E-2</c:v>
                </c:pt>
                <c:pt idx="37">
                  <c:v>6.7321504445100433E-2</c:v>
                </c:pt>
                <c:pt idx="38">
                  <c:v>6.7341932497809398E-2</c:v>
                </c:pt>
                <c:pt idx="39">
                  <c:v>6.736236010309149E-2</c:v>
                </c:pt>
                <c:pt idx="40">
                  <c:v>6.73827872609567E-2</c:v>
                </c:pt>
                <c:pt idx="41">
                  <c:v>6.7403213971414577E-2</c:v>
                </c:pt>
                <c:pt idx="42">
                  <c:v>6.7423640234475224E-2</c:v>
                </c:pt>
                <c:pt idx="43">
                  <c:v>6.7444066050148188E-2</c:v>
                </c:pt>
                <c:pt idx="44">
                  <c:v>6.7464491418443462E-2</c:v>
                </c:pt>
                <c:pt idx="45">
                  <c:v>6.7484916339370704E-2</c:v>
                </c:pt>
                <c:pt idx="46">
                  <c:v>6.7505340812939685E-2</c:v>
                </c:pt>
                <c:pt idx="47">
                  <c:v>6.7525764839160396E-2</c:v>
                </c:pt>
                <c:pt idx="48">
                  <c:v>6.7546188418042385E-2</c:v>
                </c:pt>
                <c:pt idx="49">
                  <c:v>6.7566611549595645E-2</c:v>
                </c:pt>
                <c:pt idx="50">
                  <c:v>6.7587034233829946E-2</c:v>
                </c:pt>
                <c:pt idx="51">
                  <c:v>6.7607456470755056E-2</c:v>
                </c:pt>
                <c:pt idx="52">
                  <c:v>6.7627878260380636E-2</c:v>
                </c:pt>
                <c:pt idx="53">
                  <c:v>6.7648299602716788E-2</c:v>
                </c:pt>
                <c:pt idx="54">
                  <c:v>6.7668720497773061E-2</c:v>
                </c:pt>
                <c:pt idx="55">
                  <c:v>6.7689140945559223E-2</c:v>
                </c:pt>
                <c:pt idx="56">
                  <c:v>6.7709560946085268E-2</c:v>
                </c:pt>
                <c:pt idx="57">
                  <c:v>6.7729980499360964E-2</c:v>
                </c:pt>
                <c:pt idx="58">
                  <c:v>6.7750399605395972E-2</c:v>
                </c:pt>
                <c:pt idx="59">
                  <c:v>6.7770818264200061E-2</c:v>
                </c:pt>
                <c:pt idx="60">
                  <c:v>6.7791236475783223E-2</c:v>
                </c:pt>
                <c:pt idx="61">
                  <c:v>6.7811654240155117E-2</c:v>
                </c:pt>
                <c:pt idx="62">
                  <c:v>6.7832071557325624E-2</c:v>
                </c:pt>
                <c:pt idx="63">
                  <c:v>6.7852488427304403E-2</c:v>
                </c:pt>
                <c:pt idx="64">
                  <c:v>6.7872904850101445E-2</c:v>
                </c:pt>
                <c:pt idx="65">
                  <c:v>6.78933208257263E-2</c:v>
                </c:pt>
                <c:pt idx="66">
                  <c:v>6.7913736354188958E-2</c:v>
                </c:pt>
                <c:pt idx="67">
                  <c:v>6.793415143549919E-2</c:v>
                </c:pt>
                <c:pt idx="68">
                  <c:v>6.7954566069666655E-2</c:v>
                </c:pt>
                <c:pt idx="69">
                  <c:v>6.7974980256701234E-2</c:v>
                </c:pt>
                <c:pt idx="70">
                  <c:v>6.7995393996612807E-2</c:v>
                </c:pt>
                <c:pt idx="71">
                  <c:v>6.8015807289411034E-2</c:v>
                </c:pt>
                <c:pt idx="72">
                  <c:v>6.8036220135105796E-2</c:v>
                </c:pt>
                <c:pt idx="73">
                  <c:v>6.8056632533706862E-2</c:v>
                </c:pt>
                <c:pt idx="74">
                  <c:v>6.8077044485223892E-2</c:v>
                </c:pt>
                <c:pt idx="75">
                  <c:v>6.8097455989666877E-2</c:v>
                </c:pt>
                <c:pt idx="76">
                  <c:v>6.8117867047045588E-2</c:v>
                </c:pt>
                <c:pt idx="77">
                  <c:v>6.8138277657369684E-2</c:v>
                </c:pt>
                <c:pt idx="78">
                  <c:v>6.8158687820649044E-2</c:v>
                </c:pt>
                <c:pt idx="79">
                  <c:v>6.817909753689344E-2</c:v>
                </c:pt>
                <c:pt idx="80">
                  <c:v>6.8199506806112753E-2</c:v>
                </c:pt>
                <c:pt idx="81">
                  <c:v>6.8219915628316641E-2</c:v>
                </c:pt>
                <c:pt idx="82">
                  <c:v>6.8240324003514874E-2</c:v>
                </c:pt>
                <c:pt idx="83">
                  <c:v>6.8260731931717333E-2</c:v>
                </c:pt>
                <c:pt idx="84">
                  <c:v>6.82811394129339E-2</c:v>
                </c:pt>
                <c:pt idx="85">
                  <c:v>6.8301546447174122E-2</c:v>
                </c:pt>
                <c:pt idx="86">
                  <c:v>6.8321953034447991E-2</c:v>
                </c:pt>
                <c:pt idx="87">
                  <c:v>6.8342359174765277E-2</c:v>
                </c:pt>
                <c:pt idx="88">
                  <c:v>6.8362764868135639E-2</c:v>
                </c:pt>
                <c:pt idx="89">
                  <c:v>6.8383170114568959E-2</c:v>
                </c:pt>
                <c:pt idx="90">
                  <c:v>6.8403574914075005E-2</c:v>
                </c:pt>
                <c:pt idx="91">
                  <c:v>6.8423979266663548E-2</c:v>
                </c:pt>
                <c:pt idx="92">
                  <c:v>6.844438317234447E-2</c:v>
                </c:pt>
                <c:pt idx="93">
                  <c:v>6.8464786631127428E-2</c:v>
                </c:pt>
                <c:pt idx="94">
                  <c:v>6.8485189643022304E-2</c:v>
                </c:pt>
                <c:pt idx="95">
                  <c:v>6.8505592208038868E-2</c:v>
                </c:pt>
                <c:pt idx="96">
                  <c:v>6.852599432618689E-2</c:v>
                </c:pt>
                <c:pt idx="97">
                  <c:v>6.8546395997476139E-2</c:v>
                </c:pt>
                <c:pt idx="98">
                  <c:v>6.8566797221916498E-2</c:v>
                </c:pt>
                <c:pt idx="99">
                  <c:v>6.8587197999517624E-2</c:v>
                </c:pt>
                <c:pt idx="100">
                  <c:v>6.8607598330289399E-2</c:v>
                </c:pt>
                <c:pt idx="101">
                  <c:v>6.8627998214241592E-2</c:v>
                </c:pt>
                <c:pt idx="102">
                  <c:v>6.8648397651383863E-2</c:v>
                </c:pt>
                <c:pt idx="103">
                  <c:v>6.8668796641726204E-2</c:v>
                </c:pt>
                <c:pt idx="104">
                  <c:v>6.8689195185278273E-2</c:v>
                </c:pt>
                <c:pt idx="105">
                  <c:v>6.8709593282049841E-2</c:v>
                </c:pt>
                <c:pt idx="106">
                  <c:v>6.8729990932050788E-2</c:v>
                </c:pt>
                <c:pt idx="107">
                  <c:v>6.8750388135290885E-2</c:v>
                </c:pt>
                <c:pt idx="108">
                  <c:v>6.8770784891779901E-2</c:v>
                </c:pt>
                <c:pt idx="109">
                  <c:v>6.8791181201527496E-2</c:v>
                </c:pt>
                <c:pt idx="110">
                  <c:v>6.8811577064543661E-2</c:v>
                </c:pt>
                <c:pt idx="111">
                  <c:v>6.8831972480838055E-2</c:v>
                </c:pt>
                <c:pt idx="112">
                  <c:v>6.8852367450420449E-2</c:v>
                </c:pt>
                <c:pt idx="113">
                  <c:v>6.8872761973300611E-2</c:v>
                </c:pt>
                <c:pt idx="114">
                  <c:v>6.8893156049488535E-2</c:v>
                </c:pt>
                <c:pt idx="115">
                  <c:v>6.8913549678993768E-2</c:v>
                </c:pt>
                <c:pt idx="116">
                  <c:v>6.8933942861826192E-2</c:v>
                </c:pt>
                <c:pt idx="117">
                  <c:v>6.8954335597995575E-2</c:v>
                </c:pt>
                <c:pt idx="118">
                  <c:v>6.8974727887511689E-2</c:v>
                </c:pt>
                <c:pt idx="119">
                  <c:v>6.8995119730384302E-2</c:v>
                </c:pt>
                <c:pt idx="120">
                  <c:v>6.9015511126623186E-2</c:v>
                </c:pt>
                <c:pt idx="121">
                  <c:v>6.903590207623822E-2</c:v>
                </c:pt>
                <c:pt idx="122">
                  <c:v>6.9056292579239176E-2</c:v>
                </c:pt>
                <c:pt idx="123">
                  <c:v>6.9076682635635711E-2</c:v>
                </c:pt>
                <c:pt idx="124">
                  <c:v>6.9097072245437707E-2</c:v>
                </c:pt>
                <c:pt idx="125">
                  <c:v>6.9117461408654934E-2</c:v>
                </c:pt>
                <c:pt idx="126">
                  <c:v>6.9137850125297162E-2</c:v>
                </c:pt>
                <c:pt idx="127">
                  <c:v>6.9158238395374161E-2</c:v>
                </c:pt>
                <c:pt idx="128">
                  <c:v>6.91786262188957E-2</c:v>
                </c:pt>
                <c:pt idx="129">
                  <c:v>6.919901359587155E-2</c:v>
                </c:pt>
                <c:pt idx="130">
                  <c:v>6.9219400526311592E-2</c:v>
                </c:pt>
                <c:pt idx="131">
                  <c:v>6.9239787010225484E-2</c:v>
                </c:pt>
                <c:pt idx="132">
                  <c:v>6.9260173047623108E-2</c:v>
                </c:pt>
                <c:pt idx="133">
                  <c:v>6.9280558638514123E-2</c:v>
                </c:pt>
                <c:pt idx="134">
                  <c:v>6.9300943782908409E-2</c:v>
                </c:pt>
                <c:pt idx="135">
                  <c:v>6.9321328480815736E-2</c:v>
                </c:pt>
                <c:pt idx="136">
                  <c:v>6.9341712732245875E-2</c:v>
                </c:pt>
                <c:pt idx="137">
                  <c:v>6.9362096537208595E-2</c:v>
                </c:pt>
                <c:pt idx="138">
                  <c:v>6.9382479895713556E-2</c:v>
                </c:pt>
                <c:pt idx="139">
                  <c:v>6.9402862807770749E-2</c:v>
                </c:pt>
                <c:pt idx="140">
                  <c:v>6.9423245273389944E-2</c:v>
                </c:pt>
                <c:pt idx="141">
                  <c:v>6.944362729258069E-2</c:v>
                </c:pt>
                <c:pt idx="142">
                  <c:v>6.9464008865352977E-2</c:v>
                </c:pt>
                <c:pt idx="143">
                  <c:v>6.9484389991716466E-2</c:v>
                </c:pt>
                <c:pt idx="144">
                  <c:v>6.9504770671681038E-2</c:v>
                </c:pt>
                <c:pt idx="145">
                  <c:v>6.952515090525635E-2</c:v>
                </c:pt>
                <c:pt idx="146">
                  <c:v>6.9545530692452284E-2</c:v>
                </c:pt>
                <c:pt idx="147">
                  <c:v>6.9565910033278611E-2</c:v>
                </c:pt>
                <c:pt idx="148">
                  <c:v>6.9586288927744988E-2</c:v>
                </c:pt>
                <c:pt idx="149">
                  <c:v>6.9606667375861297E-2</c:v>
                </c:pt>
                <c:pt idx="150">
                  <c:v>6.9627045377637309E-2</c:v>
                </c:pt>
                <c:pt idx="151">
                  <c:v>6.9647422933082792E-2</c:v>
                </c:pt>
                <c:pt idx="152">
                  <c:v>6.9667800042207517E-2</c:v>
                </c:pt>
                <c:pt idx="153">
                  <c:v>6.9688176705021254E-2</c:v>
                </c:pt>
                <c:pt idx="154">
                  <c:v>6.9708552921533773E-2</c:v>
                </c:pt>
                <c:pt idx="155">
                  <c:v>6.9728928691754843E-2</c:v>
                </c:pt>
                <c:pt idx="156">
                  <c:v>6.9749304015694236E-2</c:v>
                </c:pt>
                <c:pt idx="157">
                  <c:v>6.9769678893361831E-2</c:v>
                </c:pt>
                <c:pt idx="158">
                  <c:v>6.9790053324767176E-2</c:v>
                </c:pt>
                <c:pt idx="159">
                  <c:v>6.9810427309920264E-2</c:v>
                </c:pt>
                <c:pt idx="160">
                  <c:v>6.9830800848830754E-2</c:v>
                </c:pt>
                <c:pt idx="161">
                  <c:v>6.9851173941508526E-2</c:v>
                </c:pt>
                <c:pt idx="162">
                  <c:v>6.987154658796324E-2</c:v>
                </c:pt>
                <c:pt idx="163">
                  <c:v>6.9891918788204666E-2</c:v>
                </c:pt>
                <c:pt idx="164">
                  <c:v>6.9912290542242683E-2</c:v>
                </c:pt>
                <c:pt idx="165">
                  <c:v>6.9932661850087063E-2</c:v>
                </c:pt>
                <c:pt idx="166">
                  <c:v>6.9953032711747465E-2</c:v>
                </c:pt>
                <c:pt idx="167">
                  <c:v>6.9973403127233658E-2</c:v>
                </c:pt>
                <c:pt idx="168">
                  <c:v>6.9993773096555523E-2</c:v>
                </c:pt>
                <c:pt idx="169">
                  <c:v>7.0014142619722719E-2</c:v>
                </c:pt>
                <c:pt idx="170">
                  <c:v>7.0034511696745128E-2</c:v>
                </c:pt>
                <c:pt idx="171">
                  <c:v>7.0054880327632518E-2</c:v>
                </c:pt>
                <c:pt idx="172">
                  <c:v>7.007524851239455E-2</c:v>
                </c:pt>
                <c:pt idx="173">
                  <c:v>7.0095616251041104E-2</c:v>
                </c:pt>
                <c:pt idx="174">
                  <c:v>7.011598354358195E-2</c:v>
                </c:pt>
                <c:pt idx="175">
                  <c:v>7.0136350390026747E-2</c:v>
                </c:pt>
                <c:pt idx="176">
                  <c:v>7.0156716790385376E-2</c:v>
                </c:pt>
                <c:pt idx="177">
                  <c:v>7.0177082744667496E-2</c:v>
                </c:pt>
                <c:pt idx="178">
                  <c:v>7.0197448252882988E-2</c:v>
                </c:pt>
                <c:pt idx="179">
                  <c:v>7.0217813315041622E-2</c:v>
                </c:pt>
                <c:pt idx="180">
                  <c:v>7.0238177931153056E-2</c:v>
                </c:pt>
                <c:pt idx="181">
                  <c:v>7.0258542101227173E-2</c:v>
                </c:pt>
                <c:pt idx="182">
                  <c:v>7.0278905825273741E-2</c:v>
                </c:pt>
                <c:pt idx="183">
                  <c:v>7.029926910330242E-2</c:v>
                </c:pt>
                <c:pt idx="184">
                  <c:v>7.031963193532309E-2</c:v>
                </c:pt>
                <c:pt idx="185">
                  <c:v>7.0339994321345523E-2</c:v>
                </c:pt>
                <c:pt idx="186">
                  <c:v>7.0360356261379375E-2</c:v>
                </c:pt>
                <c:pt idx="187">
                  <c:v>7.038071775543453E-2</c:v>
                </c:pt>
                <c:pt idx="188">
                  <c:v>7.0401078803520645E-2</c:v>
                </c:pt>
                <c:pt idx="189">
                  <c:v>7.0421439405647601E-2</c:v>
                </c:pt>
                <c:pt idx="190">
                  <c:v>7.0441799561825058E-2</c:v>
                </c:pt>
                <c:pt idx="191">
                  <c:v>7.0462159272062896E-2</c:v>
                </c:pt>
                <c:pt idx="192">
                  <c:v>7.0482518536370886E-2</c:v>
                </c:pt>
                <c:pt idx="193">
                  <c:v>7.0502877354758686E-2</c:v>
                </c:pt>
                <c:pt idx="194">
                  <c:v>7.0523235727236067E-2</c:v>
                </c:pt>
                <c:pt idx="195">
                  <c:v>7.0543593653812908E-2</c:v>
                </c:pt>
                <c:pt idx="196">
                  <c:v>7.056395113449887E-2</c:v>
                </c:pt>
                <c:pt idx="197">
                  <c:v>7.0584308169303722E-2</c:v>
                </c:pt>
                <c:pt idx="198">
                  <c:v>7.0604664758237345E-2</c:v>
                </c:pt>
                <c:pt idx="199">
                  <c:v>7.0625020901309399E-2</c:v>
                </c:pt>
                <c:pt idx="200">
                  <c:v>7.0645376598529652E-2</c:v>
                </c:pt>
                <c:pt idx="201">
                  <c:v>7.0665731849907876E-2</c:v>
                </c:pt>
                <c:pt idx="202">
                  <c:v>7.068608665545395E-2</c:v>
                </c:pt>
                <c:pt idx="203">
                  <c:v>7.0706441015177424E-2</c:v>
                </c:pt>
                <c:pt idx="204">
                  <c:v>7.0726794929088288E-2</c:v>
                </c:pt>
                <c:pt idx="205">
                  <c:v>7.0747148397196091E-2</c:v>
                </c:pt>
                <c:pt idx="206">
                  <c:v>7.0767501419510825E-2</c:v>
                </c:pt>
                <c:pt idx="207">
                  <c:v>7.0787853996042038E-2</c:v>
                </c:pt>
                <c:pt idx="208">
                  <c:v>7.0808206126799611E-2</c:v>
                </c:pt>
                <c:pt idx="209">
                  <c:v>7.0828557811793313E-2</c:v>
                </c:pt>
                <c:pt idx="210">
                  <c:v>7.0848909051032916E-2</c:v>
                </c:pt>
                <c:pt idx="211">
                  <c:v>7.0869259844528076E-2</c:v>
                </c:pt>
                <c:pt idx="212">
                  <c:v>7.0889610192288677E-2</c:v>
                </c:pt>
                <c:pt idx="213">
                  <c:v>7.0909960094324487E-2</c:v>
                </c:pt>
                <c:pt idx="214">
                  <c:v>7.0930309550645054E-2</c:v>
                </c:pt>
                <c:pt idx="215">
                  <c:v>7.0950658561260482E-2</c:v>
                </c:pt>
                <c:pt idx="216">
                  <c:v>7.0971007126180208E-2</c:v>
                </c:pt>
                <c:pt idx="217">
                  <c:v>7.0991355245414223E-2</c:v>
                </c:pt>
                <c:pt idx="218">
                  <c:v>7.1011702918972186E-2</c:v>
                </c:pt>
                <c:pt idx="219">
                  <c:v>7.1032050146863868E-2</c:v>
                </c:pt>
                <c:pt idx="220">
                  <c:v>7.1052396929099038E-2</c:v>
                </c:pt>
                <c:pt idx="221">
                  <c:v>7.1072743265687466E-2</c:v>
                </c:pt>
                <c:pt idx="222">
                  <c:v>7.1093089156638922E-2</c:v>
                </c:pt>
                <c:pt idx="223">
                  <c:v>7.1113434601963177E-2</c:v>
                </c:pt>
                <c:pt idx="224">
                  <c:v>7.1133779601669889E-2</c:v>
                </c:pt>
                <c:pt idx="225">
                  <c:v>7.1154124155768939E-2</c:v>
                </c:pt>
                <c:pt idx="226">
                  <c:v>7.1174468264269986E-2</c:v>
                </c:pt>
                <c:pt idx="227">
                  <c:v>7.1194811927182911E-2</c:v>
                </c:pt>
                <c:pt idx="228">
                  <c:v>7.1215155144517372E-2</c:v>
                </c:pt>
                <c:pt idx="229">
                  <c:v>7.1235497916283141E-2</c:v>
                </c:pt>
                <c:pt idx="230">
                  <c:v>7.1255840242490098E-2</c:v>
                </c:pt>
                <c:pt idx="231">
                  <c:v>7.1276182123147791E-2</c:v>
                </c:pt>
                <c:pt idx="232">
                  <c:v>7.1296523558266212E-2</c:v>
                </c:pt>
                <c:pt idx="233">
                  <c:v>7.1316864547854908E-2</c:v>
                </c:pt>
                <c:pt idx="234">
                  <c:v>7.1337205091923761E-2</c:v>
                </c:pt>
                <c:pt idx="235">
                  <c:v>7.135754519048243E-2</c:v>
                </c:pt>
                <c:pt idx="236">
                  <c:v>7.1377884843540795E-2</c:v>
                </c:pt>
                <c:pt idx="237">
                  <c:v>7.1398224051108627E-2</c:v>
                </c:pt>
                <c:pt idx="238">
                  <c:v>7.1418562813195474E-2</c:v>
                </c:pt>
                <c:pt idx="239">
                  <c:v>7.1438901129811327E-2</c:v>
                </c:pt>
                <c:pt idx="240">
                  <c:v>7.1459239000965846E-2</c:v>
                </c:pt>
                <c:pt idx="241">
                  <c:v>7.1479576426668689E-2</c:v>
                </c:pt>
                <c:pt idx="242">
                  <c:v>7.1499913406929849E-2</c:v>
                </c:pt>
                <c:pt idx="243">
                  <c:v>7.1520249941758873E-2</c:v>
                </c:pt>
                <c:pt idx="244">
                  <c:v>7.1540586031165643E-2</c:v>
                </c:pt>
                <c:pt idx="245">
                  <c:v>7.1560921675159817E-2</c:v>
                </c:pt>
                <c:pt idx="246">
                  <c:v>7.1581256873751165E-2</c:v>
                </c:pt>
                <c:pt idx="247">
                  <c:v>7.1601591626949568E-2</c:v>
                </c:pt>
                <c:pt idx="248">
                  <c:v>7.1621925934764685E-2</c:v>
                </c:pt>
                <c:pt idx="249">
                  <c:v>7.1642259797206176E-2</c:v>
                </c:pt>
                <c:pt idx="250">
                  <c:v>7.1662593214283921E-2</c:v>
                </c:pt>
                <c:pt idx="251">
                  <c:v>7.1682926186007689E-2</c:v>
                </c:pt>
                <c:pt idx="252">
                  <c:v>7.1703258712387252E-2</c:v>
                </c:pt>
                <c:pt idx="253">
                  <c:v>7.1723590793432157E-2</c:v>
                </c:pt>
                <c:pt idx="254">
                  <c:v>7.1743922429152396E-2</c:v>
                </c:pt>
                <c:pt idx="255">
                  <c:v>7.1764253619557627E-2</c:v>
                </c:pt>
                <c:pt idx="256">
                  <c:v>7.1784584364657622E-2</c:v>
                </c:pt>
                <c:pt idx="257">
                  <c:v>7.1804914664462149E-2</c:v>
                </c:pt>
                <c:pt idx="258">
                  <c:v>7.1825244518980869E-2</c:v>
                </c:pt>
                <c:pt idx="259">
                  <c:v>7.1845573928223549E-2</c:v>
                </c:pt>
                <c:pt idx="260">
                  <c:v>7.1865902892200073E-2</c:v>
                </c:pt>
                <c:pt idx="261">
                  <c:v>7.1886231410920098E-2</c:v>
                </c:pt>
                <c:pt idx="262">
                  <c:v>7.1906559484393395E-2</c:v>
                </c:pt>
                <c:pt idx="263">
                  <c:v>7.1926887112629734E-2</c:v>
                </c:pt>
                <c:pt idx="264">
                  <c:v>7.1947214295638884E-2</c:v>
                </c:pt>
                <c:pt idx="265">
                  <c:v>7.1967541033430504E-2</c:v>
                </c:pt>
                <c:pt idx="266">
                  <c:v>7.1987867326014365E-2</c:v>
                </c:pt>
                <c:pt idx="267">
                  <c:v>7.2008193173400237E-2</c:v>
                </c:pt>
                <c:pt idx="268">
                  <c:v>7.2028518575598E-2</c:v>
                </c:pt>
                <c:pt idx="269">
                  <c:v>7.2048843532617202E-2</c:v>
                </c:pt>
                <c:pt idx="270">
                  <c:v>7.2069168044467724E-2</c:v>
                </c:pt>
                <c:pt idx="271">
                  <c:v>7.2089492111159226E-2</c:v>
                </c:pt>
                <c:pt idx="272">
                  <c:v>7.2109815732701477E-2</c:v>
                </c:pt>
                <c:pt idx="273">
                  <c:v>7.2130138909104358E-2</c:v>
                </c:pt>
                <c:pt idx="274">
                  <c:v>7.2150461640377417E-2</c:v>
                </c:pt>
                <c:pt idx="275">
                  <c:v>7.2170783926530646E-2</c:v>
                </c:pt>
                <c:pt idx="276">
                  <c:v>7.2191105767573482E-2</c:v>
                </c:pt>
                <c:pt idx="277">
                  <c:v>7.2211427163516029E-2</c:v>
                </c:pt>
                <c:pt idx="278">
                  <c:v>7.2231748114367722E-2</c:v>
                </c:pt>
                <c:pt idx="279">
                  <c:v>7.2252068620138443E-2</c:v>
                </c:pt>
                <c:pt idx="280">
                  <c:v>7.2272388680837962E-2</c:v>
                </c:pt>
                <c:pt idx="281">
                  <c:v>7.2292708296476049E-2</c:v>
                </c:pt>
                <c:pt idx="282">
                  <c:v>7.2313027467062252E-2</c:v>
                </c:pt>
                <c:pt idx="283">
                  <c:v>7.2333346192606673E-2</c:v>
                </c:pt>
                <c:pt idx="284">
                  <c:v>7.2353664473118751E-2</c:v>
                </c:pt>
                <c:pt idx="285">
                  <c:v>7.2373982308608364E-2</c:v>
                </c:pt>
                <c:pt idx="286">
                  <c:v>7.2394299699085174E-2</c:v>
                </c:pt>
                <c:pt idx="287">
                  <c:v>7.241461664455906E-2</c:v>
                </c:pt>
                <c:pt idx="288">
                  <c:v>7.2434933145039682E-2</c:v>
                </c:pt>
                <c:pt idx="289">
                  <c:v>7.2455249200536809E-2</c:v>
                </c:pt>
                <c:pt idx="290">
                  <c:v>7.24755648110601E-2</c:v>
                </c:pt>
                <c:pt idx="291">
                  <c:v>7.2495879976619437E-2</c:v>
                </c:pt>
                <c:pt idx="292">
                  <c:v>7.251619469722459E-2</c:v>
                </c:pt>
                <c:pt idx="293">
                  <c:v>7.2536508972885105E-2</c:v>
                </c:pt>
                <c:pt idx="294">
                  <c:v>7.2556822803610976E-2</c:v>
                </c:pt>
                <c:pt idx="295">
                  <c:v>7.2577136189411751E-2</c:v>
                </c:pt>
                <c:pt idx="296">
                  <c:v>7.2597449130297198E-2</c:v>
                </c:pt>
                <c:pt idx="297">
                  <c:v>7.26177616262772E-2</c:v>
                </c:pt>
                <c:pt idx="298">
                  <c:v>7.2638073677361303E-2</c:v>
                </c:pt>
                <c:pt idx="299">
                  <c:v>7.265838528355939E-2</c:v>
                </c:pt>
                <c:pt idx="300">
                  <c:v>7.267869644488123E-2</c:v>
                </c:pt>
                <c:pt idx="301">
                  <c:v>7.2699007161336482E-2</c:v>
                </c:pt>
                <c:pt idx="302">
                  <c:v>7.2719317432934916E-2</c:v>
                </c:pt>
                <c:pt idx="303">
                  <c:v>7.2739627259686301E-2</c:v>
                </c:pt>
                <c:pt idx="304">
                  <c:v>7.2759936641600298E-2</c:v>
                </c:pt>
                <c:pt idx="305">
                  <c:v>7.2780245578686675E-2</c:v>
                </c:pt>
                <c:pt idx="306">
                  <c:v>7.2800554070955315E-2</c:v>
                </c:pt>
                <c:pt idx="307">
                  <c:v>7.2820862118415763E-2</c:v>
                </c:pt>
                <c:pt idx="308">
                  <c:v>7.2841169721077903E-2</c:v>
                </c:pt>
                <c:pt idx="309">
                  <c:v>7.2861476878951503E-2</c:v>
                </c:pt>
                <c:pt idx="310">
                  <c:v>7.2881783592046112E-2</c:v>
                </c:pt>
                <c:pt idx="311">
                  <c:v>7.2902089860371611E-2</c:v>
                </c:pt>
                <c:pt idx="312">
                  <c:v>7.2922395683937768E-2</c:v>
                </c:pt>
                <c:pt idx="313">
                  <c:v>7.2942701062754245E-2</c:v>
                </c:pt>
                <c:pt idx="314">
                  <c:v>7.296300599683081E-2</c:v>
                </c:pt>
                <c:pt idx="315">
                  <c:v>7.2983310486177233E-2</c:v>
                </c:pt>
                <c:pt idx="316">
                  <c:v>7.3003614530803174E-2</c:v>
                </c:pt>
                <c:pt idx="317">
                  <c:v>7.3023918130718402E-2</c:v>
                </c:pt>
                <c:pt idx="318">
                  <c:v>7.3044221285932798E-2</c:v>
                </c:pt>
                <c:pt idx="319">
                  <c:v>7.306452399645591E-2</c:v>
                </c:pt>
                <c:pt idx="320">
                  <c:v>7.308482626229762E-2</c:v>
                </c:pt>
                <c:pt idx="321">
                  <c:v>7.3105128083467474E-2</c:v>
                </c:pt>
                <c:pt idx="322">
                  <c:v>7.3125429459975466E-2</c:v>
                </c:pt>
                <c:pt idx="323">
                  <c:v>7.3145730391831143E-2</c:v>
                </c:pt>
                <c:pt idx="324">
                  <c:v>7.3166030879044386E-2</c:v>
                </c:pt>
                <c:pt idx="325">
                  <c:v>7.3186330921624743E-2</c:v>
                </c:pt>
                <c:pt idx="326">
                  <c:v>7.3206630519582205E-2</c:v>
                </c:pt>
                <c:pt idx="327">
                  <c:v>7.3226929672926322E-2</c:v>
                </c:pt>
                <c:pt idx="328">
                  <c:v>7.3247228381666862E-2</c:v>
                </c:pt>
                <c:pt idx="329">
                  <c:v>7.3267526645813597E-2</c:v>
                </c:pt>
                <c:pt idx="330">
                  <c:v>7.3287824465376183E-2</c:v>
                </c:pt>
                <c:pt idx="331">
                  <c:v>7.3308121840364504E-2</c:v>
                </c:pt>
                <c:pt idx="332">
                  <c:v>7.3328418770788217E-2</c:v>
                </c:pt>
                <c:pt idx="333">
                  <c:v>7.3348715256657093E-2</c:v>
                </c:pt>
                <c:pt idx="334">
                  <c:v>7.3369011297980791E-2</c:v>
                </c:pt>
                <c:pt idx="335">
                  <c:v>7.338930689476908E-2</c:v>
                </c:pt>
                <c:pt idx="336">
                  <c:v>7.340960204703173E-2</c:v>
                </c:pt>
                <c:pt idx="337">
                  <c:v>7.3429896754778512E-2</c:v>
                </c:pt>
                <c:pt idx="338">
                  <c:v>7.3450191018019084E-2</c:v>
                </c:pt>
                <c:pt idx="339">
                  <c:v>7.3470484836763217E-2</c:v>
                </c:pt>
                <c:pt idx="340">
                  <c:v>7.3490778211020569E-2</c:v>
                </c:pt>
                <c:pt idx="341">
                  <c:v>7.3511071140801021E-2</c:v>
                </c:pt>
                <c:pt idx="342">
                  <c:v>7.3531363626114121E-2</c:v>
                </c:pt>
                <c:pt idx="343">
                  <c:v>7.3551655666969862E-2</c:v>
                </c:pt>
                <c:pt idx="344">
                  <c:v>7.3571947263377679E-2</c:v>
                </c:pt>
                <c:pt idx="345">
                  <c:v>7.3592238415347566E-2</c:v>
                </c:pt>
                <c:pt idx="346">
                  <c:v>7.361252912288907E-2</c:v>
                </c:pt>
                <c:pt idx="347">
                  <c:v>7.3632819386012072E-2</c:v>
                </c:pt>
                <c:pt idx="348">
                  <c:v>7.365310920472623E-2</c:v>
                </c:pt>
                <c:pt idx="349">
                  <c:v>7.3673398579041316E-2</c:v>
                </c:pt>
                <c:pt idx="350">
                  <c:v>7.3693687508966987E-2</c:v>
                </c:pt>
                <c:pt idx="351">
                  <c:v>7.3713975994513015E-2</c:v>
                </c:pt>
                <c:pt idx="352">
                  <c:v>7.3734264035689168E-2</c:v>
                </c:pt>
                <c:pt idx="353">
                  <c:v>7.3754551632505105E-2</c:v>
                </c:pt>
                <c:pt idx="354">
                  <c:v>7.3774838784970598E-2</c:v>
                </c:pt>
                <c:pt idx="355">
                  <c:v>7.3795125493095415E-2</c:v>
                </c:pt>
                <c:pt idx="356">
                  <c:v>7.3815411756889326E-2</c:v>
                </c:pt>
                <c:pt idx="357">
                  <c:v>7.3835697576361881E-2</c:v>
                </c:pt>
                <c:pt idx="358">
                  <c:v>7.3855982951522958E-2</c:v>
                </c:pt>
                <c:pt idx="359">
                  <c:v>7.3876267882382329E-2</c:v>
                </c:pt>
                <c:pt idx="360">
                  <c:v>7.3896552368949542E-2</c:v>
                </c:pt>
                <c:pt idx="361">
                  <c:v>7.3916836411234588E-2</c:v>
                </c:pt>
                <c:pt idx="362">
                  <c:v>7.3937120009246904E-2</c:v>
                </c:pt>
                <c:pt idx="363">
                  <c:v>7.3957403162996482E-2</c:v>
                </c:pt>
                <c:pt idx="364">
                  <c:v>7.3977685872492871E-2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3.8606042148348764E-2</c:v>
                </c:pt>
                <c:pt idx="1">
                  <c:v>3.8715389169547795E-2</c:v>
                </c:pt>
                <c:pt idx="2">
                  <c:v>3.8824713457918401E-2</c:v>
                </c:pt>
                <c:pt idx="3">
                  <c:v>3.8934006753730474E-2</c:v>
                </c:pt>
                <c:pt idx="4">
                  <c:v>3.9043261870943605E-2</c:v>
                </c:pt>
                <c:pt idx="5">
                  <c:v>3.9152472675812781E-2</c:v>
                </c:pt>
                <c:pt idx="6">
                  <c:v>3.9261634056162863E-2</c:v>
                </c:pt>
                <c:pt idx="7">
                  <c:v>3.9370741881916971E-2</c:v>
                </c:pt>
                <c:pt idx="8">
                  <c:v>3.9479792957536688E-2</c:v>
                </c:pt>
                <c:pt idx="9">
                  <c:v>3.9588784967098306E-2</c:v>
                </c:pt>
                <c:pt idx="10">
                  <c:v>3.9697716412787735E-2</c:v>
                </c:pt>
                <c:pt idx="11">
                  <c:v>3.9806586547645469E-2</c:v>
                </c:pt>
                <c:pt idx="12">
                  <c:v>3.9915395303434645E-2</c:v>
                </c:pt>
                <c:pt idx="13">
                  <c:v>4.0024143214536234E-2</c:v>
                </c:pt>
                <c:pt idx="14">
                  <c:v>4.0132831338797872E-2</c:v>
                </c:pt>
                <c:pt idx="15">
                  <c:v>4.0241461176275431E-2</c:v>
                </c:pt>
                <c:pt idx="16">
                  <c:v>4.0350034586809844E-2</c:v>
                </c:pt>
                <c:pt idx="17">
                  <c:v>4.0458553707375042E-2</c:v>
                </c:pt>
                <c:pt idx="18">
                  <c:v>4.0567020870118216E-2</c:v>
                </c:pt>
                <c:pt idx="19">
                  <c:v>4.0675438521988107E-2</c:v>
                </c:pt>
                <c:pt idx="20">
                  <c:v>4.0783809146814773E-2</c:v>
                </c:pt>
                <c:pt idx="21">
                  <c:v>4.0892135190662593E-2</c:v>
                </c:pt>
                <c:pt idx="22">
                  <c:v>4.1000418991229352E-2</c:v>
                </c:pt>
                <c:pt idx="23">
                  <c:v>4.1108662712008574E-2</c:v>
                </c:pt>
                <c:pt idx="24">
                  <c:v>4.1216868281868983E-2</c:v>
                </c:pt>
                <c:pt idx="25">
                  <c:v>4.132503734063802E-2</c:v>
                </c:pt>
                <c:pt idx="26">
                  <c:v>4.1433171191202198E-2</c:v>
                </c:pt>
                <c:pt idx="27">
                  <c:v>4.1541270758560629E-2</c:v>
                </c:pt>
                <c:pt idx="28">
                  <c:v>4.1649336556187438E-2</c:v>
                </c:pt>
                <c:pt idx="29">
                  <c:v>4.1757368659975862E-2</c:v>
                </c:pt>
                <c:pt idx="30">
                  <c:v>4.1865366689952908E-2</c:v>
                </c:pt>
                <c:pt idx="31">
                  <c:v>4.1973329799868148E-2</c:v>
                </c:pt>
                <c:pt idx="32">
                  <c:v>4.2081256674676229E-2</c:v>
                </c:pt>
                <c:pt idx="33">
                  <c:v>4.218914553584871E-2</c:v>
                </c:pt>
                <c:pt idx="34">
                  <c:v>4.2296994154369924E-2</c:v>
                </c:pt>
                <c:pt idx="35">
                  <c:v>4.2404799871193014E-2</c:v>
                </c:pt>
                <c:pt idx="36">
                  <c:v>4.2512559624857171E-2</c:v>
                </c:pt>
                <c:pt idx="37">
                  <c:v>4.2620269985896901E-2</c:v>
                </c:pt>
                <c:pt idx="38">
                  <c:v>4.2727927197608789E-2</c:v>
                </c:pt>
                <c:pt idx="39">
                  <c:v>4.2835527222680879E-2</c:v>
                </c:pt>
                <c:pt idx="40">
                  <c:v>4.2943065795137229E-2</c:v>
                </c:pt>
                <c:pt idx="41">
                  <c:v>4.3050538477002159E-2</c:v>
                </c:pt>
                <c:pt idx="42">
                  <c:v>4.315794071904986E-2</c:v>
                </c:pt>
                <c:pt idx="43">
                  <c:v>4.3265267924972151E-2</c:v>
                </c:pt>
                <c:pt idx="44">
                  <c:v>4.3372515518272238E-2</c:v>
                </c:pt>
                <c:pt idx="45">
                  <c:v>4.3479679011175817E-2</c:v>
                </c:pt>
                <c:pt idx="46">
                  <c:v>4.3586754074840896E-2</c:v>
                </c:pt>
                <c:pt idx="47">
                  <c:v>4.369373661014684E-2</c:v>
                </c:pt>
                <c:pt idx="48">
                  <c:v>4.3800622818348893E-2</c:v>
                </c:pt>
                <c:pt idx="49">
                  <c:v>4.3907409270897979E-2</c:v>
                </c:pt>
                <c:pt idx="50">
                  <c:v>4.4014092977747159E-2</c:v>
                </c:pt>
                <c:pt idx="51">
                  <c:v>4.4120671453491973E-2</c:v>
                </c:pt>
                <c:pt idx="52">
                  <c:v>4.4227142780727972E-2</c:v>
                </c:pt>
                <c:pt idx="53">
                  <c:v>4.4333505670046736E-2</c:v>
                </c:pt>
                <c:pt idx="54">
                  <c:v>4.4439759516137468E-2</c:v>
                </c:pt>
                <c:pt idx="55">
                  <c:v>4.4545904449511557E-2</c:v>
                </c:pt>
                <c:pt idx="56">
                  <c:v>4.4651941383420199E-2</c:v>
                </c:pt>
                <c:pt idx="57">
                  <c:v>4.4757872055593451E-2</c:v>
                </c:pt>
                <c:pt idx="58">
                  <c:v>4.4863699064488366E-2</c:v>
                </c:pt>
                <c:pt idx="59">
                  <c:v>4.4969425899795405E-2</c:v>
                </c:pt>
                <c:pt idx="60">
                  <c:v>4.5075056967016039E-2</c:v>
                </c:pt>
                <c:pt idx="61">
                  <c:v>4.5180597605986618E-2</c:v>
                </c:pt>
                <c:pt idx="62">
                  <c:v>4.5286054103287343E-2</c:v>
                </c:pt>
                <c:pt idx="63">
                  <c:v>4.5391433698536335E-2</c:v>
                </c:pt>
                <c:pt idx="64">
                  <c:v>4.5496744584629448E-2</c:v>
                </c:pt>
                <c:pt idx="65">
                  <c:v>4.5601995902043377E-2</c:v>
                </c:pt>
                <c:pt idx="66">
                  <c:v>4.5707197727374131E-2</c:v>
                </c:pt>
                <c:pt idx="67">
                  <c:v>4.5812361056334239E-2</c:v>
                </c:pt>
                <c:pt idx="68">
                  <c:v>4.5917497781477211E-2</c:v>
                </c:pt>
                <c:pt idx="69">
                  <c:v>4.6022620664960989E-2</c:v>
                </c:pt>
                <c:pt idx="70">
                  <c:v>4.6127743306697493E-2</c:v>
                </c:pt>
                <c:pt idx="71">
                  <c:v>4.6232880108266934E-2</c:v>
                </c:pt>
                <c:pt idx="72">
                  <c:v>4.6338046233001036E-2</c:v>
                </c:pt>
                <c:pt idx="73">
                  <c:v>4.6443257562658248E-2</c:v>
                </c:pt>
                <c:pt idx="74">
                  <c:v>4.654853065112758E-2</c:v>
                </c:pt>
                <c:pt idx="75">
                  <c:v>4.6653882675605031E-2</c:v>
                </c:pt>
                <c:pt idx="76">
                  <c:v>4.6759331385687247E-2</c:v>
                </c:pt>
                <c:pt idx="77">
                  <c:v>4.6864895050822634E-2</c:v>
                </c:pt>
                <c:pt idx="78">
                  <c:v>4.6970592406549411E-2</c:v>
                </c:pt>
                <c:pt idx="79">
                  <c:v>4.707644259993371E-2</c:v>
                </c:pt>
                <c:pt idx="80">
                  <c:v>4.718246513460022E-2</c:v>
                </c:pt>
                <c:pt idx="81">
                  <c:v>4.7288679815720977E-2</c:v>
                </c:pt>
                <c:pt idx="82">
                  <c:v>4.7395106695298443E-2</c:v>
                </c:pt>
                <c:pt idx="83">
                  <c:v>4.7501766018044123E-2</c:v>
                </c:pt>
                <c:pt idx="84">
                  <c:v>4.7608678168117202E-2</c:v>
                </c:pt>
                <c:pt idx="85">
                  <c:v>4.7715863616947393E-2</c:v>
                </c:pt>
                <c:pt idx="86">
                  <c:v>4.7823342872323857E-2</c:v>
                </c:pt>
                <c:pt idx="87">
                  <c:v>4.7931136428889611E-2</c:v>
                </c:pt>
                <c:pt idx="88">
                  <c:v>4.8039264720135741E-2</c:v>
                </c:pt>
                <c:pt idx="89">
                  <c:v>4.8147748071946377E-2</c:v>
                </c:pt>
                <c:pt idx="90">
                  <c:v>4.8256606657701533E-2</c:v>
                </c:pt>
                <c:pt idx="91">
                  <c:v>4.8365860454903521E-2</c:v>
                </c:pt>
                <c:pt idx="92">
                  <c:v>4.8475529203251509E-2</c:v>
                </c:pt>
                <c:pt idx="93">
                  <c:v>4.8585632364052507E-2</c:v>
                </c:pt>
                <c:pt idx="94">
                  <c:v>4.8696189080821843E-2</c:v>
                </c:pt>
                <c:pt idx="95">
                  <c:v>4.8807218140896134E-2</c:v>
                </c:pt>
                <c:pt idx="96">
                  <c:v>4.8918737937855117E-2</c:v>
                </c:pt>
                <c:pt idx="97">
                  <c:v>4.9030766434527251E-2</c:v>
                </c:pt>
                <c:pt idx="98">
                  <c:v>4.9143321126337111E-2</c:v>
                </c:pt>
                <c:pt idx="99">
                  <c:v>4.9256419004741515E-2</c:v>
                </c:pt>
                <c:pt idx="100">
                  <c:v>4.9370076520495146E-2</c:v>
                </c:pt>
                <c:pt idx="101">
                  <c:v>4.9484309546486957E-2</c:v>
                </c:pt>
                <c:pt idx="102">
                  <c:v>4.9599133339893894E-2</c:v>
                </c:pt>
                <c:pt idx="103">
                  <c:v>4.9714562503410532E-2</c:v>
                </c:pt>
                <c:pt idx="104">
                  <c:v>4.9830610945330131E-2</c:v>
                </c:pt>
                <c:pt idx="105">
                  <c:v>4.9947291838275988E-2</c:v>
                </c:pt>
                <c:pt idx="106">
                  <c:v>5.0064617576409738E-2</c:v>
                </c:pt>
                <c:pt idx="107">
                  <c:v>5.0182599730977329E-2</c:v>
                </c:pt>
                <c:pt idx="108">
                  <c:v>5.0301249004090276E-2</c:v>
                </c:pt>
                <c:pt idx="109">
                  <c:v>5.0420575180683429E-2</c:v>
                </c:pt>
                <c:pt idx="110">
                  <c:v>5.0540587078634784E-2</c:v>
                </c:pt>
                <c:pt idx="111">
                  <c:v>5.0661292497083232E-2</c:v>
                </c:pt>
                <c:pt idx="112">
                  <c:v>5.0782698163030909E-2</c:v>
                </c:pt>
                <c:pt idx="113">
                  <c:v>5.0904809676370281E-2</c:v>
                </c:pt>
                <c:pt idx="114">
                  <c:v>5.1027631453530432E-2</c:v>
                </c:pt>
                <c:pt idx="115">
                  <c:v>5.1151166669992046E-2</c:v>
                </c:pt>
                <c:pt idx="116">
                  <c:v>5.1275417201974906E-2</c:v>
                </c:pt>
                <c:pt idx="117">
                  <c:v>5.1400383567654952E-2</c:v>
                </c:pt>
                <c:pt idx="118">
                  <c:v>5.1526064868319101E-2</c:v>
                </c:pt>
                <c:pt idx="119">
                  <c:v>5.1652458729915501E-2</c:v>
                </c:pt>
                <c:pt idx="120">
                  <c:v>5.1779561245500941E-2</c:v>
                </c:pt>
                <c:pt idx="121">
                  <c:v>5.190736691912954E-2</c:v>
                </c:pt>
                <c:pt idx="122">
                  <c:v>5.2035868611762258E-2</c:v>
                </c:pt>
                <c:pt idx="123">
                  <c:v>5.2165057489808014E-2</c:v>
                </c:pt>
                <c:pt idx="124">
                  <c:v>5.2294922976932244E-2</c:v>
                </c:pt>
                <c:pt idx="125">
                  <c:v>5.2425452709786234E-2</c:v>
                </c:pt>
                <c:pt idx="126">
                  <c:v>5.2556632498322944E-2</c:v>
                </c:pt>
                <c:pt idx="127">
                  <c:v>5.2688446291368048E-2</c:v>
                </c:pt>
                <c:pt idx="128">
                  <c:v>5.2820876148111165E-2</c:v>
                </c:pt>
                <c:pt idx="129">
                  <c:v>5.2953902216171203E-2</c:v>
                </c:pt>
                <c:pt idx="130">
                  <c:v>5.3087502716869031E-2</c:v>
                </c:pt>
                <c:pt idx="131">
                  <c:v>5.3221653938313289E-2</c:v>
                </c:pt>
                <c:pt idx="132">
                  <c:v>5.3356330236869622E-2</c:v>
                </c:pt>
                <c:pt idx="133">
                  <c:v>5.3491504047538781E-2</c:v>
                </c:pt>
                <c:pt idx="134">
                  <c:v>5.3627145903718865E-2</c:v>
                </c:pt>
                <c:pt idx="135">
                  <c:v>5.3763224466767331E-2</c:v>
                </c:pt>
                <c:pt idx="136">
                  <c:v>5.3899706565713371E-2</c:v>
                </c:pt>
                <c:pt idx="137">
                  <c:v>5.4036557247399059E-2</c:v>
                </c:pt>
                <c:pt idx="138">
                  <c:v>5.4173739837250046E-2</c:v>
                </c:pt>
                <c:pt idx="139">
                  <c:v>5.4311216010794118E-2</c:v>
                </c:pt>
                <c:pt idx="140">
                  <c:v>5.4448945875958048E-2</c:v>
                </c:pt>
                <c:pt idx="141">
                  <c:v>5.4586888066083611E-2</c:v>
                </c:pt>
                <c:pt idx="142">
                  <c:v>5.4724999843509405E-2</c:v>
                </c:pt>
                <c:pt idx="143">
                  <c:v>5.4863237213470403E-2</c:v>
                </c:pt>
                <c:pt idx="144">
                  <c:v>5.5001555047971731E-2</c:v>
                </c:pt>
                <c:pt idx="145">
                  <c:v>5.5139907219196482E-2</c:v>
                </c:pt>
                <c:pt idx="146">
                  <c:v>5.5278246741913749E-2</c:v>
                </c:pt>
                <c:pt idx="147">
                  <c:v>5.541652592426044E-2</c:v>
                </c:pt>
                <c:pt idx="148">
                  <c:v>5.5554696526180648E-2</c:v>
                </c:pt>
                <c:pt idx="149">
                  <c:v>5.5692709924722174E-2</c:v>
                </c:pt>
                <c:pt idx="150">
                  <c:v>5.5830517285308995E-2</c:v>
                </c:pt>
                <c:pt idx="151">
                  <c:v>5.596806973803499E-2</c:v>
                </c:pt>
                <c:pt idx="152">
                  <c:v>5.610531855795664E-2</c:v>
                </c:pt>
                <c:pt idx="153">
                  <c:v>5.6242215348303357E-2</c:v>
                </c:pt>
                <c:pt idx="154">
                  <c:v>5.6378712225472964E-2</c:v>
                </c:pt>
                <c:pt idx="155">
                  <c:v>5.6514762004637439E-2</c:v>
                </c:pt>
                <c:pt idx="156">
                  <c:v>5.6650318384752693E-2</c:v>
                </c:pt>
                <c:pt idx="157">
                  <c:v>5.678533613174306E-2</c:v>
                </c:pt>
                <c:pt idx="158">
                  <c:v>5.6919771258620494E-2</c:v>
                </c:pt>
                <c:pt idx="159">
                  <c:v>5.70535812012972E-2</c:v>
                </c:pt>
                <c:pt idx="160">
                  <c:v>5.7186724988861043E-2</c:v>
                </c:pt>
                <c:pt idx="161">
                  <c:v>5.7319163407105043E-2</c:v>
                </c:pt>
                <c:pt idx="162">
                  <c:v>5.7450859154133754E-2</c:v>
                </c:pt>
                <c:pt idx="163">
                  <c:v>5.758177698691417E-2</c:v>
                </c:pt>
                <c:pt idx="164">
                  <c:v>5.7711883857691999E-2</c:v>
                </c:pt>
                <c:pt idx="165">
                  <c:v>5.7841149039259361E-2</c:v>
                </c:pt>
                <c:pt idx="166">
                  <c:v>5.7969544238133483E-2</c:v>
                </c:pt>
                <c:pt idx="167">
                  <c:v>5.8097043694790414E-2</c:v>
                </c:pt>
                <c:pt idx="168">
                  <c:v>5.8223624270189164E-2</c:v>
                </c:pt>
                <c:pt idx="169">
                  <c:v>5.8349265517921522E-2</c:v>
                </c:pt>
                <c:pt idx="170">
                  <c:v>5.8473949741429859E-2</c:v>
                </c:pt>
                <c:pt idx="171">
                  <c:v>5.8597662035847251E-2</c:v>
                </c:pt>
                <c:pt idx="172">
                  <c:v>5.8720390314132204E-2</c:v>
                </c:pt>
                <c:pt idx="173">
                  <c:v>5.8842125317291161E-2</c:v>
                </c:pt>
                <c:pt idx="174">
                  <c:v>5.8962860608606414E-2</c:v>
                </c:pt>
                <c:pt idx="175">
                  <c:v>5.9082592551911763E-2</c:v>
                </c:pt>
                <c:pt idx="176">
                  <c:v>5.9201320274085194E-2</c:v>
                </c:pt>
                <c:pt idx="177">
                  <c:v>5.9319045612051965E-2</c:v>
                </c:pt>
                <c:pt idx="178">
                  <c:v>5.943577304471475E-2</c:v>
                </c:pt>
                <c:pt idx="179">
                  <c:v>5.9551509610347206E-2</c:v>
                </c:pt>
                <c:pt idx="180">
                  <c:v>5.9666264810102662E-2</c:v>
                </c:pt>
                <c:pt idx="181">
                  <c:v>5.9780050498398962E-2</c:v>
                </c:pt>
                <c:pt idx="182">
                  <c:v>5.9892880761044195E-2</c:v>
                </c:pt>
                <c:pt idx="183">
                  <c:v>6.0004771782062698E-2</c:v>
                </c:pt>
                <c:pt idx="184">
                  <c:v>6.0115741700268642E-2</c:v>
                </c:pt>
                <c:pt idx="185">
                  <c:v>6.0225810456710729E-2</c:v>
                </c:pt>
                <c:pt idx="186">
                  <c:v>6.03349996341793E-2</c:v>
                </c:pt>
                <c:pt idx="187">
                  <c:v>6.0443332290023681E-2</c:v>
                </c:pt>
                <c:pt idx="188">
                  <c:v>6.0550832783571588E-2</c:v>
                </c:pt>
                <c:pt idx="189">
                  <c:v>6.0657526599475792E-2</c:v>
                </c:pt>
                <c:pt idx="190">
                  <c:v>6.0763440168333523E-2</c:v>
                </c:pt>
                <c:pt idx="191">
                  <c:v>6.086860068593232E-2</c:v>
                </c:pt>
                <c:pt idx="192">
                  <c:v>6.0973035932471581E-2</c:v>
                </c:pt>
                <c:pt idx="193">
                  <c:v>6.1076774093091715E-2</c:v>
                </c:pt>
                <c:pt idx="194">
                  <c:v>6.117984358101386E-2</c:v>
                </c:pt>
                <c:pt idx="195">
                  <c:v>6.1282272864551506E-2</c:v>
                </c:pt>
                <c:pt idx="196">
                  <c:v>6.1384090299202256E-2</c:v>
                </c:pt>
                <c:pt idx="197">
                  <c:v>6.1485323965964345E-2</c:v>
                </c:pt>
                <c:pt idx="198">
                  <c:v>6.1586001516947153E-2</c:v>
                </c:pt>
                <c:pt idx="199">
                  <c:v>6.1686150029261887E-2</c:v>
                </c:pt>
                <c:pt idx="200">
                  <c:v>6.1785795868084616E-2</c:v>
                </c:pt>
                <c:pt idx="201">
                  <c:v>6.1884964559684043E-2</c:v>
                </c:pt>
                <c:pt idx="202">
                  <c:v>6.1983680675098476E-2</c:v>
                </c:pt>
                <c:pt idx="203">
                  <c:v>6.2081967725033133E-2</c:v>
                </c:pt>
                <c:pt idx="204">
                  <c:v>6.2179848066432182E-2</c:v>
                </c:pt>
                <c:pt idx="205">
                  <c:v>6.2277342821058103E-2</c:v>
                </c:pt>
                <c:pt idx="206">
                  <c:v>6.2374471806289258E-2</c:v>
                </c:pt>
                <c:pt idx="207">
                  <c:v>6.2471253478222549E-2</c:v>
                </c:pt>
                <c:pt idx="208">
                  <c:v>6.2567704887045272E-2</c:v>
                </c:pt>
                <c:pt idx="209">
                  <c:v>6.2663841644520171E-2</c:v>
                </c:pt>
                <c:pt idx="210">
                  <c:v>6.2759677903309108E-2</c:v>
                </c:pt>
                <c:pt idx="211">
                  <c:v>6.2855226347748594E-2</c:v>
                </c:pt>
                <c:pt idx="212">
                  <c:v>6.2950498195582044E-2</c:v>
                </c:pt>
                <c:pt idx="213">
                  <c:v>6.3045503210053644E-2</c:v>
                </c:pt>
                <c:pt idx="214">
                  <c:v>6.3140249721675215E-2</c:v>
                </c:pt>
                <c:pt idx="215">
                  <c:v>6.3234744658893907E-2</c:v>
                </c:pt>
                <c:pt idx="216">
                  <c:v>6.3328993586813931E-2</c:v>
                </c:pt>
                <c:pt idx="217">
                  <c:v>6.3423000753061773E-2</c:v>
                </c:pt>
                <c:pt idx="218">
                  <c:v>6.3516769139831619E-2</c:v>
                </c:pt>
                <c:pt idx="219">
                  <c:v>6.3610300521107138E-2</c:v>
                </c:pt>
                <c:pt idx="220">
                  <c:v>6.3703595524026338E-2</c:v>
                </c:pt>
                <c:pt idx="221">
                  <c:v>6.3796653693340713E-2</c:v>
                </c:pt>
                <c:pt idx="222">
                  <c:v>6.3889473557915355E-2</c:v>
                </c:pt>
                <c:pt idx="223">
                  <c:v>6.3982052698226238E-2</c:v>
                </c:pt>
                <c:pt idx="224">
                  <c:v>6.4074387813832026E-2</c:v>
                </c:pt>
                <c:pt idx="225">
                  <c:v>6.4166474789831271E-2</c:v>
                </c:pt>
                <c:pt idx="226">
                  <c:v>6.425830876136171E-2</c:v>
                </c:pt>
                <c:pt idx="227">
                  <c:v>6.4349884175254904E-2</c:v>
                </c:pt>
                <c:pt idx="228">
                  <c:v>6.4441194848026934E-2</c:v>
                </c:pt>
                <c:pt idx="229">
                  <c:v>6.4532234019463647E-2</c:v>
                </c:pt>
                <c:pt idx="230">
                  <c:v>6.462299440114469E-2</c:v>
                </c:pt>
                <c:pt idx="231">
                  <c:v>6.471346821934551E-2</c:v>
                </c:pt>
                <c:pt idx="232">
                  <c:v>6.4803647251857555E-2</c:v>
                </c:pt>
                <c:pt idx="233">
                  <c:v>6.4893522858374006E-2</c:v>
                </c:pt>
                <c:pt idx="234">
                  <c:v>6.498308600419983E-2</c:v>
                </c:pt>
                <c:pt idx="235">
                  <c:v>6.5072327277160003E-2</c:v>
                </c:pt>
                <c:pt idx="236">
                  <c:v>6.5161236897695998E-2</c:v>
                </c:pt>
                <c:pt idx="237">
                  <c:v>6.5249804722258373E-2</c:v>
                </c:pt>
                <c:pt idx="238">
                  <c:v>6.5338020240218619E-2</c:v>
                </c:pt>
                <c:pt idx="239">
                  <c:v>6.5425872564638429E-2</c:v>
                </c:pt>
                <c:pt idx="240">
                  <c:v>6.5513350417344449E-2</c:v>
                </c:pt>
                <c:pt idx="241">
                  <c:v>6.5600442108861332E-2</c:v>
                </c:pt>
                <c:pt idx="242">
                  <c:v>6.5687135513856354E-2</c:v>
                </c:pt>
                <c:pt idx="243">
                  <c:v>6.5773418042839274E-2</c:v>
                </c:pt>
                <c:pt idx="244">
                  <c:v>6.5859276610944428E-2</c:v>
                </c:pt>
                <c:pt idx="245">
                  <c:v>6.594469760469529E-2</c:v>
                </c:pt>
                <c:pt idx="246">
                  <c:v>6.6029666847714413E-2</c:v>
                </c:pt>
                <c:pt idx="247">
                  <c:v>6.6114169566392197E-2</c:v>
                </c:pt>
                <c:pt idx="248">
                  <c:v>6.619819035656635E-2</c:v>
                </c:pt>
                <c:pt idx="249">
                  <c:v>6.6281713152290589E-2</c:v>
                </c:pt>
                <c:pt idx="250">
                  <c:v>6.6364721197782306E-2</c:v>
                </c:pt>
                <c:pt idx="251">
                  <c:v>6.6447197023637869E-2</c:v>
                </c:pt>
                <c:pt idx="252">
                  <c:v>6.6529122428389445E-2</c:v>
                </c:pt>
                <c:pt idx="253">
                  <c:v>6.6610478466446771E-2</c:v>
                </c:pt>
                <c:pt idx="254">
                  <c:v>6.669124544342582E-2</c:v>
                </c:pt>
                <c:pt idx="255">
                  <c:v>6.6771402919807571E-2</c:v>
                </c:pt>
                <c:pt idx="256">
                  <c:v>6.6850929723803049E-2</c:v>
                </c:pt>
                <c:pt idx="257">
                  <c:v>6.6929803974215857E-2</c:v>
                </c:pt>
                <c:pt idx="258">
                  <c:v>6.7008003114001624E-2</c:v>
                </c:pt>
                <c:pt idx="259">
                  <c:v>6.7085503955117046E-2</c:v>
                </c:pt>
                <c:pt idx="260">
                  <c:v>6.7162282735138037E-2</c:v>
                </c:pt>
                <c:pt idx="261">
                  <c:v>6.7238315186000971E-2</c:v>
                </c:pt>
                <c:pt idx="262">
                  <c:v>6.7313576615091214E-2</c:v>
                </c:pt>
                <c:pt idx="263">
                  <c:v>6.7388041998764331E-2</c:v>
                </c:pt>
                <c:pt idx="264">
                  <c:v>6.7461686088243489E-2</c:v>
                </c:pt>
                <c:pt idx="265">
                  <c:v>6.7534483527690481E-2</c:v>
                </c:pt>
                <c:pt idx="266">
                  <c:v>6.7606408984099378E-2</c:v>
                </c:pt>
                <c:pt idx="267">
                  <c:v>6.7677437288514664E-2</c:v>
                </c:pt>
                <c:pt idx="268">
                  <c:v>6.7747543587927617E-2</c:v>
                </c:pt>
                <c:pt idx="269">
                  <c:v>6.7816703507061621E-2</c:v>
                </c:pt>
                <c:pt idx="270">
                  <c:v>6.788489331911661E-2</c:v>
                </c:pt>
                <c:pt idx="271">
                  <c:v>6.7952090124409961E-2</c:v>
                </c:pt>
                <c:pt idx="272">
                  <c:v>6.8018272035724706E-2</c:v>
                </c:pt>
                <c:pt idx="273">
                  <c:v>6.8083418369058776E-2</c:v>
                </c:pt>
                <c:pt idx="274">
                  <c:v>6.8147509838362735E-2</c:v>
                </c:pt>
                <c:pt idx="275">
                  <c:v>6.8210528752757835E-2</c:v>
                </c:pt>
                <c:pt idx="276">
                  <c:v>6.8272459214644796E-2</c:v>
                </c:pt>
                <c:pt idx="277">
                  <c:v>6.8333287317044841E-2</c:v>
                </c:pt>
                <c:pt idx="278">
                  <c:v>6.8393001338461865E-2</c:v>
                </c:pt>
                <c:pt idx="279">
                  <c:v>6.8451591933516562E-2</c:v>
                </c:pt>
                <c:pt idx="280">
                  <c:v>6.8509052317582239E-2</c:v>
                </c:pt>
                <c:pt idx="281">
                  <c:v>6.8565378443647934E-2</c:v>
                </c:pt>
                <c:pt idx="282">
                  <c:v>6.8620569169646706E-2</c:v>
                </c:pt>
                <c:pt idx="283">
                  <c:v>6.8674626414517742E-2</c:v>
                </c:pt>
                <c:pt idx="284">
                  <c:v>6.8727555301317814E-2</c:v>
                </c:pt>
                <c:pt idx="285">
                  <c:v>6.877936428576259E-2</c:v>
                </c:pt>
                <c:pt idx="286">
                  <c:v>6.8830065268659563E-2</c:v>
                </c:pt>
                <c:pt idx="287">
                  <c:v>6.8879673690792134E-2</c:v>
                </c:pt>
                <c:pt idx="288">
                  <c:v>6.8928208608927052E-2</c:v>
                </c:pt>
                <c:pt idx="289">
                  <c:v>6.8975692751746268E-2</c:v>
                </c:pt>
                <c:pt idx="290">
                  <c:v>6.9022152554644445E-2</c:v>
                </c:pt>
                <c:pt idx="291">
                  <c:v>6.906761817248866E-2</c:v>
                </c:pt>
                <c:pt idx="292">
                  <c:v>6.9112123469601064E-2</c:v>
                </c:pt>
                <c:pt idx="293">
                  <c:v>6.9155705986400876E-2</c:v>
                </c:pt>
                <c:pt idx="294">
                  <c:v>6.9198406882324828E-2</c:v>
                </c:pt>
                <c:pt idx="295">
                  <c:v>6.9240270854835362E-2</c:v>
                </c:pt>
                <c:pt idx="296">
                  <c:v>6.9281346034519964E-2</c:v>
                </c:pt>
                <c:pt idx="297">
                  <c:v>6.9321683856483976E-2</c:v>
                </c:pt>
                <c:pt idx="298">
                  <c:v>6.9361338908436404E-2</c:v>
                </c:pt>
                <c:pt idx="299">
                  <c:v>6.9400368756069114E-2</c:v>
                </c:pt>
                <c:pt idx="300">
                  <c:v>6.9438833746523723E-2</c:v>
                </c:pt>
                <c:pt idx="301">
                  <c:v>6.9476796790933631E-2</c:v>
                </c:pt>
                <c:pt idx="302">
                  <c:v>6.9514323127213909E-2</c:v>
                </c:pt>
                <c:pt idx="303">
                  <c:v>6.9551480064449445E-2</c:v>
                </c:pt>
                <c:pt idx="304">
                  <c:v>6.9588336710399989E-2</c:v>
                </c:pt>
                <c:pt idx="305">
                  <c:v>6.9624963683797864E-2</c:v>
                </c:pt>
                <c:pt idx="306">
                  <c:v>6.9661432813257457E-2</c:v>
                </c:pt>
                <c:pt idx="307">
                  <c:v>6.969781682474667E-2</c:v>
                </c:pt>
                <c:pt idx="308">
                  <c:v>6.9734189019683007E-2</c:v>
                </c:pt>
                <c:pt idx="309">
                  <c:v>6.9770622945816541E-2</c:v>
                </c:pt>
                <c:pt idx="310">
                  <c:v>6.9807192063139623E-2</c:v>
                </c:pt>
                <c:pt idx="311">
                  <c:v>6.9843969407126033E-2</c:v>
                </c:pt>
                <c:pt idx="312">
                  <c:v>6.9881027251643218E-2</c:v>
                </c:pt>
                <c:pt idx="313">
                  <c:v>6.9918436773903192E-2</c:v>
                </c:pt>
                <c:pt idx="314">
                  <c:v>6.9956267723820284E-2</c:v>
                </c:pt>
                <c:pt idx="315">
                  <c:v>6.9994588100124558E-2</c:v>
                </c:pt>
                <c:pt idx="316">
                  <c:v>7.003346383554189E-2</c:v>
                </c:pt>
                <c:pt idx="317">
                  <c:v>7.0072958493293105E-2</c:v>
                </c:pt>
                <c:pt idx="318">
                  <c:v>7.0113132977085518E-2</c:v>
                </c:pt>
                <c:pt idx="319">
                  <c:v>7.0154045256675068E-2</c:v>
                </c:pt>
                <c:pt idx="320">
                  <c:v>7.0195750110959909E-2</c:v>
                </c:pt>
                <c:pt idx="321">
                  <c:v>7.023829889043659E-2</c:v>
                </c:pt>
                <c:pt idx="322">
                  <c:v>7.028173930069935E-2</c:v>
                </c:pt>
                <c:pt idx="323">
                  <c:v>7.0326115208502377E-2</c:v>
                </c:pt>
                <c:pt idx="324">
                  <c:v>7.037146647172729E-2</c:v>
                </c:pt>
                <c:pt idx="325">
                  <c:v>7.0417828794410831E-2</c:v>
                </c:pt>
                <c:pt idx="326">
                  <c:v>7.0465233607790237E-2</c:v>
                </c:pt>
                <c:pt idx="327">
                  <c:v>7.0513707978117124E-2</c:v>
                </c:pt>
                <c:pt idx="328">
                  <c:v>7.0563274541778645E-2</c:v>
                </c:pt>
                <c:pt idx="329">
                  <c:v>7.0613951468047803E-2</c:v>
                </c:pt>
                <c:pt idx="330">
                  <c:v>7.0665752449564689E-2</c:v>
                </c:pt>
                <c:pt idx="331">
                  <c:v>7.0718686720431245E-2</c:v>
                </c:pt>
                <c:pt idx="332">
                  <c:v>7.0772759101582941E-2</c:v>
                </c:pt>
                <c:pt idx="333">
                  <c:v>7.082797007288541E-2</c:v>
                </c:pt>
                <c:pt idx="334">
                  <c:v>7.0884315871194883E-2</c:v>
                </c:pt>
                <c:pt idx="335">
                  <c:v>7.0941788613417586E-2</c:v>
                </c:pt>
                <c:pt idx="336">
                  <c:v>7.1000376443410743E-2</c:v>
                </c:pt>
                <c:pt idx="337">
                  <c:v>7.1060063701383319E-2</c:v>
                </c:pt>
                <c:pt idx="338">
                  <c:v>7.1120831114286312E-2</c:v>
                </c:pt>
                <c:pt idx="339">
                  <c:v>7.1182656005523426E-2</c:v>
                </c:pt>
                <c:pt idx="340">
                  <c:v>7.1245512522172927E-2</c:v>
                </c:pt>
                <c:pt idx="341">
                  <c:v>7.1309371877786812E-2</c:v>
                </c:pt>
                <c:pt idx="342">
                  <c:v>7.1374202608724777E-2</c:v>
                </c:pt>
                <c:pt idx="343">
                  <c:v>7.1439970841892408E-2</c:v>
                </c:pt>
                <c:pt idx="344">
                  <c:v>7.1506640571683669E-2</c:v>
                </c:pt>
                <c:pt idx="345">
                  <c:v>7.1574173943876288E-2</c:v>
                </c:pt>
                <c:pt idx="346">
                  <c:v>7.1642531544200069E-2</c:v>
                </c:pt>
                <c:pt idx="347">
                  <c:v>7.1711672689287465E-2</c:v>
                </c:pt>
                <c:pt idx="348">
                  <c:v>7.1781555717726389E-2</c:v>
                </c:pt>
                <c:pt idx="349">
                  <c:v>7.1852138278965597E-2</c:v>
                </c:pt>
                <c:pt idx="350">
                  <c:v>7.1923377617872528E-2</c:v>
                </c:pt>
                <c:pt idx="351">
                  <c:v>7.1995230852813175E-2</c:v>
                </c:pt>
                <c:pt idx="352">
                  <c:v>7.2067655245208959E-2</c:v>
                </c:pt>
                <c:pt idx="353">
                  <c:v>7.2140608458631184E-2</c:v>
                </c:pt>
                <c:pt idx="354">
                  <c:v>7.2214048805613676E-2</c:v>
                </c:pt>
                <c:pt idx="355">
                  <c:v>7.2287935480498958E-2</c:v>
                </c:pt>
                <c:pt idx="356">
                  <c:v>7.2362228776782403E-2</c:v>
                </c:pt>
                <c:pt idx="357">
                  <c:v>7.2436890287579547E-2</c:v>
                </c:pt>
                <c:pt idx="358">
                  <c:v>7.2511883088012971E-2</c:v>
                </c:pt>
                <c:pt idx="359">
                  <c:v>7.2587171898494632E-2</c:v>
                </c:pt>
                <c:pt idx="360">
                  <c:v>7.2662723228067022E-2</c:v>
                </c:pt>
                <c:pt idx="361">
                  <c:v>7.273850549715781E-2</c:v>
                </c:pt>
                <c:pt idx="362">
                  <c:v>7.2814489139298055E-2</c:v>
                </c:pt>
                <c:pt idx="363">
                  <c:v>7.2890646681551069E-2</c:v>
                </c:pt>
                <c:pt idx="364">
                  <c:v>7.2966952803594651E-2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4.3248347334019104E-4</c:v>
                </c:pt>
                <c:pt idx="1">
                  <c:v>4.2794188753134392E-4</c:v>
                </c:pt>
                <c:pt idx="2">
                  <c:v>4.2390027108680367E-4</c:v>
                </c:pt>
                <c:pt idx="3">
                  <c:v>4.2036996071891542E-4</c:v>
                </c:pt>
                <c:pt idx="4">
                  <c:v>4.173609712504127E-4</c:v>
                </c:pt>
                <c:pt idx="5">
                  <c:v>4.1488227395743415E-4</c:v>
                </c:pt>
                <c:pt idx="6">
                  <c:v>4.1294207542776372E-4</c:v>
                </c:pt>
                <c:pt idx="7">
                  <c:v>4.1154809503810301E-4</c:v>
                </c:pt>
                <c:pt idx="8">
                  <c:v>4.1066201982917108E-4</c:v>
                </c:pt>
                <c:pt idx="9">
                  <c:v>4.0969897587215192E-4</c:v>
                </c:pt>
                <c:pt idx="10">
                  <c:v>4.084724519436843E-4</c:v>
                </c:pt>
                <c:pt idx="11">
                  <c:v>4.0698271868775461E-4</c:v>
                </c:pt>
                <c:pt idx="12">
                  <c:v>4.052303669615522E-4</c:v>
                </c:pt>
                <c:pt idx="13">
                  <c:v>4.0321632178414238E-4</c:v>
                </c:pt>
                <c:pt idx="14">
                  <c:v>4.0094185373478017E-4</c:v>
                </c:pt>
                <c:pt idx="15">
                  <c:v>3.9832873190925221E-4</c:v>
                </c:pt>
                <c:pt idx="16">
                  <c:v>3.9510161667089113E-4</c:v>
                </c:pt>
                <c:pt idx="17">
                  <c:v>3.91271521927011E-4</c:v>
                </c:pt>
                <c:pt idx="18">
                  <c:v>3.8684999096807857E-4</c:v>
                </c:pt>
                <c:pt idx="19">
                  <c:v>3.8185124911753883E-4</c:v>
                </c:pt>
                <c:pt idx="20">
                  <c:v>3.7629091556406384E-4</c:v>
                </c:pt>
                <c:pt idx="21">
                  <c:v>3.701833777853411E-4</c:v>
                </c:pt>
                <c:pt idx="22">
                  <c:v>3.6352573694215597E-4</c:v>
                </c:pt>
                <c:pt idx="23">
                  <c:v>3.566593879782544E-4</c:v>
                </c:pt>
                <c:pt idx="24">
                  <c:v>3.5007839018412799E-4</c:v>
                </c:pt>
                <c:pt idx="25">
                  <c:v>3.4379233848284071E-4</c:v>
                </c:pt>
                <c:pt idx="26">
                  <c:v>3.3780915796701545E-4</c:v>
                </c:pt>
                <c:pt idx="27">
                  <c:v>3.3213526529337348E-4</c:v>
                </c:pt>
                <c:pt idx="28">
                  <c:v>3.2677573100888419E-4</c:v>
                </c:pt>
                <c:pt idx="29">
                  <c:v>3.2183223599886583E-4</c:v>
                </c:pt>
                <c:pt idx="30">
                  <c:v>3.1737469526254099E-4</c:v>
                </c:pt>
                <c:pt idx="31">
                  <c:v>3.134004382186638E-4</c:v>
                </c:pt>
                <c:pt idx="32">
                  <c:v>3.0990627182051416E-4</c:v>
                </c:pt>
                <c:pt idx="33">
                  <c:v>3.0688866150209004E-4</c:v>
                </c:pt>
                <c:pt idx="34">
                  <c:v>3.0434389991243992E-4</c:v>
                </c:pt>
                <c:pt idx="35">
                  <c:v>3.0226826405382119E-4</c:v>
                </c:pt>
                <c:pt idx="36">
                  <c:v>3.0062613837109683E-4</c:v>
                </c:pt>
                <c:pt idx="37">
                  <c:v>2.9944634954447418E-4</c:v>
                </c:pt>
                <c:pt idx="38">
                  <c:v>2.9843305278404809E-4</c:v>
                </c:pt>
                <c:pt idx="39">
                  <c:v>2.9758625861927847E-4</c:v>
                </c:pt>
                <c:pt idx="40">
                  <c:v>2.9690589312738371E-4</c:v>
                </c:pt>
                <c:pt idx="41">
                  <c:v>2.9639182894048246E-4</c:v>
                </c:pt>
                <c:pt idx="42">
                  <c:v>2.9604391505023351E-4</c:v>
                </c:pt>
                <c:pt idx="43">
                  <c:v>2.9596120470605952E-4</c:v>
                </c:pt>
                <c:pt idx="44">
                  <c:v>2.9605543589164514E-4</c:v>
                </c:pt>
                <c:pt idx="45">
                  <c:v>2.9632631049304579E-4</c:v>
                </c:pt>
                <c:pt idx="46">
                  <c:v>2.9677363346918624E-4</c:v>
                </c:pt>
                <c:pt idx="47">
                  <c:v>2.9739733846037179E-4</c:v>
                </c:pt>
                <c:pt idx="48">
                  <c:v>2.9819751267032795E-4</c:v>
                </c:pt>
                <c:pt idx="49">
                  <c:v>2.9917442123975399E-4</c:v>
                </c:pt>
                <c:pt idx="50">
                  <c:v>3.0032086081404236E-4</c:v>
                </c:pt>
                <c:pt idx="51">
                  <c:v>3.0132050382642036E-4</c:v>
                </c:pt>
                <c:pt idx="52">
                  <c:v>3.0211616344871448E-4</c:v>
                </c:pt>
                <c:pt idx="53">
                  <c:v>3.0270993202525165E-4</c:v>
                </c:pt>
                <c:pt idx="54">
                  <c:v>3.0310527357475971E-4</c:v>
                </c:pt>
                <c:pt idx="55">
                  <c:v>3.0330555321725344E-4</c:v>
                </c:pt>
                <c:pt idx="56">
                  <c:v>3.0331405310038396E-4</c:v>
                </c:pt>
                <c:pt idx="57">
                  <c:v>3.0239911389771826E-4</c:v>
                </c:pt>
                <c:pt idx="58">
                  <c:v>3.0048869051667321E-4</c:v>
                </c:pt>
                <c:pt idx="59">
                  <c:v>2.9760090727208588E-4</c:v>
                </c:pt>
                <c:pt idx="60">
                  <c:v>2.9375324280319547E-4</c:v>
                </c:pt>
                <c:pt idx="61">
                  <c:v>2.8896256467404751E-4</c:v>
                </c:pt>
                <c:pt idx="62">
                  <c:v>2.8324515683829425E-4</c:v>
                </c:pt>
                <c:pt idx="63">
                  <c:v>2.7661674030910588E-4</c:v>
                </c:pt>
                <c:pt idx="64">
                  <c:v>2.6909007157996416E-4</c:v>
                </c:pt>
                <c:pt idx="65">
                  <c:v>2.6069992063711443E-4</c:v>
                </c:pt>
                <c:pt idx="66">
                  <c:v>2.5174164853349707E-4</c:v>
                </c:pt>
                <c:pt idx="67">
                  <c:v>2.4222608554310502E-4</c:v>
                </c:pt>
                <c:pt idx="68">
                  <c:v>2.3216332051137495E-4</c:v>
                </c:pt>
                <c:pt idx="69">
                  <c:v>2.2156265365620148E-4</c:v>
                </c:pt>
                <c:pt idx="70">
                  <c:v>2.1043254977876535E-4</c:v>
                </c:pt>
                <c:pt idx="71">
                  <c:v>1.9920111340660115E-4</c:v>
                </c:pt>
                <c:pt idx="72">
                  <c:v>1.8854316388436916E-4</c:v>
                </c:pt>
                <c:pt idx="73">
                  <c:v>1.7844872325258212E-4</c:v>
                </c:pt>
                <c:pt idx="74">
                  <c:v>1.6890797201480286E-4</c:v>
                </c:pt>
                <c:pt idx="75">
                  <c:v>1.599112842962336E-4</c:v>
                </c:pt>
                <c:pt idx="76">
                  <c:v>1.5144926262536149E-4</c:v>
                </c:pt>
                <c:pt idx="77">
                  <c:v>1.4351277226916343E-4</c:v>
                </c:pt>
                <c:pt idx="78">
                  <c:v>1.3608660181867416E-4</c:v>
                </c:pt>
                <c:pt idx="79">
                  <c:v>1.2920651285964696E-4</c:v>
                </c:pt>
                <c:pt idx="80">
                  <c:v>1.2284764783409351E-4</c:v>
                </c:pt>
                <c:pt idx="81">
                  <c:v>1.1700414084389127E-4</c:v>
                </c:pt>
                <c:pt idx="82">
                  <c:v>1.1167016066760919E-4</c:v>
                </c:pt>
                <c:pt idx="83">
                  <c:v>1.0684000279850039E-4</c:v>
                </c:pt>
                <c:pt idx="84">
                  <c:v>1.0250817806388528E-4</c:v>
                </c:pt>
                <c:pt idx="85">
                  <c:v>9.877916520225808E-5</c:v>
                </c:pt>
                <c:pt idx="86">
                  <c:v>9.5250426750534851E-5</c:v>
                </c:pt>
                <c:pt idx="87">
                  <c:v>9.1919637465695788E-5</c:v>
                </c:pt>
                <c:pt idx="88">
                  <c:v>8.8784514581561236E-5</c:v>
                </c:pt>
                <c:pt idx="89">
                  <c:v>8.5848228356802077E-5</c:v>
                </c:pt>
                <c:pt idx="90">
                  <c:v>8.3240238228054277E-5</c:v>
                </c:pt>
                <c:pt idx="91">
                  <c:v>8.0821343335122191E-5</c:v>
                </c:pt>
                <c:pt idx="92">
                  <c:v>7.8589613208690561E-5</c:v>
                </c:pt>
                <c:pt idx="93">
                  <c:v>7.6914013821994346E-5</c:v>
                </c:pt>
                <c:pt idx="94">
                  <c:v>7.5744935604316825E-5</c:v>
                </c:pt>
                <c:pt idx="95">
                  <c:v>7.5080711375680347E-5</c:v>
                </c:pt>
                <c:pt idx="96">
                  <c:v>7.4920628179779347E-5</c:v>
                </c:pt>
                <c:pt idx="97">
                  <c:v>7.5264889763820893E-5</c:v>
                </c:pt>
                <c:pt idx="98">
                  <c:v>7.6114581025489193E-5</c:v>
                </c:pt>
                <c:pt idx="99">
                  <c:v>7.8251425380769163E-5</c:v>
                </c:pt>
                <c:pt idx="100">
                  <c:v>8.1571449750479354E-5</c:v>
                </c:pt>
                <c:pt idx="101">
                  <c:v>8.6082003792298974E-5</c:v>
                </c:pt>
                <c:pt idx="102">
                  <c:v>9.1792178109144273E-5</c:v>
                </c:pt>
                <c:pt idx="103">
                  <c:v>9.8712725058184404E-5</c:v>
                </c:pt>
                <c:pt idx="104">
                  <c:v>1.0685597794852506E-4</c:v>
                </c:pt>
                <c:pt idx="105">
                  <c:v>1.1623576776416844E-4</c:v>
                </c:pt>
                <c:pt idx="106">
                  <c:v>1.2686978100322498E-4</c:v>
                </c:pt>
                <c:pt idx="107">
                  <c:v>1.3956592520369572E-4</c:v>
                </c:pt>
                <c:pt idx="108">
                  <c:v>1.5397268552133994E-4</c:v>
                </c:pt>
                <c:pt idx="109">
                  <c:v>1.7011901042536263E-4</c:v>
                </c:pt>
                <c:pt idx="110">
                  <c:v>1.8803723899084467E-4</c:v>
                </c:pt>
                <c:pt idx="111">
                  <c:v>2.0776286078400262E-4</c:v>
                </c:pt>
                <c:pt idx="112">
                  <c:v>2.293339676528794E-4</c:v>
                </c:pt>
                <c:pt idx="113">
                  <c:v>2.5322856758182565E-4</c:v>
                </c:pt>
                <c:pt idx="114">
                  <c:v>2.7867790858796871E-4</c:v>
                </c:pt>
                <c:pt idx="115">
                  <c:v>3.0572375085333598E-4</c:v>
                </c:pt>
                <c:pt idx="116">
                  <c:v>3.3441040755714552E-4</c:v>
                </c:pt>
                <c:pt idx="117">
                  <c:v>3.6478476976385167E-4</c:v>
                </c:pt>
                <c:pt idx="118">
                  <c:v>3.9689632706184792E-4</c:v>
                </c:pt>
                <c:pt idx="119">
                  <c:v>4.307971836411488E-4</c:v>
                </c:pt>
                <c:pt idx="120">
                  <c:v>4.6654546581854987E-4</c:v>
                </c:pt>
                <c:pt idx="121">
                  <c:v>5.0462632828205528E-4</c:v>
                </c:pt>
                <c:pt idx="122">
                  <c:v>5.4425218372005811E-4</c:v>
                </c:pt>
                <c:pt idx="123">
                  <c:v>5.854726252561939E-4</c:v>
                </c:pt>
                <c:pt idx="124">
                  <c:v>6.2833788455921176E-4</c:v>
                </c:pt>
                <c:pt idx="125">
                  <c:v>6.7289868482524687E-4</c:v>
                </c:pt>
                <c:pt idx="126">
                  <c:v>7.1920607956965654E-4</c:v>
                </c:pt>
                <c:pt idx="127">
                  <c:v>7.6736798916185434E-4</c:v>
                </c:pt>
                <c:pt idx="128">
                  <c:v>8.1695053797545898E-4</c:v>
                </c:pt>
                <c:pt idx="129">
                  <c:v>8.6799251982855839E-4</c:v>
                </c:pt>
                <c:pt idx="130">
                  <c:v>9.205315854305668E-4</c:v>
                </c:pt>
                <c:pt idx="131">
                  <c:v>9.7460404166431871E-4</c:v>
                </c:pt>
                <c:pt idx="132">
                  <c:v>1.0302446405296953E-3</c:v>
                </c:pt>
                <c:pt idx="133">
                  <c:v>1.0874863581049792E-3</c:v>
                </c:pt>
                <c:pt idx="134">
                  <c:v>1.1463801502710853E-3</c:v>
                </c:pt>
                <c:pt idx="135">
                  <c:v>1.2069373288937394E-3</c:v>
                </c:pt>
                <c:pt idx="136">
                  <c:v>1.2687058221815531E-3</c:v>
                </c:pt>
                <c:pt idx="137">
                  <c:v>1.3317034496931261E-3</c:v>
                </c:pt>
                <c:pt idx="138">
                  <c:v>1.3959456363826996E-3</c:v>
                </c:pt>
                <c:pt idx="139">
                  <c:v>1.461445271206905E-3</c:v>
                </c:pt>
                <c:pt idx="140">
                  <c:v>1.5282125692126617E-3</c:v>
                </c:pt>
                <c:pt idx="141">
                  <c:v>1.5963304391666685E-3</c:v>
                </c:pt>
                <c:pt idx="142">
                  <c:v>1.6657402636618911E-3</c:v>
                </c:pt>
                <c:pt idx="143">
                  <c:v>1.7364415095158536E-3</c:v>
                </c:pt>
                <c:pt idx="144">
                  <c:v>1.8084403969684448E-3</c:v>
                </c:pt>
                <c:pt idx="145">
                  <c:v>1.8817406115033053E-3</c:v>
                </c:pt>
                <c:pt idx="146">
                  <c:v>1.9563432262234928E-3</c:v>
                </c:pt>
                <c:pt idx="147">
                  <c:v>2.0322466347649018E-3</c:v>
                </c:pt>
                <c:pt idx="148">
                  <c:v>2.1094477642486552E-3</c:v>
                </c:pt>
                <c:pt idx="149">
                  <c:v>2.1870490625910889E-3</c:v>
                </c:pt>
                <c:pt idx="150">
                  <c:v>2.265090496840576E-3</c:v>
                </c:pt>
                <c:pt idx="151">
                  <c:v>2.343548875366099E-3</c:v>
                </c:pt>
                <c:pt idx="152">
                  <c:v>2.4223994387871984E-3</c:v>
                </c:pt>
                <c:pt idx="153">
                  <c:v>2.5016159707252498E-3</c:v>
                </c:pt>
                <c:pt idx="154">
                  <c:v>2.581170922286974E-3</c:v>
                </c:pt>
                <c:pt idx="155">
                  <c:v>2.6591050108853223E-3</c:v>
                </c:pt>
                <c:pt idx="156">
                  <c:v>2.7351965650421481E-3</c:v>
                </c:pt>
                <c:pt idx="157">
                  <c:v>2.8093319838780398E-3</c:v>
                </c:pt>
                <c:pt idx="158">
                  <c:v>2.8813963374096658E-3</c:v>
                </c:pt>
                <c:pt idx="159">
                  <c:v>2.9512737430617835E-3</c:v>
                </c:pt>
                <c:pt idx="160">
                  <c:v>3.0188477474631494E-3</c:v>
                </c:pt>
                <c:pt idx="161">
                  <c:v>3.0840017090107696E-3</c:v>
                </c:pt>
                <c:pt idx="162">
                  <c:v>3.1466545118710551E-3</c:v>
                </c:pt>
                <c:pt idx="163">
                  <c:v>3.2054691713181934E-3</c:v>
                </c:pt>
                <c:pt idx="164">
                  <c:v>3.2613107025602707E-3</c:v>
                </c:pt>
                <c:pt idx="165">
                  <c:v>3.3140426967141457E-3</c:v>
                </c:pt>
                <c:pt idx="166">
                  <c:v>3.3635284346704253E-3</c:v>
                </c:pt>
                <c:pt idx="167">
                  <c:v>3.4096314208346078E-3</c:v>
                </c:pt>
                <c:pt idx="168">
                  <c:v>3.4522159145805422E-3</c:v>
                </c:pt>
                <c:pt idx="169">
                  <c:v>3.489869947814298E-3</c:v>
                </c:pt>
                <c:pt idx="170">
                  <c:v>3.524739489790968E-3</c:v>
                </c:pt>
                <c:pt idx="171">
                  <c:v>3.5567484444846572E-3</c:v>
                </c:pt>
                <c:pt idx="172">
                  <c:v>3.5858228795859516E-3</c:v>
                </c:pt>
                <c:pt idx="173">
                  <c:v>3.6118543403479888E-3</c:v>
                </c:pt>
                <c:pt idx="174">
                  <c:v>3.6347341112948186E-3</c:v>
                </c:pt>
                <c:pt idx="175">
                  <c:v>3.6543920673430329E-3</c:v>
                </c:pt>
                <c:pt idx="176">
                  <c:v>3.6708296286214448E-3</c:v>
                </c:pt>
                <c:pt idx="177">
                  <c:v>3.6816155203066459E-3</c:v>
                </c:pt>
                <c:pt idx="178">
                  <c:v>3.6879808918277293E-3</c:v>
                </c:pt>
                <c:pt idx="179">
                  <c:v>3.6898509356329428E-3</c:v>
                </c:pt>
                <c:pt idx="180">
                  <c:v>3.6871556873520539E-3</c:v>
                </c:pt>
                <c:pt idx="181">
                  <c:v>3.6798299721135059E-3</c:v>
                </c:pt>
                <c:pt idx="182">
                  <c:v>3.6678133129793653E-3</c:v>
                </c:pt>
                <c:pt idx="183">
                  <c:v>3.6498797699675762E-3</c:v>
                </c:pt>
                <c:pt idx="184">
                  <c:v>3.6273095659026333E-3</c:v>
                </c:pt>
                <c:pt idx="185">
                  <c:v>3.6000489394074136E-3</c:v>
                </c:pt>
                <c:pt idx="186">
                  <c:v>3.5680482549397619E-3</c:v>
                </c:pt>
                <c:pt idx="187">
                  <c:v>3.5312617800175548E-3</c:v>
                </c:pt>
                <c:pt idx="188">
                  <c:v>3.4896474380082488E-3</c:v>
                </c:pt>
                <c:pt idx="189">
                  <c:v>3.443166539771482E-3</c:v>
                </c:pt>
                <c:pt idx="190">
                  <c:v>3.3918113959077257E-3</c:v>
                </c:pt>
                <c:pt idx="191">
                  <c:v>3.3357983522813838E-3</c:v>
                </c:pt>
                <c:pt idx="192">
                  <c:v>3.2778273694896352E-3</c:v>
                </c:pt>
                <c:pt idx="193">
                  <c:v>3.2179112725248728E-3</c:v>
                </c:pt>
                <c:pt idx="194">
                  <c:v>3.1560632800328361E-3</c:v>
                </c:pt>
                <c:pt idx="195">
                  <c:v>3.0922968847320979E-3</c:v>
                </c:pt>
                <c:pt idx="196">
                  <c:v>3.0266257469578855E-3</c:v>
                </c:pt>
                <c:pt idx="197">
                  <c:v>2.9589172423684787E-3</c:v>
                </c:pt>
                <c:pt idx="198">
                  <c:v>2.8904312837508546E-3</c:v>
                </c:pt>
                <c:pt idx="199">
                  <c:v>2.8211915522476068E-3</c:v>
                </c:pt>
                <c:pt idx="200">
                  <c:v>2.7512212239310008E-3</c:v>
                </c:pt>
                <c:pt idx="201">
                  <c:v>2.6805429450289433E-3</c:v>
                </c:pt>
                <c:pt idx="202">
                  <c:v>2.6091788212740069E-3</c:v>
                </c:pt>
                <c:pt idx="203">
                  <c:v>2.5371504209527108E-3</c:v>
                </c:pt>
                <c:pt idx="204">
                  <c:v>2.4644884209341716E-3</c:v>
                </c:pt>
                <c:pt idx="205">
                  <c:v>2.3913046121469246E-3</c:v>
                </c:pt>
                <c:pt idx="206">
                  <c:v>2.3173640037000495E-3</c:v>
                </c:pt>
                <c:pt idx="207">
                  <c:v>2.2426887974532094E-3</c:v>
                </c:pt>
                <c:pt idx="208">
                  <c:v>2.1672996123817292E-3</c:v>
                </c:pt>
                <c:pt idx="209">
                  <c:v>2.0912154996332172E-3</c:v>
                </c:pt>
                <c:pt idx="210">
                  <c:v>2.0144539663090873E-3</c:v>
                </c:pt>
                <c:pt idx="211">
                  <c:v>1.9378664394416518E-3</c:v>
                </c:pt>
                <c:pt idx="212">
                  <c:v>1.8616371544020033E-3</c:v>
                </c:pt>
                <c:pt idx="213">
                  <c:v>1.7857891853186958E-3</c:v>
                </c:pt>
                <c:pt idx="214">
                  <c:v>1.7103439853334663E-3</c:v>
                </c:pt>
                <c:pt idx="215">
                  <c:v>1.6353214747193865E-3</c:v>
                </c:pt>
                <c:pt idx="216">
                  <c:v>1.5607401292564152E-3</c:v>
                </c:pt>
                <c:pt idx="217">
                  <c:v>1.4866170678147703E-3</c:v>
                </c:pt>
                <c:pt idx="218">
                  <c:v>1.4129661273876608E-3</c:v>
                </c:pt>
                <c:pt idx="219">
                  <c:v>1.3407146786696179E-3</c:v>
                </c:pt>
                <c:pt idx="220">
                  <c:v>1.2698041195774116E-3</c:v>
                </c:pt>
                <c:pt idx="221">
                  <c:v>1.2002515326695507E-3</c:v>
                </c:pt>
                <c:pt idx="222">
                  <c:v>1.1320739215528949E-3</c:v>
                </c:pt>
                <c:pt idx="223">
                  <c:v>1.0652882581137328E-3</c:v>
                </c:pt>
                <c:pt idx="224">
                  <c:v>9.9991152272460105E-4</c:v>
                </c:pt>
                <c:pt idx="225">
                  <c:v>9.3767055151347035E-4</c:v>
                </c:pt>
                <c:pt idx="226">
                  <c:v>8.7772461161265112E-4</c:v>
                </c:pt>
                <c:pt idx="227">
                  <c:v>8.200969719200635E-4</c:v>
                </c:pt>
                <c:pt idx="228">
                  <c:v>7.6481083867929495E-4</c:v>
                </c:pt>
                <c:pt idx="229">
                  <c:v>7.1188934249166735E-4</c:v>
                </c:pt>
                <c:pt idx="230">
                  <c:v>6.6135551805063405E-4</c:v>
                </c:pt>
                <c:pt idx="231">
                  <c:v>6.1323227704353461E-4</c:v>
                </c:pt>
                <c:pt idx="232">
                  <c:v>5.6753300507239536E-4</c:v>
                </c:pt>
                <c:pt idx="233">
                  <c:v>5.2603276646284844E-4</c:v>
                </c:pt>
                <c:pt idx="234">
                  <c:v>4.878211067294239E-4</c:v>
                </c:pt>
                <c:pt idx="235">
                  <c:v>4.5293148308732156E-4</c:v>
                </c:pt>
                <c:pt idx="236">
                  <c:v>4.2139510504720035E-4</c:v>
                </c:pt>
                <c:pt idx="237">
                  <c:v>3.9324081327536117E-4</c:v>
                </c:pt>
                <c:pt idx="238">
                  <c:v>3.684957200433111E-4</c:v>
                </c:pt>
                <c:pt idx="239">
                  <c:v>3.4802217965442228E-4</c:v>
                </c:pt>
                <c:pt idx="240">
                  <c:v>3.3008210202102091E-4</c:v>
                </c:pt>
                <c:pt idx="241">
                  <c:v>3.1469379430345109E-4</c:v>
                </c:pt>
                <c:pt idx="242">
                  <c:v>3.0187504589976723E-4</c:v>
                </c:pt>
                <c:pt idx="243">
                  <c:v>2.9164336820992171E-4</c:v>
                </c:pt>
                <c:pt idx="244">
                  <c:v>2.8401623833725201E-4</c:v>
                </c:pt>
                <c:pt idx="245">
                  <c:v>2.7901134683400364E-4</c:v>
                </c:pt>
                <c:pt idx="246">
                  <c:v>2.7663615718320322E-4</c:v>
                </c:pt>
                <c:pt idx="247">
                  <c:v>2.7723692676120314E-4</c:v>
                </c:pt>
                <c:pt idx="248">
                  <c:v>2.7902472185758657E-4</c:v>
                </c:pt>
                <c:pt idx="249">
                  <c:v>2.8200838113531253E-4</c:v>
                </c:pt>
                <c:pt idx="250">
                  <c:v>2.8619672778980987E-4</c:v>
                </c:pt>
                <c:pt idx="251">
                  <c:v>2.9159863308010132E-4</c:v>
                </c:pt>
                <c:pt idx="252">
                  <c:v>2.9822308032803559E-4</c:v>
                </c:pt>
                <c:pt idx="253">
                  <c:v>3.0633340435817953E-4</c:v>
                </c:pt>
                <c:pt idx="254">
                  <c:v>3.1507878028603196E-4</c:v>
                </c:pt>
                <c:pt idx="255">
                  <c:v>3.2446547045968268E-4</c:v>
                </c:pt>
                <c:pt idx="256">
                  <c:v>3.3449998755204728E-4</c:v>
                </c:pt>
                <c:pt idx="257">
                  <c:v>3.4518913291341186E-4</c:v>
                </c:pt>
                <c:pt idx="258">
                  <c:v>3.5654003649420449E-4</c:v>
                </c:pt>
                <c:pt idx="259">
                  <c:v>3.6856019889495013E-4</c:v>
                </c:pt>
                <c:pt idx="260">
                  <c:v>3.8125237317072116E-4</c:v>
                </c:pt>
                <c:pt idx="261">
                  <c:v>3.9542175043442122E-4</c:v>
                </c:pt>
                <c:pt idx="262">
                  <c:v>4.107269847532422E-4</c:v>
                </c:pt>
                <c:pt idx="263">
                  <c:v>4.2717473693483217E-4</c:v>
                </c:pt>
                <c:pt idx="264">
                  <c:v>4.4477157000868446E-4</c:v>
                </c:pt>
                <c:pt idx="265">
                  <c:v>4.6352637662922203E-4</c:v>
                </c:pt>
                <c:pt idx="266">
                  <c:v>4.8344701278689434E-4</c:v>
                </c:pt>
                <c:pt idx="267">
                  <c:v>5.0431424199545065E-4</c:v>
                </c:pt>
                <c:pt idx="268">
                  <c:v>5.258678409011011E-4</c:v>
                </c:pt>
                <c:pt idx="269">
                  <c:v>5.4810912138860584E-4</c:v>
                </c:pt>
                <c:pt idx="270">
                  <c:v>5.7103902383436934E-4</c:v>
                </c:pt>
                <c:pt idx="271">
                  <c:v>5.9465809656003316E-4</c:v>
                </c:pt>
                <c:pt idx="272">
                  <c:v>6.1896647894683866E-4</c:v>
                </c:pt>
                <c:pt idx="273">
                  <c:v>6.4396388881194993E-4</c:v>
                </c:pt>
                <c:pt idx="274">
                  <c:v>6.6965969769735071E-4</c:v>
                </c:pt>
                <c:pt idx="275">
                  <c:v>6.9460357246592028E-4</c:v>
                </c:pt>
                <c:pt idx="276">
                  <c:v>7.1795221370712632E-4</c:v>
                </c:pt>
                <c:pt idx="277">
                  <c:v>7.3968850157161753E-4</c:v>
                </c:pt>
                <c:pt idx="278">
                  <c:v>7.5979491970151985E-4</c:v>
                </c:pt>
                <c:pt idx="279">
                  <c:v>7.7825370334064659E-4</c:v>
                </c:pt>
                <c:pt idx="280">
                  <c:v>7.9504698811090299E-4</c:v>
                </c:pt>
                <c:pt idx="281">
                  <c:v>8.0958462742452685E-4</c:v>
                </c:pt>
                <c:pt idx="282">
                  <c:v>8.2207943288056112E-4</c:v>
                </c:pt>
                <c:pt idx="283">
                  <c:v>8.3251243970903826E-4</c:v>
                </c:pt>
                <c:pt idx="284">
                  <c:v>8.4086528578008459E-4</c:v>
                </c:pt>
                <c:pt idx="285">
                  <c:v>8.471203678339659E-4</c:v>
                </c:pt>
                <c:pt idx="286">
                  <c:v>8.5126099047355707E-4</c:v>
                </c:pt>
                <c:pt idx="287">
                  <c:v>8.5327150664840515E-4</c:v>
                </c:pt>
                <c:pt idx="288">
                  <c:v>8.5314456820075242E-4</c:v>
                </c:pt>
                <c:pt idx="289">
                  <c:v>8.5090369149048994E-4</c:v>
                </c:pt>
                <c:pt idx="290">
                  <c:v>8.4804538670866679E-4</c:v>
                </c:pt>
                <c:pt idx="291">
                  <c:v>8.4457237112314223E-4</c:v>
                </c:pt>
                <c:pt idx="292">
                  <c:v>8.4048801357348882E-4</c:v>
                </c:pt>
                <c:pt idx="293">
                  <c:v>8.3579630182336587E-4</c:v>
                </c:pt>
                <c:pt idx="294">
                  <c:v>8.3050180213004477E-4</c:v>
                </c:pt>
                <c:pt idx="295">
                  <c:v>8.2471678523144938E-4</c:v>
                </c:pt>
                <c:pt idx="296">
                  <c:v>8.190428701680166E-4</c:v>
                </c:pt>
                <c:pt idx="297">
                  <c:v>8.1349519467282584E-4</c:v>
                </c:pt>
                <c:pt idx="298">
                  <c:v>8.0808239531702825E-4</c:v>
                </c:pt>
                <c:pt idx="299">
                  <c:v>8.0281347799878323E-4</c:v>
                </c:pt>
                <c:pt idx="300">
                  <c:v>7.9769781619206987E-4</c:v>
                </c:pt>
                <c:pt idx="301">
                  <c:v>7.9274514944722941E-4</c:v>
                </c:pt>
                <c:pt idx="302">
                  <c:v>7.8802789354592514E-4</c:v>
                </c:pt>
                <c:pt idx="303">
                  <c:v>7.8383272349068082E-4</c:v>
                </c:pt>
                <c:pt idx="304">
                  <c:v>7.8011413949079396E-4</c:v>
                </c:pt>
                <c:pt idx="305">
                  <c:v>7.7685197815846986E-4</c:v>
                </c:pt>
                <c:pt idx="306">
                  <c:v>7.7402623411127261E-4</c:v>
                </c:pt>
                <c:pt idx="307">
                  <c:v>7.7161684876090231E-4</c:v>
                </c:pt>
                <c:pt idx="308">
                  <c:v>7.6960350509049785E-4</c:v>
                </c:pt>
                <c:pt idx="309">
                  <c:v>7.6861503459300451E-4</c:v>
                </c:pt>
                <c:pt idx="310">
                  <c:v>7.6852496761120994E-4</c:v>
                </c:pt>
                <c:pt idx="311">
                  <c:v>7.6931521879156095E-4</c:v>
                </c:pt>
                <c:pt idx="312">
                  <c:v>7.709664845379499E-4</c:v>
                </c:pt>
                <c:pt idx="313">
                  <c:v>7.7345787831793083E-4</c:v>
                </c:pt>
                <c:pt idx="314">
                  <c:v>7.7676656392312729E-4</c:v>
                </c:pt>
                <c:pt idx="315">
                  <c:v>7.8086739048823287E-4</c:v>
                </c:pt>
                <c:pt idx="316">
                  <c:v>7.8584353323391616E-4</c:v>
                </c:pt>
                <c:pt idx="317">
                  <c:v>7.9438369705767207E-4</c:v>
                </c:pt>
                <c:pt idx="318">
                  <c:v>8.0626656048266986E-4</c:v>
                </c:pt>
                <c:pt idx="319">
                  <c:v>8.2151402983764816E-4</c:v>
                </c:pt>
                <c:pt idx="320">
                  <c:v>8.4014851053790468E-4</c:v>
                </c:pt>
                <c:pt idx="321">
                  <c:v>8.621926470754592E-4</c:v>
                </c:pt>
                <c:pt idx="322">
                  <c:v>8.876690128628719E-4</c:v>
                </c:pt>
                <c:pt idx="323">
                  <c:v>9.1737369601233671E-4</c:v>
                </c:pt>
                <c:pt idx="324">
                  <c:v>9.5066072647826847E-4</c:v>
                </c:pt>
                <c:pt idx="325">
                  <c:v>9.8755100010232302E-4</c:v>
                </c:pt>
                <c:pt idx="326">
                  <c:v>1.0280570794391859E-3</c:v>
                </c:pt>
                <c:pt idx="327">
                  <c:v>1.0721923034776207E-3</c:v>
                </c:pt>
                <c:pt idx="328">
                  <c:v>1.119971944825905E-3</c:v>
                </c:pt>
                <c:pt idx="329">
                  <c:v>1.1714076738111481E-3</c:v>
                </c:pt>
                <c:pt idx="330">
                  <c:v>1.2267164275826118E-3</c:v>
                </c:pt>
                <c:pt idx="331">
                  <c:v>1.2827390768290446E-3</c:v>
                </c:pt>
                <c:pt idx="332">
                  <c:v>1.336758848656844E-3</c:v>
                </c:pt>
                <c:pt idx="333">
                  <c:v>1.388703616232773E-3</c:v>
                </c:pt>
                <c:pt idx="334">
                  <c:v>1.4384826083561077E-3</c:v>
                </c:pt>
                <c:pt idx="335">
                  <c:v>1.4859869784740614E-3</c:v>
                </c:pt>
                <c:pt idx="336">
                  <c:v>1.5310906222791387E-3</c:v>
                </c:pt>
                <c:pt idx="337">
                  <c:v>1.5720963200112539E-3</c:v>
                </c:pt>
                <c:pt idx="338">
                  <c:v>1.6080237806264097E-3</c:v>
                </c:pt>
                <c:pt idx="339">
                  <c:v>1.6386847660475553E-3</c:v>
                </c:pt>
                <c:pt idx="340">
                  <c:v>1.663885809985057E-3</c:v>
                </c:pt>
                <c:pt idx="341">
                  <c:v>1.6834328705407477E-3</c:v>
                </c:pt>
                <c:pt idx="342">
                  <c:v>1.6971364699666282E-3</c:v>
                </c:pt>
                <c:pt idx="343">
                  <c:v>1.7048172620146671E-3</c:v>
                </c:pt>
                <c:pt idx="344">
                  <c:v>1.7065303643919796E-3</c:v>
                </c:pt>
                <c:pt idx="345">
                  <c:v>1.7024514339822863E-3</c:v>
                </c:pt>
                <c:pt idx="346">
                  <c:v>1.6969865289828137E-3</c:v>
                </c:pt>
                <c:pt idx="347">
                  <c:v>1.6901627186778933E-3</c:v>
                </c:pt>
                <c:pt idx="348">
                  <c:v>1.6820106082346233E-3</c:v>
                </c:pt>
                <c:pt idx="349">
                  <c:v>1.6725640663480883E-3</c:v>
                </c:pt>
                <c:pt idx="350">
                  <c:v>1.6618599320075342E-3</c:v>
                </c:pt>
                <c:pt idx="351">
                  <c:v>1.6508246855533796E-3</c:v>
                </c:pt>
                <c:pt idx="352">
                  <c:v>1.6410504131641167E-3</c:v>
                </c:pt>
                <c:pt idx="353">
                  <c:v>1.6325580381913798E-3</c:v>
                </c:pt>
                <c:pt idx="354">
                  <c:v>1.6253659349675308E-3</c:v>
                </c:pt>
                <c:pt idx="355">
                  <c:v>1.6194900785329327E-3</c:v>
                </c:pt>
                <c:pt idx="356">
                  <c:v>1.6149294500236251E-3</c:v>
                </c:pt>
                <c:pt idx="357">
                  <c:v>1.6117086790004779E-3</c:v>
                </c:pt>
                <c:pt idx="358">
                  <c:v>1.6095394788083839E-3</c:v>
                </c:pt>
                <c:pt idx="359">
                  <c:v>1.6081786067057811E-3</c:v>
                </c:pt>
                <c:pt idx="360">
                  <c:v>1.6061874198794665E-3</c:v>
                </c:pt>
                <c:pt idx="361">
                  <c:v>1.6028071291345131E-3</c:v>
                </c:pt>
                <c:pt idx="362">
                  <c:v>1.598145544937766E-3</c:v>
                </c:pt>
                <c:pt idx="363">
                  <c:v>1.5923109854742868E-3</c:v>
                </c:pt>
                <c:pt idx="364">
                  <c:v>1.5854111621755771E-3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4435512"/>
        <c:axId val="644435904"/>
      </c:lineChart>
      <c:dateAx>
        <c:axId val="6444355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5904"/>
        <c:crosses val="autoZero"/>
        <c:auto val="1"/>
        <c:lblOffset val="100"/>
        <c:baseTimeUnit val="days"/>
        <c:majorUnit val="1"/>
        <c:majorTimeUnit val="months"/>
      </c:dateAx>
      <c:valAx>
        <c:axId val="6444359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4435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86584"/>
        <c:axId val="640287368"/>
      </c:lineChart>
      <c:dateAx>
        <c:axId val="640286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736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64028736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6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8.8791016788630356E-3</c:v>
                </c:pt>
                <c:pt idx="1">
                  <c:v>8.4111513235046245E-3</c:v>
                </c:pt>
                <c:pt idx="2">
                  <c:v>7.9394884766269616E-3</c:v>
                </c:pt>
                <c:pt idx="3">
                  <c:v>7.4640807895244073E-3</c:v>
                </c:pt>
                <c:pt idx="4">
                  <c:v>6.9849007158065959E-3</c:v>
                </c:pt>
                <c:pt idx="5">
                  <c:v>6.501925595948913E-3</c:v>
                </c:pt>
                <c:pt idx="6">
                  <c:v>6.0151377419265144E-3</c:v>
                </c:pt>
                <c:pt idx="7">
                  <c:v>5.5245245216931594E-3</c:v>
                </c:pt>
                <c:pt idx="8">
                  <c:v>5.0300784437656261E-3</c:v>
                </c:pt>
                <c:pt idx="9">
                  <c:v>4.5576343572666213E-3</c:v>
                </c:pt>
                <c:pt idx="10">
                  <c:v>4.1320726907236264E-3</c:v>
                </c:pt>
                <c:pt idx="11">
                  <c:v>3.7534637105510172E-3</c:v>
                </c:pt>
                <c:pt idx="12">
                  <c:v>3.421876988041311E-3</c:v>
                </c:pt>
                <c:pt idx="13">
                  <c:v>3.1373801955196742E-3</c:v>
                </c:pt>
                <c:pt idx="14">
                  <c:v>2.900037902446998E-3</c:v>
                </c:pt>
                <c:pt idx="15">
                  <c:v>2.712987292004585E-3</c:v>
                </c:pt>
                <c:pt idx="16">
                  <c:v>2.5547228116979616E-3</c:v>
                </c:pt>
                <c:pt idx="17">
                  <c:v>2.4252777912153883E-3</c:v>
                </c:pt>
                <c:pt idx="18">
                  <c:v>2.3246814494286869E-3</c:v>
                </c:pt>
                <c:pt idx="19">
                  <c:v>2.2529707261711822E-3</c:v>
                </c:pt>
                <c:pt idx="20">
                  <c:v>2.2101815943121462E-3</c:v>
                </c:pt>
                <c:pt idx="21">
                  <c:v>2.1963347460880402E-3</c:v>
                </c:pt>
                <c:pt idx="22">
                  <c:v>2.2114464279610396E-3</c:v>
                </c:pt>
                <c:pt idx="23">
                  <c:v>2.2549513078918173E-3</c:v>
                </c:pt>
                <c:pt idx="24">
                  <c:v>2.3009206500066337E-3</c:v>
                </c:pt>
                <c:pt idx="25">
                  <c:v>2.349355083908477E-3</c:v>
                </c:pt>
                <c:pt idx="26">
                  <c:v>2.4002551783669735E-3</c:v>
                </c:pt>
                <c:pt idx="27">
                  <c:v>2.4536214726039304E-3</c:v>
                </c:pt>
                <c:pt idx="28">
                  <c:v>2.5094545076297724E-3</c:v>
                </c:pt>
                <c:pt idx="29">
                  <c:v>2.5648676590492602E-3</c:v>
                </c:pt>
                <c:pt idx="30">
                  <c:v>2.6167797335191205E-3</c:v>
                </c:pt>
                <c:pt idx="31">
                  <c:v>2.6651922075034344E-3</c:v>
                </c:pt>
                <c:pt idx="32">
                  <c:v>2.7101070624538366E-3</c:v>
                </c:pt>
                <c:pt idx="33">
                  <c:v>2.7515267414894781E-3</c:v>
                </c:pt>
                <c:pt idx="34">
                  <c:v>2.7894541060892058E-3</c:v>
                </c:pt>
                <c:pt idx="35">
                  <c:v>2.8238923927820705E-3</c:v>
                </c:pt>
                <c:pt idx="36">
                  <c:v>2.8548451698322819E-3</c:v>
                </c:pt>
                <c:pt idx="37">
                  <c:v>2.8847581750299878E-3</c:v>
                </c:pt>
                <c:pt idx="38">
                  <c:v>2.9142121685425105E-3</c:v>
                </c:pt>
                <c:pt idx="39">
                  <c:v>2.9432106385809463E-3</c:v>
                </c:pt>
                <c:pt idx="40">
                  <c:v>2.9717572267198623E-3</c:v>
                </c:pt>
                <c:pt idx="41">
                  <c:v>2.9998557223617807E-3</c:v>
                </c:pt>
                <c:pt idx="42">
                  <c:v>3.0275100571817196E-3</c:v>
                </c:pt>
                <c:pt idx="43">
                  <c:v>3.051509807661217E-3</c:v>
                </c:pt>
                <c:pt idx="44">
                  <c:v>3.0747440796037666E-3</c:v>
                </c:pt>
                <c:pt idx="45">
                  <c:v>3.0972172215801455E-3</c:v>
                </c:pt>
                <c:pt idx="46">
                  <c:v>3.1189336731381151E-3</c:v>
                </c:pt>
                <c:pt idx="47">
                  <c:v>3.1398979551410106E-3</c:v>
                </c:pt>
                <c:pt idx="48">
                  <c:v>3.1601146600659649E-3</c:v>
                </c:pt>
                <c:pt idx="49">
                  <c:v>3.1795884423301908E-3</c:v>
                </c:pt>
                <c:pt idx="50">
                  <c:v>3.1983240085980808E-3</c:v>
                </c:pt>
                <c:pt idx="51">
                  <c:v>3.2069010991589843E-3</c:v>
                </c:pt>
                <c:pt idx="52">
                  <c:v>3.2028674236117354E-3</c:v>
                </c:pt>
                <c:pt idx="53">
                  <c:v>3.1862062340354859E-3</c:v>
                </c:pt>
                <c:pt idx="54">
                  <c:v>3.1569164039052405E-3</c:v>
                </c:pt>
                <c:pt idx="55">
                  <c:v>3.1149966228591112E-3</c:v>
                </c:pt>
                <c:pt idx="56">
                  <c:v>3.0604454434529547E-3</c:v>
                </c:pt>
                <c:pt idx="57">
                  <c:v>2.9941430634850357E-3</c:v>
                </c:pt>
                <c:pt idx="58">
                  <c:v>2.9193010221244381E-3</c:v>
                </c:pt>
                <c:pt idx="59">
                  <c:v>2.835917821598085E-3</c:v>
                </c:pt>
                <c:pt idx="60">
                  <c:v>2.7439920288076032E-3</c:v>
                </c:pt>
                <c:pt idx="61">
                  <c:v>2.6435223069366971E-3</c:v>
                </c:pt>
                <c:pt idx="62">
                  <c:v>2.534507447054522E-3</c:v>
                </c:pt>
                <c:pt idx="63">
                  <c:v>2.416946399727071E-3</c:v>
                </c:pt>
                <c:pt idx="64">
                  <c:v>2.2908383066181236E-3</c:v>
                </c:pt>
                <c:pt idx="65">
                  <c:v>2.1596488657016182E-3</c:v>
                </c:pt>
                <c:pt idx="66">
                  <c:v>2.0328031428347012E-3</c:v>
                </c:pt>
                <c:pt idx="67">
                  <c:v>1.9103010683553421E-3</c:v>
                </c:pt>
                <c:pt idx="68">
                  <c:v>1.7921427065704135E-3</c:v>
                </c:pt>
                <c:pt idx="69">
                  <c:v>1.6783282396635986E-3</c:v>
                </c:pt>
                <c:pt idx="70">
                  <c:v>1.5688579516128516E-3</c:v>
                </c:pt>
                <c:pt idx="71">
                  <c:v>1.4645337790184475E-3</c:v>
                </c:pt>
                <c:pt idx="72">
                  <c:v>1.3644743754794941E-3</c:v>
                </c:pt>
                <c:pt idx="73">
                  <c:v>1.2686802282267575E-3</c:v>
                </c:pt>
                <c:pt idx="74">
                  <c:v>1.1771518629335497E-3</c:v>
                </c:pt>
                <c:pt idx="75">
                  <c:v>1.0898898279288367E-3</c:v>
                </c:pt>
                <c:pt idx="76">
                  <c:v>1.0068946784064247E-3</c:v>
                </c:pt>
                <c:pt idx="77">
                  <c:v>9.2816696063796947E-4</c:v>
                </c:pt>
                <c:pt idx="78">
                  <c:v>8.5370722452630531E-4</c:v>
                </c:pt>
                <c:pt idx="79">
                  <c:v>7.8512101170454213E-4</c:v>
                </c:pt>
                <c:pt idx="80">
                  <c:v>7.1894444097689682E-4</c:v>
                </c:pt>
                <c:pt idx="81">
                  <c:v>6.5517697446774504E-4</c:v>
                </c:pt>
                <c:pt idx="82">
                  <c:v>5.9381815211052142E-4</c:v>
                </c:pt>
                <c:pt idx="83">
                  <c:v>5.3486758394831165E-4</c:v>
                </c:pt>
                <c:pt idx="84">
                  <c:v>4.7832494243634123E-4</c:v>
                </c:pt>
                <c:pt idx="85">
                  <c:v>4.2591873933126636E-4</c:v>
                </c:pt>
                <c:pt idx="86">
                  <c:v>3.7684737716026226E-4</c:v>
                </c:pt>
                <c:pt idx="87">
                  <c:v>3.3111050067872929E-4</c:v>
                </c:pt>
                <c:pt idx="88">
                  <c:v>2.8870776947115034E-4</c:v>
                </c:pt>
                <c:pt idx="89">
                  <c:v>2.4963884727995436E-4</c:v>
                </c:pt>
                <c:pt idx="90">
                  <c:v>2.1390339133381625E-4</c:v>
                </c:pt>
                <c:pt idx="91">
                  <c:v>1.8150104167696514E-4</c:v>
                </c:pt>
                <c:pt idx="92">
                  <c:v>1.5243141049763143E-4</c:v>
                </c:pt>
                <c:pt idx="93">
                  <c:v>1.281073410418383E-4</c:v>
                </c:pt>
                <c:pt idx="94">
                  <c:v>1.0692744806346284E-4</c:v>
                </c:pt>
                <c:pt idx="95">
                  <c:v>8.8891224065601956E-5</c:v>
                </c:pt>
                <c:pt idx="96">
                  <c:v>7.3998095026863526E-5</c:v>
                </c:pt>
                <c:pt idx="97">
                  <c:v>6.2247410331522696E-5</c:v>
                </c:pt>
                <c:pt idx="98">
                  <c:v>5.3638432698756495E-5</c:v>
                </c:pt>
                <c:pt idx="99">
                  <c:v>4.9684398099394474E-5</c:v>
                </c:pt>
                <c:pt idx="100">
                  <c:v>4.8657127291659715E-5</c:v>
                </c:pt>
                <c:pt idx="101">
                  <c:v>5.0555609819573195E-5</c:v>
                </c:pt>
                <c:pt idx="102">
                  <c:v>5.5378715419698998E-5</c:v>
                </c:pt>
                <c:pt idx="103">
                  <c:v>6.3125184632918996E-5</c:v>
                </c:pt>
                <c:pt idx="104">
                  <c:v>7.3793619417424514E-5</c:v>
                </c:pt>
                <c:pt idx="105">
                  <c:v>8.7382473760599759E-5</c:v>
                </c:pt>
                <c:pt idx="106">
                  <c:v>1.0389004429160642E-4</c:v>
                </c:pt>
                <c:pt idx="107">
                  <c:v>1.2673200360732113E-4</c:v>
                </c:pt>
                <c:pt idx="108">
                  <c:v>1.5449385497377902E-4</c:v>
                </c:pt>
                <c:pt idx="109">
                  <c:v>1.8717213651930648E-4</c:v>
                </c:pt>
                <c:pt idx="110">
                  <c:v>2.2476371055511548E-4</c:v>
                </c:pt>
                <c:pt idx="111">
                  <c:v>2.6726561072688235E-4</c:v>
                </c:pt>
                <c:pt idx="112">
                  <c:v>3.1467427542579467E-4</c:v>
                </c:pt>
                <c:pt idx="113">
                  <c:v>3.7148244834052965E-4</c:v>
                </c:pt>
                <c:pt idx="114">
                  <c:v>4.3617307393812107E-4</c:v>
                </c:pt>
                <c:pt idx="115">
                  <c:v>5.0874001380927104E-4</c:v>
                </c:pt>
                <c:pt idx="116">
                  <c:v>5.8917682604608967E-4</c:v>
                </c:pt>
                <c:pt idx="117">
                  <c:v>6.7747674795055738E-4</c:v>
                </c:pt>
                <c:pt idx="118">
                  <c:v>7.7363267873880399E-4</c:v>
                </c:pt>
                <c:pt idx="119">
                  <c:v>8.7763716224643505E-4</c:v>
                </c:pt>
                <c:pt idx="120">
                  <c:v>9.8948236963225435E-4</c:v>
                </c:pt>
                <c:pt idx="121">
                  <c:v>1.1136975675785242E-3</c:v>
                </c:pt>
                <c:pt idx="122">
                  <c:v>1.2468643037631679E-3</c:v>
                </c:pt>
                <c:pt idx="123">
                  <c:v>1.3889725239531153E-3</c:v>
                </c:pt>
                <c:pt idx="124">
                  <c:v>1.5400116798662971E-3</c:v>
                </c:pt>
                <c:pt idx="125">
                  <c:v>1.6999707094116766E-3</c:v>
                </c:pt>
                <c:pt idx="126">
                  <c:v>1.8688380169109191E-3</c:v>
                </c:pt>
                <c:pt idx="127">
                  <c:v>2.05018772640884E-3</c:v>
                </c:pt>
                <c:pt idx="128">
                  <c:v>2.2395246280350481E-3</c:v>
                </c:pt>
                <c:pt idx="129">
                  <c:v>2.4368361627970184E-3</c:v>
                </c:pt>
                <c:pt idx="130">
                  <c:v>2.6421092011790592E-3</c:v>
                </c:pt>
                <c:pt idx="131">
                  <c:v>2.8553300253122732E-3</c:v>
                </c:pt>
                <c:pt idx="132">
                  <c:v>3.0764843111612283E-3</c:v>
                </c:pt>
                <c:pt idx="133">
                  <c:v>3.3055571107298751E-3</c:v>
                </c:pt>
                <c:pt idx="134">
                  <c:v>3.5425328342564557E-3</c:v>
                </c:pt>
                <c:pt idx="135">
                  <c:v>3.7885423895178826E-3</c:v>
                </c:pt>
                <c:pt idx="136">
                  <c:v>4.0390515856703882E-3</c:v>
                </c:pt>
                <c:pt idx="137">
                  <c:v>4.2940467044600521E-3</c:v>
                </c:pt>
                <c:pt idx="138">
                  <c:v>4.5535135202711251E-3</c:v>
                </c:pt>
                <c:pt idx="139">
                  <c:v>4.817437289841243E-3</c:v>
                </c:pt>
                <c:pt idx="140">
                  <c:v>5.0858027417293641E-3</c:v>
                </c:pt>
                <c:pt idx="141">
                  <c:v>5.3570350359561682E-3</c:v>
                </c:pt>
                <c:pt idx="142">
                  <c:v>5.6275225799992121E-3</c:v>
                </c:pt>
                <c:pt idx="143">
                  <c:v>5.8972246832314328E-3</c:v>
                </c:pt>
                <c:pt idx="144">
                  <c:v>6.1661327964860832E-3</c:v>
                </c:pt>
                <c:pt idx="145">
                  <c:v>6.4342398837605843E-3</c:v>
                </c:pt>
                <c:pt idx="146">
                  <c:v>6.7015404165431244E-3</c:v>
                </c:pt>
                <c:pt idx="147">
                  <c:v>6.9680303683478956E-3</c:v>
                </c:pt>
                <c:pt idx="148">
                  <c:v>7.2337072091038131E-3</c:v>
                </c:pt>
                <c:pt idx="149">
                  <c:v>7.4946889268712926E-3</c:v>
                </c:pt>
                <c:pt idx="150">
                  <c:v>7.7498437832333403E-3</c:v>
                </c:pt>
                <c:pt idx="151">
                  <c:v>7.9991827929826523E-3</c:v>
                </c:pt>
                <c:pt idx="152">
                  <c:v>8.2427187031003102E-3</c:v>
                </c:pt>
                <c:pt idx="153">
                  <c:v>8.4804659194422215E-3</c:v>
                </c:pt>
                <c:pt idx="154">
                  <c:v>8.7124404334677618E-3</c:v>
                </c:pt>
                <c:pt idx="155">
                  <c:v>8.9323956467328713E-3</c:v>
                </c:pt>
                <c:pt idx="156">
                  <c:v>9.14190833398143E-3</c:v>
                </c:pt>
                <c:pt idx="157">
                  <c:v>9.3410078075259178E-3</c:v>
                </c:pt>
                <c:pt idx="158">
                  <c:v>9.5297246714685056E-3</c:v>
                </c:pt>
                <c:pt idx="159">
                  <c:v>9.7080906845172336E-3</c:v>
                </c:pt>
                <c:pt idx="160">
                  <c:v>9.8761386229182738E-3</c:v>
                </c:pt>
                <c:pt idx="161">
                  <c:v>1.0033902143281538E-2</c:v>
                </c:pt>
                <c:pt idx="162">
                  <c:v>1.018141564545671E-2</c:v>
                </c:pt>
                <c:pt idx="163">
                  <c:v>1.0311631480779638E-2</c:v>
                </c:pt>
                <c:pt idx="164">
                  <c:v>1.0428443204567978E-2</c:v>
                </c:pt>
                <c:pt idx="165">
                  <c:v>1.0531892341901401E-2</c:v>
                </c:pt>
                <c:pt idx="166">
                  <c:v>1.0622020385711591E-2</c:v>
                </c:pt>
                <c:pt idx="167">
                  <c:v>1.0698868615467467E-2</c:v>
                </c:pt>
                <c:pt idx="168">
                  <c:v>1.0762477916196844E-2</c:v>
                </c:pt>
                <c:pt idx="169">
                  <c:v>1.0805831031277429E-2</c:v>
                </c:pt>
                <c:pt idx="170">
                  <c:v>1.0835186168761054E-2</c:v>
                </c:pt>
                <c:pt idx="171">
                  <c:v>1.0850582941087268E-2</c:v>
                </c:pt>
                <c:pt idx="172">
                  <c:v>1.0852059711941399E-2</c:v>
                </c:pt>
                <c:pt idx="173">
                  <c:v>1.0839542557021209E-2</c:v>
                </c:pt>
                <c:pt idx="174">
                  <c:v>1.0812951139934338E-2</c:v>
                </c:pt>
                <c:pt idx="175">
                  <c:v>1.0772313133777115E-2</c:v>
                </c:pt>
                <c:pt idx="176">
                  <c:v>1.0717656118947106E-2</c:v>
                </c:pt>
                <c:pt idx="177">
                  <c:v>1.0642822531550937E-2</c:v>
                </c:pt>
                <c:pt idx="178">
                  <c:v>1.055487388519199E-2</c:v>
                </c:pt>
                <c:pt idx="179">
                  <c:v>1.0453835675495533E-2</c:v>
                </c:pt>
                <c:pt idx="180">
                  <c:v>1.0339732977180618E-2</c:v>
                </c:pt>
                <c:pt idx="181">
                  <c:v>1.0212590366432676E-2</c:v>
                </c:pt>
                <c:pt idx="182">
                  <c:v>1.007243184336807E-2</c:v>
                </c:pt>
                <c:pt idx="183">
                  <c:v>9.9154740417996892E-3</c:v>
                </c:pt>
                <c:pt idx="184">
                  <c:v>9.7487495015232076E-3</c:v>
                </c:pt>
                <c:pt idx="185">
                  <c:v>9.5722754291366185E-3</c:v>
                </c:pt>
                <c:pt idx="186">
                  <c:v>9.3860682663737139E-3</c:v>
                </c:pt>
                <c:pt idx="187">
                  <c:v>9.1901436314281194E-3</c:v>
                </c:pt>
                <c:pt idx="188">
                  <c:v>8.9845162603246643E-3</c:v>
                </c:pt>
                <c:pt idx="189">
                  <c:v>8.7691999480100299E-3</c:v>
                </c:pt>
                <c:pt idx="190">
                  <c:v>8.5442074898342147E-3</c:v>
                </c:pt>
                <c:pt idx="191">
                  <c:v>8.3080332248466424E-3</c:v>
                </c:pt>
                <c:pt idx="192">
                  <c:v>8.0668315065805362E-3</c:v>
                </c:pt>
                <c:pt idx="193">
                  <c:v>7.8206061458992292E-3</c:v>
                </c:pt>
                <c:pt idx="194">
                  <c:v>7.5693600359726144E-3</c:v>
                </c:pt>
                <c:pt idx="195">
                  <c:v>7.313095121076728E-3</c:v>
                </c:pt>
                <c:pt idx="196">
                  <c:v>7.0518123650871066E-3</c:v>
                </c:pt>
                <c:pt idx="197">
                  <c:v>6.7866229641511747E-3</c:v>
                </c:pt>
                <c:pt idx="198">
                  <c:v>6.5213076253935985E-3</c:v>
                </c:pt>
                <c:pt idx="199">
                  <c:v>6.2558594613055518E-3</c:v>
                </c:pt>
                <c:pt idx="200">
                  <c:v>5.9902709255146716E-3</c:v>
                </c:pt>
                <c:pt idx="201">
                  <c:v>5.724533810336687E-3</c:v>
                </c:pt>
                <c:pt idx="202">
                  <c:v>5.4586392443735409E-3</c:v>
                </c:pt>
                <c:pt idx="203">
                  <c:v>5.1925776902329666E-3</c:v>
                </c:pt>
                <c:pt idx="204">
                  <c:v>4.9263309868432907E-3</c:v>
                </c:pt>
                <c:pt idx="205">
                  <c:v>4.6633359421214739E-3</c:v>
                </c:pt>
                <c:pt idx="206">
                  <c:v>4.4050879611485681E-3</c:v>
                </c:pt>
                <c:pt idx="207">
                  <c:v>4.1515719853219904E-3</c:v>
                </c:pt>
                <c:pt idx="208">
                  <c:v>3.9027736470885034E-3</c:v>
                </c:pt>
                <c:pt idx="209">
                  <c:v>3.6586792557311929E-3</c:v>
                </c:pt>
                <c:pt idx="210">
                  <c:v>3.4192757832896335E-3</c:v>
                </c:pt>
                <c:pt idx="211">
                  <c:v>3.1889122861311955E-3</c:v>
                </c:pt>
                <c:pt idx="212">
                  <c:v>2.9664678591849424E-3</c:v>
                </c:pt>
                <c:pt idx="213">
                  <c:v>2.7519302822217322E-3</c:v>
                </c:pt>
                <c:pt idx="214">
                  <c:v>2.5452881605289549E-3</c:v>
                </c:pt>
                <c:pt idx="215">
                  <c:v>2.3465309006575632E-3</c:v>
                </c:pt>
                <c:pt idx="216">
                  <c:v>2.1556486861570748E-3</c:v>
                </c:pt>
                <c:pt idx="217">
                  <c:v>1.9726324533184455E-3</c:v>
                </c:pt>
                <c:pt idx="218">
                  <c:v>1.7974738669031278E-3</c:v>
                </c:pt>
                <c:pt idx="219">
                  <c:v>1.6344757746820135E-3</c:v>
                </c:pt>
                <c:pt idx="220">
                  <c:v>1.480180577068312E-3</c:v>
                </c:pt>
                <c:pt idx="221">
                  <c:v>1.3345819843464761E-3</c:v>
                </c:pt>
                <c:pt idx="222">
                  <c:v>1.1976743795099141E-3</c:v>
                </c:pt>
                <c:pt idx="223">
                  <c:v>1.0694527913497375E-3</c:v>
                </c:pt>
                <c:pt idx="224">
                  <c:v>9.4991286750611872E-4</c:v>
                </c:pt>
                <c:pt idx="225">
                  <c:v>8.423225527288816E-4</c:v>
                </c:pt>
                <c:pt idx="226">
                  <c:v>7.4232154207612997E-4</c:v>
                </c:pt>
                <c:pt idx="227">
                  <c:v>6.4990723553750445E-4</c:v>
                </c:pt>
                <c:pt idx="228">
                  <c:v>5.6507749338849129E-4</c:v>
                </c:pt>
                <c:pt idx="229">
                  <c:v>4.8783061261792565E-4</c:v>
                </c:pt>
                <c:pt idx="230">
                  <c:v>4.1816530336760064E-4</c:v>
                </c:pt>
                <c:pt idx="231">
                  <c:v>3.5608066537076699E-4</c:v>
                </c:pt>
                <c:pt idx="232">
                  <c:v>3.0157616438145323E-4</c:v>
                </c:pt>
                <c:pt idx="233">
                  <c:v>2.5609967625461738E-4</c:v>
                </c:pt>
                <c:pt idx="234">
                  <c:v>2.1534092899232527E-4</c:v>
                </c:pt>
                <c:pt idx="235">
                  <c:v>1.7930005074913728E-4</c:v>
                </c:pt>
                <c:pt idx="236">
                  <c:v>1.4797730601083905E-4</c:v>
                </c:pt>
                <c:pt idx="237">
                  <c:v>1.2137295815853034E-4</c:v>
                </c:pt>
                <c:pt idx="238">
                  <c:v>9.9487442887895809E-5</c:v>
                </c:pt>
                <c:pt idx="239">
                  <c:v>8.3672795640433835E-5</c:v>
                </c:pt>
                <c:pt idx="240">
                  <c:v>7.0656351029176561E-5</c:v>
                </c:pt>
                <c:pt idx="241">
                  <c:v>6.0438583681891861E-5</c:v>
                </c:pt>
                <c:pt idx="242">
                  <c:v>5.3020086187219122E-5</c:v>
                </c:pt>
                <c:pt idx="243">
                  <c:v>4.840157403689936E-5</c:v>
                </c:pt>
                <c:pt idx="244">
                  <c:v>4.6583890567307864E-5</c:v>
                </c:pt>
                <c:pt idx="245">
                  <c:v>4.7568011900584294E-5</c:v>
                </c:pt>
                <c:pt idx="246">
                  <c:v>5.1355051885754609E-5</c:v>
                </c:pt>
                <c:pt idx="247">
                  <c:v>5.960008669202953E-5</c:v>
                </c:pt>
                <c:pt idx="248">
                  <c:v>7.0855076739253866E-5</c:v>
                </c:pt>
                <c:pt idx="249">
                  <c:v>8.5121722683917538E-5</c:v>
                </c:pt>
                <c:pt idx="250">
                  <c:v>1.0240189495768672E-4</c:v>
                </c:pt>
                <c:pt idx="251">
                  <c:v>1.2269763907031095E-4</c:v>
                </c:pt>
                <c:pt idx="252">
                  <c:v>1.4601118090940018E-4</c:v>
                </c:pt>
                <c:pt idx="253">
                  <c:v>1.738786326050181E-4</c:v>
                </c:pt>
                <c:pt idx="254">
                  <c:v>2.0494915920974953E-4</c:v>
                </c:pt>
                <c:pt idx="255">
                  <c:v>2.392257239437471E-4</c:v>
                </c:pt>
                <c:pt idx="256">
                  <c:v>2.7671150361221423E-4</c:v>
                </c:pt>
                <c:pt idx="257">
                  <c:v>3.1740989422060452E-4</c:v>
                </c:pt>
                <c:pt idx="258">
                  <c:v>3.6132451659124119E-4</c:v>
                </c:pt>
                <c:pt idx="259">
                  <c:v>4.0845922198565752E-4</c:v>
                </c:pt>
                <c:pt idx="260">
                  <c:v>4.5881809771725155E-4</c:v>
                </c:pt>
                <c:pt idx="261">
                  <c:v>5.1317419339830294E-4</c:v>
                </c:pt>
                <c:pt idx="262">
                  <c:v>5.6987343790043188E-4</c:v>
                </c:pt>
                <c:pt idx="263">
                  <c:v>6.2891987077996823E-4</c:v>
                </c:pt>
                <c:pt idx="264">
                  <c:v>6.90317762258321E-4</c:v>
                </c:pt>
                <c:pt idx="265">
                  <c:v>7.5407563708777326E-4</c:v>
                </c:pt>
                <c:pt idx="266">
                  <c:v>8.2020149873284257E-4</c:v>
                </c:pt>
                <c:pt idx="267">
                  <c:v>8.9203159846294538E-4</c:v>
                </c:pt>
                <c:pt idx="268">
                  <c:v>9.6803488364443236E-4</c:v>
                </c:pt>
                <c:pt idx="269">
                  <c:v>1.0482190611462484E-3</c:v>
                </c:pt>
                <c:pt idx="270">
                  <c:v>1.1325919083609776E-3</c:v>
                </c:pt>
                <c:pt idx="271">
                  <c:v>1.221161228003012E-3</c:v>
                </c:pt>
                <c:pt idx="272">
                  <c:v>1.3139348029324257E-3</c:v>
                </c:pt>
                <c:pt idx="273">
                  <c:v>1.4109203509646534E-3</c:v>
                </c:pt>
                <c:pt idx="274">
                  <c:v>1.5121254796965362E-3</c:v>
                </c:pt>
                <c:pt idx="275">
                  <c:v>1.6184079391061085E-3</c:v>
                </c:pt>
                <c:pt idx="276">
                  <c:v>1.7290028934952865E-3</c:v>
                </c:pt>
                <c:pt idx="277">
                  <c:v>1.8439174849594086E-3</c:v>
                </c:pt>
                <c:pt idx="278">
                  <c:v>1.9631585640822609E-3</c:v>
                </c:pt>
                <c:pt idx="279">
                  <c:v>2.0867326438980642E-3</c:v>
                </c:pt>
                <c:pt idx="280">
                  <c:v>2.2146458538717709E-3</c:v>
                </c:pt>
                <c:pt idx="281">
                  <c:v>2.337787302373732E-3</c:v>
                </c:pt>
                <c:pt idx="282">
                  <c:v>2.4527934264437683E-3</c:v>
                </c:pt>
                <c:pt idx="283">
                  <c:v>2.5596493259999772E-3</c:v>
                </c:pt>
                <c:pt idx="284">
                  <c:v>2.6583395545074231E-3</c:v>
                </c:pt>
                <c:pt idx="285">
                  <c:v>2.7488482094173657E-3</c:v>
                </c:pt>
                <c:pt idx="286">
                  <c:v>2.8311590226319139E-3</c:v>
                </c:pt>
                <c:pt idx="287">
                  <c:v>2.9052554509430826E-3</c:v>
                </c:pt>
                <c:pt idx="288">
                  <c:v>2.9711207664813574E-3</c:v>
                </c:pt>
                <c:pt idx="289">
                  <c:v>3.025617270541845E-3</c:v>
                </c:pt>
                <c:pt idx="290">
                  <c:v>3.0678666000202828E-3</c:v>
                </c:pt>
                <c:pt idx="291">
                  <c:v>3.0978462102553127E-3</c:v>
                </c:pt>
                <c:pt idx="292">
                  <c:v>3.1155339494800434E-3</c:v>
                </c:pt>
                <c:pt idx="293">
                  <c:v>3.1209081926337114E-3</c:v>
                </c:pt>
                <c:pt idx="294">
                  <c:v>3.1139479751615862E-3</c:v>
                </c:pt>
                <c:pt idx="295">
                  <c:v>3.0970097581969548E-3</c:v>
                </c:pt>
                <c:pt idx="296">
                  <c:v>3.0792993821869238E-3</c:v>
                </c:pt>
                <c:pt idx="297">
                  <c:v>3.0608383316223921E-3</c:v>
                </c:pt>
                <c:pt idx="298">
                  <c:v>3.0416223634772478E-3</c:v>
                </c:pt>
                <c:pt idx="299">
                  <c:v>3.0216472830612378E-3</c:v>
                </c:pt>
                <c:pt idx="300">
                  <c:v>3.0009089509888502E-3</c:v>
                </c:pt>
                <c:pt idx="301">
                  <c:v>2.9794032901389158E-3</c:v>
                </c:pt>
                <c:pt idx="302">
                  <c:v>2.9571262926210164E-3</c:v>
                </c:pt>
                <c:pt idx="303">
                  <c:v>2.9312551396421501E-3</c:v>
                </c:pt>
                <c:pt idx="304">
                  <c:v>2.9049249724495529E-3</c:v>
                </c:pt>
                <c:pt idx="305">
                  <c:v>2.8781324986218498E-3</c:v>
                </c:pt>
                <c:pt idx="306">
                  <c:v>2.8508745302184449E-3</c:v>
                </c:pt>
                <c:pt idx="307">
                  <c:v>2.8231479877777943E-3</c:v>
                </c:pt>
                <c:pt idx="308">
                  <c:v>2.7949499042918538E-3</c:v>
                </c:pt>
                <c:pt idx="309">
                  <c:v>2.7657118951183932E-3</c:v>
                </c:pt>
                <c:pt idx="310">
                  <c:v>2.7330374034748753E-3</c:v>
                </c:pt>
                <c:pt idx="311">
                  <c:v>2.6969198265181043E-3</c:v>
                </c:pt>
                <c:pt idx="312">
                  <c:v>2.6573528169423115E-3</c:v>
                </c:pt>
                <c:pt idx="313">
                  <c:v>2.6143303141359553E-3</c:v>
                </c:pt>
                <c:pt idx="314">
                  <c:v>2.5678465753140012E-3</c:v>
                </c:pt>
                <c:pt idx="315">
                  <c:v>2.5178962066832542E-3</c:v>
                </c:pt>
                <c:pt idx="316">
                  <c:v>2.4644741945672897E-3</c:v>
                </c:pt>
                <c:pt idx="317">
                  <c:v>2.4106040216054546E-3</c:v>
                </c:pt>
                <c:pt idx="318">
                  <c:v>2.3591226726912841E-3</c:v>
                </c:pt>
                <c:pt idx="319">
                  <c:v>2.310032820161408E-3</c:v>
                </c:pt>
                <c:pt idx="320">
                  <c:v>2.2633371253255249E-3</c:v>
                </c:pt>
                <c:pt idx="321">
                  <c:v>2.2190382159598598E-3</c:v>
                </c:pt>
                <c:pt idx="322">
                  <c:v>2.1771386638090306E-3</c:v>
                </c:pt>
                <c:pt idx="323">
                  <c:v>2.1631789899091056E-3</c:v>
                </c:pt>
                <c:pt idx="324">
                  <c:v>2.1777523844013057E-3</c:v>
                </c:pt>
                <c:pt idx="325">
                  <c:v>2.2208805313672975E-3</c:v>
                </c:pt>
                <c:pt idx="326">
                  <c:v>2.292567500022059E-3</c:v>
                </c:pt>
                <c:pt idx="327">
                  <c:v>2.3928211581950593E-3</c:v>
                </c:pt>
                <c:pt idx="328">
                  <c:v>2.5216562562895149E-3</c:v>
                </c:pt>
                <c:pt idx="329">
                  <c:v>2.6790838490437941E-3</c:v>
                </c:pt>
                <c:pt idx="330">
                  <c:v>2.8651118907965581E-3</c:v>
                </c:pt>
                <c:pt idx="331">
                  <c:v>3.1010385553712216E-3</c:v>
                </c:pt>
                <c:pt idx="332">
                  <c:v>3.3838340940877173E-3</c:v>
                </c:pt>
                <c:pt idx="333">
                  <c:v>3.713504114158191E-3</c:v>
                </c:pt>
                <c:pt idx="334">
                  <c:v>4.0900520846860388E-3</c:v>
                </c:pt>
                <c:pt idx="335">
                  <c:v>4.513480311668345E-3</c:v>
                </c:pt>
                <c:pt idx="336">
                  <c:v>4.9837909129522998E-3</c:v>
                </c:pt>
                <c:pt idx="337">
                  <c:v>5.4763922845132299E-3</c:v>
                </c:pt>
                <c:pt idx="338">
                  <c:v>5.9656973690614739E-3</c:v>
                </c:pt>
                <c:pt idx="339">
                  <c:v>6.4517101219703664E-3</c:v>
                </c:pt>
                <c:pt idx="340">
                  <c:v>6.9344386355182398E-3</c:v>
                </c:pt>
                <c:pt idx="341">
                  <c:v>7.4138950704240782E-3</c:v>
                </c:pt>
                <c:pt idx="342">
                  <c:v>7.8900955873883061E-3</c:v>
                </c:pt>
                <c:pt idx="343">
                  <c:v>8.3630602785415599E-3</c:v>
                </c:pt>
                <c:pt idx="344">
                  <c:v>8.8328130990068549E-3</c:v>
                </c:pt>
                <c:pt idx="345">
                  <c:v>9.2993817983828015E-3</c:v>
                </c:pt>
                <c:pt idx="346">
                  <c:v>9.7202509838222543E-3</c:v>
                </c:pt>
                <c:pt idx="347">
                  <c:v>1.0095447311048725E-2</c:v>
                </c:pt>
                <c:pt idx="348">
                  <c:v>1.0424997313374406E-2</c:v>
                </c:pt>
                <c:pt idx="349">
                  <c:v>1.0708926448709006E-2</c:v>
                </c:pt>
                <c:pt idx="350">
                  <c:v>1.0947258146810166E-2</c:v>
                </c:pt>
                <c:pt idx="351">
                  <c:v>1.111876230054354E-2</c:v>
                </c:pt>
                <c:pt idx="352">
                  <c:v>1.1248062983959395E-2</c:v>
                </c:pt>
                <c:pt idx="353">
                  <c:v>1.1335172099667499E-2</c:v>
                </c:pt>
                <c:pt idx="354">
                  <c:v>1.1380096078834888E-2</c:v>
                </c:pt>
                <c:pt idx="355">
                  <c:v>1.1382834997588987E-2</c:v>
                </c:pt>
                <c:pt idx="356">
                  <c:v>1.1343389532925451E-2</c:v>
                </c:pt>
                <c:pt idx="357">
                  <c:v>1.1261719137346715E-2</c:v>
                </c:pt>
                <c:pt idx="358">
                  <c:v>1.113774840019742E-2</c:v>
                </c:pt>
                <c:pt idx="359">
                  <c:v>1.097139557362832E-2</c:v>
                </c:pt>
                <c:pt idx="360">
                  <c:v>1.0737899504664748E-2</c:v>
                </c:pt>
                <c:pt idx="361">
                  <c:v>1.0458450373224182E-2</c:v>
                </c:pt>
                <c:pt idx="362">
                  <c:v>1.0132948288249044E-2</c:v>
                </c:pt>
                <c:pt idx="363">
                  <c:v>9.761291306464635E-3</c:v>
                </c:pt>
                <c:pt idx="364">
                  <c:v>9.3433766091667019E-3</c:v>
                </c:pt>
                <c:pt idx="365" formatCode="0.0000">
                  <c:v>8.8791016788630356E-3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1.0027081438078282E-2</c:v>
                </c:pt>
                <c:pt idx="1">
                  <c:v>9.5272079119239905E-3</c:v>
                </c:pt>
                <c:pt idx="2">
                  <c:v>9.0245353854112691E-3</c:v>
                </c:pt>
                <c:pt idx="3">
                  <c:v>8.5190295947924766E-3</c:v>
                </c:pt>
                <c:pt idx="4">
                  <c:v>8.0106614151529299E-3</c:v>
                </c:pt>
                <c:pt idx="5">
                  <c:v>7.4994069210396657E-3</c:v>
                </c:pt>
                <c:pt idx="6">
                  <c:v>6.9852474471864918E-3</c:v>
                </c:pt>
                <c:pt idx="7">
                  <c:v>6.4681696490609215E-3</c:v>
                </c:pt>
                <c:pt idx="8">
                  <c:v>5.9481655635314499E-3</c:v>
                </c:pt>
                <c:pt idx="9">
                  <c:v>5.4524486120592431E-3</c:v>
                </c:pt>
                <c:pt idx="10">
                  <c:v>5.0075210535336021E-3</c:v>
                </c:pt>
                <c:pt idx="11">
                  <c:v>4.6134569278275797E-3</c:v>
                </c:pt>
                <c:pt idx="12">
                  <c:v>4.2703293610590757E-3</c:v>
                </c:pt>
                <c:pt idx="13">
                  <c:v>3.9782092615899779E-3</c:v>
                </c:pt>
                <c:pt idx="14">
                  <c:v>3.7371640159595235E-3</c:v>
                </c:pt>
                <c:pt idx="15">
                  <c:v>3.5497304309762383E-3</c:v>
                </c:pt>
                <c:pt idx="16">
                  <c:v>3.391837389665437E-3</c:v>
                </c:pt>
                <c:pt idx="17">
                  <c:v>3.2635167678583383E-3</c:v>
                </c:pt>
                <c:pt idx="18">
                  <c:v>3.1647961752958565E-3</c:v>
                </c:pt>
                <c:pt idx="19">
                  <c:v>3.0957154683649338E-3</c:v>
                </c:pt>
                <c:pt idx="20">
                  <c:v>3.056315549142128E-3</c:v>
                </c:pt>
                <c:pt idx="21">
                  <c:v>3.0466183123944459E-3</c:v>
                </c:pt>
                <c:pt idx="22">
                  <c:v>3.0666411096114538E-3</c:v>
                </c:pt>
                <c:pt idx="23">
                  <c:v>3.1173223883068425E-3</c:v>
                </c:pt>
                <c:pt idx="24">
                  <c:v>3.1713505352088979E-3</c:v>
                </c:pt>
                <c:pt idx="25">
                  <c:v>3.2287269821667576E-3</c:v>
                </c:pt>
                <c:pt idx="26">
                  <c:v>3.2894530360799705E-3</c:v>
                </c:pt>
                <c:pt idx="27">
                  <c:v>3.353529921418115E-3</c:v>
                </c:pt>
                <c:pt idx="28">
                  <c:v>3.4209588228103333E-3</c:v>
                </c:pt>
                <c:pt idx="29">
                  <c:v>3.4893325460873194E-3</c:v>
                </c:pt>
                <c:pt idx="30">
                  <c:v>3.5561741344220382E-3</c:v>
                </c:pt>
                <c:pt idx="31">
                  <c:v>3.6214855174829265E-3</c:v>
                </c:pt>
                <c:pt idx="32">
                  <c:v>3.6852690644959643E-3</c:v>
                </c:pt>
                <c:pt idx="33">
                  <c:v>3.7475275656983216E-3</c:v>
                </c:pt>
                <c:pt idx="34">
                  <c:v>3.8082642138085559E-3</c:v>
                </c:pt>
                <c:pt idx="35">
                  <c:v>3.8674825854945996E-3</c:v>
                </c:pt>
                <c:pt idx="36">
                  <c:v>3.9251866228342753E-3</c:v>
                </c:pt>
                <c:pt idx="37">
                  <c:v>3.981934852365504E-3</c:v>
                </c:pt>
                <c:pt idx="38">
                  <c:v>4.0368068129504305E-3</c:v>
                </c:pt>
                <c:pt idx="39">
                  <c:v>4.0898075261174309E-3</c:v>
                </c:pt>
                <c:pt idx="40">
                  <c:v>4.1409423095283386E-3</c:v>
                </c:pt>
                <c:pt idx="41">
                  <c:v>4.1902167538267676E-3</c:v>
                </c:pt>
                <c:pt idx="42">
                  <c:v>4.2376366994588974E-3</c:v>
                </c:pt>
                <c:pt idx="43">
                  <c:v>4.2796643297458676E-3</c:v>
                </c:pt>
                <c:pt idx="44">
                  <c:v>4.318712593007379E-3</c:v>
                </c:pt>
                <c:pt idx="45">
                  <c:v>4.3547881405364142E-3</c:v>
                </c:pt>
                <c:pt idx="46">
                  <c:v>4.3878977182334362E-3</c:v>
                </c:pt>
                <c:pt idx="47">
                  <c:v>4.4180481292236005E-3</c:v>
                </c:pt>
                <c:pt idx="48">
                  <c:v>4.4452461964172392E-3</c:v>
                </c:pt>
                <c:pt idx="49">
                  <c:v>4.4694987251097879E-3</c:v>
                </c:pt>
                <c:pt idx="50">
                  <c:v>4.4908124655547435E-3</c:v>
                </c:pt>
                <c:pt idx="51">
                  <c:v>4.4991948993474843E-3</c:v>
                </c:pt>
                <c:pt idx="52">
                  <c:v>4.4940742339157425E-3</c:v>
                </c:pt>
                <c:pt idx="53">
                  <c:v>4.4754268500221536E-3</c:v>
                </c:pt>
                <c:pt idx="54">
                  <c:v>4.4432511405252326E-3</c:v>
                </c:pt>
                <c:pt idx="55">
                  <c:v>4.3975453024737146E-3</c:v>
                </c:pt>
                <c:pt idx="56">
                  <c:v>4.3383073872029949E-3</c:v>
                </c:pt>
                <c:pt idx="57">
                  <c:v>4.2641935078140012E-3</c:v>
                </c:pt>
                <c:pt idx="58">
                  <c:v>4.1787439095327542E-3</c:v>
                </c:pt>
                <c:pt idx="59">
                  <c:v>4.0819565447714331E-3</c:v>
                </c:pt>
                <c:pt idx="60">
                  <c:v>3.9738294312264442E-3</c:v>
                </c:pt>
                <c:pt idx="61">
                  <c:v>3.8543606938367899E-3</c:v>
                </c:pt>
                <c:pt idx="62">
                  <c:v>3.7235486067365847E-3</c:v>
                </c:pt>
                <c:pt idx="63">
                  <c:v>3.5813916352192498E-3</c:v>
                </c:pt>
                <c:pt idx="64">
                  <c:v>3.4278884776864685E-3</c:v>
                </c:pt>
                <c:pt idx="65">
                  <c:v>3.2665097768326524E-3</c:v>
                </c:pt>
                <c:pt idx="66">
                  <c:v>3.1072544623642917E-3</c:v>
                </c:pt>
                <c:pt idx="67">
                  <c:v>2.9501222115268489E-3</c:v>
                </c:pt>
                <c:pt idx="68">
                  <c:v>2.7951129109218577E-3</c:v>
                </c:pt>
                <c:pt idx="69">
                  <c:v>2.6422266486180279E-3</c:v>
                </c:pt>
                <c:pt idx="70">
                  <c:v>2.4914637062769338E-3</c:v>
                </c:pt>
                <c:pt idx="71">
                  <c:v>2.3444493086341618E-3</c:v>
                </c:pt>
                <c:pt idx="72">
                  <c:v>2.2025258999528526E-3</c:v>
                </c:pt>
                <c:pt idx="73">
                  <c:v>2.0656941131221677E-3</c:v>
                </c:pt>
                <c:pt idx="74">
                  <c:v>1.9339546601299775E-3</c:v>
                </c:pt>
                <c:pt idx="75">
                  <c:v>1.8073083132120612E-3</c:v>
                </c:pt>
                <c:pt idx="76">
                  <c:v>1.6857558859949186E-3</c:v>
                </c:pt>
                <c:pt idx="77">
                  <c:v>1.5692982146448629E-3</c:v>
                </c:pt>
                <c:pt idx="78">
                  <c:v>1.4579361874160629E-3</c:v>
                </c:pt>
                <c:pt idx="79">
                  <c:v>1.3541594487514273E-3</c:v>
                </c:pt>
                <c:pt idx="80">
                  <c:v>1.2545000629359865E-3</c:v>
                </c:pt>
                <c:pt idx="81">
                  <c:v>1.1589570958952203E-3</c:v>
                </c:pt>
                <c:pt idx="82">
                  <c:v>1.06752972931052E-3</c:v>
                </c:pt>
                <c:pt idx="83">
                  <c:v>9.8021724745914608E-4</c:v>
                </c:pt>
                <c:pt idx="84">
                  <c:v>8.9701902405762632E-4</c:v>
                </c:pt>
                <c:pt idx="85">
                  <c:v>8.2283551467445188E-4</c:v>
                </c:pt>
                <c:pt idx="86">
                  <c:v>7.5604164434222296E-4</c:v>
                </c:pt>
                <c:pt idx="87">
                  <c:v>6.9663638833974398E-4</c:v>
                </c:pt>
                <c:pt idx="88">
                  <c:v>6.4461870099106078E-4</c:v>
                </c:pt>
                <c:pt idx="89">
                  <c:v>5.9998749200587383E-4</c:v>
                </c:pt>
                <c:pt idx="90">
                  <c:v>5.6274160281864175E-4</c:v>
                </c:pt>
                <c:pt idx="91">
                  <c:v>5.3287978293001985E-4</c:v>
                </c:pt>
                <c:pt idx="92">
                  <c:v>5.1040066624648717E-4</c:v>
                </c:pt>
                <c:pt idx="93">
                  <c:v>5.0088116599744539E-4</c:v>
                </c:pt>
                <c:pt idx="94">
                  <c:v>5.0183693983979092E-4</c:v>
                </c:pt>
                <c:pt idx="95">
                  <c:v>5.1326524965755705E-4</c:v>
                </c:pt>
                <c:pt idx="96">
                  <c:v>5.3516304361992458E-4</c:v>
                </c:pt>
                <c:pt idx="97">
                  <c:v>5.6752692259559882E-4</c:v>
                </c:pt>
                <c:pt idx="98">
                  <c:v>6.1035310656271915E-4</c:v>
                </c:pt>
                <c:pt idx="99">
                  <c:v>6.7013309042791966E-4</c:v>
                </c:pt>
                <c:pt idx="100">
                  <c:v>7.4196484586487458E-4</c:v>
                </c:pt>
                <c:pt idx="101">
                  <c:v>8.2584252931348012E-4</c:v>
                </c:pt>
                <c:pt idx="102">
                  <c:v>9.2175970536661318E-4</c:v>
                </c:pt>
                <c:pt idx="103">
                  <c:v>1.029709308040439E-3</c:v>
                </c:pt>
                <c:pt idx="104">
                  <c:v>1.1496836020648939E-3</c:v>
                </c:pt>
                <c:pt idx="105">
                  <c:v>1.2816741441557501E-3</c:v>
                </c:pt>
                <c:pt idx="106">
                  <c:v>1.4256717442977407E-3</c:v>
                </c:pt>
                <c:pt idx="107">
                  <c:v>1.5888959445706965E-3</c:v>
                </c:pt>
                <c:pt idx="108">
                  <c:v>1.7657641218145771E-3</c:v>
                </c:pt>
                <c:pt idx="109">
                  <c:v>1.9562634718518026E-3</c:v>
                </c:pt>
                <c:pt idx="110">
                  <c:v>2.1603863359267298E-3</c:v>
                </c:pt>
                <c:pt idx="111">
                  <c:v>2.3781266527693307E-3</c:v>
                </c:pt>
                <c:pt idx="112">
                  <c:v>2.6094728601377148E-3</c:v>
                </c:pt>
                <c:pt idx="113">
                  <c:v>2.8620797083410477E-3</c:v>
                </c:pt>
                <c:pt idx="114">
                  <c:v>3.1294502308612652E-3</c:v>
                </c:pt>
                <c:pt idx="115">
                  <c:v>3.4115701855388721E-3</c:v>
                </c:pt>
                <c:pt idx="116">
                  <c:v>3.7084246311907252E-3</c:v>
                </c:pt>
                <c:pt idx="117">
                  <c:v>4.019997895081181E-3</c:v>
                </c:pt>
                <c:pt idx="118">
                  <c:v>4.3462735403624704E-3</c:v>
                </c:pt>
                <c:pt idx="119">
                  <c:v>4.6872343335232353E-3</c:v>
                </c:pt>
                <c:pt idx="120">
                  <c:v>5.0428622118289732E-3</c:v>
                </c:pt>
                <c:pt idx="121">
                  <c:v>5.4179190097876258E-3</c:v>
                </c:pt>
                <c:pt idx="122">
                  <c:v>5.8051754929426729E-3</c:v>
                </c:pt>
                <c:pt idx="123">
                  <c:v>6.2046127701556805E-3</c:v>
                </c:pt>
                <c:pt idx="124">
                  <c:v>6.61621109016838E-3</c:v>
                </c:pt>
                <c:pt idx="125">
                  <c:v>7.0399498144161987E-3</c:v>
                </c:pt>
                <c:pt idx="126">
                  <c:v>7.4758073897580185E-3</c:v>
                </c:pt>
                <c:pt idx="127">
                  <c:v>7.9262633179371655E-3</c:v>
                </c:pt>
                <c:pt idx="128">
                  <c:v>8.3836544332700855E-3</c:v>
                </c:pt>
                <c:pt idx="129">
                  <c:v>8.8479610654356063E-3</c:v>
                </c:pt>
                <c:pt idx="130">
                  <c:v>9.3191627785785946E-3</c:v>
                </c:pt>
                <c:pt idx="131">
                  <c:v>9.7972383552641581E-3</c:v>
                </c:pt>
                <c:pt idx="132">
                  <c:v>1.0282165780501293E-2</c:v>
                </c:pt>
                <c:pt idx="133">
                  <c:v>1.0773922225831206E-2</c:v>
                </c:pt>
                <c:pt idx="134">
                  <c:v>1.1272484033373225E-2</c:v>
                </c:pt>
                <c:pt idx="135">
                  <c:v>1.1776498731759394E-2</c:v>
                </c:pt>
                <c:pt idx="136">
                  <c:v>1.2281184390528369E-2</c:v>
                </c:pt>
                <c:pt idx="137">
                  <c:v>1.2786521920537626E-2</c:v>
                </c:pt>
                <c:pt idx="138">
                  <c:v>1.3292491713738525E-2</c:v>
                </c:pt>
                <c:pt idx="139">
                  <c:v>1.379907364092732E-2</c:v>
                </c:pt>
                <c:pt idx="140">
                  <c:v>1.4306247048765418E-2</c:v>
                </c:pt>
                <c:pt idx="141">
                  <c:v>1.480316971272635E-2</c:v>
                </c:pt>
                <c:pt idx="142">
                  <c:v>1.5287262092063311E-2</c:v>
                </c:pt>
                <c:pt idx="143">
                  <c:v>1.5758442236763121E-2</c:v>
                </c:pt>
                <c:pt idx="144">
                  <c:v>1.6216718496068341E-2</c:v>
                </c:pt>
                <c:pt idx="145">
                  <c:v>1.6662103214303441E-2</c:v>
                </c:pt>
                <c:pt idx="146">
                  <c:v>1.7094612567468442E-2</c:v>
                </c:pt>
                <c:pt idx="147">
                  <c:v>1.7514266400381163E-2</c:v>
                </c:pt>
                <c:pt idx="148">
                  <c:v>1.7921088063432542E-2</c:v>
                </c:pt>
                <c:pt idx="149">
                  <c:v>1.8308473468939056E-2</c:v>
                </c:pt>
                <c:pt idx="150">
                  <c:v>1.8677782633979734E-2</c:v>
                </c:pt>
                <c:pt idx="151">
                  <c:v>1.9029058142813037E-2</c:v>
                </c:pt>
                <c:pt idx="152">
                  <c:v>1.9362345692139404E-2</c:v>
                </c:pt>
                <c:pt idx="153">
                  <c:v>1.9677693856256739E-2</c:v>
                </c:pt>
                <c:pt idx="154">
                  <c:v>1.9975153852318277E-2</c:v>
                </c:pt>
                <c:pt idx="155">
                  <c:v>2.0248875766923555E-2</c:v>
                </c:pt>
                <c:pt idx="156">
                  <c:v>2.0509657070276983E-2</c:v>
                </c:pt>
                <c:pt idx="157">
                  <c:v>2.0757546366708988E-2</c:v>
                </c:pt>
                <c:pt idx="158">
                  <c:v>2.0992593898403761E-2</c:v>
                </c:pt>
                <c:pt idx="159">
                  <c:v>2.1214851375947866E-2</c:v>
                </c:pt>
                <c:pt idx="160">
                  <c:v>2.1424371809135853E-2</c:v>
                </c:pt>
                <c:pt idx="161">
                  <c:v>2.1621209337539814E-2</c:v>
                </c:pt>
                <c:pt idx="162">
                  <c:v>2.180541906119085E-2</c:v>
                </c:pt>
                <c:pt idx="163">
                  <c:v>2.1967059135053781E-2</c:v>
                </c:pt>
                <c:pt idx="164">
                  <c:v>2.2112773854863581E-2</c:v>
                </c:pt>
                <c:pt idx="165">
                  <c:v>2.2242626175880062E-2</c:v>
                </c:pt>
                <c:pt idx="166">
                  <c:v>2.2356679082816341E-2</c:v>
                </c:pt>
                <c:pt idx="167">
                  <c:v>2.2454995373560067E-2</c:v>
                </c:pt>
                <c:pt idx="168">
                  <c:v>2.2537637443605318E-2</c:v>
                </c:pt>
                <c:pt idx="169">
                  <c:v>2.2594704748390936E-2</c:v>
                </c:pt>
                <c:pt idx="170">
                  <c:v>2.2632124374149434E-2</c:v>
                </c:pt>
                <c:pt idx="171">
                  <c:v>2.2649962260184304E-2</c:v>
                </c:pt>
                <c:pt idx="172">
                  <c:v>2.2648282583099328E-2</c:v>
                </c:pt>
                <c:pt idx="173">
                  <c:v>2.2626916099089383E-2</c:v>
                </c:pt>
                <c:pt idx="174">
                  <c:v>2.2585680692422953E-2</c:v>
                </c:pt>
                <c:pt idx="175">
                  <c:v>2.2524619717853783E-2</c:v>
                </c:pt>
                <c:pt idx="176">
                  <c:v>2.2443776399350347E-2</c:v>
                </c:pt>
                <c:pt idx="177">
                  <c:v>2.2337364752951047E-2</c:v>
                </c:pt>
                <c:pt idx="178">
                  <c:v>2.2215352601681903E-2</c:v>
                </c:pt>
                <c:pt idx="179">
                  <c:v>2.2077775910131176E-2</c:v>
                </c:pt>
                <c:pt idx="180">
                  <c:v>2.192467011220994E-2</c:v>
                </c:pt>
                <c:pt idx="181">
                  <c:v>2.1756070018567553E-2</c:v>
                </c:pt>
                <c:pt idx="182">
                  <c:v>2.1572009724200949E-2</c:v>
                </c:pt>
                <c:pt idx="183">
                  <c:v>2.136601861143721E-2</c:v>
                </c:pt>
                <c:pt idx="184">
                  <c:v>2.1148025758780331E-2</c:v>
                </c:pt>
                <c:pt idx="185">
                  <c:v>2.0918057644706639E-2</c:v>
                </c:pt>
                <c:pt idx="186">
                  <c:v>2.0676139784877447E-2</c:v>
                </c:pt>
                <c:pt idx="187">
                  <c:v>2.0422296659723158E-2</c:v>
                </c:pt>
                <c:pt idx="188">
                  <c:v>2.0156551642137754E-2</c:v>
                </c:pt>
                <c:pt idx="189">
                  <c:v>1.9878926924549584E-2</c:v>
                </c:pt>
                <c:pt idx="190">
                  <c:v>1.9589443446861764E-2</c:v>
                </c:pt>
                <c:pt idx="191">
                  <c:v>1.9277588743248458E-2</c:v>
                </c:pt>
                <c:pt idx="192">
                  <c:v>1.8949182411369406E-2</c:v>
                </c:pt>
                <c:pt idx="193">
                  <c:v>1.8604246572901158E-2</c:v>
                </c:pt>
                <c:pt idx="194">
                  <c:v>1.8242801453120946E-2</c:v>
                </c:pt>
                <c:pt idx="195">
                  <c:v>1.7864865280800234E-2</c:v>
                </c:pt>
                <c:pt idx="196">
                  <c:v>1.7470454187374463E-2</c:v>
                </c:pt>
                <c:pt idx="197">
                  <c:v>1.7058295711944522E-2</c:v>
                </c:pt>
                <c:pt idx="198">
                  <c:v>1.6634866069626109E-2</c:v>
                </c:pt>
                <c:pt idx="199">
                  <c:v>1.6200169393984071E-2</c:v>
                </c:pt>
                <c:pt idx="200">
                  <c:v>1.5754207786380012E-2</c:v>
                </c:pt>
                <c:pt idx="201">
                  <c:v>1.5296981245957379E-2</c:v>
                </c:pt>
                <c:pt idx="202">
                  <c:v>1.4828487599737435E-2</c:v>
                </c:pt>
                <c:pt idx="203">
                  <c:v>1.434872243304554E-2</c:v>
                </c:pt>
                <c:pt idx="204">
                  <c:v>1.3857656641595098E-2</c:v>
                </c:pt>
                <c:pt idx="205">
                  <c:v>1.3357665540019525E-2</c:v>
                </c:pt>
                <c:pt idx="206">
                  <c:v>1.2859211894548243E-2</c:v>
                </c:pt>
                <c:pt idx="207">
                  <c:v>1.2362270335782133E-2</c:v>
                </c:pt>
                <c:pt idx="208">
                  <c:v>1.1866816201218046E-2</c:v>
                </c:pt>
                <c:pt idx="209">
                  <c:v>1.137282553159339E-2</c:v>
                </c:pt>
                <c:pt idx="210">
                  <c:v>1.0880275067633095E-2</c:v>
                </c:pt>
                <c:pt idx="211">
                  <c:v>1.0393737516817237E-2</c:v>
                </c:pt>
                <c:pt idx="212">
                  <c:v>9.914470943346165E-3</c:v>
                </c:pt>
                <c:pt idx="213">
                  <c:v>9.4424520713843052E-3</c:v>
                </c:pt>
                <c:pt idx="214">
                  <c:v>8.9776587113708315E-3</c:v>
                </c:pt>
                <c:pt idx="215">
                  <c:v>8.5200697383072659E-3</c:v>
                </c:pt>
                <c:pt idx="216">
                  <c:v>8.0696650700064418E-3</c:v>
                </c:pt>
                <c:pt idx="217">
                  <c:v>7.6264256453715609E-3</c:v>
                </c:pt>
                <c:pt idx="218">
                  <c:v>7.1903334026256855E-3</c:v>
                </c:pt>
                <c:pt idx="219">
                  <c:v>6.7687209920355698E-3</c:v>
                </c:pt>
                <c:pt idx="220">
                  <c:v>6.3591642047165749E-3</c:v>
                </c:pt>
                <c:pt idx="221">
                  <c:v>5.9616473904960865E-3</c:v>
                </c:pt>
                <c:pt idx="222">
                  <c:v>5.5761560704498973E-3</c:v>
                </c:pt>
                <c:pt idx="223">
                  <c:v>5.2026768999077003E-3</c:v>
                </c:pt>
                <c:pt idx="224">
                  <c:v>4.8411976312999283E-3</c:v>
                </c:pt>
                <c:pt idx="225">
                  <c:v>4.4986280878830083E-3</c:v>
                </c:pt>
                <c:pt idx="226">
                  <c:v>4.1703673661073895E-3</c:v>
                </c:pt>
                <c:pt idx="227">
                  <c:v>3.8564064770669725E-3</c:v>
                </c:pt>
                <c:pt idx="228">
                  <c:v>3.5567374723076209E-3</c:v>
                </c:pt>
                <c:pt idx="229">
                  <c:v>3.2713533994289286E-3</c:v>
                </c:pt>
                <c:pt idx="230">
                  <c:v>3.0002482577536661E-3</c:v>
                </c:pt>
                <c:pt idx="231">
                  <c:v>2.7434169539984191E-3</c:v>
                </c:pt>
                <c:pt idx="232">
                  <c:v>2.5008552578789024E-3</c:v>
                </c:pt>
                <c:pt idx="233">
                  <c:v>2.2787722827875352E-3</c:v>
                </c:pt>
                <c:pt idx="234">
                  <c:v>2.0698163391759308E-3</c:v>
                </c:pt>
                <c:pt idx="235">
                  <c:v>1.8739869422045707E-3</c:v>
                </c:pt>
                <c:pt idx="236">
                  <c:v>1.6912842121847716E-3</c:v>
                </c:pt>
                <c:pt idx="237">
                  <c:v>1.5217071892604176E-3</c:v>
                </c:pt>
                <c:pt idx="238">
                  <c:v>1.3652553255208086E-3</c:v>
                </c:pt>
                <c:pt idx="239">
                  <c:v>1.227262792254875E-3</c:v>
                </c:pt>
                <c:pt idx="240">
                  <c:v>1.100805852881154E-3</c:v>
                </c:pt>
                <c:pt idx="241">
                  <c:v>9.858849925576407E-4</c:v>
                </c:pt>
                <c:pt idx="242">
                  <c:v>8.8250113156397179E-4</c:v>
                </c:pt>
                <c:pt idx="243">
                  <c:v>7.906556456947529E-4</c:v>
                </c:pt>
                <c:pt idx="244">
                  <c:v>7.1035038664280707E-4</c:v>
                </c:pt>
                <c:pt idx="245">
                  <c:v>6.4158770237450263E-4</c:v>
                </c:pt>
                <c:pt idx="246">
                  <c:v>5.8437045750754386E-4</c:v>
                </c:pt>
                <c:pt idx="247">
                  <c:v>5.4339053796153322E-4</c:v>
                </c:pt>
                <c:pt idx="248">
                  <c:v>5.1243236072410602E-4</c:v>
                </c:pt>
                <c:pt idx="249">
                  <c:v>4.9149983818873874E-4</c:v>
                </c:pt>
                <c:pt idx="250">
                  <c:v>4.8059740066798521E-4</c:v>
                </c:pt>
                <c:pt idx="251">
                  <c:v>4.7973001408717066E-4</c:v>
                </c:pt>
                <c:pt idx="252">
                  <c:v>4.8890319765657628E-4</c:v>
                </c:pt>
                <c:pt idx="253">
                  <c:v>5.105006954375514E-4</c:v>
                </c:pt>
                <c:pt idx="254">
                  <c:v>5.3918461802243646E-4</c:v>
                </c:pt>
                <c:pt idx="255">
                  <c:v>5.7496036252457016E-4</c:v>
                </c:pt>
                <c:pt idx="256">
                  <c:v>6.1783377127165627E-4</c:v>
                </c:pt>
                <c:pt idx="257">
                  <c:v>6.6781114425510226E-4</c:v>
                </c:pt>
                <c:pt idx="258">
                  <c:v>7.2489925158382288E-4</c:v>
                </c:pt>
                <c:pt idx="259">
                  <c:v>7.8910534594884456E-4</c:v>
                </c:pt>
                <c:pt idx="260">
                  <c:v>8.6043717506761625E-4</c:v>
                </c:pt>
                <c:pt idx="261">
                  <c:v>9.4046117285089199E-4</c:v>
                </c:pt>
                <c:pt idx="262">
                  <c:v>1.0244833957010395E-3</c:v>
                </c:pt>
                <c:pt idx="263">
                  <c:v>1.1125103222409307E-3</c:v>
                </c:pt>
                <c:pt idx="264">
                  <c:v>1.2045488174610168E-3</c:v>
                </c:pt>
                <c:pt idx="265">
                  <c:v>1.3006130695938335E-3</c:v>
                </c:pt>
                <c:pt idx="266">
                  <c:v>1.4007160905063366E-3</c:v>
                </c:pt>
                <c:pt idx="267">
                  <c:v>1.5082023539305007E-3</c:v>
                </c:pt>
                <c:pt idx="268">
                  <c:v>1.6206963230103767E-3</c:v>
                </c:pt>
                <c:pt idx="269">
                  <c:v>1.7382078213144432E-3</c:v>
                </c:pt>
                <c:pt idx="270">
                  <c:v>1.8607466616428106E-3</c:v>
                </c:pt>
                <c:pt idx="271">
                  <c:v>1.988322592040894E-3</c:v>
                </c:pt>
                <c:pt idx="272">
                  <c:v>2.1209452418563261E-3</c:v>
                </c:pt>
                <c:pt idx="273">
                  <c:v>2.2586240677725505E-3</c:v>
                </c:pt>
                <c:pt idx="274">
                  <c:v>2.4013682998690025E-3</c:v>
                </c:pt>
                <c:pt idx="275">
                  <c:v>2.547892887685818E-3</c:v>
                </c:pt>
                <c:pt idx="276">
                  <c:v>2.6966369881772836E-3</c:v>
                </c:pt>
                <c:pt idx="277">
                  <c:v>2.8476045052337278E-3</c:v>
                </c:pt>
                <c:pt idx="278">
                  <c:v>3.0007987886455701E-3</c:v>
                </c:pt>
                <c:pt idx="279">
                  <c:v>3.1562226115468147E-3</c:v>
                </c:pt>
                <c:pt idx="280">
                  <c:v>3.3138781478865183E-3</c:v>
                </c:pt>
                <c:pt idx="281">
                  <c:v>3.4640949797597968E-3</c:v>
                </c:pt>
                <c:pt idx="282">
                  <c:v>3.6034991951834163E-3</c:v>
                </c:pt>
                <c:pt idx="283">
                  <c:v>3.7320705508146861E-3</c:v>
                </c:pt>
                <c:pt idx="284">
                  <c:v>3.8497881367700153E-3</c:v>
                </c:pt>
                <c:pt idx="285">
                  <c:v>3.9566304966804086E-3</c:v>
                </c:pt>
                <c:pt idx="286">
                  <c:v>4.0525757477837517E-3</c:v>
                </c:pt>
                <c:pt idx="287">
                  <c:v>4.1376017009798587E-3</c:v>
                </c:pt>
                <c:pt idx="288">
                  <c:v>4.2116859808994126E-3</c:v>
                </c:pt>
                <c:pt idx="289">
                  <c:v>4.2713654703555731E-3</c:v>
                </c:pt>
                <c:pt idx="290">
                  <c:v>4.3179166076925202E-3</c:v>
                </c:pt>
                <c:pt idx="291">
                  <c:v>4.3513140984148832E-3</c:v>
                </c:pt>
                <c:pt idx="292">
                  <c:v>4.3715330656612659E-3</c:v>
                </c:pt>
                <c:pt idx="293">
                  <c:v>4.3785491935849829E-3</c:v>
                </c:pt>
                <c:pt idx="294">
                  <c:v>4.3723388707181884E-3</c:v>
                </c:pt>
                <c:pt idx="295">
                  <c:v>4.3534191348895352E-3</c:v>
                </c:pt>
                <c:pt idx="296">
                  <c:v>4.3315655723740881E-3</c:v>
                </c:pt>
                <c:pt idx="297">
                  <c:v>4.306805908370002E-3</c:v>
                </c:pt>
                <c:pt idx="298">
                  <c:v>4.2791316607259551E-3</c:v>
                </c:pt>
                <c:pt idx="299">
                  <c:v>4.2485343493104608E-3</c:v>
                </c:pt>
                <c:pt idx="300">
                  <c:v>4.2150055229228179E-3</c:v>
                </c:pt>
                <c:pt idx="301">
                  <c:v>4.1785367861909943E-3</c:v>
                </c:pt>
                <c:pt idx="302">
                  <c:v>4.1391198264790754E-3</c:v>
                </c:pt>
                <c:pt idx="303">
                  <c:v>4.0943950418386435E-3</c:v>
                </c:pt>
                <c:pt idx="304">
                  <c:v>4.0478160921978111E-3</c:v>
                </c:pt>
                <c:pt idx="305">
                  <c:v>3.9993766670067951E-3</c:v>
                </c:pt>
                <c:pt idx="306">
                  <c:v>3.9490706444371233E-3</c:v>
                </c:pt>
                <c:pt idx="307">
                  <c:v>3.896892108053765E-3</c:v>
                </c:pt>
                <c:pt idx="308">
                  <c:v>3.8428353634543458E-3</c:v>
                </c:pt>
                <c:pt idx="309">
                  <c:v>3.7878010572236164E-3</c:v>
                </c:pt>
                <c:pt idx="310">
                  <c:v>3.7312420792058646E-3</c:v>
                </c:pt>
                <c:pt idx="311">
                  <c:v>3.6731539766478327E-3</c:v>
                </c:pt>
                <c:pt idx="312">
                  <c:v>3.6135325668136854E-3</c:v>
                </c:pt>
                <c:pt idx="313">
                  <c:v>3.5523739503308411E-3</c:v>
                </c:pt>
                <c:pt idx="314">
                  <c:v>3.4896745245024036E-3</c:v>
                </c:pt>
                <c:pt idx="315">
                  <c:v>3.4254309966645128E-3</c:v>
                </c:pt>
                <c:pt idx="316">
                  <c:v>3.359640397488805E-3</c:v>
                </c:pt>
                <c:pt idx="317">
                  <c:v>3.2947350703470464E-3</c:v>
                </c:pt>
                <c:pt idx="318">
                  <c:v>3.2330825939303463E-3</c:v>
                </c:pt>
                <c:pt idx="319">
                  <c:v>3.1746862563396421E-3</c:v>
                </c:pt>
                <c:pt idx="320">
                  <c:v>3.1195493002935926E-3</c:v>
                </c:pt>
                <c:pt idx="321">
                  <c:v>3.0676748925400807E-3</c:v>
                </c:pt>
                <c:pt idx="322">
                  <c:v>3.0190660932795377E-3</c:v>
                </c:pt>
                <c:pt idx="323">
                  <c:v>3.0006267193023878E-3</c:v>
                </c:pt>
                <c:pt idx="324">
                  <c:v>3.0114713160926967E-3</c:v>
                </c:pt>
                <c:pt idx="325">
                  <c:v>3.0516216364818807E-3</c:v>
                </c:pt>
                <c:pt idx="326">
                  <c:v>3.1210765920038235E-3</c:v>
                </c:pt>
                <c:pt idx="327">
                  <c:v>3.219842279734242E-3</c:v>
                </c:pt>
                <c:pt idx="328">
                  <c:v>3.3479358053259338E-3</c:v>
                </c:pt>
                <c:pt idx="329">
                  <c:v>3.5053704431696371E-3</c:v>
                </c:pt>
                <c:pt idx="330">
                  <c:v>3.6921562476641945E-3</c:v>
                </c:pt>
                <c:pt idx="331">
                  <c:v>3.9321279324522444E-3</c:v>
                </c:pt>
                <c:pt idx="332">
                  <c:v>4.2228537540757059E-3</c:v>
                </c:pt>
                <c:pt idx="333">
                  <c:v>4.5643417928408012E-3</c:v>
                </c:pt>
                <c:pt idx="334">
                  <c:v>4.9565976828272124E-3</c:v>
                </c:pt>
                <c:pt idx="335">
                  <c:v>5.3996256680125627E-3</c:v>
                </c:pt>
                <c:pt idx="336">
                  <c:v>5.8934296583397563E-3</c:v>
                </c:pt>
                <c:pt idx="337">
                  <c:v>6.4118159349184391E-3</c:v>
                </c:pt>
                <c:pt idx="338">
                  <c:v>6.9278334272320852E-3</c:v>
                </c:pt>
                <c:pt idx="339">
                  <c:v>7.4414877296338708E-3</c:v>
                </c:pt>
                <c:pt idx="340">
                  <c:v>7.9527887758784003E-3</c:v>
                </c:pt>
                <c:pt idx="341">
                  <c:v>8.4617507900330638E-3</c:v>
                </c:pt>
                <c:pt idx="342">
                  <c:v>8.9683922373943424E-3</c:v>
                </c:pt>
                <c:pt idx="343">
                  <c:v>9.4727357752993121E-3</c:v>
                </c:pt>
                <c:pt idx="344">
                  <c:v>9.9748082040668051E-3</c:v>
                </c:pt>
                <c:pt idx="345">
                  <c:v>1.0474640417848508E-2</c:v>
                </c:pt>
                <c:pt idx="346">
                  <c:v>1.0925611608313368E-2</c:v>
                </c:pt>
                <c:pt idx="347">
                  <c:v>1.132775141388421E-2</c:v>
                </c:pt>
                <c:pt idx="348">
                  <c:v>1.1681089349623704E-2</c:v>
                </c:pt>
                <c:pt idx="349">
                  <c:v>1.1985653788193697E-2</c:v>
                </c:pt>
                <c:pt idx="350">
                  <c:v>1.2241470941085365E-2</c:v>
                </c:pt>
                <c:pt idx="351">
                  <c:v>1.2425739851637099E-2</c:v>
                </c:pt>
                <c:pt idx="352">
                  <c:v>1.2564691514732435E-2</c:v>
                </c:pt>
                <c:pt idx="353">
                  <c:v>1.2658339719283729E-2</c:v>
                </c:pt>
                <c:pt idx="354">
                  <c:v>1.2706692377655713E-2</c:v>
                </c:pt>
                <c:pt idx="355">
                  <c:v>1.2709750576621227E-2</c:v>
                </c:pt>
                <c:pt idx="356">
                  <c:v>1.2667516382936039E-2</c:v>
                </c:pt>
                <c:pt idx="357">
                  <c:v>1.2579946172786382E-2</c:v>
                </c:pt>
                <c:pt idx="358">
                  <c:v>1.2446957711028229E-2</c:v>
                </c:pt>
                <c:pt idx="359">
                  <c:v>1.2268461956097931E-2</c:v>
                </c:pt>
                <c:pt idx="360">
                  <c:v>1.2018081036577061E-2</c:v>
                </c:pt>
                <c:pt idx="361">
                  <c:v>1.1718573117664796E-2</c:v>
                </c:pt>
                <c:pt idx="362">
                  <c:v>1.1369829960224405E-2</c:v>
                </c:pt>
                <c:pt idx="363">
                  <c:v>1.0971741139970195E-2</c:v>
                </c:pt>
                <c:pt idx="364">
                  <c:v>1.0524195305818884E-2</c:v>
                </c:pt>
                <c:pt idx="365">
                  <c:v>1.0027081438078282E-2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1.1379781819019974E-2</c:v>
                </c:pt>
                <c:pt idx="1">
                  <c:v>1.0846271542251687E-2</c:v>
                </c:pt>
                <c:pt idx="2">
                  <c:v>1.0310903684875387E-2</c:v>
                </c:pt>
                <c:pt idx="3">
                  <c:v>9.7736415675955517E-3</c:v>
                </c:pt>
                <c:pt idx="4">
                  <c:v>9.2344540051018578E-3</c:v>
                </c:pt>
                <c:pt idx="5">
                  <c:v>8.6933153420505494E-3</c:v>
                </c:pt>
                <c:pt idx="6">
                  <c:v>8.150205489157401E-3</c:v>
                </c:pt>
                <c:pt idx="7">
                  <c:v>7.6051099590850983E-3</c:v>
                </c:pt>
                <c:pt idx="8">
                  <c:v>7.0580199024686194E-3</c:v>
                </c:pt>
                <c:pt idx="9">
                  <c:v>6.5376899962019501E-3</c:v>
                </c:pt>
                <c:pt idx="10">
                  <c:v>6.0722059867598212E-3</c:v>
                </c:pt>
                <c:pt idx="11">
                  <c:v>5.6616454631426777E-3</c:v>
                </c:pt>
                <c:pt idx="12">
                  <c:v>5.3060848785625976E-3</c:v>
                </c:pt>
                <c:pt idx="13">
                  <c:v>5.0055981423854749E-3</c:v>
                </c:pt>
                <c:pt idx="14">
                  <c:v>4.76025521198996E-3</c:v>
                </c:pt>
                <c:pt idx="15">
                  <c:v>4.5717048068624607E-3</c:v>
                </c:pt>
                <c:pt idx="16">
                  <c:v>4.4133193691493671E-3</c:v>
                </c:pt>
                <c:pt idx="17">
                  <c:v>4.2851288285839515E-3</c:v>
                </c:pt>
                <c:pt idx="18">
                  <c:v>4.1871587273427024E-3</c:v>
                </c:pt>
                <c:pt idx="19">
                  <c:v>4.1194524264386283E-3</c:v>
                </c:pt>
                <c:pt idx="20">
                  <c:v>4.0820568069513882E-3</c:v>
                </c:pt>
                <c:pt idx="21">
                  <c:v>4.0749952367697857E-3</c:v>
                </c:pt>
                <c:pt idx="22">
                  <c:v>4.0982864540274428E-3</c:v>
                </c:pt>
                <c:pt idx="23">
                  <c:v>4.1544320463612295E-3</c:v>
                </c:pt>
                <c:pt idx="24">
                  <c:v>4.2145741221638966E-3</c:v>
                </c:pt>
                <c:pt idx="25">
                  <c:v>4.2787151996790925E-3</c:v>
                </c:pt>
                <c:pt idx="26">
                  <c:v>4.346857624780695E-3</c:v>
                </c:pt>
                <c:pt idx="27">
                  <c:v>4.4190036218638299E-3</c:v>
                </c:pt>
                <c:pt idx="28">
                  <c:v>4.4951553448284642E-3</c:v>
                </c:pt>
                <c:pt idx="29">
                  <c:v>4.5741250651333502E-3</c:v>
                </c:pt>
                <c:pt idx="30">
                  <c:v>4.6543282770211214E-3</c:v>
                </c:pt>
                <c:pt idx="31">
                  <c:v>4.7357675680996031E-3</c:v>
                </c:pt>
                <c:pt idx="32">
                  <c:v>4.8184458357774466E-3</c:v>
                </c:pt>
                <c:pt idx="33">
                  <c:v>4.9023663034769155E-3</c:v>
                </c:pt>
                <c:pt idx="34">
                  <c:v>4.9875325368682723E-3</c:v>
                </c:pt>
                <c:pt idx="35">
                  <c:v>5.0739484601012757E-3</c:v>
                </c:pt>
                <c:pt idx="36">
                  <c:v>5.1616183720269958E-3</c:v>
                </c:pt>
                <c:pt idx="37">
                  <c:v>5.2490775892675449E-3</c:v>
                </c:pt>
                <c:pt idx="38">
                  <c:v>5.3338453802944203E-3</c:v>
                </c:pt>
                <c:pt idx="39">
                  <c:v>5.4159283221988661E-3</c:v>
                </c:pt>
                <c:pt idx="40">
                  <c:v>5.4953334469726792E-3</c:v>
                </c:pt>
                <c:pt idx="41">
                  <c:v>5.5720682082880599E-3</c:v>
                </c:pt>
                <c:pt idx="42">
                  <c:v>5.6461404482411881E-3</c:v>
                </c:pt>
                <c:pt idx="43">
                  <c:v>5.7159741995278859E-3</c:v>
                </c:pt>
                <c:pt idx="44">
                  <c:v>5.7827669621714414E-3</c:v>
                </c:pt>
                <c:pt idx="45">
                  <c:v>5.846527608085926E-3</c:v>
                </c:pt>
                <c:pt idx="46">
                  <c:v>5.9072652410950824E-3</c:v>
                </c:pt>
                <c:pt idx="47">
                  <c:v>5.9649891587741678E-3</c:v>
                </c:pt>
                <c:pt idx="48">
                  <c:v>6.0197088142157238E-3</c:v>
                </c:pt>
                <c:pt idx="49">
                  <c:v>6.0714337778483216E-3</c:v>
                </c:pt>
                <c:pt idx="50">
                  <c:v>6.1201736992189254E-3</c:v>
                </c:pt>
                <c:pt idx="51">
                  <c:v>6.1550470969208527E-3</c:v>
                </c:pt>
                <c:pt idx="52">
                  <c:v>6.1774977802048006E-3</c:v>
                </c:pt>
                <c:pt idx="53">
                  <c:v>6.1874936921727589E-3</c:v>
                </c:pt>
                <c:pt idx="54">
                  <c:v>6.1850328428390243E-3</c:v>
                </c:pt>
                <c:pt idx="55">
                  <c:v>6.1701130216055555E-3</c:v>
                </c:pt>
                <c:pt idx="56">
                  <c:v>6.1427318434107312E-3</c:v>
                </c:pt>
                <c:pt idx="57">
                  <c:v>6.0933242138399247E-3</c:v>
                </c:pt>
                <c:pt idx="58">
                  <c:v>6.0234708670958608E-3</c:v>
                </c:pt>
                <c:pt idx="59">
                  <c:v>5.9331689909426846E-3</c:v>
                </c:pt>
                <c:pt idx="60">
                  <c:v>5.822415766186642E-3</c:v>
                </c:pt>
                <c:pt idx="61">
                  <c:v>5.6912084423486921E-3</c:v>
                </c:pt>
                <c:pt idx="62">
                  <c:v>5.5395444133284734E-3</c:v>
                </c:pt>
                <c:pt idx="63">
                  <c:v>5.3674212930854863E-3</c:v>
                </c:pt>
                <c:pt idx="64">
                  <c:v>5.1748369912977292E-3</c:v>
                </c:pt>
                <c:pt idx="65">
                  <c:v>4.9653031909473863E-3</c:v>
                </c:pt>
                <c:pt idx="66">
                  <c:v>4.7497102938500136E-3</c:v>
                </c:pt>
                <c:pt idx="67">
                  <c:v>4.528057581725399E-3</c:v>
                </c:pt>
                <c:pt idx="68">
                  <c:v>4.3003447301334652E-3</c:v>
                </c:pt>
                <c:pt idx="69">
                  <c:v>4.0665718308392808E-3</c:v>
                </c:pt>
                <c:pt idx="70">
                  <c:v>3.8267394142003706E-3</c:v>
                </c:pt>
                <c:pt idx="71">
                  <c:v>3.5864784557136631E-3</c:v>
                </c:pt>
                <c:pt idx="72">
                  <c:v>3.3553529513098597E-3</c:v>
                </c:pt>
                <c:pt idx="73">
                  <c:v>3.133363981478805E-3</c:v>
                </c:pt>
                <c:pt idx="74">
                  <c:v>2.9205127338616126E-3</c:v>
                </c:pt>
                <c:pt idx="75">
                  <c:v>2.7168004694298094E-3</c:v>
                </c:pt>
                <c:pt idx="76">
                  <c:v>2.5222284886547981E-3</c:v>
                </c:pt>
                <c:pt idx="77">
                  <c:v>2.3367980976867937E-3</c:v>
                </c:pt>
                <c:pt idx="78">
                  <c:v>2.1605106462558826E-3</c:v>
                </c:pt>
                <c:pt idx="79">
                  <c:v>1.9968123786831184E-3</c:v>
                </c:pt>
                <c:pt idx="80">
                  <c:v>1.8421947583117375E-3</c:v>
                </c:pt>
                <c:pt idx="81">
                  <c:v>1.6966559889169022E-3</c:v>
                </c:pt>
                <c:pt idx="82">
                  <c:v>1.5601944460920272E-3</c:v>
                </c:pt>
                <c:pt idx="83">
                  <c:v>1.4328086482061741E-3</c:v>
                </c:pt>
                <c:pt idx="84">
                  <c:v>1.3144972273664726E-3</c:v>
                </c:pt>
                <c:pt idx="85">
                  <c:v>1.2136386303089964E-3</c:v>
                </c:pt>
                <c:pt idx="86">
                  <c:v>1.1246036269672117E-3</c:v>
                </c:pt>
                <c:pt idx="87">
                  <c:v>1.0473904932779149E-3</c:v>
                </c:pt>
                <c:pt idx="88">
                  <c:v>9.819974487696012E-4</c:v>
                </c:pt>
                <c:pt idx="89">
                  <c:v>9.2842261870112683E-4</c:v>
                </c:pt>
                <c:pt idx="90">
                  <c:v>8.8666399619835633E-4</c:v>
                </c:pt>
                <c:pt idx="91">
                  <c:v>8.5671940439439268E-4</c:v>
                </c:pt>
                <c:pt idx="92">
                  <c:v>8.3858645856708838E-4</c:v>
                </c:pt>
                <c:pt idx="93">
                  <c:v>8.4314604280860477E-4</c:v>
                </c:pt>
                <c:pt idx="94">
                  <c:v>8.6695842737814657E-4</c:v>
                </c:pt>
                <c:pt idx="95">
                  <c:v>9.100182892138875E-4</c:v>
                </c:pt>
                <c:pt idx="96">
                  <c:v>9.7231970029709681E-4</c:v>
                </c:pt>
                <c:pt idx="97">
                  <c:v>1.053856065913821E-3</c:v>
                </c:pt>
                <c:pt idx="98">
                  <c:v>1.1546200629088111E-3</c:v>
                </c:pt>
                <c:pt idx="99">
                  <c:v>1.2880128198007252E-3</c:v>
                </c:pt>
                <c:pt idx="100">
                  <c:v>1.4456510325623953E-3</c:v>
                </c:pt>
                <c:pt idx="101">
                  <c:v>1.6275227005245667E-3</c:v>
                </c:pt>
                <c:pt idx="102">
                  <c:v>1.8336146154100126E-3</c:v>
                </c:pt>
                <c:pt idx="103">
                  <c:v>2.0639122834101783E-3</c:v>
                </c:pt>
                <c:pt idx="104">
                  <c:v>2.3183998473017475E-3</c:v>
                </c:pt>
                <c:pt idx="105">
                  <c:v>2.5970600085267991E-3</c:v>
                </c:pt>
                <c:pt idx="106">
                  <c:v>2.899873949294942E-3</c:v>
                </c:pt>
                <c:pt idx="107">
                  <c:v>3.2405815006821478E-3</c:v>
                </c:pt>
                <c:pt idx="108">
                  <c:v>3.60829011020986E-3</c:v>
                </c:pt>
                <c:pt idx="109">
                  <c:v>4.002973912016144E-3</c:v>
                </c:pt>
                <c:pt idx="110">
                  <c:v>4.4246176248682141E-3</c:v>
                </c:pt>
                <c:pt idx="111">
                  <c:v>4.8732093190865878E-3</c:v>
                </c:pt>
                <c:pt idx="112">
                  <c:v>5.3487258427108338E-3</c:v>
                </c:pt>
                <c:pt idx="113">
                  <c:v>5.8644142413353806E-3</c:v>
                </c:pt>
                <c:pt idx="114">
                  <c:v>6.406865059578948E-3</c:v>
                </c:pt>
                <c:pt idx="115">
                  <c:v>6.9760514359953896E-3</c:v>
                </c:pt>
                <c:pt idx="116">
                  <c:v>7.5719451904606274E-3</c:v>
                </c:pt>
                <c:pt idx="117">
                  <c:v>8.1945167651513977E-3</c:v>
                </c:pt>
                <c:pt idx="118">
                  <c:v>8.8437351654609697E-3</c:v>
                </c:pt>
                <c:pt idx="119">
                  <c:v>9.5195679009315963E-3</c:v>
                </c:pt>
                <c:pt idx="120">
                  <c:v>1.0221980926170571E-2</c:v>
                </c:pt>
                <c:pt idx="121">
                  <c:v>1.0958994669592595E-2</c:v>
                </c:pt>
                <c:pt idx="122">
                  <c:v>1.1716850631796524E-2</c:v>
                </c:pt>
                <c:pt idx="123">
                  <c:v>1.2495514139429398E-2</c:v>
                </c:pt>
                <c:pt idx="124">
                  <c:v>1.3294948962368089E-2</c:v>
                </c:pt>
                <c:pt idx="125">
                  <c:v>1.4115117267154177E-2</c:v>
                </c:pt>
                <c:pt idx="126">
                  <c:v>1.4955979570259953E-2</c:v>
                </c:pt>
                <c:pt idx="127">
                  <c:v>1.5819646719249524E-2</c:v>
                </c:pt>
                <c:pt idx="128">
                  <c:v>1.669285350445306E-2</c:v>
                </c:pt>
                <c:pt idx="129">
                  <c:v>1.7575565614859356E-2</c:v>
                </c:pt>
                <c:pt idx="130">
                  <c:v>1.8467747461544393E-2</c:v>
                </c:pt>
                <c:pt idx="131">
                  <c:v>1.9369362155135534E-2</c:v>
                </c:pt>
                <c:pt idx="132">
                  <c:v>2.028037148341499E-2</c:v>
                </c:pt>
                <c:pt idx="133">
                  <c:v>2.1200735889050998E-2</c:v>
                </c:pt>
                <c:pt idx="134">
                  <c:v>2.2130414447244302E-2</c:v>
                </c:pt>
                <c:pt idx="135">
                  <c:v>2.3066380065850784E-2</c:v>
                </c:pt>
                <c:pt idx="136">
                  <c:v>2.4000574548655913E-2</c:v>
                </c:pt>
                <c:pt idx="137">
                  <c:v>2.4932965682624347E-2</c:v>
                </c:pt>
                <c:pt idx="138">
                  <c:v>2.5863520475053258E-2</c:v>
                </c:pt>
                <c:pt idx="139">
                  <c:v>2.6792205156039015E-2</c:v>
                </c:pt>
                <c:pt idx="140">
                  <c:v>2.7718985179520293E-2</c:v>
                </c:pt>
                <c:pt idx="141">
                  <c:v>2.8618772846765662E-2</c:v>
                </c:pt>
                <c:pt idx="142">
                  <c:v>2.9489263023093282E-2</c:v>
                </c:pt>
                <c:pt idx="143">
                  <c:v>3.033030730545043E-2</c:v>
                </c:pt>
                <c:pt idx="144">
                  <c:v>3.114193244975326E-2</c:v>
                </c:pt>
                <c:pt idx="145">
                  <c:v>3.1924173092338894E-2</c:v>
                </c:pt>
                <c:pt idx="146">
                  <c:v>3.267707137296403E-2</c:v>
                </c:pt>
                <c:pt idx="147">
                  <c:v>3.3400676558857138E-2</c:v>
                </c:pt>
                <c:pt idx="148">
                  <c:v>3.4095044668027014E-2</c:v>
                </c:pt>
                <c:pt idx="149">
                  <c:v>3.4747583911480591E-2</c:v>
                </c:pt>
                <c:pt idx="150">
                  <c:v>3.5361348404468709E-2</c:v>
                </c:pt>
                <c:pt idx="151">
                  <c:v>3.5936429863042151E-2</c:v>
                </c:pt>
                <c:pt idx="152">
                  <c:v>3.6472925718299139E-2</c:v>
                </c:pt>
                <c:pt idx="153">
                  <c:v>3.6970938609091945E-2</c:v>
                </c:pt>
                <c:pt idx="154">
                  <c:v>3.7430575874927492E-2</c:v>
                </c:pt>
                <c:pt idx="155">
                  <c:v>3.7856264092798665E-2</c:v>
                </c:pt>
                <c:pt idx="156">
                  <c:v>3.8272953093493607E-2</c:v>
                </c:pt>
                <c:pt idx="157">
                  <c:v>3.8680705852643375E-2</c:v>
                </c:pt>
                <c:pt idx="158">
                  <c:v>3.9079587836065584E-2</c:v>
                </c:pt>
                <c:pt idx="159">
                  <c:v>3.9469666887298055E-2</c:v>
                </c:pt>
                <c:pt idx="160">
                  <c:v>3.9851013115611386E-2</c:v>
                </c:pt>
                <c:pt idx="161">
                  <c:v>4.0223698783581736E-2</c:v>
                </c:pt>
                <c:pt idx="162">
                  <c:v>4.0587798194872161E-2</c:v>
                </c:pt>
                <c:pt idx="163">
                  <c:v>4.0916280261151496E-2</c:v>
                </c:pt>
                <c:pt idx="164">
                  <c:v>4.1221809985576528E-2</c:v>
                </c:pt>
                <c:pt idx="165">
                  <c:v>4.1504492980343081E-2</c:v>
                </c:pt>
                <c:pt idx="166">
                  <c:v>4.1764435454520271E-2</c:v>
                </c:pt>
                <c:pt idx="167">
                  <c:v>4.2001743903016329E-2</c:v>
                </c:pt>
                <c:pt idx="168">
                  <c:v>4.221652479687036E-2</c:v>
                </c:pt>
                <c:pt idx="169">
                  <c:v>4.2381872973047463E-2</c:v>
                </c:pt>
                <c:pt idx="170">
                  <c:v>4.2493662511870721E-2</c:v>
                </c:pt>
                <c:pt idx="171">
                  <c:v>4.255204642063376E-2</c:v>
                </c:pt>
                <c:pt idx="172">
                  <c:v>4.2557172927297417E-2</c:v>
                </c:pt>
                <c:pt idx="173">
                  <c:v>4.2508750043118271E-2</c:v>
                </c:pt>
                <c:pt idx="174">
                  <c:v>4.2406460705073125E-2</c:v>
                </c:pt>
                <c:pt idx="175">
                  <c:v>4.2250411425104495E-2</c:v>
                </c:pt>
                <c:pt idx="176">
                  <c:v>4.2040708360379826E-2</c:v>
                </c:pt>
                <c:pt idx="177">
                  <c:v>4.1781717529384088E-2</c:v>
                </c:pt>
                <c:pt idx="178">
                  <c:v>4.1500423940221166E-2</c:v>
                </c:pt>
                <c:pt idx="179">
                  <c:v>4.1196884218523327E-2</c:v>
                </c:pt>
                <c:pt idx="180">
                  <c:v>4.0871153989719251E-2</c:v>
                </c:pt>
                <c:pt idx="181">
                  <c:v>4.0523287745898168E-2</c:v>
                </c:pt>
                <c:pt idx="182">
                  <c:v>4.0153338713036009E-2</c:v>
                </c:pt>
                <c:pt idx="183">
                  <c:v>3.9748946666858444E-2</c:v>
                </c:pt>
                <c:pt idx="184">
                  <c:v>3.9336987772171948E-2</c:v>
                </c:pt>
                <c:pt idx="185">
                  <c:v>3.8917490041995684E-2</c:v>
                </c:pt>
                <c:pt idx="186">
                  <c:v>3.8490480249576416E-2</c:v>
                </c:pt>
                <c:pt idx="187">
                  <c:v>3.805598388049828E-2</c:v>
                </c:pt>
                <c:pt idx="188">
                  <c:v>3.7614025084998726E-2</c:v>
                </c:pt>
                <c:pt idx="189">
                  <c:v>3.7164626629122226E-2</c:v>
                </c:pt>
                <c:pt idx="190">
                  <c:v>3.6707809847495193E-2</c:v>
                </c:pt>
                <c:pt idx="191">
                  <c:v>3.6219211212666906E-2</c:v>
                </c:pt>
                <c:pt idx="192">
                  <c:v>3.5694648442980655E-2</c:v>
                </c:pt>
                <c:pt idx="193">
                  <c:v>3.5134172017563185E-2</c:v>
                </c:pt>
                <c:pt idx="194">
                  <c:v>3.4537828750816034E-2</c:v>
                </c:pt>
                <c:pt idx="195">
                  <c:v>3.3905661576048067E-2</c:v>
                </c:pt>
                <c:pt idx="196">
                  <c:v>3.3237709327742802E-2</c:v>
                </c:pt>
                <c:pt idx="197">
                  <c:v>3.2531115188906751E-2</c:v>
                </c:pt>
                <c:pt idx="198">
                  <c:v>3.1798246593275618E-2</c:v>
                </c:pt>
                <c:pt idx="199">
                  <c:v>3.1039119444104285E-2</c:v>
                </c:pt>
                <c:pt idx="200">
                  <c:v>3.0253745528219574E-2</c:v>
                </c:pt>
                <c:pt idx="201">
                  <c:v>2.9442132354504852E-2</c:v>
                </c:pt>
                <c:pt idx="202">
                  <c:v>2.8604282992594054E-2</c:v>
                </c:pt>
                <c:pt idx="203">
                  <c:v>2.7740195912203152E-2</c:v>
                </c:pt>
                <c:pt idx="204">
                  <c:v>2.6849821463442697E-2</c:v>
                </c:pt>
                <c:pt idx="205">
                  <c:v>2.5935169625626087E-2</c:v>
                </c:pt>
                <c:pt idx="206">
                  <c:v>2.502047752145313E-2</c:v>
                </c:pt>
                <c:pt idx="207">
                  <c:v>2.4105700045475787E-2</c:v>
                </c:pt>
                <c:pt idx="208">
                  <c:v>2.3190793154460421E-2</c:v>
                </c:pt>
                <c:pt idx="209">
                  <c:v>2.2275713869597032E-2</c:v>
                </c:pt>
                <c:pt idx="210">
                  <c:v>2.1360420279494152E-2</c:v>
                </c:pt>
                <c:pt idx="211">
                  <c:v>2.0452615062121694E-2</c:v>
                </c:pt>
                <c:pt idx="212">
                  <c:v>1.9555136348208272E-2</c:v>
                </c:pt>
                <c:pt idx="213">
                  <c:v>1.8667941635295757E-2</c:v>
                </c:pt>
                <c:pt idx="214">
                  <c:v>1.7790990222709559E-2</c:v>
                </c:pt>
                <c:pt idx="215">
                  <c:v>1.6924243181151995E-2</c:v>
                </c:pt>
                <c:pt idx="216">
                  <c:v>1.6067663322219834E-2</c:v>
                </c:pt>
                <c:pt idx="217">
                  <c:v>1.5221215167981764E-2</c:v>
                </c:pt>
                <c:pt idx="218">
                  <c:v>1.4384864920457555E-2</c:v>
                </c:pt>
                <c:pt idx="219">
                  <c:v>1.3571302789060177E-2</c:v>
                </c:pt>
                <c:pt idx="220">
                  <c:v>1.2778425959029262E-2</c:v>
                </c:pt>
                <c:pt idx="221">
                  <c:v>1.2006204419485004E-2</c:v>
                </c:pt>
                <c:pt idx="222">
                  <c:v>1.1254610279478092E-2</c:v>
                </c:pt>
                <c:pt idx="223">
                  <c:v>1.0523617704638952E-2</c:v>
                </c:pt>
                <c:pt idx="224">
                  <c:v>9.8132028535084515E-3</c:v>
                </c:pt>
                <c:pt idx="225">
                  <c:v>9.1365168661090342E-3</c:v>
                </c:pt>
                <c:pt idx="226">
                  <c:v>8.4858038008944342E-3</c:v>
                </c:pt>
                <c:pt idx="227">
                  <c:v>7.8610457901559603E-3</c:v>
                </c:pt>
                <c:pt idx="228">
                  <c:v>7.2622269226281814E-3</c:v>
                </c:pt>
                <c:pt idx="229">
                  <c:v>6.6893331629142129E-3</c:v>
                </c:pt>
                <c:pt idx="230">
                  <c:v>6.1423522710487019E-3</c:v>
                </c:pt>
                <c:pt idx="231">
                  <c:v>5.6212737220636974E-3</c:v>
                </c:pt>
                <c:pt idx="232">
                  <c:v>5.1260886254207716E-3</c:v>
                </c:pt>
                <c:pt idx="233">
                  <c:v>4.6696143418706168E-3</c:v>
                </c:pt>
                <c:pt idx="234">
                  <c:v>4.2391241336145122E-3</c:v>
                </c:pt>
                <c:pt idx="235">
                  <c:v>3.8346168341030513E-3</c:v>
                </c:pt>
                <c:pt idx="236">
                  <c:v>3.4560924763320246E-3</c:v>
                </c:pt>
                <c:pt idx="237">
                  <c:v>3.1035488408302915E-3</c:v>
                </c:pt>
                <c:pt idx="238">
                  <c:v>2.7769845116514826E-3</c:v>
                </c:pt>
                <c:pt idx="239">
                  <c:v>2.4868061295077108E-3</c:v>
                </c:pt>
                <c:pt idx="240">
                  <c:v>2.2198351934782866E-3</c:v>
                </c:pt>
                <c:pt idx="241">
                  <c:v>1.9760724024547286E-3</c:v>
                </c:pt>
                <c:pt idx="242">
                  <c:v>1.7555193219343176E-3</c:v>
                </c:pt>
                <c:pt idx="243">
                  <c:v>1.558178425051371E-3</c:v>
                </c:pt>
                <c:pt idx="244">
                  <c:v>1.384053133587803E-3</c:v>
                </c:pt>
                <c:pt idx="245">
                  <c:v>1.2331478589680791E-3</c:v>
                </c:pt>
                <c:pt idx="246">
                  <c:v>1.10546804325977E-3</c:v>
                </c:pt>
                <c:pt idx="247">
                  <c:v>1.0090365615993723E-3</c:v>
                </c:pt>
                <c:pt idx="248">
                  <c:v>9.3102108851084045E-4</c:v>
                </c:pt>
                <c:pt idx="249">
                  <c:v>8.7142825701882803E-4</c:v>
                </c:pt>
                <c:pt idx="250">
                  <c:v>8.3026563731669004E-4</c:v>
                </c:pt>
                <c:pt idx="251">
                  <c:v>8.0754176929099598E-4</c:v>
                </c:pt>
                <c:pt idx="252">
                  <c:v>8.0326619500719601E-4</c:v>
                </c:pt>
                <c:pt idx="253">
                  <c:v>8.207401852128774E-4</c:v>
                </c:pt>
                <c:pt idx="254">
                  <c:v>8.4954726238452695E-4</c:v>
                </c:pt>
                <c:pt idx="255">
                  <c:v>8.8969555621866989E-4</c:v>
                </c:pt>
                <c:pt idx="256">
                  <c:v>9.4119389682565432E-4</c:v>
                </c:pt>
                <c:pt idx="257">
                  <c:v>1.0040518346519675E-3</c:v>
                </c:pt>
                <c:pt idx="258">
                  <c:v>1.0782796604097812E-3</c:v>
                </c:pt>
                <c:pt idx="259">
                  <c:v>1.1638884250223015E-3</c:v>
                </c:pt>
                <c:pt idx="260">
                  <c:v>1.2608899595386522E-3</c:v>
                </c:pt>
                <c:pt idx="261">
                  <c:v>1.3746961760321824E-3</c:v>
                </c:pt>
                <c:pt idx="262">
                  <c:v>1.4972822397354771E-3</c:v>
                </c:pt>
                <c:pt idx="263">
                  <c:v>1.6286602046333201E-3</c:v>
                </c:pt>
                <c:pt idx="264">
                  <c:v>1.7688428906603548E-3</c:v>
                </c:pt>
                <c:pt idx="265">
                  <c:v>1.9178541194957474E-3</c:v>
                </c:pt>
                <c:pt idx="266">
                  <c:v>2.075716380484649E-3</c:v>
                </c:pt>
                <c:pt idx="267">
                  <c:v>2.2458219595879124E-3</c:v>
                </c:pt>
                <c:pt idx="268">
                  <c:v>2.424886349984349E-3</c:v>
                </c:pt>
                <c:pt idx="269">
                  <c:v>2.6129265219395612E-3</c:v>
                </c:pt>
                <c:pt idx="270">
                  <c:v>2.8099595258624533E-3</c:v>
                </c:pt>
                <c:pt idx="271">
                  <c:v>3.016002395458758E-3</c:v>
                </c:pt>
                <c:pt idx="272">
                  <c:v>3.2310720509491236E-3</c:v>
                </c:pt>
                <c:pt idx="273">
                  <c:v>3.455185202251966E-3</c:v>
                </c:pt>
                <c:pt idx="274">
                  <c:v>3.6883582522067109E-3</c:v>
                </c:pt>
                <c:pt idx="275">
                  <c:v>3.9213855671609956E-3</c:v>
                </c:pt>
                <c:pt idx="276">
                  <c:v>4.1488372852052412E-3</c:v>
                </c:pt>
                <c:pt idx="277">
                  <c:v>4.3707061081396962E-3</c:v>
                </c:pt>
                <c:pt idx="278">
                  <c:v>4.5869834829547736E-3</c:v>
                </c:pt>
                <c:pt idx="279">
                  <c:v>4.7976596658619369E-3</c:v>
                </c:pt>
                <c:pt idx="280">
                  <c:v>5.0027237863672618E-3</c:v>
                </c:pt>
                <c:pt idx="281">
                  <c:v>5.1916291345487009E-3</c:v>
                </c:pt>
                <c:pt idx="282">
                  <c:v>5.360946221837277E-3</c:v>
                </c:pt>
                <c:pt idx="283">
                  <c:v>5.51063927675495E-3</c:v>
                </c:pt>
                <c:pt idx="284">
                  <c:v>5.6406716825513235E-3</c:v>
                </c:pt>
                <c:pt idx="285">
                  <c:v>5.7510061937312562E-3</c:v>
                </c:pt>
                <c:pt idx="286">
                  <c:v>5.8416051526364353E-3</c:v>
                </c:pt>
                <c:pt idx="287">
                  <c:v>5.912430705971969E-3</c:v>
                </c:pt>
                <c:pt idx="288">
                  <c:v>5.9634450213536293E-3</c:v>
                </c:pt>
                <c:pt idx="289">
                  <c:v>5.9930724747399656E-3</c:v>
                </c:pt>
                <c:pt idx="290">
                  <c:v>6.0105664043246841E-3</c:v>
                </c:pt>
                <c:pt idx="291">
                  <c:v>6.0159018209561864E-3</c:v>
                </c:pt>
                <c:pt idx="292">
                  <c:v>6.0090542353334582E-3</c:v>
                </c:pt>
                <c:pt idx="293">
                  <c:v>5.9899997900977704E-3</c:v>
                </c:pt>
                <c:pt idx="294">
                  <c:v>5.9587153919010228E-3</c:v>
                </c:pt>
                <c:pt idx="295">
                  <c:v>5.9137495299431547E-3</c:v>
                </c:pt>
                <c:pt idx="296">
                  <c:v>5.8657636277579641E-3</c:v>
                </c:pt>
                <c:pt idx="297">
                  <c:v>5.814796444258339E-3</c:v>
                </c:pt>
                <c:pt idx="298">
                  <c:v>5.7608375000255917E-3</c:v>
                </c:pt>
                <c:pt idx="299">
                  <c:v>5.7038764150040486E-3</c:v>
                </c:pt>
                <c:pt idx="300">
                  <c:v>5.6439029359800193E-3</c:v>
                </c:pt>
                <c:pt idx="301">
                  <c:v>5.5809069640431787E-3</c:v>
                </c:pt>
                <c:pt idx="302">
                  <c:v>5.514878582060765E-3</c:v>
                </c:pt>
                <c:pt idx="303">
                  <c:v>5.4446463715668095E-3</c:v>
                </c:pt>
                <c:pt idx="304">
                  <c:v>5.3717481423165543E-3</c:v>
                </c:pt>
                <c:pt idx="305">
                  <c:v>5.2961752414168442E-3</c:v>
                </c:pt>
                <c:pt idx="306">
                  <c:v>5.217919308328791E-3</c:v>
                </c:pt>
                <c:pt idx="307">
                  <c:v>5.1369722987876232E-3</c:v>
                </c:pt>
                <c:pt idx="308">
                  <c:v>5.0533265086790888E-3</c:v>
                </c:pt>
                <c:pt idx="309">
                  <c:v>4.9694101826219042E-3</c:v>
                </c:pt>
                <c:pt idx="310">
                  <c:v>4.8866597032562915E-3</c:v>
                </c:pt>
                <c:pt idx="311">
                  <c:v>4.8050737364609842E-3</c:v>
                </c:pt>
                <c:pt idx="312">
                  <c:v>4.7246512111568115E-3</c:v>
                </c:pt>
                <c:pt idx="313">
                  <c:v>4.645391307661906E-3</c:v>
                </c:pt>
                <c:pt idx="314">
                  <c:v>4.5672934460031711E-3</c:v>
                </c:pt>
                <c:pt idx="315">
                  <c:v>4.4903572742865088E-3</c:v>
                </c:pt>
                <c:pt idx="316">
                  <c:v>4.4145826569952631E-3</c:v>
                </c:pt>
                <c:pt idx="317">
                  <c:v>4.3415286429854165E-3</c:v>
                </c:pt>
                <c:pt idx="318">
                  <c:v>4.2723667341728264E-3</c:v>
                </c:pt>
                <c:pt idx="319">
                  <c:v>4.207100325991941E-3</c:v>
                </c:pt>
                <c:pt idx="320">
                  <c:v>4.1457327431531736E-3</c:v>
                </c:pt>
                <c:pt idx="321">
                  <c:v>4.0882672030300759E-3</c:v>
                </c:pt>
                <c:pt idx="322">
                  <c:v>4.0347067790625002E-3</c:v>
                </c:pt>
                <c:pt idx="323">
                  <c:v>4.0134793186059857E-3</c:v>
                </c:pt>
                <c:pt idx="324">
                  <c:v>4.022162236567998E-3</c:v>
                </c:pt>
                <c:pt idx="325">
                  <c:v>4.06077699434617E-3</c:v>
                </c:pt>
                <c:pt idx="326">
                  <c:v>4.1293158759875418E-3</c:v>
                </c:pt>
                <c:pt idx="327">
                  <c:v>4.2277824683698969E-3</c:v>
                </c:pt>
                <c:pt idx="328">
                  <c:v>4.3561964324507476E-3</c:v>
                </c:pt>
                <c:pt idx="329">
                  <c:v>4.5145734912791467E-3</c:v>
                </c:pt>
                <c:pt idx="330">
                  <c:v>4.7029260547217927E-3</c:v>
                </c:pt>
                <c:pt idx="331">
                  <c:v>4.9476161207362909E-3</c:v>
                </c:pt>
                <c:pt idx="332">
                  <c:v>5.2470942061774188E-3</c:v>
                </c:pt>
                <c:pt idx="333">
                  <c:v>5.6013712510887522E-3</c:v>
                </c:pt>
                <c:pt idx="334">
                  <c:v>6.0104554333096005E-3</c:v>
                </c:pt>
                <c:pt idx="335">
                  <c:v>6.4743533088831321E-3</c:v>
                </c:pt>
                <c:pt idx="336">
                  <c:v>6.9930709523937902E-3</c:v>
                </c:pt>
                <c:pt idx="337">
                  <c:v>7.5388506900941179E-3</c:v>
                </c:pt>
                <c:pt idx="338">
                  <c:v>8.0832163002811392E-3</c:v>
                </c:pt>
                <c:pt idx="339">
                  <c:v>8.6261753934454722E-3</c:v>
                </c:pt>
                <c:pt idx="340">
                  <c:v>9.167740134943321E-3</c:v>
                </c:pt>
                <c:pt idx="341">
                  <c:v>9.7079272158716191E-3</c:v>
                </c:pt>
                <c:pt idx="342">
                  <c:v>1.024675782394785E-2</c:v>
                </c:pt>
                <c:pt idx="343">
                  <c:v>1.0784257614269868E-2</c:v>
                </c:pt>
                <c:pt idx="344">
                  <c:v>1.132045668022473E-2</c:v>
                </c:pt>
                <c:pt idx="345">
                  <c:v>1.1855389524294284E-2</c:v>
                </c:pt>
                <c:pt idx="346">
                  <c:v>1.2338202936077727E-2</c:v>
                </c:pt>
                <c:pt idx="347">
                  <c:v>1.2768930008648531E-2</c:v>
                </c:pt>
                <c:pt idx="348">
                  <c:v>1.3147603717319835E-2</c:v>
                </c:pt>
                <c:pt idx="349">
                  <c:v>1.3474255832490173E-2</c:v>
                </c:pt>
                <c:pt idx="350">
                  <c:v>1.3748915832794265E-2</c:v>
                </c:pt>
                <c:pt idx="351">
                  <c:v>1.3947075321575691E-2</c:v>
                </c:pt>
                <c:pt idx="352">
                  <c:v>1.4096534811352092E-2</c:v>
                </c:pt>
                <c:pt idx="353">
                  <c:v>1.4197310350465842E-2</c:v>
                </c:pt>
                <c:pt idx="354">
                  <c:v>1.4249411670316743E-2</c:v>
                </c:pt>
                <c:pt idx="355">
                  <c:v>1.4252841165163566E-2</c:v>
                </c:pt>
                <c:pt idx="356">
                  <c:v>1.4207602690910393E-2</c:v>
                </c:pt>
                <c:pt idx="357">
                  <c:v>1.4113649264026126E-2</c:v>
                </c:pt>
                <c:pt idx="358">
                  <c:v>1.3970890972524769E-2</c:v>
                </c:pt>
                <c:pt idx="359">
                  <c:v>1.3779230587894811E-2</c:v>
                </c:pt>
                <c:pt idx="360">
                  <c:v>1.3510710501412074E-2</c:v>
                </c:pt>
                <c:pt idx="361">
                  <c:v>1.318979342354377E-2</c:v>
                </c:pt>
                <c:pt idx="362">
                  <c:v>1.2816362018184429E-2</c:v>
                </c:pt>
                <c:pt idx="363">
                  <c:v>1.2390296635115596E-2</c:v>
                </c:pt>
                <c:pt idx="364">
                  <c:v>1.1911476652471069E-2</c:v>
                </c:pt>
                <c:pt idx="365">
                  <c:v>1.1379781819019974E-2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1.3472134343648646E-2</c:v>
                </c:pt>
                <c:pt idx="1">
                  <c:v>1.2921978259700035E-2</c:v>
                </c:pt>
                <c:pt idx="2">
                  <c:v>1.2371288750774492E-2</c:v>
                </c:pt>
                <c:pt idx="3">
                  <c:v>1.1820025528627256E-2</c:v>
                </c:pt>
                <c:pt idx="4">
                  <c:v>1.1268153986207985E-2</c:v>
                </c:pt>
                <c:pt idx="5">
                  <c:v>1.0715645199747775E-2</c:v>
                </c:pt>
                <c:pt idx="6">
                  <c:v>1.0162475930983598E-2</c:v>
                </c:pt>
                <c:pt idx="7">
                  <c:v>9.6086286291314944E-3</c:v>
                </c:pt>
                <c:pt idx="8">
                  <c:v>9.0540914330263077E-3</c:v>
                </c:pt>
                <c:pt idx="9">
                  <c:v>8.5264466263598026E-3</c:v>
                </c:pt>
                <c:pt idx="10">
                  <c:v>8.0546511612444097E-3</c:v>
                </c:pt>
                <c:pt idx="11">
                  <c:v>7.638779259390484E-3</c:v>
                </c:pt>
                <c:pt idx="12">
                  <c:v>7.2789039690111385E-3</c:v>
                </c:pt>
                <c:pt idx="13">
                  <c:v>6.9750957303547868E-3</c:v>
                </c:pt>
                <c:pt idx="14">
                  <c:v>6.727420941120746E-3</c:v>
                </c:pt>
                <c:pt idx="15">
                  <c:v>6.5359695331472815E-3</c:v>
                </c:pt>
                <c:pt idx="16">
                  <c:v>6.3718949031689428E-3</c:v>
                </c:pt>
                <c:pt idx="17">
                  <c:v>6.2352202020031612E-3</c:v>
                </c:pt>
                <c:pt idx="18">
                  <c:v>6.1259647952391577E-3</c:v>
                </c:pt>
                <c:pt idx="19">
                  <c:v>6.0441772747033351E-3</c:v>
                </c:pt>
                <c:pt idx="20">
                  <c:v>5.9899149235559555E-3</c:v>
                </c:pt>
                <c:pt idx="21">
                  <c:v>5.9632034378493516E-3</c:v>
                </c:pt>
                <c:pt idx="22">
                  <c:v>5.9640641960701435E-3</c:v>
                </c:pt>
                <c:pt idx="23">
                  <c:v>5.9975068105300343E-3</c:v>
                </c:pt>
                <c:pt idx="24">
                  <c:v>6.0358510463392077E-3</c:v>
                </c:pt>
                <c:pt idx="25">
                  <c:v>6.079103268566817E-3</c:v>
                </c:pt>
                <c:pt idx="26">
                  <c:v>6.1272694504997212E-3</c:v>
                </c:pt>
                <c:pt idx="27">
                  <c:v>6.1803552363643164E-3</c:v>
                </c:pt>
                <c:pt idx="28">
                  <c:v>6.2383660041797351E-3</c:v>
                </c:pt>
                <c:pt idx="29">
                  <c:v>6.3024145554440233E-3</c:v>
                </c:pt>
                <c:pt idx="30">
                  <c:v>6.3724767872949022E-3</c:v>
                </c:pt>
                <c:pt idx="31">
                  <c:v>6.4485575001442677E-3</c:v>
                </c:pt>
                <c:pt idx="32">
                  <c:v>6.5306614139316781E-3</c:v>
                </c:pt>
                <c:pt idx="33">
                  <c:v>6.6187932443779506E-3</c:v>
                </c:pt>
                <c:pt idx="34">
                  <c:v>6.7129577792680887E-3</c:v>
                </c:pt>
                <c:pt idx="35">
                  <c:v>6.8131599547299393E-3</c:v>
                </c:pt>
                <c:pt idx="36">
                  <c:v>6.9194049314997659E-3</c:v>
                </c:pt>
                <c:pt idx="37">
                  <c:v>7.0290487363236535E-3</c:v>
                </c:pt>
                <c:pt idx="38">
                  <c:v>7.1371074751194266E-3</c:v>
                </c:pt>
                <c:pt idx="39">
                  <c:v>7.2435894799395342E-3</c:v>
                </c:pt>
                <c:pt idx="40">
                  <c:v>7.3485036430388792E-3</c:v>
                </c:pt>
                <c:pt idx="41">
                  <c:v>7.4518593976279843E-3</c:v>
                </c:pt>
                <c:pt idx="42">
                  <c:v>7.5536666985775922E-3</c:v>
                </c:pt>
                <c:pt idx="43">
                  <c:v>7.6537213513905187E-3</c:v>
                </c:pt>
                <c:pt idx="44">
                  <c:v>7.7509278986294646E-3</c:v>
                </c:pt>
                <c:pt idx="45">
                  <c:v>7.8452980392100958E-3</c:v>
                </c:pt>
                <c:pt idx="46">
                  <c:v>7.9368438634980169E-3</c:v>
                </c:pt>
                <c:pt idx="47">
                  <c:v>8.0255778175436707E-3</c:v>
                </c:pt>
                <c:pt idx="48">
                  <c:v>8.1115126672151525E-3</c:v>
                </c:pt>
                <c:pt idx="49">
                  <c:v>8.1946614624021832E-3</c:v>
                </c:pt>
                <c:pt idx="50">
                  <c:v>8.2750375011711036E-3</c:v>
                </c:pt>
                <c:pt idx="51">
                  <c:v>8.3404261444910855E-3</c:v>
                </c:pt>
                <c:pt idx="52">
                  <c:v>8.3934419636797469E-3</c:v>
                </c:pt>
                <c:pt idx="53">
                  <c:v>8.43404172108125E-3</c:v>
                </c:pt>
                <c:pt idx="54">
                  <c:v>8.4622228815333361E-3</c:v>
                </c:pt>
                <c:pt idx="55">
                  <c:v>8.4779826444819004E-3</c:v>
                </c:pt>
                <c:pt idx="56">
                  <c:v>8.4813179900107196E-3</c:v>
                </c:pt>
                <c:pt idx="57">
                  <c:v>8.4536346378741023E-3</c:v>
                </c:pt>
                <c:pt idx="58">
                  <c:v>8.395143531111017E-3</c:v>
                </c:pt>
                <c:pt idx="59">
                  <c:v>8.3058408622983942E-3</c:v>
                </c:pt>
                <c:pt idx="60">
                  <c:v>8.1857227443225891E-3</c:v>
                </c:pt>
                <c:pt idx="61">
                  <c:v>8.0347853244010503E-3</c:v>
                </c:pt>
                <c:pt idx="62">
                  <c:v>7.8530248980918389E-3</c:v>
                </c:pt>
                <c:pt idx="63">
                  <c:v>7.6404380233274045E-3</c:v>
                </c:pt>
                <c:pt idx="64">
                  <c:v>7.3970216344165169E-3</c:v>
                </c:pt>
                <c:pt idx="65">
                  <c:v>7.1258287257863623E-3</c:v>
                </c:pt>
                <c:pt idx="66">
                  <c:v>6.8390860311048568E-3</c:v>
                </c:pt>
                <c:pt idx="67">
                  <c:v>6.5367923345814359E-3</c:v>
                </c:pt>
                <c:pt idx="68">
                  <c:v>6.2189470368319314E-3</c:v>
                </c:pt>
                <c:pt idx="69">
                  <c:v>5.8855502123325854E-3</c:v>
                </c:pt>
                <c:pt idx="70">
                  <c:v>5.5366026669061751E-3</c:v>
                </c:pt>
                <c:pt idx="71">
                  <c:v>5.1825863475060295E-3</c:v>
                </c:pt>
                <c:pt idx="72">
                  <c:v>4.8420946854314008E-3</c:v>
                </c:pt>
                <c:pt idx="73">
                  <c:v>4.5151293070150719E-3</c:v>
                </c:pt>
                <c:pt idx="74">
                  <c:v>4.2016919947507735E-3</c:v>
                </c:pt>
                <c:pt idx="75">
                  <c:v>3.9017846372242687E-3</c:v>
                </c:pt>
                <c:pt idx="76">
                  <c:v>3.6154091790304836E-3</c:v>
                </c:pt>
                <c:pt idx="77">
                  <c:v>3.3425675707042697E-3</c:v>
                </c:pt>
                <c:pt idx="78">
                  <c:v>3.0832618210056236E-3</c:v>
                </c:pt>
                <c:pt idx="79">
                  <c:v>2.8420943819925677E-3</c:v>
                </c:pt>
                <c:pt idx="80">
                  <c:v>2.6160160150941326E-3</c:v>
                </c:pt>
                <c:pt idx="81">
                  <c:v>2.4050238628554352E-3</c:v>
                </c:pt>
                <c:pt idx="82">
                  <c:v>2.2091153138217938E-3</c:v>
                </c:pt>
                <c:pt idx="83">
                  <c:v>2.0282879542705447E-3</c:v>
                </c:pt>
                <c:pt idx="84">
                  <c:v>1.8625395199500013E-3</c:v>
                </c:pt>
                <c:pt idx="85">
                  <c:v>1.723808521145468E-3</c:v>
                </c:pt>
                <c:pt idx="86">
                  <c:v>1.6016167775749965E-3</c:v>
                </c:pt>
                <c:pt idx="87">
                  <c:v>1.495961853660515E-3</c:v>
                </c:pt>
                <c:pt idx="88">
                  <c:v>1.4068412318951539E-3</c:v>
                </c:pt>
                <c:pt idx="89">
                  <c:v>1.3342522598805372E-3</c:v>
                </c:pt>
                <c:pt idx="90">
                  <c:v>1.2781920973611784E-3</c:v>
                </c:pt>
                <c:pt idx="91">
                  <c:v>1.2386576632640231E-3</c:v>
                </c:pt>
                <c:pt idx="92">
                  <c:v>1.215645582734101E-3</c:v>
                </c:pt>
                <c:pt idx="93">
                  <c:v>1.2266582259415116E-3</c:v>
                </c:pt>
                <c:pt idx="94">
                  <c:v>1.2671017593492665E-3</c:v>
                </c:pt>
                <c:pt idx="95">
                  <c:v>1.3369680080742498E-3</c:v>
                </c:pt>
                <c:pt idx="96">
                  <c:v>1.4362478672743783E-3</c:v>
                </c:pt>
                <c:pt idx="97">
                  <c:v>1.5649312077705389E-3</c:v>
                </c:pt>
                <c:pt idx="98">
                  <c:v>1.7230067816571843E-3</c:v>
                </c:pt>
                <c:pt idx="99">
                  <c:v>1.9327645808590868E-3</c:v>
                </c:pt>
                <c:pt idx="100">
                  <c:v>2.1822567385802738E-3</c:v>
                </c:pt>
                <c:pt idx="101">
                  <c:v>2.4714638238044974E-3</c:v>
                </c:pt>
                <c:pt idx="102">
                  <c:v>2.8003644379568106E-3</c:v>
                </c:pt>
                <c:pt idx="103">
                  <c:v>3.1689350872119537E-3</c:v>
                </c:pt>
                <c:pt idx="104">
                  <c:v>3.5771500548635112E-3</c:v>
                </c:pt>
                <c:pt idx="105">
                  <c:v>4.0249812736376902E-3</c:v>
                </c:pt>
                <c:pt idx="106">
                  <c:v>4.5123981980406793E-3</c:v>
                </c:pt>
                <c:pt idx="107">
                  <c:v>5.0617901524565058E-3</c:v>
                </c:pt>
                <c:pt idx="108">
                  <c:v>5.6556359990234256E-3</c:v>
                </c:pt>
                <c:pt idx="109">
                  <c:v>6.2938935661592072E-3</c:v>
                </c:pt>
                <c:pt idx="110">
                  <c:v>6.9765372464928475E-3</c:v>
                </c:pt>
                <c:pt idx="111">
                  <c:v>7.7035468117380686E-3</c:v>
                </c:pt>
                <c:pt idx="112">
                  <c:v>8.4748843693430529E-3</c:v>
                </c:pt>
                <c:pt idx="113">
                  <c:v>9.311148289493006E-3</c:v>
                </c:pt>
                <c:pt idx="114">
                  <c:v>1.0190037358337151E-2</c:v>
                </c:pt>
                <c:pt idx="115">
                  <c:v>1.1111508569305206E-2</c:v>
                </c:pt>
                <c:pt idx="116">
                  <c:v>1.2075516802303635E-2</c:v>
                </c:pt>
                <c:pt idx="117">
                  <c:v>1.3082014729697474E-2</c:v>
                </c:pt>
                <c:pt idx="118">
                  <c:v>1.4130952722191977E-2</c:v>
                </c:pt>
                <c:pt idx="119">
                  <c:v>1.5222278754740829E-2</c:v>
                </c:pt>
                <c:pt idx="120">
                  <c:v>1.6355938312428143E-2</c:v>
                </c:pt>
                <c:pt idx="121">
                  <c:v>1.7544331353446199E-2</c:v>
                </c:pt>
                <c:pt idx="122">
                  <c:v>1.8765039830660874E-2</c:v>
                </c:pt>
                <c:pt idx="123">
                  <c:v>2.0018008904077938E-2</c:v>
                </c:pt>
                <c:pt idx="124">
                  <c:v>2.1303181278666327E-2</c:v>
                </c:pt>
                <c:pt idx="125">
                  <c:v>2.2620497132105021E-2</c:v>
                </c:pt>
                <c:pt idx="126">
                  <c:v>2.3969894042259483E-2</c:v>
                </c:pt>
                <c:pt idx="127">
                  <c:v>2.5353732263068942E-2</c:v>
                </c:pt>
                <c:pt idx="128">
                  <c:v>2.6751382953752945E-2</c:v>
                </c:pt>
                <c:pt idx="129">
                  <c:v>2.8162792528080762E-2</c:v>
                </c:pt>
                <c:pt idx="130">
                  <c:v>2.9587905426820937E-2</c:v>
                </c:pt>
                <c:pt idx="131">
                  <c:v>3.1026664084864819E-2</c:v>
                </c:pt>
                <c:pt idx="132">
                  <c:v>3.2479008898573337E-2</c:v>
                </c:pt>
                <c:pt idx="133">
                  <c:v>3.39448781933284E-2</c:v>
                </c:pt>
                <c:pt idx="134">
                  <c:v>3.5424208190948415E-2</c:v>
                </c:pt>
                <c:pt idx="135">
                  <c:v>3.6912109634875061E-2</c:v>
                </c:pt>
                <c:pt idx="136">
                  <c:v>3.8396121975909477E-2</c:v>
                </c:pt>
                <c:pt idx="137">
                  <c:v>3.9876195200756151E-2</c:v>
                </c:pt>
                <c:pt idx="138">
                  <c:v>4.1352278122310702E-2</c:v>
                </c:pt>
                <c:pt idx="139">
                  <c:v>4.2824318385944381E-2</c:v>
                </c:pt>
                <c:pt idx="140">
                  <c:v>4.429226247351211E-2</c:v>
                </c:pt>
                <c:pt idx="141">
                  <c:v>4.5724875644961825E-2</c:v>
                </c:pt>
                <c:pt idx="142">
                  <c:v>4.7119472332732608E-2</c:v>
                </c:pt>
                <c:pt idx="143">
                  <c:v>4.8475803311243654E-2</c:v>
                </c:pt>
                <c:pt idx="144">
                  <c:v>4.9793898160325221E-2</c:v>
                </c:pt>
                <c:pt idx="145">
                  <c:v>5.1073798088407417E-2</c:v>
                </c:pt>
                <c:pt idx="146">
                  <c:v>5.2315555448267832E-2</c:v>
                </c:pt>
                <c:pt idx="147">
                  <c:v>5.3519233254463588E-2</c:v>
                </c:pt>
                <c:pt idx="148">
                  <c:v>5.4684904699574911E-2</c:v>
                </c:pt>
                <c:pt idx="149">
                  <c:v>5.5792349584967961E-2</c:v>
                </c:pt>
                <c:pt idx="150">
                  <c:v>5.6846484626780124E-2</c:v>
                </c:pt>
                <c:pt idx="151">
                  <c:v>5.7847438996359975E-2</c:v>
                </c:pt>
                <c:pt idx="152">
                  <c:v>5.8795350861900131E-2</c:v>
                </c:pt>
                <c:pt idx="153">
                  <c:v>5.9690366695594153E-2</c:v>
                </c:pt>
                <c:pt idx="154">
                  <c:v>6.0532640581105225E-2</c:v>
                </c:pt>
                <c:pt idx="155">
                  <c:v>6.1316073756387514E-2</c:v>
                </c:pt>
                <c:pt idx="156">
                  <c:v>6.2071764476147401E-2</c:v>
                </c:pt>
                <c:pt idx="157">
                  <c:v>6.279983869369464E-2</c:v>
                </c:pt>
                <c:pt idx="158">
                  <c:v>6.3500426995941231E-2</c:v>
                </c:pt>
                <c:pt idx="159">
                  <c:v>6.4173664244503589E-2</c:v>
                </c:pt>
                <c:pt idx="160">
                  <c:v>6.4819689217582549E-2</c:v>
                </c:pt>
                <c:pt idx="161">
                  <c:v>6.5438644251129149E-2</c:v>
                </c:pt>
                <c:pt idx="162">
                  <c:v>6.6030674880348902E-2</c:v>
                </c:pt>
                <c:pt idx="163">
                  <c:v>6.6557997435914784E-2</c:v>
                </c:pt>
                <c:pt idx="164">
                  <c:v>6.7040947726561842E-2</c:v>
                </c:pt>
                <c:pt idx="165">
                  <c:v>6.7479710229665923E-2</c:v>
                </c:pt>
                <c:pt idx="166">
                  <c:v>6.7874469944931681E-2</c:v>
                </c:pt>
                <c:pt idx="167">
                  <c:v>6.8225411792539103E-2</c:v>
                </c:pt>
                <c:pt idx="168">
                  <c:v>6.8532720013445778E-2</c:v>
                </c:pt>
                <c:pt idx="169">
                  <c:v>6.8758779888199478E-2</c:v>
                </c:pt>
                <c:pt idx="170">
                  <c:v>6.8910037320244602E-2</c:v>
                </c:pt>
                <c:pt idx="171">
                  <c:v>6.8986719322624429E-2</c:v>
                </c:pt>
                <c:pt idx="172">
                  <c:v>6.898904622054787E-2</c:v>
                </c:pt>
                <c:pt idx="173">
                  <c:v>6.8916525870262077E-2</c:v>
                </c:pt>
                <c:pt idx="174">
                  <c:v>6.8768626121359699E-2</c:v>
                </c:pt>
                <c:pt idx="175">
                  <c:v>6.854550154525034E-2</c:v>
                </c:pt>
                <c:pt idx="176">
                  <c:v>6.8247306216982356E-2</c:v>
                </c:pt>
                <c:pt idx="177">
                  <c:v>6.7868012585950446E-2</c:v>
                </c:pt>
                <c:pt idx="178">
                  <c:v>6.7445405325779237E-2</c:v>
                </c:pt>
                <c:pt idx="179">
                  <c:v>6.6979587264146642E-2</c:v>
                </c:pt>
                <c:pt idx="180">
                  <c:v>6.6470659563657331E-2</c:v>
                </c:pt>
                <c:pt idx="181">
                  <c:v>6.5918721464208255E-2</c:v>
                </c:pt>
                <c:pt idx="182">
                  <c:v>6.5323870025942379E-2</c:v>
                </c:pt>
                <c:pt idx="183">
                  <c:v>6.4666285273381266E-2</c:v>
                </c:pt>
                <c:pt idx="184">
                  <c:v>6.3983600987779096E-2</c:v>
                </c:pt>
                <c:pt idx="185">
                  <c:v>6.3275880851114283E-2</c:v>
                </c:pt>
                <c:pt idx="186">
                  <c:v>6.2543186007486193E-2</c:v>
                </c:pt>
                <c:pt idx="187">
                  <c:v>6.178557490986978E-2</c:v>
                </c:pt>
                <c:pt idx="188">
                  <c:v>6.1003103167203761E-2</c:v>
                </c:pt>
                <c:pt idx="189">
                  <c:v>6.0195823389592028E-2</c:v>
                </c:pt>
                <c:pt idx="190">
                  <c:v>5.9363785036136228E-2</c:v>
                </c:pt>
                <c:pt idx="191">
                  <c:v>5.8476686826057368E-2</c:v>
                </c:pt>
                <c:pt idx="192">
                  <c:v>5.7540746670736075E-2</c:v>
                </c:pt>
                <c:pt idx="193">
                  <c:v>5.6556031865697194E-2</c:v>
                </c:pt>
                <c:pt idx="194">
                  <c:v>5.552260419112056E-2</c:v>
                </c:pt>
                <c:pt idx="195">
                  <c:v>5.4440519616544614E-2</c:v>
                </c:pt>
                <c:pt idx="196">
                  <c:v>5.3309828003371466E-2</c:v>
                </c:pt>
                <c:pt idx="197">
                  <c:v>5.2125900466565157E-2</c:v>
                </c:pt>
                <c:pt idx="198">
                  <c:v>5.0908568697027312E-2</c:v>
                </c:pt>
                <c:pt idx="199">
                  <c:v>4.9657847510874979E-2</c:v>
                </c:pt>
                <c:pt idx="200">
                  <c:v>4.8373745792146421E-2</c:v>
                </c:pt>
                <c:pt idx="201">
                  <c:v>4.7056266285310712E-2</c:v>
                </c:pt>
                <c:pt idx="202">
                  <c:v>4.5705405388113685E-2</c:v>
                </c:pt>
                <c:pt idx="203">
                  <c:v>4.4321152945442144E-2</c:v>
                </c:pt>
                <c:pt idx="204">
                  <c:v>4.2903422759661212E-2</c:v>
                </c:pt>
                <c:pt idx="205">
                  <c:v>4.1454443744842008E-2</c:v>
                </c:pt>
                <c:pt idx="206">
                  <c:v>4.0004366235375101E-2</c:v>
                </c:pt>
                <c:pt idx="207">
                  <c:v>3.8553119299969775E-2</c:v>
                </c:pt>
                <c:pt idx="208">
                  <c:v>3.7100633606565687E-2</c:v>
                </c:pt>
                <c:pt idx="209">
                  <c:v>3.5646841429053895E-2</c:v>
                </c:pt>
                <c:pt idx="210">
                  <c:v>3.4191676655254834E-2</c:v>
                </c:pt>
                <c:pt idx="211">
                  <c:v>3.2747048529447605E-2</c:v>
                </c:pt>
                <c:pt idx="212">
                  <c:v>3.1317545045250923E-2</c:v>
                </c:pt>
                <c:pt idx="213">
                  <c:v>2.9903099009412393E-2</c:v>
                </c:pt>
                <c:pt idx="214">
                  <c:v>2.8503646005293898E-2</c:v>
                </c:pt>
                <c:pt idx="215">
                  <c:v>2.7119124348555613E-2</c:v>
                </c:pt>
                <c:pt idx="216">
                  <c:v>2.5749475042718684E-2</c:v>
                </c:pt>
                <c:pt idx="217">
                  <c:v>2.4394641734823849E-2</c:v>
                </c:pt>
                <c:pt idx="218">
                  <c:v>2.3054570670932643E-2</c:v>
                </c:pt>
                <c:pt idx="219">
                  <c:v>2.1748995067382704E-2</c:v>
                </c:pt>
                <c:pt idx="220">
                  <c:v>2.047552987467265E-2</c:v>
                </c:pt>
                <c:pt idx="221">
                  <c:v>1.9234127086859166E-2</c:v>
                </c:pt>
                <c:pt idx="222">
                  <c:v>1.8024742041163139E-2</c:v>
                </c:pt>
                <c:pt idx="223">
                  <c:v>1.6847333319675972E-2</c:v>
                </c:pt>
                <c:pt idx="224">
                  <c:v>1.5701862650555464E-2</c:v>
                </c:pt>
                <c:pt idx="225">
                  <c:v>1.4609760446132476E-2</c:v>
                </c:pt>
                <c:pt idx="226">
                  <c:v>1.3559032476294865E-2</c:v>
                </c:pt>
                <c:pt idx="227">
                  <c:v>1.2549649938478907E-2</c:v>
                </c:pt>
                <c:pt idx="228">
                  <c:v>1.1581587164262561E-2</c:v>
                </c:pt>
                <c:pt idx="229">
                  <c:v>1.0654821491013431E-2</c:v>
                </c:pt>
                <c:pt idx="230">
                  <c:v>9.7693331337567937E-3</c:v>
                </c:pt>
                <c:pt idx="231">
                  <c:v>8.9251050570477719E-3</c:v>
                </c:pt>
                <c:pt idx="232">
                  <c:v>8.1221228466307038E-3</c:v>
                </c:pt>
                <c:pt idx="233">
                  <c:v>7.3817048109286422E-3</c:v>
                </c:pt>
                <c:pt idx="234">
                  <c:v>6.68405948673344E-3</c:v>
                </c:pt>
                <c:pt idx="235">
                  <c:v>6.0291849887903143E-3</c:v>
                </c:pt>
                <c:pt idx="236">
                  <c:v>5.4170813399371008E-3</c:v>
                </c:pt>
                <c:pt idx="237">
                  <c:v>4.8477450596060298E-3</c:v>
                </c:pt>
                <c:pt idx="238">
                  <c:v>4.3211739977214196E-3</c:v>
                </c:pt>
                <c:pt idx="239">
                  <c:v>3.8541073635467646E-3</c:v>
                </c:pt>
                <c:pt idx="240">
                  <c:v>3.4250707846536963E-3</c:v>
                </c:pt>
                <c:pt idx="241">
                  <c:v>3.0340655566346575E-3</c:v>
                </c:pt>
                <c:pt idx="242">
                  <c:v>2.6810944011763532E-3</c:v>
                </c:pt>
                <c:pt idx="243">
                  <c:v>2.3661615332959229E-3</c:v>
                </c:pt>
                <c:pt idx="244">
                  <c:v>2.0892727285447194E-3</c:v>
                </c:pt>
                <c:pt idx="245">
                  <c:v>1.8504353901884808E-3</c:v>
                </c:pt>
                <c:pt idx="246">
                  <c:v>1.6496586163965803E-3</c:v>
                </c:pt>
                <c:pt idx="247">
                  <c:v>1.4983761598023257E-3</c:v>
                </c:pt>
                <c:pt idx="248">
                  <c:v>1.375244225075954E-3</c:v>
                </c:pt>
                <c:pt idx="249">
                  <c:v>1.2802728415189505E-3</c:v>
                </c:pt>
                <c:pt idx="250">
                  <c:v>1.2134734683331557E-3</c:v>
                </c:pt>
                <c:pt idx="251">
                  <c:v>1.1748590443388053E-3</c:v>
                </c:pt>
                <c:pt idx="252">
                  <c:v>1.1644440376352753E-3</c:v>
                </c:pt>
                <c:pt idx="253">
                  <c:v>1.1866383727835612E-3</c:v>
                </c:pt>
                <c:pt idx="254">
                  <c:v>1.2246855649609594E-3</c:v>
                </c:pt>
                <c:pt idx="255">
                  <c:v>1.2785969262049722E-3</c:v>
                </c:pt>
                <c:pt idx="256">
                  <c:v>1.3483847467439501E-3</c:v>
                </c:pt>
                <c:pt idx="257">
                  <c:v>1.434062322865337E-3</c:v>
                </c:pt>
                <c:pt idx="258">
                  <c:v>1.53564398479441E-3</c:v>
                </c:pt>
                <c:pt idx="259">
                  <c:v>1.6531451245954531E-3</c:v>
                </c:pt>
                <c:pt idx="260">
                  <c:v>1.7865822240294192E-3</c:v>
                </c:pt>
                <c:pt idx="261">
                  <c:v>1.946023775134721E-3</c:v>
                </c:pt>
                <c:pt idx="262">
                  <c:v>2.1200364692991187E-3</c:v>
                </c:pt>
                <c:pt idx="263">
                  <c:v>2.3086392776219965E-3</c:v>
                </c:pt>
                <c:pt idx="264">
                  <c:v>2.5118524028336464E-3</c:v>
                </c:pt>
                <c:pt idx="265">
                  <c:v>2.7297118530960189E-3</c:v>
                </c:pt>
                <c:pt idx="266">
                  <c:v>2.9622520390146282E-3</c:v>
                </c:pt>
                <c:pt idx="267">
                  <c:v>3.2124348522557834E-3</c:v>
                </c:pt>
                <c:pt idx="268">
                  <c:v>3.475877148828375E-3</c:v>
                </c:pt>
                <c:pt idx="269">
                  <c:v>3.7526040930195071E-3</c:v>
                </c:pt>
                <c:pt idx="270">
                  <c:v>4.0426409748191153E-3</c:v>
                </c:pt>
                <c:pt idx="271">
                  <c:v>4.3460130665498344E-3</c:v>
                </c:pt>
                <c:pt idx="272">
                  <c:v>4.6627454795893069E-3</c:v>
                </c:pt>
                <c:pt idx="273">
                  <c:v>4.9928630210418134E-3</c:v>
                </c:pt>
                <c:pt idx="274">
                  <c:v>5.3363900504681226E-3</c:v>
                </c:pt>
                <c:pt idx="275">
                  <c:v>5.6754221042934474E-3</c:v>
                </c:pt>
                <c:pt idx="276">
                  <c:v>5.9998444218503843E-3</c:v>
                </c:pt>
                <c:pt idx="277">
                  <c:v>6.3096366750506712E-3</c:v>
                </c:pt>
                <c:pt idx="278">
                  <c:v>6.6047764436925711E-3</c:v>
                </c:pt>
                <c:pt idx="279">
                  <c:v>6.8852393799184314E-3</c:v>
                </c:pt>
                <c:pt idx="280">
                  <c:v>7.1509993727336104E-3</c:v>
                </c:pt>
                <c:pt idx="281">
                  <c:v>7.3902007084332803E-3</c:v>
                </c:pt>
                <c:pt idx="282">
                  <c:v>7.599838726109906E-3</c:v>
                </c:pt>
                <c:pt idx="283">
                  <c:v>7.7798597674743021E-3</c:v>
                </c:pt>
                <c:pt idx="284">
                  <c:v>7.9302090986466001E-3</c:v>
                </c:pt>
                <c:pt idx="285">
                  <c:v>8.0508312364173593E-3</c:v>
                </c:pt>
                <c:pt idx="286">
                  <c:v>8.141670274584574E-3</c:v>
                </c:pt>
                <c:pt idx="287">
                  <c:v>8.2026702102131269E-3</c:v>
                </c:pt>
                <c:pt idx="288">
                  <c:v>8.2337752699234226E-3</c:v>
                </c:pt>
                <c:pt idx="289">
                  <c:v>8.2347218357349174E-3</c:v>
                </c:pt>
                <c:pt idx="290">
                  <c:v>8.2235218227725889E-3</c:v>
                </c:pt>
                <c:pt idx="291">
                  <c:v>8.200148472402918E-3</c:v>
                </c:pt>
                <c:pt idx="292">
                  <c:v>8.1645756543199024E-3</c:v>
                </c:pt>
                <c:pt idx="293">
                  <c:v>8.1167779983065142E-3</c:v>
                </c:pt>
                <c:pt idx="294">
                  <c:v>8.0567310259640756E-3</c:v>
                </c:pt>
                <c:pt idx="295">
                  <c:v>7.9818338047489227E-3</c:v>
                </c:pt>
                <c:pt idx="296">
                  <c:v>7.9040726782475795E-3</c:v>
                </c:pt>
                <c:pt idx="297">
                  <c:v>7.8235014539677437E-3</c:v>
                </c:pt>
                <c:pt idx="298">
                  <c:v>7.7401074599811491E-3</c:v>
                </c:pt>
                <c:pt idx="299">
                  <c:v>7.653878242640859E-3</c:v>
                </c:pt>
                <c:pt idx="300">
                  <c:v>7.5648015923535971E-3</c:v>
                </c:pt>
                <c:pt idx="301">
                  <c:v>7.4728655693283852E-3</c:v>
                </c:pt>
                <c:pt idx="302">
                  <c:v>7.3780585293424352E-3</c:v>
                </c:pt>
                <c:pt idx="303">
                  <c:v>7.2814505698929081E-3</c:v>
                </c:pt>
                <c:pt idx="304">
                  <c:v>7.1832421406650979E-3</c:v>
                </c:pt>
                <c:pt idx="305">
                  <c:v>7.0834244806009111E-3</c:v>
                </c:pt>
                <c:pt idx="306">
                  <c:v>6.9819892113160168E-3</c:v>
                </c:pt>
                <c:pt idx="307">
                  <c:v>6.8789283509831404E-3</c:v>
                </c:pt>
                <c:pt idx="308">
                  <c:v>6.7742343281572831E-3</c:v>
                </c:pt>
                <c:pt idx="309">
                  <c:v>6.6727887997094391E-3</c:v>
                </c:pt>
                <c:pt idx="310">
                  <c:v>6.5771882242613251E-3</c:v>
                </c:pt>
                <c:pt idx="311">
                  <c:v>6.4874363963928214E-3</c:v>
                </c:pt>
                <c:pt idx="312">
                  <c:v>6.403537242213069E-3</c:v>
                </c:pt>
                <c:pt idx="313">
                  <c:v>6.3254947645475608E-3</c:v>
                </c:pt>
                <c:pt idx="314">
                  <c:v>6.2533129880660678E-3</c:v>
                </c:pt>
                <c:pt idx="315">
                  <c:v>6.1869959044904693E-3</c:v>
                </c:pt>
                <c:pt idx="316">
                  <c:v>6.1265474177047878E-3</c:v>
                </c:pt>
                <c:pt idx="317">
                  <c:v>6.071999839453268E-3</c:v>
                </c:pt>
                <c:pt idx="318">
                  <c:v>6.0222681374224067E-3</c:v>
                </c:pt>
                <c:pt idx="319">
                  <c:v>5.9773544508978553E-3</c:v>
                </c:pt>
                <c:pt idx="320">
                  <c:v>5.9372607030473042E-3</c:v>
                </c:pt>
                <c:pt idx="321">
                  <c:v>5.9019885557919857E-3</c:v>
                </c:pt>
                <c:pt idx="322">
                  <c:v>5.8715393647022539E-3</c:v>
                </c:pt>
                <c:pt idx="323">
                  <c:v>5.873183225956387E-3</c:v>
                </c:pt>
                <c:pt idx="324">
                  <c:v>5.9020270283241917E-3</c:v>
                </c:pt>
                <c:pt idx="325">
                  <c:v>5.9580870188818275E-3</c:v>
                </c:pt>
                <c:pt idx="326">
                  <c:v>6.0413386097678363E-3</c:v>
                </c:pt>
                <c:pt idx="327">
                  <c:v>6.151776460164439E-3</c:v>
                </c:pt>
                <c:pt idx="328">
                  <c:v>6.2894215268372092E-3</c:v>
                </c:pt>
                <c:pt idx="329">
                  <c:v>6.4542913509775465E-3</c:v>
                </c:pt>
                <c:pt idx="330">
                  <c:v>6.6464006268797697E-3</c:v>
                </c:pt>
                <c:pt idx="331">
                  <c:v>6.8943001610464946E-3</c:v>
                </c:pt>
                <c:pt idx="332">
                  <c:v>7.197980378607618E-3</c:v>
                </c:pt>
                <c:pt idx="333">
                  <c:v>7.5574563641454583E-3</c:v>
                </c:pt>
                <c:pt idx="334">
                  <c:v>7.9727403749272428E-3</c:v>
                </c:pt>
                <c:pt idx="335">
                  <c:v>8.4438430027208595E-3</c:v>
                </c:pt>
                <c:pt idx="336">
                  <c:v>8.970774335514178E-3</c:v>
                </c:pt>
                <c:pt idx="337">
                  <c:v>9.5249137699910946E-3</c:v>
                </c:pt>
                <c:pt idx="338">
                  <c:v>1.0078947237075598E-2</c:v>
                </c:pt>
                <c:pt idx="339">
                  <c:v>1.0632886454703604E-2</c:v>
                </c:pt>
                <c:pt idx="340">
                  <c:v>1.11867477480539E-2</c:v>
                </c:pt>
                <c:pt idx="341">
                  <c:v>1.1740552047877835E-2</c:v>
                </c:pt>
                <c:pt idx="342">
                  <c:v>1.2294324888832342E-2</c:v>
                </c:pt>
                <c:pt idx="343">
                  <c:v>1.2848096407668388E-2</c:v>
                </c:pt>
                <c:pt idx="344">
                  <c:v>1.3401901341600284E-2</c:v>
                </c:pt>
                <c:pt idx="345">
                  <c:v>1.3955779026550201E-2</c:v>
                </c:pt>
                <c:pt idx="346">
                  <c:v>1.4455783599950875E-2</c:v>
                </c:pt>
                <c:pt idx="347">
                  <c:v>1.4901952832675086E-2</c:v>
                </c:pt>
                <c:pt idx="348">
                  <c:v>1.5294324379579614E-2</c:v>
                </c:pt>
                <c:pt idx="349">
                  <c:v>1.5632934655387919E-2</c:v>
                </c:pt>
                <c:pt idx="350">
                  <c:v>1.5917817710927974E-2</c:v>
                </c:pt>
                <c:pt idx="351">
                  <c:v>1.6123559025244861E-2</c:v>
                </c:pt>
                <c:pt idx="352">
                  <c:v>1.6278830752532482E-2</c:v>
                </c:pt>
                <c:pt idx="353">
                  <c:v>1.6383652983269523E-2</c:v>
                </c:pt>
                <c:pt idx="354">
                  <c:v>1.6438039256580311E-2</c:v>
                </c:pt>
                <c:pt idx="355">
                  <c:v>1.644199550208901E-2</c:v>
                </c:pt>
                <c:pt idx="356">
                  <c:v>1.639553031285285E-2</c:v>
                </c:pt>
                <c:pt idx="357">
                  <c:v>1.6298594707449862E-2</c:v>
                </c:pt>
                <c:pt idx="358">
                  <c:v>1.6151091181266706E-2</c:v>
                </c:pt>
                <c:pt idx="359">
                  <c:v>1.5952914641588569E-2</c:v>
                </c:pt>
                <c:pt idx="360">
                  <c:v>1.5675229641042395E-2</c:v>
                </c:pt>
                <c:pt idx="361">
                  <c:v>1.5343402756623945E-2</c:v>
                </c:pt>
                <c:pt idx="362">
                  <c:v>1.4957308259354081E-2</c:v>
                </c:pt>
                <c:pt idx="363">
                  <c:v>1.4516818034553217E-2</c:v>
                </c:pt>
                <c:pt idx="364">
                  <c:v>1.402180296996134E-2</c:v>
                </c:pt>
                <c:pt idx="365">
                  <c:v>1.3472134343648646E-2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1.6800980402347638E-2</c:v>
                </c:pt>
                <c:pt idx="1">
                  <c:v>1.6242014267559796E-2</c:v>
                </c:pt>
                <c:pt idx="2">
                  <c:v>1.5686466279495326E-2</c:v>
                </c:pt>
                <c:pt idx="3">
                  <c:v>1.5134293228881325E-2</c:v>
                </c:pt>
                <c:pt idx="4">
                  <c:v>1.458545771494328E-2</c:v>
                </c:pt>
                <c:pt idx="5">
                  <c:v>1.4039928046932507E-2</c:v>
                </c:pt>
                <c:pt idx="6">
                  <c:v>1.3497678145833436E-2</c:v>
                </c:pt>
                <c:pt idx="7">
                  <c:v>1.2958687445745005E-2</c:v>
                </c:pt>
                <c:pt idx="8">
                  <c:v>1.2422940795474832E-2</c:v>
                </c:pt>
                <c:pt idx="9">
                  <c:v>1.1913627998321139E-2</c:v>
                </c:pt>
                <c:pt idx="10">
                  <c:v>1.1458176179960153E-2</c:v>
                </c:pt>
                <c:pt idx="11">
                  <c:v>1.1056647704608111E-2</c:v>
                </c:pt>
                <c:pt idx="12">
                  <c:v>1.0709103819757523E-2</c:v>
                </c:pt>
                <c:pt idx="13">
                  <c:v>1.0415603271392593E-2</c:v>
                </c:pt>
                <c:pt idx="14">
                  <c:v>1.017620091902866E-2</c:v>
                </c:pt>
                <c:pt idx="15">
                  <c:v>9.9902828492606059E-3</c:v>
                </c:pt>
                <c:pt idx="16">
                  <c:v>9.8265493474901881E-3</c:v>
                </c:pt>
                <c:pt idx="17">
                  <c:v>9.6850104159386437E-3</c:v>
                </c:pt>
                <c:pt idx="18">
                  <c:v>9.5656732842469162E-3</c:v>
                </c:pt>
                <c:pt idx="19">
                  <c:v>9.4685946510959084E-3</c:v>
                </c:pt>
                <c:pt idx="20">
                  <c:v>9.3938492967511143E-3</c:v>
                </c:pt>
                <c:pt idx="21">
                  <c:v>9.3414662203762048E-3</c:v>
                </c:pt>
                <c:pt idx="22">
                  <c:v>9.3114707415948798E-3</c:v>
                </c:pt>
                <c:pt idx="23">
                  <c:v>9.3119539709548716E-3</c:v>
                </c:pt>
                <c:pt idx="24">
                  <c:v>9.3196471921906613E-3</c:v>
                </c:pt>
                <c:pt idx="25">
                  <c:v>9.334563328114184E-3</c:v>
                </c:pt>
                <c:pt idx="26">
                  <c:v>9.3567144793017688E-3</c:v>
                </c:pt>
                <c:pt idx="27">
                  <c:v>9.3861120165842048E-3</c:v>
                </c:pt>
                <c:pt idx="28">
                  <c:v>9.422766673738309E-3</c:v>
                </c:pt>
                <c:pt idx="29">
                  <c:v>9.4687584321100759E-3</c:v>
                </c:pt>
                <c:pt idx="30">
                  <c:v>9.5247614887177898E-3</c:v>
                </c:pt>
                <c:pt idx="31">
                  <c:v>9.5907848541323532E-3</c:v>
                </c:pt>
                <c:pt idx="32">
                  <c:v>9.6668371027512183E-3</c:v>
                </c:pt>
                <c:pt idx="33">
                  <c:v>9.7529264995472025E-3</c:v>
                </c:pt>
                <c:pt idx="34">
                  <c:v>9.849061126860818E-3</c:v>
                </c:pt>
                <c:pt idx="35">
                  <c:v>9.9552490111857374E-3</c:v>
                </c:pt>
                <c:pt idx="36">
                  <c:v>1.0071498249934828E-2</c:v>
                </c:pt>
                <c:pt idx="37">
                  <c:v>1.0195864200252621E-2</c:v>
                </c:pt>
                <c:pt idx="38">
                  <c:v>1.0320289688435668E-2</c:v>
                </c:pt>
                <c:pt idx="39">
                  <c:v>1.0444786450421273E-2</c:v>
                </c:pt>
                <c:pt idx="40">
                  <c:v>1.0569366847781507E-2</c:v>
                </c:pt>
                <c:pt idx="41">
                  <c:v>1.0694043869234783E-2</c:v>
                </c:pt>
                <c:pt idx="42">
                  <c:v>1.081883113208707E-2</c:v>
                </c:pt>
                <c:pt idx="43">
                  <c:v>1.0944631267251153E-2</c:v>
                </c:pt>
                <c:pt idx="44">
                  <c:v>1.1069391346820374E-2</c:v>
                </c:pt>
                <c:pt idx="45">
                  <c:v>1.11931271628746E-2</c:v>
                </c:pt>
                <c:pt idx="46">
                  <c:v>1.1315855099907129E-2</c:v>
                </c:pt>
                <c:pt idx="47">
                  <c:v>1.1437592121598074E-2</c:v>
                </c:pt>
                <c:pt idx="48">
                  <c:v>1.1558355757442025E-2</c:v>
                </c:pt>
                <c:pt idx="49">
                  <c:v>1.167816408947725E-2</c:v>
                </c:pt>
                <c:pt idx="50">
                  <c:v>1.1797035738945061E-2</c:v>
                </c:pt>
                <c:pt idx="51">
                  <c:v>1.1899142015131975E-2</c:v>
                </c:pt>
                <c:pt idx="52">
                  <c:v>1.1986387911984748E-2</c:v>
                </c:pt>
                <c:pt idx="53">
                  <c:v>1.2058711830901653E-2</c:v>
                </c:pt>
                <c:pt idx="54">
                  <c:v>1.2116110234195418E-2</c:v>
                </c:pt>
                <c:pt idx="55">
                  <c:v>1.2158579230291344E-2</c:v>
                </c:pt>
                <c:pt idx="56">
                  <c:v>1.2186114629068018E-2</c:v>
                </c:pt>
                <c:pt idx="57">
                  <c:v>1.2171086976722674E-2</c:v>
                </c:pt>
                <c:pt idx="58">
                  <c:v>1.2112603212083994E-2</c:v>
                </c:pt>
                <c:pt idx="59">
                  <c:v>1.201065795585031E-2</c:v>
                </c:pt>
                <c:pt idx="60">
                  <c:v>1.1865245680763012E-2</c:v>
                </c:pt>
                <c:pt idx="61">
                  <c:v>1.1676360872442906E-2</c:v>
                </c:pt>
                <c:pt idx="62">
                  <c:v>1.1443998190208896E-2</c:v>
                </c:pt>
                <c:pt idx="63">
                  <c:v>1.1168152627931921E-2</c:v>
                </c:pt>
                <c:pt idx="64">
                  <c:v>1.0848819674842561E-2</c:v>
                </c:pt>
                <c:pt idx="65">
                  <c:v>1.048931736717495E-2</c:v>
                </c:pt>
                <c:pt idx="66">
                  <c:v>1.0105491218668062E-2</c:v>
                </c:pt>
                <c:pt idx="67">
                  <c:v>9.6973392185758095E-3</c:v>
                </c:pt>
                <c:pt idx="68">
                  <c:v>9.2648602246242235E-3</c:v>
                </c:pt>
                <c:pt idx="69">
                  <c:v>8.8080540528918567E-3</c:v>
                </c:pt>
                <c:pt idx="70">
                  <c:v>8.3269215677375611E-3</c:v>
                </c:pt>
                <c:pt idx="71">
                  <c:v>7.8375498583869562E-3</c:v>
                </c:pt>
                <c:pt idx="72">
                  <c:v>7.3675670107916551E-3</c:v>
                </c:pt>
                <c:pt idx="73">
                  <c:v>6.9169749858824193E-3</c:v>
                </c:pt>
                <c:pt idx="74">
                  <c:v>6.4857759415520135E-3</c:v>
                </c:pt>
                <c:pt idx="75">
                  <c:v>6.0739721608700373E-3</c:v>
                </c:pt>
                <c:pt idx="76">
                  <c:v>5.6815659802763761E-3</c:v>
                </c:pt>
                <c:pt idx="77">
                  <c:v>5.3085597177956849E-3</c:v>
                </c:pt>
                <c:pt idx="78">
                  <c:v>4.9549557657412686E-3</c:v>
                </c:pt>
                <c:pt idx="79">
                  <c:v>4.6260266847412768E-3</c:v>
                </c:pt>
                <c:pt idx="80">
                  <c:v>4.3184607362745228E-3</c:v>
                </c:pt>
                <c:pt idx="81">
                  <c:v>4.0322536715949467E-3</c:v>
                </c:pt>
                <c:pt idx="82">
                  <c:v>3.7674015741661002E-3</c:v>
                </c:pt>
                <c:pt idx="83">
                  <c:v>3.5239007913185709E-3</c:v>
                </c:pt>
                <c:pt idx="84">
                  <c:v>3.3017478659196652E-3</c:v>
                </c:pt>
                <c:pt idx="85">
                  <c:v>3.1144240386543065E-3</c:v>
                </c:pt>
                <c:pt idx="86">
                  <c:v>2.9458483090854088E-3</c:v>
                </c:pt>
                <c:pt idx="87">
                  <c:v>2.7960177418570507E-3</c:v>
                </c:pt>
                <c:pt idx="88">
                  <c:v>2.6649293472121431E-3</c:v>
                </c:pt>
                <c:pt idx="89">
                  <c:v>2.5525800209598871E-3</c:v>
                </c:pt>
                <c:pt idx="90">
                  <c:v>2.4589664844377455E-3</c:v>
                </c:pt>
                <c:pt idx="91">
                  <c:v>2.3840852244832746E-3</c:v>
                </c:pt>
                <c:pt idx="92">
                  <c:v>2.3279324333986004E-3</c:v>
                </c:pt>
                <c:pt idx="93">
                  <c:v>2.3133058635518341E-3</c:v>
                </c:pt>
                <c:pt idx="94">
                  <c:v>2.3349476625019417E-3</c:v>
                </c:pt>
                <c:pt idx="95">
                  <c:v>2.3928479008076802E-3</c:v>
                </c:pt>
                <c:pt idx="96">
                  <c:v>2.4869955391190182E-3</c:v>
                </c:pt>
                <c:pt idx="97">
                  <c:v>2.6173783118798332E-3</c:v>
                </c:pt>
                <c:pt idx="98">
                  <c:v>2.7839826110097961E-3</c:v>
                </c:pt>
                <c:pt idx="99">
                  <c:v>3.0201586984063117E-3</c:v>
                </c:pt>
                <c:pt idx="100">
                  <c:v>3.3124099524150172E-3</c:v>
                </c:pt>
                <c:pt idx="101">
                  <c:v>3.6607100605945977E-3</c:v>
                </c:pt>
                <c:pt idx="102">
                  <c:v>4.0650300110151366E-3</c:v>
                </c:pt>
                <c:pt idx="103">
                  <c:v>4.5253379120886944E-3</c:v>
                </c:pt>
                <c:pt idx="104">
                  <c:v>5.0415988124891051E-3</c:v>
                </c:pt>
                <c:pt idx="105">
                  <c:v>5.6137745209902746E-3</c:v>
                </c:pt>
                <c:pt idx="106">
                  <c:v>6.2418234263533585E-3</c:v>
                </c:pt>
                <c:pt idx="107">
                  <c:v>6.9590552978534654E-3</c:v>
                </c:pt>
                <c:pt idx="108">
                  <c:v>7.7426441436621724E-3</c:v>
                </c:pt>
                <c:pt idx="109">
                  <c:v>8.5925300884214795E-3</c:v>
                </c:pt>
                <c:pt idx="110">
                  <c:v>9.5086755387083517E-3</c:v>
                </c:pt>
                <c:pt idx="111">
                  <c:v>1.0491049822285914E-2</c:v>
                </c:pt>
                <c:pt idx="112">
                  <c:v>1.1539597958088031E-2</c:v>
                </c:pt>
                <c:pt idx="113">
                  <c:v>1.2680802446584594E-2</c:v>
                </c:pt>
                <c:pt idx="114">
                  <c:v>1.388130449582326E-2</c:v>
                </c:pt>
                <c:pt idx="115">
                  <c:v>1.5141044681015159E-2</c:v>
                </c:pt>
                <c:pt idx="116">
                  <c:v>1.6459960656932112E-2</c:v>
                </c:pt>
                <c:pt idx="117">
                  <c:v>1.7837987027135523E-2</c:v>
                </c:pt>
                <c:pt idx="118">
                  <c:v>1.9275055213068788E-2</c:v>
                </c:pt>
                <c:pt idx="119">
                  <c:v>2.0771093323185875E-2</c:v>
                </c:pt>
                <c:pt idx="120">
                  <c:v>2.2326026022044171E-2</c:v>
                </c:pt>
                <c:pt idx="121">
                  <c:v>2.395768927751037E-2</c:v>
                </c:pt>
                <c:pt idx="122">
                  <c:v>2.5632741486248629E-2</c:v>
                </c:pt>
                <c:pt idx="123">
                  <c:v>2.7351108172107282E-2</c:v>
                </c:pt>
                <c:pt idx="124">
                  <c:v>2.9112711530055808E-2</c:v>
                </c:pt>
                <c:pt idx="125">
                  <c:v>3.0917470329129736E-2</c:v>
                </c:pt>
                <c:pt idx="126">
                  <c:v>3.276529981500606E-2</c:v>
                </c:pt>
                <c:pt idx="127">
                  <c:v>3.4659290504035822E-2</c:v>
                </c:pt>
                <c:pt idx="128">
                  <c:v>3.6572909258456472E-2</c:v>
                </c:pt>
                <c:pt idx="129">
                  <c:v>3.8506082063552625E-2</c:v>
                </c:pt>
                <c:pt idx="130">
                  <c:v>4.0458732167643029E-2</c:v>
                </c:pt>
                <c:pt idx="131">
                  <c:v>4.2430780035497224E-2</c:v>
                </c:pt>
                <c:pt idx="132">
                  <c:v>4.4422143302057147E-2</c:v>
                </c:pt>
                <c:pt idx="133">
                  <c:v>4.643273672643853E-2</c:v>
                </c:pt>
                <c:pt idx="134">
                  <c:v>4.8462472145746803E-2</c:v>
                </c:pt>
                <c:pt idx="135">
                  <c:v>5.0506188233830129E-2</c:v>
                </c:pt>
                <c:pt idx="136">
                  <c:v>5.2545966732671569E-2</c:v>
                </c:pt>
                <c:pt idx="137">
                  <c:v>5.4581737352047549E-2</c:v>
                </c:pt>
                <c:pt idx="138">
                  <c:v>5.661342810347781E-2</c:v>
                </c:pt>
                <c:pt idx="139">
                  <c:v>5.8640965305766485E-2</c:v>
                </c:pt>
                <c:pt idx="140">
                  <c:v>6.0664273587426716E-2</c:v>
                </c:pt>
                <c:pt idx="141">
                  <c:v>6.26522834099381E-2</c:v>
                </c:pt>
                <c:pt idx="142">
                  <c:v>6.4601440454139292E-2</c:v>
                </c:pt>
                <c:pt idx="143">
                  <c:v>6.6511383017062178E-2</c:v>
                </c:pt>
                <c:pt idx="144">
                  <c:v>6.8382129809672718E-2</c:v>
                </c:pt>
                <c:pt idx="145">
                  <c:v>7.0213714199814051E-2</c:v>
                </c:pt>
                <c:pt idx="146">
                  <c:v>7.200618372685276E-2</c:v>
                </c:pt>
                <c:pt idx="147">
                  <c:v>7.3759599618638441E-2</c:v>
                </c:pt>
                <c:pt idx="148">
                  <c:v>7.5474036306831527E-2</c:v>
                </c:pt>
                <c:pt idx="149">
                  <c:v>7.7120286868749541E-2</c:v>
                </c:pt>
                <c:pt idx="150">
                  <c:v>7.8703536173754959E-2</c:v>
                </c:pt>
                <c:pt idx="151">
                  <c:v>8.0223939608650388E-2</c:v>
                </c:pt>
                <c:pt idx="152">
                  <c:v>8.1681665017218172E-2</c:v>
                </c:pt>
                <c:pt idx="153">
                  <c:v>8.3076891888547486E-2</c:v>
                </c:pt>
                <c:pt idx="154">
                  <c:v>8.4409810545792385E-2</c:v>
                </c:pt>
                <c:pt idx="155">
                  <c:v>8.5658865394697845E-2</c:v>
                </c:pt>
                <c:pt idx="156">
                  <c:v>8.6855040309937293E-2</c:v>
                </c:pt>
                <c:pt idx="157">
                  <c:v>8.7998536332474578E-2</c:v>
                </c:pt>
                <c:pt idx="158">
                  <c:v>8.9089561911062168E-2</c:v>
                </c:pt>
                <c:pt idx="159">
                  <c:v>9.0128332212189924E-2</c:v>
                </c:pt>
                <c:pt idx="160">
                  <c:v>9.1115068431124269E-2</c:v>
                </c:pt>
                <c:pt idx="161">
                  <c:v>9.2049997101945724E-2</c:v>
                </c:pt>
                <c:pt idx="162">
                  <c:v>9.2933349408061347E-2</c:v>
                </c:pt>
                <c:pt idx="163">
                  <c:v>9.3714695699087677E-2</c:v>
                </c:pt>
                <c:pt idx="164">
                  <c:v>9.442339050301464E-2</c:v>
                </c:pt>
                <c:pt idx="165">
                  <c:v>9.5059712951191408E-2</c:v>
                </c:pt>
                <c:pt idx="166">
                  <c:v>9.5623942531788422E-2</c:v>
                </c:pt>
                <c:pt idx="167">
                  <c:v>9.6116358104525859E-2</c:v>
                </c:pt>
                <c:pt idx="168">
                  <c:v>9.6537236918438407E-2</c:v>
                </c:pt>
                <c:pt idx="169">
                  <c:v>9.6836368301940021E-2</c:v>
                </c:pt>
                <c:pt idx="170">
                  <c:v>9.7035664070150976E-2</c:v>
                </c:pt>
                <c:pt idx="171">
                  <c:v>9.7135434260741546E-2</c:v>
                </c:pt>
                <c:pt idx="172">
                  <c:v>9.7135979978636475E-2</c:v>
                </c:pt>
                <c:pt idx="173">
                  <c:v>9.7036599709041924E-2</c:v>
                </c:pt>
                <c:pt idx="174">
                  <c:v>9.6836535900665544E-2</c:v>
                </c:pt>
                <c:pt idx="175">
                  <c:v>9.6535997931752646E-2</c:v>
                </c:pt>
                <c:pt idx="176">
                  <c:v>9.6135194517617692E-2</c:v>
                </c:pt>
                <c:pt idx="177">
                  <c:v>9.5612852017509367E-2</c:v>
                </c:pt>
                <c:pt idx="178">
                  <c:v>9.5019461192670115E-2</c:v>
                </c:pt>
                <c:pt idx="179">
                  <c:v>9.4355181983575273E-2</c:v>
                </c:pt>
                <c:pt idx="180">
                  <c:v>9.3620171817550779E-2</c:v>
                </c:pt>
                <c:pt idx="181">
                  <c:v>9.2814585186990303E-2</c:v>
                </c:pt>
                <c:pt idx="182">
                  <c:v>9.1938573228400863E-2</c:v>
                </c:pt>
                <c:pt idx="183">
                  <c:v>9.0963549751500672E-2</c:v>
                </c:pt>
                <c:pt idx="184">
                  <c:v>8.9939804600141018E-2</c:v>
                </c:pt>
                <c:pt idx="185">
                  <c:v>8.8867445509107398E-2</c:v>
                </c:pt>
                <c:pt idx="186">
                  <c:v>8.7746575976334132E-2</c:v>
                </c:pt>
                <c:pt idx="187">
                  <c:v>8.657729496803479E-2</c:v>
                </c:pt>
                <c:pt idx="188">
                  <c:v>8.5359696624296807E-2</c:v>
                </c:pt>
                <c:pt idx="189">
                  <c:v>8.409386996203283E-2</c:v>
                </c:pt>
                <c:pt idx="190">
                  <c:v>8.2779898581617647E-2</c:v>
                </c:pt>
                <c:pt idx="191">
                  <c:v>8.1387695509121394E-2</c:v>
                </c:pt>
                <c:pt idx="192">
                  <c:v>7.9938701368399007E-2</c:v>
                </c:pt>
                <c:pt idx="193">
                  <c:v>7.8432991392827195E-2</c:v>
                </c:pt>
                <c:pt idx="194">
                  <c:v>7.6870633533569988E-2</c:v>
                </c:pt>
                <c:pt idx="195">
                  <c:v>7.5251688113936219E-2</c:v>
                </c:pt>
                <c:pt idx="196">
                  <c:v>7.3576207480684844E-2</c:v>
                </c:pt>
                <c:pt idx="197">
                  <c:v>7.1839324190134654E-2</c:v>
                </c:pt>
                <c:pt idx="198">
                  <c:v>7.0069632625694045E-2</c:v>
                </c:pt>
                <c:pt idx="199">
                  <c:v>6.8267135858414166E-2</c:v>
                </c:pt>
                <c:pt idx="200">
                  <c:v>6.6431829729176203E-2</c:v>
                </c:pt>
                <c:pt idx="201">
                  <c:v>6.4563702640678858E-2</c:v>
                </c:pt>
                <c:pt idx="202">
                  <c:v>6.2662735349890766E-2</c:v>
                </c:pt>
                <c:pt idx="203">
                  <c:v>6.0728900761898887E-2</c:v>
                </c:pt>
                <c:pt idx="204">
                  <c:v>5.8762068830545765E-2</c:v>
                </c:pt>
                <c:pt idx="205">
                  <c:v>5.6765143942349307E-2</c:v>
                </c:pt>
                <c:pt idx="206">
                  <c:v>5.4768066344322873E-2</c:v>
                </c:pt>
                <c:pt idx="207">
                  <c:v>5.2770737557559226E-2</c:v>
                </c:pt>
                <c:pt idx="208">
                  <c:v>5.0773061416847974E-2</c:v>
                </c:pt>
                <c:pt idx="209">
                  <c:v>4.8774944075704124E-2</c:v>
                </c:pt>
                <c:pt idx="210">
                  <c:v>4.6776294013116941E-2</c:v>
                </c:pt>
                <c:pt idx="211">
                  <c:v>4.4794241837479799E-2</c:v>
                </c:pt>
                <c:pt idx="212">
                  <c:v>4.2833587632345377E-2</c:v>
                </c:pt>
                <c:pt idx="213">
                  <c:v>4.0894238999642063E-2</c:v>
                </c:pt>
                <c:pt idx="214">
                  <c:v>3.8976107395696825E-2</c:v>
                </c:pt>
                <c:pt idx="215">
                  <c:v>3.707910806841902E-2</c:v>
                </c:pt>
                <c:pt idx="216">
                  <c:v>3.5203159994318146E-2</c:v>
                </c:pt>
                <c:pt idx="217">
                  <c:v>3.3348185815652867E-2</c:v>
                </c:pt>
                <c:pt idx="218">
                  <c:v>3.1514111777364698E-2</c:v>
                </c:pt>
                <c:pt idx="219">
                  <c:v>2.9726309981482669E-2</c:v>
                </c:pt>
                <c:pt idx="220">
                  <c:v>2.7981651513397959E-2</c:v>
                </c:pt>
                <c:pt idx="221">
                  <c:v>2.6280070763759895E-2</c:v>
                </c:pt>
                <c:pt idx="222">
                  <c:v>2.4621506656358667E-2</c:v>
                </c:pt>
                <c:pt idx="223">
                  <c:v>2.300590251609454E-2</c:v>
                </c:pt>
                <c:pt idx="224">
                  <c:v>2.1433205936249453E-2</c:v>
                </c:pt>
                <c:pt idx="225">
                  <c:v>1.9935300262550873E-2</c:v>
                </c:pt>
                <c:pt idx="226">
                  <c:v>1.849493836363468E-2</c:v>
                </c:pt>
                <c:pt idx="227">
                  <c:v>1.7112080778314154E-2</c:v>
                </c:pt>
                <c:pt idx="228">
                  <c:v>1.578669237843509E-2</c:v>
                </c:pt>
                <c:pt idx="229">
                  <c:v>1.45187421903561E-2</c:v>
                </c:pt>
                <c:pt idx="230">
                  <c:v>1.3308203216729214E-2</c:v>
                </c:pt>
                <c:pt idx="231">
                  <c:v>1.2155052258285795E-2</c:v>
                </c:pt>
                <c:pt idx="232">
                  <c:v>1.1059269735332699E-2</c:v>
                </c:pt>
                <c:pt idx="233">
                  <c:v>1.0052750354792436E-2</c:v>
                </c:pt>
                <c:pt idx="234">
                  <c:v>9.110042804218392E-3</c:v>
                </c:pt>
                <c:pt idx="235">
                  <c:v>8.2311454555552693E-3</c:v>
                </c:pt>
                <c:pt idx="236">
                  <c:v>7.4160595058889852E-3</c:v>
                </c:pt>
                <c:pt idx="237">
                  <c:v>6.6647816135408586E-3</c:v>
                </c:pt>
                <c:pt idx="238">
                  <c:v>5.9773104909132376E-3</c:v>
                </c:pt>
                <c:pt idx="239">
                  <c:v>5.3754510264057967E-3</c:v>
                </c:pt>
                <c:pt idx="240">
                  <c:v>4.8272598397497389E-3</c:v>
                </c:pt>
                <c:pt idx="241">
                  <c:v>4.3327400256977771E-3</c:v>
                </c:pt>
                <c:pt idx="242">
                  <c:v>3.8918967315191345E-3</c:v>
                </c:pt>
                <c:pt idx="243">
                  <c:v>3.504737251866613E-3</c:v>
                </c:pt>
                <c:pt idx="244">
                  <c:v>3.1712711235998502E-3</c:v>
                </c:pt>
                <c:pt idx="245">
                  <c:v>2.891510220573558E-3</c:v>
                </c:pt>
                <c:pt idx="246">
                  <c:v>2.6654688484356315E-3</c:v>
                </c:pt>
                <c:pt idx="247">
                  <c:v>2.5060636814135556E-3</c:v>
                </c:pt>
                <c:pt idx="248">
                  <c:v>2.3813621108825607E-3</c:v>
                </c:pt>
                <c:pt idx="249">
                  <c:v>2.2913773274966577E-3</c:v>
                </c:pt>
                <c:pt idx="250">
                  <c:v>2.2361243029508124E-3</c:v>
                </c:pt>
                <c:pt idx="251">
                  <c:v>2.2156198512669092E-3</c:v>
                </c:pt>
                <c:pt idx="252">
                  <c:v>2.2298826899794697E-3</c:v>
                </c:pt>
                <c:pt idx="253">
                  <c:v>2.2839619817983129E-3</c:v>
                </c:pt>
                <c:pt idx="254">
                  <c:v>2.3560314325451171E-3</c:v>
                </c:pt>
                <c:pt idx="255">
                  <c:v>2.4461048834826435E-3</c:v>
                </c:pt>
                <c:pt idx="256">
                  <c:v>2.5541973049016831E-3</c:v>
                </c:pt>
                <c:pt idx="257">
                  <c:v>2.6803248277012192E-3</c:v>
                </c:pt>
                <c:pt idx="258">
                  <c:v>2.8245047749894496E-3</c:v>
                </c:pt>
                <c:pt idx="259">
                  <c:v>2.9867556937257836E-3</c:v>
                </c:pt>
                <c:pt idx="260">
                  <c:v>3.1670973862812295E-3</c:v>
                </c:pt>
                <c:pt idx="261">
                  <c:v>3.3809769005842503E-3</c:v>
                </c:pt>
                <c:pt idx="262">
                  <c:v>3.6154874676548212E-3</c:v>
                </c:pt>
                <c:pt idx="263">
                  <c:v>3.8706556501802007E-3</c:v>
                </c:pt>
                <c:pt idx="264">
                  <c:v>4.1465097745449382E-3</c:v>
                </c:pt>
                <c:pt idx="265">
                  <c:v>4.4431036330410531E-3</c:v>
                </c:pt>
                <c:pt idx="266">
                  <c:v>4.7604870012327083E-3</c:v>
                </c:pt>
                <c:pt idx="267">
                  <c:v>5.1018870649591321E-3</c:v>
                </c:pt>
                <c:pt idx="268">
                  <c:v>5.4622933069222125E-3</c:v>
                </c:pt>
                <c:pt idx="269">
                  <c:v>5.8417403601195546E-3</c:v>
                </c:pt>
                <c:pt idx="270">
                  <c:v>6.2402631148524802E-3</c:v>
                </c:pt>
                <c:pt idx="271">
                  <c:v>6.6578965131602608E-3</c:v>
                </c:pt>
                <c:pt idx="272">
                  <c:v>7.0946753434003619E-3</c:v>
                </c:pt>
                <c:pt idx="273">
                  <c:v>7.550634034750388E-3</c:v>
                </c:pt>
                <c:pt idx="274">
                  <c:v>8.0258064517990026E-3</c:v>
                </c:pt>
                <c:pt idx="275">
                  <c:v>8.4935856231157549E-3</c:v>
                </c:pt>
                <c:pt idx="276">
                  <c:v>8.9384456257168496E-3</c:v>
                </c:pt>
                <c:pt idx="277">
                  <c:v>9.3603535269490903E-3</c:v>
                </c:pt>
                <c:pt idx="278">
                  <c:v>9.7592733955151542E-3</c:v>
                </c:pt>
                <c:pt idx="279">
                  <c:v>1.0135166558745119E-2</c:v>
                </c:pt>
                <c:pt idx="280">
                  <c:v>1.0487991859958752E-2</c:v>
                </c:pt>
                <c:pt idx="281">
                  <c:v>1.0802376671447641E-2</c:v>
                </c:pt>
                <c:pt idx="282">
                  <c:v>1.1075036913306385E-2</c:v>
                </c:pt>
                <c:pt idx="283">
                  <c:v>1.130589636367184E-2</c:v>
                </c:pt>
                <c:pt idx="284">
                  <c:v>1.1494877385204045E-2</c:v>
                </c:pt>
                <c:pt idx="285">
                  <c:v>1.1641901385301363E-2</c:v>
                </c:pt>
                <c:pt idx="286">
                  <c:v>1.174688927642562E-2</c:v>
                </c:pt>
                <c:pt idx="287">
                  <c:v>1.1809761936314582E-2</c:v>
                </c:pt>
                <c:pt idx="288">
                  <c:v>1.183044066823693E-2</c:v>
                </c:pt>
                <c:pt idx="289">
                  <c:v>1.180971017254445E-2</c:v>
                </c:pt>
                <c:pt idx="290">
                  <c:v>1.1774340892799823E-2</c:v>
                </c:pt>
                <c:pt idx="291">
                  <c:v>1.1724299057254162E-2</c:v>
                </c:pt>
                <c:pt idx="292">
                  <c:v>1.1659551749199309E-2</c:v>
                </c:pt>
                <c:pt idx="293">
                  <c:v>1.1580067065391069E-2</c:v>
                </c:pt>
                <c:pt idx="294">
                  <c:v>1.1485814274426506E-2</c:v>
                </c:pt>
                <c:pt idx="295">
                  <c:v>1.1374864640164151E-2</c:v>
                </c:pt>
                <c:pt idx="296">
                  <c:v>1.12627678333181E-2</c:v>
                </c:pt>
                <c:pt idx="297">
                  <c:v>1.1149604505436053E-2</c:v>
                </c:pt>
                <c:pt idx="298">
                  <c:v>1.1035360652320433E-2</c:v>
                </c:pt>
                <c:pt idx="299">
                  <c:v>1.092002267228895E-2</c:v>
                </c:pt>
                <c:pt idx="300">
                  <c:v>1.0803577375764076E-2</c:v>
                </c:pt>
                <c:pt idx="301">
                  <c:v>1.0686011994828755E-2</c:v>
                </c:pt>
                <c:pt idx="302">
                  <c:v>1.0567314192806723E-2</c:v>
                </c:pt>
                <c:pt idx="303">
                  <c:v>1.0449492894469498E-2</c:v>
                </c:pt>
                <c:pt idx="304">
                  <c:v>1.0331670912765042E-2</c:v>
                </c:pt>
                <c:pt idx="305">
                  <c:v>1.021383890437981E-2</c:v>
                </c:pt>
                <c:pt idx="306">
                  <c:v>1.0095987977413496E-2</c:v>
                </c:pt>
                <c:pt idx="307">
                  <c:v>9.978109690355454E-3</c:v>
                </c:pt>
                <c:pt idx="308">
                  <c:v>9.8601960509769621E-3</c:v>
                </c:pt>
                <c:pt idx="309">
                  <c:v>9.7501415703650212E-3</c:v>
                </c:pt>
                <c:pt idx="310">
                  <c:v>9.6498638891606096E-3</c:v>
                </c:pt>
                <c:pt idx="311">
                  <c:v>9.5593695116930558E-3</c:v>
                </c:pt>
                <c:pt idx="312">
                  <c:v>9.4786649434651128E-3</c:v>
                </c:pt>
                <c:pt idx="313">
                  <c:v>9.4077566000394658E-3</c:v>
                </c:pt>
                <c:pt idx="314">
                  <c:v>9.3466507158379234E-3</c:v>
                </c:pt>
                <c:pt idx="315">
                  <c:v>9.295353253059262E-3</c:v>
                </c:pt>
                <c:pt idx="316">
                  <c:v>9.2538698104515597E-3</c:v>
                </c:pt>
                <c:pt idx="317">
                  <c:v>9.2215525610007381E-3</c:v>
                </c:pt>
                <c:pt idx="318">
                  <c:v>9.1963710646121976E-3</c:v>
                </c:pt>
                <c:pt idx="319">
                  <c:v>9.1783263404974936E-3</c:v>
                </c:pt>
                <c:pt idx="320">
                  <c:v>9.1674189133641379E-3</c:v>
                </c:pt>
                <c:pt idx="321">
                  <c:v>9.1636487468665876E-3</c:v>
                </c:pt>
                <c:pt idx="322">
                  <c:v>9.1670151770956269E-3</c:v>
                </c:pt>
                <c:pt idx="323">
                  <c:v>9.2004479275553074E-3</c:v>
                </c:pt>
                <c:pt idx="324">
                  <c:v>9.2560166808705376E-3</c:v>
                </c:pt>
                <c:pt idx="325">
                  <c:v>9.3337286968502142E-3</c:v>
                </c:pt>
                <c:pt idx="326">
                  <c:v>9.4335297821915558E-3</c:v>
                </c:pt>
                <c:pt idx="327">
                  <c:v>9.5553993544731184E-3</c:v>
                </c:pt>
                <c:pt idx="328">
                  <c:v>9.69936132654922E-3</c:v>
                </c:pt>
                <c:pt idx="329">
                  <c:v>9.865437080266307E-3</c:v>
                </c:pt>
                <c:pt idx="330">
                  <c:v>1.0053645930504089E-2</c:v>
                </c:pt>
                <c:pt idx="331">
                  <c:v>1.0294954805975953E-2</c:v>
                </c:pt>
                <c:pt idx="332">
                  <c:v>1.0590044805544896E-2</c:v>
                </c:pt>
                <c:pt idx="333">
                  <c:v>1.0938937979989788E-2</c:v>
                </c:pt>
                <c:pt idx="334">
                  <c:v>1.1341653663730392E-2</c:v>
                </c:pt>
                <c:pt idx="335">
                  <c:v>1.1798209596439013E-2</c:v>
                </c:pt>
                <c:pt idx="336">
                  <c:v>1.2308623044511052E-2</c:v>
                </c:pt>
                <c:pt idx="337">
                  <c:v>1.2845785309963005E-2</c:v>
                </c:pt>
                <c:pt idx="338">
                  <c:v>1.3386736340512684E-2</c:v>
                </c:pt>
                <c:pt idx="339">
                  <c:v>1.3931495301725348E-2</c:v>
                </c:pt>
                <c:pt idx="340">
                  <c:v>1.4480085775068985E-2</c:v>
                </c:pt>
                <c:pt idx="341">
                  <c:v>1.5032535837692229E-2</c:v>
                </c:pt>
                <c:pt idx="342">
                  <c:v>1.5588878142202861E-2</c:v>
                </c:pt>
                <c:pt idx="343">
                  <c:v>1.6149149996262099E-2</c:v>
                </c:pt>
                <c:pt idx="344">
                  <c:v>1.6713393442411413E-2</c:v>
                </c:pt>
                <c:pt idx="345">
                  <c:v>1.7281655337739777E-2</c:v>
                </c:pt>
                <c:pt idx="346">
                  <c:v>1.7796033762394265E-2</c:v>
                </c:pt>
                <c:pt idx="347">
                  <c:v>1.8256573894610984E-2</c:v>
                </c:pt>
                <c:pt idx="348">
                  <c:v>1.8663320910994857E-2</c:v>
                </c:pt>
                <c:pt idx="349">
                  <c:v>1.9016318861412255E-2</c:v>
                </c:pt>
                <c:pt idx="350">
                  <c:v>1.9315609544317588E-2</c:v>
                </c:pt>
                <c:pt idx="351">
                  <c:v>1.9534234079827451E-2</c:v>
                </c:pt>
                <c:pt idx="352">
                  <c:v>1.9699365689048186E-2</c:v>
                </c:pt>
                <c:pt idx="353">
                  <c:v>1.9811030730702315E-2</c:v>
                </c:pt>
                <c:pt idx="354">
                  <c:v>1.9869248612564727E-2</c:v>
                </c:pt>
                <c:pt idx="355">
                  <c:v>1.9874030668645608E-2</c:v>
                </c:pt>
                <c:pt idx="356">
                  <c:v>1.9825392737857512E-2</c:v>
                </c:pt>
                <c:pt idx="357">
                  <c:v>1.9723282478976034E-2</c:v>
                </c:pt>
                <c:pt idx="358">
                  <c:v>1.9567590212900245E-2</c:v>
                </c:pt>
                <c:pt idx="359">
                  <c:v>1.935819820949489E-2</c:v>
                </c:pt>
                <c:pt idx="360">
                  <c:v>1.9067767610554641E-2</c:v>
                </c:pt>
                <c:pt idx="361">
                  <c:v>1.8723210153424694E-2</c:v>
                </c:pt>
                <c:pt idx="362">
                  <c:v>1.8324390539112556E-2</c:v>
                </c:pt>
                <c:pt idx="363">
                  <c:v>1.78711712221758E-2</c:v>
                </c:pt>
                <c:pt idx="364">
                  <c:v>1.7363413800087098E-2</c:v>
                </c:pt>
                <c:pt idx="365">
                  <c:v>1.6800980402347638E-2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3.4715680900661836E-2</c:v>
                </c:pt>
                <c:pt idx="1">
                  <c:v>3.4171012836370994E-2</c:v>
                </c:pt>
                <c:pt idx="2">
                  <c:v>3.3547535787732848E-2</c:v>
                </c:pt>
                <c:pt idx="3">
                  <c:v>3.284504205660696E-2</c:v>
                </c:pt>
                <c:pt idx="4">
                  <c:v>3.2063329248231902E-2</c:v>
                </c:pt>
                <c:pt idx="5">
                  <c:v>3.1202202273317298E-2</c:v>
                </c:pt>
                <c:pt idx="6">
                  <c:v>3.0261475350536388E-2</c:v>
                </c:pt>
                <c:pt idx="7">
                  <c:v>2.9240974008299576E-2</c:v>
                </c:pt>
                <c:pt idx="8">
                  <c:v>2.8140537086992101E-2</c:v>
                </c:pt>
                <c:pt idx="9">
                  <c:v>2.7004446567575936E-2</c:v>
                </c:pt>
                <c:pt idx="10">
                  <c:v>2.5886347418873301E-2</c:v>
                </c:pt>
                <c:pt idx="11">
                  <c:v>2.4786250443026736E-2</c:v>
                </c:pt>
                <c:pt idx="12">
                  <c:v>2.3704175864327198E-2</c:v>
                </c:pt>
                <c:pt idx="13">
                  <c:v>2.2640152836458968E-2</c:v>
                </c:pt>
                <c:pt idx="14">
                  <c:v>2.1594218949364325E-2</c:v>
                </c:pt>
                <c:pt idx="15">
                  <c:v>2.0607903265790987E-2</c:v>
                </c:pt>
                <c:pt idx="16">
                  <c:v>1.9706407365429036E-2</c:v>
                </c:pt>
                <c:pt idx="17">
                  <c:v>1.8889839129947551E-2</c:v>
                </c:pt>
                <c:pt idx="18">
                  <c:v>1.8158298653220214E-2</c:v>
                </c:pt>
                <c:pt idx="19">
                  <c:v>1.7511973738976578E-2</c:v>
                </c:pt>
                <c:pt idx="20">
                  <c:v>1.6951070232990546E-2</c:v>
                </c:pt>
                <c:pt idx="21">
                  <c:v>1.6475695962153928E-2</c:v>
                </c:pt>
                <c:pt idx="22">
                  <c:v>1.6085943375523808E-2</c:v>
                </c:pt>
                <c:pt idx="23">
                  <c:v>1.5793913660103145E-2</c:v>
                </c:pt>
                <c:pt idx="24">
                  <c:v>1.5555074824553974E-2</c:v>
                </c:pt>
                <c:pt idx="25">
                  <c:v>1.5369473417750842E-2</c:v>
                </c:pt>
                <c:pt idx="26">
                  <c:v>1.5237148586793115E-2</c:v>
                </c:pt>
                <c:pt idx="27">
                  <c:v>1.5158132746648812E-2</c:v>
                </c:pt>
                <c:pt idx="28">
                  <c:v>1.5132452250129972E-2</c:v>
                </c:pt>
                <c:pt idx="29">
                  <c:v>1.5164011343271703E-2</c:v>
                </c:pt>
                <c:pt idx="30">
                  <c:v>1.5211273520336405E-2</c:v>
                </c:pt>
                <c:pt idx="31">
                  <c:v>1.5274254841012073E-2</c:v>
                </c:pt>
                <c:pt idx="32">
                  <c:v>1.5352970477739245E-2</c:v>
                </c:pt>
                <c:pt idx="33">
                  <c:v>1.5447434914556491E-2</c:v>
                </c:pt>
                <c:pt idx="34">
                  <c:v>1.5557662146015103E-2</c:v>
                </c:pt>
                <c:pt idx="35">
                  <c:v>1.5683665876082397E-2</c:v>
                </c:pt>
                <c:pt idx="36">
                  <c:v>1.5825459717014035E-2</c:v>
                </c:pt>
                <c:pt idx="37">
                  <c:v>1.5981400051414837E-2</c:v>
                </c:pt>
                <c:pt idx="38">
                  <c:v>1.6139482600226445E-2</c:v>
                </c:pt>
                <c:pt idx="39">
                  <c:v>1.6299725525053113E-2</c:v>
                </c:pt>
                <c:pt idx="40">
                  <c:v>1.6462147761358528E-2</c:v>
                </c:pt>
                <c:pt idx="41">
                  <c:v>1.6626769046380344E-2</c:v>
                </c:pt>
                <c:pt idx="42">
                  <c:v>1.6793609946934334E-2</c:v>
                </c:pt>
                <c:pt idx="43">
                  <c:v>1.6961659981954307E-2</c:v>
                </c:pt>
                <c:pt idx="44">
                  <c:v>1.7127062552210106E-2</c:v>
                </c:pt>
                <c:pt idx="45">
                  <c:v>1.7289841972383212E-2</c:v>
                </c:pt>
                <c:pt idx="46">
                  <c:v>1.7450023299680428E-2</c:v>
                </c:pt>
                <c:pt idx="47">
                  <c:v>1.7607632300319441E-2</c:v>
                </c:pt>
                <c:pt idx="48">
                  <c:v>1.7762695415789172E-2</c:v>
                </c:pt>
                <c:pt idx="49">
                  <c:v>1.79152397292669E-2</c:v>
                </c:pt>
                <c:pt idx="50">
                  <c:v>1.8065292931927844E-2</c:v>
                </c:pt>
                <c:pt idx="51">
                  <c:v>1.8195038372132384E-2</c:v>
                </c:pt>
                <c:pt idx="52">
                  <c:v>1.8306060149714112E-2</c:v>
                </c:pt>
                <c:pt idx="53">
                  <c:v>1.8398263612406308E-2</c:v>
                </c:pt>
                <c:pt idx="54">
                  <c:v>1.8471643127922779E-2</c:v>
                </c:pt>
                <c:pt idx="55">
                  <c:v>1.852619261601746E-2</c:v>
                </c:pt>
                <c:pt idx="56">
                  <c:v>1.8561905618312381E-2</c:v>
                </c:pt>
                <c:pt idx="57">
                  <c:v>1.8545325334662962E-2</c:v>
                </c:pt>
                <c:pt idx="58">
                  <c:v>1.8477475688516581E-2</c:v>
                </c:pt>
                <c:pt idx="59">
                  <c:v>1.8358348788546513E-2</c:v>
                </c:pt>
                <c:pt idx="60">
                  <c:v>1.818793656716752E-2</c:v>
                </c:pt>
                <c:pt idx="61">
                  <c:v>1.7966230970313055E-2</c:v>
                </c:pt>
                <c:pt idx="62">
                  <c:v>1.7693224147185348E-2</c:v>
                </c:pt>
                <c:pt idx="63">
                  <c:v>1.7368908640059591E-2</c:v>
                </c:pt>
                <c:pt idx="64">
                  <c:v>1.6993277574016821E-2</c:v>
                </c:pt>
                <c:pt idx="65">
                  <c:v>1.6565140425539252E-2</c:v>
                </c:pt>
                <c:pt idx="66">
                  <c:v>1.6102337729039448E-2</c:v>
                </c:pt>
                <c:pt idx="67">
                  <c:v>1.5604865562866077E-2</c:v>
                </c:pt>
                <c:pt idx="68">
                  <c:v>1.5072721118456785E-2</c:v>
                </c:pt>
                <c:pt idx="69">
                  <c:v>1.4505902828420519E-2</c:v>
                </c:pt>
                <c:pt idx="70">
                  <c:v>1.3904410494695194E-2</c:v>
                </c:pt>
                <c:pt idx="71">
                  <c:v>1.3286657715462247E-2</c:v>
                </c:pt>
                <c:pt idx="72">
                  <c:v>1.2686097294033289E-2</c:v>
                </c:pt>
                <c:pt idx="73">
                  <c:v>1.2102730847144831E-2</c:v>
                </c:pt>
                <c:pt idx="74">
                  <c:v>1.1536560437565633E-2</c:v>
                </c:pt>
                <c:pt idx="75">
                  <c:v>1.0987588510380683E-2</c:v>
                </c:pt>
                <c:pt idx="76">
                  <c:v>1.0455817829237712E-2</c:v>
                </c:pt>
                <c:pt idx="77">
                  <c:v>9.9412514126311479E-3</c:v>
                </c:pt>
                <c:pt idx="78">
                  <c:v>9.443892783696381E-3</c:v>
                </c:pt>
                <c:pt idx="79">
                  <c:v>8.9722245814521859E-3</c:v>
                </c:pt>
                <c:pt idx="80">
                  <c:v>8.5274508054715165E-3</c:v>
                </c:pt>
                <c:pt idx="81">
                  <c:v>8.1095651452688777E-3</c:v>
                </c:pt>
                <c:pt idx="82">
                  <c:v>7.7185617821851444E-3</c:v>
                </c:pt>
                <c:pt idx="83">
                  <c:v>7.3544353033640443E-3</c:v>
                </c:pt>
                <c:pt idx="84">
                  <c:v>7.0171806157539249E-3</c:v>
                </c:pt>
                <c:pt idx="85">
                  <c:v>6.7231918982495692E-3</c:v>
                </c:pt>
                <c:pt idx="86">
                  <c:v>6.4540604060886646E-3</c:v>
                </c:pt>
                <c:pt idx="87">
                  <c:v>6.2097817151302625E-3</c:v>
                </c:pt>
                <c:pt idx="88">
                  <c:v>5.9903513874022679E-3</c:v>
                </c:pt>
                <c:pt idx="89">
                  <c:v>5.7957648915073741E-3</c:v>
                </c:pt>
                <c:pt idx="90">
                  <c:v>5.6260175230167233E-3</c:v>
                </c:pt>
                <c:pt idx="91">
                  <c:v>5.4811043248858401E-3</c:v>
                </c:pt>
                <c:pt idx="92">
                  <c:v>5.3610200078541672E-3</c:v>
                </c:pt>
                <c:pt idx="93">
                  <c:v>5.2927806488843572E-3</c:v>
                </c:pt>
                <c:pt idx="94">
                  <c:v>5.2679368263550816E-3</c:v>
                </c:pt>
                <c:pt idx="95">
                  <c:v>5.2864765703965503E-3</c:v>
                </c:pt>
                <c:pt idx="96">
                  <c:v>5.3483866478162348E-3</c:v>
                </c:pt>
                <c:pt idx="97">
                  <c:v>5.4536524229506396E-3</c:v>
                </c:pt>
                <c:pt idx="98">
                  <c:v>5.602257718470241E-3</c:v>
                </c:pt>
                <c:pt idx="99">
                  <c:v>5.8368911279931025E-3</c:v>
                </c:pt>
                <c:pt idx="100">
                  <c:v>6.1411387804863474E-3</c:v>
                </c:pt>
                <c:pt idx="101">
                  <c:v>6.5149685103672453E-3</c:v>
                </c:pt>
                <c:pt idx="102">
                  <c:v>6.9583448756216594E-3</c:v>
                </c:pt>
                <c:pt idx="103">
                  <c:v>7.4712289341127072E-3</c:v>
                </c:pt>
                <c:pt idx="104">
                  <c:v>8.05357802004566E-3</c:v>
                </c:pt>
                <c:pt idx="105">
                  <c:v>8.7053455202894536E-3</c:v>
                </c:pt>
                <c:pt idx="106">
                  <c:v>9.426480650781938E-3</c:v>
                </c:pt>
                <c:pt idx="107">
                  <c:v>1.0259635527367075E-2</c:v>
                </c:pt>
                <c:pt idx="108">
                  <c:v>1.1177756393015223E-2</c:v>
                </c:pt>
                <c:pt idx="109">
                  <c:v>1.2180768518366291E-2</c:v>
                </c:pt>
                <c:pt idx="110">
                  <c:v>1.3268628928791775E-2</c:v>
                </c:pt>
                <c:pt idx="111">
                  <c:v>1.4441302722886233E-2</c:v>
                </c:pt>
                <c:pt idx="112">
                  <c:v>1.5698720393397727E-2</c:v>
                </c:pt>
                <c:pt idx="113">
                  <c:v>1.7072560418313884E-2</c:v>
                </c:pt>
                <c:pt idx="114">
                  <c:v>1.8520127149550047E-2</c:v>
                </c:pt>
                <c:pt idx="115">
                  <c:v>2.0041347103940458E-2</c:v>
                </c:pt>
                <c:pt idx="116">
                  <c:v>2.1636143206792097E-2</c:v>
                </c:pt>
                <c:pt idx="117">
                  <c:v>2.3304434629329098E-2</c:v>
                </c:pt>
                <c:pt idx="118">
                  <c:v>2.5046136625954517E-2</c:v>
                </c:pt>
                <c:pt idx="119">
                  <c:v>2.6861160371560906E-2</c:v>
                </c:pt>
                <c:pt idx="120">
                  <c:v>2.8749412798794675E-2</c:v>
                </c:pt>
                <c:pt idx="121">
                  <c:v>3.0733625984120504E-2</c:v>
                </c:pt>
                <c:pt idx="122">
                  <c:v>3.2771113586632962E-2</c:v>
                </c:pt>
                <c:pt idx="123">
                  <c:v>3.4861784259811436E-2</c:v>
                </c:pt>
                <c:pt idx="124">
                  <c:v>3.7005542586383416E-2</c:v>
                </c:pt>
                <c:pt idx="125">
                  <c:v>3.9202288959169655E-2</c:v>
                </c:pt>
                <c:pt idx="126">
                  <c:v>4.1451919461457633E-2</c:v>
                </c:pt>
                <c:pt idx="127">
                  <c:v>4.3757321890374283E-2</c:v>
                </c:pt>
                <c:pt idx="128">
                  <c:v>4.6086751330446957E-2</c:v>
                </c:pt>
                <c:pt idx="129">
                  <c:v>4.8440117193745191E-2</c:v>
                </c:pt>
                <c:pt idx="130">
                  <c:v>5.0817325552947851E-2</c:v>
                </c:pt>
                <c:pt idx="131">
                  <c:v>5.3218279084299179E-2</c:v>
                </c:pt>
                <c:pt idx="132">
                  <c:v>5.5642877010951219E-2</c:v>
                </c:pt>
                <c:pt idx="133">
                  <c:v>5.8091015046656862E-2</c:v>
                </c:pt>
                <c:pt idx="134">
                  <c:v>6.0562585339228529E-2</c:v>
                </c:pt>
                <c:pt idx="135">
                  <c:v>6.3049552628368546E-2</c:v>
                </c:pt>
                <c:pt idx="136">
                  <c:v>6.5529089542383664E-2</c:v>
                </c:pt>
                <c:pt idx="137">
                  <c:v>6.8001113244630471E-2</c:v>
                </c:pt>
                <c:pt idx="138">
                  <c:v>7.0465538992251997E-2</c:v>
                </c:pt>
                <c:pt idx="139">
                  <c:v>7.2922280148732102E-2</c:v>
                </c:pt>
                <c:pt idx="140">
                  <c:v>7.5371248192568463E-2</c:v>
                </c:pt>
                <c:pt idx="141">
                  <c:v>7.778673069324761E-2</c:v>
                </c:pt>
                <c:pt idx="142">
                  <c:v>8.0165248713986045E-2</c:v>
                </c:pt>
                <c:pt idx="143">
                  <c:v>8.2506340442787596E-2</c:v>
                </c:pt>
                <c:pt idx="144">
                  <c:v>8.4810015064015434E-2</c:v>
                </c:pt>
                <c:pt idx="145">
                  <c:v>8.7076298481321757E-2</c:v>
                </c:pt>
                <c:pt idx="146">
                  <c:v>8.9305232865914741E-2</c:v>
                </c:pt>
                <c:pt idx="147">
                  <c:v>9.14968762076947E-2</c:v>
                </c:pt>
                <c:pt idx="148">
                  <c:v>9.3651301864366474E-2</c:v>
                </c:pt>
                <c:pt idx="149">
                  <c:v>9.5733099525930662E-2</c:v>
                </c:pt>
                <c:pt idx="150">
                  <c:v>9.7750301577398988E-2</c:v>
                </c:pt>
                <c:pt idx="151">
                  <c:v>9.9703075241608263E-2</c:v>
                </c:pt>
                <c:pt idx="152">
                  <c:v>0.10159160265175698</c:v>
                </c:pt>
                <c:pt idx="153">
                  <c:v>0.10341608002810709</c:v>
                </c:pt>
                <c:pt idx="154">
                  <c:v>0.10517671685522056</c:v>
                </c:pt>
                <c:pt idx="155">
                  <c:v>0.10682568070472938</c:v>
                </c:pt>
                <c:pt idx="156">
                  <c:v>0.10838870365839322</c:v>
                </c:pt>
                <c:pt idx="157">
                  <c:v>0.10986607338869804</c:v>
                </c:pt>
                <c:pt idx="158">
                  <c:v>0.11125808744025149</c:v>
                </c:pt>
                <c:pt idx="159">
                  <c:v>0.11256505209995771</c:v>
                </c:pt>
                <c:pt idx="160">
                  <c:v>0.11378728126855349</c:v>
                </c:pt>
                <c:pt idx="161">
                  <c:v>0.11492509533089361</c:v>
                </c:pt>
                <c:pt idx="162">
                  <c:v>0.1159788200268292</c:v>
                </c:pt>
                <c:pt idx="163">
                  <c:v>0.11689843376624813</c:v>
                </c:pt>
                <c:pt idx="164">
                  <c:v>0.11771953214331139</c:v>
                </c:pt>
                <c:pt idx="165">
                  <c:v>0.11844247655338658</c:v>
                </c:pt>
                <c:pt idx="166">
                  <c:v>0.11906762807395528</c:v>
                </c:pt>
                <c:pt idx="167">
                  <c:v>0.11959534612725516</c:v>
                </c:pt>
                <c:pt idx="168">
                  <c:v>0.12002598714670576</c:v>
                </c:pt>
                <c:pt idx="169">
                  <c:v>0.12030973004328666</c:v>
                </c:pt>
                <c:pt idx="170">
                  <c:v>0.12049462046519661</c:v>
                </c:pt>
                <c:pt idx="171">
                  <c:v>0.12058099939866597</c:v>
                </c:pt>
                <c:pt idx="172">
                  <c:v>0.12056919895246303</c:v>
                </c:pt>
                <c:pt idx="173">
                  <c:v>0.12045830916610811</c:v>
                </c:pt>
                <c:pt idx="174">
                  <c:v>0.12024735186106023</c:v>
                </c:pt>
                <c:pt idx="175">
                  <c:v>0.11993654919414982</c:v>
                </c:pt>
                <c:pt idx="176">
                  <c:v>0.11952612266359332</c:v>
                </c:pt>
                <c:pt idx="177">
                  <c:v>0.11896884522832983</c:v>
                </c:pt>
                <c:pt idx="178">
                  <c:v>0.11831494880390887</c:v>
                </c:pt>
                <c:pt idx="179">
                  <c:v>0.11756464524060055</c:v>
                </c:pt>
                <c:pt idx="180">
                  <c:v>0.11671814332050108</c:v>
                </c:pt>
                <c:pt idx="181">
                  <c:v>0.11577564818501358</c:v>
                </c:pt>
                <c:pt idx="182">
                  <c:v>0.11473736076336043</c:v>
                </c:pt>
                <c:pt idx="183">
                  <c:v>0.11356865785937893</c:v>
                </c:pt>
                <c:pt idx="184">
                  <c:v>0.112319575888933</c:v>
                </c:pt>
                <c:pt idx="185">
                  <c:v>0.11099027784261899</c:v>
                </c:pt>
                <c:pt idx="186">
                  <c:v>0.10958092074022703</c:v>
                </c:pt>
                <c:pt idx="187">
                  <c:v>0.10809165514770995</c:v>
                </c:pt>
                <c:pt idx="188">
                  <c:v>0.10652262469473184</c:v>
                </c:pt>
                <c:pt idx="189">
                  <c:v>0.10487396558891628</c:v>
                </c:pt>
                <c:pt idx="190">
                  <c:v>0.10314580613469547</c:v>
                </c:pt>
                <c:pt idx="191">
                  <c:v>0.1013133284206893</c:v>
                </c:pt>
                <c:pt idx="192">
                  <c:v>9.9423790935260173E-2</c:v>
                </c:pt>
                <c:pt idx="193">
                  <c:v>9.7477267763352859E-2</c:v>
                </c:pt>
                <c:pt idx="194">
                  <c:v>9.5473824629215345E-2</c:v>
                </c:pt>
                <c:pt idx="195">
                  <c:v>9.3413518546246022E-2</c:v>
                </c:pt>
                <c:pt idx="196">
                  <c:v>9.1296397463046255E-2</c:v>
                </c:pt>
                <c:pt idx="197">
                  <c:v>8.9114824189043415E-2</c:v>
                </c:pt>
                <c:pt idx="198">
                  <c:v>8.6903437102070824E-2</c:v>
                </c:pt>
                <c:pt idx="199">
                  <c:v>8.4662228258649205E-2</c:v>
                </c:pt>
                <c:pt idx="200">
                  <c:v>8.239118166899502E-2</c:v>
                </c:pt>
                <c:pt idx="201">
                  <c:v>8.0090273103360976E-2</c:v>
                </c:pt>
                <c:pt idx="202">
                  <c:v>7.7759469898953451E-2</c:v>
                </c:pt>
                <c:pt idx="203">
                  <c:v>7.5398730768581501E-2</c:v>
                </c:pt>
                <c:pt idx="204">
                  <c:v>7.3007887710927866E-2</c:v>
                </c:pt>
                <c:pt idx="205">
                  <c:v>7.0589624636346937E-2</c:v>
                </c:pt>
                <c:pt idx="206">
                  <c:v>6.8168656161612121E-2</c:v>
                </c:pt>
                <c:pt idx="207">
                  <c:v>6.5744864028584163E-2</c:v>
                </c:pt>
                <c:pt idx="208">
                  <c:v>6.3318132576232047E-2</c:v>
                </c:pt>
                <c:pt idx="209">
                  <c:v>6.0888348754598337E-2</c:v>
                </c:pt>
                <c:pt idx="210">
                  <c:v>5.845540214090917E-2</c:v>
                </c:pt>
                <c:pt idx="211">
                  <c:v>5.6041128738874874E-2</c:v>
                </c:pt>
                <c:pt idx="212">
                  <c:v>5.3653062896090009E-2</c:v>
                </c:pt>
                <c:pt idx="213">
                  <c:v>5.1291091566129376E-2</c:v>
                </c:pt>
                <c:pt idx="214">
                  <c:v>4.8955106405875547E-2</c:v>
                </c:pt>
                <c:pt idx="215">
                  <c:v>4.6645003698619548E-2</c:v>
                </c:pt>
                <c:pt idx="216">
                  <c:v>4.4360684276954082E-2</c:v>
                </c:pt>
                <c:pt idx="217">
                  <c:v>4.2102053445832073E-2</c:v>
                </c:pt>
                <c:pt idx="218">
                  <c:v>3.9869020905354817E-2</c:v>
                </c:pt>
                <c:pt idx="219">
                  <c:v>3.7691938608766982E-2</c:v>
                </c:pt>
                <c:pt idx="220">
                  <c:v>3.5567837631591548E-2</c:v>
                </c:pt>
                <c:pt idx="221">
                  <c:v>3.3496637559756633E-2</c:v>
                </c:pt>
                <c:pt idx="222">
                  <c:v>3.147826352255137E-2</c:v>
                </c:pt>
                <c:pt idx="223">
                  <c:v>2.9512646030538298E-2</c:v>
                </c:pt>
                <c:pt idx="224">
                  <c:v>2.7599720812579859E-2</c:v>
                </c:pt>
                <c:pt idx="225">
                  <c:v>2.578031349028026E-2</c:v>
                </c:pt>
                <c:pt idx="226">
                  <c:v>2.4032447535098467E-2</c:v>
                </c:pt>
                <c:pt idx="227">
                  <c:v>2.2356074553893185E-2</c:v>
                </c:pt>
                <c:pt idx="228">
                  <c:v>2.0751151486959708E-2</c:v>
                </c:pt>
                <c:pt idx="229">
                  <c:v>1.9217640386095372E-2</c:v>
                </c:pt>
                <c:pt idx="230">
                  <c:v>1.7755508193054631E-2</c:v>
                </c:pt>
                <c:pt idx="231">
                  <c:v>1.636472651801614E-2</c:v>
                </c:pt>
                <c:pt idx="232">
                  <c:v>1.5045271417663828E-2</c:v>
                </c:pt>
                <c:pt idx="233">
                  <c:v>1.3837967937466828E-2</c:v>
                </c:pt>
                <c:pt idx="234">
                  <c:v>1.2712367458802091E-2</c:v>
                </c:pt>
                <c:pt idx="235">
                  <c:v>1.1668469752608138E-2</c:v>
                </c:pt>
                <c:pt idx="236">
                  <c:v>1.070627876147278E-2</c:v>
                </c:pt>
                <c:pt idx="237">
                  <c:v>9.8257920504695589E-3</c:v>
                </c:pt>
                <c:pt idx="238">
                  <c:v>9.0270098715733455E-3</c:v>
                </c:pt>
                <c:pt idx="239">
                  <c:v>8.3357745020372388E-3</c:v>
                </c:pt>
                <c:pt idx="240">
                  <c:v>7.7111874999160569E-3</c:v>
                </c:pt>
                <c:pt idx="241">
                  <c:v>7.1532542481541452E-3</c:v>
                </c:pt>
                <c:pt idx="242">
                  <c:v>6.6619827171834414E-3</c:v>
                </c:pt>
                <c:pt idx="243">
                  <c:v>6.2373835827121728E-3</c:v>
                </c:pt>
                <c:pt idx="244">
                  <c:v>5.8794703434508549E-3</c:v>
                </c:pt>
                <c:pt idx="245">
                  <c:v>5.5882594387748966E-3</c:v>
                </c:pt>
                <c:pt idx="246">
                  <c:v>5.3637703663939858E-3</c:v>
                </c:pt>
                <c:pt idx="247">
                  <c:v>5.2217137301766997E-3</c:v>
                </c:pt>
                <c:pt idx="248">
                  <c:v>5.1212175965428047E-3</c:v>
                </c:pt>
                <c:pt idx="249">
                  <c:v>5.0622994264116093E-3</c:v>
                </c:pt>
                <c:pt idx="250">
                  <c:v>5.0449788459926027E-3</c:v>
                </c:pt>
                <c:pt idx="251">
                  <c:v>5.069277720181932E-3</c:v>
                </c:pt>
                <c:pt idx="252">
                  <c:v>5.1352202257412818E-3</c:v>
                </c:pt>
                <c:pt idx="253">
                  <c:v>5.2509171097366476E-3</c:v>
                </c:pt>
                <c:pt idx="254">
                  <c:v>5.3905062180251116E-3</c:v>
                </c:pt>
                <c:pt idx="255">
                  <c:v>5.5540075877042322E-3</c:v>
                </c:pt>
                <c:pt idx="256">
                  <c:v>5.7414427835106585E-3</c:v>
                </c:pt>
                <c:pt idx="257">
                  <c:v>5.9528349396717308E-3</c:v>
                </c:pt>
                <c:pt idx="258">
                  <c:v>6.1882088018060432E-3</c:v>
                </c:pt>
                <c:pt idx="259">
                  <c:v>6.447590768912906E-3</c:v>
                </c:pt>
                <c:pt idx="260">
                  <c:v>6.7310089351802398E-3</c:v>
                </c:pt>
                <c:pt idx="261">
                  <c:v>7.0561509389743954E-3</c:v>
                </c:pt>
                <c:pt idx="262">
                  <c:v>7.4073238125635203E-3</c:v>
                </c:pt>
                <c:pt idx="263">
                  <c:v>7.7845633500591331E-3</c:v>
                </c:pt>
                <c:pt idx="264">
                  <c:v>8.1879077468104116E-3</c:v>
                </c:pt>
                <c:pt idx="265">
                  <c:v>8.6174435106052532E-3</c:v>
                </c:pt>
                <c:pt idx="266">
                  <c:v>9.0732452444197125E-3</c:v>
                </c:pt>
                <c:pt idx="267">
                  <c:v>9.5542189761161911E-3</c:v>
                </c:pt>
                <c:pt idx="268">
                  <c:v>1.005228909517388E-2</c:v>
                </c:pt>
                <c:pt idx="269">
                  <c:v>1.0567489866842363E-2</c:v>
                </c:pt>
                <c:pt idx="270">
                  <c:v>1.1099855008802553E-2</c:v>
                </c:pt>
                <c:pt idx="271">
                  <c:v>1.1649417508576261E-2</c:v>
                </c:pt>
                <c:pt idx="272">
                  <c:v>1.2216209441206697E-2</c:v>
                </c:pt>
                <c:pt idx="273">
                  <c:v>1.2800261786799716E-2</c:v>
                </c:pt>
                <c:pt idx="274">
                  <c:v>1.3401604248219998E-2</c:v>
                </c:pt>
                <c:pt idx="275">
                  <c:v>1.3988007677284331E-2</c:v>
                </c:pt>
                <c:pt idx="276">
                  <c:v>1.4541687071634639E-2</c:v>
                </c:pt>
                <c:pt idx="277">
                  <c:v>1.5062591409521908E-2</c:v>
                </c:pt>
                <c:pt idx="278">
                  <c:v>1.5550665752330156E-2</c:v>
                </c:pt>
                <c:pt idx="279">
                  <c:v>1.6005851611205432E-2</c:v>
                </c:pt>
                <c:pt idx="280">
                  <c:v>1.6428087313829786E-2</c:v>
                </c:pt>
                <c:pt idx="281">
                  <c:v>1.6800047398405668E-2</c:v>
                </c:pt>
                <c:pt idx="282">
                  <c:v>1.7122784125667947E-2</c:v>
                </c:pt>
                <c:pt idx="283">
                  <c:v>1.7396203116292818E-2</c:v>
                </c:pt>
                <c:pt idx="284">
                  <c:v>1.7620208325599133E-2</c:v>
                </c:pt>
                <c:pt idx="285">
                  <c:v>1.7794702586557357E-2</c:v>
                </c:pt>
                <c:pt idx="286">
                  <c:v>1.7919588152967011E-2</c:v>
                </c:pt>
                <c:pt idx="287">
                  <c:v>1.7994767242461015E-2</c:v>
                </c:pt>
                <c:pt idx="288">
                  <c:v>1.8020142579575654E-2</c:v>
                </c:pt>
                <c:pt idx="289">
                  <c:v>1.7994616085637554E-2</c:v>
                </c:pt>
                <c:pt idx="290">
                  <c:v>1.7950597909259514E-2</c:v>
                </c:pt>
                <c:pt idx="291">
                  <c:v>1.7888042085331107E-2</c:v>
                </c:pt>
                <c:pt idx="292">
                  <c:v>1.7806903731701827E-2</c:v>
                </c:pt>
                <c:pt idx="293">
                  <c:v>1.7707139249091487E-2</c:v>
                </c:pt>
                <c:pt idx="294">
                  <c:v>1.7588706520930492E-2</c:v>
                </c:pt>
                <c:pt idx="295">
                  <c:v>1.7449954064279977E-2</c:v>
                </c:pt>
                <c:pt idx="296">
                  <c:v>1.730844064331272E-2</c:v>
                </c:pt>
                <c:pt idx="297">
                  <c:v>1.7164288981330905E-2</c:v>
                </c:pt>
                <c:pt idx="298">
                  <c:v>1.7017476700010813E-2</c:v>
                </c:pt>
                <c:pt idx="299">
                  <c:v>1.6867981895617903E-2</c:v>
                </c:pt>
                <c:pt idx="300">
                  <c:v>1.6715783163227232E-2</c:v>
                </c:pt>
                <c:pt idx="301">
                  <c:v>1.6560859620891905E-2</c:v>
                </c:pt>
                <c:pt idx="302">
                  <c:v>1.6403190933849496E-2</c:v>
                </c:pt>
                <c:pt idx="303">
                  <c:v>1.6246548745509206E-2</c:v>
                </c:pt>
                <c:pt idx="304">
                  <c:v>1.6091928271310584E-2</c:v>
                </c:pt>
                <c:pt idx="305">
                  <c:v>1.5939317810732771E-2</c:v>
                </c:pt>
                <c:pt idx="306">
                  <c:v>1.5788706248831979E-2</c:v>
                </c:pt>
                <c:pt idx="307">
                  <c:v>1.5640083036268616E-2</c:v>
                </c:pt>
                <c:pt idx="308">
                  <c:v>1.5493438169202534E-2</c:v>
                </c:pt>
                <c:pt idx="309">
                  <c:v>1.5360536181695444E-2</c:v>
                </c:pt>
                <c:pt idx="310">
                  <c:v>1.5243008466375788E-2</c:v>
                </c:pt>
                <c:pt idx="311">
                  <c:v>1.5140864474158591E-2</c:v>
                </c:pt>
                <c:pt idx="312">
                  <c:v>1.5054113511852256E-2</c:v>
                </c:pt>
                <c:pt idx="313">
                  <c:v>1.4982764599218596E-2</c:v>
                </c:pt>
                <c:pt idx="314">
                  <c:v>1.4926826325894496E-2</c:v>
                </c:pt>
                <c:pt idx="315">
                  <c:v>1.4886306708502328E-2</c:v>
                </c:pt>
                <c:pt idx="316">
                  <c:v>1.4861213047528609E-2</c:v>
                </c:pt>
                <c:pt idx="317">
                  <c:v>1.489237690780488E-2</c:v>
                </c:pt>
                <c:pt idx="318">
                  <c:v>1.497603380767451E-2</c:v>
                </c:pt>
                <c:pt idx="319">
                  <c:v>1.5112227294537782E-2</c:v>
                </c:pt>
                <c:pt idx="320">
                  <c:v>1.5300996293604449E-2</c:v>
                </c:pt>
                <c:pt idx="321">
                  <c:v>1.5542374626308674E-2</c:v>
                </c:pt>
                <c:pt idx="322">
                  <c:v>1.5836390528793143E-2</c:v>
                </c:pt>
                <c:pt idx="323">
                  <c:v>1.6226979704683425E-2</c:v>
                </c:pt>
                <c:pt idx="324">
                  <c:v>1.6702353197153439E-2</c:v>
                </c:pt>
                <c:pt idx="325">
                  <c:v>1.7262541892323471E-2</c:v>
                </c:pt>
                <c:pt idx="326">
                  <c:v>1.790745366781232E-2</c:v>
                </c:pt>
                <c:pt idx="327">
                  <c:v>1.8637043108529105E-2</c:v>
                </c:pt>
                <c:pt idx="328">
                  <c:v>1.9451341333189993E-2</c:v>
                </c:pt>
                <c:pt idx="329">
                  <c:v>2.0350372065784144E-2</c:v>
                </c:pt>
                <c:pt idx="330">
                  <c:v>2.1334153402644652E-2</c:v>
                </c:pt>
                <c:pt idx="331">
                  <c:v>2.2377902093478067E-2</c:v>
                </c:pt>
                <c:pt idx="332">
                  <c:v>2.3440643466226551E-2</c:v>
                </c:pt>
                <c:pt idx="333">
                  <c:v>2.4522374556599291E-2</c:v>
                </c:pt>
                <c:pt idx="334">
                  <c:v>2.5623099386213419E-2</c:v>
                </c:pt>
                <c:pt idx="335">
                  <c:v>2.674282936188678E-2</c:v>
                </c:pt>
                <c:pt idx="336">
                  <c:v>2.7881583674618956E-2</c:v>
                </c:pt>
                <c:pt idx="337">
                  <c:v>2.8986212989353406E-2</c:v>
                </c:pt>
                <c:pt idx="338">
                  <c:v>3.001274644540285E-2</c:v>
                </c:pt>
                <c:pt idx="339">
                  <c:v>3.0961222373869446E-2</c:v>
                </c:pt>
                <c:pt idx="340">
                  <c:v>3.183168926354682E-2</c:v>
                </c:pt>
                <c:pt idx="341">
                  <c:v>3.2624204139524826E-2</c:v>
                </c:pt>
                <c:pt idx="342">
                  <c:v>3.3338830941788251E-2</c:v>
                </c:pt>
                <c:pt idx="343">
                  <c:v>3.3975638903416643E-2</c:v>
                </c:pt>
                <c:pt idx="344">
                  <c:v>3.4534700929291826E-2</c:v>
                </c:pt>
                <c:pt idx="345">
                  <c:v>3.501609197446124E-2</c:v>
                </c:pt>
                <c:pt idx="346">
                  <c:v>3.5433984062052802E-2</c:v>
                </c:pt>
                <c:pt idx="347">
                  <c:v>3.5788454191717563E-2</c:v>
                </c:pt>
                <c:pt idx="348">
                  <c:v>3.6079577778634409E-2</c:v>
                </c:pt>
                <c:pt idx="349">
                  <c:v>3.6307427324728518E-2</c:v>
                </c:pt>
                <c:pt idx="350">
                  <c:v>3.6472071090731736E-2</c:v>
                </c:pt>
                <c:pt idx="351">
                  <c:v>3.6562849075747417E-2</c:v>
                </c:pt>
                <c:pt idx="352">
                  <c:v>3.6633038887100754E-2</c:v>
                </c:pt>
                <c:pt idx="353">
                  <c:v>3.6682710839338502E-2</c:v>
                </c:pt>
                <c:pt idx="354">
                  <c:v>3.6711932486929229E-2</c:v>
                </c:pt>
                <c:pt idx="355">
                  <c:v>3.6720768176864628E-2</c:v>
                </c:pt>
                <c:pt idx="356">
                  <c:v>3.6709303971352074E-2</c:v>
                </c:pt>
                <c:pt idx="357">
                  <c:v>3.6677514669179796E-2</c:v>
                </c:pt>
                <c:pt idx="358">
                  <c:v>3.6625282814091449E-2</c:v>
                </c:pt>
                <c:pt idx="359">
                  <c:v>3.6552487751694056E-2</c:v>
                </c:pt>
                <c:pt idx="360">
                  <c:v>3.6405657257348428E-2</c:v>
                </c:pt>
                <c:pt idx="361">
                  <c:v>3.6195354525476814E-2</c:v>
                </c:pt>
                <c:pt idx="362">
                  <c:v>3.5921395503115371E-2</c:v>
                </c:pt>
                <c:pt idx="363">
                  <c:v>3.5583591530093689E-2</c:v>
                </c:pt>
                <c:pt idx="364">
                  <c:v>3.5181750979995992E-2</c:v>
                </c:pt>
                <c:pt idx="365">
                  <c:v>3.4715680900661836E-2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6.4399420629365725E-2</c:v>
                </c:pt>
                <c:pt idx="1">
                  <c:v>6.4273599255061528E-2</c:v>
                </c:pt>
                <c:pt idx="2">
                  <c:v>6.4069731745978645E-2</c:v>
                </c:pt>
                <c:pt idx="3">
                  <c:v>6.3787539085871134E-2</c:v>
                </c:pt>
                <c:pt idx="4">
                  <c:v>6.3426743429782037E-2</c:v>
                </c:pt>
                <c:pt idx="5">
                  <c:v>6.298707010101913E-2</c:v>
                </c:pt>
                <c:pt idx="6">
                  <c:v>6.2468249588937368E-2</c:v>
                </c:pt>
                <c:pt idx="7">
                  <c:v>6.1870019545294135E-2</c:v>
                </c:pt>
                <c:pt idx="8">
                  <c:v>6.1192126781501044E-2</c:v>
                </c:pt>
                <c:pt idx="9">
                  <c:v>6.0401269161115968E-2</c:v>
                </c:pt>
                <c:pt idx="10">
                  <c:v>5.9537789407732404E-2</c:v>
                </c:pt>
                <c:pt idx="11">
                  <c:v>5.860148486267136E-2</c:v>
                </c:pt>
                <c:pt idx="12">
                  <c:v>5.7592169472596301E-2</c:v>
                </c:pt>
                <c:pt idx="13">
                  <c:v>5.6509675595080806E-2</c:v>
                </c:pt>
                <c:pt idx="14">
                  <c:v>5.5353855803216008E-2</c:v>
                </c:pt>
                <c:pt idx="15">
                  <c:v>5.4093503798668036E-2</c:v>
                </c:pt>
                <c:pt idx="16">
                  <c:v>5.2766533757918212E-2</c:v>
                </c:pt>
                <c:pt idx="17">
                  <c:v>5.137287814901853E-2</c:v>
                </c:pt>
                <c:pt idx="18">
                  <c:v>4.9912495748879161E-2</c:v>
                </c:pt>
                <c:pt idx="19">
                  <c:v>4.8385643161827918E-2</c:v>
                </c:pt>
                <c:pt idx="20">
                  <c:v>4.6792688913398835E-2</c:v>
                </c:pt>
                <c:pt idx="21">
                  <c:v>4.5133781877292244E-2</c:v>
                </c:pt>
                <c:pt idx="22">
                  <c:v>4.3409072292935981E-2</c:v>
                </c:pt>
                <c:pt idx="23">
                  <c:v>4.1693393794366852E-2</c:v>
                </c:pt>
                <c:pt idx="24">
                  <c:v>4.0020101976030988E-2</c:v>
                </c:pt>
                <c:pt idx="25">
                  <c:v>3.8389360199148279E-2</c:v>
                </c:pt>
                <c:pt idx="26">
                  <c:v>3.6801318398829642E-2</c:v>
                </c:pt>
                <c:pt idx="27">
                  <c:v>3.5256113628280961E-2</c:v>
                </c:pt>
                <c:pt idx="28">
                  <c:v>3.375387060382997E-2</c:v>
                </c:pt>
                <c:pt idx="29">
                  <c:v>3.2368786829336832E-2</c:v>
                </c:pt>
                <c:pt idx="30">
                  <c:v>3.1132091341894975E-2</c:v>
                </c:pt>
                <c:pt idx="31">
                  <c:v>3.0043861181073356E-2</c:v>
                </c:pt>
                <c:pt idx="32">
                  <c:v>2.9104156681342419E-2</c:v>
                </c:pt>
                <c:pt idx="33">
                  <c:v>2.8313023331971002E-2</c:v>
                </c:pt>
                <c:pt idx="34">
                  <c:v>2.7670493637056221E-2</c:v>
                </c:pt>
                <c:pt idx="35">
                  <c:v>2.7176588975518872E-2</c:v>
                </c:pt>
                <c:pt idx="36">
                  <c:v>2.6831321461040798E-2</c:v>
                </c:pt>
                <c:pt idx="37">
                  <c:v>2.6635159688541854E-2</c:v>
                </c:pt>
                <c:pt idx="38">
                  <c:v>2.6513446620591945E-2</c:v>
                </c:pt>
                <c:pt idx="39">
                  <c:v>2.6466197372108813E-2</c:v>
                </c:pt>
                <c:pt idx="40">
                  <c:v>2.6493425660296749E-2</c:v>
                </c:pt>
                <c:pt idx="41">
                  <c:v>2.6595144736756792E-2</c:v>
                </c:pt>
                <c:pt idx="42">
                  <c:v>2.6771368319413961E-2</c:v>
                </c:pt>
                <c:pt idx="43">
                  <c:v>2.7019005816672586E-2</c:v>
                </c:pt>
                <c:pt idx="44">
                  <c:v>2.7264069594399309E-2</c:v>
                </c:pt>
                <c:pt idx="45">
                  <c:v>2.7506597720452441E-2</c:v>
                </c:pt>
                <c:pt idx="46">
                  <c:v>2.7746629409591338E-2</c:v>
                </c:pt>
                <c:pt idx="47">
                  <c:v>2.7984204990616351E-2</c:v>
                </c:pt>
                <c:pt idx="48">
                  <c:v>2.8219365873150399E-2</c:v>
                </c:pt>
                <c:pt idx="49">
                  <c:v>2.8452154514669915E-2</c:v>
                </c:pt>
                <c:pt idx="50">
                  <c:v>2.8682614387364858E-2</c:v>
                </c:pt>
                <c:pt idx="51">
                  <c:v>2.8889133493555614E-2</c:v>
                </c:pt>
                <c:pt idx="52">
                  <c:v>2.9071134186401597E-2</c:v>
                </c:pt>
                <c:pt idx="53">
                  <c:v>2.9228466105914563E-2</c:v>
                </c:pt>
                <c:pt idx="54">
                  <c:v>2.9361120319866107E-2</c:v>
                </c:pt>
                <c:pt idx="55">
                  <c:v>2.9469087254538007E-2</c:v>
                </c:pt>
                <c:pt idx="56">
                  <c:v>2.9552356786316319E-2</c:v>
                </c:pt>
                <c:pt idx="57">
                  <c:v>2.9571687381071684E-2</c:v>
                </c:pt>
                <c:pt idx="58">
                  <c:v>2.9530171835567526E-2</c:v>
                </c:pt>
                <c:pt idx="59">
                  <c:v>2.942779812050611E-2</c:v>
                </c:pt>
                <c:pt idx="60">
                  <c:v>2.9264553939682348E-2</c:v>
                </c:pt>
                <c:pt idx="61">
                  <c:v>2.9040426955253006E-2</c:v>
                </c:pt>
                <c:pt idx="62">
                  <c:v>2.8755405012962237E-2</c:v>
                </c:pt>
                <c:pt idx="63">
                  <c:v>2.8409476367454538E-2</c:v>
                </c:pt>
                <c:pt idx="64">
                  <c:v>2.8002629907472109E-2</c:v>
                </c:pt>
                <c:pt idx="65">
                  <c:v>2.7528827515653869E-2</c:v>
                </c:pt>
                <c:pt idx="66">
                  <c:v>2.7009717352246027E-2</c:v>
                </c:pt>
                <c:pt idx="67">
                  <c:v>2.6445291650567398E-2</c:v>
                </c:pt>
                <c:pt idx="68">
                  <c:v>2.5835543971752296E-2</c:v>
                </c:pt>
                <c:pt idx="69">
                  <c:v>2.5180469372103154E-2</c:v>
                </c:pt>
                <c:pt idx="70">
                  <c:v>2.4480064570569334E-2</c:v>
                </c:pt>
                <c:pt idx="71">
                  <c:v>2.3752224106892431E-2</c:v>
                </c:pt>
                <c:pt idx="72">
                  <c:v>2.3036179453748955E-2</c:v>
                </c:pt>
                <c:pt idx="73">
                  <c:v>2.233192997958101E-2</c:v>
                </c:pt>
                <c:pt idx="74">
                  <c:v>2.1639475807167241E-2</c:v>
                </c:pt>
                <c:pt idx="75">
                  <c:v>2.095881776975032E-2</c:v>
                </c:pt>
                <c:pt idx="76">
                  <c:v>2.0289957367095181E-2</c:v>
                </c:pt>
                <c:pt idx="77">
                  <c:v>1.9632896721617586E-2</c:v>
                </c:pt>
                <c:pt idx="78">
                  <c:v>1.8987639164851817E-2</c:v>
                </c:pt>
                <c:pt idx="79">
                  <c:v>1.8361300409265594E-2</c:v>
                </c:pt>
                <c:pt idx="80">
                  <c:v>1.7759950266867754E-2</c:v>
                </c:pt>
                <c:pt idx="81">
                  <c:v>1.7183579816240371E-2</c:v>
                </c:pt>
                <c:pt idx="82">
                  <c:v>1.6632180833414351E-2</c:v>
                </c:pt>
                <c:pt idx="83">
                  <c:v>1.6105745711988331E-2</c:v>
                </c:pt>
                <c:pt idx="84">
                  <c:v>1.5604267383302362E-2</c:v>
                </c:pt>
                <c:pt idx="85">
                  <c:v>1.5145846513407885E-2</c:v>
                </c:pt>
                <c:pt idx="86">
                  <c:v>1.4712588560905992E-2</c:v>
                </c:pt>
                <c:pt idx="87">
                  <c:v>1.4304487428898853E-2</c:v>
                </c:pt>
                <c:pt idx="88">
                  <c:v>1.3921537212048673E-2</c:v>
                </c:pt>
                <c:pt idx="89">
                  <c:v>1.3563732116010535E-2</c:v>
                </c:pt>
                <c:pt idx="90">
                  <c:v>1.323106637683664E-2</c:v>
                </c:pt>
                <c:pt idx="91">
                  <c:v>1.2923534180432752E-2</c:v>
                </c:pt>
                <c:pt idx="92">
                  <c:v>1.2641129581976517E-2</c:v>
                </c:pt>
                <c:pt idx="93">
                  <c:v>1.2417826464162082E-2</c:v>
                </c:pt>
                <c:pt idx="94">
                  <c:v>1.2246575895934008E-2</c:v>
                </c:pt>
                <c:pt idx="95">
                  <c:v>1.2127363584050503E-2</c:v>
                </c:pt>
                <c:pt idx="96">
                  <c:v>1.206017390052478E-2</c:v>
                </c:pt>
                <c:pt idx="97">
                  <c:v>1.2044989715734712E-2</c:v>
                </c:pt>
                <c:pt idx="98">
                  <c:v>1.2081792231423848E-2</c:v>
                </c:pt>
                <c:pt idx="99">
                  <c:v>1.2222461466049328E-2</c:v>
                </c:pt>
                <c:pt idx="100">
                  <c:v>1.2448871212023189E-2</c:v>
                </c:pt>
                <c:pt idx="101">
                  <c:v>1.2760983200820248E-2</c:v>
                </c:pt>
                <c:pt idx="102">
                  <c:v>1.3158755318116428E-2</c:v>
                </c:pt>
                <c:pt idx="103">
                  <c:v>1.3642141328233839E-2</c:v>
                </c:pt>
                <c:pt idx="104">
                  <c:v>1.4211090598887513E-2</c:v>
                </c:pt>
                <c:pt idx="105">
                  <c:v>1.4865547825654163E-2</c:v>
                </c:pt>
                <c:pt idx="106">
                  <c:v>1.5605452756599388E-2</c:v>
                </c:pt>
                <c:pt idx="107">
                  <c:v>1.648084615273002E-2</c:v>
                </c:pt>
                <c:pt idx="108">
                  <c:v>1.7457713915530519E-2</c:v>
                </c:pt>
                <c:pt idx="109">
                  <c:v>1.8535968743518465E-2</c:v>
                </c:pt>
                <c:pt idx="110">
                  <c:v>1.9715572431471328E-2</c:v>
                </c:pt>
                <c:pt idx="111">
                  <c:v>2.0996495472040282E-2</c:v>
                </c:pt>
                <c:pt idx="112">
                  <c:v>2.2378655577221185E-2</c:v>
                </c:pt>
                <c:pt idx="113">
                  <c:v>2.389845728733361E-2</c:v>
                </c:pt>
                <c:pt idx="114">
                  <c:v>2.5504016960079024E-2</c:v>
                </c:pt>
                <c:pt idx="115">
                  <c:v>2.7195249419343471E-2</c:v>
                </c:pt>
                <c:pt idx="116">
                  <c:v>2.8972065379455E-2</c:v>
                </c:pt>
                <c:pt idx="117">
                  <c:v>3.0834371256158368E-2</c:v>
                </c:pt>
                <c:pt idx="118">
                  <c:v>3.2782068977336813E-2</c:v>
                </c:pt>
                <c:pt idx="119">
                  <c:v>3.4815055793802153E-2</c:v>
                </c:pt>
                <c:pt idx="120">
                  <c:v>3.6933224090025481E-2</c:v>
                </c:pt>
                <c:pt idx="121">
                  <c:v>3.9163596498695274E-2</c:v>
                </c:pt>
                <c:pt idx="122">
                  <c:v>4.1456092894944362E-2</c:v>
                </c:pt>
                <c:pt idx="123">
                  <c:v>4.381060773538125E-2</c:v>
                </c:pt>
                <c:pt idx="124">
                  <c:v>4.6227030802869801E-2</c:v>
                </c:pt>
                <c:pt idx="125">
                  <c:v>4.8705247067652502E-2</c:v>
                </c:pt>
                <c:pt idx="126">
                  <c:v>5.1245136547878878E-2</c:v>
                </c:pt>
                <c:pt idx="127">
                  <c:v>5.3849973153588006E-2</c:v>
                </c:pt>
                <c:pt idx="128">
                  <c:v>5.6483273019897549E-2</c:v>
                </c:pt>
                <c:pt idx="129">
                  <c:v>5.9144931516596756E-2</c:v>
                </c:pt>
                <c:pt idx="130">
                  <c:v>6.1834840170786311E-2</c:v>
                </c:pt>
                <c:pt idx="131">
                  <c:v>6.4552886599412537E-2</c:v>
                </c:pt>
                <c:pt idx="132">
                  <c:v>6.7298954442280484E-2</c:v>
                </c:pt>
                <c:pt idx="133">
                  <c:v>7.0072923295491016E-2</c:v>
                </c:pt>
                <c:pt idx="134">
                  <c:v>7.2874668644590232E-2</c:v>
                </c:pt>
                <c:pt idx="135">
                  <c:v>7.569519309424079E-2</c:v>
                </c:pt>
                <c:pt idx="136">
                  <c:v>7.8507367238826634E-2</c:v>
                </c:pt>
                <c:pt idx="137">
                  <c:v>8.131109602485094E-2</c:v>
                </c:pt>
                <c:pt idx="138">
                  <c:v>8.4106282228255849E-2</c:v>
                </c:pt>
                <c:pt idx="139">
                  <c:v>8.6892826468502382E-2</c:v>
                </c:pt>
                <c:pt idx="140">
                  <c:v>8.9670627218012222E-2</c:v>
                </c:pt>
                <c:pt idx="141">
                  <c:v>9.2410754227224168E-2</c:v>
                </c:pt>
                <c:pt idx="142">
                  <c:v>9.5109236432212238E-2</c:v>
                </c:pt>
                <c:pt idx="143">
                  <c:v>9.7765529823603967E-2</c:v>
                </c:pt>
                <c:pt idx="144">
                  <c:v>0.10037964976242207</c:v>
                </c:pt>
                <c:pt idx="145">
                  <c:v>0.10295163054762009</c:v>
                </c:pt>
                <c:pt idx="146">
                  <c:v>0.10548152490838529</c:v>
                </c:pt>
                <c:pt idx="147">
                  <c:v>0.10796940349983725</c:v>
                </c:pt>
                <c:pt idx="148">
                  <c:v>0.11041535439633075</c:v>
                </c:pt>
                <c:pt idx="149">
                  <c:v>0.11277831899026299</c:v>
                </c:pt>
                <c:pt idx="150">
                  <c:v>0.11506729644651896</c:v>
                </c:pt>
                <c:pt idx="151">
                  <c:v>0.11728248314482155</c:v>
                </c:pt>
                <c:pt idx="152">
                  <c:v>0.11942409243596985</c:v>
                </c:pt>
                <c:pt idx="153">
                  <c:v>0.12149235369902615</c:v>
                </c:pt>
                <c:pt idx="154">
                  <c:v>0.12348751139913301</c:v>
                </c:pt>
                <c:pt idx="155">
                  <c:v>0.1253560468506181</c:v>
                </c:pt>
                <c:pt idx="156">
                  <c:v>0.12712691896424808</c:v>
                </c:pt>
                <c:pt idx="157">
                  <c:v>0.1288004600138539</c:v>
                </c:pt>
                <c:pt idx="158">
                  <c:v>0.13037701347635997</c:v>
                </c:pt>
                <c:pt idx="159">
                  <c:v>0.13185693274798752</c:v>
                </c:pt>
                <c:pt idx="160">
                  <c:v>0.13324057986205298</c:v>
                </c:pt>
                <c:pt idx="161">
                  <c:v>0.13452832420530095</c:v>
                </c:pt>
                <c:pt idx="162">
                  <c:v>0.13572054123493196</c:v>
                </c:pt>
                <c:pt idx="163">
                  <c:v>0.13676024452990873</c:v>
                </c:pt>
                <c:pt idx="164">
                  <c:v>0.13768870582606088</c:v>
                </c:pt>
                <c:pt idx="165">
                  <c:v>0.13850633983329105</c:v>
                </c:pt>
                <c:pt idx="166">
                  <c:v>0.13921356092408868</c:v>
                </c:pt>
                <c:pt idx="167">
                  <c:v>0.13981078162294999</c:v>
                </c:pt>
                <c:pt idx="168">
                  <c:v>0.14029841110022229</c:v>
                </c:pt>
                <c:pt idx="169">
                  <c:v>0.14061969020492479</c:v>
                </c:pt>
                <c:pt idx="170">
                  <c:v>0.14082839838273639</c:v>
                </c:pt>
                <c:pt idx="171">
                  <c:v>0.14092492897116254</c:v>
                </c:pt>
                <c:pt idx="172">
                  <c:v>0.14090966519342396</c:v>
                </c:pt>
                <c:pt idx="173">
                  <c:v>0.14078153894790105</c:v>
                </c:pt>
                <c:pt idx="174">
                  <c:v>0.14053940256403161</c:v>
                </c:pt>
                <c:pt idx="175">
                  <c:v>0.14018351122441217</c:v>
                </c:pt>
                <c:pt idx="176">
                  <c:v>0.13971411936129755</c:v>
                </c:pt>
                <c:pt idx="177">
                  <c:v>0.1390783820505366</c:v>
                </c:pt>
                <c:pt idx="178">
                  <c:v>0.1383335302800599</c:v>
                </c:pt>
                <c:pt idx="179">
                  <c:v>0.1374798060621043</c:v>
                </c:pt>
                <c:pt idx="180">
                  <c:v>0.13651744793426449</c:v>
                </c:pt>
                <c:pt idx="181">
                  <c:v>0.13544669031282366</c:v>
                </c:pt>
                <c:pt idx="182">
                  <c:v>0.13426776284729081</c:v>
                </c:pt>
                <c:pt idx="183">
                  <c:v>0.13294051381970376</c:v>
                </c:pt>
                <c:pt idx="184">
                  <c:v>0.1315219526686873</c:v>
                </c:pt>
                <c:pt idx="185">
                  <c:v>0.13001226693502468</c:v>
                </c:pt>
                <c:pt idx="186">
                  <c:v>0.12841163738117392</c:v>
                </c:pt>
                <c:pt idx="187">
                  <c:v>0.12672023744243585</c:v>
                </c:pt>
                <c:pt idx="188">
                  <c:v>0.12493823267880326</c:v>
                </c:pt>
                <c:pt idx="189">
                  <c:v>0.12306578022294101</c:v>
                </c:pt>
                <c:pt idx="190">
                  <c:v>0.12110302823356045</c:v>
                </c:pt>
                <c:pt idx="191">
                  <c:v>0.11902205853834931</c:v>
                </c:pt>
                <c:pt idx="192">
                  <c:v>0.11687576225850298</c:v>
                </c:pt>
                <c:pt idx="193">
                  <c:v>0.11466422661241758</c:v>
                </c:pt>
                <c:pt idx="194">
                  <c:v>0.11238752928853324</c:v>
                </c:pt>
                <c:pt idx="195">
                  <c:v>0.11004573804442448</c:v>
                </c:pt>
                <c:pt idx="196">
                  <c:v>0.10763891030142825</c:v>
                </c:pt>
                <c:pt idx="197">
                  <c:v>0.10515850168308499</c:v>
                </c:pt>
                <c:pt idx="198">
                  <c:v>0.1026446801731038</c:v>
                </c:pt>
                <c:pt idx="199">
                  <c:v>0.100097438649076</c:v>
                </c:pt>
                <c:pt idx="200">
                  <c:v>9.7516760882582432E-2</c:v>
                </c:pt>
                <c:pt idx="201">
                  <c:v>9.4902621321531419E-2</c:v>
                </c:pt>
                <c:pt idx="202">
                  <c:v>9.2254984873174503E-2</c:v>
                </c:pt>
                <c:pt idx="203">
                  <c:v>8.9573806689176971E-2</c:v>
                </c:pt>
                <c:pt idx="204">
                  <c:v>8.685889168472867E-2</c:v>
                </c:pt>
                <c:pt idx="205">
                  <c:v>8.4113277745737916E-2</c:v>
                </c:pt>
                <c:pt idx="206">
                  <c:v>8.1364768030510556E-2</c:v>
                </c:pt>
                <c:pt idx="207">
                  <c:v>7.8613227006119515E-2</c:v>
                </c:pt>
                <c:pt idx="208">
                  <c:v>7.5858522096874242E-2</c:v>
                </c:pt>
                <c:pt idx="209">
                  <c:v>7.3100523699751688E-2</c:v>
                </c:pt>
                <c:pt idx="210">
                  <c:v>7.03391052023951E-2</c:v>
                </c:pt>
                <c:pt idx="211">
                  <c:v>6.7600225479928389E-2</c:v>
                </c:pt>
                <c:pt idx="212">
                  <c:v>6.4892313796465276E-2</c:v>
                </c:pt>
                <c:pt idx="213">
                  <c:v>6.2215240221949686E-2</c:v>
                </c:pt>
                <c:pt idx="214">
                  <c:v>5.9568880243355327E-2</c:v>
                </c:pt>
                <c:pt idx="215">
                  <c:v>5.6953114673770587E-2</c:v>
                </c:pt>
                <c:pt idx="216">
                  <c:v>5.4367829561233129E-2</c:v>
                </c:pt>
                <c:pt idx="217">
                  <c:v>5.1812916097767871E-2</c:v>
                </c:pt>
                <c:pt idx="218">
                  <c:v>4.9288270528095375E-2</c:v>
                </c:pt>
                <c:pt idx="219">
                  <c:v>4.6828775337859001E-2</c:v>
                </c:pt>
                <c:pt idx="220">
                  <c:v>4.4431061156553701E-2</c:v>
                </c:pt>
                <c:pt idx="221">
                  <c:v>4.2095035573852572E-2</c:v>
                </c:pt>
                <c:pt idx="222">
                  <c:v>3.9820612543807844E-2</c:v>
                </c:pt>
                <c:pt idx="223">
                  <c:v>3.7607712195951576E-2</c:v>
                </c:pt>
                <c:pt idx="224">
                  <c:v>3.5456260645291809E-2</c:v>
                </c:pt>
                <c:pt idx="225">
                  <c:v>3.3414157844650898E-2</c:v>
                </c:pt>
                <c:pt idx="226">
                  <c:v>3.145528448381215E-2</c:v>
                </c:pt>
                <c:pt idx="227">
                  <c:v>2.9579584898298924E-2</c:v>
                </c:pt>
                <c:pt idx="228">
                  <c:v>2.7787009534603158E-2</c:v>
                </c:pt>
                <c:pt idx="229">
                  <c:v>2.6077514692031577E-2</c:v>
                </c:pt>
                <c:pt idx="230">
                  <c:v>2.4451062265060591E-2</c:v>
                </c:pt>
                <c:pt idx="231">
                  <c:v>2.2907619485720305E-2</c:v>
                </c:pt>
                <c:pt idx="232">
                  <c:v>2.1447158665448243E-2</c:v>
                </c:pt>
                <c:pt idx="233">
                  <c:v>2.0119295102152105E-2</c:v>
                </c:pt>
                <c:pt idx="234">
                  <c:v>1.8889035389756274E-2</c:v>
                </c:pt>
                <c:pt idx="235">
                  <c:v>1.7756382964910323E-2</c:v>
                </c:pt>
                <c:pt idx="236">
                  <c:v>1.6721347750475856E-2</c:v>
                </c:pt>
                <c:pt idx="237">
                  <c:v>1.5783929817053097E-2</c:v>
                </c:pt>
                <c:pt idx="238">
                  <c:v>1.4944132524422967E-2</c:v>
                </c:pt>
                <c:pt idx="239">
                  <c:v>1.4234455626728862E-2</c:v>
                </c:pt>
                <c:pt idx="240">
                  <c:v>1.3606919050583024E-2</c:v>
                </c:pt>
                <c:pt idx="241">
                  <c:v>1.3061533285982403E-2</c:v>
                </c:pt>
                <c:pt idx="242">
                  <c:v>1.2598312109545375E-2</c:v>
                </c:pt>
                <c:pt idx="243">
                  <c:v>1.2217272729622959E-2</c:v>
                </c:pt>
                <c:pt idx="244">
                  <c:v>1.19184359313132E-2</c:v>
                </c:pt>
                <c:pt idx="245">
                  <c:v>1.1701826221349616E-2</c:v>
                </c:pt>
                <c:pt idx="246">
                  <c:v>1.1567471972984448E-2</c:v>
                </c:pt>
                <c:pt idx="247">
                  <c:v>1.1532727665922676E-2</c:v>
                </c:pt>
                <c:pt idx="248">
                  <c:v>1.1547926293240545E-2</c:v>
                </c:pt>
                <c:pt idx="249">
                  <c:v>1.1613093314214526E-2</c:v>
                </c:pt>
                <c:pt idx="250">
                  <c:v>1.1728256880707224E-2</c:v>
                </c:pt>
                <c:pt idx="251">
                  <c:v>1.18934479253606E-2</c:v>
                </c:pt>
                <c:pt idx="252">
                  <c:v>1.2108700249295556E-2</c:v>
                </c:pt>
                <c:pt idx="253">
                  <c:v>1.2380790936270697E-2</c:v>
                </c:pt>
                <c:pt idx="254">
                  <c:v>1.2677199330370608E-2</c:v>
                </c:pt>
                <c:pt idx="255">
                  <c:v>1.2997951521514756E-2</c:v>
                </c:pt>
                <c:pt idx="256">
                  <c:v>1.3343075254247093E-2</c:v>
                </c:pt>
                <c:pt idx="257">
                  <c:v>1.3712599970039027E-2</c:v>
                </c:pt>
                <c:pt idx="258">
                  <c:v>1.4106556849709568E-2</c:v>
                </c:pt>
                <c:pt idx="259">
                  <c:v>1.4524978856046837E-2</c:v>
                </c:pt>
                <c:pt idx="260">
                  <c:v>1.4967900776010609E-2</c:v>
                </c:pt>
                <c:pt idx="261">
                  <c:v>1.5452521919194308E-2</c:v>
                </c:pt>
                <c:pt idx="262">
                  <c:v>1.5961516227876133E-2</c:v>
                </c:pt>
                <c:pt idx="263">
                  <c:v>1.6494924606205323E-2</c:v>
                </c:pt>
                <c:pt idx="264">
                  <c:v>1.7052790768344213E-2</c:v>
                </c:pt>
                <c:pt idx="265">
                  <c:v>1.7635255072102722E-2</c:v>
                </c:pt>
                <c:pt idx="266">
                  <c:v>1.8242425099601594E-2</c:v>
                </c:pt>
                <c:pt idx="267">
                  <c:v>1.8868549504288432E-2</c:v>
                </c:pt>
                <c:pt idx="268">
                  <c:v>1.9506892766671672E-2</c:v>
                </c:pt>
                <c:pt idx="269">
                  <c:v>2.0157479886836287E-2</c:v>
                </c:pt>
                <c:pt idx="270">
                  <c:v>2.0820334208445521E-2</c:v>
                </c:pt>
                <c:pt idx="271">
                  <c:v>2.1495477292697403E-2</c:v>
                </c:pt>
                <c:pt idx="272">
                  <c:v>2.2182928792811547E-2</c:v>
                </c:pt>
                <c:pt idx="273">
                  <c:v>2.2882706328254409E-2</c:v>
                </c:pt>
                <c:pt idx="274">
                  <c:v>2.3594825359248988E-2</c:v>
                </c:pt>
                <c:pt idx="275">
                  <c:v>2.4281466866337347E-2</c:v>
                </c:pt>
                <c:pt idx="276">
                  <c:v>2.4925319908071369E-2</c:v>
                </c:pt>
                <c:pt idx="277">
                  <c:v>2.5526309165138206E-2</c:v>
                </c:pt>
                <c:pt idx="278">
                  <c:v>2.6084354562518869E-2</c:v>
                </c:pt>
                <c:pt idx="279">
                  <c:v>2.6599371748560419E-2</c:v>
                </c:pt>
                <c:pt idx="280">
                  <c:v>2.7071272574292007E-2</c:v>
                </c:pt>
                <c:pt idx="281">
                  <c:v>2.7479017791384064E-2</c:v>
                </c:pt>
                <c:pt idx="282">
                  <c:v>2.7828313731131319E-2</c:v>
                </c:pt>
                <c:pt idx="283">
                  <c:v>2.8119039921740658E-2</c:v>
                </c:pt>
                <c:pt idx="284">
                  <c:v>2.8351074079715679E-2</c:v>
                </c:pt>
                <c:pt idx="285">
                  <c:v>2.8524292754387615E-2</c:v>
                </c:pt>
                <c:pt idx="286">
                  <c:v>2.863857197271728E-2</c:v>
                </c:pt>
                <c:pt idx="287">
                  <c:v>2.8693787883817545E-2</c:v>
                </c:pt>
                <c:pt idx="288">
                  <c:v>2.8689817403582285E-2</c:v>
                </c:pt>
                <c:pt idx="289">
                  <c:v>2.8623523598750134E-2</c:v>
                </c:pt>
                <c:pt idx="290">
                  <c:v>2.8532906432703189E-2</c:v>
                </c:pt>
                <c:pt idx="291">
                  <c:v>2.841790088493527E-2</c:v>
                </c:pt>
                <c:pt idx="292">
                  <c:v>2.8278443509687889E-2</c:v>
                </c:pt>
                <c:pt idx="293">
                  <c:v>2.8114472698198067E-2</c:v>
                </c:pt>
                <c:pt idx="294">
                  <c:v>2.7925928940834625E-2</c:v>
                </c:pt>
                <c:pt idx="295">
                  <c:v>2.7713209357712727E-2</c:v>
                </c:pt>
                <c:pt idx="296">
                  <c:v>2.7497697155420595E-2</c:v>
                </c:pt>
                <c:pt idx="297">
                  <c:v>2.7279589508637542E-2</c:v>
                </c:pt>
                <c:pt idx="298">
                  <c:v>2.7058853238906718E-2</c:v>
                </c:pt>
                <c:pt idx="299">
                  <c:v>2.683545593416907E-2</c:v>
                </c:pt>
                <c:pt idx="300">
                  <c:v>2.6609365972585064E-2</c:v>
                </c:pt>
                <c:pt idx="301">
                  <c:v>2.6380552546273878E-2</c:v>
                </c:pt>
                <c:pt idx="302">
                  <c:v>2.6148985685112969E-2</c:v>
                </c:pt>
                <c:pt idx="303">
                  <c:v>2.5986968012504847E-2</c:v>
                </c:pt>
                <c:pt idx="304">
                  <c:v>2.5897611391116068E-2</c:v>
                </c:pt>
                <c:pt idx="305">
                  <c:v>2.5880996002492402E-2</c:v>
                </c:pt>
                <c:pt idx="306">
                  <c:v>2.5937201997463036E-2</c:v>
                </c:pt>
                <c:pt idx="307">
                  <c:v>2.6066308826064939E-2</c:v>
                </c:pt>
                <c:pt idx="308">
                  <c:v>2.6268394567249203E-2</c:v>
                </c:pt>
                <c:pt idx="309">
                  <c:v>2.6616671226727045E-2</c:v>
                </c:pt>
                <c:pt idx="310">
                  <c:v>2.7110857969523356E-2</c:v>
                </c:pt>
                <c:pt idx="311">
                  <c:v>2.7751121884909458E-2</c:v>
                </c:pt>
                <c:pt idx="312">
                  <c:v>2.8537622669367536E-2</c:v>
                </c:pt>
                <c:pt idx="313">
                  <c:v>2.9470511289295554E-2</c:v>
                </c:pt>
                <c:pt idx="314">
                  <c:v>3.0549928643454755E-2</c:v>
                </c:pt>
                <c:pt idx="315">
                  <c:v>3.1776004225784027E-2</c:v>
                </c:pt>
                <c:pt idx="316">
                  <c:v>3.314885478775733E-2</c:v>
                </c:pt>
                <c:pt idx="317">
                  <c:v>3.4637995406976145E-2</c:v>
                </c:pt>
                <c:pt idx="318">
                  <c:v>3.6170664436886074E-2</c:v>
                </c:pt>
                <c:pt idx="319">
                  <c:v>3.7746819377127989E-2</c:v>
                </c:pt>
                <c:pt idx="320">
                  <c:v>3.936640864229856E-2</c:v>
                </c:pt>
                <c:pt idx="321">
                  <c:v>4.1029371170440539E-2</c:v>
                </c:pt>
                <c:pt idx="322">
                  <c:v>4.2735636031738973E-2</c:v>
                </c:pt>
                <c:pt idx="323">
                  <c:v>4.4452444631218023E-2</c:v>
                </c:pt>
                <c:pt idx="324">
                  <c:v>4.6106116400547216E-2</c:v>
                </c:pt>
                <c:pt idx="325">
                  <c:v>4.7696462118888637E-2</c:v>
                </c:pt>
                <c:pt idx="326">
                  <c:v>4.9222987358973978E-2</c:v>
                </c:pt>
                <c:pt idx="327">
                  <c:v>5.0685373130286128E-2</c:v>
                </c:pt>
                <c:pt idx="328">
                  <c:v>5.2083560441115138E-2</c:v>
                </c:pt>
                <c:pt idx="329">
                  <c:v>5.3417512419721175E-2</c:v>
                </c:pt>
                <c:pt idx="330">
                  <c:v>5.468721299449663E-2</c:v>
                </c:pt>
                <c:pt idx="331">
                  <c:v>5.5855099430446697E-2</c:v>
                </c:pt>
                <c:pt idx="332">
                  <c:v>5.6951885557230443E-2</c:v>
                </c:pt>
                <c:pt idx="333">
                  <c:v>5.7977609993027569E-2</c:v>
                </c:pt>
                <c:pt idx="334">
                  <c:v>5.8932327166308689E-2</c:v>
                </c:pt>
                <c:pt idx="335">
                  <c:v>5.9816105854085533E-2</c:v>
                </c:pt>
                <c:pt idx="336">
                  <c:v>6.0629027719409423E-2</c:v>
                </c:pt>
                <c:pt idx="337">
                  <c:v>6.133097904626339E-2</c:v>
                </c:pt>
                <c:pt idx="338">
                  <c:v>6.1954802734615726E-2</c:v>
                </c:pt>
                <c:pt idx="339">
                  <c:v>6.2500610277238078E-2</c:v>
                </c:pt>
                <c:pt idx="340">
                  <c:v>6.2968519963249467E-2</c:v>
                </c:pt>
                <c:pt idx="341">
                  <c:v>6.3358655260932151E-2</c:v>
                </c:pt>
                <c:pt idx="342">
                  <c:v>6.3671143200508012E-2</c:v>
                </c:pt>
                <c:pt idx="343">
                  <c:v>6.3906112756147215E-2</c:v>
                </c:pt>
                <c:pt idx="344">
                  <c:v>6.4063693228969987E-2</c:v>
                </c:pt>
                <c:pt idx="345">
                  <c:v>6.4144012629380145E-2</c:v>
                </c:pt>
                <c:pt idx="346">
                  <c:v>6.4195705752931945E-2</c:v>
                </c:pt>
                <c:pt idx="347">
                  <c:v>6.4218902841920444E-2</c:v>
                </c:pt>
                <c:pt idx="348">
                  <c:v>6.4213732227657971E-2</c:v>
                </c:pt>
                <c:pt idx="349">
                  <c:v>6.4180319720880799E-2</c:v>
                </c:pt>
                <c:pt idx="350">
                  <c:v>6.4118788003658708E-2</c:v>
                </c:pt>
                <c:pt idx="351">
                  <c:v>6.4040180005094149E-2</c:v>
                </c:pt>
                <c:pt idx="352">
                  <c:v>6.3984860353190606E-2</c:v>
                </c:pt>
                <c:pt idx="353">
                  <c:v>6.3952967858076137E-2</c:v>
                </c:pt>
                <c:pt idx="354">
                  <c:v>6.3944644144142207E-2</c:v>
                </c:pt>
                <c:pt idx="355">
                  <c:v>6.3960034100769766E-2</c:v>
                </c:pt>
                <c:pt idx="356">
                  <c:v>6.3999330563503182E-2</c:v>
                </c:pt>
                <c:pt idx="357">
                  <c:v>6.406254369019676E-2</c:v>
                </c:pt>
                <c:pt idx="358">
                  <c:v>6.4149533295196334E-2</c:v>
                </c:pt>
                <c:pt idx="359">
                  <c:v>6.4260162449419608E-2</c:v>
                </c:pt>
                <c:pt idx="360">
                  <c:v>6.4353959908198963E-2</c:v>
                </c:pt>
                <c:pt idx="361">
                  <c:v>6.4419789434467356E-2</c:v>
                </c:pt>
                <c:pt idx="362">
                  <c:v>6.4457453104935405E-2</c:v>
                </c:pt>
                <c:pt idx="363">
                  <c:v>6.4466749420501887E-2</c:v>
                </c:pt>
                <c:pt idx="364">
                  <c:v>6.4447474059369014E-2</c:v>
                </c:pt>
                <c:pt idx="365">
                  <c:v>6.4399420629365725E-2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0.10282395007787799</c:v>
                </c:pt>
                <c:pt idx="1">
                  <c:v>0.10324112619074118</c:v>
                </c:pt>
                <c:pt idx="2">
                  <c:v>0.10358802662396177</c:v>
                </c:pt>
                <c:pt idx="3">
                  <c:v>0.10386428983661078</c:v>
                </c:pt>
                <c:pt idx="4">
                  <c:v>0.10406955013857093</c:v>
                </c:pt>
                <c:pt idx="5">
                  <c:v>0.10420343950786737</c:v>
                </c:pt>
                <c:pt idx="6">
                  <c:v>0.10426558940933134</c:v>
                </c:pt>
                <c:pt idx="7">
                  <c:v>0.10425563261091948</c:v>
                </c:pt>
                <c:pt idx="8">
                  <c:v>0.10417320500148902</c:v>
                </c:pt>
                <c:pt idx="9">
                  <c:v>0.10399357141779413</c:v>
                </c:pt>
                <c:pt idx="10">
                  <c:v>0.10373994868774961</c:v>
                </c:pt>
                <c:pt idx="11">
                  <c:v>0.10341199322671153</c:v>
                </c:pt>
                <c:pt idx="12">
                  <c:v>0.10300937218110995</c:v>
                </c:pt>
                <c:pt idx="13">
                  <c:v>0.10253176526615987</c:v>
                </c:pt>
                <c:pt idx="14">
                  <c:v>0.10197886660182016</c:v>
                </c:pt>
                <c:pt idx="15">
                  <c:v>0.10123985030151424</c:v>
                </c:pt>
                <c:pt idx="16">
                  <c:v>0.10036236163196177</c:v>
                </c:pt>
                <c:pt idx="17">
                  <c:v>9.9346110825966602E-2</c:v>
                </c:pt>
                <c:pt idx="18">
                  <c:v>9.819084398294492E-2</c:v>
                </c:pt>
                <c:pt idx="19">
                  <c:v>9.6896886972274818E-2</c:v>
                </c:pt>
                <c:pt idx="20">
                  <c:v>9.5464816952018972E-2</c:v>
                </c:pt>
                <c:pt idx="21">
                  <c:v>9.389479626624142E-2</c:v>
                </c:pt>
                <c:pt idx="22">
                  <c:v>9.2186999719244975E-2</c:v>
                </c:pt>
                <c:pt idx="23">
                  <c:v>9.0279615874329464E-2</c:v>
                </c:pt>
                <c:pt idx="24">
                  <c:v>8.819729548598243E-2</c:v>
                </c:pt>
                <c:pt idx="25">
                  <c:v>8.5940237900867036E-2</c:v>
                </c:pt>
                <c:pt idx="26">
                  <c:v>8.3508652010333029E-2</c:v>
                </c:pt>
                <c:pt idx="27">
                  <c:v>8.0902754090183826E-2</c:v>
                </c:pt>
                <c:pt idx="28">
                  <c:v>7.8122765642287637E-2</c:v>
                </c:pt>
                <c:pt idx="29">
                  <c:v>7.5293541197385294E-2</c:v>
                </c:pt>
                <c:pt idx="30">
                  <c:v>7.2526017459657588E-2</c:v>
                </c:pt>
                <c:pt idx="31">
                  <c:v>6.9820388990395041E-2</c:v>
                </c:pt>
                <c:pt idx="32">
                  <c:v>6.7176832090558761E-2</c:v>
                </c:pt>
                <c:pt idx="33">
                  <c:v>6.4595505583497873E-2</c:v>
                </c:pt>
                <c:pt idx="34">
                  <c:v>6.2076551597979042E-2</c:v>
                </c:pt>
                <c:pt idx="35">
                  <c:v>5.9620096351128693E-2</c:v>
                </c:pt>
                <c:pt idx="36">
                  <c:v>5.7226250931233826E-2</c:v>
                </c:pt>
                <c:pt idx="37">
                  <c:v>5.5006250188035476E-2</c:v>
                </c:pt>
                <c:pt idx="38">
                  <c:v>5.3022123416503163E-2</c:v>
                </c:pt>
                <c:pt idx="39">
                  <c:v>5.1273894454861357E-2</c:v>
                </c:pt>
                <c:pt idx="40">
                  <c:v>4.9761574706768931E-2</c:v>
                </c:pt>
                <c:pt idx="41">
                  <c:v>4.848516608966872E-2</c:v>
                </c:pt>
                <c:pt idx="42">
                  <c:v>4.7444663982757852E-2</c:v>
                </c:pt>
                <c:pt idx="43">
                  <c:v>4.6657389424375563E-2</c:v>
                </c:pt>
                <c:pt idx="44">
                  <c:v>4.5998831887801551E-2</c:v>
                </c:pt>
                <c:pt idx="45">
                  <c:v>4.5469009295803477E-2</c:v>
                </c:pt>
                <c:pt idx="46">
                  <c:v>4.5067940698280941E-2</c:v>
                </c:pt>
                <c:pt idx="47">
                  <c:v>4.4795647879454503E-2</c:v>
                </c:pt>
                <c:pt idx="48">
                  <c:v>4.4652156964457485E-2</c:v>
                </c:pt>
                <c:pt idx="49">
                  <c:v>4.4637500026339261E-2</c:v>
                </c:pt>
                <c:pt idx="50">
                  <c:v>4.4751716692792931E-2</c:v>
                </c:pt>
                <c:pt idx="51">
                  <c:v>4.4972124411608333E-2</c:v>
                </c:pt>
                <c:pt idx="52">
                  <c:v>4.5187502362325278E-2</c:v>
                </c:pt>
                <c:pt idx="53">
                  <c:v>4.5397614422648759E-2</c:v>
                </c:pt>
                <c:pt idx="54">
                  <c:v>4.5602445854576866E-2</c:v>
                </c:pt>
                <c:pt idx="55">
                  <c:v>4.5801981519588232E-2</c:v>
                </c:pt>
                <c:pt idx="56">
                  <c:v>4.5996205898638266E-2</c:v>
                </c:pt>
                <c:pt idx="57">
                  <c:v>4.6138641727240727E-2</c:v>
                </c:pt>
                <c:pt idx="58">
                  <c:v>4.621195026572178E-2</c:v>
                </c:pt>
                <c:pt idx="59">
                  <c:v>4.6216113621135292E-2</c:v>
                </c:pt>
                <c:pt idx="60">
                  <c:v>4.6151113419017231E-2</c:v>
                </c:pt>
                <c:pt idx="61">
                  <c:v>4.6016931059387166E-2</c:v>
                </c:pt>
                <c:pt idx="62">
                  <c:v>4.5813547972680703E-2</c:v>
                </c:pt>
                <c:pt idx="63">
                  <c:v>4.5540945875820284E-2</c:v>
                </c:pt>
                <c:pt idx="64">
                  <c:v>4.5199107028102432E-2</c:v>
                </c:pt>
                <c:pt idx="65">
                  <c:v>4.4771919028290051E-2</c:v>
                </c:pt>
                <c:pt idx="66">
                  <c:v>4.4282098157846367E-2</c:v>
                </c:pt>
                <c:pt idx="67">
                  <c:v>4.372962995637969E-2</c:v>
                </c:pt>
                <c:pt idx="68">
                  <c:v>4.3114501461913333E-2</c:v>
                </c:pt>
                <c:pt idx="69">
                  <c:v>4.2436701442177059E-2</c:v>
                </c:pt>
                <c:pt idx="70">
                  <c:v>4.1696220626105618E-2</c:v>
                </c:pt>
                <c:pt idx="71">
                  <c:v>4.0907484315377364E-2</c:v>
                </c:pt>
                <c:pt idx="72">
                  <c:v>4.0116949494615479E-2</c:v>
                </c:pt>
                <c:pt idx="73">
                  <c:v>3.932461065933987E-2</c:v>
                </c:pt>
                <c:pt idx="74">
                  <c:v>3.8530463516739867E-2</c:v>
                </c:pt>
                <c:pt idx="75">
                  <c:v>3.7734504991885159E-2</c:v>
                </c:pt>
                <c:pt idx="76">
                  <c:v>3.6936733233814911E-2</c:v>
                </c:pt>
                <c:pt idx="77">
                  <c:v>3.6137147621751901E-2</c:v>
                </c:pt>
                <c:pt idx="78">
                  <c:v>3.5335749944374023E-2</c:v>
                </c:pt>
                <c:pt idx="79">
                  <c:v>3.4537171649208713E-2</c:v>
                </c:pt>
                <c:pt idx="80">
                  <c:v>3.3757588295896139E-2</c:v>
                </c:pt>
                <c:pt idx="81">
                  <c:v>3.2996986772894747E-2</c:v>
                </c:pt>
                <c:pt idx="82">
                  <c:v>3.2255354910892833E-2</c:v>
                </c:pt>
                <c:pt idx="83">
                  <c:v>3.1532681422163832E-2</c:v>
                </c:pt>
                <c:pt idx="84">
                  <c:v>3.0828955840028011E-2</c:v>
                </c:pt>
                <c:pt idx="85">
                  <c:v>3.0161763482169823E-2</c:v>
                </c:pt>
                <c:pt idx="86">
                  <c:v>2.9516668671965438E-2</c:v>
                </c:pt>
                <c:pt idx="87">
                  <c:v>2.8893662384706725E-2</c:v>
                </c:pt>
                <c:pt idx="88">
                  <c:v>2.8292736101843491E-2</c:v>
                </c:pt>
                <c:pt idx="89">
                  <c:v>2.7713881740222213E-2</c:v>
                </c:pt>
                <c:pt idx="90">
                  <c:v>2.7157091581266501E-2</c:v>
                </c:pt>
                <c:pt idx="91">
                  <c:v>2.6622358200264009E-2</c:v>
                </c:pt>
                <c:pt idx="92">
                  <c:v>2.6109674395576234E-2</c:v>
                </c:pt>
                <c:pt idx="93">
                  <c:v>2.5658648245052231E-2</c:v>
                </c:pt>
                <c:pt idx="94">
                  <c:v>2.5264773072625247E-2</c:v>
                </c:pt>
                <c:pt idx="95">
                  <c:v>2.4928032248294305E-2</c:v>
                </c:pt>
                <c:pt idx="96">
                  <c:v>2.4648407938624061E-2</c:v>
                </c:pt>
                <c:pt idx="97">
                  <c:v>2.4425880923503712E-2</c:v>
                </c:pt>
                <c:pt idx="98">
                  <c:v>2.4260430412681871E-2</c:v>
                </c:pt>
                <c:pt idx="99">
                  <c:v>2.4212445847820323E-2</c:v>
                </c:pt>
                <c:pt idx="100">
                  <c:v>2.4264307867105078E-2</c:v>
                </c:pt>
                <c:pt idx="101">
                  <c:v>2.4415972923208878E-2</c:v>
                </c:pt>
                <c:pt idx="102">
                  <c:v>2.4667393259919707E-2</c:v>
                </c:pt>
                <c:pt idx="103">
                  <c:v>2.5018516591100787E-2</c:v>
                </c:pt>
                <c:pt idx="104">
                  <c:v>2.5469285780223103E-2</c:v>
                </c:pt>
                <c:pt idx="105">
                  <c:v>2.6019638519369087E-2</c:v>
                </c:pt>
                <c:pt idx="106">
                  <c:v>2.6669507008533332E-2</c:v>
                </c:pt>
                <c:pt idx="107">
                  <c:v>2.7475709666296994E-2</c:v>
                </c:pt>
                <c:pt idx="108">
                  <c:v>2.8398595472215793E-2</c:v>
                </c:pt>
                <c:pt idx="109">
                  <c:v>2.943806682429358E-2</c:v>
                </c:pt>
                <c:pt idx="110">
                  <c:v>3.0594105397019938E-2</c:v>
                </c:pt>
                <c:pt idx="111">
                  <c:v>3.1866701386522728E-2</c:v>
                </c:pt>
                <c:pt idx="112">
                  <c:v>3.325576105731886E-2</c:v>
                </c:pt>
                <c:pt idx="113">
                  <c:v>3.4802568247440553E-2</c:v>
                </c:pt>
                <c:pt idx="114">
                  <c:v>3.6446733979392618E-2</c:v>
                </c:pt>
                <c:pt idx="115">
                  <c:v>3.8188162585735076E-2</c:v>
                </c:pt>
                <c:pt idx="116">
                  <c:v>4.0026753889467401E-2</c:v>
                </c:pt>
                <c:pt idx="117">
                  <c:v>4.1962402989569603E-2</c:v>
                </c:pt>
                <c:pt idx="118">
                  <c:v>4.3995000046180059E-2</c:v>
                </c:pt>
                <c:pt idx="119">
                  <c:v>4.6124430065872433E-2</c:v>
                </c:pt>
                <c:pt idx="120">
                  <c:v>4.8350572686855074E-2</c:v>
                </c:pt>
                <c:pt idx="121">
                  <c:v>5.0705215102813672E-2</c:v>
                </c:pt>
                <c:pt idx="122">
                  <c:v>5.3131496206728558E-2</c:v>
                </c:pt>
                <c:pt idx="123">
                  <c:v>5.5629297550764373E-2</c:v>
                </c:pt>
                <c:pt idx="124">
                  <c:v>5.8198495489815795E-2</c:v>
                </c:pt>
                <c:pt idx="125">
                  <c:v>6.0838961021567273E-2</c:v>
                </c:pt>
                <c:pt idx="126">
                  <c:v>6.3550559625793743E-2</c:v>
                </c:pt>
                <c:pt idx="127">
                  <c:v>6.6338135735423839E-2</c:v>
                </c:pt>
                <c:pt idx="128">
                  <c:v>6.9160315942378411E-2</c:v>
                </c:pt>
                <c:pt idx="129">
                  <c:v>7.201698231967267E-2</c:v>
                </c:pt>
                <c:pt idx="130">
                  <c:v>7.4908012612376881E-2</c:v>
                </c:pt>
                <c:pt idx="131">
                  <c:v>7.78332801560742E-2</c:v>
                </c:pt>
                <c:pt idx="132">
                  <c:v>8.0792653795914979E-2</c:v>
                </c:pt>
                <c:pt idx="133">
                  <c:v>8.3785997806179333E-2</c:v>
                </c:pt>
                <c:pt idx="134">
                  <c:v>8.6813171809487222E-2</c:v>
                </c:pt>
                <c:pt idx="135">
                  <c:v>8.9864757532318221E-2</c:v>
                </c:pt>
                <c:pt idx="136">
                  <c:v>9.2908853875265027E-2</c:v>
                </c:pt>
                <c:pt idx="137">
                  <c:v>9.5945354257537765E-2</c:v>
                </c:pt>
                <c:pt idx="138">
                  <c:v>9.8974149647620135E-2</c:v>
                </c:pt>
                <c:pt idx="139">
                  <c:v>0.10199512857512172</c:v>
                </c:pt>
                <c:pt idx="140">
                  <c:v>0.10500817713716344</c:v>
                </c:pt>
                <c:pt idx="141">
                  <c:v>0.1079822173042914</c:v>
                </c:pt>
                <c:pt idx="142">
                  <c:v>0.110911604078481</c:v>
                </c:pt>
                <c:pt idx="143">
                  <c:v>0.11379570989641745</c:v>
                </c:pt>
                <c:pt idx="144">
                  <c:v>0.11663456051251946</c:v>
                </c:pt>
                <c:pt idx="145">
                  <c:v>0.11942820218162804</c:v>
                </c:pt>
                <c:pt idx="146">
                  <c:v>0.12217670111693923</c:v>
                </c:pt>
                <c:pt idx="147">
                  <c:v>0.12488014295188181</c:v>
                </c:pt>
                <c:pt idx="148">
                  <c:v>0.12753863219921072</c:v>
                </c:pt>
                <c:pt idx="149">
                  <c:v>0.13010771389544784</c:v>
                </c:pt>
                <c:pt idx="150">
                  <c:v>0.13259681403104859</c:v>
                </c:pt>
                <c:pt idx="151">
                  <c:v>0.1350061550878327</c:v>
                </c:pt>
                <c:pt idx="152">
                  <c:v>0.1373359779914031</c:v>
                </c:pt>
                <c:pt idx="153">
                  <c:v>0.13958654109353771</c:v>
                </c:pt>
                <c:pt idx="154">
                  <c:v>0.14175811915530692</c:v>
                </c:pt>
                <c:pt idx="155">
                  <c:v>0.14379250733160431</c:v>
                </c:pt>
                <c:pt idx="156">
                  <c:v>0.14572082342578482</c:v>
                </c:pt>
                <c:pt idx="157">
                  <c:v>0.14754343849953858</c:v>
                </c:pt>
                <c:pt idx="158">
                  <c:v>0.14926073583476809</c:v>
                </c:pt>
                <c:pt idx="159">
                  <c:v>0.15087310953978317</c:v>
                </c:pt>
                <c:pt idx="160">
                  <c:v>0.15238096315732344</c:v>
                </c:pt>
                <c:pt idx="161">
                  <c:v>0.15378470827090249</c:v>
                </c:pt>
                <c:pt idx="162">
                  <c:v>0.15508476311194722</c:v>
                </c:pt>
                <c:pt idx="163">
                  <c:v>0.15621861075679944</c:v>
                </c:pt>
                <c:pt idx="164">
                  <c:v>0.15723095940794066</c:v>
                </c:pt>
                <c:pt idx="165">
                  <c:v>0.15812227147202376</c:v>
                </c:pt>
                <c:pt idx="166">
                  <c:v>0.15889300899845546</c:v>
                </c:pt>
                <c:pt idx="167">
                  <c:v>0.1595436320288168</c:v>
                </c:pt>
                <c:pt idx="168">
                  <c:v>0.16007459695133555</c:v>
                </c:pt>
                <c:pt idx="169">
                  <c:v>0.16042363739313373</c:v>
                </c:pt>
                <c:pt idx="170">
                  <c:v>0.16064926286838482</c:v>
                </c:pt>
                <c:pt idx="171">
                  <c:v>0.16075191331598226</c:v>
                </c:pt>
                <c:pt idx="172">
                  <c:v>0.16073201757784542</c:v>
                </c:pt>
                <c:pt idx="173">
                  <c:v>0.16058834948978065</c:v>
                </c:pt>
                <c:pt idx="174">
                  <c:v>0.16031959239154822</c:v>
                </c:pt>
                <c:pt idx="175">
                  <c:v>0.15992602984965035</c:v>
                </c:pt>
                <c:pt idx="176">
                  <c:v>0.15940794460740018</c:v>
                </c:pt>
                <c:pt idx="177">
                  <c:v>0.15870786180764521</c:v>
                </c:pt>
                <c:pt idx="178">
                  <c:v>0.15788857583754498</c:v>
                </c:pt>
                <c:pt idx="179">
                  <c:v>0.15695035506849911</c:v>
                </c:pt>
                <c:pt idx="180">
                  <c:v>0.15589346407064036</c:v>
                </c:pt>
                <c:pt idx="181">
                  <c:v>0.15471816290624094</c:v>
                </c:pt>
                <c:pt idx="182">
                  <c:v>0.15342470642449646</c:v>
                </c:pt>
                <c:pt idx="183">
                  <c:v>0.15196961870979314</c:v>
                </c:pt>
                <c:pt idx="184">
                  <c:v>0.15041545034355028</c:v>
                </c:pt>
                <c:pt idx="185">
                  <c:v>0.14876240924163986</c:v>
                </c:pt>
                <c:pt idx="186">
                  <c:v>0.14701069593634133</c:v>
                </c:pt>
                <c:pt idx="187">
                  <c:v>0.14516050298053226</c:v>
                </c:pt>
                <c:pt idx="188">
                  <c:v>0.14321201435266129</c:v>
                </c:pt>
                <c:pt idx="189">
                  <c:v>0.14116540485728948</c:v>
                </c:pt>
                <c:pt idx="190">
                  <c:v>0.13902083953181107</c:v>
                </c:pt>
                <c:pt idx="191">
                  <c:v>0.13674833814116749</c:v>
                </c:pt>
                <c:pt idx="192">
                  <c:v>0.13440543516684647</c:v>
                </c:pt>
                <c:pt idx="193">
                  <c:v>0.13199222889872755</c:v>
                </c:pt>
                <c:pt idx="194">
                  <c:v>0.1295088072865859</c:v>
                </c:pt>
                <c:pt idx="195">
                  <c:v>0.12695524750757761</c:v>
                </c:pt>
                <c:pt idx="196">
                  <c:v>0.12433161552859079</c:v>
                </c:pt>
                <c:pt idx="197">
                  <c:v>0.12162898281464669</c:v>
                </c:pt>
                <c:pt idx="198">
                  <c:v>0.11889085241842372</c:v>
                </c:pt>
                <c:pt idx="199">
                  <c:v>0.11611722006982149</c:v>
                </c:pt>
                <c:pt idx="200">
                  <c:v>0.11330807165659519</c:v>
                </c:pt>
                <c:pt idx="201">
                  <c:v>0.11046338299193847</c:v>
                </c:pt>
                <c:pt idx="202">
                  <c:v>0.10758311958284517</c:v>
                </c:pt>
                <c:pt idx="203">
                  <c:v>0.10466723640086706</c:v>
                </c:pt>
                <c:pt idx="204">
                  <c:v>0.10171551339540046</c:v>
                </c:pt>
                <c:pt idx="205">
                  <c:v>9.8732483764483167E-2</c:v>
                </c:pt>
                <c:pt idx="206">
                  <c:v>9.5748004949744545E-2</c:v>
                </c:pt>
                <c:pt idx="207">
                  <c:v>9.2761926516464019E-2</c:v>
                </c:pt>
                <c:pt idx="208">
                  <c:v>8.9774101368749304E-2</c:v>
                </c:pt>
                <c:pt idx="209">
                  <c:v>8.678438576126013E-2</c:v>
                </c:pt>
                <c:pt idx="210">
                  <c:v>8.3792639313968534E-2</c:v>
                </c:pt>
                <c:pt idx="211">
                  <c:v>8.0829399964864421E-2</c:v>
                </c:pt>
                <c:pt idx="212">
                  <c:v>7.7903472439088892E-2</c:v>
                </c:pt>
                <c:pt idx="213">
                  <c:v>7.5014712389585611E-2</c:v>
                </c:pt>
                <c:pt idx="214">
                  <c:v>7.2162981585300115E-2</c:v>
                </c:pt>
                <c:pt idx="215">
                  <c:v>6.9348147801308602E-2</c:v>
                </c:pt>
                <c:pt idx="216">
                  <c:v>6.657008470864785E-2</c:v>
                </c:pt>
                <c:pt idx="217">
                  <c:v>6.3828671764395009E-2</c:v>
                </c:pt>
                <c:pt idx="218">
                  <c:v>6.1123794101347328E-2</c:v>
                </c:pt>
                <c:pt idx="219">
                  <c:v>5.849501252935646E-2</c:v>
                </c:pt>
                <c:pt idx="220">
                  <c:v>5.5937421621439963E-2</c:v>
                </c:pt>
                <c:pt idx="221">
                  <c:v>5.3450919318261257E-2</c:v>
                </c:pt>
                <c:pt idx="222">
                  <c:v>5.1035410637526597E-2</c:v>
                </c:pt>
                <c:pt idx="223">
                  <c:v>4.8690807456459262E-2</c:v>
                </c:pt>
                <c:pt idx="224">
                  <c:v>4.6417028292887318E-2</c:v>
                </c:pt>
                <c:pt idx="225">
                  <c:v>4.426846235271558E-2</c:v>
                </c:pt>
                <c:pt idx="226">
                  <c:v>4.22143960246876E-2</c:v>
                </c:pt>
                <c:pt idx="227">
                  <c:v>4.0254768013753585E-2</c:v>
                </c:pt>
                <c:pt idx="228">
                  <c:v>3.838952374981721E-2</c:v>
                </c:pt>
                <c:pt idx="229">
                  <c:v>3.661861509469614E-2</c:v>
                </c:pt>
                <c:pt idx="230">
                  <c:v>3.4942000049762632E-2</c:v>
                </c:pt>
                <c:pt idx="231">
                  <c:v>3.3359642463646651E-2</c:v>
                </c:pt>
                <c:pt idx="232">
                  <c:v>3.1871511739183643E-2</c:v>
                </c:pt>
                <c:pt idx="233">
                  <c:v>3.0535361007334328E-2</c:v>
                </c:pt>
                <c:pt idx="234">
                  <c:v>2.9311507011572788E-2</c:v>
                </c:pt>
                <c:pt idx="235">
                  <c:v>2.819996060154974E-2</c:v>
                </c:pt>
                <c:pt idx="236">
                  <c:v>2.7200743053394167E-2</c:v>
                </c:pt>
                <c:pt idx="237">
                  <c:v>2.6313859678540941E-2</c:v>
                </c:pt>
                <c:pt idx="238">
                  <c:v>2.553931970528733E-2</c:v>
                </c:pt>
                <c:pt idx="239">
                  <c:v>2.491501788372107E-2</c:v>
                </c:pt>
                <c:pt idx="240">
                  <c:v>2.438648233758996E-2</c:v>
                </c:pt>
                <c:pt idx="241">
                  <c:v>2.395373126242727E-2</c:v>
                </c:pt>
                <c:pt idx="242">
                  <c:v>2.3616786824017671E-2</c:v>
                </c:pt>
                <c:pt idx="243">
                  <c:v>2.3375675327490325E-2</c:v>
                </c:pt>
                <c:pt idx="244">
                  <c:v>2.323042738625546E-2</c:v>
                </c:pt>
                <c:pt idx="245">
                  <c:v>2.3181078090697582E-2</c:v>
                </c:pt>
                <c:pt idx="246">
                  <c:v>2.3227667176839412E-2</c:v>
                </c:pt>
                <c:pt idx="247">
                  <c:v>2.3387071250300474E-2</c:v>
                </c:pt>
                <c:pt idx="248">
                  <c:v>2.3601483732218011E-2</c:v>
                </c:pt>
                <c:pt idx="249">
                  <c:v>2.3870939683866665E-2</c:v>
                </c:pt>
                <c:pt idx="250">
                  <c:v>2.4195477262089423E-2</c:v>
                </c:pt>
                <c:pt idx="251">
                  <c:v>2.4575137816460525E-2</c:v>
                </c:pt>
                <c:pt idx="252">
                  <c:v>2.5009965985437439E-2</c:v>
                </c:pt>
                <c:pt idx="253">
                  <c:v>2.5504312249742769E-2</c:v>
                </c:pt>
                <c:pt idx="254">
                  <c:v>2.6020265744533009E-2</c:v>
                </c:pt>
                <c:pt idx="255">
                  <c:v>2.6557859463118994E-2</c:v>
                </c:pt>
                <c:pt idx="256">
                  <c:v>2.7117128030137782E-2</c:v>
                </c:pt>
                <c:pt idx="257">
                  <c:v>2.7698107738583038E-2</c:v>
                </c:pt>
                <c:pt idx="258">
                  <c:v>2.8300836587078566E-2</c:v>
                </c:pt>
                <c:pt idx="259">
                  <c:v>2.8925354317553293E-2</c:v>
                </c:pt>
                <c:pt idx="260">
                  <c:v>2.9571702452069599E-2</c:v>
                </c:pt>
                <c:pt idx="261">
                  <c:v>3.0253765305897361E-2</c:v>
                </c:pt>
                <c:pt idx="262">
                  <c:v>3.0954712193351608E-2</c:v>
                </c:pt>
                <c:pt idx="263">
                  <c:v>3.1674587883977812E-2</c:v>
                </c:pt>
                <c:pt idx="264">
                  <c:v>3.2413440432192679E-2</c:v>
                </c:pt>
                <c:pt idx="265">
                  <c:v>3.317149754793166E-2</c:v>
                </c:pt>
                <c:pt idx="266">
                  <c:v>3.3948916245034662E-2</c:v>
                </c:pt>
                <c:pt idx="267">
                  <c:v>3.4730257511823029E-2</c:v>
                </c:pt>
                <c:pt idx="268">
                  <c:v>3.5511207899907908E-2</c:v>
                </c:pt>
                <c:pt idx="269">
                  <c:v>3.6291766728916507E-2</c:v>
                </c:pt>
                <c:pt idx="270">
                  <c:v>3.7071929781179715E-2</c:v>
                </c:pt>
                <c:pt idx="271">
                  <c:v>3.7851689318607919E-2</c:v>
                </c:pt>
                <c:pt idx="272">
                  <c:v>3.8631034100537288E-2</c:v>
                </c:pt>
                <c:pt idx="273">
                  <c:v>3.9409949401109909E-2</c:v>
                </c:pt>
                <c:pt idx="274">
                  <c:v>4.0188417027153166E-2</c:v>
                </c:pt>
                <c:pt idx="275">
                  <c:v>4.0921610505261517E-2</c:v>
                </c:pt>
                <c:pt idx="276">
                  <c:v>4.1595514411857472E-2</c:v>
                </c:pt>
                <c:pt idx="277">
                  <c:v>4.2210011093588656E-2</c:v>
                </c:pt>
                <c:pt idx="278">
                  <c:v>4.2764977287904758E-2</c:v>
                </c:pt>
                <c:pt idx="279">
                  <c:v>4.3260284785203516E-2</c:v>
                </c:pt>
                <c:pt idx="280">
                  <c:v>4.369580109137744E-2</c:v>
                </c:pt>
                <c:pt idx="281">
                  <c:v>4.4049402592711374E-2</c:v>
                </c:pt>
                <c:pt idx="282">
                  <c:v>4.4336492062806765E-2</c:v>
                </c:pt>
                <c:pt idx="283">
                  <c:v>4.4556917965726993E-2</c:v>
                </c:pt>
                <c:pt idx="284">
                  <c:v>4.4710527216671465E-2</c:v>
                </c:pt>
                <c:pt idx="285">
                  <c:v>4.4797165914383812E-2</c:v>
                </c:pt>
                <c:pt idx="286">
                  <c:v>4.4816680073987453E-2</c:v>
                </c:pt>
                <c:pt idx="287">
                  <c:v>4.4768916359378887E-2</c:v>
                </c:pt>
                <c:pt idx="288">
                  <c:v>4.465372281579022E-2</c:v>
                </c:pt>
                <c:pt idx="289">
                  <c:v>4.4487774174056437E-2</c:v>
                </c:pt>
                <c:pt idx="290">
                  <c:v>4.4316099198390156E-2</c:v>
                </c:pt>
                <c:pt idx="291">
                  <c:v>4.4138645606663529E-2</c:v>
                </c:pt>
                <c:pt idx="292">
                  <c:v>4.3955362205807098E-2</c:v>
                </c:pt>
                <c:pt idx="293">
                  <c:v>4.3766198949240741E-2</c:v>
                </c:pt>
                <c:pt idx="294">
                  <c:v>4.3571106994131796E-2</c:v>
                </c:pt>
                <c:pt idx="295">
                  <c:v>4.3478197153647036E-2</c:v>
                </c:pt>
                <c:pt idx="296">
                  <c:v>4.3510243818525661E-2</c:v>
                </c:pt>
                <c:pt idx="297">
                  <c:v>4.3667736365380093E-2</c:v>
                </c:pt>
                <c:pt idx="298">
                  <c:v>4.3950808407488516E-2</c:v>
                </c:pt>
                <c:pt idx="299">
                  <c:v>4.4359597203859069E-2</c:v>
                </c:pt>
                <c:pt idx="300">
                  <c:v>4.4894242503891145E-2</c:v>
                </c:pt>
                <c:pt idx="301">
                  <c:v>4.5554885391903839E-2</c:v>
                </c:pt>
                <c:pt idx="302">
                  <c:v>4.6341667131763853E-2</c:v>
                </c:pt>
                <c:pt idx="303">
                  <c:v>4.7376409217724659E-2</c:v>
                </c:pt>
                <c:pt idx="304">
                  <c:v>4.8642479854810072E-2</c:v>
                </c:pt>
                <c:pt idx="305">
                  <c:v>5.0140163271696618E-2</c:v>
                </c:pt>
                <c:pt idx="306">
                  <c:v>5.1869737837862216E-2</c:v>
                </c:pt>
                <c:pt idx="307">
                  <c:v>5.3831473943891317E-2</c:v>
                </c:pt>
                <c:pt idx="308">
                  <c:v>5.6025631881336024E-2</c:v>
                </c:pt>
                <c:pt idx="309">
                  <c:v>5.8391746827141454E-2</c:v>
                </c:pt>
                <c:pt idx="310">
                  <c:v>6.0821053490596189E-2</c:v>
                </c:pt>
                <c:pt idx="311">
                  <c:v>6.3313540473821511E-2</c:v>
                </c:pt>
                <c:pt idx="312">
                  <c:v>6.5869185192807364E-2</c:v>
                </c:pt>
                <c:pt idx="313">
                  <c:v>6.8487953314758723E-2</c:v>
                </c:pt>
                <c:pt idx="314">
                  <c:v>7.1169798194856124E-2</c:v>
                </c:pt>
                <c:pt idx="315">
                  <c:v>7.3914660313865607E-2</c:v>
                </c:pt>
                <c:pt idx="316">
                  <c:v>7.6722466714686813E-2</c:v>
                </c:pt>
                <c:pt idx="317">
                  <c:v>7.9484348562446613E-2</c:v>
                </c:pt>
                <c:pt idx="318">
                  <c:v>8.2077587457804427E-2</c:v>
                </c:pt>
                <c:pt idx="319">
                  <c:v>8.4501815618782006E-2</c:v>
                </c:pt>
                <c:pt idx="320">
                  <c:v>8.6756669868712721E-2</c:v>
                </c:pt>
                <c:pt idx="321">
                  <c:v>8.8841793189143523E-2</c:v>
                </c:pt>
                <c:pt idx="322">
                  <c:v>9.0756836273158156E-2</c:v>
                </c:pt>
                <c:pt idx="323">
                  <c:v>9.2477365258960206E-2</c:v>
                </c:pt>
                <c:pt idx="324">
                  <c:v>9.4064095583239082E-2</c:v>
                </c:pt>
                <c:pt idx="325">
                  <c:v>9.551673589320836E-2</c:v>
                </c:pt>
                <c:pt idx="326">
                  <c:v>9.6834401879173096E-2</c:v>
                </c:pt>
                <c:pt idx="327">
                  <c:v>9.8016597038822414E-2</c:v>
                </c:pt>
                <c:pt idx="328">
                  <c:v>9.9063341019381079E-2</c:v>
                </c:pt>
                <c:pt idx="329">
                  <c:v>9.9974684224189828E-2</c:v>
                </c:pt>
                <c:pt idx="330">
                  <c:v>0.10075070503881833</c:v>
                </c:pt>
                <c:pt idx="331">
                  <c:v>0.10134409520869932</c:v>
                </c:pt>
                <c:pt idx="332">
                  <c:v>0.10186416017150017</c:v>
                </c:pt>
                <c:pt idx="333">
                  <c:v>0.10231106303790986</c:v>
                </c:pt>
                <c:pt idx="334">
                  <c:v>0.10268497801311606</c:v>
                </c:pt>
                <c:pt idx="335">
                  <c:v>0.10298608890946435</c:v>
                </c:pt>
                <c:pt idx="336">
                  <c:v>0.10321458765777625</c:v>
                </c:pt>
                <c:pt idx="337">
                  <c:v>0.10334730885989474</c:v>
                </c:pt>
                <c:pt idx="338">
                  <c:v>0.10340859662902309</c:v>
                </c:pt>
                <c:pt idx="339">
                  <c:v>0.10339865867365682</c:v>
                </c:pt>
                <c:pt idx="340">
                  <c:v>0.10331770466383404</c:v>
                </c:pt>
                <c:pt idx="341">
                  <c:v>0.1031659447595303</c:v>
                </c:pt>
                <c:pt idx="342">
                  <c:v>0.10294358813896982</c:v>
                </c:pt>
                <c:pt idx="343">
                  <c:v>0.10265084152569159</c:v>
                </c:pt>
                <c:pt idx="344">
                  <c:v>0.10228790771723713</c:v>
                </c:pt>
                <c:pt idx="345">
                  <c:v>0.1018549841127508</c:v>
                </c:pt>
                <c:pt idx="346">
                  <c:v>0.10143821322892159</c:v>
                </c:pt>
                <c:pt idx="347">
                  <c:v>0.10103779437805238</c:v>
                </c:pt>
                <c:pt idx="348">
                  <c:v>0.10065392455644319</c:v>
                </c:pt>
                <c:pt idx="349">
                  <c:v>0.10028679875821384</c:v>
                </c:pt>
                <c:pt idx="350">
                  <c:v>9.9936610291485373E-2</c:v>
                </c:pt>
                <c:pt idx="351">
                  <c:v>9.9642078859620939E-2</c:v>
                </c:pt>
                <c:pt idx="352">
                  <c:v>9.9426799848389924E-2</c:v>
                </c:pt>
                <c:pt idx="353">
                  <c:v>9.9291000582772682E-2</c:v>
                </c:pt>
                <c:pt idx="354">
                  <c:v>9.9234918310411105E-2</c:v>
                </c:pt>
                <c:pt idx="355">
                  <c:v>9.9258801797592514E-2</c:v>
                </c:pt>
                <c:pt idx="356">
                  <c:v>9.9362981595785091E-2</c:v>
                </c:pt>
                <c:pt idx="357">
                  <c:v>9.9547512866398111E-2</c:v>
                </c:pt>
                <c:pt idx="358">
                  <c:v>9.9812224995297891E-2</c:v>
                </c:pt>
                <c:pt idx="359">
                  <c:v>0.10015695885594007</c:v>
                </c:pt>
                <c:pt idx="360">
                  <c:v>0.1005581252115199</c:v>
                </c:pt>
                <c:pt idx="361">
                  <c:v>0.10097691569601708</c:v>
                </c:pt>
                <c:pt idx="362">
                  <c:v>0.10141311365877359</c:v>
                </c:pt>
                <c:pt idx="363">
                  <c:v>0.10186650021514343</c:v>
                </c:pt>
                <c:pt idx="364">
                  <c:v>0.10233685385964268</c:v>
                </c:pt>
                <c:pt idx="365">
                  <c:v>0.10282395007787799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0.13471835728104828</c:v>
                </c:pt>
                <c:pt idx="1">
                  <c:v>0.13576140356133229</c:v>
                </c:pt>
                <c:pt idx="2">
                  <c:v>0.13683654304092155</c:v>
                </c:pt>
                <c:pt idx="3">
                  <c:v>0.1379434856478311</c:v>
                </c:pt>
                <c:pt idx="4">
                  <c:v>0.13908193147440395</c:v>
                </c:pt>
                <c:pt idx="5">
                  <c:v>0.14025157000278107</c:v>
                </c:pt>
                <c:pt idx="6">
                  <c:v>0.14145207933216256</c:v>
                </c:pt>
                <c:pt idx="7">
                  <c:v>0.14268312540293324</c:v>
                </c:pt>
                <c:pt idx="8">
                  <c:v>0.14394436122271562</c:v>
                </c:pt>
                <c:pt idx="9">
                  <c:v>0.14519451667348929</c:v>
                </c:pt>
                <c:pt idx="10">
                  <c:v>0.14640644528220612</c:v>
                </c:pt>
                <c:pt idx="11">
                  <c:v>0.14757967443409717</c:v>
                </c:pt>
                <c:pt idx="12">
                  <c:v>0.14871372378944744</c:v>
                </c:pt>
                <c:pt idx="13">
                  <c:v>0.1498081062289521</c:v>
                </c:pt>
                <c:pt idx="14">
                  <c:v>0.15086232879650172</c:v>
                </c:pt>
                <c:pt idx="15">
                  <c:v>0.15170623787822643</c:v>
                </c:pt>
                <c:pt idx="16">
                  <c:v>0.15233543227303251</c:v>
                </c:pt>
                <c:pt idx="17">
                  <c:v>0.1527492882863484</c:v>
                </c:pt>
                <c:pt idx="18">
                  <c:v>0.15294721790857813</c:v>
                </c:pt>
                <c:pt idx="19">
                  <c:v>0.15292952718191657</c:v>
                </c:pt>
                <c:pt idx="20">
                  <c:v>0.15269694805577483</c:v>
                </c:pt>
                <c:pt idx="21">
                  <c:v>0.15224958503066979</c:v>
                </c:pt>
                <c:pt idx="22">
                  <c:v>0.15158757207324966</c:v>
                </c:pt>
                <c:pt idx="23">
                  <c:v>0.15054042325343558</c:v>
                </c:pt>
                <c:pt idx="24">
                  <c:v>0.14914935220233971</c:v>
                </c:pt>
                <c:pt idx="25">
                  <c:v>0.14741455358905037</c:v>
                </c:pt>
                <c:pt idx="26">
                  <c:v>0.1453362544936822</c:v>
                </c:pt>
                <c:pt idx="27">
                  <c:v>0.14291471014769527</c:v>
                </c:pt>
                <c:pt idx="28">
                  <c:v>0.14015019967738396</c:v>
                </c:pt>
                <c:pt idx="29">
                  <c:v>0.13706974134902361</c:v>
                </c:pt>
                <c:pt idx="30">
                  <c:v>0.13384358515809183</c:v>
                </c:pt>
                <c:pt idx="31">
                  <c:v>0.13047203441390215</c:v>
                </c:pt>
                <c:pt idx="32">
                  <c:v>0.12695538649245883</c:v>
                </c:pt>
                <c:pt idx="33">
                  <c:v>0.12329393103654029</c:v>
                </c:pt>
                <c:pt idx="34">
                  <c:v>0.11948794815637225</c:v>
                </c:pt>
                <c:pt idx="35">
                  <c:v>0.11553770663015206</c:v>
                </c:pt>
                <c:pt idx="36">
                  <c:v>0.11144346210430274</c:v>
                </c:pt>
                <c:pt idx="37">
                  <c:v>0.10734383547256643</c:v>
                </c:pt>
                <c:pt idx="38">
                  <c:v>0.10340960059388647</c:v>
                </c:pt>
                <c:pt idx="39">
                  <c:v>9.9640880217207739E-2</c:v>
                </c:pt>
                <c:pt idx="40">
                  <c:v>9.6037775680776913E-2</c:v>
                </c:pt>
                <c:pt idx="41">
                  <c:v>9.2600368977508077E-2</c:v>
                </c:pt>
                <c:pt idx="42">
                  <c:v>8.9328724819603147E-2</c:v>
                </c:pt>
                <c:pt idx="43">
                  <c:v>8.6342550271652774E-2</c:v>
                </c:pt>
                <c:pt idx="44">
                  <c:v>8.361516166080403E-2</c:v>
                </c:pt>
                <c:pt idx="45">
                  <c:v>8.1146565161818687E-2</c:v>
                </c:pt>
                <c:pt idx="46">
                  <c:v>7.8936762180718406E-2</c:v>
                </c:pt>
                <c:pt idx="47">
                  <c:v>7.6985752583449529E-2</c:v>
                </c:pt>
                <c:pt idx="48">
                  <c:v>7.5293537923474194E-2</c:v>
                </c:pt>
                <c:pt idx="49">
                  <c:v>7.3860124670093202E-2</c:v>
                </c:pt>
                <c:pt idx="50">
                  <c:v>7.268552743629246E-2</c:v>
                </c:pt>
                <c:pt idx="51">
                  <c:v>7.1803429909592001E-2</c:v>
                </c:pt>
                <c:pt idx="52">
                  <c:v>7.1075233354259554E-2</c:v>
                </c:pt>
                <c:pt idx="53">
                  <c:v>7.050053959167972E-2</c:v>
                </c:pt>
                <c:pt idx="54">
                  <c:v>7.0079314642624499E-2</c:v>
                </c:pt>
                <c:pt idx="55">
                  <c:v>6.9811527905887003E-2</c:v>
                </c:pt>
                <c:pt idx="56">
                  <c:v>6.9697151591242942E-2</c:v>
                </c:pt>
                <c:pt idx="57">
                  <c:v>6.9683492351074308E-2</c:v>
                </c:pt>
                <c:pt idx="58">
                  <c:v>6.9650919480942805E-2</c:v>
                </c:pt>
                <c:pt idx="59">
                  <c:v>6.9599406792114807E-2</c:v>
                </c:pt>
                <c:pt idx="60">
                  <c:v>6.952892804201663E-2</c:v>
                </c:pt>
                <c:pt idx="61">
                  <c:v>6.9439457004589825E-2</c:v>
                </c:pt>
                <c:pt idx="62">
                  <c:v>6.9330967540542243E-2</c:v>
                </c:pt>
                <c:pt idx="63">
                  <c:v>6.9203433667807623E-2</c:v>
                </c:pt>
                <c:pt idx="64">
                  <c:v>6.9056829631728309E-2</c:v>
                </c:pt>
                <c:pt idx="65">
                  <c:v>6.8851563229480273E-2</c:v>
                </c:pt>
                <c:pt idx="66">
                  <c:v>6.8553949850199067E-2</c:v>
                </c:pt>
                <c:pt idx="67">
                  <c:v>6.8163964812971586E-2</c:v>
                </c:pt>
                <c:pt idx="68">
                  <c:v>6.7681585017889165E-2</c:v>
                </c:pt>
                <c:pt idx="69">
                  <c:v>6.7106789287053173E-2</c:v>
                </c:pt>
                <c:pt idx="70">
                  <c:v>6.6439558705900903E-2</c:v>
                </c:pt>
                <c:pt idx="71">
                  <c:v>6.5693007054824212E-2</c:v>
                </c:pt>
                <c:pt idx="72">
                  <c:v>6.4919789195088631E-2</c:v>
                </c:pt>
                <c:pt idx="73">
                  <c:v>6.4119891292249487E-2</c:v>
                </c:pt>
                <c:pt idx="74">
                  <c:v>6.3293301333534446E-2</c:v>
                </c:pt>
                <c:pt idx="75">
                  <c:v>6.2440009225739855E-2</c:v>
                </c:pt>
                <c:pt idx="76">
                  <c:v>6.1560006892928322E-2</c:v>
                </c:pt>
                <c:pt idx="77">
                  <c:v>6.065328837433176E-2</c:v>
                </c:pt>
                <c:pt idx="78">
                  <c:v>5.9719851904806463E-2</c:v>
                </c:pt>
                <c:pt idx="79">
                  <c:v>5.876553828239587E-2</c:v>
                </c:pt>
                <c:pt idx="80">
                  <c:v>5.7830048340026481E-2</c:v>
                </c:pt>
                <c:pt idx="81">
                  <c:v>5.6913361355377584E-2</c:v>
                </c:pt>
                <c:pt idx="82">
                  <c:v>5.6015457747220748E-2</c:v>
                </c:pt>
                <c:pt idx="83">
                  <c:v>5.5136319015345624E-2</c:v>
                </c:pt>
                <c:pt idx="84">
                  <c:v>5.4275927680671687E-2</c:v>
                </c:pt>
                <c:pt idx="85">
                  <c:v>5.3438849016198296E-2</c:v>
                </c:pt>
                <c:pt idx="86">
                  <c:v>5.2611944361940298E-2</c:v>
                </c:pt>
                <c:pt idx="87">
                  <c:v>5.1795200354024441E-2</c:v>
                </c:pt>
                <c:pt idx="88">
                  <c:v>5.0988604537763105E-2</c:v>
                </c:pt>
                <c:pt idx="89">
                  <c:v>5.0192145335023121E-2</c:v>
                </c:pt>
                <c:pt idx="90">
                  <c:v>4.9405812011489469E-2</c:v>
                </c:pt>
                <c:pt idx="91">
                  <c:v>4.8629594644121255E-2</c:v>
                </c:pt>
                <c:pt idx="92">
                  <c:v>4.7863484088469473E-2</c:v>
                </c:pt>
                <c:pt idx="93">
                  <c:v>4.7148926308166299E-2</c:v>
                </c:pt>
                <c:pt idx="94">
                  <c:v>4.6480296956351141E-2</c:v>
                </c:pt>
                <c:pt idx="95">
                  <c:v>4.5857579141536021E-2</c:v>
                </c:pt>
                <c:pt idx="96">
                  <c:v>4.5280755451878117E-2</c:v>
                </c:pt>
                <c:pt idx="97">
                  <c:v>4.4749807807860587E-2</c:v>
                </c:pt>
                <c:pt idx="98">
                  <c:v>4.4264717314561351E-2</c:v>
                </c:pt>
                <c:pt idx="99">
                  <c:v>4.3896321542368229E-2</c:v>
                </c:pt>
                <c:pt idx="100">
                  <c:v>4.3639998667431672E-2</c:v>
                </c:pt>
                <c:pt idx="101">
                  <c:v>4.3495700702667395E-2</c:v>
                </c:pt>
                <c:pt idx="102">
                  <c:v>4.346337533635608E-2</c:v>
                </c:pt>
                <c:pt idx="103">
                  <c:v>4.3542965571509329E-2</c:v>
                </c:pt>
                <c:pt idx="104">
                  <c:v>4.3734409366251191E-2</c:v>
                </c:pt>
                <c:pt idx="105">
                  <c:v>4.40376392732603E-2</c:v>
                </c:pt>
                <c:pt idx="106">
                  <c:v>4.4452582079735403E-2</c:v>
                </c:pt>
                <c:pt idx="107">
                  <c:v>4.5042685584916191E-2</c:v>
                </c:pt>
                <c:pt idx="108">
                  <c:v>4.57664533467785E-2</c:v>
                </c:pt>
                <c:pt idx="109">
                  <c:v>4.6623778395230991E-2</c:v>
                </c:pt>
                <c:pt idx="110">
                  <c:v>4.7614680793356366E-2</c:v>
                </c:pt>
                <c:pt idx="111">
                  <c:v>4.873918786058512E-2</c:v>
                </c:pt>
                <c:pt idx="112">
                  <c:v>4.999719383316692E-2</c:v>
                </c:pt>
                <c:pt idx="113">
                  <c:v>5.1435762759601371E-2</c:v>
                </c:pt>
                <c:pt idx="114">
                  <c:v>5.2984070071337812E-2</c:v>
                </c:pt>
                <c:pt idx="115">
                  <c:v>5.4642009896357278E-2</c:v>
                </c:pt>
                <c:pt idx="116">
                  <c:v>5.6409471546170271E-2</c:v>
                </c:pt>
                <c:pt idx="117">
                  <c:v>5.8286339274323834E-2</c:v>
                </c:pt>
                <c:pt idx="118">
                  <c:v>6.0272492034377401E-2</c:v>
                </c:pt>
                <c:pt idx="119">
                  <c:v>6.236780323802521E-2</c:v>
                </c:pt>
                <c:pt idx="120">
                  <c:v>6.4572140513115092E-2</c:v>
                </c:pt>
                <c:pt idx="121">
                  <c:v>6.6921372425529813E-2</c:v>
                </c:pt>
                <c:pt idx="122">
                  <c:v>6.9352008518766092E-2</c:v>
                </c:pt>
                <c:pt idx="123">
                  <c:v>7.1863918870051141E-2</c:v>
                </c:pt>
                <c:pt idx="124">
                  <c:v>7.4456967939149951E-2</c:v>
                </c:pt>
                <c:pt idx="125">
                  <c:v>7.7131014386925836E-2</c:v>
                </c:pt>
                <c:pt idx="126">
                  <c:v>7.9885910892915274E-2</c:v>
                </c:pt>
                <c:pt idx="127">
                  <c:v>8.2728974618096959E-2</c:v>
                </c:pt>
                <c:pt idx="128">
                  <c:v>8.5613045769418028E-2</c:v>
                </c:pt>
                <c:pt idx="129">
                  <c:v>8.8537995141412806E-2</c:v>
                </c:pt>
                <c:pt idx="130">
                  <c:v>9.150368881506464E-2</c:v>
                </c:pt>
                <c:pt idx="131">
                  <c:v>9.4509988061669326E-2</c:v>
                </c:pt>
                <c:pt idx="132">
                  <c:v>9.7556749247452015E-2</c:v>
                </c:pt>
                <c:pt idx="133">
                  <c:v>0.10064382373879714</c:v>
                </c:pt>
                <c:pt idx="134">
                  <c:v>0.10377105780704125</c:v>
                </c:pt>
                <c:pt idx="135">
                  <c:v>0.10693135332560189</c:v>
                </c:pt>
                <c:pt idx="136">
                  <c:v>0.11008871785396122</c:v>
                </c:pt>
                <c:pt idx="137">
                  <c:v>0.11324303200852399</c:v>
                </c:pt>
                <c:pt idx="138">
                  <c:v>0.11639417355848374</c:v>
                </c:pt>
                <c:pt idx="139">
                  <c:v>0.11954201742751125</c:v>
                </c:pt>
                <c:pt idx="140">
                  <c:v>0.12268643568900039</c:v>
                </c:pt>
                <c:pt idx="141">
                  <c:v>0.12579535102277384</c:v>
                </c:pt>
                <c:pt idx="142">
                  <c:v>0.12886053385293922</c:v>
                </c:pt>
                <c:pt idx="143">
                  <c:v>0.13188126289647581</c:v>
                </c:pt>
                <c:pt idx="144">
                  <c:v>0.13485757723763589</c:v>
                </c:pt>
                <c:pt idx="145">
                  <c:v>0.13778953708400338</c:v>
                </c:pt>
                <c:pt idx="146">
                  <c:v>0.14067722324216347</c:v>
                </c:pt>
                <c:pt idx="147">
                  <c:v>0.14352073659793374</c:v>
                </c:pt>
                <c:pt idx="148">
                  <c:v>0.14632019759337431</c:v>
                </c:pt>
                <c:pt idx="149">
                  <c:v>0.14902880034403931</c:v>
                </c:pt>
                <c:pt idx="150">
                  <c:v>0.15165367498775439</c:v>
                </c:pt>
                <c:pt idx="151">
                  <c:v>0.15419507051838169</c:v>
                </c:pt>
                <c:pt idx="152">
                  <c:v>0.15665325537031938</c:v>
                </c:pt>
                <c:pt idx="153">
                  <c:v>0.15902851635565751</c:v>
                </c:pt>
                <c:pt idx="154">
                  <c:v>0.16132115760216484</c:v>
                </c:pt>
                <c:pt idx="155">
                  <c:v>0.16346969850488013</c:v>
                </c:pt>
                <c:pt idx="156">
                  <c:v>0.16550627076213531</c:v>
                </c:pt>
                <c:pt idx="157">
                  <c:v>0.1674312816971818</c:v>
                </c:pt>
                <c:pt idx="158">
                  <c:v>0.1692451515777833</c:v>
                </c:pt>
                <c:pt idx="159">
                  <c:v>0.1709483121456222</c:v>
                </c:pt>
                <c:pt idx="160">
                  <c:v>0.17254120514777863</c:v>
                </c:pt>
                <c:pt idx="161">
                  <c:v>0.17402428086630595</c:v>
                </c:pt>
                <c:pt idx="162">
                  <c:v>0.17539799664870856</c:v>
                </c:pt>
                <c:pt idx="163">
                  <c:v>0.17659581255715576</c:v>
                </c:pt>
                <c:pt idx="164">
                  <c:v>0.17766482961819663</c:v>
                </c:pt>
                <c:pt idx="165">
                  <c:v>0.17860555317135854</c:v>
                </c:pt>
                <c:pt idx="166">
                  <c:v>0.17941848818788086</c:v>
                </c:pt>
                <c:pt idx="167">
                  <c:v>0.18010413751979162</c:v>
                </c:pt>
                <c:pt idx="168">
                  <c:v>0.18066300015469083</c:v>
                </c:pt>
                <c:pt idx="169">
                  <c:v>0.18102880392704465</c:v>
                </c:pt>
                <c:pt idx="170">
                  <c:v>0.18126338276128029</c:v>
                </c:pt>
                <c:pt idx="171">
                  <c:v>0.1813672189871772</c:v>
                </c:pt>
                <c:pt idx="172">
                  <c:v>0.18134078312131355</c:v>
                </c:pt>
                <c:pt idx="173">
                  <c:v>0.18118267924719431</c:v>
                </c:pt>
                <c:pt idx="174">
                  <c:v>0.18089140977640028</c:v>
                </c:pt>
                <c:pt idx="175">
                  <c:v>0.18046728257092981</c:v>
                </c:pt>
                <c:pt idx="176">
                  <c:v>0.17991060461655226</c:v>
                </c:pt>
                <c:pt idx="177">
                  <c:v>0.17916066097400485</c:v>
                </c:pt>
                <c:pt idx="178">
                  <c:v>0.17828430437229162</c:v>
                </c:pt>
                <c:pt idx="179">
                  <c:v>0.17728182580788507</c:v>
                </c:pt>
                <c:pt idx="180">
                  <c:v>0.17615351224080875</c:v>
                </c:pt>
                <c:pt idx="181">
                  <c:v>0.17489964584510165</c:v>
                </c:pt>
                <c:pt idx="182">
                  <c:v>0.17352050326083801</c:v>
                </c:pt>
                <c:pt idx="183">
                  <c:v>0.17197030775590041</c:v>
                </c:pt>
                <c:pt idx="184">
                  <c:v>0.17031565188577638</c:v>
                </c:pt>
                <c:pt idx="185">
                  <c:v>0.16855676169297032</c:v>
                </c:pt>
                <c:pt idx="186">
                  <c:v>0.16669385540779225</c:v>
                </c:pt>
                <c:pt idx="187">
                  <c:v>0.16472714281980153</c:v>
                </c:pt>
                <c:pt idx="188">
                  <c:v>0.16265682465014325</c:v>
                </c:pt>
                <c:pt idx="189">
                  <c:v>0.16048309191885479</c:v>
                </c:pt>
                <c:pt idx="190">
                  <c:v>0.15820612531918579</c:v>
                </c:pt>
                <c:pt idx="191">
                  <c:v>0.15579500113924977</c:v>
                </c:pt>
                <c:pt idx="192">
                  <c:v>0.1533105109548854</c:v>
                </c:pt>
                <c:pt idx="193">
                  <c:v>0.15075276404751065</c:v>
                </c:pt>
                <c:pt idx="194">
                  <c:v>0.14812185882303805</c:v>
                </c:pt>
                <c:pt idx="195">
                  <c:v>0.14541788236044662</c:v>
                </c:pt>
                <c:pt idx="196">
                  <c:v>0.14264090995449327</c:v>
                </c:pt>
                <c:pt idx="197">
                  <c:v>0.13978428269370005</c:v>
                </c:pt>
                <c:pt idx="198">
                  <c:v>0.13689381718621987</c:v>
                </c:pt>
                <c:pt idx="199">
                  <c:v>0.13396951229802009</c:v>
                </c:pt>
                <c:pt idx="200">
                  <c:v>0.13101135682194884</c:v>
                </c:pt>
                <c:pt idx="201">
                  <c:v>0.1280193292528734</c:v>
                </c:pt>
                <c:pt idx="202">
                  <c:v>0.12499339756370688</c:v>
                </c:pt>
                <c:pt idx="203">
                  <c:v>0.1219335189842176</c:v>
                </c:pt>
                <c:pt idx="204">
                  <c:v>0.11883944786945526</c:v>
                </c:pt>
                <c:pt idx="205">
                  <c:v>0.11571807849766451</c:v>
                </c:pt>
                <c:pt idx="206">
                  <c:v>0.11260020869769703</c:v>
                </c:pt>
                <c:pt idx="207">
                  <c:v>0.10948567437126333</c:v>
                </c:pt>
                <c:pt idx="208">
                  <c:v>0.10637431529879544</c:v>
                </c:pt>
                <c:pt idx="209">
                  <c:v>0.10326597513652967</c:v>
                </c:pt>
                <c:pt idx="210">
                  <c:v>0.10016050141718406</c:v>
                </c:pt>
                <c:pt idx="211">
                  <c:v>9.7092355476807182E-2</c:v>
                </c:pt>
                <c:pt idx="212">
                  <c:v>9.4068076355603672E-2</c:v>
                </c:pt>
                <c:pt idx="213">
                  <c:v>9.1087508558972255E-2</c:v>
                </c:pt>
                <c:pt idx="214">
                  <c:v>8.8150503272830319E-2</c:v>
                </c:pt>
                <c:pt idx="215">
                  <c:v>8.5256918234145551E-2</c:v>
                </c:pt>
                <c:pt idx="216">
                  <c:v>8.2406617601109636E-2</c:v>
                </c:pt>
                <c:pt idx="217">
                  <c:v>7.959947182362194E-2</c:v>
                </c:pt>
                <c:pt idx="218">
                  <c:v>7.6835357513283978E-2</c:v>
                </c:pt>
                <c:pt idx="219">
                  <c:v>7.4159380390565591E-2</c:v>
                </c:pt>
                <c:pt idx="220">
                  <c:v>7.1564235006643662E-2</c:v>
                </c:pt>
                <c:pt idx="221">
                  <c:v>6.904981185340163E-2</c:v>
                </c:pt>
                <c:pt idx="222">
                  <c:v>6.6616009071550283E-2</c:v>
                </c:pt>
                <c:pt idx="223">
                  <c:v>6.4262732203904202E-2</c:v>
                </c:pt>
                <c:pt idx="224">
                  <c:v>6.1989893946890327E-2</c:v>
                </c:pt>
                <c:pt idx="225">
                  <c:v>5.9858230133599165E-2</c:v>
                </c:pt>
                <c:pt idx="226">
                  <c:v>5.7833091157251992E-2</c:v>
                </c:pt>
                <c:pt idx="227">
                  <c:v>5.5914411442119984E-2</c:v>
                </c:pt>
                <c:pt idx="228">
                  <c:v>5.4102132629000869E-2</c:v>
                </c:pt>
                <c:pt idx="229">
                  <c:v>5.2396203245000113E-2</c:v>
                </c:pt>
                <c:pt idx="230">
                  <c:v>5.0796578374240536E-2</c:v>
                </c:pt>
                <c:pt idx="231">
                  <c:v>4.9303219328689689E-2</c:v>
                </c:pt>
                <c:pt idx="232">
                  <c:v>4.7916093317892317E-2</c:v>
                </c:pt>
                <c:pt idx="233">
                  <c:v>4.6702941684346466E-2</c:v>
                </c:pt>
                <c:pt idx="234">
                  <c:v>4.5618527877079602E-2</c:v>
                </c:pt>
                <c:pt idx="235">
                  <c:v>4.466287551042173E-2</c:v>
                </c:pt>
                <c:pt idx="236">
                  <c:v>4.3836024889640134E-2</c:v>
                </c:pt>
                <c:pt idx="237">
                  <c:v>4.3137990698744473E-2</c:v>
                </c:pt>
                <c:pt idx="238">
                  <c:v>4.2568792332630501E-2</c:v>
                </c:pt>
                <c:pt idx="239">
                  <c:v>4.2168094273614926E-2</c:v>
                </c:pt>
                <c:pt idx="240">
                  <c:v>4.1875080862423426E-2</c:v>
                </c:pt>
                <c:pt idx="241">
                  <c:v>4.1689781721113865E-2</c:v>
                </c:pt>
                <c:pt idx="242">
                  <c:v>4.1612231140726944E-2</c:v>
                </c:pt>
                <c:pt idx="243">
                  <c:v>4.1642468271283629E-2</c:v>
                </c:pt>
                <c:pt idx="244">
                  <c:v>4.1780537311530912E-2</c:v>
                </c:pt>
                <c:pt idx="245">
                  <c:v>4.2026487698251784E-2</c:v>
                </c:pt>
                <c:pt idx="246">
                  <c:v>4.2380374295505042E-2</c:v>
                </c:pt>
                <c:pt idx="247">
                  <c:v>4.2846640697107176E-2</c:v>
                </c:pt>
                <c:pt idx="248">
                  <c:v>4.3357486448664349E-2</c:v>
                </c:pt>
                <c:pt idx="249">
                  <c:v>4.3912952889037231E-2</c:v>
                </c:pt>
                <c:pt idx="250">
                  <c:v>4.4513084083905453E-2</c:v>
                </c:pt>
                <c:pt idx="251">
                  <c:v>4.515792690461623E-2</c:v>
                </c:pt>
                <c:pt idx="252">
                  <c:v>4.584753110517404E-2</c:v>
                </c:pt>
                <c:pt idx="253">
                  <c:v>4.6587321718546605E-2</c:v>
                </c:pt>
                <c:pt idx="254">
                  <c:v>4.7337630173556446E-2</c:v>
                </c:pt>
                <c:pt idx="255">
                  <c:v>4.8098492822294177E-2</c:v>
                </c:pt>
                <c:pt idx="256">
                  <c:v>4.8869947125350484E-2</c:v>
                </c:pt>
                <c:pt idx="257">
                  <c:v>4.9652031668598912E-2</c:v>
                </c:pt>
                <c:pt idx="258">
                  <c:v>5.0444786180424861E-2</c:v>
                </c:pt>
                <c:pt idx="259">
                  <c:v>5.124825154966603E-2</c:v>
                </c:pt>
                <c:pt idx="260">
                  <c:v>5.2062469842034477E-2</c:v>
                </c:pt>
                <c:pt idx="261">
                  <c:v>5.2900076368033976E-2</c:v>
                </c:pt>
                <c:pt idx="262">
                  <c:v>5.3756729006212312E-2</c:v>
                </c:pt>
                <c:pt idx="263">
                  <c:v>5.4632481396886867E-2</c:v>
                </c:pt>
                <c:pt idx="264">
                  <c:v>5.5527391667613529E-2</c:v>
                </c:pt>
                <c:pt idx="265">
                  <c:v>5.6441822417790277E-2</c:v>
                </c:pt>
                <c:pt idx="266">
                  <c:v>5.7376007405354201E-2</c:v>
                </c:pt>
                <c:pt idx="267">
                  <c:v>5.8291936769006188E-2</c:v>
                </c:pt>
                <c:pt idx="268">
                  <c:v>5.9184178234073875E-2</c:v>
                </c:pt>
                <c:pt idx="269">
                  <c:v>6.0052682547691118E-2</c:v>
                </c:pt>
                <c:pt idx="270">
                  <c:v>6.089739412650521E-2</c:v>
                </c:pt>
                <c:pt idx="271">
                  <c:v>6.1718251335330133E-2</c:v>
                </c:pt>
                <c:pt idx="272">
                  <c:v>6.2515186767422973E-2</c:v>
                </c:pt>
                <c:pt idx="273">
                  <c:v>6.3288127523993792E-2</c:v>
                </c:pt>
                <c:pt idx="274">
                  <c:v>6.4036995494527987E-2</c:v>
                </c:pt>
                <c:pt idx="275">
                  <c:v>6.4710917675946653E-2</c:v>
                </c:pt>
                <c:pt idx="276">
                  <c:v>6.5297063622918469E-2</c:v>
                </c:pt>
                <c:pt idx="277">
                  <c:v>6.5795244867347988E-2</c:v>
                </c:pt>
                <c:pt idx="278">
                  <c:v>6.6205266468848514E-2</c:v>
                </c:pt>
                <c:pt idx="279">
                  <c:v>6.6526927990996174E-2</c:v>
                </c:pt>
                <c:pt idx="280">
                  <c:v>6.6760024478205324E-2</c:v>
                </c:pt>
                <c:pt idx="281">
                  <c:v>6.6936903742479584E-2</c:v>
                </c:pt>
                <c:pt idx="282">
                  <c:v>6.7095696100659394E-2</c:v>
                </c:pt>
                <c:pt idx="283">
                  <c:v>6.7236300164067064E-2</c:v>
                </c:pt>
                <c:pt idx="284">
                  <c:v>6.7358613893973823E-2</c:v>
                </c:pt>
                <c:pt idx="285">
                  <c:v>6.7462534802649812E-2</c:v>
                </c:pt>
                <c:pt idx="286">
                  <c:v>6.7547960155057526E-2</c:v>
                </c:pt>
                <c:pt idx="287">
                  <c:v>6.7614787169878662E-2</c:v>
                </c:pt>
                <c:pt idx="288">
                  <c:v>6.7662913220797039E-2</c:v>
                </c:pt>
                <c:pt idx="289">
                  <c:v>6.7808408832589304E-2</c:v>
                </c:pt>
                <c:pt idx="290">
                  <c:v>6.8102528302131538E-2</c:v>
                </c:pt>
                <c:pt idx="291">
                  <c:v>6.8545415253433092E-2</c:v>
                </c:pt>
                <c:pt idx="292">
                  <c:v>6.9137205258626225E-2</c:v>
                </c:pt>
                <c:pt idx="293">
                  <c:v>6.9878024215593873E-2</c:v>
                </c:pt>
                <c:pt idx="294">
                  <c:v>7.076798672533674E-2</c:v>
                </c:pt>
                <c:pt idx="295">
                  <c:v>7.1941866374782767E-2</c:v>
                </c:pt>
                <c:pt idx="296">
                  <c:v>7.3368016591392332E-2</c:v>
                </c:pt>
                <c:pt idx="297">
                  <c:v>7.5047325060485129E-2</c:v>
                </c:pt>
                <c:pt idx="298">
                  <c:v>7.6980098428250862E-2</c:v>
                </c:pt>
                <c:pt idx="299">
                  <c:v>7.9166645607719535E-2</c:v>
                </c:pt>
                <c:pt idx="300">
                  <c:v>8.1607275457742212E-2</c:v>
                </c:pt>
                <c:pt idx="301">
                  <c:v>8.4302294461741187E-2</c:v>
                </c:pt>
                <c:pt idx="302">
                  <c:v>8.7252004406636607E-2</c:v>
                </c:pt>
                <c:pt idx="303">
                  <c:v>9.0482787380314275E-2</c:v>
                </c:pt>
                <c:pt idx="304">
                  <c:v>9.3877969022903615E-2</c:v>
                </c:pt>
                <c:pt idx="305">
                  <c:v>9.7437693308523074E-2</c:v>
                </c:pt>
                <c:pt idx="306">
                  <c:v>0.10116209097452773</c:v>
                </c:pt>
                <c:pt idx="307">
                  <c:v>0.10505127803704943</c:v>
                </c:pt>
                <c:pt idx="308">
                  <c:v>0.10910535430566722</c:v>
                </c:pt>
                <c:pt idx="309">
                  <c:v>0.11315728969647432</c:v>
                </c:pt>
                <c:pt idx="310">
                  <c:v>0.11707130469110816</c:v>
                </c:pt>
                <c:pt idx="311">
                  <c:v>0.12084703451648167</c:v>
                </c:pt>
                <c:pt idx="312">
                  <c:v>0.12448410566343886</c:v>
                </c:pt>
                <c:pt idx="313">
                  <c:v>0.12798213718130658</c:v>
                </c:pt>
                <c:pt idx="314">
                  <c:v>0.13134074197133513</c:v>
                </c:pt>
                <c:pt idx="315">
                  <c:v>0.1345595280817305</c:v>
                </c:pt>
                <c:pt idx="316">
                  <c:v>0.13763810000070467</c:v>
                </c:pt>
                <c:pt idx="317">
                  <c:v>0.14040909686977779</c:v>
                </c:pt>
                <c:pt idx="318">
                  <c:v>0.14284566750663025</c:v>
                </c:pt>
                <c:pt idx="319">
                  <c:v>0.14494720670049854</c:v>
                </c:pt>
                <c:pt idx="320">
                  <c:v>0.1467131280936762</c:v>
                </c:pt>
                <c:pt idx="321">
                  <c:v>0.14814286724375356</c:v>
                </c:pt>
                <c:pt idx="322">
                  <c:v>0.14923588468651983</c:v>
                </c:pt>
                <c:pt idx="323">
                  <c:v>0.14995123313844935</c:v>
                </c:pt>
                <c:pt idx="324">
                  <c:v>0.1504564799449242</c:v>
                </c:pt>
                <c:pt idx="325">
                  <c:v>0.15075127503619348</c:v>
                </c:pt>
                <c:pt idx="326">
                  <c:v>0.1508343524151112</c:v>
                </c:pt>
                <c:pt idx="327">
                  <c:v>0.15070509870444401</c:v>
                </c:pt>
                <c:pt idx="328">
                  <c:v>0.15036370837842417</c:v>
                </c:pt>
                <c:pt idx="329">
                  <c:v>0.14981040747833527</c:v>
                </c:pt>
                <c:pt idx="330">
                  <c:v>0.14904544928306043</c:v>
                </c:pt>
                <c:pt idx="331">
                  <c:v>0.14807281374012063</c:v>
                </c:pt>
                <c:pt idx="332">
                  <c:v>0.14706039129288551</c:v>
                </c:pt>
                <c:pt idx="333">
                  <c:v>0.14600853250202142</c:v>
                </c:pt>
                <c:pt idx="334">
                  <c:v>0.14491758290754883</c:v>
                </c:pt>
                <c:pt idx="335">
                  <c:v>0.14378788226465403</c:v>
                </c:pt>
                <c:pt idx="336">
                  <c:v>0.1426197637775686</c:v>
                </c:pt>
                <c:pt idx="337">
                  <c:v>0.14144000339188947</c:v>
                </c:pt>
                <c:pt idx="338">
                  <c:v>0.14028943870034927</c:v>
                </c:pt>
                <c:pt idx="339">
                  <c:v>0.13916838334369142</c:v>
                </c:pt>
                <c:pt idx="340">
                  <c:v>0.13807714072958513</c:v>
                </c:pt>
                <c:pt idx="341">
                  <c:v>0.13701600466019789</c:v>
                </c:pt>
                <c:pt idx="342">
                  <c:v>0.13598525995963517</c:v>
                </c:pt>
                <c:pt idx="343">
                  <c:v>0.13498518309973248</c:v>
                </c:pt>
                <c:pt idx="344">
                  <c:v>0.134016042828006</c:v>
                </c:pt>
                <c:pt idx="345">
                  <c:v>0.13307810079415808</c:v>
                </c:pt>
                <c:pt idx="346">
                  <c:v>0.13222024511632105</c:v>
                </c:pt>
                <c:pt idx="347">
                  <c:v>0.13144273481992033</c:v>
                </c:pt>
                <c:pt idx="348">
                  <c:v>0.1307458279567916</c:v>
                </c:pt>
                <c:pt idx="349">
                  <c:v>0.13012978324202371</c:v>
                </c:pt>
                <c:pt idx="350">
                  <c:v>0.12959486169386791</c:v>
                </c:pt>
                <c:pt idx="351">
                  <c:v>0.12919369350733145</c:v>
                </c:pt>
                <c:pt idx="352">
                  <c:v>0.12890009927345314</c:v>
                </c:pt>
                <c:pt idx="353">
                  <c:v>0.12871437500724134</c:v>
                </c:pt>
                <c:pt idx="354">
                  <c:v>0.12863683021000091</c:v>
                </c:pt>
                <c:pt idx="355">
                  <c:v>0.12866779003883624</c:v>
                </c:pt>
                <c:pt idx="356">
                  <c:v>0.12880768649617688</c:v>
                </c:pt>
                <c:pt idx="357">
                  <c:v>0.12905659551016777</c:v>
                </c:pt>
                <c:pt idx="358">
                  <c:v>0.12941430118589134</c:v>
                </c:pt>
                <c:pt idx="359">
                  <c:v>0.12988060324195186</c:v>
                </c:pt>
                <c:pt idx="360">
                  <c:v>0.13048185004437193</c:v>
                </c:pt>
                <c:pt idx="361">
                  <c:v>0.13116538183064594</c:v>
                </c:pt>
                <c:pt idx="362">
                  <c:v>0.13193099758329832</c:v>
                </c:pt>
                <c:pt idx="363">
                  <c:v>0.13277849834748345</c:v>
                </c:pt>
                <c:pt idx="364">
                  <c:v>0.13370768521071988</c:v>
                </c:pt>
                <c:pt idx="365">
                  <c:v>0.13471835728104828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0.16093887786559072</c:v>
                </c:pt>
                <c:pt idx="1">
                  <c:v>0.16227666536105659</c:v>
                </c:pt>
                <c:pt idx="2">
                  <c:v>0.16367243553296787</c:v>
                </c:pt>
                <c:pt idx="3">
                  <c:v>0.16512587101792206</c:v>
                </c:pt>
                <c:pt idx="4">
                  <c:v>0.16663664187178467</c:v>
                </c:pt>
                <c:pt idx="5">
                  <c:v>0.16820440414552526</c:v>
                </c:pt>
                <c:pt idx="6">
                  <c:v>0.16982879846320084</c:v>
                </c:pt>
                <c:pt idx="7">
                  <c:v>0.17150944859618256</c:v>
                </c:pt>
                <c:pt idx="8">
                  <c:v>0.1732459600396882</c:v>
                </c:pt>
                <c:pt idx="9">
                  <c:v>0.17508153450261407</c:v>
                </c:pt>
                <c:pt idx="10">
                  <c:v>0.17697419839372572</c:v>
                </c:pt>
                <c:pt idx="11">
                  <c:v>0.17892349416831588</c:v>
                </c:pt>
                <c:pt idx="12">
                  <c:v>0.18092893962952683</c:v>
                </c:pt>
                <c:pt idx="13">
                  <c:v>0.18299002645304949</c:v>
                </c:pt>
                <c:pt idx="14">
                  <c:v>0.18510621870867663</c:v>
                </c:pt>
                <c:pt idx="15">
                  <c:v>0.18721759961367734</c:v>
                </c:pt>
                <c:pt idx="16">
                  <c:v>0.18930906737555531</c:v>
                </c:pt>
                <c:pt idx="17">
                  <c:v>0.19137994255838753</c:v>
                </c:pt>
                <c:pt idx="18">
                  <c:v>0.19342952814984007</c:v>
                </c:pt>
                <c:pt idx="19">
                  <c:v>0.19545820020007917</c:v>
                </c:pt>
                <c:pt idx="20">
                  <c:v>0.19746686031367502</c:v>
                </c:pt>
                <c:pt idx="21">
                  <c:v>0.19945559610844468</c:v>
                </c:pt>
                <c:pt idx="22">
                  <c:v>0.20142450737533868</c:v>
                </c:pt>
                <c:pt idx="23">
                  <c:v>0.20308480060557801</c:v>
                </c:pt>
                <c:pt idx="24">
                  <c:v>0.20439274871480886</c:v>
                </c:pt>
                <c:pt idx="25">
                  <c:v>0.20534844756038262</c:v>
                </c:pt>
                <c:pt idx="26">
                  <c:v>0.20595203979056156</c:v>
                </c:pt>
                <c:pt idx="27">
                  <c:v>0.20620371048685915</c:v>
                </c:pt>
                <c:pt idx="28">
                  <c:v>0.2061036828108089</c:v>
                </c:pt>
                <c:pt idx="29">
                  <c:v>0.20545452556281929</c:v>
                </c:pt>
                <c:pt idx="30">
                  <c:v>0.20431598925131658</c:v>
                </c:pt>
                <c:pt idx="31">
                  <c:v>0.20268840712103398</c:v>
                </c:pt>
                <c:pt idx="32">
                  <c:v>0.20057214117213551</c:v>
                </c:pt>
                <c:pt idx="33">
                  <c:v>0.19796757607611334</c:v>
                </c:pt>
                <c:pt idx="34">
                  <c:v>0.19487511309260805</c:v>
                </c:pt>
                <c:pt idx="35">
                  <c:v>0.19129516398603674</c:v>
                </c:pt>
                <c:pt idx="36">
                  <c:v>0.18722814494179363</c:v>
                </c:pt>
                <c:pt idx="37">
                  <c:v>0.18272322983448139</c:v>
                </c:pt>
                <c:pt idx="38">
                  <c:v>0.17806961463132187</c:v>
                </c:pt>
                <c:pt idx="39">
                  <c:v>0.17326760259518981</c:v>
                </c:pt>
                <c:pt idx="40">
                  <c:v>0.16831747538209899</c:v>
                </c:pt>
                <c:pt idx="41">
                  <c:v>0.16321949118075738</c:v>
                </c:pt>
                <c:pt idx="42">
                  <c:v>0.15797388285084735</c:v>
                </c:pt>
                <c:pt idx="43">
                  <c:v>0.15274307681903224</c:v>
                </c:pt>
                <c:pt idx="44">
                  <c:v>0.14772468845013934</c:v>
                </c:pt>
                <c:pt idx="45">
                  <c:v>0.14291878482330611</c:v>
                </c:pt>
                <c:pt idx="46">
                  <c:v>0.13832541519442482</c:v>
                </c:pt>
                <c:pt idx="47">
                  <c:v>0.13394461363700091</c:v>
                </c:pt>
                <c:pt idx="48">
                  <c:v>0.12977640168111929</c:v>
                </c:pt>
                <c:pt idx="49">
                  <c:v>0.12582079095369628</c:v>
                </c:pt>
                <c:pt idx="50">
                  <c:v>0.12207778581790252</c:v>
                </c:pt>
                <c:pt idx="51">
                  <c:v>0.11870221028469463</c:v>
                </c:pt>
                <c:pt idx="52">
                  <c:v>0.11564471207185283</c:v>
                </c:pt>
                <c:pt idx="53">
                  <c:v>0.11290460304242178</c:v>
                </c:pt>
                <c:pt idx="54">
                  <c:v>0.11048181057402862</c:v>
                </c:pt>
                <c:pt idx="55">
                  <c:v>0.10837627132691319</c:v>
                </c:pt>
                <c:pt idx="56">
                  <c:v>0.10658793007121137</c:v>
                </c:pt>
                <c:pt idx="57">
                  <c:v>0.10512007608378122</c:v>
                </c:pt>
                <c:pt idx="58">
                  <c:v>0.10381051604669189</c:v>
                </c:pt>
                <c:pt idx="59">
                  <c:v>0.10265920902153763</c:v>
                </c:pt>
                <c:pt idx="60">
                  <c:v>0.10166611686218197</c:v>
                </c:pt>
                <c:pt idx="61">
                  <c:v>0.10083120362965992</c:v>
                </c:pt>
                <c:pt idx="62">
                  <c:v>0.10015443500692883</c:v>
                </c:pt>
                <c:pt idx="63">
                  <c:v>9.963577771392268E-2</c:v>
                </c:pt>
                <c:pt idx="64">
                  <c:v>9.9275198922204308E-2</c:v>
                </c:pt>
                <c:pt idx="65">
                  <c:v>9.9008181777767559E-2</c:v>
                </c:pt>
                <c:pt idx="66">
                  <c:v>9.8679861059649362E-2</c:v>
                </c:pt>
                <c:pt idx="67">
                  <c:v>9.8290201378047767E-2</c:v>
                </c:pt>
                <c:pt idx="68">
                  <c:v>9.7839168585485803E-2</c:v>
                </c:pt>
                <c:pt idx="69">
                  <c:v>9.7326730002701756E-2</c:v>
                </c:pt>
                <c:pt idx="70">
                  <c:v>9.6752854645000039E-2</c:v>
                </c:pt>
                <c:pt idx="71">
                  <c:v>9.6129154322434893E-2</c:v>
                </c:pt>
                <c:pt idx="72">
                  <c:v>9.5452263996084197E-2</c:v>
                </c:pt>
                <c:pt idx="73">
                  <c:v>9.4722158523517883E-2</c:v>
                </c:pt>
                <c:pt idx="74">
                  <c:v>9.3938815118866412E-2</c:v>
                </c:pt>
                <c:pt idx="75">
                  <c:v>9.3102213548452037E-2</c:v>
                </c:pt>
                <c:pt idx="76">
                  <c:v>9.2212336326125424E-2</c:v>
                </c:pt>
                <c:pt idx="77">
                  <c:v>9.1269168908908002E-2</c:v>
                </c:pt>
                <c:pt idx="78">
                  <c:v>9.0272702889469536E-2</c:v>
                </c:pt>
                <c:pt idx="79">
                  <c:v>8.924046054723829E-2</c:v>
                </c:pt>
                <c:pt idx="80">
                  <c:v>8.8237126553304943E-2</c:v>
                </c:pt>
                <c:pt idx="81">
                  <c:v>8.7262669052474318E-2</c:v>
                </c:pt>
                <c:pt idx="82">
                  <c:v>8.631705738663574E-2</c:v>
                </c:pt>
                <c:pt idx="83">
                  <c:v>8.5400262002374341E-2</c:v>
                </c:pt>
                <c:pt idx="84">
                  <c:v>8.4512254358869707E-2</c:v>
                </c:pt>
                <c:pt idx="85">
                  <c:v>8.3644882770473952E-2</c:v>
                </c:pt>
                <c:pt idx="86">
                  <c:v>8.2786487794525743E-2</c:v>
                </c:pt>
                <c:pt idx="87">
                  <c:v>8.1937046769802138E-2</c:v>
                </c:pt>
                <c:pt idx="88">
                  <c:v>8.109653799898521E-2</c:v>
                </c:pt>
                <c:pt idx="89">
                  <c:v>8.0264940719701403E-2</c:v>
                </c:pt>
                <c:pt idx="90">
                  <c:v>7.9442235075393067E-2</c:v>
                </c:pt>
                <c:pt idx="91">
                  <c:v>7.8628402086496726E-2</c:v>
                </c:pt>
                <c:pt idx="92">
                  <c:v>7.7823423621402696E-2</c:v>
                </c:pt>
                <c:pt idx="93">
                  <c:v>7.7048856608517111E-2</c:v>
                </c:pt>
                <c:pt idx="94">
                  <c:v>7.6287514549874647E-2</c:v>
                </c:pt>
                <c:pt idx="95">
                  <c:v>7.5539380227561029E-2</c:v>
                </c:pt>
                <c:pt idx="96">
                  <c:v>7.4804436990553114E-2</c:v>
                </c:pt>
                <c:pt idx="97">
                  <c:v>7.4082668712017116E-2</c:v>
                </c:pt>
                <c:pt idx="98">
                  <c:v>7.3374059745929851E-2</c:v>
                </c:pt>
                <c:pt idx="99">
                  <c:v>7.2751456084319224E-2</c:v>
                </c:pt>
                <c:pt idx="100">
                  <c:v>7.2222932000185314E-2</c:v>
                </c:pt>
                <c:pt idx="101">
                  <c:v>7.178844183828445E-2</c:v>
                </c:pt>
                <c:pt idx="102">
                  <c:v>7.1447936703223081E-2</c:v>
                </c:pt>
                <c:pt idx="103">
                  <c:v>7.1201364155847754E-2</c:v>
                </c:pt>
                <c:pt idx="104">
                  <c:v>7.1048667911308303E-2</c:v>
                </c:pt>
                <c:pt idx="105">
                  <c:v>7.0989787535572543E-2</c:v>
                </c:pt>
                <c:pt idx="106">
                  <c:v>7.1024658142799915E-2</c:v>
                </c:pt>
                <c:pt idx="107">
                  <c:v>7.1228482764758169E-2</c:v>
                </c:pt>
                <c:pt idx="108">
                  <c:v>7.1579612559259681E-2</c:v>
                </c:pt>
                <c:pt idx="109">
                  <c:v>7.207793498387001E-2</c:v>
                </c:pt>
                <c:pt idx="110">
                  <c:v>7.2723535731521696E-2</c:v>
                </c:pt>
                <c:pt idx="111">
                  <c:v>7.351650537670168E-2</c:v>
                </c:pt>
                <c:pt idx="112">
                  <c:v>7.4456728747310144E-2</c:v>
                </c:pt>
                <c:pt idx="113">
                  <c:v>7.5597401068022443E-2</c:v>
                </c:pt>
                <c:pt idx="114">
                  <c:v>7.686568549049326E-2</c:v>
                </c:pt>
                <c:pt idx="115">
                  <c:v>7.8261463563178854E-2</c:v>
                </c:pt>
                <c:pt idx="116">
                  <c:v>7.9784611700660243E-2</c:v>
                </c:pt>
                <c:pt idx="117">
                  <c:v>8.1435000903248664E-2</c:v>
                </c:pt>
                <c:pt idx="118">
                  <c:v>8.3212496475817035E-2</c:v>
                </c:pt>
                <c:pt idx="119">
                  <c:v>8.5116957746846689E-2</c:v>
                </c:pt>
                <c:pt idx="120">
                  <c:v>8.7148237787334271E-2</c:v>
                </c:pt>
                <c:pt idx="121">
                  <c:v>8.9346500741173826E-2</c:v>
                </c:pt>
                <c:pt idx="122">
                  <c:v>9.1636530365408794E-2</c:v>
                </c:pt>
                <c:pt idx="123">
                  <c:v>9.4018186391824632E-2</c:v>
                </c:pt>
                <c:pt idx="124">
                  <c:v>9.649132261657821E-2</c:v>
                </c:pt>
                <c:pt idx="125">
                  <c:v>9.9055786696072456E-2</c:v>
                </c:pt>
                <c:pt idx="126">
                  <c:v>0.10171141994153514</c:v>
                </c:pt>
                <c:pt idx="127">
                  <c:v>0.1044700018066157</c:v>
                </c:pt>
                <c:pt idx="128">
                  <c:v>0.10727823915437258</c:v>
                </c:pt>
                <c:pt idx="129">
                  <c:v>0.1101359916252949</c:v>
                </c:pt>
                <c:pt idx="130">
                  <c:v>0.1130431137705636</c:v>
                </c:pt>
                <c:pt idx="131">
                  <c:v>0.11599945493642759</c:v>
                </c:pt>
                <c:pt idx="132">
                  <c:v>0.11900485914954373</c:v>
                </c:pt>
                <c:pt idx="133">
                  <c:v>0.12205916500306364</c:v>
                </c:pt>
                <c:pt idx="134">
                  <c:v>0.12516220554217183</c:v>
                </c:pt>
                <c:pt idx="135">
                  <c:v>0.12830992931505389</c:v>
                </c:pt>
                <c:pt idx="136">
                  <c:v>0.13146203601097148</c:v>
                </c:pt>
                <c:pt idx="137">
                  <c:v>0.13461839289269184</c:v>
                </c:pt>
                <c:pt idx="138">
                  <c:v>0.13777886391841662</c:v>
                </c:pt>
                <c:pt idx="139">
                  <c:v>0.14094330972744509</c:v>
                </c:pt>
                <c:pt idx="140">
                  <c:v>0.14411158761819212</c:v>
                </c:pt>
                <c:pt idx="141">
                  <c:v>0.14725204696752167</c:v>
                </c:pt>
                <c:pt idx="142">
                  <c:v>0.15035187432712668</c:v>
                </c:pt>
                <c:pt idx="143">
                  <c:v>0.15341024062854103</c:v>
                </c:pt>
                <c:pt idx="144">
                  <c:v>0.15642720597680548</c:v>
                </c:pt>
                <c:pt idx="145">
                  <c:v>0.15940285144792113</c:v>
                </c:pt>
                <c:pt idx="146">
                  <c:v>0.1623372786110967</c:v>
                </c:pt>
                <c:pt idx="147">
                  <c:v>0.16523060905628667</c:v>
                </c:pt>
                <c:pt idx="148">
                  <c:v>0.16808298391799084</c:v>
                </c:pt>
                <c:pt idx="149">
                  <c:v>0.17084766789998632</c:v>
                </c:pt>
                <c:pt idx="150">
                  <c:v>0.173528773273915</c:v>
                </c:pt>
                <c:pt idx="151">
                  <c:v>0.17612657531126988</c:v>
                </c:pt>
                <c:pt idx="152">
                  <c:v>0.17864136906663031</c:v>
                </c:pt>
                <c:pt idx="153">
                  <c:v>0.18107346832133767</c:v>
                </c:pt>
                <c:pt idx="154">
                  <c:v>0.18342320452812264</c:v>
                </c:pt>
                <c:pt idx="155">
                  <c:v>0.18562703772288938</c:v>
                </c:pt>
                <c:pt idx="156">
                  <c:v>0.18771669332620144</c:v>
                </c:pt>
                <c:pt idx="157">
                  <c:v>0.18969261190419059</c:v>
                </c:pt>
                <c:pt idx="158">
                  <c:v>0.1915552473561847</c:v>
                </c:pt>
                <c:pt idx="159">
                  <c:v>0.19330506541641515</c:v>
                </c:pt>
                <c:pt idx="160">
                  <c:v>0.19494254215807158</c:v>
                </c:pt>
                <c:pt idx="161">
                  <c:v>0.19646816249520027</c:v>
                </c:pt>
                <c:pt idx="162">
                  <c:v>0.19788241868562584</c:v>
                </c:pt>
                <c:pt idx="163">
                  <c:v>0.1991161322342887</c:v>
                </c:pt>
                <c:pt idx="164">
                  <c:v>0.20021639509279607</c:v>
                </c:pt>
                <c:pt idx="165">
                  <c:v>0.20118375307588929</c:v>
                </c:pt>
                <c:pt idx="166">
                  <c:v>0.20201875162507363</c:v>
                </c:pt>
                <c:pt idx="167">
                  <c:v>0.20272193399271096</c:v>
                </c:pt>
                <c:pt idx="168">
                  <c:v>0.2032938394325404</c:v>
                </c:pt>
                <c:pt idx="169">
                  <c:v>0.20366557159886908</c:v>
                </c:pt>
                <c:pt idx="170">
                  <c:v>0.20390107663803603</c:v>
                </c:pt>
                <c:pt idx="171">
                  <c:v>0.20400087717006779</c:v>
                </c:pt>
                <c:pt idx="172">
                  <c:v>0.20396548353042562</c:v>
                </c:pt>
                <c:pt idx="173">
                  <c:v>0.20379330785826225</c:v>
                </c:pt>
                <c:pt idx="174">
                  <c:v>0.20348264854217957</c:v>
                </c:pt>
                <c:pt idx="175">
                  <c:v>0.20303383473999778</c:v>
                </c:pt>
                <c:pt idx="176">
                  <c:v>0.20244719469848219</c:v>
                </c:pt>
                <c:pt idx="177">
                  <c:v>0.20165997399183286</c:v>
                </c:pt>
                <c:pt idx="178">
                  <c:v>0.20074170152364387</c:v>
                </c:pt>
                <c:pt idx="179">
                  <c:v>0.19969268835643261</c:v>
                </c:pt>
                <c:pt idx="180">
                  <c:v>0.19851324136342838</c:v>
                </c:pt>
                <c:pt idx="181">
                  <c:v>0.19720366245123844</c:v>
                </c:pt>
                <c:pt idx="182">
                  <c:v>0.19576424778426602</c:v>
                </c:pt>
                <c:pt idx="183">
                  <c:v>0.19414928882534757</c:v>
                </c:pt>
                <c:pt idx="184">
                  <c:v>0.192428041287214</c:v>
                </c:pt>
                <c:pt idx="185">
                  <c:v>0.19060074613479094</c:v>
                </c:pt>
                <c:pt idx="186">
                  <c:v>0.1886676363116998</c:v>
                </c:pt>
                <c:pt idx="187">
                  <c:v>0.18662893609999007</c:v>
                </c:pt>
                <c:pt idx="188">
                  <c:v>0.18448486048088833</c:v>
                </c:pt>
                <c:pt idx="189">
                  <c:v>0.18223561448984901</c:v>
                </c:pt>
                <c:pt idx="190">
                  <c:v>0.17988139257955216</c:v>
                </c:pt>
                <c:pt idx="191">
                  <c:v>0.17739171470555645</c:v>
                </c:pt>
                <c:pt idx="192">
                  <c:v>0.17482943143787613</c:v>
                </c:pt>
                <c:pt idx="193">
                  <c:v>0.17219466200270492</c:v>
                </c:pt>
                <c:pt idx="194">
                  <c:v>0.16948751461967071</c:v>
                </c:pt>
                <c:pt idx="195">
                  <c:v>0.16670808605372067</c:v>
                </c:pt>
                <c:pt idx="196">
                  <c:v>0.16385646116031716</c:v>
                </c:pt>
                <c:pt idx="197">
                  <c:v>0.16092895503093962</c:v>
                </c:pt>
                <c:pt idx="198">
                  <c:v>0.15797134197368273</c:v>
                </c:pt>
                <c:pt idx="199">
                  <c:v>0.15498362734445212</c:v>
                </c:pt>
                <c:pt idx="200">
                  <c:v>0.15196580658404699</c:v>
                </c:pt>
                <c:pt idx="201">
                  <c:v>0.14891786501320006</c:v>
                </c:pt>
                <c:pt idx="202">
                  <c:v>0.14583977762862874</c:v>
                </c:pt>
                <c:pt idx="203">
                  <c:v>0.14273150890233344</c:v>
                </c:pt>
                <c:pt idx="204">
                  <c:v>0.13959278715660042</c:v>
                </c:pt>
                <c:pt idx="205">
                  <c:v>0.13643478108984666</c:v>
                </c:pt>
                <c:pt idx="206">
                  <c:v>0.13328784729546739</c:v>
                </c:pt>
                <c:pt idx="207">
                  <c:v>0.13015180949519822</c:v>
                </c:pt>
                <c:pt idx="208">
                  <c:v>0.12702649591217396</c:v>
                </c:pt>
                <c:pt idx="209">
                  <c:v>0.12391173924519912</c:v>
                </c:pt>
                <c:pt idx="210">
                  <c:v>0.1208073766473059</c:v>
                </c:pt>
                <c:pt idx="211">
                  <c:v>0.11775200302839128</c:v>
                </c:pt>
                <c:pt idx="212">
                  <c:v>0.11474919227548495</c:v>
                </c:pt>
                <c:pt idx="213">
                  <c:v>0.11179877980159526</c:v>
                </c:pt>
                <c:pt idx="214">
                  <c:v>0.10890060826446646</c:v>
                </c:pt>
                <c:pt idx="215">
                  <c:v>0.10605452741093625</c:v>
                </c:pt>
                <c:pt idx="216">
                  <c:v>0.1032603939208605</c:v>
                </c:pt>
                <c:pt idx="217">
                  <c:v>0.10051807125142791</c:v>
                </c:pt>
                <c:pt idx="218">
                  <c:v>9.7827429480868477E-2</c:v>
                </c:pt>
                <c:pt idx="219">
                  <c:v>9.523945489203807E-2</c:v>
                </c:pt>
                <c:pt idx="220">
                  <c:v>9.2742531410600293E-2</c:v>
                </c:pt>
                <c:pt idx="221">
                  <c:v>9.0336544168884925E-2</c:v>
                </c:pt>
                <c:pt idx="222">
                  <c:v>8.8021386380693636E-2</c:v>
                </c:pt>
                <c:pt idx="223">
                  <c:v>8.5796959063792352E-2</c:v>
                </c:pt>
                <c:pt idx="224">
                  <c:v>8.3663170760120323E-2</c:v>
                </c:pt>
                <c:pt idx="225">
                  <c:v>8.1691997802741764E-2</c:v>
                </c:pt>
                <c:pt idx="226">
                  <c:v>7.9844647726919696E-2</c:v>
                </c:pt>
                <c:pt idx="227">
                  <c:v>7.8121052085003861E-2</c:v>
                </c:pt>
                <c:pt idx="228">
                  <c:v>7.6521150183962494E-2</c:v>
                </c:pt>
                <c:pt idx="229">
                  <c:v>7.5044888701666479E-2</c:v>
                </c:pt>
                <c:pt idx="230">
                  <c:v>7.3692221304450981E-2</c:v>
                </c:pt>
                <c:pt idx="231">
                  <c:v>7.2463108264879089E-2</c:v>
                </c:pt>
                <c:pt idx="232">
                  <c:v>7.1357516077920347E-2</c:v>
                </c:pt>
                <c:pt idx="233">
                  <c:v>7.0445102065839427E-2</c:v>
                </c:pt>
                <c:pt idx="234">
                  <c:v>6.9674742890455554E-2</c:v>
                </c:pt>
                <c:pt idx="235">
                  <c:v>6.9046481174124236E-2</c:v>
                </c:pt>
                <c:pt idx="236">
                  <c:v>6.8560385353945555E-2</c:v>
                </c:pt>
                <c:pt idx="237">
                  <c:v>6.821648369964832E-2</c:v>
                </c:pt>
                <c:pt idx="238">
                  <c:v>6.801480997332697E-2</c:v>
                </c:pt>
                <c:pt idx="239">
                  <c:v>6.7976033744424041E-2</c:v>
                </c:pt>
                <c:pt idx="240">
                  <c:v>6.8028098631403286E-2</c:v>
                </c:pt>
                <c:pt idx="241">
                  <c:v>6.8171041887993764E-2</c:v>
                </c:pt>
                <c:pt idx="242">
                  <c:v>6.8404904902441235E-2</c:v>
                </c:pt>
                <c:pt idx="243">
                  <c:v>6.8729733357584935E-2</c:v>
                </c:pt>
                <c:pt idx="244">
                  <c:v>6.9145577390538712E-2</c:v>
                </c:pt>
                <c:pt idx="245">
                  <c:v>6.9652491751649268E-2</c:v>
                </c:pt>
                <c:pt idx="246">
                  <c:v>7.0250535963330654E-2</c:v>
                </c:pt>
                <c:pt idx="247">
                  <c:v>7.0932002698546895E-2</c:v>
                </c:pt>
                <c:pt idx="248">
                  <c:v>7.1627169881578204E-2</c:v>
                </c:pt>
                <c:pt idx="249">
                  <c:v>7.2336074151707785E-2</c:v>
                </c:pt>
                <c:pt idx="250">
                  <c:v>7.3058753322933004E-2</c:v>
                </c:pt>
                <c:pt idx="251">
                  <c:v>7.3795246408591905E-2</c:v>
                </c:pt>
                <c:pt idx="252">
                  <c:v>7.4545593642919683E-2</c:v>
                </c:pt>
                <c:pt idx="253">
                  <c:v>7.5326284149104861E-2</c:v>
                </c:pt>
                <c:pt idx="254">
                  <c:v>7.611669540589984E-2</c:v>
                </c:pt>
                <c:pt idx="255">
                  <c:v>7.6916869149933662E-2</c:v>
                </c:pt>
                <c:pt idx="256">
                  <c:v>7.7726848184758168E-2</c:v>
                </c:pt>
                <c:pt idx="257">
                  <c:v>7.8546676395462187E-2</c:v>
                </c:pt>
                <c:pt idx="258">
                  <c:v>7.9376398764008552E-2</c:v>
                </c:pt>
                <c:pt idx="259">
                  <c:v>8.0216061385682394E-2</c:v>
                </c:pt>
                <c:pt idx="260">
                  <c:v>8.1065711483138139E-2</c:v>
                </c:pt>
                <c:pt idx="261">
                  <c:v>8.1936561280384804E-2</c:v>
                </c:pt>
                <c:pt idx="262">
                  <c:v>8.2836467810124756E-2</c:v>
                </c:pt>
                <c:pt idx="263">
                  <c:v>8.3765499526264442E-2</c:v>
                </c:pt>
                <c:pt idx="264">
                  <c:v>8.4723731457767973E-2</c:v>
                </c:pt>
                <c:pt idx="265">
                  <c:v>8.5711700665182591E-2</c:v>
                </c:pt>
                <c:pt idx="266">
                  <c:v>8.6729740685620824E-2</c:v>
                </c:pt>
                <c:pt idx="267">
                  <c:v>8.7715880962017587E-2</c:v>
                </c:pt>
                <c:pt idx="268">
                  <c:v>8.8653520750867576E-2</c:v>
                </c:pt>
                <c:pt idx="269">
                  <c:v>8.9542550426269393E-2</c:v>
                </c:pt>
                <c:pt idx="270">
                  <c:v>9.0382851384615256E-2</c:v>
                </c:pt>
                <c:pt idx="271">
                  <c:v>9.1174296602185692E-2</c:v>
                </c:pt>
                <c:pt idx="272">
                  <c:v>9.1916751195181071E-2</c:v>
                </c:pt>
                <c:pt idx="273">
                  <c:v>9.2610072978614941E-2</c:v>
                </c:pt>
                <c:pt idx="274">
                  <c:v>9.325411302640553E-2</c:v>
                </c:pt>
                <c:pt idx="275">
                  <c:v>9.385193480101435E-2</c:v>
                </c:pt>
                <c:pt idx="276">
                  <c:v>9.4392151340003602E-2</c:v>
                </c:pt>
                <c:pt idx="277">
                  <c:v>9.4874584914094132E-2</c:v>
                </c:pt>
                <c:pt idx="278">
                  <c:v>9.5299052947918003E-2</c:v>
                </c:pt>
                <c:pt idx="279">
                  <c:v>9.5665368667021952E-2</c:v>
                </c:pt>
                <c:pt idx="280">
                  <c:v>9.5973341745766882E-2</c:v>
                </c:pt>
                <c:pt idx="281">
                  <c:v>9.6372536862233682E-2</c:v>
                </c:pt>
                <c:pt idx="282">
                  <c:v>9.6925396727350829E-2</c:v>
                </c:pt>
                <c:pt idx="283">
                  <c:v>9.7632057703156708E-2</c:v>
                </c:pt>
                <c:pt idx="284">
                  <c:v>9.8492654851244185E-2</c:v>
                </c:pt>
                <c:pt idx="285">
                  <c:v>9.9507320257974083E-2</c:v>
                </c:pt>
                <c:pt idx="286">
                  <c:v>0.1006761813606281</c:v>
                </c:pt>
                <c:pt idx="287">
                  <c:v>0.1019993592725945</c:v>
                </c:pt>
                <c:pt idx="288">
                  <c:v>0.10347696710892433</c:v>
                </c:pt>
                <c:pt idx="289">
                  <c:v>0.1052666047331597</c:v>
                </c:pt>
                <c:pt idx="290">
                  <c:v>0.10736535695102423</c:v>
                </c:pt>
                <c:pt idx="291">
                  <c:v>0.1097735271870199</c:v>
                </c:pt>
                <c:pt idx="292">
                  <c:v>0.11249139564178801</c:v>
                </c:pt>
                <c:pt idx="293">
                  <c:v>0.11551921593665189</c:v>
                </c:pt>
                <c:pt idx="294">
                  <c:v>0.11885721175775917</c:v>
                </c:pt>
                <c:pt idx="295">
                  <c:v>0.12255303616655633</c:v>
                </c:pt>
                <c:pt idx="296">
                  <c:v>0.12645756135657779</c:v>
                </c:pt>
                <c:pt idx="297">
                  <c:v>0.13057201654060496</c:v>
                </c:pt>
                <c:pt idx="298">
                  <c:v>0.13489664109122165</c:v>
                </c:pt>
                <c:pt idx="299">
                  <c:v>0.139431666223086</c:v>
                </c:pt>
                <c:pt idx="300">
                  <c:v>0.14417731309501058</c:v>
                </c:pt>
                <c:pt idx="301">
                  <c:v>0.14913379091163975</c:v>
                </c:pt>
                <c:pt idx="302">
                  <c:v>0.15430129502543663</c:v>
                </c:pt>
                <c:pt idx="303">
                  <c:v>0.1594869942734107</c:v>
                </c:pt>
                <c:pt idx="304">
                  <c:v>0.16453216068285983</c:v>
                </c:pt>
                <c:pt idx="305">
                  <c:v>0.16943643497699198</c:v>
                </c:pt>
                <c:pt idx="306">
                  <c:v>0.17419944039700561</c:v>
                </c:pt>
                <c:pt idx="307">
                  <c:v>0.17882078404097534</c:v>
                </c:pt>
                <c:pt idx="308">
                  <c:v>0.18330005820124751</c:v>
                </c:pt>
                <c:pt idx="309">
                  <c:v>0.18735392037852186</c:v>
                </c:pt>
                <c:pt idx="310">
                  <c:v>0.19093376439707654</c:v>
                </c:pt>
                <c:pt idx="311">
                  <c:v>0.19403870326856598</c:v>
                </c:pt>
                <c:pt idx="312">
                  <c:v>0.19666785557222025</c:v>
                </c:pt>
                <c:pt idx="313">
                  <c:v>0.19882034983015995</c:v>
                </c:pt>
                <c:pt idx="314">
                  <c:v>0.20049532888093657</c:v>
                </c:pt>
                <c:pt idx="315">
                  <c:v>0.20169195425556063</c:v>
                </c:pt>
                <c:pt idx="316">
                  <c:v>0.20240941055045339</c:v>
                </c:pt>
                <c:pt idx="317">
                  <c:v>0.20258850002729364</c:v>
                </c:pt>
                <c:pt idx="318">
                  <c:v>0.20242269694320289</c:v>
                </c:pt>
                <c:pt idx="319">
                  <c:v>0.20191143377292783</c:v>
                </c:pt>
                <c:pt idx="320">
                  <c:v>0.20105417208204215</c:v>
                </c:pt>
                <c:pt idx="321">
                  <c:v>0.19985040565939619</c:v>
                </c:pt>
                <c:pt idx="322">
                  <c:v>0.19829966365039295</c:v>
                </c:pt>
                <c:pt idx="323">
                  <c:v>0.19644462470489402</c:v>
                </c:pt>
                <c:pt idx="324">
                  <c:v>0.19456949917374586</c:v>
                </c:pt>
                <c:pt idx="325">
                  <c:v>0.19267419078194672</c:v>
                </c:pt>
                <c:pt idx="326">
                  <c:v>0.19075742609375909</c:v>
                </c:pt>
                <c:pt idx="327">
                  <c:v>0.18881877262331115</c:v>
                </c:pt>
                <c:pt idx="328">
                  <c:v>0.18685878246126575</c:v>
                </c:pt>
                <c:pt idx="329">
                  <c:v>0.18487799366400534</c:v>
                </c:pt>
                <c:pt idx="330">
                  <c:v>0.18287692993085303</c:v>
                </c:pt>
                <c:pt idx="331">
                  <c:v>0.18087037334195713</c:v>
                </c:pt>
                <c:pt idx="332">
                  <c:v>0.17891745280883833</c:v>
                </c:pt>
                <c:pt idx="333">
                  <c:v>0.17701866407975997</c:v>
                </c:pt>
                <c:pt idx="334">
                  <c:v>0.17517448100583569</c:v>
                </c:pt>
                <c:pt idx="335">
                  <c:v>0.17338535673760327</c:v>
                </c:pt>
                <c:pt idx="336">
                  <c:v>0.17165172491924782</c:v>
                </c:pt>
                <c:pt idx="337">
                  <c:v>0.17001517819770476</c:v>
                </c:pt>
                <c:pt idx="338">
                  <c:v>0.16843292035043236</c:v>
                </c:pt>
                <c:pt idx="339">
                  <c:v>0.16690533300809027</c:v>
                </c:pt>
                <c:pt idx="340">
                  <c:v>0.16543278344297596</c:v>
                </c:pt>
                <c:pt idx="341">
                  <c:v>0.16401562572278361</c:v>
                </c:pt>
                <c:pt idx="342">
                  <c:v>0.1626542018641994</c:v>
                </c:pt>
                <c:pt idx="343">
                  <c:v>0.16134884298452573</c:v>
                </c:pt>
                <c:pt idx="344">
                  <c:v>0.16009987045589075</c:v>
                </c:pt>
                <c:pt idx="345">
                  <c:v>0.15890759705772697</c:v>
                </c:pt>
                <c:pt idx="346">
                  <c:v>0.15782152426847726</c:v>
                </c:pt>
                <c:pt idx="347">
                  <c:v>0.15684196094402508</c:v>
                </c:pt>
                <c:pt idx="348">
                  <c:v>0.15596921509928671</c:v>
                </c:pt>
                <c:pt idx="349">
                  <c:v>0.15520359608262077</c:v>
                </c:pt>
                <c:pt idx="350">
                  <c:v>0.15454541675389621</c:v>
                </c:pt>
                <c:pt idx="351">
                  <c:v>0.15405850597853379</c:v>
                </c:pt>
                <c:pt idx="352">
                  <c:v>0.15370200438992224</c:v>
                </c:pt>
                <c:pt idx="353">
                  <c:v>0.15347626553672813</c:v>
                </c:pt>
                <c:pt idx="354">
                  <c:v>0.15338165932419032</c:v>
                </c:pt>
                <c:pt idx="355">
                  <c:v>0.1534185746454976</c:v>
                </c:pt>
                <c:pt idx="356">
                  <c:v>0.15358752815873675</c:v>
                </c:pt>
                <c:pt idx="357">
                  <c:v>0.15388861235530085</c:v>
                </c:pt>
                <c:pt idx="358">
                  <c:v>0.1543215721425521</c:v>
                </c:pt>
                <c:pt idx="359">
                  <c:v>0.15488617136449839</c:v>
                </c:pt>
                <c:pt idx="360">
                  <c:v>0.15562350021543658</c:v>
                </c:pt>
                <c:pt idx="361">
                  <c:v>0.15646970899205204</c:v>
                </c:pt>
                <c:pt idx="362">
                  <c:v>0.15742457275112928</c:v>
                </c:pt>
                <c:pt idx="363">
                  <c:v>0.15848786984809968</c:v>
                </c:pt>
                <c:pt idx="364">
                  <c:v>0.15965937925317306</c:v>
                </c:pt>
                <c:pt idx="365">
                  <c:v>0.16093887786559072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0.18397248513498288</c:v>
                </c:pt>
                <c:pt idx="1">
                  <c:v>0.18556273552766922</c:v>
                </c:pt>
                <c:pt idx="2">
                  <c:v>0.18723399364670607</c:v>
                </c:pt>
                <c:pt idx="3">
                  <c:v>0.18898591850359334</c:v>
                </c:pt>
                <c:pt idx="4">
                  <c:v>0.19081815418513931</c:v>
                </c:pt>
                <c:pt idx="5">
                  <c:v>0.19273032785126307</c:v>
                </c:pt>
                <c:pt idx="6">
                  <c:v>0.19472204773525759</c:v>
                </c:pt>
                <c:pt idx="7">
                  <c:v>0.1967929011397497</c:v>
                </c:pt>
                <c:pt idx="8">
                  <c:v>0.19894245243529912</c:v>
                </c:pt>
                <c:pt idx="9">
                  <c:v>0.2012151184822234</c:v>
                </c:pt>
                <c:pt idx="10">
                  <c:v>0.20355569165284632</c:v>
                </c:pt>
                <c:pt idx="11">
                  <c:v>0.20596364092994834</c:v>
                </c:pt>
                <c:pt idx="12">
                  <c:v>0.20843840505374642</c:v>
                </c:pt>
                <c:pt idx="13">
                  <c:v>0.21097939077166694</c:v>
                </c:pt>
                <c:pt idx="14">
                  <c:v>0.21358597108449093</c:v>
                </c:pt>
                <c:pt idx="15">
                  <c:v>0.21636876529759552</c:v>
                </c:pt>
                <c:pt idx="16">
                  <c:v>0.21930313960397679</c:v>
                </c:pt>
                <c:pt idx="17">
                  <c:v>0.222388412611978</c:v>
                </c:pt>
                <c:pt idx="18">
                  <c:v>0.22562384292563148</c:v>
                </c:pt>
                <c:pt idx="19">
                  <c:v>0.22900990256991222</c:v>
                </c:pt>
                <c:pt idx="20">
                  <c:v>0.23254766047744468</c:v>
                </c:pt>
                <c:pt idx="21">
                  <c:v>0.23623721807791567</c:v>
                </c:pt>
                <c:pt idx="22">
                  <c:v>0.24007867150149786</c:v>
                </c:pt>
                <c:pt idx="23">
                  <c:v>0.24391364002120838</c:v>
                </c:pt>
                <c:pt idx="24">
                  <c:v>0.24769712781711867</c:v>
                </c:pt>
                <c:pt idx="25">
                  <c:v>0.25142920174415784</c:v>
                </c:pt>
                <c:pt idx="26">
                  <c:v>0.25510995293069189</c:v>
                </c:pt>
                <c:pt idx="27">
                  <c:v>0.25873949618798842</c:v>
                </c:pt>
                <c:pt idx="28">
                  <c:v>0.26231796942511909</c:v>
                </c:pt>
                <c:pt idx="29">
                  <c:v>0.26538692593736429</c:v>
                </c:pt>
                <c:pt idx="30">
                  <c:v>0.26783511343346506</c:v>
                </c:pt>
                <c:pt idx="31">
                  <c:v>0.26966281316846535</c:v>
                </c:pt>
                <c:pt idx="32">
                  <c:v>0.27087036232446865</c:v>
                </c:pt>
                <c:pt idx="33">
                  <c:v>0.27145814629543025</c:v>
                </c:pt>
                <c:pt idx="34">
                  <c:v>0.2714265909731835</c:v>
                </c:pt>
                <c:pt idx="35">
                  <c:v>0.27077615503325791</c:v>
                </c:pt>
                <c:pt idx="36">
                  <c:v>0.26950732222012819</c:v>
                </c:pt>
                <c:pt idx="37">
                  <c:v>0.26735526546114807</c:v>
                </c:pt>
                <c:pt idx="38">
                  <c:v>0.26447898070685033</c:v>
                </c:pt>
                <c:pt idx="39">
                  <c:v>0.260879010671418</c:v>
                </c:pt>
                <c:pt idx="40">
                  <c:v>0.25655589156370623</c:v>
                </c:pt>
                <c:pt idx="41">
                  <c:v>0.25151014403721944</c:v>
                </c:pt>
                <c:pt idx="42">
                  <c:v>0.24574226413821815</c:v>
                </c:pt>
                <c:pt idx="43">
                  <c:v>0.23937482599639881</c:v>
                </c:pt>
                <c:pt idx="44">
                  <c:v>0.23286633941813115</c:v>
                </c:pt>
                <c:pt idx="45">
                  <c:v>0.22621704326717326</c:v>
                </c:pt>
                <c:pt idx="46">
                  <c:v>0.21942713901433281</c:v>
                </c:pt>
                <c:pt idx="47">
                  <c:v>0.21249678894875318</c:v>
                </c:pt>
                <c:pt idx="48">
                  <c:v>0.20542611438621047</c:v>
                </c:pt>
                <c:pt idx="49">
                  <c:v>0.19821519387944353</c:v>
                </c:pt>
                <c:pt idx="50">
                  <c:v>0.19086406142717227</c:v>
                </c:pt>
                <c:pt idx="51">
                  <c:v>0.18371103067056421</c:v>
                </c:pt>
                <c:pt idx="52">
                  <c:v>0.17702014018346993</c:v>
                </c:pt>
                <c:pt idx="53">
                  <c:v>0.1707902964124538</c:v>
                </c:pt>
                <c:pt idx="54">
                  <c:v>0.16502137030692021</c:v>
                </c:pt>
                <c:pt idx="55">
                  <c:v>0.15971324962826072</c:v>
                </c:pt>
                <c:pt idx="56">
                  <c:v>0.15486583724656286</c:v>
                </c:pt>
                <c:pt idx="57">
                  <c:v>0.15060176965227109</c:v>
                </c:pt>
                <c:pt idx="58">
                  <c:v>0.14679891765991712</c:v>
                </c:pt>
                <c:pt idx="59">
                  <c:v>0.14345721963552077</c:v>
                </c:pt>
                <c:pt idx="60">
                  <c:v>0.14057662206189406</c:v>
                </c:pt>
                <c:pt idx="61">
                  <c:v>0.13815707783300682</c:v>
                </c:pt>
                <c:pt idx="62">
                  <c:v>0.13619854454814484</c:v>
                </c:pt>
                <c:pt idx="63">
                  <c:v>0.13470098280648474</c:v>
                </c:pt>
                <c:pt idx="64">
                  <c:v>0.13366435450111816</c:v>
                </c:pt>
                <c:pt idx="65">
                  <c:v>0.13300107031017708</c:v>
                </c:pt>
                <c:pt idx="66">
                  <c:v>0.13237274822649334</c:v>
                </c:pt>
                <c:pt idx="67">
                  <c:v>0.13177934278438924</c:v>
                </c:pt>
                <c:pt idx="68">
                  <c:v>0.13122080901402883</c:v>
                </c:pt>
                <c:pt idx="69">
                  <c:v>0.13069710231086459</c:v>
                </c:pt>
                <c:pt idx="70">
                  <c:v>0.13020817830570253</c:v>
                </c:pt>
                <c:pt idx="71">
                  <c:v>0.1297642223769381</c:v>
                </c:pt>
                <c:pt idx="72">
                  <c:v>0.12924246731228059</c:v>
                </c:pt>
                <c:pt idx="73">
                  <c:v>0.12864287468378599</c:v>
                </c:pt>
                <c:pt idx="74">
                  <c:v>0.12796540881835064</c:v>
                </c:pt>
                <c:pt idx="75">
                  <c:v>0.12721003708394873</c:v>
                </c:pt>
                <c:pt idx="76">
                  <c:v>0.12637673017546971</c:v>
                </c:pt>
                <c:pt idx="77">
                  <c:v>0.12546546240097178</c:v>
                </c:pt>
                <c:pt idx="78">
                  <c:v>0.12447621610024878</c:v>
                </c:pt>
                <c:pt idx="79">
                  <c:v>0.12344619882472699</c:v>
                </c:pt>
                <c:pt idx="80">
                  <c:v>0.12246323647018692</c:v>
                </c:pt>
                <c:pt idx="81">
                  <c:v>0.12152728364228799</c:v>
                </c:pt>
                <c:pt idx="82">
                  <c:v>0.12063829606318875</c:v>
                </c:pt>
                <c:pt idx="83">
                  <c:v>0.1197962304209895</c:v>
                </c:pt>
                <c:pt idx="84">
                  <c:v>0.11900104421957645</c:v>
                </c:pt>
                <c:pt idx="85">
                  <c:v>0.11823407258299672</c:v>
                </c:pt>
                <c:pt idx="86">
                  <c:v>0.1174850536418251</c:v>
                </c:pt>
                <c:pt idx="87">
                  <c:v>0.11675395144886253</c:v>
                </c:pt>
                <c:pt idx="88">
                  <c:v>0.11604073074757916</c:v>
                </c:pt>
                <c:pt idx="89">
                  <c:v>0.11534535691415367</c:v>
                </c:pt>
                <c:pt idx="90">
                  <c:v>0.11466779589927156</c:v>
                </c:pt>
                <c:pt idx="91">
                  <c:v>0.11400801417036333</c:v>
                </c:pt>
                <c:pt idx="92">
                  <c:v>0.11336597865353124</c:v>
                </c:pt>
                <c:pt idx="93">
                  <c:v>0.11272597550480801</c:v>
                </c:pt>
                <c:pt idx="94">
                  <c:v>0.11205126839753835</c:v>
                </c:pt>
                <c:pt idx="95">
                  <c:v>0.11134183908056394</c:v>
                </c:pt>
                <c:pt idx="96">
                  <c:v>0.11059767117860618</c:v>
                </c:pt>
                <c:pt idx="97">
                  <c:v>0.10981875030284854</c:v>
                </c:pt>
                <c:pt idx="98">
                  <c:v>0.10900506416052402</c:v>
                </c:pt>
                <c:pt idx="99">
                  <c:v>0.10822258737998205</c:v>
                </c:pt>
                <c:pt idx="100">
                  <c:v>0.10748989006391409</c:v>
                </c:pt>
                <c:pt idx="101">
                  <c:v>0.10680693448982174</c:v>
                </c:pt>
                <c:pt idx="102">
                  <c:v>0.10617368177749609</c:v>
                </c:pt>
                <c:pt idx="103">
                  <c:v>0.1055900917265543</c:v>
                </c:pt>
                <c:pt idx="104">
                  <c:v>0.10505612265646458</c:v>
                </c:pt>
                <c:pt idx="105">
                  <c:v>0.10457173124426768</c:v>
                </c:pt>
                <c:pt idx="106">
                  <c:v>0.10413687236357382</c:v>
                </c:pt>
                <c:pt idx="107">
                  <c:v>0.10384154080455438</c:v>
                </c:pt>
                <c:pt idx="108">
                  <c:v>0.10370129071125804</c:v>
                </c:pt>
                <c:pt idx="109">
                  <c:v>0.10371600831401351</c:v>
                </c:pt>
                <c:pt idx="110">
                  <c:v>0.10388586700467761</c:v>
                </c:pt>
                <c:pt idx="111">
                  <c:v>0.10421104205095501</c:v>
                </c:pt>
                <c:pt idx="112">
                  <c:v>0.10469141283118817</c:v>
                </c:pt>
                <c:pt idx="113">
                  <c:v>0.10538789585661837</c:v>
                </c:pt>
                <c:pt idx="114">
                  <c:v>0.10623450339854339</c:v>
                </c:pt>
                <c:pt idx="115">
                  <c:v>0.10723110237068822</c:v>
                </c:pt>
                <c:pt idx="116">
                  <c:v>0.10837755421459763</c:v>
                </c:pt>
                <c:pt idx="117">
                  <c:v>0.10967371457030957</c:v>
                </c:pt>
                <c:pt idx="118">
                  <c:v>0.11111943294595586</c:v>
                </c:pt>
                <c:pt idx="119">
                  <c:v>0.11271455238766304</c:v>
                </c:pt>
                <c:pt idx="120">
                  <c:v>0.11445890914926923</c:v>
                </c:pt>
                <c:pt idx="121">
                  <c:v>0.11639757889188532</c:v>
                </c:pt>
                <c:pt idx="122">
                  <c:v>0.11844060298938865</c:v>
                </c:pt>
                <c:pt idx="123">
                  <c:v>0.12058783023989585</c:v>
                </c:pt>
                <c:pt idx="124">
                  <c:v>0.12283910318793799</c:v>
                </c:pt>
                <c:pt idx="125">
                  <c:v>0.1251942578928649</c:v>
                </c:pt>
                <c:pt idx="126">
                  <c:v>0.12765312369558021</c:v>
                </c:pt>
                <c:pt idx="127">
                  <c:v>0.13023305950370731</c:v>
                </c:pt>
                <c:pt idx="128">
                  <c:v>0.13287305739597094</c:v>
                </c:pt>
                <c:pt idx="129">
                  <c:v>0.13557296560878149</c:v>
                </c:pt>
                <c:pt idx="130">
                  <c:v>0.13833262690724779</c:v>
                </c:pt>
                <c:pt idx="131">
                  <c:v>0.14115187844621691</c:v>
                </c:pt>
                <c:pt idx="132">
                  <c:v>0.14403055163252818</c:v>
                </c:pt>
                <c:pt idx="133">
                  <c:v>0.14696847198817059</c:v>
                </c:pt>
                <c:pt idx="134">
                  <c:v>0.1499654590127584</c:v>
                </c:pt>
                <c:pt idx="135">
                  <c:v>0.15302220591373325</c:v>
                </c:pt>
                <c:pt idx="136">
                  <c:v>0.15609348686547278</c:v>
                </c:pt>
                <c:pt idx="137">
                  <c:v>0.15917915405431052</c:v>
                </c:pt>
                <c:pt idx="138">
                  <c:v>0.16227905580001831</c:v>
                </c:pt>
                <c:pt idx="139">
                  <c:v>0.16539303651933326</c:v>
                </c:pt>
                <c:pt idx="140">
                  <c:v>0.16852093668045773</c:v>
                </c:pt>
                <c:pt idx="141">
                  <c:v>0.1716316897791787</c:v>
                </c:pt>
                <c:pt idx="142">
                  <c:v>0.17470676864885146</c:v>
                </c:pt>
                <c:pt idx="143">
                  <c:v>0.17774522368928825</c:v>
                </c:pt>
                <c:pt idx="144">
                  <c:v>0.18074714070433859</c:v>
                </c:pt>
                <c:pt idx="145">
                  <c:v>0.18371262579712835</c:v>
                </c:pt>
                <c:pt idx="146">
                  <c:v>0.18664180496373725</c:v>
                </c:pt>
                <c:pt idx="147">
                  <c:v>0.1895348236929893</c:v>
                </c:pt>
                <c:pt idx="148">
                  <c:v>0.19239184656192107</c:v>
                </c:pt>
                <c:pt idx="149">
                  <c:v>0.19516660959701346</c:v>
                </c:pt>
                <c:pt idx="150">
                  <c:v>0.19785852220046676</c:v>
                </c:pt>
                <c:pt idx="151">
                  <c:v>0.20046788977580288</c:v>
                </c:pt>
                <c:pt idx="152">
                  <c:v>0.20299503758090889</c:v>
                </c:pt>
                <c:pt idx="153">
                  <c:v>0.20544030968573956</c:v>
                </c:pt>
                <c:pt idx="154">
                  <c:v>0.20780406793110576</c:v>
                </c:pt>
                <c:pt idx="155">
                  <c:v>0.21002238154520797</c:v>
                </c:pt>
                <c:pt idx="156">
                  <c:v>0.21212641082905323</c:v>
                </c:pt>
                <c:pt idx="157">
                  <c:v>0.21411662905654238</c:v>
                </c:pt>
                <c:pt idx="158">
                  <c:v>0.21599352299569444</c:v>
                </c:pt>
                <c:pt idx="159">
                  <c:v>0.21775759141056417</c:v>
                </c:pt>
                <c:pt idx="160">
                  <c:v>0.21940934356580724</c:v>
                </c:pt>
                <c:pt idx="161">
                  <c:v>0.22094929772881386</c:v>
                </c:pt>
                <c:pt idx="162">
                  <c:v>0.22237797967299566</c:v>
                </c:pt>
                <c:pt idx="163">
                  <c:v>0.22362442581355091</c:v>
                </c:pt>
                <c:pt idx="164">
                  <c:v>0.22473532119368</c:v>
                </c:pt>
                <c:pt idx="165">
                  <c:v>0.22571124971103115</c:v>
                </c:pt>
                <c:pt idx="166">
                  <c:v>0.22655279491211705</c:v>
                </c:pt>
                <c:pt idx="167">
                  <c:v>0.22726053814557143</c:v>
                </c:pt>
                <c:pt idx="168">
                  <c:v>0.22783505672261689</c:v>
                </c:pt>
                <c:pt idx="169">
                  <c:v>0.22820567996023358</c:v>
                </c:pt>
                <c:pt idx="170">
                  <c:v>0.22843681234187282</c:v>
                </c:pt>
                <c:pt idx="171">
                  <c:v>0.2285290163756436</c:v>
                </c:pt>
                <c:pt idx="172">
                  <c:v>0.22848284196447063</c:v>
                </c:pt>
                <c:pt idx="173">
                  <c:v>0.22829648987225443</c:v>
                </c:pt>
                <c:pt idx="174">
                  <c:v>0.22796803413830594</c:v>
                </c:pt>
                <c:pt idx="175">
                  <c:v>0.22749782375114092</c:v>
                </c:pt>
                <c:pt idx="176">
                  <c:v>0.22688620676461285</c:v>
                </c:pt>
                <c:pt idx="177">
                  <c:v>0.22607003252767757</c:v>
                </c:pt>
                <c:pt idx="178">
                  <c:v>0.22512065424500385</c:v>
                </c:pt>
                <c:pt idx="179">
                  <c:v>0.22403840050684304</c:v>
                </c:pt>
                <c:pt idx="180">
                  <c:v>0.22282359563177359</c:v>
                </c:pt>
                <c:pt idx="181">
                  <c:v>0.22147655887619419</c:v>
                </c:pt>
                <c:pt idx="182">
                  <c:v>0.219997603645781</c:v>
                </c:pt>
                <c:pt idx="183">
                  <c:v>0.21834147821053285</c:v>
                </c:pt>
                <c:pt idx="184">
                  <c:v>0.21657925332812503</c:v>
                </c:pt>
                <c:pt idx="185">
                  <c:v>0.21471118364104672</c:v>
                </c:pt>
                <c:pt idx="186">
                  <c:v>0.21273751570198754</c:v>
                </c:pt>
                <c:pt idx="187">
                  <c:v>0.21065848733382292</c:v>
                </c:pt>
                <c:pt idx="188">
                  <c:v>0.20847432699075336</c:v>
                </c:pt>
                <c:pt idx="189">
                  <c:v>0.20618525311301156</c:v>
                </c:pt>
                <c:pt idx="190">
                  <c:v>0.20379147349054197</c:v>
                </c:pt>
                <c:pt idx="191">
                  <c:v>0.20126310686290302</c:v>
                </c:pt>
                <c:pt idx="192">
                  <c:v>0.19866342936357365</c:v>
                </c:pt>
                <c:pt idx="193">
                  <c:v>0.19599257216767713</c:v>
                </c:pt>
                <c:pt idx="194">
                  <c:v>0.19325065544688544</c:v>
                </c:pt>
                <c:pt idx="195">
                  <c:v>0.19043778792788793</c:v>
                </c:pt>
                <c:pt idx="196">
                  <c:v>0.18755406644325323</c:v>
                </c:pt>
                <c:pt idx="197">
                  <c:v>0.18460042780872157</c:v>
                </c:pt>
                <c:pt idx="198">
                  <c:v>0.18162221672537343</c:v>
                </c:pt>
                <c:pt idx="199">
                  <c:v>0.17861944674380692</c:v>
                </c:pt>
                <c:pt idx="200">
                  <c:v>0.17559212192901927</c:v>
                </c:pt>
                <c:pt idx="201">
                  <c:v>0.17254023668598562</c:v>
                </c:pt>
                <c:pt idx="202">
                  <c:v>0.16946377558638651</c:v>
                </c:pt>
                <c:pt idx="203">
                  <c:v>0.16636271319910786</c:v>
                </c:pt>
                <c:pt idx="204">
                  <c:v>0.16323675031456281</c:v>
                </c:pt>
                <c:pt idx="205">
                  <c:v>0.16010240411507962</c:v>
                </c:pt>
                <c:pt idx="206">
                  <c:v>0.1569894350524853</c:v>
                </c:pt>
                <c:pt idx="207">
                  <c:v>0.15389765461394198</c:v>
                </c:pt>
                <c:pt idx="208">
                  <c:v>0.15082687955311422</c:v>
                </c:pt>
                <c:pt idx="209">
                  <c:v>0.14777693183315518</c:v>
                </c:pt>
                <c:pt idx="210">
                  <c:v>0.14474763857477846</c:v>
                </c:pt>
                <c:pt idx="211">
                  <c:v>0.14178232300863869</c:v>
                </c:pt>
                <c:pt idx="212">
                  <c:v>0.13887995482652116</c:v>
                </c:pt>
                <c:pt idx="213">
                  <c:v>0.13604036144513404</c:v>
                </c:pt>
                <c:pt idx="214">
                  <c:v>0.13326337810895988</c:v>
                </c:pt>
                <c:pt idx="215">
                  <c:v>0.13054884770326267</c:v>
                </c:pt>
                <c:pt idx="216">
                  <c:v>0.12789662056657486</c:v>
                </c:pt>
                <c:pt idx="217">
                  <c:v>0.1253065543036691</c:v>
                </c:pt>
                <c:pt idx="218">
                  <c:v>0.1227785135977866</c:v>
                </c:pt>
                <c:pt idx="219">
                  <c:v>0.12037088669956975</c:v>
                </c:pt>
                <c:pt idx="220">
                  <c:v>0.11806667249371888</c:v>
                </c:pt>
                <c:pt idx="221">
                  <c:v>0.11586575183759973</c:v>
                </c:pt>
                <c:pt idx="222">
                  <c:v>0.11376801410223067</c:v>
                </c:pt>
                <c:pt idx="223">
                  <c:v>0.11177335685749455</c:v>
                </c:pt>
                <c:pt idx="224">
                  <c:v>0.10988168555445128</c:v>
                </c:pt>
                <c:pt idx="225">
                  <c:v>0.1081791127142477</c:v>
                </c:pt>
                <c:pt idx="226">
                  <c:v>0.10662211031925184</c:v>
                </c:pt>
                <c:pt idx="227">
                  <c:v>0.10521060813251869</c:v>
                </c:pt>
                <c:pt idx="228">
                  <c:v>0.10394454426550946</c:v>
                </c:pt>
                <c:pt idx="229">
                  <c:v>0.10282386472710171</c:v>
                </c:pt>
                <c:pt idx="230">
                  <c:v>0.10184852297430115</c:v>
                </c:pt>
                <c:pt idx="231">
                  <c:v>0.10101847946326112</c:v>
                </c:pt>
                <c:pt idx="232">
                  <c:v>0.10033370119811487</c:v>
                </c:pt>
                <c:pt idx="233">
                  <c:v>9.9857269548526681E-2</c:v>
                </c:pt>
                <c:pt idx="234">
                  <c:v>9.9530654013094105E-2</c:v>
                </c:pt>
                <c:pt idx="235">
                  <c:v>9.9353920407284496E-2</c:v>
                </c:pt>
                <c:pt idx="236">
                  <c:v>9.9327171504026937E-2</c:v>
                </c:pt>
                <c:pt idx="237">
                  <c:v>9.945045157054877E-2</c:v>
                </c:pt>
                <c:pt idx="238">
                  <c:v>9.9723811000744636E-2</c:v>
                </c:pt>
                <c:pt idx="239">
                  <c:v>0.10013231168231373</c:v>
                </c:pt>
                <c:pt idx="240">
                  <c:v>0.10058975747199439</c:v>
                </c:pt>
                <c:pt idx="241">
                  <c:v>0.1010961889759924</c:v>
                </c:pt>
                <c:pt idx="242">
                  <c:v>0.10165164930233803</c:v>
                </c:pt>
                <c:pt idx="243">
                  <c:v>0.10225618414678656</c:v>
                </c:pt>
                <c:pt idx="244">
                  <c:v>0.10290984187814195</c:v>
                </c:pt>
                <c:pt idx="245">
                  <c:v>0.10361267362250183</c:v>
                </c:pt>
                <c:pt idx="246">
                  <c:v>0.10436473334731677</c:v>
                </c:pt>
                <c:pt idx="247">
                  <c:v>0.10514826245141898</c:v>
                </c:pt>
                <c:pt idx="248">
                  <c:v>0.10590011101904795</c:v>
                </c:pt>
                <c:pt idx="249">
                  <c:v>0.10662030193597784</c:v>
                </c:pt>
                <c:pt idx="250">
                  <c:v>0.10730885683823821</c:v>
                </c:pt>
                <c:pt idx="251">
                  <c:v>0.10796579605707798</c:v>
                </c:pt>
                <c:pt idx="252">
                  <c:v>0.10859113855939263</c:v>
                </c:pt>
                <c:pt idx="253">
                  <c:v>0.10922007624197658</c:v>
                </c:pt>
                <c:pt idx="254">
                  <c:v>0.10986767536245026</c:v>
                </c:pt>
                <c:pt idx="255">
                  <c:v>0.11053398464219731</c:v>
                </c:pt>
                <c:pt idx="256">
                  <c:v>0.11121905428537958</c:v>
                </c:pt>
                <c:pt idx="257">
                  <c:v>0.11192293600853993</c:v>
                </c:pt>
                <c:pt idx="258">
                  <c:v>0.11264568307125475</c:v>
                </c:pt>
                <c:pt idx="259">
                  <c:v>0.11338735030835351</c:v>
                </c:pt>
                <c:pt idx="260">
                  <c:v>0.114147994158718</c:v>
                </c:pt>
                <c:pt idx="261">
                  <c:v>0.11493748315169809</c:v>
                </c:pt>
                <c:pt idx="262">
                  <c:v>0.11577376049492005</c:v>
                </c:pt>
                <c:pt idx="263">
                  <c:v>0.11665691332733345</c:v>
                </c:pt>
                <c:pt idx="264">
                  <c:v>0.11758703808063475</c:v>
                </c:pt>
                <c:pt idx="265">
                  <c:v>0.11856487043025525</c:v>
                </c:pt>
                <c:pt idx="266">
                  <c:v>0.11959085746131154</c:v>
                </c:pt>
                <c:pt idx="267">
                  <c:v>0.12058084560616612</c:v>
                </c:pt>
                <c:pt idx="268">
                  <c:v>0.12149938411075235</c:v>
                </c:pt>
                <c:pt idx="269">
                  <c:v>0.12234629796840601</c:v>
                </c:pt>
                <c:pt idx="270">
                  <c:v>0.12312140102007375</c:v>
                </c:pt>
                <c:pt idx="271">
                  <c:v>0.12382449677036468</c:v>
                </c:pt>
                <c:pt idx="272">
                  <c:v>0.12445537920694644</c:v>
                </c:pt>
                <c:pt idx="273">
                  <c:v>0.12501383361839047</c:v>
                </c:pt>
                <c:pt idx="274">
                  <c:v>0.12549963741364234</c:v>
                </c:pt>
                <c:pt idx="275">
                  <c:v>0.12603090563527883</c:v>
                </c:pt>
                <c:pt idx="276">
                  <c:v>0.1265977076715202</c:v>
                </c:pt>
                <c:pt idx="277">
                  <c:v>0.12719996776518336</c:v>
                </c:pt>
                <c:pt idx="278">
                  <c:v>0.12783760948419429</c:v>
                </c:pt>
                <c:pt idx="279">
                  <c:v>0.12851055534875705</c:v>
                </c:pt>
                <c:pt idx="280">
                  <c:v>0.12921872645972543</c:v>
                </c:pt>
                <c:pt idx="281">
                  <c:v>0.13028929696489014</c:v>
                </c:pt>
                <c:pt idx="282">
                  <c:v>0.1318074228375751</c:v>
                </c:pt>
                <c:pt idx="283">
                  <c:v>0.133773666380433</c:v>
                </c:pt>
                <c:pt idx="284">
                  <c:v>0.13618858617040691</c:v>
                </c:pt>
                <c:pt idx="285">
                  <c:v>0.13905273217715353</c:v>
                </c:pt>
                <c:pt idx="286">
                  <c:v>0.14236664088276332</c:v>
                </c:pt>
                <c:pt idx="287">
                  <c:v>0.14613083040015587</c:v>
                </c:pt>
                <c:pt idx="288">
                  <c:v>0.15034579559198011</c:v>
                </c:pt>
                <c:pt idx="289">
                  <c:v>0.15513055868615705</c:v>
                </c:pt>
                <c:pt idx="290">
                  <c:v>0.1603664733180484</c:v>
                </c:pt>
                <c:pt idx="291">
                  <c:v>0.16605393173799463</c:v>
                </c:pt>
                <c:pt idx="292">
                  <c:v>0.17219328293688793</c:v>
                </c:pt>
                <c:pt idx="293">
                  <c:v>0.17878482777261437</c:v>
                </c:pt>
                <c:pt idx="294">
                  <c:v>0.18582881409591034</c:v>
                </c:pt>
                <c:pt idx="295">
                  <c:v>0.19306724779061477</c:v>
                </c:pt>
                <c:pt idx="296">
                  <c:v>0.20017264408415925</c:v>
                </c:pt>
                <c:pt idx="297">
                  <c:v>0.20714632330521304</c:v>
                </c:pt>
                <c:pt idx="298">
                  <c:v>0.21398803665751134</c:v>
                </c:pt>
                <c:pt idx="299">
                  <c:v>0.22069750529853582</c:v>
                </c:pt>
                <c:pt idx="300">
                  <c:v>0.22727442162728914</c:v>
                </c:pt>
                <c:pt idx="301">
                  <c:v>0.23371845057142979</c:v>
                </c:pt>
                <c:pt idx="302">
                  <c:v>0.240029230874897</c:v>
                </c:pt>
                <c:pt idx="303">
                  <c:v>0.24575861995149853</c:v>
                </c:pt>
                <c:pt idx="304">
                  <c:v>0.25078617106791162</c:v>
                </c:pt>
                <c:pt idx="305">
                  <c:v>0.2551106431117483</c:v>
                </c:pt>
                <c:pt idx="306">
                  <c:v>0.25873078083137396</c:v>
                </c:pt>
                <c:pt idx="307">
                  <c:v>0.26164532134503515</c:v>
                </c:pt>
                <c:pt idx="308">
                  <c:v>0.26385300064779138</c:v>
                </c:pt>
                <c:pt idx="309">
                  <c:v>0.26519736899468255</c:v>
                </c:pt>
                <c:pt idx="310">
                  <c:v>0.26593698882087413</c:v>
                </c:pt>
                <c:pt idx="311">
                  <c:v>0.26607077655283534</c:v>
                </c:pt>
                <c:pt idx="312">
                  <c:v>0.26559766967190523</c:v>
                </c:pt>
                <c:pt idx="313">
                  <c:v>0.26451663226266237</c:v>
                </c:pt>
                <c:pt idx="314">
                  <c:v>0.26282666055887</c:v>
                </c:pt>
                <c:pt idx="315">
                  <c:v>0.26052678849274907</c:v>
                </c:pt>
                <c:pt idx="316">
                  <c:v>0.25761609324016249</c:v>
                </c:pt>
                <c:pt idx="317">
                  <c:v>0.25420321635716969</c:v>
                </c:pt>
                <c:pt idx="318">
                  <c:v>0.25073820459267321</c:v>
                </c:pt>
                <c:pt idx="319">
                  <c:v>0.2472209126471131</c:v>
                </c:pt>
                <c:pt idx="320">
                  <c:v>0.24365121205869059</c:v>
                </c:pt>
                <c:pt idx="321">
                  <c:v>0.24002899162685806</c:v>
                </c:pt>
                <c:pt idx="322">
                  <c:v>0.23635415783674901</c:v>
                </c:pt>
                <c:pt idx="323">
                  <c:v>0.23267099320398324</c:v>
                </c:pt>
                <c:pt idx="324">
                  <c:v>0.22913557121052414</c:v>
                </c:pt>
                <c:pt idx="325">
                  <c:v>0.22574799938576554</c:v>
                </c:pt>
                <c:pt idx="326">
                  <c:v>0.22250699752798644</c:v>
                </c:pt>
                <c:pt idx="327">
                  <c:v>0.21941226731337979</c:v>
                </c:pt>
                <c:pt idx="328">
                  <c:v>0.21646463227795448</c:v>
                </c:pt>
                <c:pt idx="329">
                  <c:v>0.2136648653883027</c:v>
                </c:pt>
                <c:pt idx="330">
                  <c:v>0.21101369225042013</c:v>
                </c:pt>
                <c:pt idx="331">
                  <c:v>0.20853552467309425</c:v>
                </c:pt>
                <c:pt idx="332">
                  <c:v>0.20612108033195534</c:v>
                </c:pt>
                <c:pt idx="333">
                  <c:v>0.20377093984161151</c:v>
                </c:pt>
                <c:pt idx="334">
                  <c:v>0.20148565703199961</c:v>
                </c:pt>
                <c:pt idx="335">
                  <c:v>0.19926576036788463</c:v>
                </c:pt>
                <c:pt idx="336">
                  <c:v>0.19711175436565148</c:v>
                </c:pt>
                <c:pt idx="337">
                  <c:v>0.19507834949719816</c:v>
                </c:pt>
                <c:pt idx="338">
                  <c:v>0.19312156391292173</c:v>
                </c:pt>
                <c:pt idx="339">
                  <c:v>0.1912418388459256</c:v>
                </c:pt>
                <c:pt idx="340">
                  <c:v>0.18943959758015047</c:v>
                </c:pt>
                <c:pt idx="341">
                  <c:v>0.18771524707232348</c:v>
                </c:pt>
                <c:pt idx="342">
                  <c:v>0.18606917957371791</c:v>
                </c:pt>
                <c:pt idx="343">
                  <c:v>0.18450177424965813</c:v>
                </c:pt>
                <c:pt idx="344">
                  <c:v>0.18301339880198336</c:v>
                </c:pt>
                <c:pt idx="345">
                  <c:v>0.18160441108953077</c:v>
                </c:pt>
                <c:pt idx="346">
                  <c:v>0.18032418630962055</c:v>
                </c:pt>
                <c:pt idx="347">
                  <c:v>0.17917307726726411</c:v>
                </c:pt>
                <c:pt idx="348">
                  <c:v>0.17815143606573094</c:v>
                </c:pt>
                <c:pt idx="349">
                  <c:v>0.17725961674531596</c:v>
                </c:pt>
                <c:pt idx="350">
                  <c:v>0.17649797792628674</c:v>
                </c:pt>
                <c:pt idx="351">
                  <c:v>0.17593969340627647</c:v>
                </c:pt>
                <c:pt idx="352">
                  <c:v>0.17553089406258793</c:v>
                </c:pt>
                <c:pt idx="353">
                  <c:v>0.17527198380505213</c:v>
                </c:pt>
                <c:pt idx="354">
                  <c:v>0.17516338529458861</c:v>
                </c:pt>
                <c:pt idx="355">
                  <c:v>0.17520554295983953</c:v>
                </c:pt>
                <c:pt idx="356">
                  <c:v>0.17539904723348912</c:v>
                </c:pt>
                <c:pt idx="357">
                  <c:v>0.17574400425026657</c:v>
                </c:pt>
                <c:pt idx="358">
                  <c:v>0.17624012329782296</c:v>
                </c:pt>
                <c:pt idx="359">
                  <c:v>0.17688713537270989</c:v>
                </c:pt>
                <c:pt idx="360">
                  <c:v>0.17773919355623655</c:v>
                </c:pt>
                <c:pt idx="361">
                  <c:v>0.17872311109584194</c:v>
                </c:pt>
                <c:pt idx="362">
                  <c:v>0.17983864118716661</c:v>
                </c:pt>
                <c:pt idx="363">
                  <c:v>0.18108554142264061</c:v>
                </c:pt>
                <c:pt idx="364">
                  <c:v>0.18246357053438711</c:v>
                </c:pt>
                <c:pt idx="365">
                  <c:v>0.18397248513498288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88152"/>
        <c:axId val="640288544"/>
      </c:lineChart>
      <c:dateAx>
        <c:axId val="640288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8544"/>
        <c:crosses val="autoZero"/>
        <c:auto val="1"/>
        <c:lblOffset val="100"/>
        <c:baseTimeUnit val="days"/>
      </c:dateAx>
      <c:valAx>
        <c:axId val="6402885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8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289328"/>
        <c:axId val="640289720"/>
      </c:scatterChart>
      <c:valAx>
        <c:axId val="64028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9720"/>
        <c:crosses val="autoZero"/>
        <c:crossBetween val="midCat"/>
      </c:valAx>
      <c:valAx>
        <c:axId val="64028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8932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28.543939531003609</c:v>
                </c:pt>
                <c:pt idx="1">
                  <c:v>28.728026118103799</c:v>
                </c:pt>
                <c:pt idx="2">
                  <c:v>28.920113651300298</c:v>
                </c:pt>
                <c:pt idx="3">
                  <c:v>29.119593184492714</c:v>
                </c:pt>
                <c:pt idx="4">
                  <c:v>29.325855766211092</c:v>
                </c:pt>
                <c:pt idx="5">
                  <c:v>29.538292450290815</c:v>
                </c:pt>
                <c:pt idx="6">
                  <c:v>29.756294285403243</c:v>
                </c:pt>
                <c:pt idx="7">
                  <c:v>29.979252324343243</c:v>
                </c:pt>
                <c:pt idx="8">
                  <c:v>30.209199974817004</c:v>
                </c:pt>
                <c:pt idx="9">
                  <c:v>30.448155339468236</c:v>
                </c:pt>
                <c:pt idx="10">
                  <c:v>30.695486514368142</c:v>
                </c:pt>
                <c:pt idx="11">
                  <c:v>30.950561590387665</c:v>
                </c:pt>
                <c:pt idx="12">
                  <c:v>31.212748661785263</c:v>
                </c:pt>
                <c:pt idx="13">
                  <c:v>31.481415823754382</c:v>
                </c:pt>
                <c:pt idx="14">
                  <c:v>31.755931166545807</c:v>
                </c:pt>
                <c:pt idx="15">
                  <c:v>32.035662787679229</c:v>
                </c:pt>
                <c:pt idx="16">
                  <c:v>32.31997877803191</c:v>
                </c:pt>
                <c:pt idx="17">
                  <c:v>32.608247233176229</c:v>
                </c:pt>
                <c:pt idx="18">
                  <c:v>32.899836244470364</c:v>
                </c:pt>
                <c:pt idx="19">
                  <c:v>33.194113907201924</c:v>
                </c:pt>
                <c:pt idx="20">
                  <c:v>33.49044831358195</c:v>
                </c:pt>
                <c:pt idx="21">
                  <c:v>33.78820755886845</c:v>
                </c:pt>
                <c:pt idx="22">
                  <c:v>34.089789911981541</c:v>
                </c:pt>
                <c:pt idx="23">
                  <c:v>34.397625612966451</c:v>
                </c:pt>
                <c:pt idx="24">
                  <c:v>34.711130707591245</c:v>
                </c:pt>
                <c:pt idx="25">
                  <c:v>35.029721243000992</c:v>
                </c:pt>
                <c:pt idx="26">
                  <c:v>35.352813266813087</c:v>
                </c:pt>
                <c:pt idx="27">
                  <c:v>35.67982282405054</c:v>
                </c:pt>
                <c:pt idx="28">
                  <c:v>36.010165962507017</c:v>
                </c:pt>
                <c:pt idx="29">
                  <c:v>36.343258728066992</c:v>
                </c:pt>
                <c:pt idx="30">
                  <c:v>36.678517168460949</c:v>
                </c:pt>
                <c:pt idx="31">
                  <c:v>37.015357329057792</c:v>
                </c:pt>
                <c:pt idx="32">
                  <c:v>37.353195257884053</c:v>
                </c:pt>
                <c:pt idx="33">
                  <c:v>37.691447000065821</c:v>
                </c:pt>
                <c:pt idx="34">
                  <c:v>38.029528603380143</c:v>
                </c:pt>
                <c:pt idx="35">
                  <c:v>38.366856113914402</c:v>
                </c:pt>
                <c:pt idx="36">
                  <c:v>38.705035816628616</c:v>
                </c:pt>
                <c:pt idx="37">
                  <c:v>39.045750814749461</c:v>
                </c:pt>
                <c:pt idx="38">
                  <c:v>39.388532386773399</c:v>
                </c:pt>
                <c:pt idx="39">
                  <c:v>39.73291180926109</c:v>
                </c:pt>
                <c:pt idx="40">
                  <c:v>40.078420359022651</c:v>
                </c:pt>
                <c:pt idx="41">
                  <c:v>40.424589313333854</c:v>
                </c:pt>
                <c:pt idx="42">
                  <c:v>40.770949948951603</c:v>
                </c:pt>
                <c:pt idx="43">
                  <c:v>41.117033543251452</c:v>
                </c:pt>
                <c:pt idx="44">
                  <c:v>41.462371372594504</c:v>
                </c:pt>
                <c:pt idx="45">
                  <c:v>41.806494715018204</c:v>
                </c:pt>
                <c:pt idx="46">
                  <c:v>42.14893484661755</c:v>
                </c:pt>
                <c:pt idx="47">
                  <c:v>42.489223045024225</c:v>
                </c:pt>
                <c:pt idx="48">
                  <c:v>42.826890587101559</c:v>
                </c:pt>
                <c:pt idx="49">
                  <c:v>43.161468749912459</c:v>
                </c:pt>
                <c:pt idx="50">
                  <c:v>43.494453671671053</c:v>
                </c:pt>
                <c:pt idx="51">
                  <c:v>43.827456541598906</c:v>
                </c:pt>
                <c:pt idx="52">
                  <c:v>44.160181213379843</c:v>
                </c:pt>
                <c:pt idx="53">
                  <c:v>44.492331541575766</c:v>
                </c:pt>
                <c:pt idx="54">
                  <c:v>44.823611379321662</c:v>
                </c:pt>
                <c:pt idx="55">
                  <c:v>45.153724580737091</c:v>
                </c:pt>
                <c:pt idx="56">
                  <c:v>45.482374999998136</c:v>
                </c:pt>
                <c:pt idx="57">
                  <c:v>45.809266490356201</c:v>
                </c:pt>
                <c:pt idx="58">
                  <c:v>46.134102906273412</c:v>
                </c:pt>
                <c:pt idx="59">
                  <c:v>46.456588101340458</c:v>
                </c:pt>
                <c:pt idx="60">
                  <c:v>46.776425929184612</c:v>
                </c:pt>
                <c:pt idx="61">
                  <c:v>47.09332024403848</c:v>
                </c:pt>
                <c:pt idx="62">
                  <c:v>47.406974899848656</c:v>
                </c:pt>
                <c:pt idx="63">
                  <c:v>47.717093749856573</c:v>
                </c:pt>
                <c:pt idx="64">
                  <c:v>48.024953363865748</c:v>
                </c:pt>
                <c:pt idx="65">
                  <c:v>48.331839285578042</c:v>
                </c:pt>
                <c:pt idx="66">
                  <c:v>48.637468829654551</c:v>
                </c:pt>
                <c:pt idx="67">
                  <c:v>48.941559311202056</c:v>
                </c:pt>
                <c:pt idx="68">
                  <c:v>49.243828045284111</c:v>
                </c:pt>
                <c:pt idx="69">
                  <c:v>49.543992346751367</c:v>
                </c:pt>
                <c:pt idx="70">
                  <c:v>49.841769531555471</c:v>
                </c:pt>
                <c:pt idx="71">
                  <c:v>50.136876913452788</c:v>
                </c:pt>
                <c:pt idx="72">
                  <c:v>50.429031808049018</c:v>
                </c:pt>
                <c:pt idx="73">
                  <c:v>50.717951530750312</c:v>
                </c:pt>
                <c:pt idx="74">
                  <c:v>51.003353396147887</c:v>
                </c:pt>
                <c:pt idx="75">
                  <c:v>51.284954719218817</c:v>
                </c:pt>
                <c:pt idx="76">
                  <c:v>51.562472816094356</c:v>
                </c:pt>
                <c:pt idx="77">
                  <c:v>51.835624999832362</c:v>
                </c:pt>
                <c:pt idx="78">
                  <c:v>52.105017025742143</c:v>
                </c:pt>
                <c:pt idx="79">
                  <c:v>52.371290542930367</c:v>
                </c:pt>
                <c:pt idx="80">
                  <c:v>52.634216711157933</c:v>
                </c:pt>
                <c:pt idx="81">
                  <c:v>52.893566691170307</c:v>
                </c:pt>
                <c:pt idx="82">
                  <c:v>53.149111641737235</c:v>
                </c:pt>
                <c:pt idx="83">
                  <c:v>53.400622722732706</c:v>
                </c:pt>
                <c:pt idx="84">
                  <c:v>53.647871093777937</c:v>
                </c:pt>
                <c:pt idx="85">
                  <c:v>53.890627915891159</c:v>
                </c:pt>
                <c:pt idx="86">
                  <c:v>54.128664348034981</c:v>
                </c:pt>
                <c:pt idx="87">
                  <c:v>54.361751549158782</c:v>
                </c:pt>
                <c:pt idx="88">
                  <c:v>54.589660680207558</c:v>
                </c:pt>
                <c:pt idx="89">
                  <c:v>54.812162900995467</c:v>
                </c:pt>
                <c:pt idx="90">
                  <c:v>55.029029371383203</c:v>
                </c:pt>
                <c:pt idx="91">
                  <c:v>55.240031250659378</c:v>
                </c:pt>
                <c:pt idx="92">
                  <c:v>55.445478145851354</c:v>
                </c:pt>
                <c:pt idx="93">
                  <c:v>55.645823251083499</c:v>
                </c:pt>
                <c:pt idx="94">
                  <c:v>55.841053104460507</c:v>
                </c:pt>
                <c:pt idx="95">
                  <c:v>56.031154245657049</c:v>
                </c:pt>
                <c:pt idx="96">
                  <c:v>56.216113213230194</c:v>
                </c:pt>
                <c:pt idx="97">
                  <c:v>56.39591654509838</c:v>
                </c:pt>
                <c:pt idx="98">
                  <c:v>56.570550780789929</c:v>
                </c:pt>
                <c:pt idx="99">
                  <c:v>56.740002460085918</c:v>
                </c:pt>
                <c:pt idx="100">
                  <c:v>56.904258120186363</c:v>
                </c:pt>
                <c:pt idx="101">
                  <c:v>57.063304299807967</c:v>
                </c:pt>
                <c:pt idx="102">
                  <c:v>57.217127539829491</c:v>
                </c:pt>
                <c:pt idx="103">
                  <c:v>57.365714376991875</c:v>
                </c:pt>
                <c:pt idx="104">
                  <c:v>57.509051350590639</c:v>
                </c:pt>
                <c:pt idx="105">
                  <c:v>57.647125000506634</c:v>
                </c:pt>
                <c:pt idx="106">
                  <c:v>57.779883724091846</c:v>
                </c:pt>
                <c:pt idx="107">
                  <c:v>57.90737463513922</c:v>
                </c:pt>
                <c:pt idx="108">
                  <c:v>58.029732347652313</c:v>
                </c:pt>
                <c:pt idx="109">
                  <c:v>58.147091472734296</c:v>
                </c:pt>
                <c:pt idx="110">
                  <c:v>58.259586620796469</c:v>
                </c:pt>
                <c:pt idx="111">
                  <c:v>58.367352405017506</c:v>
                </c:pt>
                <c:pt idx="112">
                  <c:v>58.470523437531668</c:v>
                </c:pt>
                <c:pt idx="113">
                  <c:v>58.569234329435432</c:v>
                </c:pt>
                <c:pt idx="114">
                  <c:v>58.663619692916313</c:v>
                </c:pt>
                <c:pt idx="115">
                  <c:v>58.753814139815844</c:v>
                </c:pt>
                <c:pt idx="116">
                  <c:v>58.83995228227495</c:v>
                </c:pt>
                <c:pt idx="117">
                  <c:v>58.922168731822495</c:v>
                </c:pt>
                <c:pt idx="118">
                  <c:v>59.000598100107169</c:v>
                </c:pt>
                <c:pt idx="119">
                  <c:v>59.075375000294301</c:v>
                </c:pt>
                <c:pt idx="120">
                  <c:v>59.146070915912944</c:v>
                </c:pt>
                <c:pt idx="121">
                  <c:v>59.212266308441755</c:v>
                </c:pt>
                <c:pt idx="122">
                  <c:v>59.274109249947863</c:v>
                </c:pt>
                <c:pt idx="123">
                  <c:v>59.331747813456289</c:v>
                </c:pt>
                <c:pt idx="124">
                  <c:v>59.385330072431159</c:v>
                </c:pt>
                <c:pt idx="125">
                  <c:v>59.435004099485063</c:v>
                </c:pt>
                <c:pt idx="126">
                  <c:v>59.480917969392614</c:v>
                </c:pt>
                <c:pt idx="127">
                  <c:v>59.523219752378225</c:v>
                </c:pt>
                <c:pt idx="128">
                  <c:v>59.562057522977035</c:v>
                </c:pt>
                <c:pt idx="129">
                  <c:v>59.597579355338318</c:v>
                </c:pt>
                <c:pt idx="130">
                  <c:v>59.629933320677708</c:v>
                </c:pt>
                <c:pt idx="131">
                  <c:v>59.659267492419374</c:v>
                </c:pt>
                <c:pt idx="132">
                  <c:v>59.68572994468601</c:v>
                </c:pt>
                <c:pt idx="133">
                  <c:v>59.709468750003722</c:v>
                </c:pt>
                <c:pt idx="134">
                  <c:v>59.730029593042232</c:v>
                </c:pt>
                <c:pt idx="135">
                  <c:v>59.746935723189793</c:v>
                </c:pt>
                <c:pt idx="136">
                  <c:v>59.76030156148731</c:v>
                </c:pt>
                <c:pt idx="137">
                  <c:v>59.770241527086398</c:v>
                </c:pt>
                <c:pt idx="138">
                  <c:v>59.776870040236311</c:v>
                </c:pt>
                <c:pt idx="139">
                  <c:v>59.780301521332674</c:v>
                </c:pt>
                <c:pt idx="140">
                  <c:v>59.780650390638044</c:v>
                </c:pt>
                <c:pt idx="141">
                  <c:v>59.778031067802971</c:v>
                </c:pt>
                <c:pt idx="142">
                  <c:v>59.772557973216422</c:v>
                </c:pt>
                <c:pt idx="143">
                  <c:v>59.76434552696135</c:v>
                </c:pt>
                <c:pt idx="144">
                  <c:v>59.753508148595159</c:v>
                </c:pt>
                <c:pt idx="145">
                  <c:v>59.74016025936497</c:v>
                </c:pt>
                <c:pt idx="146">
                  <c:v>59.724416277717268</c:v>
                </c:pt>
                <c:pt idx="147">
                  <c:v>59.706390625145289</c:v>
                </c:pt>
                <c:pt idx="148">
                  <c:v>59.685569532777713</c:v>
                </c:pt>
                <c:pt idx="149">
                  <c:v>59.661439231330789</c:v>
                </c:pt>
                <c:pt idx="150">
                  <c:v>59.634114141083728</c:v>
                </c:pt>
                <c:pt idx="151">
                  <c:v>59.603708682887785</c:v>
                </c:pt>
                <c:pt idx="152">
                  <c:v>59.570337276037648</c:v>
                </c:pt>
                <c:pt idx="153">
                  <c:v>59.534114340586314</c:v>
                </c:pt>
                <c:pt idx="154">
                  <c:v>59.495154297119008</c:v>
                </c:pt>
                <c:pt idx="155">
                  <c:v>59.453571565515759</c:v>
                </c:pt>
                <c:pt idx="156">
                  <c:v>59.409480565912759</c:v>
                </c:pt>
                <c:pt idx="157">
                  <c:v>59.362995717854105</c:v>
                </c:pt>
                <c:pt idx="158">
                  <c:v>59.314231442826404</c:v>
                </c:pt>
                <c:pt idx="159">
                  <c:v>59.26330215928278</c:v>
                </c:pt>
                <c:pt idx="160">
                  <c:v>59.210322288596743</c:v>
                </c:pt>
                <c:pt idx="161">
                  <c:v>59.155406250059606</c:v>
                </c:pt>
                <c:pt idx="162">
                  <c:v>59.098047006043736</c:v>
                </c:pt>
                <c:pt idx="163">
                  <c:v>59.037764440729681</c:v>
                </c:pt>
                <c:pt idx="164">
                  <c:v>58.974713357654409</c:v>
                </c:pt>
                <c:pt idx="165">
                  <c:v>58.909048560860441</c:v>
                </c:pt>
                <c:pt idx="166">
                  <c:v>58.840924853076494</c:v>
                </c:pt>
                <c:pt idx="167">
                  <c:v>58.770497039010351</c:v>
                </c:pt>
                <c:pt idx="168">
                  <c:v>58.697919922089199</c:v>
                </c:pt>
                <c:pt idx="169">
                  <c:v>58.623348305494126</c:v>
                </c:pt>
                <c:pt idx="170">
                  <c:v>58.546936993443943</c:v>
                </c:pt>
                <c:pt idx="171">
                  <c:v>58.468840788970034</c:v>
                </c:pt>
                <c:pt idx="172">
                  <c:v>58.389214496414311</c:v>
                </c:pt>
                <c:pt idx="173">
                  <c:v>58.308212919147422</c:v>
                </c:pt>
                <c:pt idx="174">
                  <c:v>58.225990860722959</c:v>
                </c:pt>
                <c:pt idx="175">
                  <c:v>58.142703125043774</c:v>
                </c:pt>
                <c:pt idx="176">
                  <c:v>58.057906614545828</c:v>
                </c:pt>
                <c:pt idx="177">
                  <c:v>57.971153744438197</c:v>
                </c:pt>
                <c:pt idx="178">
                  <c:v>57.882592588481828</c:v>
                </c:pt>
                <c:pt idx="179">
                  <c:v>57.792371219014086</c:v>
                </c:pt>
                <c:pt idx="180">
                  <c:v>57.700637709458334</c:v>
                </c:pt>
                <c:pt idx="181">
                  <c:v>57.607540133081571</c:v>
                </c:pt>
                <c:pt idx="182">
                  <c:v>57.51322656253469</c:v>
                </c:pt>
                <c:pt idx="183">
                  <c:v>57.417845071123779</c:v>
                </c:pt>
                <c:pt idx="184">
                  <c:v>57.321543731927939</c:v>
                </c:pt>
                <c:pt idx="185">
                  <c:v>57.224470617760176</c:v>
                </c:pt>
                <c:pt idx="186">
                  <c:v>57.126773802039679</c:v>
                </c:pt>
                <c:pt idx="187">
                  <c:v>57.028601357430617</c:v>
                </c:pt>
                <c:pt idx="188">
                  <c:v>56.930101357579204</c:v>
                </c:pt>
                <c:pt idx="189">
                  <c:v>56.831421875010705</c:v>
                </c:pt>
                <c:pt idx="190">
                  <c:v>56.732172201004246</c:v>
                </c:pt>
                <c:pt idx="191">
                  <c:v>56.631920461532928</c:v>
                </c:pt>
                <c:pt idx="192">
                  <c:v>56.53075298225491</c:v>
                </c:pt>
                <c:pt idx="193">
                  <c:v>56.428756088768459</c:v>
                </c:pt>
                <c:pt idx="194">
                  <c:v>56.326016106879763</c:v>
                </c:pt>
                <c:pt idx="195">
                  <c:v>56.222619362170477</c:v>
                </c:pt>
                <c:pt idx="196">
                  <c:v>56.118652180198112</c:v>
                </c:pt>
                <c:pt idx="197">
                  <c:v>56.014200886862817</c:v>
                </c:pt>
                <c:pt idx="198">
                  <c:v>55.909351807554984</c:v>
                </c:pt>
                <c:pt idx="199">
                  <c:v>55.804191268129003</c:v>
                </c:pt>
                <c:pt idx="200">
                  <c:v>55.698805594227238</c:v>
                </c:pt>
                <c:pt idx="201">
                  <c:v>55.593281111523638</c:v>
                </c:pt>
                <c:pt idx="202">
                  <c:v>55.487704145554957</c:v>
                </c:pt>
                <c:pt idx="203">
                  <c:v>55.382161022094081</c:v>
                </c:pt>
                <c:pt idx="204">
                  <c:v>55.276541240889181</c:v>
                </c:pt>
                <c:pt idx="205">
                  <c:v>55.170679702460106</c:v>
                </c:pt>
                <c:pt idx="206">
                  <c:v>55.064580833882793</c:v>
                </c:pt>
                <c:pt idx="207">
                  <c:v>54.958249062171674</c:v>
                </c:pt>
                <c:pt idx="208">
                  <c:v>54.851688814274631</c:v>
                </c:pt>
                <c:pt idx="209">
                  <c:v>54.744904517241025</c:v>
                </c:pt>
                <c:pt idx="210">
                  <c:v>54.637900598102718</c:v>
                </c:pt>
                <c:pt idx="211">
                  <c:v>54.53068148377352</c:v>
                </c:pt>
                <c:pt idx="212">
                  <c:v>54.423251601311918</c:v>
                </c:pt>
                <c:pt idx="213">
                  <c:v>54.315615377681596</c:v>
                </c:pt>
                <c:pt idx="214">
                  <c:v>54.20777723994938</c:v>
                </c:pt>
                <c:pt idx="215">
                  <c:v>54.099741615087261</c:v>
                </c:pt>
                <c:pt idx="216">
                  <c:v>53.991512930118809</c:v>
                </c:pt>
                <c:pt idx="217">
                  <c:v>53.883095612016042</c:v>
                </c:pt>
                <c:pt idx="218">
                  <c:v>53.774838407824944</c:v>
                </c:pt>
                <c:pt idx="219">
                  <c:v>53.667003449042596</c:v>
                </c:pt>
                <c:pt idx="220">
                  <c:v>53.559465238868569</c:v>
                </c:pt>
                <c:pt idx="221">
                  <c:v>53.452098280786799</c:v>
                </c:pt>
                <c:pt idx="222">
                  <c:v>53.344777077996078</c:v>
                </c:pt>
                <c:pt idx="223">
                  <c:v>53.237376134109212</c:v>
                </c:pt>
                <c:pt idx="224">
                  <c:v>53.12976995228091</c:v>
                </c:pt>
                <c:pt idx="225">
                  <c:v>53.021833035993453</c:v>
                </c:pt>
                <c:pt idx="226">
                  <c:v>52.913439888517942</c:v>
                </c:pt>
                <c:pt idx="227">
                  <c:v>52.804465013158705</c:v>
                </c:pt>
                <c:pt idx="228">
                  <c:v>52.694782913508661</c:v>
                </c:pt>
                <c:pt idx="229">
                  <c:v>52.584268092838052</c:v>
                </c:pt>
                <c:pt idx="230">
                  <c:v>52.472795054283267</c:v>
                </c:pt>
                <c:pt idx="231">
                  <c:v>52.360238301532803</c:v>
                </c:pt>
                <c:pt idx="232">
                  <c:v>52.247226453597456</c:v>
                </c:pt>
                <c:pt idx="233">
                  <c:v>52.134305892854798</c:v>
                </c:pt>
                <c:pt idx="234">
                  <c:v>52.021227767642785</c:v>
                </c:pt>
                <c:pt idx="235">
                  <c:v>51.907743225938511</c:v>
                </c:pt>
                <c:pt idx="236">
                  <c:v>51.793603416094896</c:v>
                </c:pt>
                <c:pt idx="237">
                  <c:v>51.678559486597912</c:v>
                </c:pt>
                <c:pt idx="238">
                  <c:v>51.562362585135268</c:v>
                </c:pt>
                <c:pt idx="239">
                  <c:v>51.444763859803786</c:v>
                </c:pt>
                <c:pt idx="240">
                  <c:v>51.325514459535142</c:v>
                </c:pt>
                <c:pt idx="241">
                  <c:v>51.204365532229929</c:v>
                </c:pt>
                <c:pt idx="242">
                  <c:v>51.081068225437775</c:v>
                </c:pt>
                <c:pt idx="243">
                  <c:v>50.955373688444624</c:v>
                </c:pt>
                <c:pt idx="244">
                  <c:v>50.827033068713668</c:v>
                </c:pt>
                <c:pt idx="245">
                  <c:v>50.695797514566223</c:v>
                </c:pt>
                <c:pt idx="246">
                  <c:v>50.562210090466706</c:v>
                </c:pt>
                <c:pt idx="247">
                  <c:v>50.426840582410136</c:v>
                </c:pt>
                <c:pt idx="248">
                  <c:v>50.289480219846254</c:v>
                </c:pt>
                <c:pt idx="249">
                  <c:v>50.14992023331579</c:v>
                </c:pt>
                <c:pt idx="250">
                  <c:v>50.007951852396531</c:v>
                </c:pt>
                <c:pt idx="251">
                  <c:v>49.863366307344819</c:v>
                </c:pt>
                <c:pt idx="252">
                  <c:v>49.715954828250688</c:v>
                </c:pt>
                <c:pt idx="253">
                  <c:v>49.565508644788395</c:v>
                </c:pt>
                <c:pt idx="254">
                  <c:v>49.411818986717009</c:v>
                </c:pt>
                <c:pt idx="255">
                  <c:v>49.254677084919862</c:v>
                </c:pt>
                <c:pt idx="256">
                  <c:v>49.093874169099479</c:v>
                </c:pt>
                <c:pt idx="257">
                  <c:v>48.929201468309785</c:v>
                </c:pt>
                <c:pt idx="258">
                  <c:v>48.760450214031152</c:v>
                </c:pt>
                <c:pt idx="259">
                  <c:v>48.587411635369065</c:v>
                </c:pt>
                <c:pt idx="260">
                  <c:v>48.410440078909915</c:v>
                </c:pt>
                <c:pt idx="261">
                  <c:v>48.230006515700367</c:v>
                </c:pt>
                <c:pt idx="262">
                  <c:v>48.046077113578633</c:v>
                </c:pt>
                <c:pt idx="263">
                  <c:v>47.858618038200902</c:v>
                </c:pt>
                <c:pt idx="264">
                  <c:v>47.667595457219122</c:v>
                </c:pt>
                <c:pt idx="265">
                  <c:v>47.472975536861597</c:v>
                </c:pt>
                <c:pt idx="266">
                  <c:v>47.274724444700404</c:v>
                </c:pt>
                <c:pt idx="267">
                  <c:v>47.072808346910669</c:v>
                </c:pt>
                <c:pt idx="268">
                  <c:v>46.86719341101125</c:v>
                </c:pt>
                <c:pt idx="269">
                  <c:v>46.657845803110732</c:v>
                </c:pt>
                <c:pt idx="270">
                  <c:v>46.444731690634839</c:v>
                </c:pt>
                <c:pt idx="271">
                  <c:v>46.227817239971564</c:v>
                </c:pt>
                <c:pt idx="272">
                  <c:v>46.007068618340412</c:v>
                </c:pt>
                <c:pt idx="273">
                  <c:v>45.782451992481946</c:v>
                </c:pt>
                <c:pt idx="274">
                  <c:v>45.553692852605934</c:v>
                </c:pt>
                <c:pt idx="275">
                  <c:v>45.320640964746204</c:v>
                </c:pt>
                <c:pt idx="276">
                  <c:v>45.083448910387233</c:v>
                </c:pt>
                <c:pt idx="277">
                  <c:v>44.842269270813887</c:v>
                </c:pt>
                <c:pt idx="278">
                  <c:v>44.597254626738973</c:v>
                </c:pt>
                <c:pt idx="279">
                  <c:v>44.348557559666887</c:v>
                </c:pt>
                <c:pt idx="280">
                  <c:v>44.096330650593153</c:v>
                </c:pt>
                <c:pt idx="281">
                  <c:v>43.840726480127444</c:v>
                </c:pt>
                <c:pt idx="282">
                  <c:v>43.581897630176641</c:v>
                </c:pt>
                <c:pt idx="283">
                  <c:v>43.319996681523371</c:v>
                </c:pt>
                <c:pt idx="284">
                  <c:v>43.055176215186449</c:v>
                </c:pt>
                <c:pt idx="285">
                  <c:v>42.787588812384222</c:v>
                </c:pt>
                <c:pt idx="286">
                  <c:v>42.517387054231946</c:v>
                </c:pt>
                <c:pt idx="287">
                  <c:v>42.244723522104323</c:v>
                </c:pt>
                <c:pt idx="288">
                  <c:v>41.968236510981143</c:v>
                </c:pt>
                <c:pt idx="289">
                  <c:v>41.686746815858143</c:v>
                </c:pt>
                <c:pt idx="290">
                  <c:v>41.40068076751195</c:v>
                </c:pt>
                <c:pt idx="291">
                  <c:v>41.110464697677116</c:v>
                </c:pt>
                <c:pt idx="292">
                  <c:v>40.816524936405145</c:v>
                </c:pt>
                <c:pt idx="293">
                  <c:v>40.519287815503773</c:v>
                </c:pt>
                <c:pt idx="294">
                  <c:v>40.219179665413684</c:v>
                </c:pt>
                <c:pt idx="295">
                  <c:v>39.916626817626607</c:v>
                </c:pt>
                <c:pt idx="296">
                  <c:v>39.612055602875941</c:v>
                </c:pt>
                <c:pt idx="297">
                  <c:v>39.30589235238731</c:v>
                </c:pt>
                <c:pt idx="298">
                  <c:v>38.998563396983911</c:v>
                </c:pt>
                <c:pt idx="299">
                  <c:v>38.690495067854812</c:v>
                </c:pt>
                <c:pt idx="300">
                  <c:v>38.38211369598617</c:v>
                </c:pt>
                <c:pt idx="301">
                  <c:v>38.073845612071452</c:v>
                </c:pt>
                <c:pt idx="302">
                  <c:v>37.763405783620797</c:v>
                </c:pt>
                <c:pt idx="303">
                  <c:v>37.448741723716793</c:v>
                </c:pt>
                <c:pt idx="304">
                  <c:v>37.13062858226975</c:v>
                </c:pt>
                <c:pt idx="305">
                  <c:v>36.809841509176678</c:v>
                </c:pt>
                <c:pt idx="306">
                  <c:v>36.487155654507561</c:v>
                </c:pt>
                <c:pt idx="307">
                  <c:v>36.16334616726796</c:v>
                </c:pt>
                <c:pt idx="308">
                  <c:v>35.839188198139894</c:v>
                </c:pt>
                <c:pt idx="309">
                  <c:v>35.515456896514763</c:v>
                </c:pt>
                <c:pt idx="310">
                  <c:v>35.192927412545707</c:v>
                </c:pt>
                <c:pt idx="311">
                  <c:v>34.872374895873612</c:v>
                </c:pt>
                <c:pt idx="312">
                  <c:v>34.554574497047412</c:v>
                </c:pt>
                <c:pt idx="313">
                  <c:v>34.240301364580432</c:v>
                </c:pt>
                <c:pt idx="314">
                  <c:v>33.930330648975044</c:v>
                </c:pt>
                <c:pt idx="315">
                  <c:v>33.625437500188127</c:v>
                </c:pt>
                <c:pt idx="316">
                  <c:v>33.322739469805462</c:v>
                </c:pt>
                <c:pt idx="317">
                  <c:v>33.019475618976031</c:v>
                </c:pt>
                <c:pt idx="318">
                  <c:v>32.716603361605671</c:v>
                </c:pt>
                <c:pt idx="319">
                  <c:v>32.415080110795259</c:v>
                </c:pt>
                <c:pt idx="320">
                  <c:v>32.115863280886387</c:v>
                </c:pt>
                <c:pt idx="321">
                  <c:v>31.819910286114151</c:v>
                </c:pt>
                <c:pt idx="322">
                  <c:v>31.528178538754581</c:v>
                </c:pt>
                <c:pt idx="323">
                  <c:v>31.241625453884311</c:v>
                </c:pt>
                <c:pt idx="324">
                  <c:v>30.961208446067761</c:v>
                </c:pt>
                <c:pt idx="325">
                  <c:v>30.68788492714188</c:v>
                </c:pt>
                <c:pt idx="326">
                  <c:v>30.422612311760894</c:v>
                </c:pt>
                <c:pt idx="327">
                  <c:v>30.166348013102208</c:v>
                </c:pt>
                <c:pt idx="328">
                  <c:v>29.920049444569408</c:v>
                </c:pt>
                <c:pt idx="329">
                  <c:v>29.684674021508545</c:v>
                </c:pt>
                <c:pt idx="330">
                  <c:v>29.458138147149501</c:v>
                </c:pt>
                <c:pt idx="331">
                  <c:v>29.238157292242562</c:v>
                </c:pt>
                <c:pt idx="332">
                  <c:v>29.02538746782313</c:v>
                </c:pt>
                <c:pt idx="333">
                  <c:v>28.820484684434323</c:v>
                </c:pt>
                <c:pt idx="334">
                  <c:v>28.624104952685805</c:v>
                </c:pt>
                <c:pt idx="335">
                  <c:v>28.436904285315954</c:v>
                </c:pt>
                <c:pt idx="336">
                  <c:v>28.259538691211493</c:v>
                </c:pt>
                <c:pt idx="337">
                  <c:v>28.092664182877964</c:v>
                </c:pt>
                <c:pt idx="338">
                  <c:v>27.936936768942648</c:v>
                </c:pt>
                <c:pt idx="339">
                  <c:v>27.793012463115154</c:v>
                </c:pt>
                <c:pt idx="340">
                  <c:v>27.661547274368687</c:v>
                </c:pt>
                <c:pt idx="341">
                  <c:v>27.54319721630641</c:v>
                </c:pt>
                <c:pt idx="342">
                  <c:v>27.438618296644254</c:v>
                </c:pt>
                <c:pt idx="343">
                  <c:v>27.348466528952123</c:v>
                </c:pt>
                <c:pt idx="344">
                  <c:v>27.272294858901809</c:v>
                </c:pt>
                <c:pt idx="345">
                  <c:v>27.209153875536078</c:v>
                </c:pt>
                <c:pt idx="346">
                  <c:v>27.158946047090176</c:v>
                </c:pt>
                <c:pt idx="347">
                  <c:v>27.121573844135469</c:v>
                </c:pt>
                <c:pt idx="348">
                  <c:v>27.096939738225096</c:v>
                </c:pt>
                <c:pt idx="349">
                  <c:v>27.084946199554238</c:v>
                </c:pt>
                <c:pt idx="350">
                  <c:v>27.085495698972252</c:v>
                </c:pt>
                <c:pt idx="351">
                  <c:v>27.09849070772492</c:v>
                </c:pt>
                <c:pt idx="352">
                  <c:v>27.123833693895175</c:v>
                </c:pt>
                <c:pt idx="353">
                  <c:v>27.161427132722928</c:v>
                </c:pt>
                <c:pt idx="354">
                  <c:v>27.211173491888303</c:v>
                </c:pt>
                <c:pt idx="355">
                  <c:v>27.272975240207366</c:v>
                </c:pt>
                <c:pt idx="356">
                  <c:v>27.346734852140102</c:v>
                </c:pt>
                <c:pt idx="357">
                  <c:v>27.432354795110641</c:v>
                </c:pt>
                <c:pt idx="358">
                  <c:v>27.530511647745456</c:v>
                </c:pt>
                <c:pt idx="359">
                  <c:v>27.641541035267814</c:v>
                </c:pt>
                <c:pt idx="360">
                  <c:v>27.764834013915269</c:v>
                </c:pt>
                <c:pt idx="361">
                  <c:v>27.89978163224356</c:v>
                </c:pt>
                <c:pt idx="362">
                  <c:v>28.045774942713567</c:v>
                </c:pt>
                <c:pt idx="363">
                  <c:v>28.202204994035178</c:v>
                </c:pt>
                <c:pt idx="364">
                  <c:v>28.368462840364923</c:v>
                </c:pt>
                <c:pt idx="365">
                  <c:v>28.543939530361314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28.584307508965331</c:v>
                </c:pt>
                <c:pt idx="1">
                  <c:v>28.796819506734607</c:v>
                </c:pt>
                <c:pt idx="2">
                  <c:v>29.015231801072758</c:v>
                </c:pt>
                <c:pt idx="3">
                  <c:v>29.237978740930554</c:v>
                </c:pt>
                <c:pt idx="4">
                  <c:v>29.463494679927827</c:v>
                </c:pt>
                <c:pt idx="5">
                  <c:v>29.690213968406123</c:v>
                </c:pt>
                <c:pt idx="6">
                  <c:v>29.916570957700412</c:v>
                </c:pt>
                <c:pt idx="7">
                  <c:v>30.140999998897314</c:v>
                </c:pt>
                <c:pt idx="8">
                  <c:v>30.36532309709915</c:v>
                </c:pt>
                <c:pt idx="9">
                  <c:v>30.592648296058179</c:v>
                </c:pt>
                <c:pt idx="10">
                  <c:v>30.823339018544981</c:v>
                </c:pt>
                <c:pt idx="11">
                  <c:v>31.057758687330146</c:v>
                </c:pt>
                <c:pt idx="12">
                  <c:v>31.296270721671835</c:v>
                </c:pt>
                <c:pt idx="13">
                  <c:v>31.53923854327628</c:v>
                </c:pt>
                <c:pt idx="14">
                  <c:v>31.787025574222206</c:v>
                </c:pt>
                <c:pt idx="15">
                  <c:v>32.03999523424676</c:v>
                </c:pt>
                <c:pt idx="16">
                  <c:v>32.298510944843294</c:v>
                </c:pt>
                <c:pt idx="17">
                  <c:v>32.562936126760079</c:v>
                </c:pt>
                <c:pt idx="18">
                  <c:v>32.83363420244838</c:v>
                </c:pt>
                <c:pt idx="19">
                  <c:v>33.110968592550073</c:v>
                </c:pt>
                <c:pt idx="20">
                  <c:v>33.395302717547331</c:v>
                </c:pt>
                <c:pt idx="21">
                  <c:v>33.686999999731782</c:v>
                </c:pt>
                <c:pt idx="22">
                  <c:v>33.988081904620472</c:v>
                </c:pt>
                <c:pt idx="23">
                  <c:v>34.299537900050311</c:v>
                </c:pt>
                <c:pt idx="24">
                  <c:v>34.620183399326301</c:v>
                </c:pt>
                <c:pt idx="25">
                  <c:v>34.94883381913283</c:v>
                </c:pt>
                <c:pt idx="26">
                  <c:v>35.28430457232254</c:v>
                </c:pt>
                <c:pt idx="27">
                  <c:v>35.625411078280635</c:v>
                </c:pt>
                <c:pt idx="28">
                  <c:v>35.970968749606982</c:v>
                </c:pt>
                <c:pt idx="29">
                  <c:v>36.319793002360633</c:v>
                </c:pt>
                <c:pt idx="30">
                  <c:v>36.670699252327907</c:v>
                </c:pt>
                <c:pt idx="31">
                  <c:v>37.022502914909275</c:v>
                </c:pt>
                <c:pt idx="32">
                  <c:v>37.374019405738053</c:v>
                </c:pt>
                <c:pt idx="33">
                  <c:v>37.724064139862143</c:v>
                </c:pt>
                <c:pt idx="34">
                  <c:v>38.071452532828388</c:v>
                </c:pt>
                <c:pt idx="35">
                  <c:v>38.415000000037253</c:v>
                </c:pt>
                <c:pt idx="36">
                  <c:v>38.757650054804984</c:v>
                </c:pt>
                <c:pt idx="37">
                  <c:v>39.102776968080022</c:v>
                </c:pt>
                <c:pt idx="38">
                  <c:v>39.449842292476177</c:v>
                </c:pt>
                <c:pt idx="39">
                  <c:v>39.798307580248057</c:v>
                </c:pt>
                <c:pt idx="40">
                  <c:v>40.147634384355378</c:v>
                </c:pt>
                <c:pt idx="41">
                  <c:v>40.497284256826553</c:v>
                </c:pt>
                <c:pt idx="42">
                  <c:v>40.846718750149009</c:v>
                </c:pt>
                <c:pt idx="43">
                  <c:v>41.195399417195993</c:v>
                </c:pt>
                <c:pt idx="44">
                  <c:v>41.542787809889504</c:v>
                </c:pt>
                <c:pt idx="45">
                  <c:v>41.888345481109411</c:v>
                </c:pt>
                <c:pt idx="46">
                  <c:v>42.231533983635849</c:v>
                </c:pt>
                <c:pt idx="47">
                  <c:v>42.571814869118057</c:v>
                </c:pt>
                <c:pt idx="48">
                  <c:v>42.908649690968119</c:v>
                </c:pt>
                <c:pt idx="49">
                  <c:v>43.241500000283125</c:v>
                </c:pt>
                <c:pt idx="50">
                  <c:v>43.570940142430899</c:v>
                </c:pt>
                <c:pt idx="51">
                  <c:v>43.897975219120937</c:v>
                </c:pt>
                <c:pt idx="52">
                  <c:v>44.222712919222452</c:v>
                </c:pt>
                <c:pt idx="53">
                  <c:v>44.545260932935136</c:v>
                </c:pt>
                <c:pt idx="54">
                  <c:v>44.865726949926469</c:v>
                </c:pt>
                <c:pt idx="55">
                  <c:v>45.184218659012444</c:v>
                </c:pt>
                <c:pt idx="56">
                  <c:v>45.500843750219794</c:v>
                </c:pt>
                <c:pt idx="57">
                  <c:v>45.815709912564081</c:v>
                </c:pt>
                <c:pt idx="58">
                  <c:v>46.12892483599218</c:v>
                </c:pt>
                <c:pt idx="59">
                  <c:v>46.440596209998645</c:v>
                </c:pt>
                <c:pt idx="60">
                  <c:v>46.750831723625637</c:v>
                </c:pt>
                <c:pt idx="61">
                  <c:v>47.059739067086149</c:v>
                </c:pt>
                <c:pt idx="62">
                  <c:v>47.367425929462271</c:v>
                </c:pt>
                <c:pt idx="63">
                  <c:v>47.673999999649823</c:v>
                </c:pt>
                <c:pt idx="64">
                  <c:v>47.979999726451936</c:v>
                </c:pt>
                <c:pt idx="65">
                  <c:v>48.285676384610788</c:v>
                </c:pt>
                <c:pt idx="66">
                  <c:v>48.590706905988711</c:v>
                </c:pt>
                <c:pt idx="67">
                  <c:v>48.894768221569919</c:v>
                </c:pt>
                <c:pt idx="68">
                  <c:v>49.197537263030448</c:v>
                </c:pt>
                <c:pt idx="69">
                  <c:v>49.498690962259261</c:v>
                </c:pt>
                <c:pt idx="70">
                  <c:v>49.797906250320374</c:v>
                </c:pt>
                <c:pt idx="71">
                  <c:v>50.094860058410887</c:v>
                </c:pt>
                <c:pt idx="72">
                  <c:v>50.389229318885398</c:v>
                </c:pt>
                <c:pt idx="73">
                  <c:v>50.680690962821245</c:v>
                </c:pt>
                <c:pt idx="74">
                  <c:v>50.96892192055072</c:v>
                </c:pt>
                <c:pt idx="75">
                  <c:v>51.25359912599837</c:v>
                </c:pt>
                <c:pt idx="76">
                  <c:v>51.53439950851191</c:v>
                </c:pt>
                <c:pt idx="77">
                  <c:v>51.811000000312923</c:v>
                </c:pt>
                <c:pt idx="78">
                  <c:v>52.085518495286159</c:v>
                </c:pt>
                <c:pt idx="79">
                  <c:v>52.359785714958399</c:v>
                </c:pt>
                <c:pt idx="80">
                  <c:v>52.633047832202692</c:v>
                </c:pt>
                <c:pt idx="81">
                  <c:v>52.904551021169347</c:v>
                </c:pt>
                <c:pt idx="82">
                  <c:v>53.173541455050668</c:v>
                </c:pt>
                <c:pt idx="83">
                  <c:v>53.439265306613265</c:v>
                </c:pt>
                <c:pt idx="84">
                  <c:v>53.70096875093877</c:v>
                </c:pt>
                <c:pt idx="85">
                  <c:v>53.957897960288186</c:v>
                </c:pt>
                <c:pt idx="86">
                  <c:v>54.209299108279609</c:v>
                </c:pt>
                <c:pt idx="87">
                  <c:v>54.454418368105372</c:v>
                </c:pt>
                <c:pt idx="88">
                  <c:v>54.69250191447459</c:v>
                </c:pt>
                <c:pt idx="89">
                  <c:v>54.922795918690305</c:v>
                </c:pt>
                <c:pt idx="90">
                  <c:v>55.144546557297659</c:v>
                </c:pt>
                <c:pt idx="91">
                  <c:v>55.357000001519921</c:v>
                </c:pt>
                <c:pt idx="92">
                  <c:v>55.560120354007395</c:v>
                </c:pt>
                <c:pt idx="93">
                  <c:v>55.754733236559801</c:v>
                </c:pt>
                <c:pt idx="94">
                  <c:v>55.941377096889276</c:v>
                </c:pt>
                <c:pt idx="95">
                  <c:v>56.12059038057923</c:v>
                </c:pt>
                <c:pt idx="96">
                  <c:v>56.29291153443711</c:v>
                </c:pt>
                <c:pt idx="97">
                  <c:v>56.458879008782766</c:v>
                </c:pt>
                <c:pt idx="98">
                  <c:v>56.619031250476837</c:v>
                </c:pt>
                <c:pt idx="99">
                  <c:v>56.773906706379989</c:v>
                </c:pt>
                <c:pt idx="100">
                  <c:v>56.924043822873912</c:v>
                </c:pt>
                <c:pt idx="101">
                  <c:v>57.069981050065586</c:v>
                </c:pt>
                <c:pt idx="102">
                  <c:v>57.212256833644844</c:v>
                </c:pt>
                <c:pt idx="103">
                  <c:v>57.351409621217421</c:v>
                </c:pt>
                <c:pt idx="104">
                  <c:v>57.487977861453388</c:v>
                </c:pt>
                <c:pt idx="105">
                  <c:v>57.62250000014901</c:v>
                </c:pt>
                <c:pt idx="106">
                  <c:v>57.754401694663933</c:v>
                </c:pt>
                <c:pt idx="107">
                  <c:v>57.882677842357324</c:v>
                </c:pt>
                <c:pt idx="108">
                  <c:v>58.007220754665994</c:v>
                </c:pt>
                <c:pt idx="109">
                  <c:v>58.127922740897965</c:v>
                </c:pt>
                <c:pt idx="110">
                  <c:v>58.244676111425669</c:v>
                </c:pt>
                <c:pt idx="111">
                  <c:v>58.357373178643833</c:v>
                </c:pt>
                <c:pt idx="112">
                  <c:v>58.465906250476834</c:v>
                </c:pt>
                <c:pt idx="113">
                  <c:v>58.570167638574318</c:v>
                </c:pt>
                <c:pt idx="114">
                  <c:v>58.670049653681261</c:v>
                </c:pt>
                <c:pt idx="115">
                  <c:v>58.765444606436155</c:v>
                </c:pt>
                <c:pt idx="116">
                  <c:v>58.856244807637168</c:v>
                </c:pt>
                <c:pt idx="117">
                  <c:v>58.94234256637948</c:v>
                </c:pt>
                <c:pt idx="118">
                  <c:v>59.023630193248394</c:v>
                </c:pt>
                <c:pt idx="119">
                  <c:v>59.1</c:v>
                </c:pt>
                <c:pt idx="120">
                  <c:v>59.170913540039749</c:v>
                </c:pt>
                <c:pt idx="121">
                  <c:v>59.236119534234909</c:v>
                </c:pt>
                <c:pt idx="122">
                  <c:v>59.295941053809862</c:v>
                </c:pt>
                <c:pt idx="123">
                  <c:v>59.350701166476526</c:v>
                </c:pt>
                <c:pt idx="124">
                  <c:v>59.40072294122406</c:v>
                </c:pt>
                <c:pt idx="125">
                  <c:v>59.44632944650948</c:v>
                </c:pt>
                <c:pt idx="126">
                  <c:v>59.487843750603496</c:v>
                </c:pt>
                <c:pt idx="127">
                  <c:v>59.525588921670398</c:v>
                </c:pt>
                <c:pt idx="128">
                  <c:v>59.559888028380058</c:v>
                </c:pt>
                <c:pt idx="129">
                  <c:v>59.591064140626358</c:v>
                </c:pt>
                <c:pt idx="130">
                  <c:v>59.619440324710943</c:v>
                </c:pt>
                <c:pt idx="131">
                  <c:v>59.645339650447887</c:v>
                </c:pt>
                <c:pt idx="132">
                  <c:v>59.669085186054666</c:v>
                </c:pt>
                <c:pt idx="133">
                  <c:v>59.691000000387433</c:v>
                </c:pt>
                <c:pt idx="134">
                  <c:v>59.710366162285212</c:v>
                </c:pt>
                <c:pt idx="135">
                  <c:v>59.726322157840649</c:v>
                </c:pt>
                <c:pt idx="136">
                  <c:v>59.738975674259869</c:v>
                </c:pt>
                <c:pt idx="137">
                  <c:v>59.748434402474331</c:v>
                </c:pt>
                <c:pt idx="138">
                  <c:v>59.754806032005163</c:v>
                </c:pt>
                <c:pt idx="139">
                  <c:v>59.758198250989821</c:v>
                </c:pt>
                <c:pt idx="140">
                  <c:v>59.758718750439584</c:v>
                </c:pt>
                <c:pt idx="141">
                  <c:v>59.75647521891765</c:v>
                </c:pt>
                <c:pt idx="142">
                  <c:v>59.751575346557161</c:v>
                </c:pt>
                <c:pt idx="143">
                  <c:v>59.744126822267262</c:v>
                </c:pt>
                <c:pt idx="144">
                  <c:v>59.734237336553633</c:v>
                </c:pt>
                <c:pt idx="145">
                  <c:v>59.722014577473907</c:v>
                </c:pt>
                <c:pt idx="146">
                  <c:v>59.707566235613612</c:v>
                </c:pt>
                <c:pt idx="147">
                  <c:v>59.691000000387433</c:v>
                </c:pt>
                <c:pt idx="148">
                  <c:v>59.672387664392588</c:v>
                </c:pt>
                <c:pt idx="149">
                  <c:v>59.651657434446477</c:v>
                </c:pt>
                <c:pt idx="150">
                  <c:v>59.628701621852812</c:v>
                </c:pt>
                <c:pt idx="151">
                  <c:v>59.603412536584905</c:v>
                </c:pt>
                <c:pt idx="152">
                  <c:v>59.575682489440908</c:v>
                </c:pt>
                <c:pt idx="153">
                  <c:v>59.5454037906336</c:v>
                </c:pt>
                <c:pt idx="154">
                  <c:v>59.512468750216065</c:v>
                </c:pt>
                <c:pt idx="155">
                  <c:v>59.476769679571895</c:v>
                </c:pt>
                <c:pt idx="156">
                  <c:v>59.438198888434883</c:v>
                </c:pt>
                <c:pt idx="157">
                  <c:v>59.396648688454704</c:v>
                </c:pt>
                <c:pt idx="158">
                  <c:v>59.352011388726531</c:v>
                </c:pt>
                <c:pt idx="159">
                  <c:v>59.304179300527494</c:v>
                </c:pt>
                <c:pt idx="160">
                  <c:v>59.253044733804259</c:v>
                </c:pt>
                <c:pt idx="161">
                  <c:v>59.198500000685456</c:v>
                </c:pt>
                <c:pt idx="162">
                  <c:v>59.139773323959012</c:v>
                </c:pt>
                <c:pt idx="163">
                  <c:v>59.076451895306164</c:v>
                </c:pt>
                <c:pt idx="164">
                  <c:v>59.008966472199447</c:v>
                </c:pt>
                <c:pt idx="165">
                  <c:v>58.937747813974099</c:v>
                </c:pt>
                <c:pt idx="166">
                  <c:v>58.863226676373074</c:v>
                </c:pt>
                <c:pt idx="167">
                  <c:v>58.785833819423395</c:v>
                </c:pt>
                <c:pt idx="168">
                  <c:v>58.705999999865888</c:v>
                </c:pt>
                <c:pt idx="169">
                  <c:v>58.62415597651686</c:v>
                </c:pt>
                <c:pt idx="170">
                  <c:v>58.540732507341133</c:v>
                </c:pt>
                <c:pt idx="171">
                  <c:v>58.456160350010862</c:v>
                </c:pt>
                <c:pt idx="172">
                  <c:v>58.370870262371113</c:v>
                </c:pt>
                <c:pt idx="173">
                  <c:v>58.285293002958817</c:v>
                </c:pt>
                <c:pt idx="174">
                  <c:v>58.199859329299741</c:v>
                </c:pt>
                <c:pt idx="175">
                  <c:v>58.114999999850987</c:v>
                </c:pt>
                <c:pt idx="176">
                  <c:v>58.030068877365963</c:v>
                </c:pt>
                <c:pt idx="177">
                  <c:v>57.944132652772325</c:v>
                </c:pt>
                <c:pt idx="178">
                  <c:v>57.857191326655446</c:v>
                </c:pt>
                <c:pt idx="179">
                  <c:v>57.769244897977579</c:v>
                </c:pt>
                <c:pt idx="180">
                  <c:v>57.680293367310831</c:v>
                </c:pt>
                <c:pt idx="181">
                  <c:v>57.590336734615263</c:v>
                </c:pt>
                <c:pt idx="182">
                  <c:v>57.499374999944123</c:v>
                </c:pt>
                <c:pt idx="183">
                  <c:v>57.407408163270773</c:v>
                </c:pt>
                <c:pt idx="184">
                  <c:v>57.314436224661769</c:v>
                </c:pt>
                <c:pt idx="185">
                  <c:v>57.22045918381108</c:v>
                </c:pt>
                <c:pt idx="186">
                  <c:v>57.125477040931585</c:v>
                </c:pt>
                <c:pt idx="187">
                  <c:v>57.029489796023292</c:v>
                </c:pt>
                <c:pt idx="188">
                  <c:v>56.932497449019664</c:v>
                </c:pt>
                <c:pt idx="189">
                  <c:v>56.834500000067052</c:v>
                </c:pt>
                <c:pt idx="190">
                  <c:v>56.735030794793843</c:v>
                </c:pt>
                <c:pt idx="191">
                  <c:v>56.633766764165514</c:v>
                </c:pt>
                <c:pt idx="192">
                  <c:v>56.530923287397151</c:v>
                </c:pt>
                <c:pt idx="193">
                  <c:v>56.42671574351823</c:v>
                </c:pt>
                <c:pt idx="194">
                  <c:v>56.321359511796459</c:v>
                </c:pt>
                <c:pt idx="195">
                  <c:v>56.215069970862011</c:v>
                </c:pt>
                <c:pt idx="196">
                  <c:v>56.108062500063532</c:v>
                </c:pt>
                <c:pt idx="197">
                  <c:v>56.000552478110023</c:v>
                </c:pt>
                <c:pt idx="198">
                  <c:v>55.892755284337227</c:v>
                </c:pt>
                <c:pt idx="199">
                  <c:v>55.78488629744065</c:v>
                </c:pt>
                <c:pt idx="200">
                  <c:v>55.677160896530097</c:v>
                </c:pt>
                <c:pt idx="201">
                  <c:v>55.56979446066002</c:v>
                </c:pt>
                <c:pt idx="202">
                  <c:v>55.46300236880743</c:v>
                </c:pt>
                <c:pt idx="203">
                  <c:v>55.356999999999971</c:v>
                </c:pt>
                <c:pt idx="204">
                  <c:v>55.251697612965131</c:v>
                </c:pt>
                <c:pt idx="205">
                  <c:v>55.146790087456715</c:v>
                </c:pt>
                <c:pt idx="206">
                  <c:v>55.042169733960954</c:v>
                </c:pt>
                <c:pt idx="207">
                  <c:v>54.937728862937263</c:v>
                </c:pt>
                <c:pt idx="208">
                  <c:v>54.83335978495036</c:v>
                </c:pt>
                <c:pt idx="209">
                  <c:v>54.728954810485767</c:v>
                </c:pt>
                <c:pt idx="210">
                  <c:v>54.624406249908859</c:v>
                </c:pt>
                <c:pt idx="211">
                  <c:v>54.519606413932124</c:v>
                </c:pt>
                <c:pt idx="212">
                  <c:v>54.414447612980538</c:v>
                </c:pt>
                <c:pt idx="213">
                  <c:v>54.308822157427073</c:v>
                </c:pt>
                <c:pt idx="214">
                  <c:v>54.202622357736821</c:v>
                </c:pt>
                <c:pt idx="215">
                  <c:v>54.09574052477474</c:v>
                </c:pt>
                <c:pt idx="216">
                  <c:v>53.988068968673801</c:v>
                </c:pt>
                <c:pt idx="217">
                  <c:v>53.879499999899416</c:v>
                </c:pt>
                <c:pt idx="218">
                  <c:v>53.770002457139448</c:v>
                </c:pt>
                <c:pt idx="219">
                  <c:v>53.659676262726336</c:v>
                </c:pt>
                <c:pt idx="220">
                  <c:v>53.548610352980901</c:v>
                </c:pt>
                <c:pt idx="221">
                  <c:v>53.436893664822648</c:v>
                </c:pt>
                <c:pt idx="222">
                  <c:v>53.324615134638897</c:v>
                </c:pt>
                <c:pt idx="223">
                  <c:v>53.21186369874215</c:v>
                </c:pt>
                <c:pt idx="224">
                  <c:v>53.098728294076864</c:v>
                </c:pt>
                <c:pt idx="225">
                  <c:v>52.985297856978811</c:v>
                </c:pt>
                <c:pt idx="226">
                  <c:v>52.871661323973342</c:v>
                </c:pt>
                <c:pt idx="227">
                  <c:v>52.757907631600816</c:v>
                </c:pt>
                <c:pt idx="228">
                  <c:v>52.644125716525437</c:v>
                </c:pt>
                <c:pt idx="229">
                  <c:v>52.530404515175277</c:v>
                </c:pt>
                <c:pt idx="230">
                  <c:v>52.416832964163042</c:v>
                </c:pt>
                <c:pt idx="231">
                  <c:v>52.3035000000149</c:v>
                </c:pt>
                <c:pt idx="232">
                  <c:v>52.191356186327582</c:v>
                </c:pt>
                <c:pt idx="233">
                  <c:v>52.08095926711934</c:v>
                </c:pt>
                <c:pt idx="234">
                  <c:v>51.971808949103739</c:v>
                </c:pt>
                <c:pt idx="235">
                  <c:v>51.863404939280414</c:v>
                </c:pt>
                <c:pt idx="236">
                  <c:v>51.755246944501835</c:v>
                </c:pt>
                <c:pt idx="237">
                  <c:v>51.646834671151417</c:v>
                </c:pt>
                <c:pt idx="238">
                  <c:v>51.537667826819231</c:v>
                </c:pt>
                <c:pt idx="239">
                  <c:v>51.427246117894541</c:v>
                </c:pt>
                <c:pt idx="240">
                  <c:v>51.315069251400246</c:v>
                </c:pt>
                <c:pt idx="241">
                  <c:v>51.200636934229564</c:v>
                </c:pt>
                <c:pt idx="242">
                  <c:v>51.083448872667837</c:v>
                </c:pt>
                <c:pt idx="243">
                  <c:v>50.963004774399039</c:v>
                </c:pt>
                <c:pt idx="244">
                  <c:v>50.838804345684387</c:v>
                </c:pt>
                <c:pt idx="245">
                  <c:v>50.710347294062373</c:v>
                </c:pt>
                <c:pt idx="246">
                  <c:v>50.579088255656622</c:v>
                </c:pt>
                <c:pt idx="247">
                  <c:v>50.446598718953986</c:v>
                </c:pt>
                <c:pt idx="248">
                  <c:v>50.312553671215262</c:v>
                </c:pt>
                <c:pt idx="249">
                  <c:v>50.176628097891808</c:v>
                </c:pt>
                <c:pt idx="250">
                  <c:v>50.038496986031532</c:v>
                </c:pt>
                <c:pt idx="251">
                  <c:v>49.897835320127861</c:v>
                </c:pt>
                <c:pt idx="252">
                  <c:v>49.754318087361753</c:v>
                </c:pt>
                <c:pt idx="253">
                  <c:v>49.607620274541638</c:v>
                </c:pt>
                <c:pt idx="254">
                  <c:v>49.457416866107714</c:v>
                </c:pt>
                <c:pt idx="255">
                  <c:v>49.303382848948239</c:v>
                </c:pt>
                <c:pt idx="256">
                  <c:v>49.145193210457052</c:v>
                </c:pt>
                <c:pt idx="257">
                  <c:v>48.982522934515558</c:v>
                </c:pt>
                <c:pt idx="258">
                  <c:v>48.815047009236046</c:v>
                </c:pt>
                <c:pt idx="259">
                  <c:v>48.642440418154003</c:v>
                </c:pt>
                <c:pt idx="260">
                  <c:v>48.465034404663101</c:v>
                </c:pt>
                <c:pt idx="261">
                  <c:v>48.283424972742793</c:v>
                </c:pt>
                <c:pt idx="262">
                  <c:v>48.097684248643262</c:v>
                </c:pt>
                <c:pt idx="263">
                  <c:v>47.907884363404342</c:v>
                </c:pt>
                <c:pt idx="264">
                  <c:v>47.714097446948287</c:v>
                </c:pt>
                <c:pt idx="265">
                  <c:v>47.516395625046322</c:v>
                </c:pt>
                <c:pt idx="266">
                  <c:v>47.314851029217245</c:v>
                </c:pt>
                <c:pt idx="267">
                  <c:v>47.109535788106065</c:v>
                </c:pt>
                <c:pt idx="268">
                  <c:v>46.900522029399873</c:v>
                </c:pt>
                <c:pt idx="269">
                  <c:v>46.687881883446664</c:v>
                </c:pt>
                <c:pt idx="270">
                  <c:v>46.47168747921075</c:v>
                </c:pt>
                <c:pt idx="271">
                  <c:v>46.252010943740608</c:v>
                </c:pt>
                <c:pt idx="272">
                  <c:v>46.028924407597103</c:v>
                </c:pt>
                <c:pt idx="273">
                  <c:v>45.802500001341102</c:v>
                </c:pt>
                <c:pt idx="274">
                  <c:v>45.572123646762755</c:v>
                </c:pt>
                <c:pt idx="275">
                  <c:v>45.337288841498754</c:v>
                </c:pt>
                <c:pt idx="276">
                  <c:v>45.09822906838464</c:v>
                </c:pt>
                <c:pt idx="277">
                  <c:v>44.855177812384703</c:v>
                </c:pt>
                <c:pt idx="278">
                  <c:v>44.608368555190303</c:v>
                </c:pt>
                <c:pt idx="279">
                  <c:v>44.358034781313371</c:v>
                </c:pt>
                <c:pt idx="280">
                  <c:v>44.104409974068403</c:v>
                </c:pt>
                <c:pt idx="281">
                  <c:v>43.847727616557052</c:v>
                </c:pt>
                <c:pt idx="282">
                  <c:v>43.588221192359924</c:v>
                </c:pt>
                <c:pt idx="283">
                  <c:v>43.326124185962335</c:v>
                </c:pt>
                <c:pt idx="284">
                  <c:v>43.061670080199839</c:v>
                </c:pt>
                <c:pt idx="285">
                  <c:v>42.795092358120854</c:v>
                </c:pt>
                <c:pt idx="286">
                  <c:v>42.52662450357208</c:v>
                </c:pt>
                <c:pt idx="287">
                  <c:v>42.25650000013411</c:v>
                </c:pt>
                <c:pt idx="288">
                  <c:v>41.984601949181936</c:v>
                </c:pt>
                <c:pt idx="289">
                  <c:v>41.710586005236422</c:v>
                </c:pt>
                <c:pt idx="290">
                  <c:v>41.434344478430489</c:v>
                </c:pt>
                <c:pt idx="291">
                  <c:v>41.155769678897094</c:v>
                </c:pt>
                <c:pt idx="292">
                  <c:v>40.87475391700864</c:v>
                </c:pt>
                <c:pt idx="293">
                  <c:v>40.591189503722958</c:v>
                </c:pt>
                <c:pt idx="294">
                  <c:v>40.304968749359247</c:v>
                </c:pt>
                <c:pt idx="295">
                  <c:v>40.01598396466246</c:v>
                </c:pt>
                <c:pt idx="296">
                  <c:v>39.724127459153536</c:v>
                </c:pt>
                <c:pt idx="297">
                  <c:v>39.429291545014294</c:v>
                </c:pt>
                <c:pt idx="298">
                  <c:v>39.131368530807748</c:v>
                </c:pt>
                <c:pt idx="299">
                  <c:v>38.830250728343216</c:v>
                </c:pt>
                <c:pt idx="300">
                  <c:v>38.525830447647188</c:v>
                </c:pt>
                <c:pt idx="301">
                  <c:v>38.217999998852612</c:v>
                </c:pt>
                <c:pt idx="302">
                  <c:v>37.903654335758517</c:v>
                </c:pt>
                <c:pt idx="303">
                  <c:v>37.580765305246629</c:v>
                </c:pt>
                <c:pt idx="304">
                  <c:v>37.250840560160576</c:v>
                </c:pt>
                <c:pt idx="305">
                  <c:v>36.915387754461591</c:v>
                </c:pt>
                <c:pt idx="306">
                  <c:v>36.575914540221646</c:v>
                </c:pt>
                <c:pt idx="307">
                  <c:v>36.233928571002821</c:v>
                </c:pt>
                <c:pt idx="308">
                  <c:v>35.890937499329446</c:v>
                </c:pt>
                <c:pt idx="309">
                  <c:v>35.548448978949871</c:v>
                </c:pt>
                <c:pt idx="310">
                  <c:v>35.207970662920602</c:v>
                </c:pt>
                <c:pt idx="311">
                  <c:v>34.871010203446659</c:v>
                </c:pt>
                <c:pt idx="312">
                  <c:v>34.539075255048061</c:v>
                </c:pt>
                <c:pt idx="313">
                  <c:v>34.213673468945288</c:v>
                </c:pt>
                <c:pt idx="314">
                  <c:v>33.896312499498677</c:v>
                </c:pt>
                <c:pt idx="315">
                  <c:v>33.588499999046327</c:v>
                </c:pt>
                <c:pt idx="316">
                  <c:v>33.287041180474418</c:v>
                </c:pt>
                <c:pt idx="317">
                  <c:v>32.988023323672152</c:v>
                </c:pt>
                <c:pt idx="318">
                  <c:v>32.691877186458029</c:v>
                </c:pt>
                <c:pt idx="319">
                  <c:v>32.399033528034174</c:v>
                </c:pt>
                <c:pt idx="320">
                  <c:v>32.10992310440966</c:v>
                </c:pt>
                <c:pt idx="321">
                  <c:v>31.824976676702498</c:v>
                </c:pt>
                <c:pt idx="322">
                  <c:v>31.544624999910592</c:v>
                </c:pt>
                <c:pt idx="323">
                  <c:v>31.269298834034373</c:v>
                </c:pt>
                <c:pt idx="324">
                  <c:v>30.999428936147261</c:v>
                </c:pt>
                <c:pt idx="325">
                  <c:v>30.735446063429116</c:v>
                </c:pt>
                <c:pt idx="326">
                  <c:v>30.477780976731861</c:v>
                </c:pt>
                <c:pt idx="327">
                  <c:v>30.2268644310534</c:v>
                </c:pt>
                <c:pt idx="328">
                  <c:v>29.983127186553816</c:v>
                </c:pt>
                <c:pt idx="329">
                  <c:v>29.746999999135731</c:v>
                </c:pt>
                <c:pt idx="330">
                  <c:v>29.513870171351094</c:v>
                </c:pt>
                <c:pt idx="331">
                  <c:v>29.280058308584351</c:v>
                </c:pt>
                <c:pt idx="332">
                  <c:v>29.047395136845967</c:v>
                </c:pt>
                <c:pt idx="333">
                  <c:v>28.817711371289828</c:v>
                </c:pt>
                <c:pt idx="334">
                  <c:v>28.592837736808825</c:v>
                </c:pt>
                <c:pt idx="335">
                  <c:v>28.37460495531559</c:v>
                </c:pt>
                <c:pt idx="336">
                  <c:v>28.16484375037253</c:v>
                </c:pt>
                <c:pt idx="337">
                  <c:v>27.965384840433085</c:v>
                </c:pt>
                <c:pt idx="338">
                  <c:v>27.778058945387603</c:v>
                </c:pt>
                <c:pt idx="339">
                  <c:v>27.604696795557224</c:v>
                </c:pt>
                <c:pt idx="340">
                  <c:v>27.447129101998041</c:v>
                </c:pt>
                <c:pt idx="341">
                  <c:v>27.307186588219235</c:v>
                </c:pt>
                <c:pt idx="342">
                  <c:v>27.186699982838974</c:v>
                </c:pt>
                <c:pt idx="343">
                  <c:v>27.087499999999999</c:v>
                </c:pt>
                <c:pt idx="344">
                  <c:v>27.007959994354415</c:v>
                </c:pt>
                <c:pt idx="345">
                  <c:v>26.94488840081862</c:v>
                </c:pt>
                <c:pt idx="346">
                  <c:v>26.897768546960187</c:v>
                </c:pt>
                <c:pt idx="347">
                  <c:v>26.866083776525091</c:v>
                </c:pt>
                <c:pt idx="348">
                  <c:v>26.849317430491958</c:v>
                </c:pt>
                <c:pt idx="349">
                  <c:v>26.84695284132447</c:v>
                </c:pt>
                <c:pt idx="350">
                  <c:v>26.858473347127436</c:v>
                </c:pt>
                <c:pt idx="351">
                  <c:v>26.883362288560182</c:v>
                </c:pt>
                <c:pt idx="352">
                  <c:v>26.92110300596271</c:v>
                </c:pt>
                <c:pt idx="353">
                  <c:v>26.971178831585814</c:v>
                </c:pt>
                <c:pt idx="354">
                  <c:v>27.033073105450189</c:v>
                </c:pt>
                <c:pt idx="355">
                  <c:v>27.106269167150771</c:v>
                </c:pt>
                <c:pt idx="356">
                  <c:v>27.1902503510671</c:v>
                </c:pt>
                <c:pt idx="357">
                  <c:v>27.28449999988079</c:v>
                </c:pt>
                <c:pt idx="358">
                  <c:v>27.393446282595399</c:v>
                </c:pt>
                <c:pt idx="359">
                  <c:v>27.520818050801758</c:v>
                </c:pt>
                <c:pt idx="360">
                  <c:v>27.665049654394391</c:v>
                </c:pt>
                <c:pt idx="361">
                  <c:v>27.824575446049373</c:v>
                </c:pt>
                <c:pt idx="362">
                  <c:v>27.997829774767162</c:v>
                </c:pt>
                <c:pt idx="363">
                  <c:v>28.18324699431658</c:v>
                </c:pt>
                <c:pt idx="364">
                  <c:v>28.379261455933253</c:v>
                </c:pt>
                <c:pt idx="365">
                  <c:v>28.584307509462043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25.967841110496515</c:v>
                </c:pt>
                <c:pt idx="2">
                  <c:v>30.270872638205173</c:v>
                </c:pt>
                <c:pt idx="3">
                  <c:v>25.910930416910517</c:v>
                </c:pt>
                <c:pt idx="4">
                  <c:v>29.868700088933423</c:v>
                </c:pt>
                <c:pt idx="5">
                  <c:v>28.521480989437787</c:v>
                </c:pt>
                <c:pt idx="6">
                  <c:v>15.334327230197083</c:v>
                </c:pt>
                <c:pt idx="7">
                  <c:v>20.926751067686602</c:v>
                </c:pt>
                <c:pt idx="8">
                  <c:v>27.858667670277544</c:v>
                </c:pt>
                <c:pt idx="9">
                  <c:v>10.822941868477683</c:v>
                </c:pt>
                <c:pt idx="10">
                  <c:v>30.380982956889898</c:v>
                </c:pt>
                <c:pt idx="11">
                  <c:v>30.267889314428743</c:v>
                </c:pt>
                <c:pt idx="12">
                  <c:v>17.075177344016367</c:v>
                </c:pt>
                <c:pt idx="13">
                  <c:v>31.536797669864139</c:v>
                </c:pt>
                <c:pt idx="14">
                  <c:v>31.359702932617143</c:v>
                </c:pt>
                <c:pt idx="15">
                  <c:v>32.204114318448951</c:v>
                </c:pt>
                <c:pt idx="16">
                  <c:v>21.48400633043217</c:v>
                </c:pt>
                <c:pt idx="17">
                  <c:v>30.961638796552403</c:v>
                </c:pt>
                <c:pt idx="18">
                  <c:v>32.578902251016416</c:v>
                </c:pt>
                <c:pt idx="19">
                  <c:v>11.984563264269097</c:v>
                </c:pt>
                <c:pt idx="20">
                  <c:v>18.085651439803524</c:v>
                </c:pt>
                <c:pt idx="21">
                  <c:v>32.697849500824447</c:v>
                </c:pt>
                <c:pt idx="22">
                  <c:v>32.765037654429378</c:v>
                </c:pt>
                <c:pt idx="23">
                  <c:v>33.075754899751203</c:v>
                </c:pt>
                <c:pt idx="24">
                  <c:v>32.57978354288494</c:v>
                </c:pt>
                <c:pt idx="25">
                  <c:v>33.422605659814721</c:v>
                </c:pt>
                <c:pt idx="26">
                  <c:v>33.117741356998614</c:v>
                </c:pt>
                <c:pt idx="27">
                  <c:v>17.427879917759782</c:v>
                </c:pt>
                <c:pt idx="28">
                  <c:v>22.511927090396647</c:v>
                </c:pt>
                <c:pt idx="29">
                  <c:v>10.423685229998675</c:v>
                </c:pt>
                <c:pt idx="30">
                  <c:v>26.210661022055326</c:v>
                </c:pt>
                <c:pt idx="31">
                  <c:v>29.47119267155292</c:v>
                </c:pt>
                <c:pt idx="32">
                  <c:v>31.55257955620117</c:v>
                </c:pt>
                <c:pt idx="33">
                  <c:v>28.70079034414249</c:v>
                </c:pt>
                <c:pt idx="34">
                  <c:v>29.923583051666235</c:v>
                </c:pt>
                <c:pt idx="35">
                  <c:v>37.591562892350396</c:v>
                </c:pt>
                <c:pt idx="36">
                  <c:v>39.747861870771352</c:v>
                </c:pt>
                <c:pt idx="37">
                  <c:v>25.290736794333089</c:v>
                </c:pt>
                <c:pt idx="38">
                  <c:v>38.909731663461848</c:v>
                </c:pt>
                <c:pt idx="39">
                  <c:v>38.999655191950957</c:v>
                </c:pt>
                <c:pt idx="40">
                  <c:v>36.23625864148525</c:v>
                </c:pt>
                <c:pt idx="41">
                  <c:v>32.069160070810902</c:v>
                </c:pt>
                <c:pt idx="42">
                  <c:v>40.986650074876621</c:v>
                </c:pt>
                <c:pt idx="43">
                  <c:v>42.930559585857665</c:v>
                </c:pt>
                <c:pt idx="44">
                  <c:v>42.898613753230741</c:v>
                </c:pt>
                <c:pt idx="45">
                  <c:v>43.307632323541206</c:v>
                </c:pt>
                <c:pt idx="46">
                  <c:v>43.625435149292962</c:v>
                </c:pt>
                <c:pt idx="47">
                  <c:v>44.343925318135149</c:v>
                </c:pt>
                <c:pt idx="48">
                  <c:v>43.682090944826165</c:v>
                </c:pt>
                <c:pt idx="49">
                  <c:v>40.826390842051637</c:v>
                </c:pt>
                <c:pt idx="50">
                  <c:v>43.218540620250515</c:v>
                </c:pt>
                <c:pt idx="51">
                  <c:v>42.441850727741603</c:v>
                </c:pt>
                <c:pt idx="52">
                  <c:v>42.464770609772728</c:v>
                </c:pt>
                <c:pt idx="53">
                  <c:v>43.491209699160983</c:v>
                </c:pt>
                <c:pt idx="54">
                  <c:v>44.144707241290959</c:v>
                </c:pt>
                <c:pt idx="55">
                  <c:v>44.223095559004854</c:v>
                </c:pt>
                <c:pt idx="56">
                  <c:v>45.651145410531818</c:v>
                </c:pt>
                <c:pt idx="57">
                  <c:v>44.962572405256154</c:v>
                </c:pt>
                <c:pt idx="58">
                  <c:v>37.080698817786207</c:v>
                </c:pt>
                <c:pt idx="59">
                  <c:v>46.669271608719839</c:v>
                </c:pt>
                <c:pt idx="60">
                  <c:v>32.956677810715547</c:v>
                </c:pt>
                <c:pt idx="61">
                  <c:v>44.133139315873827</c:v>
                </c:pt>
                <c:pt idx="62">
                  <c:v>33.323703114447028</c:v>
                </c:pt>
                <c:pt idx="63">
                  <c:v>47.032781812856342</c:v>
                </c:pt>
                <c:pt idx="64">
                  <c:v>24.181479709212134</c:v>
                </c:pt>
                <c:pt idx="65">
                  <c:v>43.018931785268983</c:v>
                </c:pt>
                <c:pt idx="66">
                  <c:v>34.580370202974152</c:v>
                </c:pt>
                <c:pt idx="67">
                  <c:v>44.616353864796501</c:v>
                </c:pt>
                <c:pt idx="68">
                  <c:v>45.293809105395539</c:v>
                </c:pt>
                <c:pt idx="69">
                  <c:v>36.273412618426136</c:v>
                </c:pt>
                <c:pt idx="70">
                  <c:v>43.935491435363161</c:v>
                </c:pt>
                <c:pt idx="71">
                  <c:v>42.800557177693996</c:v>
                </c:pt>
                <c:pt idx="72">
                  <c:v>36.891466840324576</c:v>
                </c:pt>
                <c:pt idx="73">
                  <c:v>34.951737117929945</c:v>
                </c:pt>
                <c:pt idx="74">
                  <c:v>52.275659986289419</c:v>
                </c:pt>
                <c:pt idx="75">
                  <c:v>27.107916637934526</c:v>
                </c:pt>
                <c:pt idx="76">
                  <c:v>38.270489516966428</c:v>
                </c:pt>
                <c:pt idx="77">
                  <c:v>46.831517578729603</c:v>
                </c:pt>
                <c:pt idx="78">
                  <c:v>53.139538604347429</c:v>
                </c:pt>
                <c:pt idx="79">
                  <c:v>53.219933275475654</c:v>
                </c:pt>
                <c:pt idx="80">
                  <c:v>52.117627843898426</c:v>
                </c:pt>
                <c:pt idx="81">
                  <c:v>53.087253194145475</c:v>
                </c:pt>
                <c:pt idx="82">
                  <c:v>52.635831121779191</c:v>
                </c:pt>
                <c:pt idx="83">
                  <c:v>47.578792902284313</c:v>
                </c:pt>
                <c:pt idx="84">
                  <c:v>56.081839676566283</c:v>
                </c:pt>
                <c:pt idx="85">
                  <c:v>55.275486537639232</c:v>
                </c:pt>
                <c:pt idx="86">
                  <c:v>54.062253279945516</c:v>
                </c:pt>
                <c:pt idx="87">
                  <c:v>54.934926813744624</c:v>
                </c:pt>
                <c:pt idx="88">
                  <c:v>56.1503147173473</c:v>
                </c:pt>
                <c:pt idx="89">
                  <c:v>49.506417533337903</c:v>
                </c:pt>
                <c:pt idx="90">
                  <c:v>49.445909039564896</c:v>
                </c:pt>
                <c:pt idx="91">
                  <c:v>44.480418756560418</c:v>
                </c:pt>
                <c:pt idx="92">
                  <c:v>52.947397962650761</c:v>
                </c:pt>
                <c:pt idx="93">
                  <c:v>55.741875297523443</c:v>
                </c:pt>
                <c:pt idx="94">
                  <c:v>58.256884739736201</c:v>
                </c:pt>
                <c:pt idx="95">
                  <c:v>57.685469912803519</c:v>
                </c:pt>
                <c:pt idx="96">
                  <c:v>56.268394657199678</c:v>
                </c:pt>
                <c:pt idx="97">
                  <c:v>56.211155978326396</c:v>
                </c:pt>
                <c:pt idx="98">
                  <c:v>45.992596170964376</c:v>
                </c:pt>
                <c:pt idx="99">
                  <c:v>58.392220786132839</c:v>
                </c:pt>
                <c:pt idx="100">
                  <c:v>56.926003902955259</c:v>
                </c:pt>
                <c:pt idx="101">
                  <c:v>56.893751444283453</c:v>
                </c:pt>
                <c:pt idx="102">
                  <c:v>58.336070770675065</c:v>
                </c:pt>
                <c:pt idx="103">
                  <c:v>56.615625243922842</c:v>
                </c:pt>
                <c:pt idx="104">
                  <c:v>56.990205602590848</c:v>
                </c:pt>
                <c:pt idx="105">
                  <c:v>53.394011325702145</c:v>
                </c:pt>
                <c:pt idx="106">
                  <c:v>57.88313462083768</c:v>
                </c:pt>
                <c:pt idx="107">
                  <c:v>42.269665111428111</c:v>
                </c:pt>
                <c:pt idx="108">
                  <c:v>56.035337326864806</c:v>
                </c:pt>
                <c:pt idx="109">
                  <c:v>54.638540839726012</c:v>
                </c:pt>
                <c:pt idx="110">
                  <c:v>49.293646269634195</c:v>
                </c:pt>
                <c:pt idx="111">
                  <c:v>60.094501166563738</c:v>
                </c:pt>
                <c:pt idx="112">
                  <c:v>60.511949341362161</c:v>
                </c:pt>
                <c:pt idx="113">
                  <c:v>59.112989516648078</c:v>
                </c:pt>
                <c:pt idx="114">
                  <c:v>55.415664195239167</c:v>
                </c:pt>
                <c:pt idx="115">
                  <c:v>57.1090988007223</c:v>
                </c:pt>
                <c:pt idx="116">
                  <c:v>42.091220919554068</c:v>
                </c:pt>
                <c:pt idx="117">
                  <c:v>44.927139058198264</c:v>
                </c:pt>
                <c:pt idx="118">
                  <c:v>53.012856919854819</c:v>
                </c:pt>
                <c:pt idx="119">
                  <c:v>59.629748537925202</c:v>
                </c:pt>
                <c:pt idx="120">
                  <c:v>57.486763345827086</c:v>
                </c:pt>
                <c:pt idx="121">
                  <c:v>52.039309618554178</c:v>
                </c:pt>
                <c:pt idx="122">
                  <c:v>59.632265422182535</c:v>
                </c:pt>
                <c:pt idx="123">
                  <c:v>56.02715044671482</c:v>
                </c:pt>
                <c:pt idx="124">
                  <c:v>58.496922298592779</c:v>
                </c:pt>
                <c:pt idx="125">
                  <c:v>61.787025291973102</c:v>
                </c:pt>
                <c:pt idx="126">
                  <c:v>57.268675300754929</c:v>
                </c:pt>
                <c:pt idx="127">
                  <c:v>59.229596839292704</c:v>
                </c:pt>
                <c:pt idx="128">
                  <c:v>56.995146549871819</c:v>
                </c:pt>
                <c:pt idx="129">
                  <c:v>54.326480151612564</c:v>
                </c:pt>
                <c:pt idx="130">
                  <c:v>58.299507176045971</c:v>
                </c:pt>
                <c:pt idx="131">
                  <c:v>54.342875304504368</c:v>
                </c:pt>
                <c:pt idx="132">
                  <c:v>61.987907498178245</c:v>
                </c:pt>
                <c:pt idx="133">
                  <c:v>60.924968033525275</c:v>
                </c:pt>
                <c:pt idx="134">
                  <c:v>61.115724809852011</c:v>
                </c:pt>
                <c:pt idx="135">
                  <c:v>53.059049152756259</c:v>
                </c:pt>
                <c:pt idx="136">
                  <c:v>56.489788505091589</c:v>
                </c:pt>
                <c:pt idx="137">
                  <c:v>59.62470514235855</c:v>
                </c:pt>
                <c:pt idx="138">
                  <c:v>59.775748831066402</c:v>
                </c:pt>
                <c:pt idx="139">
                  <c:v>61.745336141235896</c:v>
                </c:pt>
                <c:pt idx="140">
                  <c:v>58.246676654523853</c:v>
                </c:pt>
                <c:pt idx="141">
                  <c:v>58.677512490213942</c:v>
                </c:pt>
                <c:pt idx="142">
                  <c:v>53.955691624579302</c:v>
                </c:pt>
                <c:pt idx="143">
                  <c:v>25.770368698840517</c:v>
                </c:pt>
                <c:pt idx="144">
                  <c:v>55.122596698708996</c:v>
                </c:pt>
                <c:pt idx="145">
                  <c:v>58.823190702914935</c:v>
                </c:pt>
                <c:pt idx="146">
                  <c:v>60.55384086599669</c:v>
                </c:pt>
                <c:pt idx="147">
                  <c:v>57.676626455771242</c:v>
                </c:pt>
                <c:pt idx="148">
                  <c:v>60.251561411651252</c:v>
                </c:pt>
                <c:pt idx="149">
                  <c:v>58.524365554999449</c:v>
                </c:pt>
                <c:pt idx="150">
                  <c:v>59.313017833892296</c:v>
                </c:pt>
                <c:pt idx="151">
                  <c:v>60.331915443766647</c:v>
                </c:pt>
                <c:pt idx="152">
                  <c:v>59.300139796564821</c:v>
                </c:pt>
                <c:pt idx="153">
                  <c:v>56.753164190064147</c:v>
                </c:pt>
                <c:pt idx="154">
                  <c:v>57.111684044434135</c:v>
                </c:pt>
                <c:pt idx="155">
                  <c:v>42.716075181662134</c:v>
                </c:pt>
                <c:pt idx="156">
                  <c:v>56.000265625104696</c:v>
                </c:pt>
                <c:pt idx="157">
                  <c:v>55.156942491889488</c:v>
                </c:pt>
                <c:pt idx="158">
                  <c:v>61.487890344452325</c:v>
                </c:pt>
                <c:pt idx="159">
                  <c:v>58.767455716335284</c:v>
                </c:pt>
                <c:pt idx="160">
                  <c:v>58.958171691814933</c:v>
                </c:pt>
                <c:pt idx="161">
                  <c:v>57.3561169599772</c:v>
                </c:pt>
                <c:pt idx="162">
                  <c:v>53.061432092137871</c:v>
                </c:pt>
                <c:pt idx="163">
                  <c:v>61.924411785677407</c:v>
                </c:pt>
                <c:pt idx="164">
                  <c:v>57.572810186062441</c:v>
                </c:pt>
                <c:pt idx="165">
                  <c:v>55.24171181359447</c:v>
                </c:pt>
                <c:pt idx="166">
                  <c:v>59.636866753529013</c:v>
                </c:pt>
                <c:pt idx="167">
                  <c:v>58.647204437041879</c:v>
                </c:pt>
                <c:pt idx="168">
                  <c:v>56.677985927992459</c:v>
                </c:pt>
                <c:pt idx="169">
                  <c:v>57.388957189665653</c:v>
                </c:pt>
                <c:pt idx="170">
                  <c:v>50.746590499850917</c:v>
                </c:pt>
                <c:pt idx="171">
                  <c:v>50.271199376554243</c:v>
                </c:pt>
                <c:pt idx="172">
                  <c:v>58.651325061036623</c:v>
                </c:pt>
                <c:pt idx="173">
                  <c:v>52.717054573900171</c:v>
                </c:pt>
                <c:pt idx="174">
                  <c:v>57.879746381610467</c:v>
                </c:pt>
                <c:pt idx="175">
                  <c:v>56.287194704165557</c:v>
                </c:pt>
                <c:pt idx="176">
                  <c:v>59.196700093726733</c:v>
                </c:pt>
                <c:pt idx="177">
                  <c:v>57.199547222334189</c:v>
                </c:pt>
                <c:pt idx="178">
                  <c:v>57.378438327002037</c:v>
                </c:pt>
                <c:pt idx="179">
                  <c:v>58.289451559149789</c:v>
                </c:pt>
                <c:pt idx="180">
                  <c:v>51.899795502885659</c:v>
                </c:pt>
                <c:pt idx="181">
                  <c:v>55.368807466601659</c:v>
                </c:pt>
                <c:pt idx="182">
                  <c:v>57.199459746011513</c:v>
                </c:pt>
                <c:pt idx="183">
                  <c:v>49.441031489628365</c:v>
                </c:pt>
                <c:pt idx="184">
                  <c:v>55.745011407918014</c:v>
                </c:pt>
                <c:pt idx="185">
                  <c:v>58.767865102105034</c:v>
                </c:pt>
                <c:pt idx="186">
                  <c:v>56.315415913154332</c:v>
                </c:pt>
                <c:pt idx="187">
                  <c:v>56.989181729783134</c:v>
                </c:pt>
                <c:pt idx="188">
                  <c:v>59.606340921073496</c:v>
                </c:pt>
                <c:pt idx="189">
                  <c:v>57.657909676559214</c:v>
                </c:pt>
                <c:pt idx="190">
                  <c:v>57.285515204280557</c:v>
                </c:pt>
                <c:pt idx="191">
                  <c:v>56.244702289420005</c:v>
                </c:pt>
                <c:pt idx="192">
                  <c:v>57.631675116560842</c:v>
                </c:pt>
                <c:pt idx="193">
                  <c:v>55.734625424690442</c:v>
                </c:pt>
                <c:pt idx="194">
                  <c:v>56.367501147703905</c:v>
                </c:pt>
                <c:pt idx="195">
                  <c:v>57.830639820469678</c:v>
                </c:pt>
                <c:pt idx="196">
                  <c:v>57.203978991704709</c:v>
                </c:pt>
                <c:pt idx="197">
                  <c:v>57.205914857920881</c:v>
                </c:pt>
                <c:pt idx="198">
                  <c:v>55.474211028817379</c:v>
                </c:pt>
                <c:pt idx="199">
                  <c:v>57.76277955645417</c:v>
                </c:pt>
                <c:pt idx="200">
                  <c:v>55.682250887635263</c:v>
                </c:pt>
                <c:pt idx="201">
                  <c:v>53.844768353025124</c:v>
                </c:pt>
                <c:pt idx="202">
                  <c:v>54.507643131176636</c:v>
                </c:pt>
                <c:pt idx="203">
                  <c:v>56.297408043792899</c:v>
                </c:pt>
                <c:pt idx="204">
                  <c:v>54.305562115577402</c:v>
                </c:pt>
                <c:pt idx="205">
                  <c:v>54.530894378058939</c:v>
                </c:pt>
                <c:pt idx="206">
                  <c:v>54.739727703954557</c:v>
                </c:pt>
                <c:pt idx="207">
                  <c:v>57.478883622167693</c:v>
                </c:pt>
                <c:pt idx="208">
                  <c:v>52.534108463708804</c:v>
                </c:pt>
                <c:pt idx="209">
                  <c:v>55.721551124095164</c:v>
                </c:pt>
                <c:pt idx="210">
                  <c:v>53.533900381500366</c:v>
                </c:pt>
                <c:pt idx="211">
                  <c:v>55.12160846336959</c:v>
                </c:pt>
                <c:pt idx="212">
                  <c:v>55.045740208106061</c:v>
                </c:pt>
                <c:pt idx="213">
                  <c:v>55.101659633239557</c:v>
                </c:pt>
                <c:pt idx="214">
                  <c:v>53.74274506897126</c:v>
                </c:pt>
                <c:pt idx="215">
                  <c:v>52.784026753635928</c:v>
                </c:pt>
                <c:pt idx="216">
                  <c:v>53.36011340472448</c:v>
                </c:pt>
                <c:pt idx="217">
                  <c:v>54.203152791652954</c:v>
                </c:pt>
                <c:pt idx="218">
                  <c:v>53.68882696502358</c:v>
                </c:pt>
                <c:pt idx="219">
                  <c:v>54.348181539187038</c:v>
                </c:pt>
                <c:pt idx="220">
                  <c:v>54.505372378920782</c:v>
                </c:pt>
                <c:pt idx="221">
                  <c:v>52.854099421104479</c:v>
                </c:pt>
                <c:pt idx="222">
                  <c:v>52.879735063277003</c:v>
                </c:pt>
                <c:pt idx="223">
                  <c:v>51.227825043986797</c:v>
                </c:pt>
                <c:pt idx="224">
                  <c:v>48.536022746732414</c:v>
                </c:pt>
                <c:pt idx="225">
                  <c:v>53.538915966622881</c:v>
                </c:pt>
                <c:pt idx="226">
                  <c:v>53.803189402990363</c:v>
                </c:pt>
                <c:pt idx="227">
                  <c:v>53.769916943030935</c:v>
                </c:pt>
                <c:pt idx="228">
                  <c:v>51.890414604753857</c:v>
                </c:pt>
                <c:pt idx="229">
                  <c:v>49.183966953911138</c:v>
                </c:pt>
                <c:pt idx="230">
                  <c:v>49.967163493960541</c:v>
                </c:pt>
                <c:pt idx="231">
                  <c:v>52.544338316202321</c:v>
                </c:pt>
                <c:pt idx="232">
                  <c:v>51.773522913939907</c:v>
                </c:pt>
                <c:pt idx="233">
                  <c:v>53.717329476513434</c:v>
                </c:pt>
                <c:pt idx="234">
                  <c:v>51.339633290441888</c:v>
                </c:pt>
                <c:pt idx="235">
                  <c:v>51.228164501997107</c:v>
                </c:pt>
                <c:pt idx="236">
                  <c:v>50.680972332086561</c:v>
                </c:pt>
                <c:pt idx="237">
                  <c:v>53.637175533284911</c:v>
                </c:pt>
                <c:pt idx="238">
                  <c:v>51.403994258295555</c:v>
                </c:pt>
                <c:pt idx="239">
                  <c:v>53.343274555388398</c:v>
                </c:pt>
                <c:pt idx="240">
                  <c:v>52.809812213553279</c:v>
                </c:pt>
                <c:pt idx="241">
                  <c:v>51.020688029577649</c:v>
                </c:pt>
                <c:pt idx="242">
                  <c:v>51.639133296774915</c:v>
                </c:pt>
                <c:pt idx="243">
                  <c:v>52.083506608695828</c:v>
                </c:pt>
                <c:pt idx="244">
                  <c:v>50.502495754224739</c:v>
                </c:pt>
                <c:pt idx="245">
                  <c:v>52.236523625300045</c:v>
                </c:pt>
                <c:pt idx="246">
                  <c:v>51.364733019215166</c:v>
                </c:pt>
                <c:pt idx="247">
                  <c:v>50.98450100113412</c:v>
                </c:pt>
                <c:pt idx="248">
                  <c:v>50.093779259666192</c:v>
                </c:pt>
                <c:pt idx="249">
                  <c:v>51.37719632099251</c:v>
                </c:pt>
                <c:pt idx="250">
                  <c:v>49.21838095853591</c:v>
                </c:pt>
                <c:pt idx="251">
                  <c:v>48.849649959056784</c:v>
                </c:pt>
                <c:pt idx="252">
                  <c:v>47.65643970170953</c:v>
                </c:pt>
                <c:pt idx="253">
                  <c:v>48.554675543280503</c:v>
                </c:pt>
                <c:pt idx="254">
                  <c:v>49.547587041399964</c:v>
                </c:pt>
                <c:pt idx="255">
                  <c:v>47.552887947991515</c:v>
                </c:pt>
                <c:pt idx="256">
                  <c:v>47.223329847400791</c:v>
                </c:pt>
                <c:pt idx="257">
                  <c:v>48.01660304214726</c:v>
                </c:pt>
                <c:pt idx="258">
                  <c:v>47.259197332077989</c:v>
                </c:pt>
                <c:pt idx="259">
                  <c:v>50.32977490334271</c:v>
                </c:pt>
                <c:pt idx="260">
                  <c:v>48.683153570955007</c:v>
                </c:pt>
                <c:pt idx="261">
                  <c:v>48.086516498197845</c:v>
                </c:pt>
                <c:pt idx="262">
                  <c:v>49.540571226766822</c:v>
                </c:pt>
                <c:pt idx="263">
                  <c:v>48.456509135701559</c:v>
                </c:pt>
                <c:pt idx="264">
                  <c:v>47.127554108694312</c:v>
                </c:pt>
                <c:pt idx="265">
                  <c:v>46.242324699542912</c:v>
                </c:pt>
                <c:pt idx="266">
                  <c:v>42.341790799167022</c:v>
                </c:pt>
                <c:pt idx="267">
                  <c:v>48.914209724554347</c:v>
                </c:pt>
                <c:pt idx="268">
                  <c:v>47.979649608380406</c:v>
                </c:pt>
                <c:pt idx="269">
                  <c:v>46.988763169188566</c:v>
                </c:pt>
                <c:pt idx="270">
                  <c:v>44.138858996476266</c:v>
                </c:pt>
                <c:pt idx="271">
                  <c:v>45.467806820564945</c:v>
                </c:pt>
                <c:pt idx="272">
                  <c:v>41.385817820684117</c:v>
                </c:pt>
                <c:pt idx="273">
                  <c:v>43.981299080889379</c:v>
                </c:pt>
                <c:pt idx="274">
                  <c:v>47.647904130278036</c:v>
                </c:pt>
                <c:pt idx="275">
                  <c:v>43.351504842538631</c:v>
                </c:pt>
                <c:pt idx="276">
                  <c:v>44.844605022343991</c:v>
                </c:pt>
                <c:pt idx="277">
                  <c:v>44.683643039833356</c:v>
                </c:pt>
                <c:pt idx="278">
                  <c:v>42.282942542755286</c:v>
                </c:pt>
                <c:pt idx="279">
                  <c:v>44.5855001708373</c:v>
                </c:pt>
                <c:pt idx="280">
                  <c:v>41.761638375375632</c:v>
                </c:pt>
                <c:pt idx="281">
                  <c:v>41.612826498189825</c:v>
                </c:pt>
                <c:pt idx="282">
                  <c:v>33.955585399712518</c:v>
                </c:pt>
                <c:pt idx="283">
                  <c:v>43.516621662814977</c:v>
                </c:pt>
                <c:pt idx="284">
                  <c:v>42.807452061099632</c:v>
                </c:pt>
                <c:pt idx="285">
                  <c:v>41.038729599738197</c:v>
                </c:pt>
                <c:pt idx="286">
                  <c:v>44.446308487241133</c:v>
                </c:pt>
                <c:pt idx="287">
                  <c:v>40.917116605876139</c:v>
                </c:pt>
                <c:pt idx="288">
                  <c:v>39.359495276629886</c:v>
                </c:pt>
                <c:pt idx="289">
                  <c:v>39.909622414686694</c:v>
                </c:pt>
                <c:pt idx="290">
                  <c:v>40.636688636439388</c:v>
                </c:pt>
                <c:pt idx="291">
                  <c:v>39.555235344496339</c:v>
                </c:pt>
                <c:pt idx="292">
                  <c:v>32.753589060137877</c:v>
                </c:pt>
                <c:pt idx="293">
                  <c:v>25.301063614108177</c:v>
                </c:pt>
                <c:pt idx="294">
                  <c:v>36.678022887150242</c:v>
                </c:pt>
                <c:pt idx="295">
                  <c:v>40.417600881584974</c:v>
                </c:pt>
                <c:pt idx="296">
                  <c:v>41.588960428568228</c:v>
                </c:pt>
                <c:pt idx="297">
                  <c:v>39.380465592356508</c:v>
                </c:pt>
                <c:pt idx="298">
                  <c:v>38.95254653773808</c:v>
                </c:pt>
                <c:pt idx="299">
                  <c:v>33.191570367929572</c:v>
                </c:pt>
                <c:pt idx="300">
                  <c:v>38.41572407667438</c:v>
                </c:pt>
                <c:pt idx="301">
                  <c:v>30.720187323726929</c:v>
                </c:pt>
                <c:pt idx="302">
                  <c:v>35.207799824990232</c:v>
                </c:pt>
                <c:pt idx="303">
                  <c:v>35.869115091380415</c:v>
                </c:pt>
                <c:pt idx="304">
                  <c:v>32.156200585342432</c:v>
                </c:pt>
                <c:pt idx="305">
                  <c:v>32.454794639205154</c:v>
                </c:pt>
                <c:pt idx="306">
                  <c:v>31.18806335046073</c:v>
                </c:pt>
                <c:pt idx="307">
                  <c:v>29.822160701304174</c:v>
                </c:pt>
                <c:pt idx="308">
                  <c:v>34.642381012250276</c:v>
                </c:pt>
                <c:pt idx="309">
                  <c:v>34.243535630219014</c:v>
                </c:pt>
                <c:pt idx="310">
                  <c:v>32.735646206906857</c:v>
                </c:pt>
                <c:pt idx="311">
                  <c:v>27.419796880522092</c:v>
                </c:pt>
                <c:pt idx="312">
                  <c:v>26.175340990445164</c:v>
                </c:pt>
                <c:pt idx="313">
                  <c:v>26.422176031713878</c:v>
                </c:pt>
                <c:pt idx="314">
                  <c:v>32.960695638273201</c:v>
                </c:pt>
                <c:pt idx="315">
                  <c:v>32.840746587016881</c:v>
                </c:pt>
                <c:pt idx="316">
                  <c:v>31.691903081077836</c:v>
                </c:pt>
                <c:pt idx="317">
                  <c:v>20.754830581758107</c:v>
                </c:pt>
                <c:pt idx="318">
                  <c:v>29.501536808911666</c:v>
                </c:pt>
                <c:pt idx="319">
                  <c:v>31.368252603975634</c:v>
                </c:pt>
                <c:pt idx="320">
                  <c:v>31.482813740825435</c:v>
                </c:pt>
                <c:pt idx="321">
                  <c:v>29.94043779612808</c:v>
                </c:pt>
                <c:pt idx="322">
                  <c:v>31.549585507891482</c:v>
                </c:pt>
                <c:pt idx="323">
                  <c:v>31.724603682982458</c:v>
                </c:pt>
                <c:pt idx="324">
                  <c:v>30.885830486283265</c:v>
                </c:pt>
                <c:pt idx="325">
                  <c:v>31.571381737013635</c:v>
                </c:pt>
                <c:pt idx="326">
                  <c:v>31.553325364511156</c:v>
                </c:pt>
                <c:pt idx="327">
                  <c:v>29.21125181785667</c:v>
                </c:pt>
                <c:pt idx="328">
                  <c:v>27.276647569608237</c:v>
                </c:pt>
                <c:pt idx="329">
                  <c:v>27.777098112719983</c:v>
                </c:pt>
                <c:pt idx="330">
                  <c:v>27.662208875171967</c:v>
                </c:pt>
                <c:pt idx="331">
                  <c:v>20.343286490073936</c:v>
                </c:pt>
                <c:pt idx="332">
                  <c:v>29.549892661364552</c:v>
                </c:pt>
                <c:pt idx="333">
                  <c:v>27.333508248606524</c:v>
                </c:pt>
                <c:pt idx="334">
                  <c:v>28.263329653266126</c:v>
                </c:pt>
                <c:pt idx="335">
                  <c:v>11.458603807529059</c:v>
                </c:pt>
                <c:pt idx="336">
                  <c:v>16.674095051480148</c:v>
                </c:pt>
                <c:pt idx="337">
                  <c:v>22.718598960816383</c:v>
                </c:pt>
                <c:pt idx="338">
                  <c:v>28.890668936148145</c:v>
                </c:pt>
                <c:pt idx="339">
                  <c:v>23.022498392650729</c:v>
                </c:pt>
                <c:pt idx="340">
                  <c:v>23.615013833101326</c:v>
                </c:pt>
                <c:pt idx="341">
                  <c:v>18.625313050324355</c:v>
                </c:pt>
                <c:pt idx="342">
                  <c:v>9.4747658981708156</c:v>
                </c:pt>
                <c:pt idx="343">
                  <c:v>22.134135091685113</c:v>
                </c:pt>
                <c:pt idx="344">
                  <c:v>23.016717284204159</c:v>
                </c:pt>
                <c:pt idx="345">
                  <c:v>26.632515874966092</c:v>
                </c:pt>
                <c:pt idx="346">
                  <c:v>27.848923412804474</c:v>
                </c:pt>
                <c:pt idx="347">
                  <c:v>27.918333223458241</c:v>
                </c:pt>
                <c:pt idx="348">
                  <c:v>27.64680505166011</c:v>
                </c:pt>
                <c:pt idx="349">
                  <c:v>27.611155388131891</c:v>
                </c:pt>
                <c:pt idx="350">
                  <c:v>27.969819213232515</c:v>
                </c:pt>
                <c:pt idx="351">
                  <c:v>28.032685021410803</c:v>
                </c:pt>
                <c:pt idx="352">
                  <c:v>27.478360183893841</c:v>
                </c:pt>
                <c:pt idx="353">
                  <c:v>28.081044157306998</c:v>
                </c:pt>
                <c:pt idx="354">
                  <c:v>25.024200180199902</c:v>
                </c:pt>
                <c:pt idx="355">
                  <c:v>27.058641236912877</c:v>
                </c:pt>
                <c:pt idx="356">
                  <c:v>22.375250435644084</c:v>
                </c:pt>
                <c:pt idx="357">
                  <c:v>26.179386726313346</c:v>
                </c:pt>
                <c:pt idx="358">
                  <c:v>18.791308820692279</c:v>
                </c:pt>
                <c:pt idx="359">
                  <c:v>26.329619230701343</c:v>
                </c:pt>
                <c:pt idx="360">
                  <c:v>27.615988001355355</c:v>
                </c:pt>
                <c:pt idx="361">
                  <c:v>26.820419872906378</c:v>
                </c:pt>
                <c:pt idx="362">
                  <c:v>27.222037432287717</c:v>
                </c:pt>
                <c:pt idx="363">
                  <c:v>27.784365944966957</c:v>
                </c:pt>
                <c:pt idx="364">
                  <c:v>28.039920073924794</c:v>
                </c:pt>
                <c:pt idx="365">
                  <c:v>15.624559392660943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19.600382633561733</c:v>
                </c:pt>
                <c:pt idx="2">
                  <c:v>20.767493890749886</c:v>
                </c:pt>
                <c:pt idx="3">
                  <c:v>21.717253053189769</c:v>
                </c:pt>
                <c:pt idx="4">
                  <c:v>15.328541019272569</c:v>
                </c:pt>
                <c:pt idx="5">
                  <c:v>28.24038891276442</c:v>
                </c:pt>
                <c:pt idx="6">
                  <c:v>10.242006095494798</c:v>
                </c:pt>
                <c:pt idx="7">
                  <c:v>5.9369366604650269</c:v>
                </c:pt>
                <c:pt idx="8">
                  <c:v>1.7654552687874177</c:v>
                </c:pt>
                <c:pt idx="9">
                  <c:v>1.6338339496988101</c:v>
                </c:pt>
                <c:pt idx="10">
                  <c:v>30.380982956889898</c:v>
                </c:pt>
                <c:pt idx="11">
                  <c:v>24.62665850982545</c:v>
                </c:pt>
                <c:pt idx="12">
                  <c:v>5.7462251551684727</c:v>
                </c:pt>
                <c:pt idx="13">
                  <c:v>31.536797669864139</c:v>
                </c:pt>
                <c:pt idx="14">
                  <c:v>31.359702932617143</c:v>
                </c:pt>
                <c:pt idx="15">
                  <c:v>31.017842279394216</c:v>
                </c:pt>
                <c:pt idx="16">
                  <c:v>21.48400633043217</c:v>
                </c:pt>
                <c:pt idx="17">
                  <c:v>4.5934151956358376</c:v>
                </c:pt>
                <c:pt idx="18">
                  <c:v>11.129697438159257</c:v>
                </c:pt>
                <c:pt idx="19">
                  <c:v>6.144025075117991</c:v>
                </c:pt>
                <c:pt idx="20">
                  <c:v>18.085651439803524</c:v>
                </c:pt>
                <c:pt idx="21">
                  <c:v>32.697849500824447</c:v>
                </c:pt>
                <c:pt idx="22">
                  <c:v>32.765037654429378</c:v>
                </c:pt>
                <c:pt idx="23">
                  <c:v>33.075754899751203</c:v>
                </c:pt>
                <c:pt idx="24">
                  <c:v>32.57978354288494</c:v>
                </c:pt>
                <c:pt idx="25">
                  <c:v>33.422605659814721</c:v>
                </c:pt>
                <c:pt idx="26">
                  <c:v>33.117741356998614</c:v>
                </c:pt>
                <c:pt idx="27">
                  <c:v>4.4830540867378934</c:v>
                </c:pt>
                <c:pt idx="28">
                  <c:v>6.6652733740883257</c:v>
                </c:pt>
                <c:pt idx="29">
                  <c:v>5.4658730225892995</c:v>
                </c:pt>
                <c:pt idx="30">
                  <c:v>7.500603204304511</c:v>
                </c:pt>
                <c:pt idx="31">
                  <c:v>15.521467245856469</c:v>
                </c:pt>
                <c:pt idx="32">
                  <c:v>5.8406666497007702</c:v>
                </c:pt>
                <c:pt idx="33">
                  <c:v>12.776819922137687</c:v>
                </c:pt>
                <c:pt idx="34">
                  <c:v>12.254546346710937</c:v>
                </c:pt>
                <c:pt idx="35">
                  <c:v>11.578670583680525</c:v>
                </c:pt>
                <c:pt idx="36">
                  <c:v>25.564869356682664</c:v>
                </c:pt>
                <c:pt idx="37">
                  <c:v>10.064537729044019</c:v>
                </c:pt>
                <c:pt idx="38">
                  <c:v>38.909731663461848</c:v>
                </c:pt>
                <c:pt idx="39">
                  <c:v>38.999655191950957</c:v>
                </c:pt>
                <c:pt idx="40">
                  <c:v>36.23625864148525</c:v>
                </c:pt>
                <c:pt idx="41">
                  <c:v>18.232851130045081</c:v>
                </c:pt>
                <c:pt idx="42">
                  <c:v>30.33927029120802</c:v>
                </c:pt>
                <c:pt idx="43">
                  <c:v>37.086774143276287</c:v>
                </c:pt>
                <c:pt idx="44">
                  <c:v>20.565832550709221</c:v>
                </c:pt>
                <c:pt idx="45">
                  <c:v>20.268607132380037</c:v>
                </c:pt>
                <c:pt idx="46">
                  <c:v>8.814380762184113</c:v>
                </c:pt>
                <c:pt idx="47">
                  <c:v>10.301604935919961</c:v>
                </c:pt>
                <c:pt idx="48">
                  <c:v>33.786235821658089</c:v>
                </c:pt>
                <c:pt idx="49">
                  <c:v>20.595350843914449</c:v>
                </c:pt>
                <c:pt idx="50">
                  <c:v>24.280819445925289</c:v>
                </c:pt>
                <c:pt idx="51">
                  <c:v>23.909638869260466</c:v>
                </c:pt>
                <c:pt idx="52">
                  <c:v>39.172356003954739</c:v>
                </c:pt>
                <c:pt idx="53">
                  <c:v>40.865927341974178</c:v>
                </c:pt>
                <c:pt idx="54">
                  <c:v>23.237085878086567</c:v>
                </c:pt>
                <c:pt idx="55">
                  <c:v>33.808894427917799</c:v>
                </c:pt>
                <c:pt idx="56">
                  <c:v>45.651145410531818</c:v>
                </c:pt>
                <c:pt idx="57">
                  <c:v>31.496712089060608</c:v>
                </c:pt>
                <c:pt idx="58">
                  <c:v>36.500415385716359</c:v>
                </c:pt>
                <c:pt idx="59">
                  <c:v>46.669271608719839</c:v>
                </c:pt>
                <c:pt idx="60">
                  <c:v>11.761135918639869</c:v>
                </c:pt>
                <c:pt idx="61">
                  <c:v>44.133139315873827</c:v>
                </c:pt>
                <c:pt idx="62">
                  <c:v>4.7156338010223742</c:v>
                </c:pt>
                <c:pt idx="63">
                  <c:v>16.768340552780263</c:v>
                </c:pt>
                <c:pt idx="64">
                  <c:v>23.747177390951205</c:v>
                </c:pt>
                <c:pt idx="65">
                  <c:v>36.045349048213637</c:v>
                </c:pt>
                <c:pt idx="66">
                  <c:v>34.580370202974152</c:v>
                </c:pt>
                <c:pt idx="67">
                  <c:v>36.505573128077003</c:v>
                </c:pt>
                <c:pt idx="68">
                  <c:v>26.417897641164544</c:v>
                </c:pt>
                <c:pt idx="69">
                  <c:v>17.612723469957697</c:v>
                </c:pt>
                <c:pt idx="70">
                  <c:v>14.544735839610745</c:v>
                </c:pt>
                <c:pt idx="71">
                  <c:v>13.692666589487654</c:v>
                </c:pt>
                <c:pt idx="72">
                  <c:v>14.467514350933982</c:v>
                </c:pt>
                <c:pt idx="73">
                  <c:v>16.427082210635593</c:v>
                </c:pt>
                <c:pt idx="74">
                  <c:v>11.27682629404627</c:v>
                </c:pt>
                <c:pt idx="75">
                  <c:v>12.21298833997125</c:v>
                </c:pt>
                <c:pt idx="76">
                  <c:v>14.981092035507302</c:v>
                </c:pt>
                <c:pt idx="77">
                  <c:v>34.339970915515501</c:v>
                </c:pt>
                <c:pt idx="78">
                  <c:v>35.40963224716468</c:v>
                </c:pt>
                <c:pt idx="79">
                  <c:v>51.076511578421091</c:v>
                </c:pt>
                <c:pt idx="80">
                  <c:v>45.073986973960892</c:v>
                </c:pt>
                <c:pt idx="81">
                  <c:v>53.087253194145475</c:v>
                </c:pt>
                <c:pt idx="82">
                  <c:v>49.97156240076113</c:v>
                </c:pt>
                <c:pt idx="83">
                  <c:v>45.495291977778727</c:v>
                </c:pt>
                <c:pt idx="84">
                  <c:v>49.42460225252448</c:v>
                </c:pt>
                <c:pt idx="85">
                  <c:v>50.243411294229169</c:v>
                </c:pt>
                <c:pt idx="86">
                  <c:v>38.546043761921112</c:v>
                </c:pt>
                <c:pt idx="87">
                  <c:v>30.379050041824485</c:v>
                </c:pt>
                <c:pt idx="88">
                  <c:v>7.9299926846877549</c:v>
                </c:pt>
                <c:pt idx="89">
                  <c:v>23.609378817370139</c:v>
                </c:pt>
                <c:pt idx="90">
                  <c:v>35.175676523961293</c:v>
                </c:pt>
                <c:pt idx="91">
                  <c:v>21.576845836519531</c:v>
                </c:pt>
                <c:pt idx="92">
                  <c:v>27.56003591896452</c:v>
                </c:pt>
                <c:pt idx="93">
                  <c:v>48.345225012628454</c:v>
                </c:pt>
                <c:pt idx="94">
                  <c:v>55.722975727929139</c:v>
                </c:pt>
                <c:pt idx="95">
                  <c:v>13.084641390025954</c:v>
                </c:pt>
                <c:pt idx="96">
                  <c:v>43.113399025902446</c:v>
                </c:pt>
                <c:pt idx="97">
                  <c:v>34.983233234252523</c:v>
                </c:pt>
                <c:pt idx="98">
                  <c:v>38.186456191274708</c:v>
                </c:pt>
                <c:pt idx="99">
                  <c:v>58.392220786132839</c:v>
                </c:pt>
                <c:pt idx="100">
                  <c:v>48.187441762090266</c:v>
                </c:pt>
                <c:pt idx="101">
                  <c:v>2.7225032035414061</c:v>
                </c:pt>
                <c:pt idx="102">
                  <c:v>0</c:v>
                </c:pt>
                <c:pt idx="103">
                  <c:v>45.750831652004358</c:v>
                </c:pt>
                <c:pt idx="104">
                  <c:v>50.928795861761152</c:v>
                </c:pt>
                <c:pt idx="105">
                  <c:v>45.82667299996637</c:v>
                </c:pt>
                <c:pt idx="106">
                  <c:v>57.88313462083768</c:v>
                </c:pt>
                <c:pt idx="107">
                  <c:v>41.27500432101651</c:v>
                </c:pt>
                <c:pt idx="108">
                  <c:v>9.8790662907587539</c:v>
                </c:pt>
                <c:pt idx="109">
                  <c:v>11.147443139321316</c:v>
                </c:pt>
                <c:pt idx="110">
                  <c:v>10.068874894363784</c:v>
                </c:pt>
                <c:pt idx="111">
                  <c:v>30.452236793568797</c:v>
                </c:pt>
                <c:pt idx="112">
                  <c:v>10.463306359848549</c:v>
                </c:pt>
                <c:pt idx="113">
                  <c:v>26.902955656754653</c:v>
                </c:pt>
                <c:pt idx="114">
                  <c:v>51.049579689315884</c:v>
                </c:pt>
                <c:pt idx="115">
                  <c:v>57.1090988007223</c:v>
                </c:pt>
                <c:pt idx="116">
                  <c:v>42.091220919554068</c:v>
                </c:pt>
                <c:pt idx="117">
                  <c:v>22.632361158240439</c:v>
                </c:pt>
                <c:pt idx="118">
                  <c:v>45.846293968832157</c:v>
                </c:pt>
                <c:pt idx="119">
                  <c:v>44.711103067361499</c:v>
                </c:pt>
                <c:pt idx="120">
                  <c:v>50.06131416660282</c:v>
                </c:pt>
                <c:pt idx="121">
                  <c:v>29.314935870143316</c:v>
                </c:pt>
                <c:pt idx="122">
                  <c:v>33.490915000242275</c:v>
                </c:pt>
                <c:pt idx="123">
                  <c:v>19.74900568957916</c:v>
                </c:pt>
                <c:pt idx="124">
                  <c:v>41.507825611549514</c:v>
                </c:pt>
                <c:pt idx="125">
                  <c:v>38.766920634638936</c:v>
                </c:pt>
                <c:pt idx="126">
                  <c:v>50.190796386141194</c:v>
                </c:pt>
                <c:pt idx="127">
                  <c:v>52.374392453881683</c:v>
                </c:pt>
                <c:pt idx="128">
                  <c:v>56.995146549871819</c:v>
                </c:pt>
                <c:pt idx="129">
                  <c:v>54.326480151612564</c:v>
                </c:pt>
                <c:pt idx="130">
                  <c:v>58.299507176045971</c:v>
                </c:pt>
                <c:pt idx="131">
                  <c:v>44.862964515975818</c:v>
                </c:pt>
                <c:pt idx="132">
                  <c:v>41.080280036937879</c:v>
                </c:pt>
                <c:pt idx="133">
                  <c:v>53.660383505401697</c:v>
                </c:pt>
                <c:pt idx="134">
                  <c:v>54.760689871094627</c:v>
                </c:pt>
                <c:pt idx="135">
                  <c:v>52.735421480259639</c:v>
                </c:pt>
                <c:pt idx="136">
                  <c:v>56.489788505091589</c:v>
                </c:pt>
                <c:pt idx="137">
                  <c:v>54.733136536056008</c:v>
                </c:pt>
                <c:pt idx="138">
                  <c:v>57.19885959895791</c:v>
                </c:pt>
                <c:pt idx="139">
                  <c:v>51.875683192832007</c:v>
                </c:pt>
                <c:pt idx="140">
                  <c:v>52.52458003397598</c:v>
                </c:pt>
                <c:pt idx="141">
                  <c:v>40.153220788072119</c:v>
                </c:pt>
                <c:pt idx="142">
                  <c:v>18.728854217051378</c:v>
                </c:pt>
                <c:pt idx="143">
                  <c:v>17.80480689368212</c:v>
                </c:pt>
                <c:pt idx="144">
                  <c:v>41.557636342298352</c:v>
                </c:pt>
                <c:pt idx="145">
                  <c:v>28.25532890821772</c:v>
                </c:pt>
                <c:pt idx="146">
                  <c:v>45.101064967278802</c:v>
                </c:pt>
                <c:pt idx="147">
                  <c:v>55.614354941788861</c:v>
                </c:pt>
                <c:pt idx="148">
                  <c:v>60.251561411651252</c:v>
                </c:pt>
                <c:pt idx="149">
                  <c:v>50.455268407078918</c:v>
                </c:pt>
                <c:pt idx="150">
                  <c:v>56.104606499463387</c:v>
                </c:pt>
                <c:pt idx="151">
                  <c:v>57.046695616302593</c:v>
                </c:pt>
                <c:pt idx="152">
                  <c:v>45.115452235263447</c:v>
                </c:pt>
                <c:pt idx="153">
                  <c:v>56.753164190064147</c:v>
                </c:pt>
                <c:pt idx="154">
                  <c:v>23.426387270280557</c:v>
                </c:pt>
                <c:pt idx="155">
                  <c:v>33.092016890368583</c:v>
                </c:pt>
                <c:pt idx="156">
                  <c:v>49.681918146665936</c:v>
                </c:pt>
                <c:pt idx="157">
                  <c:v>29.023839174997391</c:v>
                </c:pt>
                <c:pt idx="158">
                  <c:v>21.564248381368657</c:v>
                </c:pt>
                <c:pt idx="159">
                  <c:v>48.07492622077968</c:v>
                </c:pt>
                <c:pt idx="160">
                  <c:v>58.958171691814933</c:v>
                </c:pt>
                <c:pt idx="161">
                  <c:v>57.3561169599772</c:v>
                </c:pt>
                <c:pt idx="162">
                  <c:v>43.898526416606025</c:v>
                </c:pt>
                <c:pt idx="163">
                  <c:v>54.011241011187373</c:v>
                </c:pt>
                <c:pt idx="164">
                  <c:v>51.418145530825051</c:v>
                </c:pt>
                <c:pt idx="165">
                  <c:v>55.24171181359447</c:v>
                </c:pt>
                <c:pt idx="166">
                  <c:v>53.609234212970584</c:v>
                </c:pt>
                <c:pt idx="167">
                  <c:v>54.326836804986812</c:v>
                </c:pt>
                <c:pt idx="168">
                  <c:v>56.184588200679833</c:v>
                </c:pt>
                <c:pt idx="169">
                  <c:v>57.388957189665653</c:v>
                </c:pt>
                <c:pt idx="170">
                  <c:v>36.095246453446798</c:v>
                </c:pt>
                <c:pt idx="171">
                  <c:v>25.484815560077514</c:v>
                </c:pt>
                <c:pt idx="172">
                  <c:v>45.138519946482219</c:v>
                </c:pt>
                <c:pt idx="173">
                  <c:v>44.751092376364859</c:v>
                </c:pt>
                <c:pt idx="174">
                  <c:v>42.620452340440778</c:v>
                </c:pt>
                <c:pt idx="175">
                  <c:v>36.542152500694655</c:v>
                </c:pt>
                <c:pt idx="176">
                  <c:v>11.808242218667578</c:v>
                </c:pt>
                <c:pt idx="177">
                  <c:v>11.073431924826505</c:v>
                </c:pt>
                <c:pt idx="178">
                  <c:v>57.378438327002037</c:v>
                </c:pt>
                <c:pt idx="179">
                  <c:v>58.289451559149789</c:v>
                </c:pt>
                <c:pt idx="180">
                  <c:v>13.195189811495426</c:v>
                </c:pt>
                <c:pt idx="181">
                  <c:v>49.635286193558663</c:v>
                </c:pt>
                <c:pt idx="182">
                  <c:v>57.199459746011513</c:v>
                </c:pt>
                <c:pt idx="183">
                  <c:v>49.420830694608561</c:v>
                </c:pt>
                <c:pt idx="184">
                  <c:v>47.121722077067766</c:v>
                </c:pt>
                <c:pt idx="185">
                  <c:v>57.473741712824562</c:v>
                </c:pt>
                <c:pt idx="186">
                  <c:v>47.019202357354985</c:v>
                </c:pt>
                <c:pt idx="187">
                  <c:v>55.620361518368099</c:v>
                </c:pt>
                <c:pt idx="188">
                  <c:v>58.312570820398371</c:v>
                </c:pt>
                <c:pt idx="189">
                  <c:v>57.657909676559214</c:v>
                </c:pt>
                <c:pt idx="190">
                  <c:v>57.285515204280557</c:v>
                </c:pt>
                <c:pt idx="191">
                  <c:v>55.921992182002256</c:v>
                </c:pt>
                <c:pt idx="192">
                  <c:v>55.444739862766859</c:v>
                </c:pt>
                <c:pt idx="193">
                  <c:v>55.734625424690442</c:v>
                </c:pt>
                <c:pt idx="194">
                  <c:v>54.868764457482754</c:v>
                </c:pt>
                <c:pt idx="195">
                  <c:v>52.617099794579516</c:v>
                </c:pt>
                <c:pt idx="196">
                  <c:v>54.631465860568696</c:v>
                </c:pt>
                <c:pt idx="197">
                  <c:v>54.608113810861319</c:v>
                </c:pt>
                <c:pt idx="198">
                  <c:v>55.474211028817379</c:v>
                </c:pt>
                <c:pt idx="199">
                  <c:v>37.817930072800458</c:v>
                </c:pt>
                <c:pt idx="200">
                  <c:v>43.083481086945078</c:v>
                </c:pt>
                <c:pt idx="201">
                  <c:v>53.844768353025124</c:v>
                </c:pt>
                <c:pt idx="202">
                  <c:v>41.04230819774827</c:v>
                </c:pt>
                <c:pt idx="203">
                  <c:v>45.820248241514811</c:v>
                </c:pt>
                <c:pt idx="204">
                  <c:v>54.305562115577402</c:v>
                </c:pt>
                <c:pt idx="205">
                  <c:v>27.840766981896916</c:v>
                </c:pt>
                <c:pt idx="206">
                  <c:v>53.071238028165247</c:v>
                </c:pt>
                <c:pt idx="207">
                  <c:v>57.478883622167693</c:v>
                </c:pt>
                <c:pt idx="208">
                  <c:v>45.629426398059927</c:v>
                </c:pt>
                <c:pt idx="209">
                  <c:v>30.354942654223276</c:v>
                </c:pt>
                <c:pt idx="210">
                  <c:v>45.815044606494475</c:v>
                </c:pt>
                <c:pt idx="211">
                  <c:v>55.12160846336959</c:v>
                </c:pt>
                <c:pt idx="212">
                  <c:v>55.045740208106061</c:v>
                </c:pt>
                <c:pt idx="213">
                  <c:v>55.101659633239557</c:v>
                </c:pt>
                <c:pt idx="214">
                  <c:v>53.3585478691516</c:v>
                </c:pt>
                <c:pt idx="215">
                  <c:v>52.784026753635928</c:v>
                </c:pt>
                <c:pt idx="216">
                  <c:v>47.578207340264292</c:v>
                </c:pt>
                <c:pt idx="217">
                  <c:v>50.312414544391594</c:v>
                </c:pt>
                <c:pt idx="218">
                  <c:v>53.68882696502358</c:v>
                </c:pt>
                <c:pt idx="219">
                  <c:v>54.348181539187038</c:v>
                </c:pt>
                <c:pt idx="220">
                  <c:v>52.363722024661222</c:v>
                </c:pt>
                <c:pt idx="221">
                  <c:v>50.861352586452817</c:v>
                </c:pt>
                <c:pt idx="222">
                  <c:v>48.121643678773488</c:v>
                </c:pt>
                <c:pt idx="223">
                  <c:v>49.63549589846788</c:v>
                </c:pt>
                <c:pt idx="224">
                  <c:v>38.944332218347355</c:v>
                </c:pt>
                <c:pt idx="225">
                  <c:v>35.669844584484764</c:v>
                </c:pt>
                <c:pt idx="226">
                  <c:v>40.465929367170482</c:v>
                </c:pt>
                <c:pt idx="227">
                  <c:v>37.475248546517129</c:v>
                </c:pt>
                <c:pt idx="228">
                  <c:v>27.347878959319146</c:v>
                </c:pt>
                <c:pt idx="229">
                  <c:v>36.403519160945216</c:v>
                </c:pt>
                <c:pt idx="230">
                  <c:v>37.152582860851346</c:v>
                </c:pt>
                <c:pt idx="231">
                  <c:v>52.436246181144661</c:v>
                </c:pt>
                <c:pt idx="232">
                  <c:v>34.829990257192804</c:v>
                </c:pt>
                <c:pt idx="233">
                  <c:v>24.92995187766083</c:v>
                </c:pt>
                <c:pt idx="234">
                  <c:v>48.412182199659021</c:v>
                </c:pt>
                <c:pt idx="235">
                  <c:v>49.984443548301265</c:v>
                </c:pt>
                <c:pt idx="236">
                  <c:v>32.266916919364355</c:v>
                </c:pt>
                <c:pt idx="237">
                  <c:v>44.330227479958793</c:v>
                </c:pt>
                <c:pt idx="238">
                  <c:v>49.812635120629643</c:v>
                </c:pt>
                <c:pt idx="239">
                  <c:v>49.938094503579521</c:v>
                </c:pt>
                <c:pt idx="240">
                  <c:v>35.083886395944745</c:v>
                </c:pt>
                <c:pt idx="241">
                  <c:v>49.615554299697308</c:v>
                </c:pt>
                <c:pt idx="242">
                  <c:v>22.547576780055699</c:v>
                </c:pt>
                <c:pt idx="243">
                  <c:v>45.858008871064698</c:v>
                </c:pt>
                <c:pt idx="244">
                  <c:v>42.768794797508285</c:v>
                </c:pt>
                <c:pt idx="245">
                  <c:v>40.650728660656583</c:v>
                </c:pt>
                <c:pt idx="246">
                  <c:v>48.594078839405732</c:v>
                </c:pt>
                <c:pt idx="247">
                  <c:v>44.614696613473484</c:v>
                </c:pt>
                <c:pt idx="248">
                  <c:v>48.044937027650882</c:v>
                </c:pt>
                <c:pt idx="249">
                  <c:v>38.433591795013918</c:v>
                </c:pt>
                <c:pt idx="250">
                  <c:v>42.170459352490624</c:v>
                </c:pt>
                <c:pt idx="251">
                  <c:v>21.812627927758971</c:v>
                </c:pt>
                <c:pt idx="252">
                  <c:v>47.65643970170953</c:v>
                </c:pt>
                <c:pt idx="253">
                  <c:v>48.554675543280503</c:v>
                </c:pt>
                <c:pt idx="254">
                  <c:v>34.145230265430989</c:v>
                </c:pt>
                <c:pt idx="255">
                  <c:v>12.331738726626357</c:v>
                </c:pt>
                <c:pt idx="256">
                  <c:v>37.306637316629676</c:v>
                </c:pt>
                <c:pt idx="257">
                  <c:v>42.827271696715776</c:v>
                </c:pt>
                <c:pt idx="258">
                  <c:v>28.513742768338037</c:v>
                </c:pt>
                <c:pt idx="259">
                  <c:v>50.32977490334271</c:v>
                </c:pt>
                <c:pt idx="260">
                  <c:v>48.683153570955007</c:v>
                </c:pt>
                <c:pt idx="261">
                  <c:v>48.086516498197845</c:v>
                </c:pt>
                <c:pt idx="262">
                  <c:v>49.540571226766822</c:v>
                </c:pt>
                <c:pt idx="263">
                  <c:v>48.456509135701559</c:v>
                </c:pt>
                <c:pt idx="264">
                  <c:v>47.127554108694312</c:v>
                </c:pt>
                <c:pt idx="265">
                  <c:v>31.053545970654326</c:v>
                </c:pt>
                <c:pt idx="266">
                  <c:v>22.692237407302407</c:v>
                </c:pt>
                <c:pt idx="267">
                  <c:v>33.486169358834566</c:v>
                </c:pt>
                <c:pt idx="268">
                  <c:v>34.996431850329394</c:v>
                </c:pt>
                <c:pt idx="269">
                  <c:v>16.801194073382323</c:v>
                </c:pt>
                <c:pt idx="270">
                  <c:v>16.431298070230966</c:v>
                </c:pt>
                <c:pt idx="271">
                  <c:v>23.686534652805701</c:v>
                </c:pt>
                <c:pt idx="272">
                  <c:v>34.167205226682327</c:v>
                </c:pt>
                <c:pt idx="273">
                  <c:v>41.381778731567124</c:v>
                </c:pt>
                <c:pt idx="274">
                  <c:v>40.754309942190076</c:v>
                </c:pt>
                <c:pt idx="275">
                  <c:v>38.100396689761759</c:v>
                </c:pt>
                <c:pt idx="276">
                  <c:v>44.643906997798112</c:v>
                </c:pt>
                <c:pt idx="277">
                  <c:v>44.591335900802413</c:v>
                </c:pt>
                <c:pt idx="278">
                  <c:v>16.509263081531344</c:v>
                </c:pt>
                <c:pt idx="279">
                  <c:v>32.954633605397497</c:v>
                </c:pt>
                <c:pt idx="280">
                  <c:v>19.047624834689824</c:v>
                </c:pt>
                <c:pt idx="281">
                  <c:v>41.612826498189825</c:v>
                </c:pt>
                <c:pt idx="282">
                  <c:v>33.955585399712518</c:v>
                </c:pt>
                <c:pt idx="283">
                  <c:v>24.201204118012555</c:v>
                </c:pt>
                <c:pt idx="284">
                  <c:v>33.864666050342578</c:v>
                </c:pt>
                <c:pt idx="285">
                  <c:v>24.495740075305179</c:v>
                </c:pt>
                <c:pt idx="286">
                  <c:v>18.292818934519417</c:v>
                </c:pt>
                <c:pt idx="287">
                  <c:v>40.917116605876139</c:v>
                </c:pt>
                <c:pt idx="288">
                  <c:v>36.936545262415919</c:v>
                </c:pt>
                <c:pt idx="289">
                  <c:v>24.858240119470498</c:v>
                </c:pt>
                <c:pt idx="290">
                  <c:v>38.081411038471764</c:v>
                </c:pt>
                <c:pt idx="291">
                  <c:v>16.190487516895367</c:v>
                </c:pt>
                <c:pt idx="292">
                  <c:v>9.2847941223801946</c:v>
                </c:pt>
                <c:pt idx="293">
                  <c:v>16.977654573145898</c:v>
                </c:pt>
                <c:pt idx="294">
                  <c:v>36.678022887150242</c:v>
                </c:pt>
                <c:pt idx="295">
                  <c:v>20.871144861052507</c:v>
                </c:pt>
                <c:pt idx="296">
                  <c:v>27.859634847444756</c:v>
                </c:pt>
                <c:pt idx="297">
                  <c:v>24.601905684504693</c:v>
                </c:pt>
                <c:pt idx="298">
                  <c:v>13.743556188804734</c:v>
                </c:pt>
                <c:pt idx="299">
                  <c:v>15.061151911061964</c:v>
                </c:pt>
                <c:pt idx="300">
                  <c:v>18.979896879189152</c:v>
                </c:pt>
                <c:pt idx="301">
                  <c:v>28.367382868297263</c:v>
                </c:pt>
                <c:pt idx="302">
                  <c:v>23.224004364215574</c:v>
                </c:pt>
                <c:pt idx="303">
                  <c:v>24.01496433197897</c:v>
                </c:pt>
                <c:pt idx="304">
                  <c:v>25.882952422473782</c:v>
                </c:pt>
                <c:pt idx="305">
                  <c:v>32.454794639205154</c:v>
                </c:pt>
                <c:pt idx="306">
                  <c:v>11.271386797888622</c:v>
                </c:pt>
                <c:pt idx="307">
                  <c:v>13.162333852851161</c:v>
                </c:pt>
                <c:pt idx="308">
                  <c:v>34.642381012250276</c:v>
                </c:pt>
                <c:pt idx="309">
                  <c:v>34.243535630219014</c:v>
                </c:pt>
                <c:pt idx="310">
                  <c:v>32.735646206906857</c:v>
                </c:pt>
                <c:pt idx="311">
                  <c:v>22.37999427393493</c:v>
                </c:pt>
                <c:pt idx="312">
                  <c:v>11.829404774544619</c:v>
                </c:pt>
                <c:pt idx="313">
                  <c:v>26.422176031713878</c:v>
                </c:pt>
                <c:pt idx="314">
                  <c:v>32.960695638273201</c:v>
                </c:pt>
                <c:pt idx="315">
                  <c:v>31.476115510494154</c:v>
                </c:pt>
                <c:pt idx="316">
                  <c:v>31.691903081077836</c:v>
                </c:pt>
                <c:pt idx="317">
                  <c:v>11.822917815700713</c:v>
                </c:pt>
                <c:pt idx="318">
                  <c:v>14.125161916258408</c:v>
                </c:pt>
                <c:pt idx="319">
                  <c:v>31.368252603975634</c:v>
                </c:pt>
                <c:pt idx="320">
                  <c:v>16.733425190037696</c:v>
                </c:pt>
                <c:pt idx="321">
                  <c:v>15.278019075111919</c:v>
                </c:pt>
                <c:pt idx="322">
                  <c:v>6.5846158748537187</c:v>
                </c:pt>
                <c:pt idx="323">
                  <c:v>19.534089868534554</c:v>
                </c:pt>
                <c:pt idx="324">
                  <c:v>3.893036263676287</c:v>
                </c:pt>
                <c:pt idx="325">
                  <c:v>8.6244965155149309</c:v>
                </c:pt>
                <c:pt idx="326">
                  <c:v>13.392951967668319</c:v>
                </c:pt>
                <c:pt idx="327">
                  <c:v>15.829056688040634</c:v>
                </c:pt>
                <c:pt idx="328">
                  <c:v>4.8627560942403933</c:v>
                </c:pt>
                <c:pt idx="329">
                  <c:v>15.104416177237642</c:v>
                </c:pt>
                <c:pt idx="330">
                  <c:v>16.093958646655963</c:v>
                </c:pt>
                <c:pt idx="331">
                  <c:v>10.37802108705305</c:v>
                </c:pt>
                <c:pt idx="332">
                  <c:v>14.617681633326237</c:v>
                </c:pt>
                <c:pt idx="333">
                  <c:v>4.7484688318509276</c:v>
                </c:pt>
                <c:pt idx="334">
                  <c:v>3.840765474555472</c:v>
                </c:pt>
                <c:pt idx="335">
                  <c:v>7.2543587229996955</c:v>
                </c:pt>
                <c:pt idx="336">
                  <c:v>8.1655763479745787</c:v>
                </c:pt>
                <c:pt idx="337">
                  <c:v>22.718598960816383</c:v>
                </c:pt>
                <c:pt idx="338">
                  <c:v>28.890668936148145</c:v>
                </c:pt>
                <c:pt idx="339">
                  <c:v>12.557386159523208</c:v>
                </c:pt>
                <c:pt idx="340">
                  <c:v>22.62397158166802</c:v>
                </c:pt>
                <c:pt idx="341">
                  <c:v>5.1690969418134101</c:v>
                </c:pt>
                <c:pt idx="342">
                  <c:v>6.2949059642789269</c:v>
                </c:pt>
                <c:pt idx="343">
                  <c:v>15.719780066148486</c:v>
                </c:pt>
                <c:pt idx="344">
                  <c:v>19.186254997781457</c:v>
                </c:pt>
                <c:pt idx="345">
                  <c:v>5.6493278406489207</c:v>
                </c:pt>
                <c:pt idx="346">
                  <c:v>6.1948173784958076</c:v>
                </c:pt>
                <c:pt idx="347">
                  <c:v>19.092867449551829</c:v>
                </c:pt>
                <c:pt idx="348">
                  <c:v>7.9738526245951205</c:v>
                </c:pt>
                <c:pt idx="349">
                  <c:v>5.4174913968988685</c:v>
                </c:pt>
                <c:pt idx="350">
                  <c:v>3.0306422639176365</c:v>
                </c:pt>
                <c:pt idx="351">
                  <c:v>23.995871485123708</c:v>
                </c:pt>
                <c:pt idx="352">
                  <c:v>20.29476924428797</c:v>
                </c:pt>
                <c:pt idx="353">
                  <c:v>4.9295133861156746</c:v>
                </c:pt>
                <c:pt idx="354">
                  <c:v>25.024200180199902</c:v>
                </c:pt>
                <c:pt idx="355">
                  <c:v>19.325203593130432</c:v>
                </c:pt>
                <c:pt idx="356">
                  <c:v>19.93995858741804</c:v>
                </c:pt>
                <c:pt idx="357">
                  <c:v>26.179386726313346</c:v>
                </c:pt>
                <c:pt idx="358">
                  <c:v>15.295107240212786</c:v>
                </c:pt>
                <c:pt idx="359">
                  <c:v>25.317046789110812</c:v>
                </c:pt>
                <c:pt idx="360">
                  <c:v>6.8475375910150849</c:v>
                </c:pt>
                <c:pt idx="361">
                  <c:v>26.820419872906378</c:v>
                </c:pt>
                <c:pt idx="362">
                  <c:v>11.636189253321987</c:v>
                </c:pt>
                <c:pt idx="363">
                  <c:v>16.735077541363065</c:v>
                </c:pt>
                <c:pt idx="364">
                  <c:v>12.644502598349854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30.140999999999998</c:v>
                </c:pt>
                <c:pt idx="21">
                  <c:v>33.686999999999998</c:v>
                </c:pt>
                <c:pt idx="35">
                  <c:v>38.414999999999999</c:v>
                </c:pt>
                <c:pt idx="49">
                  <c:v>43.241500000000002</c:v>
                </c:pt>
                <c:pt idx="63">
                  <c:v>47.673999999999999</c:v>
                </c:pt>
                <c:pt idx="77">
                  <c:v>51.811</c:v>
                </c:pt>
                <c:pt idx="91">
                  <c:v>55.356999999999992</c:v>
                </c:pt>
                <c:pt idx="105">
                  <c:v>57.622500000000002</c:v>
                </c:pt>
                <c:pt idx="119">
                  <c:v>59.1</c:v>
                </c:pt>
                <c:pt idx="133">
                  <c:v>59.690999999999995</c:v>
                </c:pt>
                <c:pt idx="147">
                  <c:v>59.690999999999995</c:v>
                </c:pt>
                <c:pt idx="161">
                  <c:v>59.198500000000003</c:v>
                </c:pt>
                <c:pt idx="175">
                  <c:v>58.114999999999995</c:v>
                </c:pt>
                <c:pt idx="189">
                  <c:v>56.834500000000006</c:v>
                </c:pt>
                <c:pt idx="203">
                  <c:v>55.356999999999992</c:v>
                </c:pt>
                <c:pt idx="217">
                  <c:v>53.879499999999993</c:v>
                </c:pt>
                <c:pt idx="231">
                  <c:v>52.3035</c:v>
                </c:pt>
                <c:pt idx="245">
                  <c:v>50.710347293908853</c:v>
                </c:pt>
                <c:pt idx="259">
                  <c:v>48.642440417059532</c:v>
                </c:pt>
                <c:pt idx="273">
                  <c:v>45.802499999999995</c:v>
                </c:pt>
                <c:pt idx="287">
                  <c:v>42.256500000000003</c:v>
                </c:pt>
                <c:pt idx="301">
                  <c:v>38.218000000000004</c:v>
                </c:pt>
                <c:pt idx="315">
                  <c:v>33.588499999999996</c:v>
                </c:pt>
                <c:pt idx="329">
                  <c:v>29.746999999999996</c:v>
                </c:pt>
                <c:pt idx="343">
                  <c:v>27.087499999999999</c:v>
                </c:pt>
                <c:pt idx="357">
                  <c:v>27.284499999999998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290504"/>
        <c:axId val="640290896"/>
      </c:lineChart>
      <c:dateAx>
        <c:axId val="640290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0896"/>
        <c:crosses val="autoZero"/>
        <c:auto val="1"/>
        <c:lblOffset val="100"/>
        <c:baseTimeUnit val="days"/>
        <c:majorUnit val="1"/>
        <c:majorTimeUnit val="months"/>
      </c:dateAx>
      <c:valAx>
        <c:axId val="6402908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05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3.6507875582788007E-2</c:v>
                </c:pt>
                <c:pt idx="1">
                  <c:v>3.7161852159333209E-2</c:v>
                </c:pt>
                <c:pt idx="2">
                  <c:v>3.7752159138051744E-2</c:v>
                </c:pt>
                <c:pt idx="3">
                  <c:v>3.8405291149001486E-2</c:v>
                </c:pt>
                <c:pt idx="4">
                  <c:v>3.9036932284900461E-2</c:v>
                </c:pt>
                <c:pt idx="5">
                  <c:v>3.9689192247679861E-2</c:v>
                </c:pt>
                <c:pt idx="6">
                  <c:v>4.0319990029574426E-2</c:v>
                </c:pt>
                <c:pt idx="7">
                  <c:v>4.0971379108523998E-2</c:v>
                </c:pt>
                <c:pt idx="8">
                  <c:v>4.1622326052878855E-2</c:v>
                </c:pt>
                <c:pt idx="9">
                  <c:v>4.2251854020348145E-2</c:v>
                </c:pt>
                <c:pt idx="10">
                  <c:v>4.2901931833987939E-2</c:v>
                </c:pt>
                <c:pt idx="11">
                  <c:v>4.3530619268910997E-2</c:v>
                </c:pt>
                <c:pt idx="12">
                  <c:v>4.4179829112280578E-2</c:v>
                </c:pt>
                <c:pt idx="13">
                  <c:v>4.4828598300226008E-2</c:v>
                </c:pt>
                <c:pt idx="14">
                  <c:v>4.5414204869263841E-2</c:v>
                </c:pt>
                <c:pt idx="15">
                  <c:v>4.6062136216596716E-2</c:v>
                </c:pt>
                <c:pt idx="16">
                  <c:v>4.6688747813261156E-2</c:v>
                </c:pt>
                <c:pt idx="17">
                  <c:v>4.7335814056240766E-2</c:v>
                </c:pt>
                <c:pt idx="18">
                  <c:v>4.7961589014236083E-2</c:v>
                </c:pt>
                <c:pt idx="19">
                  <c:v>4.860779130793158E-2</c:v>
                </c:pt>
                <c:pt idx="20">
                  <c:v>4.925355498759687E-2</c:v>
                </c:pt>
                <c:pt idx="21">
                  <c:v>4.9878070242258654E-2</c:v>
                </c:pt>
                <c:pt idx="22">
                  <c:v>5.0522971711795095E-2</c:v>
                </c:pt>
                <c:pt idx="23">
                  <c:v>5.1146653126779795E-2</c:v>
                </c:pt>
                <c:pt idx="24">
                  <c:v>5.1811461754718846E-2</c:v>
                </c:pt>
                <c:pt idx="25">
                  <c:v>5.2455050922130098E-2</c:v>
                </c:pt>
                <c:pt idx="26">
                  <c:v>5.3035981785063413E-2</c:v>
                </c:pt>
                <c:pt idx="27">
                  <c:v>5.3678739801500952E-2</c:v>
                </c:pt>
                <c:pt idx="28">
                  <c:v>5.430034829228747E-2</c:v>
                </c:pt>
                <c:pt idx="29">
                  <c:v>5.4942248111694791E-2</c:v>
                </c:pt>
                <c:pt idx="30">
                  <c:v>5.5563026643854263E-2</c:v>
                </c:pt>
                <c:pt idx="31">
                  <c:v>5.6204069412077895E-2</c:v>
                </c:pt>
                <c:pt idx="32">
                  <c:v>5.6844677068333072E-2</c:v>
                </c:pt>
                <c:pt idx="33">
                  <c:v>5.7464205955110703E-2</c:v>
                </c:pt>
                <c:pt idx="34">
                  <c:v>5.8103958285451229E-2</c:v>
                </c:pt>
                <c:pt idx="35">
                  <c:v>5.8722659990245618E-2</c:v>
                </c:pt>
                <c:pt idx="36">
                  <c:v>5.9361558136684978E-2</c:v>
                </c:pt>
                <c:pt idx="37">
                  <c:v>6.0000022626831906E-2</c:v>
                </c:pt>
                <c:pt idx="38">
                  <c:v>6.0576327738841695E-2</c:v>
                </c:pt>
                <c:pt idx="39">
                  <c:v>6.1213967696181704E-2</c:v>
                </c:pt>
                <c:pt idx="40">
                  <c:v>6.1830626534206123E-2</c:v>
                </c:pt>
                <c:pt idx="41">
                  <c:v>6.2467415128040993E-2</c:v>
                </c:pt>
                <c:pt idx="42">
                  <c:v>6.3083250616111086E-2</c:v>
                </c:pt>
                <c:pt idx="43">
                  <c:v>6.3719188983163644E-2</c:v>
                </c:pt>
                <c:pt idx="44">
                  <c:v>6.4354695702893316E-2</c:v>
                </c:pt>
                <c:pt idx="45">
                  <c:v>6.4969291496074111E-2</c:v>
                </c:pt>
                <c:pt idx="46">
                  <c:v>6.5603949700552833E-2</c:v>
                </c:pt>
                <c:pt idx="47">
                  <c:v>6.6217724898313568E-2</c:v>
                </c:pt>
                <c:pt idx="48">
                  <c:v>6.6851535720461097E-2</c:v>
                </c:pt>
                <c:pt idx="49">
                  <c:v>6.7484916339370704E-2</c:v>
                </c:pt>
                <c:pt idx="50">
                  <c:v>6.8056632533706862E-2</c:v>
                </c:pt>
                <c:pt idx="51">
                  <c:v>6.8689195185278273E-2</c:v>
                </c:pt>
                <c:pt idx="52">
                  <c:v>6.9300943782908409E-2</c:v>
                </c:pt>
                <c:pt idx="53">
                  <c:v>6.9932661850087063E-2</c:v>
                </c:pt>
                <c:pt idx="54">
                  <c:v>7.0543593653812908E-2</c:v>
                </c:pt>
                <c:pt idx="55">
                  <c:v>7.1174468264269986E-2</c:v>
                </c:pt>
                <c:pt idx="56">
                  <c:v>7.1804914664462149E-2</c:v>
                </c:pt>
                <c:pt idx="57">
                  <c:v>7.241461664455906E-2</c:v>
                </c:pt>
                <c:pt idx="58">
                  <c:v>7.3044221285932798E-2</c:v>
                </c:pt>
                <c:pt idx="59">
                  <c:v>7.365310920472623E-2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0.1025889779929106</c:v>
                </c:pt>
                <c:pt idx="1">
                  <c:v>0.10419276399486671</c:v>
                </c:pt>
                <c:pt idx="2">
                  <c:v>0.10565053122487512</c:v>
                </c:pt>
                <c:pt idx="3">
                  <c:v>0.10763438608105931</c:v>
                </c:pt>
                <c:pt idx="4">
                  <c:v>0.11071803022550035</c:v>
                </c:pt>
                <c:pt idx="5">
                  <c:v>0.11446906943218187</c:v>
                </c:pt>
                <c:pt idx="6">
                  <c:v>0.11683609426853592</c:v>
                </c:pt>
                <c:pt idx="7">
                  <c:v>0.11826080670652843</c:v>
                </c:pt>
                <c:pt idx="8">
                  <c:v>0.11925123651630637</c:v>
                </c:pt>
                <c:pt idx="9">
                  <c:v>0.11922827995662261</c:v>
                </c:pt>
                <c:pt idx="10">
                  <c:v>0.11805500610939722</c:v>
                </c:pt>
                <c:pt idx="11">
                  <c:v>0.11790173674000184</c:v>
                </c:pt>
                <c:pt idx="12">
                  <c:v>0.11887043985239883</c:v>
                </c:pt>
                <c:pt idx="13">
                  <c:v>0.12001983355470064</c:v>
                </c:pt>
                <c:pt idx="14">
                  <c:v>0.12108505640098423</c:v>
                </c:pt>
                <c:pt idx="15">
                  <c:v>0.1227030384175357</c:v>
                </c:pt>
                <c:pt idx="16">
                  <c:v>1.0130902054410846E-2</c:v>
                </c:pt>
                <c:pt idx="17">
                  <c:v>1.4697626857907715E-2</c:v>
                </c:pt>
                <c:pt idx="18">
                  <c:v>1.8957082227651391E-2</c:v>
                </c:pt>
                <c:pt idx="19">
                  <c:v>2.3115036118121803E-2</c:v>
                </c:pt>
                <c:pt idx="20">
                  <c:v>2.7067296755570028E-2</c:v>
                </c:pt>
                <c:pt idx="21">
                  <c:v>3.0520217857738337E-2</c:v>
                </c:pt>
                <c:pt idx="22">
                  <c:v>3.3587312276844035E-2</c:v>
                </c:pt>
                <c:pt idx="23">
                  <c:v>3.6643640725686863E-2</c:v>
                </c:pt>
                <c:pt idx="24">
                  <c:v>4.0132831338797872E-2</c:v>
                </c:pt>
                <c:pt idx="25">
                  <c:v>4.3479679011175817E-2</c:v>
                </c:pt>
                <c:pt idx="26">
                  <c:v>4.6443257562658248E-2</c:v>
                </c:pt>
                <c:pt idx="27">
                  <c:v>4.9830610945330131E-2</c:v>
                </c:pt>
                <c:pt idx="28">
                  <c:v>5.3627145903718865E-2</c:v>
                </c:pt>
                <c:pt idx="29">
                  <c:v>5.7841149039259361E-2</c:v>
                </c:pt>
                <c:pt idx="30">
                  <c:v>6.1282272864551506E-2</c:v>
                </c:pt>
                <c:pt idx="31">
                  <c:v>6.425830876136171E-2</c:v>
                </c:pt>
                <c:pt idx="32">
                  <c:v>6.6929803974215857E-2</c:v>
                </c:pt>
                <c:pt idx="33">
                  <c:v>6.8879673690792134E-2</c:v>
                </c:pt>
                <c:pt idx="34">
                  <c:v>7.0113132977085518E-2</c:v>
                </c:pt>
                <c:pt idx="35">
                  <c:v>7.1781555717726389E-2</c:v>
                </c:pt>
                <c:pt idx="36">
                  <c:v>7.4118655236938655E-2</c:v>
                </c:pt>
                <c:pt idx="37">
                  <c:v>7.6517007202358753E-2</c:v>
                </c:pt>
                <c:pt idx="38">
                  <c:v>7.8661191008294967E-2</c:v>
                </c:pt>
                <c:pt idx="39">
                  <c:v>8.1284823663419062E-2</c:v>
                </c:pt>
                <c:pt idx="40">
                  <c:v>1.0270646103286502E-2</c:v>
                </c:pt>
                <c:pt idx="41">
                  <c:v>1.4836237688150128E-2</c:v>
                </c:pt>
                <c:pt idx="42">
                  <c:v>1.9093063935164467E-2</c:v>
                </c:pt>
                <c:pt idx="43">
                  <c:v>2.3247220578073803E-2</c:v>
                </c:pt>
                <c:pt idx="44">
                  <c:v>2.7195366392487836E-2</c:v>
                </c:pt>
                <c:pt idx="45">
                  <c:v>3.0643458514778718E-2</c:v>
                </c:pt>
                <c:pt idx="46">
                  <c:v>3.3704661859737715E-2</c:v>
                </c:pt>
                <c:pt idx="47">
                  <c:v>3.6756531266926434E-2</c:v>
                </c:pt>
                <c:pt idx="48">
                  <c:v>4.0132831338797872E-2</c:v>
                </c:pt>
                <c:pt idx="49">
                  <c:v>4.3479679011175817E-2</c:v>
                </c:pt>
                <c:pt idx="50">
                  <c:v>4.6443257562658248E-2</c:v>
                </c:pt>
                <c:pt idx="51">
                  <c:v>4.9830610945330131E-2</c:v>
                </c:pt>
                <c:pt idx="52">
                  <c:v>5.3627145903718865E-2</c:v>
                </c:pt>
                <c:pt idx="53">
                  <c:v>5.7841149039259361E-2</c:v>
                </c:pt>
                <c:pt idx="54">
                  <c:v>6.1282272864551506E-2</c:v>
                </c:pt>
                <c:pt idx="55">
                  <c:v>6.425830876136171E-2</c:v>
                </c:pt>
                <c:pt idx="56">
                  <c:v>6.6929803974215857E-2</c:v>
                </c:pt>
                <c:pt idx="57">
                  <c:v>6.8879673690792134E-2</c:v>
                </c:pt>
                <c:pt idx="58">
                  <c:v>7.0113132977085518E-2</c:v>
                </c:pt>
                <c:pt idx="59">
                  <c:v>7.1781555717726389E-2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3.7855405967432108E-3</c:v>
                </c:pt>
                <c:pt idx="1">
                  <c:v>1.31958125741745E-3</c:v>
                </c:pt>
                <c:pt idx="2">
                  <c:v>9.6521244632986425E-4</c:v>
                </c:pt>
                <c:pt idx="3">
                  <c:v>5.4896776708368393E-4</c:v>
                </c:pt>
                <c:pt idx="4">
                  <c:v>2.6387103019984907E-3</c:v>
                </c:pt>
                <c:pt idx="5">
                  <c:v>6.5934299439332489E-3</c:v>
                </c:pt>
                <c:pt idx="6">
                  <c:v>6.0301997117181557E-3</c:v>
                </c:pt>
                <c:pt idx="7">
                  <c:v>2.0969430906018619E-3</c:v>
                </c:pt>
                <c:pt idx="8">
                  <c:v>1.5206624107728789E-3</c:v>
                </c:pt>
                <c:pt idx="9">
                  <c:v>2.6742692956382586E-3</c:v>
                </c:pt>
                <c:pt idx="10">
                  <c:v>4.1070480814413045E-3</c:v>
                </c:pt>
                <c:pt idx="11">
                  <c:v>7.0679862833915447E-3</c:v>
                </c:pt>
                <c:pt idx="12">
                  <c:v>5.7979860851751289E-3</c:v>
                </c:pt>
                <c:pt idx="13">
                  <c:v>1.7841927150572888E-3</c:v>
                </c:pt>
                <c:pt idx="14">
                  <c:v>1.3564450464588758E-3</c:v>
                </c:pt>
                <c:pt idx="15">
                  <c:v>7.8083555738631529E-4</c:v>
                </c:pt>
                <c:pt idx="16">
                  <c:v>3.1496500920379597E-3</c:v>
                </c:pt>
                <c:pt idx="17">
                  <c:v>7.5755699126974904E-3</c:v>
                </c:pt>
                <c:pt idx="18">
                  <c:v>6.9712019701509073E-3</c:v>
                </c:pt>
                <c:pt idx="19">
                  <c:v>2.7232212312243943E-3</c:v>
                </c:pt>
                <c:pt idx="20">
                  <c:v>2.3846898865737898E-3</c:v>
                </c:pt>
                <c:pt idx="21">
                  <c:v>3.7228640253134898E-3</c:v>
                </c:pt>
                <c:pt idx="22">
                  <c:v>7.2333109545780708E-3</c:v>
                </c:pt>
                <c:pt idx="23">
                  <c:v>9.7004788805254271E-3</c:v>
                </c:pt>
                <c:pt idx="24">
                  <c:v>8.5761219596305893E-3</c:v>
                </c:pt>
                <c:pt idx="25">
                  <c:v>2.5964343930384346E-3</c:v>
                </c:pt>
                <c:pt idx="26">
                  <c:v>1.9953858416323403E-3</c:v>
                </c:pt>
                <c:pt idx="27">
                  <c:v>2.0426380824087133E-6</c:v>
                </c:pt>
                <c:pt idx="28">
                  <c:v>1.0718377862620764E-4</c:v>
                </c:pt>
                <c:pt idx="29">
                  <c:v>6.8448883896271042E-4</c:v>
                </c:pt>
                <c:pt idx="30">
                  <c:v>8.8088961992421042E-4</c:v>
                </c:pt>
                <c:pt idx="31">
                  <c:v>2.6013202159442703E-4</c:v>
                </c:pt>
                <c:pt idx="32">
                  <c:v>7.2340952152851262E-5</c:v>
                </c:pt>
                <c:pt idx="33">
                  <c:v>2.2271530532390883E-4</c:v>
                </c:pt>
                <c:pt idx="34">
                  <c:v>2.0522056421720992E-4</c:v>
                </c:pt>
                <c:pt idx="35">
                  <c:v>2.3119295194811489E-4</c:v>
                </c:pt>
                <c:pt idx="36">
                  <c:v>1.9544743741999572E-4</c:v>
                </c:pt>
                <c:pt idx="37">
                  <c:v>1.4494093923638778E-4</c:v>
                </c:pt>
                <c:pt idx="38">
                  <c:v>8.8137063964623867E-5</c:v>
                </c:pt>
                <c:pt idx="39">
                  <c:v>5.3368002302876817E-5</c:v>
                </c:pt>
                <c:pt idx="40">
                  <c:v>6.3063951681264238E-4</c:v>
                </c:pt>
                <c:pt idx="41">
                  <c:v>2.0513577844110597E-3</c:v>
                </c:pt>
                <c:pt idx="42">
                  <c:v>2.0426690676844622E-3</c:v>
                </c:pt>
                <c:pt idx="43">
                  <c:v>5.5307412787843611E-4</c:v>
                </c:pt>
                <c:pt idx="44">
                  <c:v>1.4995217674921047E-4</c:v>
                </c:pt>
                <c:pt idx="45">
                  <c:v>4.5840205285036667E-4</c:v>
                </c:pt>
                <c:pt idx="46">
                  <c:v>4.2150606909663367E-4</c:v>
                </c:pt>
                <c:pt idx="47">
                  <c:v>4.7457614686731268E-4</c:v>
                </c:pt>
                <c:pt idx="48">
                  <c:v>4.0094185373478017E-4</c:v>
                </c:pt>
                <c:pt idx="49">
                  <c:v>2.9632631049304579E-4</c:v>
                </c:pt>
                <c:pt idx="50">
                  <c:v>1.7844872325258212E-4</c:v>
                </c:pt>
                <c:pt idx="51">
                  <c:v>1.0685597794852506E-4</c:v>
                </c:pt>
                <c:pt idx="52">
                  <c:v>1.1463801502710853E-3</c:v>
                </c:pt>
                <c:pt idx="53">
                  <c:v>3.3140426967141457E-3</c:v>
                </c:pt>
                <c:pt idx="54">
                  <c:v>3.0922968847320979E-3</c:v>
                </c:pt>
                <c:pt idx="55">
                  <c:v>8.7772461161265112E-4</c:v>
                </c:pt>
                <c:pt idx="56">
                  <c:v>3.4518913291341186E-4</c:v>
                </c:pt>
                <c:pt idx="57">
                  <c:v>8.5327150664840515E-4</c:v>
                </c:pt>
                <c:pt idx="58">
                  <c:v>8.0626656048266986E-4</c:v>
                </c:pt>
                <c:pt idx="59">
                  <c:v>1.6820106082346233E-3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291288"/>
        <c:axId val="640292072"/>
      </c:lineChart>
      <c:dateAx>
        <c:axId val="640291288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207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402920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128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5.0363767677874538E-4</c:v>
                </c:pt>
                <c:pt idx="6">
                  <c:v>1.160175209497849E-3</c:v>
                </c:pt>
                <c:pt idx="7">
                  <c:v>1.8381442686933314E-3</c:v>
                </c:pt>
                <c:pt idx="8">
                  <c:v>2.5156531519590075E-3</c:v>
                </c:pt>
                <c:pt idx="9">
                  <c:v>3.1708690553798879E-3</c:v>
                </c:pt>
                <c:pt idx="10">
                  <c:v>3.8474733429861852E-3</c:v>
                </c:pt>
                <c:pt idx="11">
                  <c:v>4.5018144158672779E-3</c:v>
                </c:pt>
                <c:pt idx="12">
                  <c:v>5.1775153156115028E-3</c:v>
                </c:pt>
                <c:pt idx="13">
                  <c:v>5.8527575789538711E-3</c:v>
                </c:pt>
                <c:pt idx="14">
                  <c:v>6.4622598679845433E-3</c:v>
                </c:pt>
                <c:pt idx="15">
                  <c:v>7.1366301025652668E-3</c:v>
                </c:pt>
                <c:pt idx="16">
                  <c:v>7.788810632451848E-3</c:v>
                </c:pt>
                <c:pt idx="17">
                  <c:v>8.4622804620312353E-3</c:v>
                </c:pt>
                <c:pt idx="18">
                  <c:v>9.1135902141450398E-3</c:v>
                </c:pt>
                <c:pt idx="19">
                  <c:v>9.7861608409249845E-3</c:v>
                </c:pt>
                <c:pt idx="20">
                  <c:v>1.0458274955996383E-2</c:v>
                </c:pt>
                <c:pt idx="21">
                  <c:v>1.1108273602487562E-2</c:v>
                </c:pt>
                <c:pt idx="22">
                  <c:v>1.1779490324881015E-2</c:v>
                </c:pt>
                <c:pt idx="23">
                  <c:v>1.2428621106804427E-2</c:v>
                </c:pt>
                <c:pt idx="24">
                  <c:v>1.3098941634700045E-2</c:v>
                </c:pt>
                <c:pt idx="25">
                  <c:v>1.3768807178156206E-2</c:v>
                </c:pt>
                <c:pt idx="26">
                  <c:v>1.4373456211909441E-2</c:v>
                </c:pt>
                <c:pt idx="27">
                  <c:v>1.5042456670266602E-2</c:v>
                </c:pt>
                <c:pt idx="28">
                  <c:v>1.5689444112849782E-2</c:v>
                </c:pt>
                <c:pt idx="29">
                  <c:v>1.6357551335818177E-2</c:v>
                </c:pt>
                <c:pt idx="30">
                  <c:v>1.7003674934329971E-2</c:v>
                </c:pt>
                <c:pt idx="31">
                  <c:v>1.7670890114538929E-2</c:v>
                </c:pt>
                <c:pt idx="32">
                  <c:v>1.8337652418083605E-2</c:v>
                </c:pt>
                <c:pt idx="33">
                  <c:v>1.8982475350851957E-2</c:v>
                </c:pt>
                <c:pt idx="34">
                  <c:v>1.9648347407345335E-2</c:v>
                </c:pt>
                <c:pt idx="35">
                  <c:v>2.0292309386050533E-2</c:v>
                </c:pt>
                <c:pt idx="36">
                  <c:v>2.0978735932075443E-2</c:v>
                </c:pt>
                <c:pt idx="37">
                  <c:v>2.164325301365233E-2</c:v>
                </c:pt>
                <c:pt idx="38">
                  <c:v>2.2243074299002963E-2</c:v>
                </c:pt>
                <c:pt idx="39">
                  <c:v>2.2906733202649909E-2</c:v>
                </c:pt>
                <c:pt idx="40">
                  <c:v>2.3548554850833292E-2</c:v>
                </c:pt>
                <c:pt idx="41">
                  <c:v>2.4211327651023518E-2</c:v>
                </c:pt>
                <c:pt idx="42">
                  <c:v>2.4852292352395833E-2</c:v>
                </c:pt>
                <c:pt idx="43">
                  <c:v>2.5514180232236061E-2</c:v>
                </c:pt>
                <c:pt idx="44">
                  <c:v>2.6175618851351889E-2</c:v>
                </c:pt>
                <c:pt idx="45">
                  <c:v>2.6815293271991947E-2</c:v>
                </c:pt>
                <c:pt idx="46">
                  <c:v>2.7475848752128385E-2</c:v>
                </c:pt>
                <c:pt idx="47">
                  <c:v>2.8114669092890732E-2</c:v>
                </c:pt>
                <c:pt idx="48">
                  <c:v>2.8774342613196335E-2</c:v>
                </c:pt>
                <c:pt idx="49">
                  <c:v>2.9433568375788699E-2</c:v>
                </c:pt>
                <c:pt idx="50">
                  <c:v>3.0028613492335654E-2</c:v>
                </c:pt>
                <c:pt idx="51">
                  <c:v>3.0686987910371166E-2</c:v>
                </c:pt>
                <c:pt idx="52">
                  <c:v>3.1323698955432522E-2</c:v>
                </c:pt>
                <c:pt idx="53">
                  <c:v>3.1981194325745754E-2</c:v>
                </c:pt>
                <c:pt idx="54">
                  <c:v>3.2617055247566196E-2</c:v>
                </c:pt>
                <c:pt idx="55">
                  <c:v>3.3273672743843075E-2</c:v>
                </c:pt>
                <c:pt idx="56">
                  <c:v>3.3929844556703004E-2</c:v>
                </c:pt>
                <c:pt idx="57">
                  <c:v>3.4564425471849125E-2</c:v>
                </c:pt>
                <c:pt idx="58">
                  <c:v>3.5219721177858876E-2</c:v>
                </c:pt>
                <c:pt idx="59">
                  <c:v>3.5853454813868924E-2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3.029021527571001E-3</c:v>
                </c:pt>
                <c:pt idx="6">
                  <c:v>6.942523639729024E-3</c:v>
                </c:pt>
                <c:pt idx="7">
                  <c:v>1.0850064825193696E-2</c:v>
                </c:pt>
                <c:pt idx="8">
                  <c:v>1.4600149437219536E-2</c:v>
                </c:pt>
                <c:pt idx="9">
                  <c:v>1.7963965739457619E-2</c:v>
                </c:pt>
                <c:pt idx="10">
                  <c:v>2.1065516016004707E-2</c:v>
                </c:pt>
                <c:pt idx="11">
                  <c:v>2.4056074733571318E-2</c:v>
                </c:pt>
                <c:pt idx="12">
                  <c:v>2.7250840925785825E-2</c:v>
                </c:pt>
                <c:pt idx="13">
                  <c:v>3.0398844319841366E-2</c:v>
                </c:pt>
                <c:pt idx="14">
                  <c:v>3.3181609218047206E-2</c:v>
                </c:pt>
                <c:pt idx="15">
                  <c:v>3.6322292378121394E-2</c:v>
                </c:pt>
                <c:pt idx="16">
                  <c:v>3.9734038047963216E-2</c:v>
                </c:pt>
                <c:pt idx="17">
                  <c:v>4.3479593943918468E-2</c:v>
                </c:pt>
                <c:pt idx="18">
                  <c:v>4.662584345995615E-2</c:v>
                </c:pt>
                <c:pt idx="19">
                  <c:v>5.0813506860989871E-2</c:v>
                </c:pt>
                <c:pt idx="20">
                  <c:v>5.5806648761982977E-2</c:v>
                </c:pt>
                <c:pt idx="21">
                  <c:v>5.9373376382175505E-2</c:v>
                </c:pt>
                <c:pt idx="22">
                  <c:v>6.1738155916310433E-2</c:v>
                </c:pt>
                <c:pt idx="23">
                  <c:v>6.3939537991923326E-2</c:v>
                </c:pt>
                <c:pt idx="24">
                  <c:v>6.595949078233887E-2</c:v>
                </c:pt>
                <c:pt idx="25">
                  <c:v>6.7468828960920477E-2</c:v>
                </c:pt>
                <c:pt idx="26">
                  <c:v>6.8826935134359224E-2</c:v>
                </c:pt>
                <c:pt idx="27">
                  <c:v>7.0561616421103437E-2</c:v>
                </c:pt>
                <c:pt idx="28">
                  <c:v>7.2999703723786474E-2</c:v>
                </c:pt>
                <c:pt idx="29">
                  <c:v>7.5894390364212694E-2</c:v>
                </c:pt>
                <c:pt idx="30">
                  <c:v>7.7858527764618032E-2</c:v>
                </c:pt>
                <c:pt idx="31">
                  <c:v>7.9199845664670893E-2</c:v>
                </c:pt>
                <c:pt idx="32">
                  <c:v>8.0238265321244576E-2</c:v>
                </c:pt>
                <c:pt idx="33">
                  <c:v>8.0567948217237159E-2</c:v>
                </c:pt>
                <c:pt idx="34">
                  <c:v>8.0111191008973084E-2</c:v>
                </c:pt>
                <c:pt idx="35">
                  <c:v>8.0316563977485059E-2</c:v>
                </c:pt>
                <c:pt idx="36">
                  <c:v>8.1319067801709499E-2</c:v>
                </c:pt>
                <c:pt idx="37">
                  <c:v>8.2399742167189954E-2</c:v>
                </c:pt>
                <c:pt idx="38">
                  <c:v>8.3387530506310342E-2</c:v>
                </c:pt>
                <c:pt idx="39">
                  <c:v>8.4777055313364144E-2</c:v>
                </c:pt>
                <c:pt idx="40">
                  <c:v>1.0740020404700316E-2</c:v>
                </c:pt>
                <c:pt idx="41">
                  <c:v>1.4139586027845716E-2</c:v>
                </c:pt>
                <c:pt idx="42">
                  <c:v>1.7275067394964184E-2</c:v>
                </c:pt>
                <c:pt idx="43">
                  <c:v>2.0308159882481452E-2</c:v>
                </c:pt>
                <c:pt idx="44">
                  <c:v>2.3179842429927284E-2</c:v>
                </c:pt>
                <c:pt idx="45">
                  <c:v>2.5660964047927184E-2</c:v>
                </c:pt>
                <c:pt idx="46">
                  <c:v>2.7828836752240294E-2</c:v>
                </c:pt>
                <c:pt idx="47">
                  <c:v>3.0020831144173876E-2</c:v>
                </c:pt>
                <c:pt idx="48">
                  <c:v>3.451322687956327E-2</c:v>
                </c:pt>
                <c:pt idx="49">
                  <c:v>4.1367082839920195E-2</c:v>
                </c:pt>
                <c:pt idx="50">
                  <c:v>4.7414532245658912E-2</c:v>
                </c:pt>
                <c:pt idx="51">
                  <c:v>5.4145074004941354E-2</c:v>
                </c:pt>
                <c:pt idx="52">
                  <c:v>6.119671880425908E-2</c:v>
                </c:pt>
                <c:pt idx="53">
                  <c:v>6.8835997496329321E-2</c:v>
                </c:pt>
                <c:pt idx="54">
                  <c:v>7.5472250993353807E-2</c:v>
                </c:pt>
                <c:pt idx="55">
                  <c:v>8.156752955115612E-2</c:v>
                </c:pt>
                <c:pt idx="56">
                  <c:v>8.720406248846603E-2</c:v>
                </c:pt>
                <c:pt idx="57">
                  <c:v>9.1744611455893993E-2</c:v>
                </c:pt>
                <c:pt idx="58">
                  <c:v>9.5279597376492844E-2</c:v>
                </c:pt>
                <c:pt idx="59">
                  <c:v>9.924117915684294E-2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2.2285650270742682E-7</c:v>
                </c:pt>
                <c:pt idx="1">
                  <c:v>1.1212375111744845E-6</c:v>
                </c:pt>
                <c:pt idx="2">
                  <c:v>2.3388405743170719E-6</c:v>
                </c:pt>
                <c:pt idx="3">
                  <c:v>4.6076860857243142E-6</c:v>
                </c:pt>
                <c:pt idx="4">
                  <c:v>1.3334412091411951E-4</c:v>
                </c:pt>
                <c:pt idx="5">
                  <c:v>7.5279979033279645E-4</c:v>
                </c:pt>
                <c:pt idx="6">
                  <c:v>9.3895097220161275E-4</c:v>
                </c:pt>
                <c:pt idx="7">
                  <c:v>2.7477216251156107E-4</c:v>
                </c:pt>
                <c:pt idx="8">
                  <c:v>7.6219668255685701E-5</c:v>
                </c:pt>
                <c:pt idx="9">
                  <c:v>2.3449403949038963E-4</c:v>
                </c:pt>
                <c:pt idx="10">
                  <c:v>2.160296974959141E-4</c:v>
                </c:pt>
                <c:pt idx="11">
                  <c:v>2.4335632550911724E-4</c:v>
                </c:pt>
                <c:pt idx="12">
                  <c:v>2.0571727281749197E-4</c:v>
                </c:pt>
                <c:pt idx="13">
                  <c:v>1.5250660876783224E-4</c:v>
                </c:pt>
                <c:pt idx="14">
                  <c:v>9.2650499862275394E-5</c:v>
                </c:pt>
                <c:pt idx="15">
                  <c:v>5.593305030619242E-5</c:v>
                </c:pt>
                <c:pt idx="16">
                  <c:v>6.5679985910055438E-4</c:v>
                </c:pt>
                <c:pt idx="17">
                  <c:v>2.119668735781146E-3</c:v>
                </c:pt>
                <c:pt idx="18">
                  <c:v>2.1007304199618633E-3</c:v>
                </c:pt>
                <c:pt idx="19">
                  <c:v>5.6771426879557009E-4</c:v>
                </c:pt>
                <c:pt idx="20">
                  <c:v>1.5383089285204483E-4</c:v>
                </c:pt>
                <c:pt idx="21">
                  <c:v>4.7018078701684758E-4</c:v>
                </c:pt>
                <c:pt idx="22">
                  <c:v>4.3231520237533796E-4</c:v>
                </c:pt>
                <c:pt idx="23">
                  <c:v>4.86739520428315E-4</c:v>
                </c:pt>
                <c:pt idx="24">
                  <c:v>4.1176245697986815E-4</c:v>
                </c:pt>
                <c:pt idx="25">
                  <c:v>3.0482199509729269E-4</c:v>
                </c:pt>
                <c:pt idx="26">
                  <c:v>1.8568093481625256E-4</c:v>
                </c:pt>
                <c:pt idx="27">
                  <c:v>1.1213159528381337E-4</c:v>
                </c:pt>
                <c:pt idx="28">
                  <c:v>1.1706581602854065E-3</c:v>
                </c:pt>
                <c:pt idx="29">
                  <c:v>3.3719578043903734E-3</c:v>
                </c:pt>
                <c:pt idx="30">
                  <c:v>3.1429668139513513E-3</c:v>
                </c:pt>
                <c:pt idx="31">
                  <c:v>8.9414913761669962E-4</c:v>
                </c:pt>
                <c:pt idx="32">
                  <c:v>3.5537409604817299E-4</c:v>
                </c:pt>
                <c:pt idx="33">
                  <c:v>8.7346825761878012E-4</c:v>
                </c:pt>
                <c:pt idx="34">
                  <c:v>8.2594870259613683E-4</c:v>
                </c:pt>
                <c:pt idx="35">
                  <c:v>1.7448899957139819E-3</c:v>
                </c:pt>
                <c:pt idx="36">
                  <c:v>1.0921012914794927E-3</c:v>
                </c:pt>
                <c:pt idx="37">
                  <c:v>5.8050913467064377E-4</c:v>
                </c:pt>
                <c:pt idx="38">
                  <c:v>3.8067023850612099E-4</c:v>
                </c:pt>
                <c:pt idx="39">
                  <c:v>2.1769413480412096E-4</c:v>
                </c:pt>
                <c:pt idx="40">
                  <c:v>1.6564493442798364E-3</c:v>
                </c:pt>
                <c:pt idx="41">
                  <c:v>4.5308109687396169E-3</c:v>
                </c:pt>
                <c:pt idx="42">
                  <c:v>4.156847477721326E-3</c:v>
                </c:pt>
                <c:pt idx="43">
                  <c:v>1.2227959224786944E-3</c:v>
                </c:pt>
                <c:pt idx="44">
                  <c:v>5.5917025962403722E-4</c:v>
                </c:pt>
                <c:pt idx="45">
                  <c:v>1.2775954311783624E-3</c:v>
                </c:pt>
                <c:pt idx="46">
                  <c:v>1.2197788029712289E-3</c:v>
                </c:pt>
                <c:pt idx="47">
                  <c:v>3.003075986840215E-3</c:v>
                </c:pt>
                <c:pt idx="48">
                  <c:v>1.7739837810806232E-3</c:v>
                </c:pt>
                <c:pt idx="49">
                  <c:v>8.5759012679872721E-4</c:v>
                </c:pt>
                <c:pt idx="50">
                  <c:v>5.8058492634993619E-4</c:v>
                </c:pt>
                <c:pt idx="51">
                  <c:v>3.3316193969947254E-4</c:v>
                </c:pt>
                <c:pt idx="52">
                  <c:v>2.144409014836013E-3</c:v>
                </c:pt>
                <c:pt idx="53">
                  <c:v>5.5990619621774443E-3</c:v>
                </c:pt>
                <c:pt idx="54">
                  <c:v>5.1017092818779032E-3</c:v>
                </c:pt>
                <c:pt idx="55">
                  <c:v>1.6564035949165278E-3</c:v>
                </c:pt>
                <c:pt idx="56">
                  <c:v>1.0374216294367527E-3</c:v>
                </c:pt>
                <c:pt idx="57">
                  <c:v>1.9751971432909934E-3</c:v>
                </c:pt>
                <c:pt idx="58">
                  <c:v>2.6628317181016082E-3</c:v>
                </c:pt>
                <c:pt idx="59">
                  <c:v>5.0355174659549549E-3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0292856"/>
        <c:axId val="640293248"/>
      </c:lineChart>
      <c:dateAx>
        <c:axId val="640292856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324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402932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4029285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382348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38234834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38234835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061083" y="1095374"/>
            <a:ext cx="5818643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53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5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59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60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38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39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41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41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43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44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12</xdr:row>
      <xdr:rowOff>66675</xdr:rowOff>
    </xdr:from>
    <xdr:to>
      <xdr:col>29</xdr:col>
      <xdr:colOff>638175</xdr:colOff>
      <xdr:row>43</xdr:row>
      <xdr:rowOff>28575</xdr:rowOff>
    </xdr:to>
    <xdr:grpSp>
      <xdr:nvGrpSpPr>
        <xdr:cNvPr id="42868799" name="Groupe 1"/>
        <xdr:cNvGrpSpPr>
          <a:grpSpLocks/>
        </xdr:cNvGrpSpPr>
      </xdr:nvGrpSpPr>
      <xdr:grpSpPr bwMode="auto">
        <a:xfrm>
          <a:off x="9258300" y="2466975"/>
          <a:ext cx="8753475" cy="5019675"/>
          <a:chOff x="12715661" y="8254362"/>
          <a:chExt cx="8021762" cy="4954782"/>
        </a:xfrm>
      </xdr:grpSpPr>
      <xdr:pic>
        <xdr:nvPicPr>
          <xdr:cNvPr id="4286880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8801" name="Graphique 2"/>
          <xdr:cNvGraphicFramePr>
            <a:graphicFrameLocks/>
          </xdr:cNvGraphicFramePr>
        </xdr:nvGraphicFramePr>
        <xdr:xfrm>
          <a:off x="12715661" y="8254362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30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3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4903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30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7861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7865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7866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69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690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4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45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491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3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37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78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52</v>
      </c>
      <c r="K1" s="21"/>
      <c r="L1" s="238" t="s">
        <v>51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64">
        <f>Tmaj</f>
        <v>44926</v>
      </c>
      <c r="D2" s="1164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136</v>
      </c>
      <c r="C3" s="1165" t="str">
        <f>Station</f>
        <v>Aureville</v>
      </c>
      <c r="D3" s="1166"/>
      <c r="E3" s="1166"/>
      <c r="F3" s="1166"/>
      <c r="G3" s="1166"/>
      <c r="H3" s="1167"/>
      <c r="K3" s="21"/>
      <c r="L3" s="30"/>
      <c r="M3" s="30"/>
      <c r="N3" s="209" t="s">
        <v>172</v>
      </c>
      <c r="O3" s="785">
        <f>Salim_i</f>
        <v>0.14000000000000001</v>
      </c>
      <c r="P3" s="451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54</v>
      </c>
      <c r="C4" s="1168">
        <f>T0</f>
        <v>43243</v>
      </c>
      <c r="D4" s="1169"/>
      <c r="G4" s="33" t="s">
        <v>15</v>
      </c>
      <c r="H4" s="677">
        <f>Azi_pv</f>
        <v>20</v>
      </c>
      <c r="K4" s="21"/>
      <c r="L4" s="30"/>
      <c r="M4" s="30"/>
      <c r="N4" s="82" t="s">
        <v>23</v>
      </c>
      <c r="O4" s="160">
        <f>Persistant</f>
        <v>0.6</v>
      </c>
      <c r="P4" s="35" t="s">
        <v>55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62">
        <f>Tservice</f>
        <v>43272</v>
      </c>
      <c r="D5" s="1163"/>
      <c r="E5" s="95"/>
      <c r="G5" s="33" t="s">
        <v>16</v>
      </c>
      <c r="H5" s="678">
        <f>Ram_pv</f>
        <v>0.33</v>
      </c>
      <c r="J5" s="95"/>
      <c r="M5" s="30"/>
      <c r="V5" s="8"/>
    </row>
    <row r="6" spans="1:29" ht="16.5" thickBot="1" x14ac:dyDescent="0.3">
      <c r="A6" s="131"/>
      <c r="B6" s="52" t="s">
        <v>125</v>
      </c>
      <c r="C6" s="627">
        <f>Pc</f>
        <v>9</v>
      </c>
      <c r="D6" s="562"/>
      <c r="E6" s="132"/>
      <c r="F6" s="563"/>
      <c r="G6" s="563"/>
      <c r="H6" s="564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940"/>
      <c r="B7" s="536"/>
      <c r="C7" s="52"/>
      <c r="D7" s="941"/>
      <c r="E7" s="29"/>
      <c r="F7" s="536"/>
      <c r="G7" s="536"/>
      <c r="H7" s="735"/>
      <c r="I7" s="536"/>
      <c r="J7" s="22" t="s">
        <v>334</v>
      </c>
      <c r="K7" s="1170" t="s">
        <v>331</v>
      </c>
      <c r="L7" s="1171"/>
      <c r="M7" s="1152" t="b">
        <f>IF(K7="début",TRUE,FALSE)</f>
        <v>0</v>
      </c>
      <c r="N7" s="910"/>
      <c r="O7" s="30"/>
      <c r="P7" s="30"/>
      <c r="Q7" s="536"/>
      <c r="R7" s="536"/>
      <c r="S7" s="536"/>
      <c r="T7" s="536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Aureville (kWh)</v>
      </c>
      <c r="B8" s="132"/>
      <c r="C8" s="133"/>
      <c r="D8" s="565"/>
      <c r="E8" s="562"/>
      <c r="F8" s="132"/>
      <c r="G8" s="132"/>
      <c r="H8" s="62"/>
      <c r="I8" s="132"/>
      <c r="J8" s="22" t="s">
        <v>118</v>
      </c>
      <c r="K8" s="559">
        <f>[3]!Inter_net</f>
        <v>2</v>
      </c>
      <c r="L8" s="560">
        <f>[3]!Inter_tai</f>
        <v>7</v>
      </c>
      <c r="N8" s="15"/>
    </row>
    <row r="9" spans="1:29" ht="15.75" x14ac:dyDescent="0.25">
      <c r="A9" s="29" t="s">
        <v>293</v>
      </c>
      <c r="B9" s="149">
        <f>AVERAGE(B11:B30)</f>
        <v>10166.245644124097</v>
      </c>
      <c r="C9" s="994">
        <f t="shared" ref="C9:J9" si="0">AVERAGE(C11:C30)</f>
        <v>622.01683060233586</v>
      </c>
      <c r="D9" s="995">
        <f t="shared" si="0"/>
        <v>13.333164422634862</v>
      </c>
      <c r="E9" s="149">
        <f t="shared" si="0"/>
        <v>635.34999502497089</v>
      </c>
      <c r="F9" s="149">
        <f t="shared" si="0"/>
        <v>10801.595639149069</v>
      </c>
      <c r="G9" s="149">
        <f t="shared" si="0"/>
        <v>11228.252223684176</v>
      </c>
      <c r="H9" s="1001">
        <f t="shared" si="0"/>
        <v>484.67015667783289</v>
      </c>
      <c r="I9" s="1002">
        <f t="shared" si="0"/>
        <v>10.801730592554462</v>
      </c>
      <c r="J9" s="149">
        <f t="shared" si="0"/>
        <v>9668.331688468179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53</v>
      </c>
      <c r="B10" s="174" t="s">
        <v>110</v>
      </c>
      <c r="C10" s="332" t="s">
        <v>62</v>
      </c>
      <c r="D10" s="333" t="s">
        <v>101</v>
      </c>
      <c r="E10" s="174" t="s">
        <v>100</v>
      </c>
      <c r="F10" s="174" t="s">
        <v>113</v>
      </c>
      <c r="G10" s="174" t="s">
        <v>112</v>
      </c>
      <c r="H10" s="332" t="s">
        <v>63</v>
      </c>
      <c r="I10" s="333" t="s">
        <v>64</v>
      </c>
      <c r="J10" s="174" t="s">
        <v>111</v>
      </c>
      <c r="K10" s="332" t="s">
        <v>56</v>
      </c>
      <c r="L10" s="333" t="s">
        <v>57</v>
      </c>
      <c r="M10" s="332" t="s">
        <v>287</v>
      </c>
      <c r="N10" s="333" t="s">
        <v>288</v>
      </c>
      <c r="O10" s="100" t="s">
        <v>289</v>
      </c>
      <c r="P10" s="100" t="s">
        <v>290</v>
      </c>
      <c r="Q10" s="100" t="s">
        <v>291</v>
      </c>
      <c r="R10" s="100" t="s">
        <v>292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5675.0280000000021</v>
      </c>
      <c r="C11" s="143">
        <f>'2018'!Wh_Psa</f>
        <v>78.689670346560092</v>
      </c>
      <c r="D11" s="329">
        <f>'2018'!Wh_Pvg</f>
        <v>1.6747213134869068</v>
      </c>
      <c r="E11" s="139">
        <f t="shared" ref="E11:E16" si="1">C11+D11</f>
        <v>80.364391660047005</v>
      </c>
      <c r="F11" s="139">
        <f t="shared" ref="F11:F16" si="2">B11+E11</f>
        <v>5755.3923916600488</v>
      </c>
      <c r="G11" s="139">
        <f>'2018'!F$9</f>
        <v>5769.2136590391265</v>
      </c>
      <c r="H11" s="145">
        <f>'2018'!Wh_gain_sa</f>
        <v>0</v>
      </c>
      <c r="I11" s="329">
        <f>'2018'!Wh_gain_vg</f>
        <v>0</v>
      </c>
      <c r="J11" s="139">
        <f>'2018'!Prod_an_s</f>
        <v>5675.0280000000021</v>
      </c>
      <c r="K11" s="972" t="str">
        <f>IF('2018'!Acti_net,'2018'!Tnet,"")</f>
        <v/>
      </c>
      <c r="L11" s="973" t="str">
        <f>IF('2018'!Acti_tai,'2018'!Ttai,"")</f>
        <v/>
      </c>
      <c r="M11" s="984">
        <v>0</v>
      </c>
      <c r="N11" s="985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978"/>
      <c r="T11" s="978"/>
    </row>
    <row r="12" spans="1:29" s="19" customFormat="1" ht="12.75" x14ac:dyDescent="0.2">
      <c r="A12" s="144">
        <f>'2019'!An</f>
        <v>2019</v>
      </c>
      <c r="B12" s="137">
        <f>'2019'!Prod_an</f>
        <v>11221.410999999996</v>
      </c>
      <c r="C12" s="145">
        <f>'2019'!Wh_Psa</f>
        <v>525.94910977796553</v>
      </c>
      <c r="D12" s="330">
        <f>'2019'!Wh_Pvg</f>
        <v>6.4202606135542934</v>
      </c>
      <c r="E12" s="137">
        <f t="shared" si="1"/>
        <v>532.36937039151985</v>
      </c>
      <c r="F12" s="137">
        <f t="shared" si="2"/>
        <v>11753.780370391516</v>
      </c>
      <c r="G12" s="137">
        <f>'2019'!F$9</f>
        <v>11856.245260033535</v>
      </c>
      <c r="H12" s="145">
        <f>'2019'!Wh_gain_sa</f>
        <v>0</v>
      </c>
      <c r="I12" s="330">
        <f>'2019'!Wh_gain_vg</f>
        <v>0</v>
      </c>
      <c r="J12" s="137">
        <f>'2019'!Prod_an_s</f>
        <v>11221.410999999996</v>
      </c>
      <c r="K12" s="974" t="str">
        <f>IF('2019'!Acti_net,'2019'!Tnet,"")</f>
        <v/>
      </c>
      <c r="L12" s="975" t="str">
        <f>IF('2019'!Acti_tai,'2019'!Ttai,"")</f>
        <v/>
      </c>
      <c r="M12" s="986">
        <f>O12+P11+(K11="")*M11</f>
        <v>0</v>
      </c>
      <c r="N12" s="987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978"/>
      <c r="T12" s="978"/>
    </row>
    <row r="13" spans="1:29" s="19" customFormat="1" ht="12.75" x14ac:dyDescent="0.2">
      <c r="A13" s="144">
        <f>'2020'!An</f>
        <v>2020</v>
      </c>
      <c r="B13" s="137">
        <f>'2020'!Prod_an</f>
        <v>10520.859999999999</v>
      </c>
      <c r="C13" s="145">
        <f>'2020'!Wh_Psa</f>
        <v>854.45182686434498</v>
      </c>
      <c r="D13" s="330">
        <f>'2020'!Wh_Pvg</f>
        <v>9.6003169398723021</v>
      </c>
      <c r="E13" s="137">
        <f t="shared" si="1"/>
        <v>864.05214380421728</v>
      </c>
      <c r="F13" s="137">
        <f t="shared" si="2"/>
        <v>11384.912143804217</v>
      </c>
      <c r="G13" s="137">
        <f>'2020'!F$9</f>
        <v>11577.224299172249</v>
      </c>
      <c r="H13" s="145">
        <f>'2020'!Wh_gain_sa</f>
        <v>0</v>
      </c>
      <c r="I13" s="330">
        <f>'2020'!Wh_gain_vg</f>
        <v>0</v>
      </c>
      <c r="J13" s="137">
        <f>'2020'!Prod_an_s</f>
        <v>10520.859999999999</v>
      </c>
      <c r="K13" s="974" t="str">
        <f>IF('2020'!Acti_net,'2020'!Tnet,"")</f>
        <v/>
      </c>
      <c r="L13" s="975" t="str">
        <f>IF('2020'!Acti_tai,'2020'!Ttai,"")</f>
        <v/>
      </c>
      <c r="M13" s="986">
        <f t="shared" ref="M13:M20" si="3">O13+P12+(K12="")*M12</f>
        <v>0</v>
      </c>
      <c r="N13" s="987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978"/>
      <c r="T13" s="978"/>
    </row>
    <row r="14" spans="1:29" s="19" customFormat="1" ht="12.75" x14ac:dyDescent="0.2">
      <c r="A14" s="144">
        <f>'2021'!An</f>
        <v>2021</v>
      </c>
      <c r="B14" s="137">
        <f>'2021'!Prod_an</f>
        <v>10919.392000000005</v>
      </c>
      <c r="C14" s="145">
        <f>'2021'!Wh_Psa</f>
        <v>404.81144990838033</v>
      </c>
      <c r="D14" s="330">
        <f>'2021'!Wh_Pvg</f>
        <v>13.835903972977185</v>
      </c>
      <c r="E14" s="137">
        <f t="shared" si="1"/>
        <v>418.6473538813575</v>
      </c>
      <c r="F14" s="137">
        <f t="shared" si="2"/>
        <v>11338.039353881362</v>
      </c>
      <c r="G14" s="137">
        <f>'2021'!F$9</f>
        <v>11623.386504981814</v>
      </c>
      <c r="H14" s="145">
        <f>'2021'!Wh_gain_sa</f>
        <v>601.44417563785896</v>
      </c>
      <c r="I14" s="330">
        <f>'2021'!Wh_gain_vg</f>
        <v>-0.76147889062777985</v>
      </c>
      <c r="J14" s="137">
        <f>'2021'!Prod_an_s</f>
        <v>10318.427543848127</v>
      </c>
      <c r="K14" s="974">
        <f>IF('2021'!Acti_net,'2021'!Tnet,"")</f>
        <v>44306</v>
      </c>
      <c r="L14" s="975" t="str">
        <f>IF('2021'!Acti_tai,'2021'!Ttai,"")</f>
        <v/>
      </c>
      <c r="M14" s="986">
        <f t="shared" si="3"/>
        <v>0</v>
      </c>
      <c r="N14" s="987">
        <f>Q14+R13+(L13="")*N13</f>
        <v>0</v>
      </c>
      <c r="O14" s="370">
        <f>+'2021'!$AJ$3</f>
        <v>0</v>
      </c>
      <c r="P14" s="370">
        <f>+'2021'!$AJ$4</f>
        <v>600.9123713970771</v>
      </c>
      <c r="Q14" s="370">
        <f>+'2021'!$AK$3</f>
        <v>0</v>
      </c>
      <c r="R14" s="370">
        <f>+'2021'!$AK$4</f>
        <v>-0.76147889062777985</v>
      </c>
      <c r="S14" s="978"/>
      <c r="T14" s="978"/>
    </row>
    <row r="15" spans="1:29" s="19" customFormat="1" ht="12.75" x14ac:dyDescent="0.2">
      <c r="A15" s="364">
        <f>'2022'!An</f>
        <v>2022</v>
      </c>
      <c r="B15" s="365">
        <f>'2022'!Prod_an</f>
        <v>10698.169</v>
      </c>
      <c r="C15" s="366">
        <f>'2022'!Wh_Psa</f>
        <v>804.52170422987354</v>
      </c>
      <c r="D15" s="367">
        <f>'2022'!Wh_Pvg</f>
        <v>20.242296160219617</v>
      </c>
      <c r="E15" s="365">
        <f t="shared" si="1"/>
        <v>824.7640003900932</v>
      </c>
      <c r="F15" s="365">
        <f t="shared" si="2"/>
        <v>11522.933000390092</v>
      </c>
      <c r="G15" s="365">
        <f>'2022'!F$9</f>
        <v>11905.546737288754</v>
      </c>
      <c r="H15" s="366">
        <f>'2022'!Wh_gain_sa</f>
        <v>609.68440992088688</v>
      </c>
      <c r="I15" s="367">
        <f>'2022'!Wh_gain_vg</f>
        <v>-1.1582575926223839</v>
      </c>
      <c r="J15" s="365">
        <f>'2022'!Prod_an_s</f>
        <v>10086.02325460977</v>
      </c>
      <c r="K15" s="976" t="str">
        <f>IF('2022'!Acti_net,'2022'!Tnet,"")</f>
        <v/>
      </c>
      <c r="L15" s="977" t="str">
        <f>IF('2022'!Acti_tai,'2022'!Ttai,"")</f>
        <v/>
      </c>
      <c r="M15" s="988">
        <f t="shared" si="3"/>
        <v>600.9123713970771</v>
      </c>
      <c r="N15" s="989">
        <f t="shared" ref="N15:N20" si="4">Q15+R14+(L14="")*N14</f>
        <v>-0.76147889062777985</v>
      </c>
      <c r="O15" s="370">
        <f>+'2022'!$AJ$3</f>
        <v>0</v>
      </c>
      <c r="P15" s="370">
        <f>+'2022'!$AJ$4</f>
        <v>609.85192195927152</v>
      </c>
      <c r="Q15" s="370">
        <f>+'2022'!$AK$3</f>
        <v>0</v>
      </c>
      <c r="R15" s="370">
        <f>+'2022'!$AK$4</f>
        <v>-1.1540428793665995</v>
      </c>
      <c r="S15" s="978"/>
      <c r="T15" s="978"/>
    </row>
    <row r="16" spans="1:29" s="19" customFormat="1" ht="12.75" x14ac:dyDescent="0.2">
      <c r="A16" s="362">
        <f>'2023'!An</f>
        <v>2023</v>
      </c>
      <c r="B16" s="363">
        <f>'2023'!Prod_an</f>
        <v>10106.745920123672</v>
      </c>
      <c r="C16" s="145">
        <f>'2023'!Wh_Psa</f>
        <v>1293.225169315383</v>
      </c>
      <c r="D16" s="330">
        <f>'2023'!Wh_Pvg</f>
        <v>24.496650103261722</v>
      </c>
      <c r="E16" s="363">
        <f t="shared" si="1"/>
        <v>1317.7218194186448</v>
      </c>
      <c r="F16" s="363">
        <f t="shared" si="2"/>
        <v>11424.467739542317</v>
      </c>
      <c r="G16" s="363">
        <f>'2023'!F$9</f>
        <v>11903.031730845552</v>
      </c>
      <c r="H16" s="145">
        <f>'2023'!Wh_gain_sa</f>
        <v>433.16610324509861</v>
      </c>
      <c r="I16" s="330">
        <f>'2023'!Wh_gain_vg</f>
        <v>-1.0500544488684156</v>
      </c>
      <c r="J16" s="363">
        <f>'2023'!Prod_an_s</f>
        <v>9673.5179696785017</v>
      </c>
      <c r="K16" s="974" t="str">
        <f>IF('2023'!Acti_net,'2023'!Tnet,"")</f>
        <v/>
      </c>
      <c r="L16" s="975" t="str">
        <f>IF('2023'!Acti_tai,'2023'!Ttai,"")</f>
        <v/>
      </c>
      <c r="M16" s="986">
        <f t="shared" si="3"/>
        <v>1210.7642933563486</v>
      </c>
      <c r="N16" s="987">
        <f t="shared" si="4"/>
        <v>-1.9155217699943794</v>
      </c>
      <c r="O16" s="370">
        <f>+'2023'!$AJ$3</f>
        <v>0</v>
      </c>
      <c r="P16" s="370">
        <f>+'2023'!$AJ$4</f>
        <v>433.16610324509861</v>
      </c>
      <c r="Q16" s="370">
        <f>+'2023'!$AK$3</f>
        <v>0</v>
      </c>
      <c r="R16" s="370">
        <f>+'2023'!$AK$4</f>
        <v>-1.0500544488684156</v>
      </c>
      <c r="S16" s="978"/>
      <c r="T16" s="978"/>
    </row>
    <row r="17" spans="1:30" s="19" customFormat="1" ht="12.75" x14ac:dyDescent="0.2">
      <c r="A17" s="362">
        <f>'2024'!An</f>
        <v>2024</v>
      </c>
      <c r="B17" s="363">
        <f>'2024'!Prod_an</f>
        <v>10763.699105993612</v>
      </c>
      <c r="C17" s="145">
        <f>'2024'!Wh_Psa</f>
        <v>551.42505104598888</v>
      </c>
      <c r="D17" s="330">
        <f>'2024'!Wh_Pvg</f>
        <v>33.13843318980647</v>
      </c>
      <c r="E17" s="363">
        <f>C17+D17</f>
        <v>584.56348423579539</v>
      </c>
      <c r="F17" s="363">
        <f>B17+E17</f>
        <v>11348.262590229408</v>
      </c>
      <c r="G17" s="363">
        <f>'2024'!F$9</f>
        <v>11917.968426969228</v>
      </c>
      <c r="H17" s="145">
        <f>'2024'!Wh_gain_sa</f>
        <v>985.9256445745408</v>
      </c>
      <c r="I17" s="330">
        <f>'2024'!Wh_gain_vg</f>
        <v>-3.033756168705164</v>
      </c>
      <c r="J17" s="363">
        <f>'2024'!Prod_an_s</f>
        <v>9778.3043417372555</v>
      </c>
      <c r="K17" s="974">
        <f>IF('2024'!Acti_net,'2024'!Tnet,"")</f>
        <v>45412</v>
      </c>
      <c r="L17" s="975" t="str">
        <f>IF('2024'!Acti_tai,'2024'!Ttai,"")</f>
        <v/>
      </c>
      <c r="M17" s="986">
        <f t="shared" si="3"/>
        <v>1734.4546075110318</v>
      </c>
      <c r="N17" s="987">
        <f t="shared" si="4"/>
        <v>-2.965576218862795</v>
      </c>
      <c r="O17" s="370">
        <f>+'2024'!$AJ$3</f>
        <v>90.524210909584554</v>
      </c>
      <c r="P17" s="370">
        <f>+'2024'!$AJ$4</f>
        <v>894.79643649062041</v>
      </c>
      <c r="Q17" s="370">
        <f>+'2024'!$AK$3</f>
        <v>0</v>
      </c>
      <c r="R17" s="370">
        <f>+'2024'!$AK$4</f>
        <v>-3.033756168705164</v>
      </c>
      <c r="S17" s="978"/>
      <c r="T17" s="978"/>
    </row>
    <row r="18" spans="1:30" s="19" customFormat="1" ht="12.75" x14ac:dyDescent="0.2">
      <c r="A18" s="362">
        <f>'2025'!An</f>
        <v>2025</v>
      </c>
      <c r="B18" s="363">
        <f>'2025'!Prod_an</f>
        <v>10591.372266547036</v>
      </c>
      <c r="C18" s="145">
        <f>'2025'!Wh_Psa</f>
        <v>653.07793041667139</v>
      </c>
      <c r="D18" s="330">
        <f>'2025'!Wh_Pvg</f>
        <v>7.3154626981524942</v>
      </c>
      <c r="E18" s="363">
        <f>C18+D18</f>
        <v>660.39339311482388</v>
      </c>
      <c r="F18" s="363">
        <f>B18+E18</f>
        <v>11251.76565966186</v>
      </c>
      <c r="G18" s="363">
        <f>'2025'!F$9</f>
        <v>11909.468719699857</v>
      </c>
      <c r="H18" s="145">
        <f>'2025'!Wh_gain_sa</f>
        <v>896.59230599640375</v>
      </c>
      <c r="I18" s="330">
        <f>'2025'!Wh_gain_vg</f>
        <v>29.433576733128277</v>
      </c>
      <c r="J18" s="363">
        <f>'2025'!Prod_an_s</f>
        <v>9659.8122955032431</v>
      </c>
      <c r="K18" s="974" t="str">
        <f>IF('2025'!Acti_net,'2025'!Tnet,"")</f>
        <v/>
      </c>
      <c r="L18" s="975">
        <f>IF('2025'!Acti_tai,'2025'!Ttai,"")</f>
        <v>45747</v>
      </c>
      <c r="M18" s="986">
        <f t="shared" si="3"/>
        <v>894.79643649062041</v>
      </c>
      <c r="N18" s="987">
        <f t="shared" si="4"/>
        <v>-6.4648374610596289</v>
      </c>
      <c r="O18" s="370">
        <f>+'2025'!$AJ$3</f>
        <v>0</v>
      </c>
      <c r="P18" s="370">
        <f>+'2025'!$AJ$4</f>
        <v>896.59230599640375</v>
      </c>
      <c r="Q18" s="370">
        <f>+'2025'!$AK$3</f>
        <v>-0.46550507349166992</v>
      </c>
      <c r="R18" s="370">
        <f>+'2025'!$AK$4</f>
        <v>29.791000928247289</v>
      </c>
      <c r="S18" s="978"/>
      <c r="T18" s="978"/>
    </row>
    <row r="19" spans="1:30" s="19" customFormat="1" ht="12.75" x14ac:dyDescent="0.2">
      <c r="A19" s="362">
        <f>'2026'!An</f>
        <v>2026</v>
      </c>
      <c r="B19" s="363">
        <f>'2026'!Prod_an</f>
        <v>10745.303161691387</v>
      </c>
      <c r="C19" s="145">
        <f>'2026'!Wh_Psa</f>
        <v>411.62679083949178</v>
      </c>
      <c r="D19" s="330">
        <f>'2026'!Wh_Pvg</f>
        <v>6.3425709979413663</v>
      </c>
      <c r="E19" s="363">
        <f>C19+D19</f>
        <v>417.96936183743315</v>
      </c>
      <c r="F19" s="363">
        <f>B19+E19</f>
        <v>11163.27252352882</v>
      </c>
      <c r="G19" s="363">
        <f>'2026'!F$9</f>
        <v>11910.967738291572</v>
      </c>
      <c r="H19" s="145">
        <f>'2026'!Wh_gain_sa</f>
        <v>753.28305041858107</v>
      </c>
      <c r="I19" s="330">
        <f>'2026'!Wh_gain_vg</f>
        <v>40.022316481804936</v>
      </c>
      <c r="J19" s="363">
        <f>'2026'!Prod_an_s</f>
        <v>9946.8131585071351</v>
      </c>
      <c r="K19" s="974">
        <f>IF('2026'!Acti_net,'2026'!Tnet,"")</f>
        <v>46142</v>
      </c>
      <c r="L19" s="975" t="str">
        <f>IF('2026'!Acti_tai,'2026'!Ttai,"")</f>
        <v/>
      </c>
      <c r="M19" s="986">
        <f t="shared" si="3"/>
        <v>1976.1403230169758</v>
      </c>
      <c r="N19" s="987">
        <f t="shared" si="4"/>
        <v>29.791000928247289</v>
      </c>
      <c r="O19" s="370">
        <f>+'2026'!$AJ$3</f>
        <v>184.75158052995167</v>
      </c>
      <c r="P19" s="370">
        <f>+'2026'!$AJ$4</f>
        <v>568.49592616790676</v>
      </c>
      <c r="Q19" s="370">
        <f>+'2026'!$AK$3</f>
        <v>0</v>
      </c>
      <c r="R19" s="370">
        <f>+'2026'!$AK$4</f>
        <v>40.022316481804936</v>
      </c>
      <c r="S19" s="978"/>
      <c r="T19" s="978"/>
    </row>
    <row r="20" spans="1:30" s="19" customFormat="1" ht="12.75" x14ac:dyDescent="0.2">
      <c r="A20" s="362">
        <f>'2027'!An</f>
        <v>2027</v>
      </c>
      <c r="B20" s="363">
        <f>'2027'!Prod_an</f>
        <v>10420.475986885265</v>
      </c>
      <c r="C20" s="145">
        <f>'2027'!Wh_Psa</f>
        <v>642.38960327869893</v>
      </c>
      <c r="D20" s="330">
        <f>'2027'!Wh_Pvg</f>
        <v>10.265028237076271</v>
      </c>
      <c r="E20" s="363">
        <f>C20+D20</f>
        <v>652.65463151577524</v>
      </c>
      <c r="F20" s="363">
        <f>B20+E20</f>
        <v>11073.130618401041</v>
      </c>
      <c r="G20" s="363">
        <f>'2027'!F$9</f>
        <v>11909.469160520071</v>
      </c>
      <c r="H20" s="145">
        <f>'2027'!Wh_gain_sa</f>
        <v>566.60587698495863</v>
      </c>
      <c r="I20" s="330">
        <f>'2027'!Wh_gain_vg</f>
        <v>44.564959811435152</v>
      </c>
      <c r="J20" s="363">
        <f>'2027'!Prod_an_s</f>
        <v>9803.1193207977449</v>
      </c>
      <c r="K20" s="974" t="str">
        <f>IF('2027'!Acti_net,'2027'!Tnet,"")</f>
        <v/>
      </c>
      <c r="L20" s="975" t="str">
        <f>IF('2027'!Acti_tai,'2027'!Ttai,"")</f>
        <v/>
      </c>
      <c r="M20" s="986">
        <f t="shared" si="3"/>
        <v>568.49592616790676</v>
      </c>
      <c r="N20" s="987">
        <f t="shared" si="4"/>
        <v>69.813317410052221</v>
      </c>
      <c r="O20" s="370">
        <f>+'2027'!$AJ$3</f>
        <v>0</v>
      </c>
      <c r="P20" s="370">
        <f>+'2027'!$AJ$4</f>
        <v>566.60587698495863</v>
      </c>
      <c r="Q20" s="370">
        <f>+'2027'!$AK$3</f>
        <v>0</v>
      </c>
      <c r="R20" s="370">
        <f>+'2027'!$AK$4</f>
        <v>44.564959811435152</v>
      </c>
      <c r="S20" s="978"/>
      <c r="T20" s="978"/>
    </row>
    <row r="21" spans="1:30" s="19" customFormat="1" ht="12.75" x14ac:dyDescent="0.2">
      <c r="A21" s="778"/>
      <c r="B21" s="779"/>
      <c r="C21" s="780"/>
      <c r="D21" s="777"/>
      <c r="E21" s="779"/>
      <c r="F21" s="779"/>
      <c r="G21" s="779"/>
      <c r="H21" s="780"/>
      <c r="I21" s="777"/>
      <c r="J21" s="779"/>
      <c r="K21" s="990"/>
      <c r="L21" s="991"/>
      <c r="M21" s="980"/>
      <c r="N21" s="981"/>
      <c r="O21" s="10"/>
      <c r="P21" s="10"/>
      <c r="Q21" s="10"/>
      <c r="R21" s="10"/>
      <c r="S21" s="978"/>
      <c r="T21" s="978"/>
    </row>
    <row r="22" spans="1:30" s="19" customFormat="1" ht="12.75" x14ac:dyDescent="0.2">
      <c r="A22" s="778"/>
      <c r="B22" s="779"/>
      <c r="C22" s="780"/>
      <c r="D22" s="777"/>
      <c r="E22" s="779"/>
      <c r="F22" s="779"/>
      <c r="G22" s="779"/>
      <c r="H22" s="780"/>
      <c r="I22" s="777"/>
      <c r="J22" s="779"/>
      <c r="K22" s="990"/>
      <c r="L22" s="991"/>
      <c r="M22" s="980"/>
      <c r="N22" s="981"/>
      <c r="O22" s="10"/>
      <c r="P22" s="979"/>
      <c r="Q22" s="10"/>
      <c r="R22" s="979"/>
      <c r="S22" s="978"/>
      <c r="T22" s="978"/>
    </row>
    <row r="23" spans="1:30" s="19" customFormat="1" ht="12.75" x14ac:dyDescent="0.2">
      <c r="A23" s="778"/>
      <c r="B23" s="779"/>
      <c r="C23" s="780"/>
      <c r="D23" s="777"/>
      <c r="E23" s="779"/>
      <c r="F23" s="779"/>
      <c r="G23" s="779"/>
      <c r="H23" s="780"/>
      <c r="I23" s="777"/>
      <c r="J23" s="779"/>
      <c r="K23" s="990"/>
      <c r="L23" s="991"/>
      <c r="M23" s="980"/>
      <c r="N23" s="981"/>
      <c r="O23" s="10"/>
      <c r="P23" s="979"/>
      <c r="Q23" s="10"/>
      <c r="S23" s="978"/>
      <c r="T23" s="978"/>
    </row>
    <row r="24" spans="1:30" s="19" customFormat="1" ht="12.75" x14ac:dyDescent="0.2">
      <c r="A24" s="778"/>
      <c r="B24" s="779"/>
      <c r="C24" s="780"/>
      <c r="D24" s="777"/>
      <c r="E24" s="779"/>
      <c r="F24" s="779"/>
      <c r="G24" s="779"/>
      <c r="H24" s="780"/>
      <c r="I24" s="777"/>
      <c r="J24" s="779"/>
      <c r="K24" s="990"/>
      <c r="L24" s="991"/>
      <c r="M24" s="980"/>
      <c r="N24" s="981"/>
      <c r="O24" s="10"/>
      <c r="P24" s="979"/>
      <c r="Q24" s="10"/>
      <c r="R24" s="979"/>
      <c r="S24" s="978"/>
      <c r="T24" s="978"/>
    </row>
    <row r="25" spans="1:30" s="19" customFormat="1" ht="12.75" x14ac:dyDescent="0.2">
      <c r="A25" s="778"/>
      <c r="B25" s="779"/>
      <c r="C25" s="780"/>
      <c r="D25" s="777"/>
      <c r="E25" s="779"/>
      <c r="F25" s="779"/>
      <c r="G25" s="779"/>
      <c r="H25" s="780"/>
      <c r="I25" s="777"/>
      <c r="J25" s="779"/>
      <c r="K25" s="990"/>
      <c r="L25" s="991"/>
      <c r="M25" s="980"/>
      <c r="N25" s="981"/>
      <c r="O25" s="10"/>
      <c r="P25" s="979"/>
      <c r="Q25" s="10"/>
      <c r="R25" s="979"/>
      <c r="S25" s="978"/>
      <c r="T25" s="978"/>
    </row>
    <row r="26" spans="1:30" s="19" customFormat="1" ht="12.75" x14ac:dyDescent="0.2">
      <c r="A26" s="778"/>
      <c r="B26" s="779"/>
      <c r="C26" s="780"/>
      <c r="D26" s="777"/>
      <c r="E26" s="779"/>
      <c r="F26" s="779"/>
      <c r="G26" s="779"/>
      <c r="H26" s="780"/>
      <c r="I26" s="777"/>
      <c r="J26" s="779"/>
      <c r="K26" s="990"/>
      <c r="L26" s="991"/>
      <c r="M26" s="980"/>
      <c r="N26" s="981"/>
      <c r="O26" s="10"/>
      <c r="P26" s="979"/>
      <c r="Q26" s="10"/>
      <c r="R26" s="979"/>
      <c r="S26" s="978"/>
      <c r="T26" s="978"/>
    </row>
    <row r="27" spans="1:30" s="19" customFormat="1" ht="12.75" x14ac:dyDescent="0.2">
      <c r="A27" s="778"/>
      <c r="B27" s="779"/>
      <c r="C27" s="780"/>
      <c r="D27" s="777"/>
      <c r="E27" s="779"/>
      <c r="F27" s="779"/>
      <c r="G27" s="779"/>
      <c r="H27" s="780"/>
      <c r="I27" s="777"/>
      <c r="J27" s="779"/>
      <c r="K27" s="990"/>
      <c r="L27" s="991"/>
      <c r="M27" s="980"/>
      <c r="N27" s="981"/>
      <c r="O27" s="10"/>
      <c r="P27" s="979"/>
      <c r="Q27" s="10"/>
      <c r="R27" s="979"/>
      <c r="S27" s="978"/>
      <c r="T27" s="978"/>
    </row>
    <row r="28" spans="1:30" s="19" customFormat="1" ht="12.75" x14ac:dyDescent="0.2">
      <c r="A28" s="778"/>
      <c r="B28" s="779"/>
      <c r="C28" s="780"/>
      <c r="D28" s="777"/>
      <c r="E28" s="779"/>
      <c r="F28" s="779"/>
      <c r="G28" s="779"/>
      <c r="H28" s="780"/>
      <c r="I28" s="777"/>
      <c r="J28" s="779"/>
      <c r="K28" s="990"/>
      <c r="L28" s="991"/>
      <c r="M28" s="980"/>
      <c r="N28" s="981"/>
      <c r="O28" s="10"/>
      <c r="P28" s="10"/>
      <c r="Q28" s="10"/>
      <c r="R28" s="10"/>
      <c r="S28" s="978"/>
      <c r="T28" s="978"/>
    </row>
    <row r="29" spans="1:30" s="19" customFormat="1" ht="12.75" x14ac:dyDescent="0.2">
      <c r="A29" s="778"/>
      <c r="B29" s="779"/>
      <c r="C29" s="780"/>
      <c r="D29" s="777"/>
      <c r="E29" s="779"/>
      <c r="F29" s="779"/>
      <c r="G29" s="779"/>
      <c r="H29" s="780"/>
      <c r="I29" s="777"/>
      <c r="J29" s="779"/>
      <c r="K29" s="990"/>
      <c r="L29" s="991"/>
      <c r="M29" s="980"/>
      <c r="N29" s="981"/>
      <c r="O29" s="10"/>
      <c r="P29" s="10"/>
      <c r="Q29" s="10"/>
      <c r="R29" s="10"/>
      <c r="S29" s="978"/>
      <c r="T29" s="978"/>
    </row>
    <row r="30" spans="1:30" s="19" customFormat="1" ht="12.75" x14ac:dyDescent="0.2">
      <c r="A30" s="781"/>
      <c r="B30" s="782"/>
      <c r="C30" s="783"/>
      <c r="D30" s="784"/>
      <c r="E30" s="782"/>
      <c r="F30" s="782"/>
      <c r="G30" s="782"/>
      <c r="H30" s="783"/>
      <c r="I30" s="784"/>
      <c r="J30" s="782"/>
      <c r="K30" s="992"/>
      <c r="L30" s="993"/>
      <c r="M30" s="982"/>
      <c r="N30" s="983"/>
      <c r="O30" s="10"/>
      <c r="P30" s="10"/>
      <c r="Q30" s="10"/>
      <c r="R30" s="10"/>
      <c r="S30" s="978"/>
      <c r="T30" s="978"/>
      <c r="AD30" s="30"/>
    </row>
    <row r="31" spans="1:30" s="4" customFormat="1" x14ac:dyDescent="0.25">
      <c r="A31" s="996" t="s">
        <v>329</v>
      </c>
      <c r="B31" s="997">
        <f>SUM(B11:B15)/1000</f>
        <v>49.034860000000009</v>
      </c>
      <c r="C31" s="998">
        <f t="shared" ref="C31:J31" si="5">SUM(C11:C15)/1000</f>
        <v>2.6684237611271246</v>
      </c>
      <c r="D31" s="999">
        <f t="shared" si="5"/>
        <v>5.1773499000110308E-2</v>
      </c>
      <c r="E31" s="997">
        <f t="shared" si="5"/>
        <v>2.7201972601272351</v>
      </c>
      <c r="F31" s="997">
        <f t="shared" si="5"/>
        <v>51.755057260127238</v>
      </c>
      <c r="G31" s="997">
        <f t="shared" si="5"/>
        <v>52.731616460515475</v>
      </c>
      <c r="H31" s="998">
        <f t="shared" si="5"/>
        <v>1.2111285855587457</v>
      </c>
      <c r="I31" s="999">
        <f t="shared" si="5"/>
        <v>-1.9197364832501639E-3</v>
      </c>
      <c r="J31" s="997">
        <f t="shared" si="5"/>
        <v>47.821749798457894</v>
      </c>
      <c r="K31" s="1146" t="s">
        <v>10</v>
      </c>
      <c r="L31" s="3"/>
      <c r="M31" s="1144" t="s">
        <v>328</v>
      </c>
      <c r="N31" s="1144" t="s">
        <v>332</v>
      </c>
      <c r="O31" s="1144" t="s">
        <v>332</v>
      </c>
      <c r="P31" s="3"/>
      <c r="Q31" s="3"/>
      <c r="R31" s="77"/>
      <c r="S31" s="134"/>
      <c r="T31" s="77"/>
      <c r="U31" s="77"/>
      <c r="V31" s="1000"/>
      <c r="W31" s="3"/>
      <c r="X31" s="3"/>
      <c r="Y31" s="3"/>
      <c r="Z31" s="3"/>
    </row>
    <row r="32" spans="1:30" ht="15.75" x14ac:dyDescent="0.25">
      <c r="A32" s="1158" t="s">
        <v>333</v>
      </c>
      <c r="B32" s="1159">
        <f>IF(K16&lt;&gt;"",B15-H16-C16+C15-D16+D15,B16)</f>
        <v>10106.745920123672</v>
      </c>
      <c r="J32" s="356" t="s">
        <v>267</v>
      </c>
      <c r="K32" s="68">
        <f>[1]!Inter_net</f>
        <v>2</v>
      </c>
      <c r="L32" s="68">
        <f>[1]!Inter_tai</f>
        <v>7</v>
      </c>
      <c r="M32" s="1145">
        <f>Inter_net</f>
        <v>2</v>
      </c>
      <c r="N32" s="1145">
        <f>CHOOSE(Inter_net,N33,N34,N35,N36)</f>
        <v>630.2523492478756</v>
      </c>
      <c r="O32" s="1153">
        <f>CHOOSE(Inter_net,O33,O34,O35,O36)</f>
        <v>6.2359571936301671E-2</v>
      </c>
      <c r="P32" s="370"/>
      <c r="Q32" s="370"/>
      <c r="R32" s="370"/>
      <c r="S32" s="978"/>
      <c r="T32" s="978"/>
      <c r="U32" s="24"/>
      <c r="V32" s="3"/>
      <c r="W32" s="3"/>
      <c r="X32" s="3"/>
      <c r="Z32" s="15"/>
      <c r="AA32" s="15"/>
      <c r="AB32" s="15"/>
    </row>
    <row r="33" spans="1:28" ht="15.75" x14ac:dyDescent="0.25">
      <c r="A33" s="29" t="s">
        <v>293</v>
      </c>
      <c r="B33" s="1094">
        <f t="shared" ref="B33:G33" si="6">AVERAGE(B35:B54)</f>
        <v>3.9782725747634293E-2</v>
      </c>
      <c r="C33" s="1095">
        <f t="shared" si="6"/>
        <v>6.4589909770255693E-2</v>
      </c>
      <c r="D33" s="1096">
        <f t="shared" si="6"/>
        <v>2.8290271711951111E-3</v>
      </c>
      <c r="E33" s="1094">
        <f t="shared" si="6"/>
        <v>3.7858187040705697E-2</v>
      </c>
      <c r="F33" s="1095">
        <f t="shared" si="6"/>
        <v>5.7224665166282641E-2</v>
      </c>
      <c r="G33" s="1096">
        <f t="shared" si="6"/>
        <v>1.1419878969551871E-3</v>
      </c>
      <c r="H33" s="1097">
        <f t="shared" ref="H33:J33" si="7">AVERAGE(H35:H54)</f>
        <v>4.6679501725680403E-2</v>
      </c>
      <c r="I33" s="1098">
        <f t="shared" si="7"/>
        <v>9.1127022464619221E-4</v>
      </c>
      <c r="J33" s="1099">
        <f t="shared" si="7"/>
        <v>9.0442327707426273E-2</v>
      </c>
      <c r="K33" s="342"/>
      <c r="L33" s="21"/>
      <c r="M33" s="370">
        <v>1</v>
      </c>
      <c r="N33" s="1154">
        <f>O33*$B$32</f>
        <v>630.2523492478756</v>
      </c>
      <c r="O33" s="1155">
        <f>AVERAGE(H19:H20)/AVERAGE(B19:B20)</f>
        <v>6.2359571936301671E-2</v>
      </c>
      <c r="P33" s="370"/>
      <c r="Q33" s="370"/>
      <c r="R33" s="370"/>
      <c r="S33" s="978"/>
      <c r="T33" s="978"/>
      <c r="V33" s="24"/>
      <c r="W33" s="3"/>
      <c r="X33" s="3"/>
      <c r="AA33" s="15"/>
      <c r="AB33" s="15"/>
    </row>
    <row r="34" spans="1:28" s="240" customFormat="1" ht="41.25" customHeight="1" x14ac:dyDescent="0.2">
      <c r="A34" s="174" t="s">
        <v>53</v>
      </c>
      <c r="B34" s="1100" t="s">
        <v>315</v>
      </c>
      <c r="C34" s="1101" t="s">
        <v>316</v>
      </c>
      <c r="D34" s="1102" t="s">
        <v>317</v>
      </c>
      <c r="E34" s="1100" t="s">
        <v>318</v>
      </c>
      <c r="F34" s="332" t="s">
        <v>319</v>
      </c>
      <c r="G34" s="333" t="s">
        <v>320</v>
      </c>
      <c r="H34" s="332" t="s">
        <v>321</v>
      </c>
      <c r="I34" s="333" t="s">
        <v>322</v>
      </c>
      <c r="J34" s="174" t="s">
        <v>323</v>
      </c>
      <c r="K34" s="332" t="s">
        <v>324</v>
      </c>
      <c r="L34" s="332" t="s">
        <v>325</v>
      </c>
      <c r="M34" s="370">
        <v>2</v>
      </c>
      <c r="N34" s="1156">
        <f>O34*$B$32</f>
        <v>630.2523492478756</v>
      </c>
      <c r="O34" s="1157">
        <f>AVERAGE(H19:H20)/AVERAGE(B19:B20)</f>
        <v>6.2359571936301671E-2</v>
      </c>
      <c r="P34" s="370"/>
      <c r="Q34" s="370"/>
      <c r="R34" s="370"/>
      <c r="S34" s="978"/>
      <c r="T34" s="978"/>
      <c r="U34" s="241"/>
      <c r="V34" s="242"/>
      <c r="W34" s="239"/>
      <c r="X34" s="239"/>
      <c r="Y34" s="239"/>
      <c r="Z34" s="239"/>
    </row>
    <row r="35" spans="1:28" s="19" customFormat="1" ht="12.75" x14ac:dyDescent="0.2">
      <c r="A35" s="142">
        <f>A11</f>
        <v>2018</v>
      </c>
      <c r="B35" s="1103">
        <f>'2018'!L$379</f>
        <v>4.8506205564775584E-3</v>
      </c>
      <c r="C35" s="1104">
        <f>'2018'!O$379</f>
        <v>2.5707093744743881E-2</v>
      </c>
      <c r="D35" s="1105">
        <f>'2018'!P$379</f>
        <v>2.2436861963048049E-4</v>
      </c>
      <c r="E35" s="1103">
        <f>'2018'!Wh_Ppv/Recap!B11</f>
        <v>2.3974021512186898E-3</v>
      </c>
      <c r="F35" s="1104">
        <f>'2018'!Wh_Psa/'2018'!D$9</f>
        <v>1.3832790032349813E-2</v>
      </c>
      <c r="G35" s="1105">
        <f>'2018'!Wh_Pvg/'2018'!E$9</f>
        <v>2.9037155300816318E-4</v>
      </c>
      <c r="H35" s="1106">
        <f>H11/'2018'!Z$9</f>
        <v>0</v>
      </c>
      <c r="I35" s="1107">
        <f>I11/'2018'!AA$9</f>
        <v>0</v>
      </c>
      <c r="J35" s="1108">
        <f>1-B11/G11</f>
        <v>1.6325562651255843E-2</v>
      </c>
      <c r="K35" s="972" t="str">
        <f>K11</f>
        <v/>
      </c>
      <c r="L35" s="1109">
        <f>(K35&lt;&gt;"")*('2018'!O$383-'2018'!O$381)</f>
        <v>0</v>
      </c>
      <c r="M35" s="370">
        <v>3</v>
      </c>
      <c r="N35" s="1156">
        <f>O35*$B$32</f>
        <v>705.39741961954917</v>
      </c>
      <c r="O35" s="1157">
        <f>AVERAGE(H18:H20)/AVERAGE(B18:B20)</f>
        <v>6.9794711887930544E-2</v>
      </c>
      <c r="P35" s="370"/>
      <c r="Q35" s="370"/>
      <c r="R35" s="370"/>
      <c r="S35" s="978"/>
      <c r="T35" s="978"/>
    </row>
    <row r="36" spans="1:28" s="19" customFormat="1" ht="12.75" x14ac:dyDescent="0.2">
      <c r="A36" s="144">
        <f t="shared" ref="A36:A44" si="8">A12</f>
        <v>2019</v>
      </c>
      <c r="B36" s="1094">
        <f>'2019'!L$379</f>
        <v>1.2774649825125772E-2</v>
      </c>
      <c r="C36" s="1095">
        <f>'2019'!O$379</f>
        <v>6.5212515016333322E-2</v>
      </c>
      <c r="D36" s="1096">
        <f>'2019'!P$379</f>
        <v>4.4881053159115674E-4</v>
      </c>
      <c r="E36" s="1094">
        <f>'2019'!Wh_Ppv/Recap!B12</f>
        <v>8.691787015430141E-3</v>
      </c>
      <c r="F36" s="1095">
        <f>'2019'!Wh_Psa/'2019'!D$9</f>
        <v>4.64662655805008E-2</v>
      </c>
      <c r="G36" s="1096">
        <f>'2019'!Wh_Pvg/'2019'!E$9</f>
        <v>5.4181857619343932E-4</v>
      </c>
      <c r="H36" s="1110">
        <f>H12/'2019'!Z$9</f>
        <v>0</v>
      </c>
      <c r="I36" s="1111">
        <f>I12/'2019'!AA$9</f>
        <v>0</v>
      </c>
      <c r="J36" s="1112">
        <f t="shared" ref="J36:J44" si="9">1-B12/G12</f>
        <v>5.3544292152382655E-2</v>
      </c>
      <c r="K36" s="974" t="str">
        <f t="shared" ref="K36:K44" si="10">K12</f>
        <v/>
      </c>
      <c r="L36" s="1113">
        <f>(K36&lt;&gt;"")*('2019'!O$383-'2019'!O$381)</f>
        <v>0</v>
      </c>
      <c r="M36" s="370">
        <v>4</v>
      </c>
      <c r="N36" s="1156">
        <f>O36*$B$32</f>
        <v>761.17745181203748</v>
      </c>
      <c r="O36" s="1157">
        <f>AVERAGE(H17:H20)/AVERAGE(B17:B20)</f>
        <v>7.5313801081755422E-2</v>
      </c>
      <c r="P36" s="370"/>
      <c r="Q36" s="370"/>
      <c r="R36" s="370"/>
      <c r="S36" s="978"/>
      <c r="T36" s="978"/>
    </row>
    <row r="37" spans="1:28" s="19" customFormat="1" ht="12.75" x14ac:dyDescent="0.2">
      <c r="A37" s="144">
        <f t="shared" si="8"/>
        <v>2020</v>
      </c>
      <c r="B37" s="1094">
        <f>'2020'!L$379</f>
        <v>2.0635582797733032E-2</v>
      </c>
      <c r="C37" s="1095">
        <f>'2020'!O$379</f>
        <v>8.0786194810826384E-2</v>
      </c>
      <c r="D37" s="1096">
        <f>'2020'!P$379</f>
        <v>1.6452023080135993E-3</v>
      </c>
      <c r="E37" s="1094">
        <f>'2020'!Wh_Ppv/Recap!B13</f>
        <v>1.6822207052419276E-2</v>
      </c>
      <c r="F37" s="1095">
        <f>'2020'!Wh_Psa/'2020'!D$9</f>
        <v>7.9871403999922944E-2</v>
      </c>
      <c r="G37" s="1096">
        <f>'2020'!Wh_Pvg/'2020'!E$9</f>
        <v>8.2999836663269315E-4</v>
      </c>
      <c r="H37" s="1110">
        <f>H13/'2020'!Z$9</f>
        <v>0</v>
      </c>
      <c r="I37" s="1111">
        <f>I13/'2020'!AA$9</f>
        <v>0</v>
      </c>
      <c r="J37" s="1112">
        <f t="shared" si="9"/>
        <v>9.1245040423703183E-2</v>
      </c>
      <c r="K37" s="974" t="str">
        <f t="shared" si="10"/>
        <v/>
      </c>
      <c r="L37" s="1113">
        <f>(K37&lt;&gt;"")*('2020'!O$383-'2020'!O$381)</f>
        <v>0</v>
      </c>
      <c r="M37" s="370"/>
      <c r="N37" s="1160" t="s">
        <v>330</v>
      </c>
      <c r="O37" s="1161"/>
      <c r="P37" s="370"/>
      <c r="S37" s="978"/>
      <c r="T37" s="978"/>
    </row>
    <row r="38" spans="1:28" s="19" customFormat="1" ht="12.75" x14ac:dyDescent="0.2">
      <c r="A38" s="144">
        <f t="shared" si="8"/>
        <v>2021</v>
      </c>
      <c r="B38" s="1094">
        <f>'2021'!L$379</f>
        <v>2.8455201678784348E-2</v>
      </c>
      <c r="C38" s="1095">
        <f>'2021'!O$379</f>
        <v>3.1287084636700706E-2</v>
      </c>
      <c r="D38" s="1096">
        <f>'2021'!P$379</f>
        <v>2.8416518015240947E-3</v>
      </c>
      <c r="E38" s="1094">
        <f>'2021'!Wh_Ppv/Recap!B14</f>
        <v>2.5120862823189982E-2</v>
      </c>
      <c r="F38" s="1095">
        <f>'2021'!Wh_Psa/'2021'!D$9</f>
        <v>3.6164232981732221E-2</v>
      </c>
      <c r="G38" s="1096">
        <f>'2021'!Wh_Pvg/'2021'!E$9</f>
        <v>1.1918587898579105E-3</v>
      </c>
      <c r="H38" s="1110">
        <f>H14/'2021'!Z$9</f>
        <v>5.6862392632222925E-2</v>
      </c>
      <c r="I38" s="1111">
        <f>I14/'2021'!AA$9</f>
        <v>-6.559566406781583E-5</v>
      </c>
      <c r="J38" s="1112">
        <f t="shared" si="9"/>
        <v>6.0567073518554615E-2</v>
      </c>
      <c r="K38" s="974">
        <f t="shared" si="10"/>
        <v>44306</v>
      </c>
      <c r="L38" s="1113">
        <f>(K38&lt;&gt;"")*('2021'!O$383-'2021'!O$381)</f>
        <v>7.6966161784992645E-2</v>
      </c>
      <c r="M38" s="370"/>
      <c r="N38" s="370"/>
      <c r="O38" s="370"/>
      <c r="P38" s="370"/>
      <c r="Q38" s="370"/>
      <c r="R38" s="370"/>
      <c r="S38" s="978"/>
      <c r="T38" s="978"/>
    </row>
    <row r="39" spans="1:28" s="19" customFormat="1" ht="12.75" x14ac:dyDescent="0.2">
      <c r="A39" s="364">
        <f t="shared" si="8"/>
        <v>2022</v>
      </c>
      <c r="B39" s="1114">
        <f>'2022'!L$379</f>
        <v>3.6191275856919614E-2</v>
      </c>
      <c r="C39" s="1115">
        <f>'2022'!O$379</f>
        <v>0.10173339612084951</v>
      </c>
      <c r="D39" s="1116">
        <f>'2022'!P$379</f>
        <v>4.8066651509570393E-3</v>
      </c>
      <c r="E39" s="1114">
        <f>'2022'!Wh_Ppv/Recap!B15</f>
        <v>3.3068068815850199E-2</v>
      </c>
      <c r="F39" s="1115">
        <f>'2022'!Wh_Psa/'2022'!D$9</f>
        <v>7.279463496866663E-2</v>
      </c>
      <c r="G39" s="1116">
        <f>'2022'!Wh_Pvg/'2022'!E$9</f>
        <v>1.7034578592772934E-3</v>
      </c>
      <c r="H39" s="1117">
        <f>H15/'2022'!Z$9</f>
        <v>5.8500994198960071E-2</v>
      </c>
      <c r="I39" s="1118">
        <f>I15/'2022'!AA$9</f>
        <v>-9.7471303828547041E-5</v>
      </c>
      <c r="J39" s="1119">
        <f t="shared" si="9"/>
        <v>0.10141304418277475</v>
      </c>
      <c r="K39" s="976" t="str">
        <f t="shared" si="10"/>
        <v/>
      </c>
      <c r="L39" s="1120">
        <f>(K39&lt;&gt;"")*('2022'!O$383-'2022'!O$381)</f>
        <v>0</v>
      </c>
      <c r="M39" s="370"/>
      <c r="N39" s="370"/>
      <c r="O39" s="370"/>
      <c r="P39" s="370"/>
      <c r="Q39" s="370"/>
      <c r="R39" s="370"/>
      <c r="S39" s="978"/>
      <c r="T39" s="978"/>
    </row>
    <row r="40" spans="1:28" s="19" customFormat="1" ht="12.75" x14ac:dyDescent="0.2">
      <c r="A40" s="1121">
        <f t="shared" si="8"/>
        <v>2023</v>
      </c>
      <c r="B40" s="1122">
        <f>'2023'!L$379</f>
        <v>4.3865750360193578E-2</v>
      </c>
      <c r="C40" s="1123">
        <f>'2023'!O$379</f>
        <v>0.1183566467809781</v>
      </c>
      <c r="D40" s="1124">
        <f>'2023'!P$379</f>
        <v>6.7717218008055153E-3</v>
      </c>
      <c r="E40" s="1122">
        <f>'2023'!Wh_Ppv/Recap!B16</f>
        <v>4.1603607836952265E-2</v>
      </c>
      <c r="F40" s="1123">
        <f>'2023'!Wh_Psa/'2023'!D$9</f>
        <v>0.1228458034572634</v>
      </c>
      <c r="G40" s="1124">
        <f>'2023'!Wh_Pvg/'2023'!E$9</f>
        <v>2.0630059167740765E-3</v>
      </c>
      <c r="H40" s="1122">
        <f>H16/'2023'!Z$9</f>
        <v>4.2989776754108498E-2</v>
      </c>
      <c r="I40" s="1125">
        <f>I16/'2023'!AA$9</f>
        <v>-8.8431215362873037E-5</v>
      </c>
      <c r="J40" s="1124">
        <f t="shared" si="9"/>
        <v>0.15090994053783624</v>
      </c>
      <c r="K40" s="974" t="str">
        <f t="shared" si="10"/>
        <v/>
      </c>
      <c r="L40" s="1113">
        <f>(K40&lt;&gt;"")*('2023'!O$383-'2023'!O$381)</f>
        <v>0</v>
      </c>
      <c r="M40" s="370"/>
      <c r="N40" s="370"/>
      <c r="O40" s="370"/>
      <c r="P40" s="370"/>
      <c r="Q40" s="370"/>
      <c r="R40" s="370"/>
      <c r="S40" s="978"/>
      <c r="T40" s="978"/>
    </row>
    <row r="41" spans="1:28" s="19" customFormat="1" ht="12.75" x14ac:dyDescent="0.2">
      <c r="A41" s="1121">
        <f t="shared" si="8"/>
        <v>2024</v>
      </c>
      <c r="B41" s="1122">
        <f>'2024'!L$379</f>
        <v>5.1479115685447163E-2</v>
      </c>
      <c r="C41" s="1123">
        <f>'2024'!O$379</f>
        <v>3.8385579245635883E-2</v>
      </c>
      <c r="D41" s="1124">
        <f>'2024'!P$379</f>
        <v>9.3157606720592548E-3</v>
      </c>
      <c r="E41" s="1122">
        <f>'2024'!Wh_Ppv/Recap!B17</f>
        <v>5.0044946306068094E-2</v>
      </c>
      <c r="F41" s="1123">
        <f>'2024'!Wh_Psa/'2024'!D$9</f>
        <v>4.8788453744705293E-2</v>
      </c>
      <c r="G41" s="1124">
        <f>'2024'!Wh_Pvg/'2024'!E$9</f>
        <v>2.7891043179328382E-3</v>
      </c>
      <c r="H41" s="1122">
        <f>H17/'2024'!Z$9</f>
        <v>9.602694211803034E-2</v>
      </c>
      <c r="I41" s="1125">
        <f>I17/'2024'!AA$9</f>
        <v>-2.5533682842596617E-4</v>
      </c>
      <c r="J41" s="1124">
        <f t="shared" si="9"/>
        <v>9.6851181310701806E-2</v>
      </c>
      <c r="K41" s="974">
        <f t="shared" si="10"/>
        <v>45412</v>
      </c>
      <c r="L41" s="1113">
        <f>(K41&lt;&gt;"")*('2024'!O$383-'2024'!O$381)</f>
        <v>0.11587786337198147</v>
      </c>
      <c r="M41" s="370"/>
      <c r="N41" s="370"/>
      <c r="O41" s="370"/>
      <c r="P41" s="370"/>
      <c r="Q41" s="370"/>
      <c r="R41" s="370"/>
      <c r="S41" s="978"/>
      <c r="T41" s="978"/>
    </row>
    <row r="42" spans="1:28" s="19" customFormat="1" ht="12.75" x14ac:dyDescent="0.2">
      <c r="A42" s="1121">
        <f t="shared" si="8"/>
        <v>2025</v>
      </c>
      <c r="B42" s="1122">
        <f>'2025'!L$379</f>
        <v>5.9052468041096096E-2</v>
      </c>
      <c r="C42" s="1123">
        <f>'2025'!O$379</f>
        <v>7.2966952803594651E-2</v>
      </c>
      <c r="D42" s="1124">
        <f>'2025'!P$379</f>
        <v>2.1315552278195697E-4</v>
      </c>
      <c r="E42" s="1122">
        <f>'2025'!Wh_Ppv/Recap!B18</f>
        <v>5.8410888640135557E-2</v>
      </c>
      <c r="F42" s="1123">
        <f>'2025'!Wh_Psa/'2025'!D$9</f>
        <v>5.8258389633921701E-2</v>
      </c>
      <c r="G42" s="1124">
        <f>'2025'!Wh_Pvg/'2025'!E$9</f>
        <v>6.1468027347207554E-4</v>
      </c>
      <c r="H42" s="1122">
        <f>H18/'2025'!Z$9</f>
        <v>8.7693733051804765E-2</v>
      </c>
      <c r="I42" s="1125">
        <f>I18/'2025'!AA$9</f>
        <v>2.4808454718807404E-3</v>
      </c>
      <c r="J42" s="1124">
        <f t="shared" si="9"/>
        <v>0.11067634368714641</v>
      </c>
      <c r="K42" s="974" t="str">
        <f t="shared" si="10"/>
        <v/>
      </c>
      <c r="L42" s="1113">
        <f>(K42&lt;&gt;"")*('2025'!O$383-'2025'!O$381)</f>
        <v>0</v>
      </c>
      <c r="M42" s="370"/>
      <c r="N42" s="370"/>
      <c r="O42" s="370"/>
      <c r="P42" s="370"/>
      <c r="Q42" s="370"/>
      <c r="R42" s="370"/>
      <c r="S42" s="978"/>
      <c r="T42" s="978"/>
    </row>
    <row r="43" spans="1:28" s="19" customFormat="1" ht="12.75" x14ac:dyDescent="0.2">
      <c r="A43" s="1121">
        <f t="shared" si="8"/>
        <v>2026</v>
      </c>
      <c r="B43" s="1122">
        <f>'2026'!L$379</f>
        <v>6.6544906802072923E-2</v>
      </c>
      <c r="C43" s="1123">
        <f>'2026'!O$379</f>
        <v>3.8496681739299765E-2</v>
      </c>
      <c r="D43" s="1124">
        <f>'2026'!P$379</f>
        <v>4.3752414241243764E-4</v>
      </c>
      <c r="E43" s="1122">
        <f>'2026'!Wh_Ppv/Recap!B19</f>
        <v>6.6954916361464153E-2</v>
      </c>
      <c r="F43" s="1123">
        <f>'2026'!Wh_Psa/'2026'!D$9</f>
        <v>3.5903673950717009E-2</v>
      </c>
      <c r="G43" s="1124">
        <f>'2026'!Wh_Pvg/'2026'!E$9</f>
        <v>5.3281269262764103E-4</v>
      </c>
      <c r="H43" s="1122">
        <f>H19/'2026'!Z$9</f>
        <v>7.0978735567398588E-2</v>
      </c>
      <c r="I43" s="1125">
        <f>I19/'2026'!AA$9</f>
        <v>3.3757854620846315E-3</v>
      </c>
      <c r="J43" s="1124">
        <f t="shared" si="9"/>
        <v>9.7864808486785471E-2</v>
      </c>
      <c r="K43" s="974">
        <f t="shared" si="10"/>
        <v>46142</v>
      </c>
      <c r="L43" s="1113">
        <f>(K43&lt;&gt;"")*('2026'!O$383-'2026'!O$381)</f>
        <v>7.4665381072273454E-2</v>
      </c>
      <c r="M43" s="370"/>
      <c r="N43" s="370"/>
      <c r="O43" s="370"/>
      <c r="P43" s="370"/>
      <c r="Q43" s="370"/>
      <c r="R43" s="370"/>
      <c r="S43" s="978"/>
      <c r="T43" s="978"/>
    </row>
    <row r="44" spans="1:28" s="19" customFormat="1" ht="12.75" x14ac:dyDescent="0.2">
      <c r="A44" s="1121">
        <f t="shared" si="8"/>
        <v>2027</v>
      </c>
      <c r="B44" s="1122">
        <f>'2027'!L$379</f>
        <v>7.3977685872492871E-2</v>
      </c>
      <c r="C44" s="1123">
        <f>'2027'!O$379</f>
        <v>7.2966952803594651E-2</v>
      </c>
      <c r="D44" s="1124">
        <f>'2027'!P$379</f>
        <v>1.5854111621755771E-3</v>
      </c>
      <c r="E44" s="1122">
        <f>'2027'!Wh_Ppv/Recap!B20</f>
        <v>7.5467183404328633E-2</v>
      </c>
      <c r="F44" s="1123">
        <f>'2027'!Wh_Psa/'2027'!D$9</f>
        <v>5.7321003313046619E-2</v>
      </c>
      <c r="G44" s="1124">
        <f>'2027'!Wh_Pvg/'2027'!E$9</f>
        <v>8.6277062377573745E-4</v>
      </c>
      <c r="H44" s="1122">
        <f>H20/'2027'!Z$9</f>
        <v>5.3742442934278808E-2</v>
      </c>
      <c r="I44" s="1125">
        <f>I20/'2027'!AA$9</f>
        <v>3.7629063241817525E-3</v>
      </c>
      <c r="J44" s="1124">
        <f t="shared" si="9"/>
        <v>0.12502599012312177</v>
      </c>
      <c r="K44" s="974" t="str">
        <f t="shared" si="10"/>
        <v/>
      </c>
      <c r="L44" s="1113">
        <f>(K44&lt;&gt;"")*('2027'!O$383-'2027'!O$381)</f>
        <v>0</v>
      </c>
      <c r="M44" s="370"/>
      <c r="N44" s="370"/>
      <c r="O44" s="370"/>
      <c r="P44" s="370"/>
      <c r="Q44" s="370"/>
      <c r="R44" s="370"/>
      <c r="S44" s="978"/>
      <c r="T44" s="978"/>
    </row>
    <row r="45" spans="1:28" s="19" customFormat="1" ht="12.75" x14ac:dyDescent="0.2">
      <c r="A45" s="778"/>
      <c r="B45" s="980"/>
      <c r="C45" s="1126"/>
      <c r="D45" s="1127"/>
      <c r="E45" s="980"/>
      <c r="F45" s="1126"/>
      <c r="G45" s="1127"/>
      <c r="H45" s="1128"/>
      <c r="I45" s="779"/>
      <c r="J45" s="1127"/>
      <c r="K45" s="990"/>
      <c r="L45" s="1127"/>
      <c r="M45" s="10"/>
      <c r="N45" s="10"/>
      <c r="O45" s="10"/>
      <c r="P45" s="10"/>
      <c r="Q45" s="10"/>
      <c r="R45" s="10"/>
      <c r="S45" s="978"/>
      <c r="T45" s="978"/>
    </row>
    <row r="46" spans="1:28" s="19" customFormat="1" ht="12.75" x14ac:dyDescent="0.2">
      <c r="A46" s="778"/>
      <c r="B46" s="980"/>
      <c r="C46" s="1126"/>
      <c r="D46" s="1127"/>
      <c r="E46" s="980"/>
      <c r="F46" s="1126"/>
      <c r="G46" s="1127"/>
      <c r="H46" s="1128"/>
      <c r="I46" s="779"/>
      <c r="J46" s="1127"/>
      <c r="K46" s="990"/>
      <c r="L46" s="1127"/>
      <c r="M46" s="10"/>
      <c r="N46" s="10"/>
      <c r="O46" s="10"/>
      <c r="P46" s="979"/>
      <c r="Q46" s="10"/>
      <c r="R46" s="979"/>
      <c r="S46" s="978"/>
      <c r="T46" s="978"/>
    </row>
    <row r="47" spans="1:28" s="19" customFormat="1" ht="12.75" x14ac:dyDescent="0.2">
      <c r="A47" s="778"/>
      <c r="B47" s="980"/>
      <c r="C47" s="1126"/>
      <c r="D47" s="1127"/>
      <c r="E47" s="980"/>
      <c r="F47" s="1126"/>
      <c r="G47" s="1127"/>
      <c r="H47" s="1128"/>
      <c r="I47" s="779"/>
      <c r="J47" s="1127"/>
      <c r="K47" s="990"/>
      <c r="L47" s="1127"/>
      <c r="M47" s="10"/>
      <c r="N47" s="10"/>
      <c r="O47" s="10"/>
      <c r="P47" s="979"/>
      <c r="Q47" s="10"/>
      <c r="S47" s="978"/>
      <c r="T47" s="978"/>
    </row>
    <row r="48" spans="1:28" s="19" customFormat="1" ht="12.75" x14ac:dyDescent="0.2">
      <c r="A48" s="778"/>
      <c r="B48" s="980"/>
      <c r="C48" s="1126"/>
      <c r="D48" s="1127"/>
      <c r="E48" s="980"/>
      <c r="F48" s="1126"/>
      <c r="G48" s="1127"/>
      <c r="H48" s="1128"/>
      <c r="I48" s="779"/>
      <c r="J48" s="1127"/>
      <c r="K48" s="990"/>
      <c r="L48" s="1127"/>
      <c r="M48" s="10"/>
      <c r="N48" s="10"/>
      <c r="O48" s="10"/>
      <c r="P48" s="979"/>
      <c r="Q48" s="10"/>
      <c r="R48" s="979"/>
      <c r="S48" s="978"/>
      <c r="T48" s="978"/>
    </row>
    <row r="49" spans="1:30" s="19" customFormat="1" ht="12.75" x14ac:dyDescent="0.2">
      <c r="A49" s="778"/>
      <c r="B49" s="980"/>
      <c r="C49" s="1126"/>
      <c r="D49" s="1127"/>
      <c r="E49" s="980"/>
      <c r="F49" s="1126"/>
      <c r="G49" s="1127"/>
      <c r="H49" s="1128"/>
      <c r="I49" s="779"/>
      <c r="J49" s="1127"/>
      <c r="K49" s="990"/>
      <c r="L49" s="1127"/>
      <c r="M49" s="10"/>
      <c r="N49" s="10"/>
      <c r="O49" s="10"/>
      <c r="P49" s="979"/>
      <c r="Q49" s="10"/>
      <c r="R49" s="979"/>
      <c r="S49" s="978"/>
      <c r="T49" s="978"/>
    </row>
    <row r="50" spans="1:30" s="19" customFormat="1" ht="12.75" x14ac:dyDescent="0.2">
      <c r="A50" s="778"/>
      <c r="B50" s="980"/>
      <c r="C50" s="1126"/>
      <c r="D50" s="1127"/>
      <c r="E50" s="980"/>
      <c r="F50" s="1126"/>
      <c r="G50" s="1127"/>
      <c r="H50" s="1128"/>
      <c r="I50" s="779"/>
      <c r="J50" s="1127"/>
      <c r="K50" s="990"/>
      <c r="L50" s="1127"/>
      <c r="M50" s="10"/>
      <c r="N50" s="10"/>
      <c r="O50" s="10"/>
      <c r="P50" s="979"/>
      <c r="Q50" s="10"/>
      <c r="R50" s="979"/>
      <c r="S50" s="978"/>
      <c r="T50" s="978"/>
    </row>
    <row r="51" spans="1:30" s="19" customFormat="1" ht="12.75" x14ac:dyDescent="0.2">
      <c r="A51" s="778"/>
      <c r="B51" s="980"/>
      <c r="C51" s="1126"/>
      <c r="D51" s="1127"/>
      <c r="E51" s="980"/>
      <c r="F51" s="1126"/>
      <c r="G51" s="1127"/>
      <c r="H51" s="1128"/>
      <c r="I51" s="779"/>
      <c r="J51" s="1127"/>
      <c r="K51" s="990"/>
      <c r="L51" s="1127"/>
      <c r="M51" s="10"/>
      <c r="N51" s="10"/>
      <c r="O51" s="10"/>
      <c r="P51" s="979"/>
      <c r="Q51" s="10"/>
      <c r="R51" s="979"/>
      <c r="S51" s="978"/>
      <c r="T51" s="978"/>
    </row>
    <row r="52" spans="1:30" s="19" customFormat="1" ht="12.75" x14ac:dyDescent="0.2">
      <c r="A52" s="778"/>
      <c r="B52" s="980"/>
      <c r="C52" s="1126"/>
      <c r="D52" s="1127"/>
      <c r="E52" s="980"/>
      <c r="F52" s="1126"/>
      <c r="G52" s="1127"/>
      <c r="H52" s="1128"/>
      <c r="I52" s="779"/>
      <c r="J52" s="1127"/>
      <c r="K52" s="990"/>
      <c r="L52" s="1127"/>
      <c r="M52" s="10"/>
      <c r="N52" s="10"/>
      <c r="O52" s="10"/>
      <c r="P52" s="10"/>
      <c r="Q52" s="10"/>
      <c r="R52" s="10"/>
      <c r="S52" s="978"/>
      <c r="T52" s="978"/>
    </row>
    <row r="53" spans="1:30" s="19" customFormat="1" ht="12.75" x14ac:dyDescent="0.2">
      <c r="A53" s="778"/>
      <c r="B53" s="980"/>
      <c r="C53" s="1126"/>
      <c r="D53" s="1127"/>
      <c r="E53" s="980"/>
      <c r="F53" s="1126"/>
      <c r="G53" s="1127"/>
      <c r="H53" s="1128"/>
      <c r="I53" s="779"/>
      <c r="J53" s="1127"/>
      <c r="K53" s="990"/>
      <c r="L53" s="1127"/>
      <c r="M53" s="10"/>
      <c r="N53" s="10"/>
      <c r="O53" s="10"/>
      <c r="P53" s="10"/>
      <c r="Q53" s="10"/>
      <c r="R53" s="10"/>
      <c r="S53" s="978"/>
      <c r="T53" s="978"/>
    </row>
    <row r="54" spans="1:30" s="19" customFormat="1" ht="12.75" x14ac:dyDescent="0.2">
      <c r="A54" s="781"/>
      <c r="B54" s="982"/>
      <c r="C54" s="782"/>
      <c r="D54" s="1129"/>
      <c r="E54" s="982"/>
      <c r="F54" s="782"/>
      <c r="G54" s="1129"/>
      <c r="H54" s="1130"/>
      <c r="I54" s="782"/>
      <c r="J54" s="1129"/>
      <c r="K54" s="992"/>
      <c r="L54" s="1129"/>
      <c r="M54" s="10"/>
      <c r="N54" s="10"/>
      <c r="O54" s="10"/>
      <c r="P54" s="10"/>
      <c r="Q54" s="10"/>
      <c r="R54" s="10"/>
      <c r="S54" s="978"/>
      <c r="T54" s="978"/>
      <c r="AD54" s="30"/>
    </row>
    <row r="55" spans="1:30" s="19" customFormat="1" ht="12.75" x14ac:dyDescent="0.2">
      <c r="A55" s="1131"/>
      <c r="B55" s="779"/>
      <c r="C55" s="780"/>
      <c r="D55" s="777"/>
      <c r="E55" s="779"/>
      <c r="F55" s="779"/>
      <c r="G55" s="779"/>
      <c r="H55" s="780"/>
      <c r="I55" s="777"/>
      <c r="J55" s="779"/>
      <c r="K55" s="1132"/>
      <c r="L55" s="1132"/>
      <c r="M55" s="779"/>
      <c r="N55" s="1061"/>
      <c r="O55" s="10"/>
      <c r="P55" s="10"/>
      <c r="Q55" s="10"/>
      <c r="R55" s="10"/>
      <c r="S55" s="978"/>
      <c r="T55" s="978"/>
      <c r="AD55" s="30"/>
    </row>
    <row r="56" spans="1:30" ht="18.75" x14ac:dyDescent="0.3">
      <c r="A56" s="1" t="s">
        <v>114</v>
      </c>
      <c r="AB56" s="15"/>
    </row>
    <row r="57" spans="1:30" s="10" customFormat="1" ht="11.25" x14ac:dyDescent="0.2">
      <c r="A57" s="75" t="s">
        <v>58</v>
      </c>
      <c r="B57" s="369">
        <f>MIN(B$61:B$80)</f>
        <v>3.0027159513300776</v>
      </c>
      <c r="C57" s="369">
        <f t="shared" ref="C57:N57" si="11">MIN(C$61:C$80)</f>
        <v>3.8836102196567603</v>
      </c>
      <c r="D57" s="369">
        <f t="shared" si="11"/>
        <v>4.7349557438544423</v>
      </c>
      <c r="E57" s="369">
        <f t="shared" si="11"/>
        <v>5.3331599025575418</v>
      </c>
      <c r="F57" s="369">
        <f t="shared" si="11"/>
        <v>5.6429609694343403</v>
      </c>
      <c r="G57" s="369">
        <f t="shared" si="11"/>
        <v>5.5204864182630269</v>
      </c>
      <c r="H57" s="369">
        <f t="shared" si="11"/>
        <v>5.2512246583118607</v>
      </c>
      <c r="I57" s="369">
        <f t="shared" si="11"/>
        <v>4.9459736943249215</v>
      </c>
      <c r="J57" s="369">
        <f t="shared" si="11"/>
        <v>4.5648068807693427</v>
      </c>
      <c r="K57" s="369">
        <f t="shared" si="11"/>
        <v>3.9164193719699423</v>
      </c>
      <c r="L57" s="369">
        <f t="shared" si="11"/>
        <v>3.0555374679414173</v>
      </c>
      <c r="M57" s="369">
        <f t="shared" si="11"/>
        <v>2.5524399062572138</v>
      </c>
      <c r="N57" s="369">
        <f t="shared" si="11"/>
        <v>4.404437706878416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59</v>
      </c>
      <c r="B58" s="369">
        <f>AVERAGE(B$61:B$80)</f>
        <v>3.2219890489089247</v>
      </c>
      <c r="C58" s="369">
        <f t="shared" ref="C58:N58" si="12">AVERAGE(C$61:C$80)</f>
        <v>4.1544661729292756</v>
      </c>
      <c r="D58" s="369">
        <f t="shared" si="12"/>
        <v>5.0575681829088515</v>
      </c>
      <c r="E58" s="369">
        <f t="shared" si="12"/>
        <v>5.7088365688700993</v>
      </c>
      <c r="F58" s="369">
        <f t="shared" si="12"/>
        <v>6.0555912951238486</v>
      </c>
      <c r="G58" s="369">
        <f t="shared" si="12"/>
        <v>5.9864159429521084</v>
      </c>
      <c r="H58" s="369">
        <f t="shared" si="12"/>
        <v>5.6853860761094861</v>
      </c>
      <c r="I58" s="369">
        <f t="shared" si="12"/>
        <v>5.3361163247437897</v>
      </c>
      <c r="J58" s="369">
        <f t="shared" si="12"/>
        <v>4.9121291415300448</v>
      </c>
      <c r="K58" s="369">
        <f t="shared" si="12"/>
        <v>4.2036044910084325</v>
      </c>
      <c r="L58" s="369">
        <f t="shared" si="12"/>
        <v>3.2722706971148603</v>
      </c>
      <c r="M58" s="369">
        <f t="shared" si="12"/>
        <v>2.7337305635439884</v>
      </c>
      <c r="N58" s="369">
        <f t="shared" si="12"/>
        <v>4.6997868334175372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60</v>
      </c>
      <c r="B59" s="369">
        <f>MAX(B$61:B$80)</f>
        <v>3.4669739204812746</v>
      </c>
      <c r="C59" s="369">
        <f t="shared" ref="C59:N59" si="13">MAX(C$61:C$80)</f>
        <v>4.4613642429034464</v>
      </c>
      <c r="D59" s="369">
        <f t="shared" si="13"/>
        <v>5.4273042980076927</v>
      </c>
      <c r="E59" s="369">
        <f t="shared" si="13"/>
        <v>6.102693092660985</v>
      </c>
      <c r="F59" s="369">
        <f t="shared" si="13"/>
        <v>6.3855563771430424</v>
      </c>
      <c r="G59" s="369">
        <f t="shared" si="13"/>
        <v>6.5052003713810089</v>
      </c>
      <c r="H59" s="369">
        <f t="shared" si="13"/>
        <v>6.175402181910286</v>
      </c>
      <c r="I59" s="369">
        <f t="shared" si="13"/>
        <v>5.7854977042277769</v>
      </c>
      <c r="J59" s="369">
        <f t="shared" si="13"/>
        <v>5.3232828708512647</v>
      </c>
      <c r="K59" s="369">
        <f t="shared" si="13"/>
        <v>4.5550365657122889</v>
      </c>
      <c r="L59" s="369">
        <f t="shared" si="13"/>
        <v>3.544840801026695</v>
      </c>
      <c r="M59" s="369">
        <f t="shared" si="13"/>
        <v>2.9592962148625324</v>
      </c>
      <c r="N59" s="369">
        <f t="shared" si="13"/>
        <v>4.9783652442816928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53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61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A11</f>
        <v>2018</v>
      </c>
      <c r="B61" s="345"/>
      <c r="C61" s="345"/>
      <c r="D61" s="345"/>
      <c r="E61" s="346"/>
      <c r="F61" s="345"/>
      <c r="G61" s="345">
        <f>AVERAGE('2018'!$V$166:$V$195)/Pc</f>
        <v>6.5052003713810089</v>
      </c>
      <c r="H61" s="345">
        <f>AVERAGE('2018'!$V$196:$V$226)/Pc</f>
        <v>6.175402181910286</v>
      </c>
      <c r="I61" s="345">
        <f>AVERAGE('2018'!$V$227:$V$257)/Pc</f>
        <v>5.7854977042277769</v>
      </c>
      <c r="J61" s="347">
        <f>AVERAGE('2018'!$V$258:$V$287)/Pc</f>
        <v>5.3232828708512647</v>
      </c>
      <c r="K61" s="348">
        <f>AVERAGE('2018'!$V$288:$V$318)/Pc</f>
        <v>4.5550365657122889</v>
      </c>
      <c r="L61" s="345">
        <f>AVERAGE('2018'!$V$319:$V$348)/Pc</f>
        <v>3.544840801026695</v>
      </c>
      <c r="M61" s="349">
        <f>AVERAGE('2018'!$V$349:$V$379)/Pc</f>
        <v>2.9592962148625324</v>
      </c>
      <c r="N61" s="353">
        <f t="shared" ref="N61:N66" si="14">AVERAGE(B61:M61)</f>
        <v>4.9783652442816928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 t="shared" ref="A62:A70" si="15">A12</f>
        <v>2019</v>
      </c>
      <c r="B62" s="350">
        <f>AVERAGE('2019'!$V$15:$V$45)/Pc</f>
        <v>3.4669739204812746</v>
      </c>
      <c r="C62" s="350">
        <f>AVERAGE('2019'!$V$46:$V$73)/Pc</f>
        <v>4.4613642429034464</v>
      </c>
      <c r="D62" s="350">
        <f>AVERAGE('2019'!$V$74:$V$104)/Pc</f>
        <v>5.4273042980076927</v>
      </c>
      <c r="E62" s="351">
        <f>AVERAGE('2019'!$V$105:$V$134)/Pc</f>
        <v>6.102693092660985</v>
      </c>
      <c r="F62" s="350">
        <f>AVERAGE('2019'!$V$135:$V$165)/Pc</f>
        <v>6.3050666705295564</v>
      </c>
      <c r="G62" s="350">
        <f>AVERAGE('2019'!$V$166:$V$195)/Pc</f>
        <v>6.183554536679706</v>
      </c>
      <c r="H62" s="350">
        <f>AVERAGE('2019'!$V$196:$V$226)/Pc</f>
        <v>5.8750741236261481</v>
      </c>
      <c r="I62" s="350">
        <f>AVERAGE('2019'!$V$227:$V$257)/Pc</f>
        <v>5.5057766404404944</v>
      </c>
      <c r="J62" s="348">
        <f>AVERAGE('2019'!$V$258:$V$287)/Pc</f>
        <v>5.059798897614602</v>
      </c>
      <c r="K62" s="348">
        <f>AVERAGE('2019'!$V$288:$V$318)/Pc</f>
        <v>4.3275116034599508</v>
      </c>
      <c r="L62" s="350">
        <f>AVERAGE('2019'!$V$319:$V$348)/Pc</f>
        <v>3.3697447331592989</v>
      </c>
      <c r="M62" s="352">
        <f>AVERAGE('2019'!$V$349:$V$379)/Pc</f>
        <v>2.8151377067161403</v>
      </c>
      <c r="N62" s="354">
        <f t="shared" si="14"/>
        <v>4.9083333721899418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 t="shared" si="15"/>
        <v>2020</v>
      </c>
      <c r="B63" s="350">
        <f>AVERAGE('2020'!$V$15:$V$45)/Pc</f>
        <v>3.3021351490003554</v>
      </c>
      <c r="C63" s="350">
        <f>AVERAGE('2020'!$V$46:$V$74)/Pc</f>
        <v>4.2726377084665321</v>
      </c>
      <c r="D63" s="350">
        <f>AVERAGE('2020'!$V$75:$V$105)/Pc</f>
        <v>5.2137018113765699</v>
      </c>
      <c r="E63" s="351">
        <f>AVERAGE('2020'!$V$106:$V$135)/Pc</f>
        <v>5.8515588440549307</v>
      </c>
      <c r="F63" s="350">
        <f>AVERAGE('2020'!$V$136:$V$166)/Pc</f>
        <v>6.0352467971833441</v>
      </c>
      <c r="G63" s="350">
        <f>AVERAGE('2020'!$V$167:$V$196)/Pc</f>
        <v>5.9117819247421473</v>
      </c>
      <c r="H63" s="350">
        <f>AVERAGE('2020'!$V$197:$V$227)/Pc</f>
        <v>5.6215512805585046</v>
      </c>
      <c r="I63" s="350">
        <f>AVERAGE('2020'!$V$228:$V$258)/Pc</f>
        <v>5.285973425124741</v>
      </c>
      <c r="J63" s="348">
        <f>AVERAGE('2020'!$V$259:$V$288)/Pc</f>
        <v>4.8710446713105364</v>
      </c>
      <c r="K63" s="348">
        <f>AVERAGE('2020'!$V$289:$V$319)/Pc</f>
        <v>4.1671129507600959</v>
      </c>
      <c r="L63" s="350">
        <f>AVERAGE('2020'!$V$320:$V$349)/Pc</f>
        <v>3.2466798546615028</v>
      </c>
      <c r="M63" s="352">
        <f>AVERAGE('2020'!$V$350:$V$380)/Pc</f>
        <v>2.7404425363137097</v>
      </c>
      <c r="N63" s="355">
        <f t="shared" si="14"/>
        <v>4.7099889127960797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 t="shared" si="15"/>
        <v>2021</v>
      </c>
      <c r="B64" s="350">
        <f>AVERAGE('2021'!$V$15:$V$45)/Pc</f>
        <v>3.2198358261126452</v>
      </c>
      <c r="C64" s="350">
        <f>AVERAGE('2021'!$V$46:$V$73)/Pc</f>
        <v>4.1532469447777576</v>
      </c>
      <c r="D64" s="350">
        <f>AVERAGE('2021'!$V$74:$V$104)/Pc</f>
        <v>5.0627356661652749</v>
      </c>
      <c r="E64" s="351">
        <f>AVERAGE('2021'!$V$105:$V$134)/Pc</f>
        <v>5.8818525064761209</v>
      </c>
      <c r="F64" s="350">
        <f>AVERAGE('2021'!$V$135:$V$165)/Pc</f>
        <v>6.3855563771430424</v>
      </c>
      <c r="G64" s="350">
        <f>AVERAGE('2021'!$V$166:$V$195)/Pc</f>
        <v>6.2572641534691407</v>
      </c>
      <c r="H64" s="350">
        <f>AVERAGE('2021'!$V$196:$V$226)/Pc</f>
        <v>5.9477936661758415</v>
      </c>
      <c r="I64" s="350">
        <f>AVERAGE('2021'!$V$227:$V$257)/Pc</f>
        <v>5.5887895409541972</v>
      </c>
      <c r="J64" s="348">
        <f>AVERAGE('2021'!$V$258:$V$287)/Pc</f>
        <v>5.1490982792192588</v>
      </c>
      <c r="K64" s="348">
        <f>AVERAGE('2021'!$V$288:$V$318)/Pc</f>
        <v>4.4078379358008233</v>
      </c>
      <c r="L64" s="350">
        <f>AVERAGE('2021'!$V$319:$V$348)/Pc</f>
        <v>3.4326787393322236</v>
      </c>
      <c r="M64" s="352">
        <f>AVERAGE('2021'!$V$349:$V$379)/Pc</f>
        <v>2.8638737456685668</v>
      </c>
      <c r="N64" s="354">
        <f t="shared" si="14"/>
        <v>4.8625469484412411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7">
        <f t="shared" si="15"/>
        <v>2022</v>
      </c>
      <c r="B65" s="548">
        <f>AVERAGE('2022'!$V$15:$V$45)/Pc</f>
        <v>3.3536501048691765</v>
      </c>
      <c r="C65" s="548">
        <f>AVERAGE('2022'!$V$46:$V$73)/Pc</f>
        <v>4.3032274836150819</v>
      </c>
      <c r="D65" s="548">
        <f>AVERAGE('2022'!$V$74:$V$104)/Pc</f>
        <v>5.2171978405135224</v>
      </c>
      <c r="E65" s="550">
        <f>AVERAGE('2022'!$V$105:$V$134)/Pc</f>
        <v>5.8451404631096144</v>
      </c>
      <c r="F65" s="548">
        <f>AVERAGE('2022'!$V$135:$V$165)/Pc</f>
        <v>6.0074776656820896</v>
      </c>
      <c r="G65" s="548">
        <f>AVERAGE('2022'!$V$166:$V$195)/Pc</f>
        <v>5.8567791242894858</v>
      </c>
      <c r="H65" s="548">
        <f>AVERAGE('2022'!$V$196:$V$226)/Pc</f>
        <v>5.5454693048938255</v>
      </c>
      <c r="I65" s="548">
        <f>AVERAGE('2022'!$V$227:$V$257)/Pc</f>
        <v>5.194841312403172</v>
      </c>
      <c r="J65" s="548">
        <f>AVERAGE('2022'!$V$258:$V$287)/Pc</f>
        <v>4.7710065840666784</v>
      </c>
      <c r="K65" s="548">
        <f>AVERAGE('2022'!$V$288:$V$318)/Pc</f>
        <v>4.0734623215467449</v>
      </c>
      <c r="L65" s="548">
        <f>AVERAGE('2022'!$V$319:$V$348)/Pc</f>
        <v>3.1643982376407762</v>
      </c>
      <c r="M65" s="549">
        <f>AVERAGE('2022'!$V$349:$V$379)/Pc</f>
        <v>2.6325249932989419</v>
      </c>
      <c r="N65" s="555">
        <f t="shared" si="14"/>
        <v>4.6637646196607587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7">
        <f t="shared" si="15"/>
        <v>2023</v>
      </c>
      <c r="B66" s="548">
        <f>AVERAGE('2023'!$V$15:$V$45)/Pc</f>
        <v>3.0879538752723068</v>
      </c>
      <c r="C66" s="548">
        <f>AVERAGE('2023'!$V$46:$V$73)/Pc</f>
        <v>3.9871964712540322</v>
      </c>
      <c r="D66" s="548">
        <f>AVERAGE('2023'!$V$74:$V$104)/Pc</f>
        <v>4.8585286552246876</v>
      </c>
      <c r="E66" s="550">
        <f>AVERAGE('2023'!$V$105:$V$134)/Pc</f>
        <v>5.4697241135178993</v>
      </c>
      <c r="F66" s="548">
        <f>AVERAGE('2023'!$V$135:$V$165)/Pc</f>
        <v>5.6429609694343403</v>
      </c>
      <c r="G66" s="548">
        <f>AVERAGE('2023'!$V$166:$V$195)/Pc</f>
        <v>5.5204864182630269</v>
      </c>
      <c r="H66" s="548">
        <f>AVERAGE('2023'!$V$196:$V$226)/Pc</f>
        <v>5.2512246583118607</v>
      </c>
      <c r="I66" s="548">
        <f>AVERAGE('2023'!$V$227:$V$257)/Pc</f>
        <v>4.9459736943249215</v>
      </c>
      <c r="J66" s="548">
        <f>AVERAGE('2023'!$V$258:$V$287)/Pc</f>
        <v>4.5648068807693427</v>
      </c>
      <c r="K66" s="548">
        <f>AVERAGE('2023'!$V$288:$V$318)/Pc</f>
        <v>3.9164193719699423</v>
      </c>
      <c r="L66" s="548">
        <f>AVERAGE('2023'!$V$319:$V$348)/Pc</f>
        <v>3.0555374679414173</v>
      </c>
      <c r="M66" s="549">
        <f>AVERAGE('2023'!$V$349:$V$379)/Pc</f>
        <v>2.5524399062572138</v>
      </c>
      <c r="N66" s="555">
        <f t="shared" si="14"/>
        <v>4.404437706878416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7">
        <f t="shared" si="15"/>
        <v>2024</v>
      </c>
      <c r="B67" s="548">
        <f>AVERAGE('2024'!$V$15:$V$45)/Pc</f>
        <v>3.0027159513300776</v>
      </c>
      <c r="C67" s="548">
        <f>AVERAGE('2024'!$V$46:$V$73)/Pc</f>
        <v>3.8836102196567603</v>
      </c>
      <c r="D67" s="548">
        <f>AVERAGE('2024'!$V$74:$V$104)/Pc</f>
        <v>4.7349557438544423</v>
      </c>
      <c r="E67" s="550">
        <f>AVERAGE('2024'!$V$105:$V$134)/Pc</f>
        <v>5.3331599025575418</v>
      </c>
      <c r="F67" s="548">
        <f>AVERAGE('2024'!$V$135:$V$165)/Pc</f>
        <v>6.2279764828258193</v>
      </c>
      <c r="G67" s="548">
        <f>AVERAGE('2024'!$V$166:$V$195)/Pc</f>
        <v>6.0872022253747877</v>
      </c>
      <c r="H67" s="548">
        <f>AVERAGE('2024'!$V$196:$V$226)/Pc</f>
        <v>5.7808151275614916</v>
      </c>
      <c r="I67" s="548">
        <f>AVERAGE('2024'!$V$227:$V$257)/Pc</f>
        <v>5.4320475920946514</v>
      </c>
      <c r="J67" s="548">
        <f>AVERAGE('2024'!$V$258:$V$287)/Pc</f>
        <v>4.9978366814164286</v>
      </c>
      <c r="K67" s="548">
        <f>AVERAGE('2024'!$V$288:$V$318)/Pc</f>
        <v>4.2714034278299939</v>
      </c>
      <c r="L67" s="548">
        <f>AVERAGE('2024'!$V$319:$V$348)/Pc</f>
        <v>3.3125662019638487</v>
      </c>
      <c r="M67" s="549">
        <f>AVERAGE('2024'!$V$349:$V$379)/Pc</f>
        <v>2.7577570362526385</v>
      </c>
      <c r="N67" s="555">
        <f>AVERAGE(B67:M67)</f>
        <v>4.6518372160598744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7">
        <f t="shared" si="15"/>
        <v>2025</v>
      </c>
      <c r="B68" s="548">
        <f>AVERAGE('2025'!$V$15:$V$45)/Pc</f>
        <v>3.2359738239986942</v>
      </c>
      <c r="C68" s="548">
        <f>AVERAGE('2025'!$V$46:$V$73)/Pc</f>
        <v>4.183432010988537</v>
      </c>
      <c r="D68" s="548">
        <f>AVERAGE('2025'!$V$74:$V$104)/Pc</f>
        <v>5.0927643462038166</v>
      </c>
      <c r="E68" s="550">
        <f>AVERAGE('2025'!$V$105:$V$134)/Pc</f>
        <v>5.7354757238665615</v>
      </c>
      <c r="F68" s="548">
        <f>AVERAGE('2025'!$V$135:$V$165)/Pc</f>
        <v>5.925965357900342</v>
      </c>
      <c r="G68" s="548">
        <f>AVERAGE('2025'!$V$166:$V$195)/Pc</f>
        <v>5.813283488660927</v>
      </c>
      <c r="H68" s="548">
        <f>AVERAGE('2025'!$V$196:$V$226)/Pc</f>
        <v>5.520051481443419</v>
      </c>
      <c r="I68" s="548">
        <f>AVERAGE('2025'!$V$227:$V$257)/Pc</f>
        <v>5.1752407566711343</v>
      </c>
      <c r="J68" s="548">
        <f>AVERAGE('2025'!$V$258:$V$287)/Pc</f>
        <v>4.766190153697627</v>
      </c>
      <c r="K68" s="548">
        <f>AVERAGE('2025'!$V$288:$V$318)/Pc</f>
        <v>4.0838920679549036</v>
      </c>
      <c r="L68" s="548">
        <f>AVERAGE('2025'!$V$319:$V$348)/Pc</f>
        <v>3.183751524906508</v>
      </c>
      <c r="M68" s="549">
        <f>AVERAGE('2025'!$V$349:$V$379)/Pc</f>
        <v>2.6613274645161282</v>
      </c>
      <c r="N68" s="555">
        <f>AVERAGE(B68:M68)</f>
        <v>4.6147790167340501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7">
        <f t="shared" si="15"/>
        <v>2026</v>
      </c>
      <c r="B69" s="548">
        <f>AVERAGE('2026'!$V$15:$V$45)/Pc</f>
        <v>3.1203325101284012</v>
      </c>
      <c r="C69" s="548">
        <f>AVERAGE('2026'!$V$46:$V$73)/Pc</f>
        <v>4.0177580295315876</v>
      </c>
      <c r="D69" s="548">
        <f>AVERAGE('2026'!$V$74:$V$104)/Pc</f>
        <v>4.8904152176279441</v>
      </c>
      <c r="E69" s="550">
        <f>AVERAGE('2026'!$V$105:$V$134)/Pc</f>
        <v>5.5163336544325414</v>
      </c>
      <c r="F69" s="548">
        <f>AVERAGE('2026'!$V$135:$V$165)/Pc</f>
        <v>6.1446530323197113</v>
      </c>
      <c r="G69" s="548">
        <f>AVERAGE('2026'!$V$166:$V$195)/Pc</f>
        <v>6.0220721398784516</v>
      </c>
      <c r="H69" s="548">
        <f>AVERAGE('2026'!$V$196:$V$226)/Pc</f>
        <v>5.7155824959361992</v>
      </c>
      <c r="I69" s="548">
        <f>AVERAGE('2026'!$V$227:$V$257)/Pc</f>
        <v>5.3571982051990403</v>
      </c>
      <c r="J69" s="548">
        <f>AVERAGE('2026'!$V$258:$V$287)/Pc</f>
        <v>4.9290428731222757</v>
      </c>
      <c r="K69" s="548">
        <f>AVERAGE('2026'!$V$288:$V$318)/Pc</f>
        <v>4.2166433716438654</v>
      </c>
      <c r="L69" s="548">
        <f>AVERAGE('2026'!$V$319:$V$348)/Pc</f>
        <v>3.2814443348599593</v>
      </c>
      <c r="M69" s="549">
        <f>AVERAGE('2026'!$V$349:$V$379)/Pc</f>
        <v>2.7390576289037658</v>
      </c>
      <c r="N69" s="555">
        <f>AVERAGE(B69:M69)</f>
        <v>4.6625444577986448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7">
        <f t="shared" si="15"/>
        <v>2027</v>
      </c>
      <c r="B70" s="548">
        <f>AVERAGE('2027'!$V$15:$V$45)/Pc</f>
        <v>3.2083302789873911</v>
      </c>
      <c r="C70" s="548">
        <f>AVERAGE('2027'!$V$46:$V$73)/Pc</f>
        <v>4.1277224451697467</v>
      </c>
      <c r="D70" s="548">
        <f>AVERAGE('2027'!$V$74:$V$104)/Pc</f>
        <v>5.0205100672057137</v>
      </c>
      <c r="E70" s="550">
        <f>AVERAGE('2027'!$V$105:$V$134)/Pc</f>
        <v>5.6435908191546895</v>
      </c>
      <c r="F70" s="548">
        <f>AVERAGE('2027'!$V$135:$V$165)/Pc</f>
        <v>5.825418303096396</v>
      </c>
      <c r="G70" s="548">
        <f>AVERAGE('2027'!$V$166:$V$195)/Pc</f>
        <v>5.7065350467823901</v>
      </c>
      <c r="H70" s="548">
        <f>AVERAGE('2027'!$V$196:$V$226)/Pc</f>
        <v>5.4208964406772928</v>
      </c>
      <c r="I70" s="548">
        <f>AVERAGE('2027'!$V$227:$V$257)/Pc</f>
        <v>5.0898243759977735</v>
      </c>
      <c r="J70" s="548">
        <f>AVERAGE('2027'!$V$258:$V$287)/Pc</f>
        <v>4.6891835232324306</v>
      </c>
      <c r="K70" s="548">
        <f>AVERAGE('2027'!$V$288:$V$318)/Pc</f>
        <v>4.0167252934057034</v>
      </c>
      <c r="L70" s="548">
        <f>AVERAGE('2027'!$V$319:$V$348)/Pc</f>
        <v>3.1310650756563758</v>
      </c>
      <c r="M70" s="549">
        <f>AVERAGE('2027'!$V$349:$V$379)/Pc</f>
        <v>2.6154484026502463</v>
      </c>
      <c r="N70" s="555">
        <f>AVERAGE(B70:M70)</f>
        <v>4.5412708393346781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7"/>
      <c r="B71" s="548"/>
      <c r="C71" s="548"/>
      <c r="D71" s="548"/>
      <c r="E71" s="550"/>
      <c r="F71" s="548"/>
      <c r="G71" s="548"/>
      <c r="H71" s="548"/>
      <c r="I71" s="548"/>
      <c r="J71" s="548"/>
      <c r="K71" s="548"/>
      <c r="L71" s="548"/>
      <c r="M71" s="549"/>
      <c r="N71" s="555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7"/>
      <c r="B72" s="548"/>
      <c r="C72" s="548"/>
      <c r="D72" s="548"/>
      <c r="E72" s="550"/>
      <c r="F72" s="548"/>
      <c r="G72" s="548"/>
      <c r="H72" s="548"/>
      <c r="I72" s="548"/>
      <c r="J72" s="548"/>
      <c r="K72" s="548"/>
      <c r="L72" s="548"/>
      <c r="M72" s="549"/>
      <c r="N72" s="555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7"/>
      <c r="B73" s="548"/>
      <c r="C73" s="548"/>
      <c r="D73" s="548"/>
      <c r="E73" s="550"/>
      <c r="F73" s="548"/>
      <c r="G73" s="548"/>
      <c r="H73" s="548"/>
      <c r="I73" s="548"/>
      <c r="J73" s="548"/>
      <c r="K73" s="548"/>
      <c r="L73" s="548"/>
      <c r="M73" s="549"/>
      <c r="N73" s="555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7"/>
      <c r="B74" s="548"/>
      <c r="C74" s="548"/>
      <c r="D74" s="548"/>
      <c r="E74" s="550"/>
      <c r="F74" s="548"/>
      <c r="G74" s="548"/>
      <c r="H74" s="548"/>
      <c r="I74" s="548"/>
      <c r="J74" s="548"/>
      <c r="K74" s="548"/>
      <c r="L74" s="548"/>
      <c r="M74" s="549"/>
      <c r="N74" s="555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7"/>
      <c r="B75" s="548"/>
      <c r="C75" s="548"/>
      <c r="D75" s="548"/>
      <c r="E75" s="550"/>
      <c r="F75" s="548"/>
      <c r="G75" s="548"/>
      <c r="H75" s="548"/>
      <c r="I75" s="548"/>
      <c r="J75" s="548"/>
      <c r="K75" s="548"/>
      <c r="L75" s="548"/>
      <c r="M75" s="549"/>
      <c r="N75" s="555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7"/>
      <c r="B76" s="548"/>
      <c r="C76" s="548"/>
      <c r="D76" s="548"/>
      <c r="E76" s="550"/>
      <c r="F76" s="548"/>
      <c r="G76" s="548"/>
      <c r="H76" s="548"/>
      <c r="I76" s="548"/>
      <c r="J76" s="548"/>
      <c r="K76" s="548"/>
      <c r="L76" s="548"/>
      <c r="M76" s="549"/>
      <c r="N76" s="555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7"/>
      <c r="B77" s="548"/>
      <c r="C77" s="548"/>
      <c r="D77" s="548"/>
      <c r="E77" s="550"/>
      <c r="F77" s="548"/>
      <c r="G77" s="548"/>
      <c r="H77" s="548"/>
      <c r="I77" s="548"/>
      <c r="J77" s="548"/>
      <c r="K77" s="548"/>
      <c r="L77" s="548"/>
      <c r="M77" s="549"/>
      <c r="N77" s="555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7"/>
      <c r="B78" s="548"/>
      <c r="C78" s="548"/>
      <c r="D78" s="548"/>
      <c r="E78" s="550"/>
      <c r="F78" s="548"/>
      <c r="G78" s="548"/>
      <c r="H78" s="548"/>
      <c r="I78" s="548"/>
      <c r="J78" s="548"/>
      <c r="K78" s="548"/>
      <c r="L78" s="548"/>
      <c r="M78" s="549"/>
      <c r="N78" s="555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7"/>
      <c r="B79" s="548"/>
      <c r="C79" s="548"/>
      <c r="D79" s="548"/>
      <c r="E79" s="550"/>
      <c r="F79" s="548"/>
      <c r="G79" s="548"/>
      <c r="H79" s="548"/>
      <c r="I79" s="548"/>
      <c r="J79" s="548"/>
      <c r="K79" s="548"/>
      <c r="L79" s="548"/>
      <c r="M79" s="549"/>
      <c r="N79" s="555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1"/>
      <c r="B80" s="552"/>
      <c r="C80" s="552"/>
      <c r="D80" s="552"/>
      <c r="E80" s="553"/>
      <c r="F80" s="552"/>
      <c r="G80" s="552"/>
      <c r="H80" s="552"/>
      <c r="I80" s="552"/>
      <c r="J80" s="552"/>
      <c r="K80" s="552"/>
      <c r="L80" s="552"/>
      <c r="M80" s="554"/>
      <c r="N80" s="556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3" priority="5" stopIfTrue="1">
      <formula>K12&lt;&gt;""</formula>
    </cfRule>
  </conditionalFormatting>
  <conditionalFormatting sqref="N12:N30">
    <cfRule type="expression" dxfId="42" priority="4" stopIfTrue="1">
      <formula>$L12&lt;&gt;""</formula>
    </cfRule>
  </conditionalFormatting>
  <conditionalFormatting sqref="M55">
    <cfRule type="expression" dxfId="41" priority="3" stopIfTrue="1">
      <formula>K55&lt;&gt;""</formula>
    </cfRule>
  </conditionalFormatting>
  <conditionalFormatting sqref="N55">
    <cfRule type="expression" dxfId="40" priority="2" stopIfTrue="1">
      <formula>$L55&lt;&gt;""</formula>
    </cfRule>
  </conditionalFormatting>
  <conditionalFormatting sqref="L36:L54">
    <cfRule type="expression" dxfId="39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'2022'!An+1</f>
        <v>2023</v>
      </c>
      <c r="K1" s="1217"/>
      <c r="L1" s="113" t="str">
        <f>"Calcul pertes et enveloppes en "&amp;TEXT(An,0)</f>
        <v>Calcul pertes et enveloppes en 2023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2023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433.16610324509861</v>
      </c>
      <c r="AK4" s="948">
        <f>AM12-AK12</f>
        <v>-1.0500544488684156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433.16610324509861</v>
      </c>
      <c r="AA5" s="237">
        <f>Wh_Pvg_s-Wh_Pvg</f>
        <v>-1.0500544488684156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10106.745920123672</v>
      </c>
      <c r="AK6" s="517">
        <f>SUMIF(AK15:AK380,"FAUX",Wh)</f>
        <v>10106.745920123672</v>
      </c>
      <c r="AL6" s="517">
        <f>SUMIF(AJ15:AJ380,"FAUX",Wh_s)</f>
        <v>9673.5179696785017</v>
      </c>
      <c r="AM6" s="517">
        <f>SUMIF(AK15:AK380,"FAUX",Wh_s)</f>
        <v>9673.5179696785017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AND(YEAR(Tnet)=An,Resal_2023="I")</f>
        <v>1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AND(YEAR(Tnet)=An,Resal_2023&lt;&gt;"I")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10527.223013892215</v>
      </c>
      <c r="AK8" s="517">
        <f>SUMIF(AK15:AK380,"FAUX",Wh_sa)</f>
        <v>11874.251015996671</v>
      </c>
      <c r="AL8" s="517">
        <f>SUMIF(AJ15:AJ380,"FAUX",Wh_pvt_s)</f>
        <v>10076.025882216318</v>
      </c>
      <c r="AM8" s="517">
        <f>SUMIF(AK15:AK380,"FAUX",Wh_sa_s)</f>
        <v>11874.251015996671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10527.223013892215</v>
      </c>
      <c r="E9" s="184">
        <f>SUM(E$15:E$380)</f>
        <v>11874.251015996671</v>
      </c>
      <c r="F9" s="184">
        <f>SUM(F$15:F$380)</f>
        <v>11903.031730845552</v>
      </c>
      <c r="H9" s="1218">
        <f>+SUM(Wh)</f>
        <v>10106.745920123672</v>
      </c>
      <c r="I9" s="1219"/>
      <c r="J9" s="1220"/>
      <c r="K9" s="191"/>
      <c r="L9" s="232"/>
      <c r="M9" s="232"/>
      <c r="N9" s="232"/>
      <c r="O9" s="223">
        <f>Tnet_2023</f>
        <v>44927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9673.5179696785017</v>
      </c>
      <c r="Y9" s="1213"/>
      <c r="Z9" s="517">
        <f>SUM(Z$15:Z$380)</f>
        <v>10076.025882216318</v>
      </c>
      <c r="AA9" s="517">
        <f>SUM(AA$15:AA$380)</f>
        <v>11874.251015996671</v>
      </c>
      <c r="AB9" s="517">
        <f>F9</f>
        <v>11903.031730845552</v>
      </c>
      <c r="AC9" s="325">
        <f>IF(An_Tnet,Tnet,'2022'!Tnet_s)</f>
        <v>44927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0.10183367119466694</v>
      </c>
      <c r="P10" s="422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0.14523325224645545</v>
      </c>
      <c r="AD10" s="429"/>
      <c r="AE10" s="429"/>
      <c r="AF10" s="260"/>
      <c r="AG10" s="261"/>
      <c r="AH10" s="262"/>
      <c r="AI10" s="474"/>
      <c r="AJ10" s="517">
        <f>SUMIF(AJ15:AJ380,"FAUX",Wh_sa)</f>
        <v>11874.251015996671</v>
      </c>
      <c r="AK10" s="517">
        <f>SUMIF(AK15:AK380,"FAUX",Wh_hp)</f>
        <v>11903.031730845552</v>
      </c>
      <c r="AL10" s="517">
        <f>SUMIF(AJ15:AJ380,"FAUX",Wh_sa_s)</f>
        <v>11874.251015996671</v>
      </c>
      <c r="AM10" s="517">
        <f>SUMIF(AK15:AK380,"FAUX",Wh_hp)</f>
        <v>11903.031730845552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420.47709376854255</v>
      </c>
      <c r="E11" s="51">
        <f>(E$9-D$9)*Prod_an/D$9</f>
        <v>1293.225169315383</v>
      </c>
      <c r="F11" s="186">
        <f>(F$9-E$9)*Prod_an/E$9</f>
        <v>24.496650103261722</v>
      </c>
      <c r="G11" s="185" t="s">
        <v>6</v>
      </c>
      <c r="K11" s="194"/>
      <c r="L11" s="211">
        <f>Tvie_2023</f>
        <v>43243</v>
      </c>
      <c r="M11" s="958"/>
      <c r="N11" s="958"/>
      <c r="O11" s="202">
        <f>IF(An_Tnet,Salim_2023,'2022'!Salim)</f>
        <v>0.16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1.0000374682980913</v>
      </c>
      <c r="V11" s="429"/>
      <c r="W11" s="520"/>
      <c r="X11" s="527" t="s">
        <v>44</v>
      </c>
      <c r="Y11" s="50">
        <f>Z$9-Prod_an_s</f>
        <v>402.50791253781608</v>
      </c>
      <c r="Z11" s="51">
        <f>(AA$9-Z$9)*Prod_an_s/Z$9</f>
        <v>1726.3912725604816</v>
      </c>
      <c r="AA11" s="186">
        <f>(AB$9-AA$9)*Prod_an_s/AA$9</f>
        <v>23.446595654393306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4.6255184038828778E-2</v>
      </c>
      <c r="K12" s="191"/>
      <c r="L12" s="212">
        <f>Pspv_2023</f>
        <v>0</v>
      </c>
      <c r="M12" s="212"/>
      <c r="N12" s="212"/>
      <c r="O12" s="205">
        <f>IF(An_Tnet,Tau_2023*365,'2022'!Tau_j)</f>
        <v>1095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0.50003746829809126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0.50003746829809126</v>
      </c>
      <c r="AJ12" s="947">
        <f>IF($AJ8=0,0,($AJ10-$AJ8)*$AJ6/$AJ8)</f>
        <v>1293.225169315383</v>
      </c>
      <c r="AK12" s="948">
        <f>IF($AK8=0,0,($AK10-$AK8)*$AK6/$AK8)</f>
        <v>24.496650103261722</v>
      </c>
      <c r="AL12" s="947">
        <f>IF($AL8=0,0,($AL10-$AL8)*$AL6/$AL8)</f>
        <v>1726.3912725604816</v>
      </c>
      <c r="AM12" s="948">
        <f>IF($AM8=0,0,($AM10-$AM8)*$AM6/$AM8)</f>
        <v>23.446595654393306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1293.225169315383</v>
      </c>
      <c r="AK13" s="73">
        <f>+AK11+AK12</f>
        <v>24.496650103261722</v>
      </c>
      <c r="AL13" s="73">
        <f>+AL11+AL12</f>
        <v>1726.3912725604816</v>
      </c>
      <c r="AM13" s="73">
        <f>+AM11+AM12</f>
        <v>23.446595654393306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2023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2023</v>
      </c>
      <c r="W14" s="952" t="s">
        <v>119</v>
      </c>
      <c r="X14" s="258" t="s">
        <v>2</v>
      </c>
      <c r="Y14" s="107" t="str">
        <f>"Wh / Jour "&amp; TEXT(An,0)</f>
        <v>Wh / Jour 2023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24.188876378804846</v>
      </c>
      <c r="C15" s="955"/>
      <c r="D15" s="393">
        <f t="shared" ref="D15:D78" si="0">Wh/(1-Ppv)</f>
        <v>25.097724873145953</v>
      </c>
      <c r="E15" s="400">
        <f t="shared" ref="E15:E79" si="1">Wh_pvt/(1-Psa)</f>
        <v>27.945106219979834</v>
      </c>
      <c r="F15" s="400">
        <f t="shared" ref="F15:F78" si="2">Wh_sa/(1-Pvg*MEDIAN((-Sdif+Wh/Env_an)/Csdif,0,1))</f>
        <v>28.076711191456244</v>
      </c>
      <c r="G15" s="123">
        <f>+Wh_hp/MaxiM</f>
        <v>0.98224213347306444</v>
      </c>
      <c r="H15" s="414" t="b">
        <f>Wh_hp&gt;='2022'!Maxi_hp</f>
        <v>0</v>
      </c>
      <c r="I15" s="396">
        <f>IF(H15,Wh_hp,'2022'!Maxi_hp)</f>
        <v>28.078120973122783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3.6212385741528186E-2</v>
      </c>
      <c r="M15" s="959"/>
      <c r="N15" s="959"/>
      <c r="O15" s="48">
        <f>IF(t&lt;Tnet,'2022'!Resal+('2022'!Salim-'2022'!Resal)*(1-EXP(('2022'!Tnet-t)/('2022'!Tau_j))),Resal+(Salim-Resal)*(1-EXP((Tnet-t)/(Tau_j))))*Salcycl</f>
        <v>0.10189194932449747</v>
      </c>
      <c r="P15" s="302">
        <f>(INDEX(Models!$BJ15:$BT15,,T15)*(1-R15)+INDEX(Models!$BJ15:$BT15,,T15+1)*R15-ERP_i)*Q15*Ramure*Pc/MaxiM</f>
        <v>4.8084980686924584E-3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0.50003866379632067</v>
      </c>
      <c r="S15" s="92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0.50003866379632067</v>
      </c>
      <c r="V15" s="382">
        <f t="shared" ref="V15:V78" si="9">MaxiM*(1-Ppv)*(1-Pvg)*(1-Psa)</f>
        <v>24.623187065029022</v>
      </c>
      <c r="W15" s="402">
        <f t="shared" ref="W15:W78" si="10">Wh*(A15&gt;Tmaj)</f>
        <v>24.188876378804846</v>
      </c>
      <c r="X15" s="156">
        <f t="shared" ref="X15:X78" si="11">t</f>
        <v>44927</v>
      </c>
      <c r="Y15" s="385">
        <f t="shared" ref="Y15:Y78" si="12">Wh_pvt_s*(1-Ppv)</f>
        <v>23.019320132065765</v>
      </c>
      <c r="Z15" s="385">
        <f>Wh_sa_s*(1-Psa_s)</f>
        <v>23.884224897179852</v>
      </c>
      <c r="AA15" s="386">
        <f t="shared" ref="AA15:AA78" si="13">Wh_hp*(1-Pvg_s*MEDIAN((-Sdif+Wh/Env_an)/Csdif,0,1))</f>
        <v>27.945106219979834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0.14531636741092741</v>
      </c>
      <c r="AD15" s="231">
        <f>(INDEX(Models!$BJ15:$BT15,,AH15)*(1-AF15)+INDEX(Models!$BJ15:$BT15,,AH15+1)*AF15-ERP_i)*AE15*Ramure*Pc/MaxiM</f>
        <v>4.8084980686924584E-3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0.50003866379632067</v>
      </c>
      <c r="AG15" s="92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0.50003866379632067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16.904734393657517</v>
      </c>
      <c r="C16" s="955"/>
      <c r="D16" s="393">
        <f t="shared" si="0"/>
        <v>17.540280045870858</v>
      </c>
      <c r="E16" s="385">
        <f t="shared" si="1"/>
        <v>19.531322588827155</v>
      </c>
      <c r="F16" s="385">
        <f t="shared" si="2"/>
        <v>19.582542212514994</v>
      </c>
      <c r="G16" s="110">
        <f t="shared" ref="G16:G79" si="21">+Wh_hp/MaxiM</f>
        <v>0.68002448006229632</v>
      </c>
      <c r="H16" s="414" t="b">
        <f>Wh_hp&gt;='2022'!Maxi_hp</f>
        <v>0</v>
      </c>
      <c r="I16" s="390">
        <f>IF(H16,Wh_hp,'2022'!Maxi_hp)</f>
        <v>25.967841110496515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3.6233495163776164E-2</v>
      </c>
      <c r="M16" s="959"/>
      <c r="N16" s="959"/>
      <c r="O16" s="48">
        <f>IF(t&lt;Tnet,'2022'!Resal+('2022'!Salim-'2022'!Resal)*(1-EXP(('2022'!Tnet-t)/('2022'!Tau_j))),Resal+(Salim-Resal)*(1-EXP((Tnet-t)/(Tau_j))))*Salcycl</f>
        <v>0.10194099933075028</v>
      </c>
      <c r="P16" s="169">
        <f>(INDEX(Models!$BJ16:$BT16,,T16)*(1-R16)+INDEX(Models!$BJ16:$BT16,,T16+1)*R16-ERP_i)*Q16*Ramure*Pc/MaxiM</f>
        <v>4.7990149636541338E-3</v>
      </c>
      <c r="Q16" s="305">
        <f t="shared" si="4"/>
        <v>0.7</v>
      </c>
      <c r="R16" s="177">
        <f t="shared" si="5"/>
        <v>0.50006787841031486</v>
      </c>
      <c r="S16" s="921">
        <f t="shared" si="6"/>
        <v>0</v>
      </c>
      <c r="T16" s="176">
        <f t="shared" si="7"/>
        <v>6</v>
      </c>
      <c r="U16" s="251">
        <f t="shared" si="8"/>
        <v>0.50006787841031486</v>
      </c>
      <c r="V16" s="383">
        <f t="shared" si="9"/>
        <v>24.804588119912225</v>
      </c>
      <c r="W16" s="402">
        <f t="shared" si="10"/>
        <v>16.904734393657517</v>
      </c>
      <c r="X16" s="157">
        <f t="shared" si="11"/>
        <v>44928</v>
      </c>
      <c r="Y16" s="385">
        <f t="shared" si="12"/>
        <v>16.088107819576944</v>
      </c>
      <c r="Z16" s="385">
        <f t="shared" ref="Z16:Z78" si="22">Wh_sa_s*(1-Psa_s)</f>
        <v>16.692951808188074</v>
      </c>
      <c r="AA16" s="386">
        <f t="shared" si="13"/>
        <v>19.531322588827155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0.14532404386494371</v>
      </c>
      <c r="AD16" s="231">
        <f>(INDEX(Models!$BJ16:$BT16,,AH16)*(1-AF16)+INDEX(Models!$BJ16:$BT16,,AH16+1)*AF16-ERP_i)*AE16*Ramure*Pc/MaxiM</f>
        <v>4.7990149636541338E-3</v>
      </c>
      <c r="AE16" s="305">
        <f t="shared" si="15"/>
        <v>0.7</v>
      </c>
      <c r="AF16" s="177">
        <f t="shared" ref="AF16:AF78" si="23">(Hp_vg_s-AG16)/(INDEX(Echel_vg,AH16+1)-AG16)</f>
        <v>0.50006787841031486</v>
      </c>
      <c r="AG16" s="921">
        <f t="shared" ref="AG16:AG79" si="24">INDEX(Echel_vg,AH16)</f>
        <v>0</v>
      </c>
      <c r="AH16" s="176">
        <f t="shared" si="16"/>
        <v>6</v>
      </c>
      <c r="AI16" s="225">
        <f t="shared" si="17"/>
        <v>0.50006787841031486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17.907570686910233</v>
      </c>
      <c r="C17" s="955"/>
      <c r="D17" s="393">
        <f t="shared" si="0"/>
        <v>18.581225667622533</v>
      </c>
      <c r="E17" s="385">
        <f t="shared" si="1"/>
        <v>20.691562839427039</v>
      </c>
      <c r="F17" s="385">
        <f t="shared" si="2"/>
        <v>20.750569613504009</v>
      </c>
      <c r="G17" s="110">
        <f t="shared" si="21"/>
        <v>0.71516125584551815</v>
      </c>
      <c r="H17" s="414" t="b">
        <f>Wh_hp&gt;='2022'!Maxi_hp</f>
        <v>0</v>
      </c>
      <c r="I17" s="390">
        <f>IF(H17,Wh_hp,'2022'!Maxi_hp)</f>
        <v>30.270872638205173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3.625460412367365E-2</v>
      </c>
      <c r="M17" s="959"/>
      <c r="N17" s="959"/>
      <c r="O17" s="48">
        <f>IF(t&lt;Tnet,'2022'!Resal+('2022'!Salim-'2022'!Resal)*(1-EXP(('2022'!Tnet-t)/('2022'!Tau_j))),Resal+(Salim-Resal)*(1-EXP((Tnet-t)/(Tau_j))))*Salcycl</f>
        <v>0.1019902260733701</v>
      </c>
      <c r="P17" s="169">
        <f>(INDEX(Models!$BJ17:$BT17,,T17)*(1-R17)+INDEX(Models!$BJ17:$BT17,,T17+1)*R17-ERP_i)*Q17*Ramure*Pc/MaxiM</f>
        <v>4.7786030211707641E-3</v>
      </c>
      <c r="Q17" s="305">
        <f t="shared" si="4"/>
        <v>0.7</v>
      </c>
      <c r="R17" s="177">
        <f t="shared" si="5"/>
        <v>0.50009831500580448</v>
      </c>
      <c r="S17" s="921">
        <f t="shared" si="6"/>
        <v>0</v>
      </c>
      <c r="T17" s="176">
        <f t="shared" si="7"/>
        <v>6</v>
      </c>
      <c r="U17" s="251">
        <f t="shared" si="8"/>
        <v>0.50009831500580448</v>
      </c>
      <c r="V17" s="383">
        <f t="shared" si="9"/>
        <v>24.991316174809967</v>
      </c>
      <c r="W17" s="402">
        <f t="shared" si="10"/>
        <v>17.907570686910233</v>
      </c>
      <c r="X17" s="157">
        <f t="shared" si="11"/>
        <v>44929</v>
      </c>
      <c r="Y17" s="385">
        <f t="shared" si="12"/>
        <v>17.043274428326139</v>
      </c>
      <c r="Z17" s="385">
        <f t="shared" si="22"/>
        <v>17.684415926914827</v>
      </c>
      <c r="AA17" s="386">
        <f t="shared" si="13"/>
        <v>20.691562839427039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0.14533203392361452</v>
      </c>
      <c r="AD17" s="231">
        <f>(INDEX(Models!$BJ17:$BT17,,AH17)*(1-AF17)+INDEX(Models!$BJ17:$BT17,,AH17+1)*AF17-ERP_i)*AE17*Ramure*Pc/MaxiM</f>
        <v>4.7786030211707641E-3</v>
      </c>
      <c r="AE17" s="305">
        <f t="shared" si="15"/>
        <v>0.7</v>
      </c>
      <c r="AF17" s="177">
        <f>(Hp_vg_s-AG17)/(INDEX(Echel_vg,AH17+1)-AG17)</f>
        <v>0.50009831500580448</v>
      </c>
      <c r="AG17" s="921">
        <f>INDEX(Echel_vg,AH17)</f>
        <v>0</v>
      </c>
      <c r="AH17" s="176">
        <f t="shared" si="16"/>
        <v>6</v>
      </c>
      <c r="AI17" s="225">
        <f t="shared" si="17"/>
        <v>0.50009831500580448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18.723381146451121</v>
      </c>
      <c r="C18" s="955"/>
      <c r="D18" s="393">
        <f t="shared" si="0"/>
        <v>19.428151175246175</v>
      </c>
      <c r="E18" s="385">
        <f t="shared" si="1"/>
        <v>21.635866466731329</v>
      </c>
      <c r="F18" s="385">
        <f t="shared" si="2"/>
        <v>21.701147583576699</v>
      </c>
      <c r="G18" s="110">
        <f t="shared" si="21"/>
        <v>0.74222461736717227</v>
      </c>
      <c r="H18" s="414" t="b">
        <f>Wh_hp&gt;='2022'!Maxi_hp</f>
        <v>0</v>
      </c>
      <c r="I18" s="390">
        <f>IF(H18,Wh_hp,'2022'!Maxi_hp)</f>
        <v>25.910930416910517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3.6275712621230638E-2</v>
      </c>
      <c r="M18" s="959"/>
      <c r="N18" s="959"/>
      <c r="O18" s="48">
        <f>IF(t&lt;Tnet,'2022'!Resal+('2022'!Salim-'2022'!Resal)*(1-EXP(('2022'!Tnet-t)/('2022'!Tau_j))),Resal+(Salim-Resal)*(1-EXP((Tnet-t)/(Tau_j))))*Salcycl</f>
        <v>0.10203960608094324</v>
      </c>
      <c r="P18" s="169">
        <f>(INDEX(Models!$BJ18:$BT18,,T18)*(1-R18)+INDEX(Models!$BJ18:$BT18,,T18+1)*R18-ERP_i)*Q18*Ramure*Pc/MaxiM</f>
        <v>4.7477497984184241E-3</v>
      </c>
      <c r="Q18" s="305">
        <f t="shared" si="4"/>
        <v>0.7</v>
      </c>
      <c r="R18" s="177">
        <f t="shared" si="5"/>
        <v>0.50013002453709954</v>
      </c>
      <c r="S18" s="921">
        <f t="shared" si="6"/>
        <v>0</v>
      </c>
      <c r="T18" s="176">
        <f t="shared" si="7"/>
        <v>6</v>
      </c>
      <c r="U18" s="251">
        <f t="shared" si="8"/>
        <v>0.50013002453709954</v>
      </c>
      <c r="V18" s="383">
        <f t="shared" si="9"/>
        <v>25.182016257490108</v>
      </c>
      <c r="W18" s="402">
        <f t="shared" si="10"/>
        <v>18.723381146451121</v>
      </c>
      <c r="X18" s="157">
        <f t="shared" si="11"/>
        <v>44930</v>
      </c>
      <c r="Y18" s="385">
        <f t="shared" si="12"/>
        <v>17.820517868177202</v>
      </c>
      <c r="Z18" s="385">
        <f>Wh_sa_s*(1-Psa_s)</f>
        <v>18.491303064123425</v>
      </c>
      <c r="AA18" s="386">
        <f t="shared" si="13"/>
        <v>21.635866466731329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0.14534030367783884</v>
      </c>
      <c r="AD18" s="231">
        <f>(INDEX(Models!$BJ18:$BT18,,AH18)*(1-AF18)+INDEX(Models!$BJ18:$BT18,,AH18+1)*AF18-ERP_i)*AE18*Ramure*Pc/MaxiM</f>
        <v>4.7477497984184241E-3</v>
      </c>
      <c r="AE18" s="305">
        <f t="shared" si="15"/>
        <v>0.7</v>
      </c>
      <c r="AF18" s="177">
        <f t="shared" si="23"/>
        <v>0.50013002453709954</v>
      </c>
      <c r="AG18" s="921">
        <f t="shared" si="24"/>
        <v>0</v>
      </c>
      <c r="AH18" s="176">
        <f t="shared" si="16"/>
        <v>6</v>
      </c>
      <c r="AI18" s="225">
        <f t="shared" si="17"/>
        <v>0.50013002453709954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13.225951210315888</v>
      </c>
      <c r="C19" s="955"/>
      <c r="D19" s="393">
        <f t="shared" si="0"/>
        <v>13.724092120693397</v>
      </c>
      <c r="E19" s="385">
        <f t="shared" si="1"/>
        <v>15.284470218347158</v>
      </c>
      <c r="F19" s="385">
        <f t="shared" si="2"/>
        <v>15.307239388120655</v>
      </c>
      <c r="G19" s="110">
        <f t="shared" si="21"/>
        <v>0.51953237572149913</v>
      </c>
      <c r="H19" s="414" t="b">
        <f>Wh_hp&gt;='2022'!Maxi_hp</f>
        <v>0</v>
      </c>
      <c r="I19" s="390">
        <f>IF(H19,Wh_hp,'2022'!Maxi_hp)</f>
        <v>29.868700088933423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3.6296820656457451E-2</v>
      </c>
      <c r="M19" s="959"/>
      <c r="N19" s="959"/>
      <c r="O19" s="48">
        <f>IF(t&lt;Tnet,'2022'!Resal+('2022'!Salim-'2022'!Resal)*(1-EXP(('2022'!Tnet-t)/('2022'!Tau_j))),Resal+(Salim-Resal)*(1-EXP((Tnet-t)/(Tau_j))))*Salcycl</f>
        <v>0.10208911891370079</v>
      </c>
      <c r="P19" s="169">
        <f>(INDEX(Models!$BJ19:$BT19,,T19)*(1-R19)+INDEX(Models!$BJ19:$BT19,,T19+1)*R19-ERP_i)*Q19*Ramure*Pc/MaxiM</f>
        <v>4.7069319365253028E-3</v>
      </c>
      <c r="Q19" s="305">
        <f t="shared" si="4"/>
        <v>0.7</v>
      </c>
      <c r="R19" s="177">
        <f t="shared" si="5"/>
        <v>0.50016306006966127</v>
      </c>
      <c r="S19" s="921">
        <f t="shared" si="6"/>
        <v>0</v>
      </c>
      <c r="T19" s="176">
        <f t="shared" si="7"/>
        <v>6</v>
      </c>
      <c r="U19" s="251">
        <f t="shared" si="8"/>
        <v>0.50016306006966127</v>
      </c>
      <c r="V19" s="383">
        <f t="shared" si="9"/>
        <v>25.375333749405826</v>
      </c>
      <c r="W19" s="402">
        <f t="shared" si="10"/>
        <v>13.225951210315888</v>
      </c>
      <c r="X19" s="157">
        <f t="shared" si="11"/>
        <v>44931</v>
      </c>
      <c r="Y19" s="385">
        <f t="shared" si="12"/>
        <v>12.588749060836083</v>
      </c>
      <c r="Z19" s="385">
        <f t="shared" si="22"/>
        <v>13.062890452858436</v>
      </c>
      <c r="AA19" s="386">
        <f t="shared" si="13"/>
        <v>15.284470218347158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0.14534882359363591</v>
      </c>
      <c r="AD19" s="231">
        <f>(INDEX(Models!$BJ19:$BT19,,AH19)*(1-AF19)+INDEX(Models!$BJ19:$BT19,,AH19+1)*AF19-ERP_i)*AE19*Ramure*Pc/MaxiM</f>
        <v>4.7069319365253028E-3</v>
      </c>
      <c r="AE19" s="305">
        <f t="shared" si="15"/>
        <v>0.7</v>
      </c>
      <c r="AF19" s="177">
        <f t="shared" si="23"/>
        <v>0.50016306006966127</v>
      </c>
      <c r="AG19" s="921">
        <f t="shared" si="24"/>
        <v>0</v>
      </c>
      <c r="AH19" s="176">
        <f t="shared" si="16"/>
        <v>6</v>
      </c>
      <c r="AI19" s="225">
        <f t="shared" si="17"/>
        <v>0.50016306006966127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24.325736317295355</v>
      </c>
      <c r="C20" s="955"/>
      <c r="D20" s="393">
        <f t="shared" si="0"/>
        <v>25.24249130483469</v>
      </c>
      <c r="E20" s="385">
        <f t="shared" si="1"/>
        <v>28.114022319715872</v>
      </c>
      <c r="F20" s="385">
        <f t="shared" si="2"/>
        <v>28.236368335533285</v>
      </c>
      <c r="G20" s="110">
        <f t="shared" si="21"/>
        <v>0.9510328341041967</v>
      </c>
      <c r="H20" s="414" t="b">
        <f>Wh_hp&gt;='2022'!Maxi_hp</f>
        <v>0</v>
      </c>
      <c r="I20" s="390">
        <f>IF(H20,Wh_hp,'2022'!Maxi_hp)</f>
        <v>28.521480989437787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3.6317928229364083E-2</v>
      </c>
      <c r="M20" s="959"/>
      <c r="N20" s="959"/>
      <c r="O20" s="48">
        <f>IF(t&lt;Tnet,'2022'!Resal+('2022'!Salim-'2022'!Resal)*(1-EXP(('2022'!Tnet-t)/('2022'!Tau_j))),Resal+(Salim-Resal)*(1-EXP((Tnet-t)/(Tau_j))))*Salcycl</f>
        <v>0.10213874707168555</v>
      </c>
      <c r="P20" s="169">
        <f>(INDEX(Models!$BJ20:$BT20,,T20)*(1-R20)+INDEX(Models!$BJ20:$BT20,,T20+1)*R20-ERP_i)*Q20*Ramure*Pc/MaxiM</f>
        <v>4.6566100937921471E-3</v>
      </c>
      <c r="Q20" s="305">
        <f t="shared" si="4"/>
        <v>0.7</v>
      </c>
      <c r="R20" s="177">
        <f t="shared" si="5"/>
        <v>0.50019747686641192</v>
      </c>
      <c r="S20" s="921">
        <f t="shared" si="6"/>
        <v>0</v>
      </c>
      <c r="T20" s="176">
        <f t="shared" si="7"/>
        <v>6</v>
      </c>
      <c r="U20" s="251">
        <f t="shared" si="8"/>
        <v>0.50019747686641192</v>
      </c>
      <c r="V20" s="383">
        <f t="shared" si="9"/>
        <v>25.569914368861962</v>
      </c>
      <c r="W20" s="402">
        <f t="shared" si="10"/>
        <v>24.325736317295355</v>
      </c>
      <c r="X20" s="157">
        <f t="shared" si="11"/>
        <v>44932</v>
      </c>
      <c r="Y20" s="385">
        <f t="shared" si="12"/>
        <v>23.154809687522189</v>
      </c>
      <c r="Z20" s="385">
        <f t="shared" si="22"/>
        <v>24.027436398166408</v>
      </c>
      <c r="AA20" s="386">
        <f t="shared" si="13"/>
        <v>28.114022319715872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0.14535756837197977</v>
      </c>
      <c r="AD20" s="231">
        <f>(INDEX(Models!$BJ20:$BT20,,AH20)*(1-AF20)+INDEX(Models!$BJ20:$BT20,,AH20+1)*AF20-ERP_i)*AE20*Ramure*Pc/MaxiM</f>
        <v>4.6566100937921471E-3</v>
      </c>
      <c r="AE20" s="305">
        <f t="shared" si="15"/>
        <v>0.7</v>
      </c>
      <c r="AF20" s="177">
        <f t="shared" si="23"/>
        <v>0.50019747686641192</v>
      </c>
      <c r="AG20" s="921">
        <f t="shared" si="24"/>
        <v>0</v>
      </c>
      <c r="AH20" s="176">
        <f t="shared" si="16"/>
        <v>6</v>
      </c>
      <c r="AI20" s="225">
        <f t="shared" si="17"/>
        <v>0.50019747686641192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8.8416839841718335</v>
      </c>
      <c r="C21" s="955"/>
      <c r="D21" s="393">
        <f t="shared" si="0"/>
        <v>9.175098201981239</v>
      </c>
      <c r="E21" s="385">
        <f t="shared" si="1"/>
        <v>10.219403466641173</v>
      </c>
      <c r="F21" s="385">
        <f t="shared" si="2"/>
        <v>10.222301962672113</v>
      </c>
      <c r="G21" s="110">
        <f t="shared" si="21"/>
        <v>0.34169363785460616</v>
      </c>
      <c r="H21" s="414" t="b">
        <f>Wh_hp&gt;='2022'!Maxi_hp</f>
        <v>0</v>
      </c>
      <c r="I21" s="390">
        <f>IF(H21,Wh_hp,'2022'!Maxi_hp)</f>
        <v>15.334327230197083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3.6339035339960635E-2</v>
      </c>
      <c r="M21" s="959"/>
      <c r="N21" s="959"/>
      <c r="O21" s="48">
        <f>IF(t&lt;Tnet,'2022'!Resal+('2022'!Salim-'2022'!Resal)*(1-EXP(('2022'!Tnet-t)/('2022'!Tau_j))),Resal+(Salim-Resal)*(1-EXP((Tnet-t)/(Tau_j))))*Salcycl</f>
        <v>0.10218847588010616</v>
      </c>
      <c r="P21" s="169">
        <f>(INDEX(Models!$BJ21:$BT21,,T21)*(1-R21)+INDEX(Models!$BJ21:$BT21,,T21+1)*R21-ERP_i)*Q21*Ramure*Pc/MaxiM</f>
        <v>4.5972245445613253E-3</v>
      </c>
      <c r="Q21" s="305">
        <f t="shared" si="4"/>
        <v>0.7</v>
      </c>
      <c r="R21" s="177">
        <f t="shared" si="5"/>
        <v>0.50023333247747515</v>
      </c>
      <c r="S21" s="921">
        <f t="shared" si="6"/>
        <v>0</v>
      </c>
      <c r="T21" s="176">
        <f t="shared" si="7"/>
        <v>6</v>
      </c>
      <c r="U21" s="251">
        <f t="shared" si="8"/>
        <v>0.50023333247747515</v>
      </c>
      <c r="V21" s="383">
        <f t="shared" si="9"/>
        <v>25.764404166663208</v>
      </c>
      <c r="W21" s="402">
        <f t="shared" si="10"/>
        <v>8.8416839841718335</v>
      </c>
      <c r="X21" s="157">
        <f t="shared" si="11"/>
        <v>44933</v>
      </c>
      <c r="Y21" s="385">
        <f t="shared" si="12"/>
        <v>8.4164649015404098</v>
      </c>
      <c r="Z21" s="385">
        <f t="shared" si="22"/>
        <v>8.7338443811611413</v>
      </c>
      <c r="AA21" s="386">
        <f t="shared" si="13"/>
        <v>10.219403466641173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0.14536651677656995</v>
      </c>
      <c r="AD21" s="231">
        <f>(INDEX(Models!$BJ21:$BT21,,AH21)*(1-AF21)+INDEX(Models!$BJ21:$BT21,,AH21+1)*AF21-ERP_i)*AE21*Ramure*Pc/MaxiM</f>
        <v>4.5972245445613253E-3</v>
      </c>
      <c r="AE21" s="305">
        <f t="shared" si="15"/>
        <v>0.7</v>
      </c>
      <c r="AF21" s="177">
        <f t="shared" si="23"/>
        <v>0.50023333247747515</v>
      </c>
      <c r="AG21" s="921">
        <f t="shared" si="24"/>
        <v>0</v>
      </c>
      <c r="AH21" s="176">
        <f t="shared" si="16"/>
        <v>6</v>
      </c>
      <c r="AI21" s="225">
        <f t="shared" si="17"/>
        <v>0.50023333247747515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5.1255750975356555</v>
      </c>
      <c r="C22" s="955"/>
      <c r="D22" s="393">
        <f t="shared" si="0"/>
        <v>5.3189737378766635</v>
      </c>
      <c r="E22" s="385">
        <f t="shared" si="1"/>
        <v>5.9247055187357658</v>
      </c>
      <c r="F22" s="385">
        <f t="shared" si="2"/>
        <v>5.9247055187357658</v>
      </c>
      <c r="G22" s="110">
        <f t="shared" si="21"/>
        <v>0.19656632225050652</v>
      </c>
      <c r="H22" s="414" t="b">
        <f>Wh_hp&gt;='2022'!Maxi_hp</f>
        <v>0</v>
      </c>
      <c r="I22" s="390">
        <f>IF(H22,Wh_hp,'2022'!Maxi_hp)</f>
        <v>20.926751067686602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3.6360141988257433E-2</v>
      </c>
      <c r="M22" s="959"/>
      <c r="N22" s="959"/>
      <c r="O22" s="48">
        <f>IF(t&lt;Tnet,'2022'!Resal+('2022'!Salim-'2022'!Resal)*(1-EXP(('2022'!Tnet-t)/('2022'!Tau_j))),Resal+(Salim-Resal)*(1-EXP((Tnet-t)/(Tau_j))))*Salcycl</f>
        <v>0.10223829335375229</v>
      </c>
      <c r="P22" s="169">
        <f>(INDEX(Models!$BJ22:$BT22,,T22)*(1-R22)+INDEX(Models!$BJ22:$BT22,,T22+1)*R22-ERP_i)*Q22*Ramure*Pc/MaxiM</f>
        <v>4.529191389305921E-3</v>
      </c>
      <c r="Q22" s="305">
        <f t="shared" si="4"/>
        <v>0.7</v>
      </c>
      <c r="R22" s="177">
        <f t="shared" si="5"/>
        <v>0.50027068683347231</v>
      </c>
      <c r="S22" s="921">
        <f t="shared" si="6"/>
        <v>0</v>
      </c>
      <c r="T22" s="176">
        <f t="shared" si="7"/>
        <v>6</v>
      </c>
      <c r="U22" s="251">
        <f t="shared" si="8"/>
        <v>0.50027068683347231</v>
      </c>
      <c r="V22" s="383">
        <f t="shared" si="9"/>
        <v>25.957449518926982</v>
      </c>
      <c r="W22" s="402">
        <f t="shared" si="10"/>
        <v>5.1255750975356555</v>
      </c>
      <c r="X22" s="157">
        <f t="shared" si="11"/>
        <v>44934</v>
      </c>
      <c r="Y22" s="385">
        <f t="shared" si="12"/>
        <v>4.8792917389294557</v>
      </c>
      <c r="Z22" s="385">
        <f t="shared" si="22"/>
        <v>5.0633975944050231</v>
      </c>
      <c r="AA22" s="386">
        <f t="shared" si="13"/>
        <v>5.9247055187357658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0.14537565143229797</v>
      </c>
      <c r="AD22" s="231">
        <f>(INDEX(Models!$BJ22:$BT22,,AH22)*(1-AF22)+INDEX(Models!$BJ22:$BT22,,AH22+1)*AF22-ERP_i)*AE22*Ramure*Pc/MaxiM</f>
        <v>4.529191389305921E-3</v>
      </c>
      <c r="AE22" s="305">
        <f t="shared" si="15"/>
        <v>0.7</v>
      </c>
      <c r="AF22" s="177">
        <f t="shared" si="23"/>
        <v>0.50027068683347231</v>
      </c>
      <c r="AG22" s="921">
        <f t="shared" si="24"/>
        <v>0</v>
      </c>
      <c r="AH22" s="176">
        <f t="shared" si="16"/>
        <v>6</v>
      </c>
      <c r="AI22" s="225">
        <f t="shared" si="17"/>
        <v>0.50027068683347231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1.5240484282955802</v>
      </c>
      <c r="C23" s="955"/>
      <c r="D23" s="393">
        <f t="shared" si="0"/>
        <v>1.5815885954979783</v>
      </c>
      <c r="E23" s="385">
        <f t="shared" si="1"/>
        <v>1.7617999205923902</v>
      </c>
      <c r="F23" s="385">
        <f t="shared" si="2"/>
        <v>1.7617999205923902</v>
      </c>
      <c r="G23" s="110">
        <f t="shared" si="21"/>
        <v>5.8020127596162409E-2</v>
      </c>
      <c r="H23" s="414" t="b">
        <f>Wh_hp&gt;='2022'!Maxi_hp</f>
        <v>0</v>
      </c>
      <c r="I23" s="390">
        <f>IF(H23,Wh_hp,'2022'!Maxi_hp)</f>
        <v>27.858667670277544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3.6381248174264358E-2</v>
      </c>
      <c r="M23" s="959"/>
      <c r="N23" s="959"/>
      <c r="O23" s="48">
        <f>IF(t&lt;Tnet,'2022'!Resal+('2022'!Salim-'2022'!Resal)*(1-EXP(('2022'!Tnet-t)/('2022'!Tau_j))),Resal+(Salim-Resal)*(1-EXP((Tnet-t)/(Tau_j))))*Salcycl</f>
        <v>0.10228819004249774</v>
      </c>
      <c r="P23" s="169">
        <f>(INDEX(Models!$BJ23:$BT23,,T23)*(1-R23)+INDEX(Models!$BJ23:$BT23,,T23+1)*R23-ERP_i)*Q23*Ramure*Pc/MaxiM</f>
        <v>4.4524025295349205E-3</v>
      </c>
      <c r="Q23" s="305">
        <f t="shared" si="4"/>
        <v>0.7</v>
      </c>
      <c r="R23" s="177">
        <f t="shared" si="5"/>
        <v>0.50030960234250743</v>
      </c>
      <c r="S23" s="921">
        <f t="shared" si="6"/>
        <v>0</v>
      </c>
      <c r="T23" s="176">
        <f t="shared" si="7"/>
        <v>6</v>
      </c>
      <c r="U23" s="251">
        <f t="shared" si="8"/>
        <v>0.50030960234250743</v>
      </c>
      <c r="V23" s="383">
        <f t="shared" si="9"/>
        <v>26.150627619761707</v>
      </c>
      <c r="W23" s="402">
        <f t="shared" si="10"/>
        <v>1.5240484282955802</v>
      </c>
      <c r="X23" s="157">
        <f t="shared" si="11"/>
        <v>44935</v>
      </c>
      <c r="Y23" s="385">
        <f t="shared" si="12"/>
        <v>1.4508828960477793</v>
      </c>
      <c r="Z23" s="385">
        <f t="shared" si="22"/>
        <v>1.505660712080209</v>
      </c>
      <c r="AA23" s="386">
        <f t="shared" si="13"/>
        <v>1.7617999205923902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0.14538495859737391</v>
      </c>
      <c r="AD23" s="231">
        <f>(INDEX(Models!$BJ23:$BT23,,AH23)*(1-AF23)+INDEX(Models!$BJ23:$BT23,,AH23+1)*AF23-ERP_i)*AE23*Ramure*Pc/MaxiM</f>
        <v>4.4524025295349205E-3</v>
      </c>
      <c r="AE23" s="305">
        <f t="shared" si="15"/>
        <v>0.7</v>
      </c>
      <c r="AF23" s="177">
        <f t="shared" si="23"/>
        <v>0.50030960234250743</v>
      </c>
      <c r="AG23" s="921">
        <f t="shared" si="24"/>
        <v>0</v>
      </c>
      <c r="AH23" s="176">
        <f t="shared" si="16"/>
        <v>6</v>
      </c>
      <c r="AI23" s="225">
        <f t="shared" si="17"/>
        <v>0.50030960234250743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1.4103082298580445</v>
      </c>
      <c r="C24" s="955"/>
      <c r="D24" s="393">
        <f t="shared" si="0"/>
        <v>1.4635862131493278</v>
      </c>
      <c r="E24" s="385">
        <f t="shared" si="1"/>
        <v>1.630442719154358</v>
      </c>
      <c r="F24" s="385">
        <f t="shared" si="2"/>
        <v>1.630442719154358</v>
      </c>
      <c r="G24" s="110">
        <f t="shared" si="21"/>
        <v>5.3295246079249646E-2</v>
      </c>
      <c r="H24" s="414" t="b">
        <f>Wh_hp&gt;='2022'!Maxi_hp</f>
        <v>0</v>
      </c>
      <c r="I24" s="390">
        <f>IF(H24,Wh_hp,'2022'!Maxi_hp)</f>
        <v>10.822941868477683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3.6402353897991735E-2</v>
      </c>
      <c r="M24" s="959"/>
      <c r="N24" s="959"/>
      <c r="O24" s="48">
        <f>IF(t&lt;Tnet,'2022'!Resal+('2022'!Salim-'2022'!Resal)*(1-EXP(('2022'!Tnet-t)/('2022'!Tau_j))),Resal+(Salim-Resal)*(1-EXP((Tnet-t)/(Tau_j))))*Salcycl</f>
        <v>0.10233815886004977</v>
      </c>
      <c r="P24" s="169">
        <f>(INDEX(Models!$BJ24:$BT24,,T24)*(1-R24)+INDEX(Models!$BJ24:$BT24,,T24+1)*R24-ERP_i)*Q24*Ramure*Pc/MaxiM</f>
        <v>4.3638682229941274E-3</v>
      </c>
      <c r="Q24" s="305">
        <f t="shared" si="4"/>
        <v>0.7</v>
      </c>
      <c r="R24" s="177">
        <f t="shared" si="5"/>
        <v>0.50035014399097699</v>
      </c>
      <c r="S24" s="921">
        <f t="shared" si="6"/>
        <v>0</v>
      </c>
      <c r="T24" s="176">
        <f t="shared" si="7"/>
        <v>6</v>
      </c>
      <c r="U24" s="251">
        <f t="shared" si="8"/>
        <v>0.50035014399097699</v>
      </c>
      <c r="V24" s="383">
        <f t="shared" si="9"/>
        <v>26.346699450475811</v>
      </c>
      <c r="W24" s="402">
        <f t="shared" si="10"/>
        <v>1.4103082298580445</v>
      </c>
      <c r="X24" s="157">
        <f t="shared" si="11"/>
        <v>44936</v>
      </c>
      <c r="Y24" s="385">
        <f t="shared" si="12"/>
        <v>1.3426629231195994</v>
      </c>
      <c r="Z24" s="385">
        <f t="shared" si="22"/>
        <v>1.3933854327592063</v>
      </c>
      <c r="AA24" s="386">
        <f t="shared" si="13"/>
        <v>1.630442719154358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0.14539442791225643</v>
      </c>
      <c r="AD24" s="231">
        <f>(INDEX(Models!$BJ24:$BT24,,AH24)*(1-AF24)+INDEX(Models!$BJ24:$BT24,,AH24+1)*AF24-ERP_i)*AE24*Ramure*Pc/MaxiM</f>
        <v>4.3638682229941274E-3</v>
      </c>
      <c r="AE24" s="305">
        <f t="shared" si="15"/>
        <v>0.7</v>
      </c>
      <c r="AF24" s="177">
        <f t="shared" si="23"/>
        <v>0.50035014399097699</v>
      </c>
      <c r="AG24" s="921">
        <f t="shared" si="24"/>
        <v>0</v>
      </c>
      <c r="AH24" s="176">
        <f t="shared" si="16"/>
        <v>6</v>
      </c>
      <c r="AI24" s="225">
        <f t="shared" si="17"/>
        <v>0.50035014399097699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26.166126834072692</v>
      </c>
      <c r="C25" s="955"/>
      <c r="D25" s="393">
        <f t="shared" si="0"/>
        <v>27.155213649397652</v>
      </c>
      <c r="E25" s="385">
        <f t="shared" si="1"/>
        <v>30.252736756640889</v>
      </c>
      <c r="F25" s="385">
        <f t="shared" si="2"/>
        <v>30.379689162325839</v>
      </c>
      <c r="G25" s="110">
        <f t="shared" si="21"/>
        <v>0.98560669056807182</v>
      </c>
      <c r="H25" s="414" t="b">
        <f>Wh_hp&gt;='2022'!Maxi_hp</f>
        <v>0</v>
      </c>
      <c r="I25" s="390">
        <f>IF(H25,Wh_hp,'2022'!Maxi_hp)</f>
        <v>30.380982956889898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3.6423459159449445E-2</v>
      </c>
      <c r="M25" s="959"/>
      <c r="N25" s="959"/>
      <c r="O25" s="48">
        <f>IF(t&lt;Tnet,'2022'!Resal+('2022'!Salim-'2022'!Resal)*(1-EXP(('2022'!Tnet-t)/('2022'!Tau_j))),Resal+(Salim-Resal)*(1-EXP((Tnet-t)/(Tau_j))))*Salcycl</f>
        <v>0.10238819489821163</v>
      </c>
      <c r="P25" s="169">
        <f>(INDEX(Models!$BJ25:$BT25,,T25)*(1-R25)+INDEX(Models!$BJ25:$BT25,,T25+1)*R25-ERP_i)*Q25*Ramure*Pc/MaxiM</f>
        <v>4.2660499460060557E-3</v>
      </c>
      <c r="Q25" s="305">
        <f t="shared" si="4"/>
        <v>0.7</v>
      </c>
      <c r="R25" s="177">
        <f t="shared" si="5"/>
        <v>0.50039237944834303</v>
      </c>
      <c r="S25" s="921">
        <f t="shared" si="6"/>
        <v>0</v>
      </c>
      <c r="T25" s="176">
        <f t="shared" si="7"/>
        <v>6</v>
      </c>
      <c r="U25" s="251">
        <f t="shared" si="8"/>
        <v>0.50039237944834303</v>
      </c>
      <c r="V25" s="383">
        <f t="shared" si="9"/>
        <v>26.54591941567071</v>
      </c>
      <c r="W25" s="402">
        <f t="shared" si="10"/>
        <v>26.166126834072692</v>
      </c>
      <c r="X25" s="157">
        <f t="shared" si="11"/>
        <v>44937</v>
      </c>
      <c r="Y25" s="385">
        <f t="shared" si="12"/>
        <v>24.912179002982217</v>
      </c>
      <c r="Z25" s="385">
        <f t="shared" si="22"/>
        <v>25.853866244243282</v>
      </c>
      <c r="AA25" s="386">
        <f t="shared" si="13"/>
        <v>30.252736756640889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0.14540405212867213</v>
      </c>
      <c r="AD25" s="231">
        <f>(INDEX(Models!$BJ25:$BT25,,AH25)*(1-AF25)+INDEX(Models!$BJ25:$BT25,,AH25+1)*AF25-ERP_i)*AE25*Ramure*Pc/MaxiM</f>
        <v>4.2660499460060557E-3</v>
      </c>
      <c r="AE25" s="305">
        <f t="shared" si="15"/>
        <v>0.7</v>
      </c>
      <c r="AF25" s="177">
        <f t="shared" si="23"/>
        <v>0.50039237944834303</v>
      </c>
      <c r="AG25" s="921">
        <f t="shared" si="24"/>
        <v>0</v>
      </c>
      <c r="AH25" s="176">
        <f t="shared" si="16"/>
        <v>6</v>
      </c>
      <c r="AI25" s="225">
        <f t="shared" si="17"/>
        <v>0.50039237944834303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21.222935633283676</v>
      </c>
      <c r="C26" s="955"/>
      <c r="D26" s="393">
        <f t="shared" si="0"/>
        <v>22.025650875340887</v>
      </c>
      <c r="E26" s="385">
        <f t="shared" si="1"/>
        <v>24.539428050755202</v>
      </c>
      <c r="F26" s="385">
        <f t="shared" si="2"/>
        <v>24.611582291909986</v>
      </c>
      <c r="G26" s="110">
        <f t="shared" si="21"/>
        <v>0.79244553799531436</v>
      </c>
      <c r="H26" s="414" t="b">
        <f>Wh_hp&gt;='2022'!Maxi_hp</f>
        <v>0</v>
      </c>
      <c r="I26" s="390">
        <f>IF(H26,Wh_hp,'2022'!Maxi_hp)</f>
        <v>30.267889314428743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3.6444563958647924E-2</v>
      </c>
      <c r="M26" s="959"/>
      <c r="N26" s="959"/>
      <c r="O26" s="48">
        <f>IF(t&lt;Tnet,'2022'!Resal+('2022'!Salim-'2022'!Resal)*(1-EXP(('2022'!Tnet-t)/('2022'!Tau_j))),Resal+(Salim-Resal)*(1-EXP((Tnet-t)/(Tau_j))))*Salcycl</f>
        <v>0.1024382952290101</v>
      </c>
      <c r="P26" s="169">
        <f>(INDEX(Models!$BJ26:$BT26,,T26)*(1-R26)+INDEX(Models!$BJ26:$BT26,,T26+1)*R26-ERP_i)*Q26*Ramure*Pc/MaxiM</f>
        <v>4.1591217959498243E-3</v>
      </c>
      <c r="Q26" s="305">
        <f t="shared" si="4"/>
        <v>0.7</v>
      </c>
      <c r="R26" s="177">
        <f t="shared" si="5"/>
        <v>0.50043637917601413</v>
      </c>
      <c r="S26" s="921">
        <f t="shared" si="6"/>
        <v>0</v>
      </c>
      <c r="T26" s="176">
        <f t="shared" si="7"/>
        <v>6</v>
      </c>
      <c r="U26" s="251">
        <f t="shared" si="8"/>
        <v>0.50043637917601413</v>
      </c>
      <c r="V26" s="383">
        <f t="shared" si="9"/>
        <v>26.748601552161141</v>
      </c>
      <c r="W26" s="402">
        <f t="shared" si="10"/>
        <v>21.222935633283676</v>
      </c>
      <c r="X26" s="157">
        <f t="shared" si="11"/>
        <v>44938</v>
      </c>
      <c r="Y26" s="385">
        <f t="shared" si="12"/>
        <v>20.206774921481266</v>
      </c>
      <c r="Z26" s="385">
        <f t="shared" si="22"/>
        <v>20.971055909868863</v>
      </c>
      <c r="AA26" s="386">
        <f t="shared" si="13"/>
        <v>24.539428050755202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0.14541382682211784</v>
      </c>
      <c r="AD26" s="231">
        <f>(INDEX(Models!$BJ26:$BT26,,AH26)*(1-AF26)+INDEX(Models!$BJ26:$BT26,,AH26+1)*AF26-ERP_i)*AE26*Ramure*Pc/MaxiM</f>
        <v>4.1591217959498243E-3</v>
      </c>
      <c r="AE26" s="305">
        <f t="shared" si="15"/>
        <v>0.7</v>
      </c>
      <c r="AF26" s="177">
        <f t="shared" si="23"/>
        <v>0.50043637917601413</v>
      </c>
      <c r="AG26" s="921">
        <f t="shared" si="24"/>
        <v>0</v>
      </c>
      <c r="AH26" s="176">
        <f t="shared" si="16"/>
        <v>6</v>
      </c>
      <c r="AI26" s="225">
        <f t="shared" si="17"/>
        <v>0.50043637917601413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4.9590213498960543</v>
      </c>
      <c r="C27" s="955"/>
      <c r="D27" s="393">
        <f t="shared" si="0"/>
        <v>5.1466991748223494</v>
      </c>
      <c r="E27" s="385">
        <f t="shared" si="1"/>
        <v>5.7344100192304959</v>
      </c>
      <c r="F27" s="385">
        <f t="shared" si="2"/>
        <v>5.7344100192304959</v>
      </c>
      <c r="G27" s="110">
        <f t="shared" si="21"/>
        <v>0.18322981898477667</v>
      </c>
      <c r="H27" s="414" t="b">
        <f>Wh_hp&gt;='2022'!Maxi_hp</f>
        <v>0</v>
      </c>
      <c r="I27" s="390">
        <f>IF(H27,Wh_hp,'2022'!Maxi_hp)</f>
        <v>17.075177344016367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3.6465668295597053E-2</v>
      </c>
      <c r="M27" s="959"/>
      <c r="N27" s="959"/>
      <c r="O27" s="48">
        <f>IF(t&lt;Tnet,'2022'!Resal+('2022'!Salim-'2022'!Resal)*(1-EXP(('2022'!Tnet-t)/('2022'!Tau_j))),Resal+(Salim-Resal)*(1-EXP((Tnet-t)/(Tau_j))))*Salcycl</f>
        <v>0.10248845869710092</v>
      </c>
      <c r="P27" s="169">
        <f>(INDEX(Models!$BJ27:$BT27,,T27)*(1-R27)+INDEX(Models!$BJ27:$BT27,,T27+1)*R27-ERP_i)*Q27*Ramure*Pc/MaxiM</f>
        <v>4.0432657457750657E-3</v>
      </c>
      <c r="Q27" s="305">
        <f t="shared" si="4"/>
        <v>0.7</v>
      </c>
      <c r="R27" s="177">
        <f t="shared" si="5"/>
        <v>0.50048221654048319</v>
      </c>
      <c r="S27" s="921">
        <f t="shared" si="6"/>
        <v>0</v>
      </c>
      <c r="T27" s="176">
        <f t="shared" si="7"/>
        <v>6</v>
      </c>
      <c r="U27" s="251">
        <f t="shared" si="8"/>
        <v>0.50048221654048319</v>
      </c>
      <c r="V27" s="383">
        <f t="shared" si="9"/>
        <v>26.955059695549874</v>
      </c>
      <c r="W27" s="402">
        <f t="shared" si="10"/>
        <v>4.9590213498960543</v>
      </c>
      <c r="X27" s="157">
        <f t="shared" si="11"/>
        <v>44939</v>
      </c>
      <c r="Y27" s="385">
        <f t="shared" si="12"/>
        <v>4.721790944614761</v>
      </c>
      <c r="Z27" s="385">
        <f t="shared" si="22"/>
        <v>4.9004906096727767</v>
      </c>
      <c r="AA27" s="386">
        <f t="shared" si="13"/>
        <v>5.7344100192304959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0.14542375009131692</v>
      </c>
      <c r="AD27" s="231">
        <f>(INDEX(Models!$BJ27:$BT27,,AH27)*(1-AF27)+INDEX(Models!$BJ27:$BT27,,AH27+1)*AF27-ERP_i)*AE27*Ramure*Pc/MaxiM</f>
        <v>4.0432657457750657E-3</v>
      </c>
      <c r="AE27" s="305">
        <f t="shared" si="15"/>
        <v>0.7</v>
      </c>
      <c r="AF27" s="177">
        <f t="shared" si="23"/>
        <v>0.50048221654048319</v>
      </c>
      <c r="AG27" s="921">
        <f t="shared" si="24"/>
        <v>0</v>
      </c>
      <c r="AH27" s="176">
        <f t="shared" si="16"/>
        <v>6</v>
      </c>
      <c r="AI27" s="225">
        <f t="shared" si="17"/>
        <v>0.50048221654048319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27.163510750960246</v>
      </c>
      <c r="C28" s="955"/>
      <c r="D28" s="393">
        <f t="shared" si="0"/>
        <v>28.192151354419774</v>
      </c>
      <c r="E28" s="385">
        <f t="shared" si="1"/>
        <v>31.413221835152854</v>
      </c>
      <c r="F28" s="385">
        <f t="shared" si="2"/>
        <v>31.536790553902364</v>
      </c>
      <c r="G28" s="110">
        <f t="shared" si="21"/>
        <v>0.99992238273696565</v>
      </c>
      <c r="H28" s="414" t="b">
        <f>Wh_hp&gt;='2022'!Maxi_hp</f>
        <v>0</v>
      </c>
      <c r="I28" s="390">
        <f>IF(H28,Wh_hp,'2022'!Maxi_hp)</f>
        <v>31.536797669864139</v>
      </c>
      <c r="J28" s="85">
        <f>IF(H28,An,'2022'!An_max)</f>
        <v>2022</v>
      </c>
      <c r="K28" s="197">
        <f t="shared" si="3"/>
        <v>44940</v>
      </c>
      <c r="L28" s="147">
        <f>IF(t&lt;Tvie,1-EXP((T0-t)*PertePVj)+'2022'!Pspv,1-EXP((T0-t)*PertePVj)+Pspv)</f>
        <v>3.6486772170307047E-2</v>
      </c>
      <c r="M28" s="959"/>
      <c r="N28" s="959"/>
      <c r="O28" s="48">
        <f>IF(t&lt;Tnet,'2022'!Resal+('2022'!Salim-'2022'!Resal)*(1-EXP(('2022'!Tnet-t)/('2022'!Tau_j))),Resal+(Salim-Resal)*(1-EXP((Tnet-t)/(Tau_j))))*Salcycl</f>
        <v>0.1025386857049012</v>
      </c>
      <c r="P28" s="169">
        <f>(INDEX(Models!$BJ28:$BT28,,T28)*(1-R28)+INDEX(Models!$BJ28:$BT28,,T28+1)*R28-ERP_i)*Q28*Ramure*Pc/MaxiM</f>
        <v>3.9186722249125484E-3</v>
      </c>
      <c r="Q28" s="305">
        <f t="shared" si="4"/>
        <v>0.7</v>
      </c>
      <c r="R28" s="177">
        <f t="shared" si="5"/>
        <v>0.50052996793087268</v>
      </c>
      <c r="S28" s="921">
        <f t="shared" si="6"/>
        <v>0</v>
      </c>
      <c r="T28" s="176">
        <f t="shared" si="7"/>
        <v>6</v>
      </c>
      <c r="U28" s="251">
        <f t="shared" si="8"/>
        <v>0.50052996793087268</v>
      </c>
      <c r="V28" s="383">
        <f t="shared" si="9"/>
        <v>27.16560748804886</v>
      </c>
      <c r="W28" s="402">
        <f t="shared" si="10"/>
        <v>27.163510750960246</v>
      </c>
      <c r="X28" s="157">
        <f t="shared" si="11"/>
        <v>44940</v>
      </c>
      <c r="Y28" s="385">
        <f t="shared" si="12"/>
        <v>25.865201303971663</v>
      </c>
      <c r="Z28" s="385">
        <f t="shared" si="22"/>
        <v>26.84467691453791</v>
      </c>
      <c r="AA28" s="386">
        <f t="shared" si="13"/>
        <v>31.413221835152854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0.14543382224813783</v>
      </c>
      <c r="AD28" s="231">
        <f>(INDEX(Models!$BJ28:$BT28,,AH28)*(1-AF28)+INDEX(Models!$BJ28:$BT28,,AH28+1)*AF28-ERP_i)*AE28*Ramure*Pc/MaxiM</f>
        <v>3.9186722249125484E-3</v>
      </c>
      <c r="AE28" s="305">
        <f t="shared" si="15"/>
        <v>0.7</v>
      </c>
      <c r="AF28" s="177">
        <f t="shared" si="23"/>
        <v>0.50052996793087268</v>
      </c>
      <c r="AG28" s="921">
        <f t="shared" si="24"/>
        <v>0</v>
      </c>
      <c r="AH28" s="176">
        <f t="shared" si="16"/>
        <v>6</v>
      </c>
      <c r="AI28" s="225">
        <f t="shared" si="17"/>
        <v>0.50052996793087268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27.013392832162214</v>
      </c>
      <c r="C29" s="955"/>
      <c r="D29" s="393">
        <f t="shared" si="0"/>
        <v>28.036962781093639</v>
      </c>
      <c r="E29" s="385">
        <f t="shared" si="1"/>
        <v>31.242053076624849</v>
      </c>
      <c r="F29" s="385">
        <f t="shared" si="2"/>
        <v>31.358487831309407</v>
      </c>
      <c r="G29" s="110">
        <f t="shared" si="21"/>
        <v>0.98651846987343406</v>
      </c>
      <c r="H29" s="414" t="b">
        <f>Wh_hp&gt;='2022'!Maxi_hp</f>
        <v>0</v>
      </c>
      <c r="I29" s="390">
        <f>IF(H29,Wh_hp,'2022'!Maxi_hp)</f>
        <v>31.359702932617143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3.6507875582788007E-2</v>
      </c>
      <c r="M29" s="959"/>
      <c r="N29" s="959"/>
      <c r="O29" s="48">
        <f>IF(t&lt;Tnet,'2022'!Resal+('2022'!Salim-'2022'!Resal)*(1-EXP(('2022'!Tnet-t)/('2022'!Tau_j))),Resal+(Salim-Resal)*(1-EXP((Tnet-t)/(Tau_j))))*Salcycl</f>
        <v>0.1025889779929106</v>
      </c>
      <c r="P29" s="169">
        <f>(INDEX(Models!$BJ29:$BT29,,T29)*(1-R29)+INDEX(Models!$BJ29:$BT29,,T29+1)*R29-ERP_i)*Q29*Ramure*Pc/MaxiM</f>
        <v>3.7855405967432108E-3</v>
      </c>
      <c r="Q29" s="305">
        <f t="shared" si="4"/>
        <v>0.7</v>
      </c>
      <c r="R29" s="177">
        <f t="shared" si="5"/>
        <v>0.50057971288104497</v>
      </c>
      <c r="S29" s="921">
        <f t="shared" si="6"/>
        <v>0</v>
      </c>
      <c r="T29" s="176">
        <f t="shared" si="7"/>
        <v>6</v>
      </c>
      <c r="U29" s="251">
        <f t="shared" si="8"/>
        <v>0.50057971288104497</v>
      </c>
      <c r="V29" s="383">
        <f t="shared" si="9"/>
        <v>27.380558380237471</v>
      </c>
      <c r="W29" s="402">
        <f t="shared" si="10"/>
        <v>27.013392832162214</v>
      </c>
      <c r="X29" s="157">
        <f t="shared" si="11"/>
        <v>44941</v>
      </c>
      <c r="Y29" s="385">
        <f t="shared" si="12"/>
        <v>25.723392213639663</v>
      </c>
      <c r="Z29" s="385">
        <f t="shared" si="22"/>
        <v>26.698082487388245</v>
      </c>
      <c r="AA29" s="386">
        <f t="shared" si="13"/>
        <v>31.242053076624849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0.14544404550149051</v>
      </c>
      <c r="AD29" s="231">
        <f>(INDEX(Models!$BJ29:$BT29,,AH29)*(1-AF29)+INDEX(Models!$BJ29:$BT29,,AH29+1)*AF29-ERP_i)*AE29*Ramure*Pc/MaxiM</f>
        <v>3.7855405967432108E-3</v>
      </c>
      <c r="AE29" s="305">
        <f t="shared" si="15"/>
        <v>0.7</v>
      </c>
      <c r="AF29" s="177">
        <f t="shared" si="23"/>
        <v>0.50057971288104497</v>
      </c>
      <c r="AG29" s="921">
        <f t="shared" si="24"/>
        <v>0</v>
      </c>
      <c r="AH29" s="176">
        <f t="shared" si="16"/>
        <v>6</v>
      </c>
      <c r="AI29" s="225">
        <f t="shared" si="17"/>
        <v>0.50057971288104497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26.72172292070157</v>
      </c>
      <c r="C30" s="955"/>
      <c r="D30" s="393">
        <f t="shared" si="0"/>
        <v>27.734848610200999</v>
      </c>
      <c r="E30" s="385">
        <f t="shared" si="1"/>
        <v>30.907136670439449</v>
      </c>
      <c r="F30" s="385">
        <f t="shared" si="2"/>
        <v>31.015036799898724</v>
      </c>
      <c r="G30" s="110">
        <f t="shared" si="21"/>
        <v>0.96801003162283605</v>
      </c>
      <c r="H30" s="414" t="b">
        <f>Wh_hp&gt;='2022'!Maxi_hp</f>
        <v>0</v>
      </c>
      <c r="I30" s="390">
        <f>IF(H30,Wh_hp,'2022'!Maxi_hp)</f>
        <v>32.204114318448951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3.6528978533050149E-2</v>
      </c>
      <c r="M30" s="959"/>
      <c r="N30" s="959"/>
      <c r="O30" s="48">
        <f>IF(t&lt;Tnet,'2022'!Resal+('2022'!Salim-'2022'!Resal)*(1-EXP(('2022'!Tnet-t)/('2022'!Tau_j))),Resal+(Salim-Resal)*(1-EXP((Tnet-t)/(Tau_j))))*Salcycl</f>
        <v>0.1026393384176713</v>
      </c>
      <c r="P30" s="169">
        <f>(INDEX(Models!$BJ30:$BT30,,T30)*(1-R30)+INDEX(Models!$BJ30:$BT30,,T30+1)*R30-ERP_i)*Q30*Ramure*Pc/MaxiM</f>
        <v>3.644685476155467E-3</v>
      </c>
      <c r="Q30" s="305">
        <f t="shared" si="4"/>
        <v>0.7</v>
      </c>
      <c r="R30" s="177">
        <f t="shared" si="5"/>
        <v>0.50063153419643824</v>
      </c>
      <c r="S30" s="921">
        <f t="shared" si="6"/>
        <v>0</v>
      </c>
      <c r="T30" s="176">
        <f t="shared" si="7"/>
        <v>6</v>
      </c>
      <c r="U30" s="251">
        <f t="shared" si="8"/>
        <v>0.50063153419643824</v>
      </c>
      <c r="V30" s="383">
        <f t="shared" si="9"/>
        <v>27.600208847734727</v>
      </c>
      <c r="W30" s="402">
        <f t="shared" si="10"/>
        <v>26.72172292070157</v>
      </c>
      <c r="X30" s="157">
        <f t="shared" si="11"/>
        <v>44942</v>
      </c>
      <c r="Y30" s="385">
        <f t="shared" si="12"/>
        <v>25.446769723973716</v>
      </c>
      <c r="Z30" s="385">
        <f t="shared" si="22"/>
        <v>26.411556919718546</v>
      </c>
      <c r="AA30" s="386">
        <f t="shared" si="13"/>
        <v>30.907136670439449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0.14545442363868719</v>
      </c>
      <c r="AD30" s="231">
        <f>(INDEX(Models!$BJ30:$BT30,,AH30)*(1-AF30)+INDEX(Models!$BJ30:$BT30,,AH30+1)*AF30-ERP_i)*AE30*Ramure*Pc/MaxiM</f>
        <v>3.644685476155467E-3</v>
      </c>
      <c r="AE30" s="305">
        <f t="shared" si="15"/>
        <v>0.7</v>
      </c>
      <c r="AF30" s="177">
        <f t="shared" si="23"/>
        <v>0.50063153419643824</v>
      </c>
      <c r="AG30" s="921">
        <f t="shared" si="24"/>
        <v>0</v>
      </c>
      <c r="AH30" s="176">
        <f t="shared" si="16"/>
        <v>6</v>
      </c>
      <c r="AI30" s="225">
        <f t="shared" si="17"/>
        <v>0.50063153419643824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18.522005844629543</v>
      </c>
      <c r="C31" s="955"/>
      <c r="D31" s="393">
        <f t="shared" si="0"/>
        <v>19.22466905623898</v>
      </c>
      <c r="E31" s="385">
        <f t="shared" si="1"/>
        <v>21.424774207549564</v>
      </c>
      <c r="F31" s="385">
        <f t="shared" si="2"/>
        <v>21.464055959699973</v>
      </c>
      <c r="G31" s="110">
        <f t="shared" si="21"/>
        <v>0.66455249272495875</v>
      </c>
      <c r="H31" s="414" t="b">
        <f>Wh_hp&gt;='2022'!Maxi_hp</f>
        <v>0</v>
      </c>
      <c r="I31" s="390">
        <f>IF(H31,Wh_hp,'2022'!Maxi_hp)</f>
        <v>21.48400633043217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3.6550081021103464E-2</v>
      </c>
      <c r="M31" s="959"/>
      <c r="N31" s="959"/>
      <c r="O31" s="48">
        <f>IF(t&lt;Tnet,'2022'!Resal+('2022'!Salim-'2022'!Resal)*(1-EXP(('2022'!Tnet-t)/('2022'!Tau_j))),Resal+(Salim-Resal)*(1-EXP((Tnet-t)/(Tau_j))))*Salcycl</f>
        <v>0.10268977072978067</v>
      </c>
      <c r="P31" s="169">
        <f>(INDEX(Models!$BJ31:$BT31,,T31)*(1-R31)+INDEX(Models!$BJ31:$BT31,,T31+1)*R31-ERP_i)*Q31*Ramure*Pc/MaxiM</f>
        <v>3.5033996693253967E-3</v>
      </c>
      <c r="Q31" s="305">
        <f t="shared" si="4"/>
        <v>0.7</v>
      </c>
      <c r="R31" s="177">
        <f t="shared" si="5"/>
        <v>0.50068551808579242</v>
      </c>
      <c r="S31" s="921">
        <f t="shared" si="6"/>
        <v>0</v>
      </c>
      <c r="T31" s="176">
        <f t="shared" si="7"/>
        <v>6</v>
      </c>
      <c r="U31" s="251">
        <f t="shared" si="8"/>
        <v>0.50068551808579242</v>
      </c>
      <c r="V31" s="383">
        <f t="shared" si="9"/>
        <v>27.824674028925823</v>
      </c>
      <c r="W31" s="402">
        <f t="shared" si="10"/>
        <v>18.522005844629543</v>
      </c>
      <c r="X31" s="157">
        <f t="shared" si="11"/>
        <v>44943</v>
      </c>
      <c r="Y31" s="385">
        <f t="shared" si="12"/>
        <v>17.63905331444122</v>
      </c>
      <c r="Z31" s="385">
        <f t="shared" si="22"/>
        <v>18.308220247852432</v>
      </c>
      <c r="AA31" s="386">
        <f t="shared" si="13"/>
        <v>21.424774207549564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0.14546496170769141</v>
      </c>
      <c r="AD31" s="231">
        <f>(INDEX(Models!$BJ31:$BT31,,AH31)*(1-AF31)+INDEX(Models!$BJ31:$BT31,,AH31+1)*AF31-ERP_i)*AE31*Ramure*Pc/MaxiM</f>
        <v>3.5033996693253967E-3</v>
      </c>
      <c r="AE31" s="305">
        <f t="shared" si="15"/>
        <v>0.7</v>
      </c>
      <c r="AF31" s="177">
        <f t="shared" si="23"/>
        <v>0.50068551808579242</v>
      </c>
      <c r="AG31" s="921">
        <f t="shared" si="24"/>
        <v>0</v>
      </c>
      <c r="AH31" s="176">
        <f t="shared" si="16"/>
        <v>6</v>
      </c>
      <c r="AI31" s="225">
        <f t="shared" si="17"/>
        <v>0.50068551808579242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3.9632511724509127</v>
      </c>
      <c r="C32" s="955"/>
      <c r="D32" s="393">
        <f t="shared" si="0"/>
        <v>4.1136938222225545</v>
      </c>
      <c r="E32" s="385">
        <f t="shared" si="1"/>
        <v>4.5847302933227114</v>
      </c>
      <c r="F32" s="385">
        <f t="shared" si="2"/>
        <v>4.5847302933227114</v>
      </c>
      <c r="G32" s="110">
        <f t="shared" si="21"/>
        <v>0.14079597354106529</v>
      </c>
      <c r="H32" s="414" t="b">
        <f>Wh_hp&gt;='2022'!Maxi_hp</f>
        <v>0</v>
      </c>
      <c r="I32" s="390">
        <f>IF(H32,Wh_hp,'2022'!Maxi_hp)</f>
        <v>30.961638796552403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3.6571183046958056E-2</v>
      </c>
      <c r="M32" s="959"/>
      <c r="N32" s="959"/>
      <c r="O32" s="48">
        <f>IF(t&lt;Tnet,'2022'!Resal+('2022'!Salim-'2022'!Resal)*(1-EXP(('2022'!Tnet-t)/('2022'!Tau_j))),Resal+(Salim-Resal)*(1-EXP((Tnet-t)/(Tau_j))))*Salcycl</f>
        <v>0.10274027935431307</v>
      </c>
      <c r="P32" s="169">
        <f>(INDEX(Models!$BJ32:$BT32,,T32)*(1-R32)+INDEX(Models!$BJ32:$BT32,,T32+1)*R32-ERP_i)*Q32*Ramure*Pc/MaxiM</f>
        <v>3.3617231266553048E-3</v>
      </c>
      <c r="Q32" s="305">
        <f t="shared" si="4"/>
        <v>0.7</v>
      </c>
      <c r="R32" s="177">
        <f t="shared" si="5"/>
        <v>0.50074175429793411</v>
      </c>
      <c r="S32" s="921">
        <f t="shared" si="6"/>
        <v>0</v>
      </c>
      <c r="T32" s="176">
        <f t="shared" si="7"/>
        <v>6</v>
      </c>
      <c r="U32" s="251">
        <f t="shared" si="8"/>
        <v>0.50074175429793411</v>
      </c>
      <c r="V32" s="383">
        <f t="shared" si="9"/>
        <v>28.054266894043558</v>
      </c>
      <c r="W32" s="402">
        <f t="shared" si="10"/>
        <v>3.9632511724509127</v>
      </c>
      <c r="X32" s="157">
        <f t="shared" si="11"/>
        <v>44944</v>
      </c>
      <c r="Y32" s="385">
        <f t="shared" si="12"/>
        <v>3.7744863520129495</v>
      </c>
      <c r="Z32" s="385">
        <f t="shared" si="22"/>
        <v>3.9177636018301909</v>
      </c>
      <c r="AA32" s="386">
        <f t="shared" si="13"/>
        <v>4.5847302933227114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0.14547566570358642</v>
      </c>
      <c r="AD32" s="231">
        <f>(INDEX(Models!$BJ32:$BT32,,AH32)*(1-AF32)+INDEX(Models!$BJ32:$BT32,,AH32+1)*AF32-ERP_i)*AE32*Ramure*Pc/MaxiM</f>
        <v>3.3617231266553048E-3</v>
      </c>
      <c r="AE32" s="305">
        <f t="shared" si="15"/>
        <v>0.7</v>
      </c>
      <c r="AF32" s="177">
        <f t="shared" si="23"/>
        <v>0.50074175429793411</v>
      </c>
      <c r="AG32" s="921">
        <f t="shared" si="24"/>
        <v>0</v>
      </c>
      <c r="AH32" s="176">
        <f t="shared" si="16"/>
        <v>6</v>
      </c>
      <c r="AI32" s="225">
        <f t="shared" si="17"/>
        <v>0.50074175429793411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9.6018871063269255</v>
      </c>
      <c r="C33" s="955"/>
      <c r="D33" s="393">
        <f t="shared" si="0"/>
        <v>9.9665873056104584</v>
      </c>
      <c r="E33" s="385">
        <f t="shared" si="1"/>
        <v>11.108432764673605</v>
      </c>
      <c r="F33" s="385">
        <f t="shared" si="2"/>
        <v>11.110447136579744</v>
      </c>
      <c r="G33" s="110">
        <f t="shared" si="21"/>
        <v>0.33838615208033368</v>
      </c>
      <c r="H33" s="414" t="b">
        <f>Wh_hp&gt;='2022'!Maxi_hp</f>
        <v>0</v>
      </c>
      <c r="I33" s="390">
        <f>IF(H33,Wh_hp,'2022'!Maxi_hp)</f>
        <v>32.578902251016416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3.6592284610624248E-2</v>
      </c>
      <c r="M33" s="959"/>
      <c r="N33" s="959"/>
      <c r="O33" s="48">
        <f>IF(t&lt;Tnet,'2022'!Resal+('2022'!Salim-'2022'!Resal)*(1-EXP(('2022'!Tnet-t)/('2022'!Tau_j))),Resal+(Salim-Resal)*(1-EXP((Tnet-t)/(Tau_j))))*Salcycl</f>
        <v>0.10279086917592709</v>
      </c>
      <c r="P33" s="169">
        <f>(INDEX(Models!$BJ33:$BT33,,T33)*(1-R33)+INDEX(Models!$BJ33:$BT33,,T33+1)*R33-ERP_i)*Q33*Ramure*Pc/MaxiM</f>
        <v>3.2197022135380979E-3</v>
      </c>
      <c r="Q33" s="305">
        <f t="shared" si="4"/>
        <v>0.7</v>
      </c>
      <c r="R33" s="177">
        <f t="shared" si="5"/>
        <v>0.50080033626379494</v>
      </c>
      <c r="S33" s="921">
        <f t="shared" si="6"/>
        <v>0</v>
      </c>
      <c r="T33" s="176">
        <f t="shared" si="7"/>
        <v>6</v>
      </c>
      <c r="U33" s="251">
        <f t="shared" si="8"/>
        <v>0.50080033626379494</v>
      </c>
      <c r="V33" s="383">
        <f t="shared" si="9"/>
        <v>28.289300266536358</v>
      </c>
      <c r="W33" s="402">
        <f t="shared" si="10"/>
        <v>9.6018871063269255</v>
      </c>
      <c r="X33" s="157">
        <f t="shared" si="11"/>
        <v>44945</v>
      </c>
      <c r="Y33" s="385">
        <f t="shared" si="12"/>
        <v>9.1449601549381576</v>
      </c>
      <c r="Z33" s="385">
        <f t="shared" si="22"/>
        <v>9.4923052917861295</v>
      </c>
      <c r="AA33" s="386">
        <f t="shared" si="13"/>
        <v>11.108432764673605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0.14548654226246835</v>
      </c>
      <c r="AD33" s="231">
        <f>(INDEX(Models!$BJ33:$BT33,,AH33)*(1-AF33)+INDEX(Models!$BJ33:$BT33,,AH33+1)*AF33-ERP_i)*AE33*Ramure*Pc/MaxiM</f>
        <v>3.2197022135380979E-3</v>
      </c>
      <c r="AE33" s="305">
        <f t="shared" si="15"/>
        <v>0.7</v>
      </c>
      <c r="AF33" s="177">
        <f t="shared" si="23"/>
        <v>0.50080033626379494</v>
      </c>
      <c r="AG33" s="921">
        <f t="shared" si="24"/>
        <v>0</v>
      </c>
      <c r="AH33" s="176">
        <f t="shared" si="16"/>
        <v>6</v>
      </c>
      <c r="AI33" s="225">
        <f t="shared" si="17"/>
        <v>0.50080033626379494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5.3009654912484931</v>
      </c>
      <c r="C34" s="955"/>
      <c r="D34" s="393">
        <f t="shared" si="0"/>
        <v>5.5024280103443601</v>
      </c>
      <c r="E34" s="385">
        <f t="shared" si="1"/>
        <v>6.1331729993821584</v>
      </c>
      <c r="F34" s="385">
        <f t="shared" si="2"/>
        <v>6.1331729993821584</v>
      </c>
      <c r="G34" s="110">
        <f t="shared" si="21"/>
        <v>0.18523085430856634</v>
      </c>
      <c r="H34" s="414" t="b">
        <f>Wh_hp&gt;='2022'!Maxi_hp</f>
        <v>0</v>
      </c>
      <c r="I34" s="390">
        <f>IF(H34,Wh_hp,'2022'!Maxi_hp)</f>
        <v>11.984563264269097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3.6613385712112034E-2</v>
      </c>
      <c r="M34" s="959"/>
      <c r="N34" s="959"/>
      <c r="O34" s="48">
        <f>IF(t&lt;Tnet,'2022'!Resal+('2022'!Salim-'2022'!Resal)*(1-EXP(('2022'!Tnet-t)/('2022'!Tau_j))),Resal+(Salim-Resal)*(1-EXP((Tnet-t)/(Tau_j))))*Salcycl</f>
        <v>0.10284154533083259</v>
      </c>
      <c r="P34" s="169">
        <f>(INDEX(Models!$BJ34:$BT34,,T34)*(1-R34)+INDEX(Models!$BJ34:$BT34,,T34+1)*R34-ERP_i)*Q34*Ramure*Pc/MaxiM</f>
        <v>3.077406477409823E-3</v>
      </c>
      <c r="Q34" s="305">
        <f t="shared" si="4"/>
        <v>0.7</v>
      </c>
      <c r="R34" s="177">
        <f t="shared" si="5"/>
        <v>0.50086136124383762</v>
      </c>
      <c r="S34" s="921">
        <f t="shared" si="6"/>
        <v>0</v>
      </c>
      <c r="T34" s="176">
        <f t="shared" si="7"/>
        <v>6</v>
      </c>
      <c r="U34" s="251">
        <f t="shared" si="8"/>
        <v>0.50086136124383762</v>
      </c>
      <c r="V34" s="383">
        <f t="shared" si="9"/>
        <v>28.530086337051461</v>
      </c>
      <c r="W34" s="402">
        <f t="shared" si="10"/>
        <v>5.3009654912484931</v>
      </c>
      <c r="X34" s="157">
        <f t="shared" si="11"/>
        <v>44946</v>
      </c>
      <c r="Y34" s="385">
        <f t="shared" si="12"/>
        <v>5.0489272209134022</v>
      </c>
      <c r="Z34" s="385">
        <f t="shared" si="22"/>
        <v>5.240811057609978</v>
      </c>
      <c r="AA34" s="386">
        <f t="shared" si="13"/>
        <v>6.1331729993821584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0.14549759836581733</v>
      </c>
      <c r="AD34" s="231">
        <f>(INDEX(Models!$BJ34:$BT34,,AH34)*(1-AF34)+INDEX(Models!$BJ34:$BT34,,AH34+1)*AF34-ERP_i)*AE34*Ramure*Pc/MaxiM</f>
        <v>3.077406477409823E-3</v>
      </c>
      <c r="AE34" s="305">
        <f t="shared" si="15"/>
        <v>0.7</v>
      </c>
      <c r="AF34" s="177">
        <f t="shared" si="23"/>
        <v>0.50086136124383762</v>
      </c>
      <c r="AG34" s="921">
        <f t="shared" si="24"/>
        <v>0</v>
      </c>
      <c r="AH34" s="176">
        <f t="shared" si="16"/>
        <v>6</v>
      </c>
      <c r="AI34" s="225">
        <f t="shared" si="17"/>
        <v>0.50086136124383762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15.597224734117912</v>
      </c>
      <c r="C35" s="955"/>
      <c r="D35" s="393">
        <f t="shared" si="0"/>
        <v>16.190349886043059</v>
      </c>
      <c r="E35" s="385">
        <f t="shared" si="1"/>
        <v>18.047275840789364</v>
      </c>
      <c r="F35" s="385">
        <f t="shared" si="2"/>
        <v>18.065606295068086</v>
      </c>
      <c r="G35" s="110">
        <f t="shared" si="21"/>
        <v>0.5409624954702279</v>
      </c>
      <c r="H35" s="414" t="b">
        <f>Wh_hp&gt;='2022'!Maxi_hp</f>
        <v>0</v>
      </c>
      <c r="I35" s="390">
        <f>IF(H35,Wh_hp,'2022'!Maxi_hp)</f>
        <v>18.085651439803524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3.6634486351431517E-2</v>
      </c>
      <c r="M35" s="959"/>
      <c r="N35" s="959"/>
      <c r="O35" s="48">
        <f>IF(t&lt;Tnet,'2022'!Resal+('2022'!Salim-'2022'!Resal)*(1-EXP(('2022'!Tnet-t)/('2022'!Tau_j))),Resal+(Salim-Resal)*(1-EXP((Tnet-t)/(Tau_j))))*Salcycl</f>
        <v>0.1028923130076725</v>
      </c>
      <c r="P35" s="169">
        <f>(INDEX(Models!$BJ35:$BT35,,T35)*(1-R35)+INDEX(Models!$BJ35:$BT35,,T35+1)*R35-ERP_i)*Q35*Ramure*Pc/MaxiM</f>
        <v>2.9349153104506758E-3</v>
      </c>
      <c r="Q35" s="305">
        <f t="shared" si="4"/>
        <v>0.7</v>
      </c>
      <c r="R35" s="177">
        <f t="shared" si="5"/>
        <v>0.50092493048107378</v>
      </c>
      <c r="S35" s="921">
        <f t="shared" si="6"/>
        <v>0</v>
      </c>
      <c r="T35" s="176">
        <f t="shared" si="7"/>
        <v>6</v>
      </c>
      <c r="U35" s="251">
        <f t="shared" si="8"/>
        <v>0.50092493048107378</v>
      </c>
      <c r="V35" s="383">
        <f t="shared" si="9"/>
        <v>28.776937025383717</v>
      </c>
      <c r="W35" s="402">
        <f t="shared" si="10"/>
        <v>15.597224734117912</v>
      </c>
      <c r="X35" s="157">
        <f t="shared" si="11"/>
        <v>44947</v>
      </c>
      <c r="Y35" s="385">
        <f t="shared" si="12"/>
        <v>14.856288528765928</v>
      </c>
      <c r="Z35" s="385">
        <f t="shared" si="22"/>
        <v>15.421237648938135</v>
      </c>
      <c r="AA35" s="386">
        <f t="shared" si="13"/>
        <v>18.047275840789364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0.1455088410582176</v>
      </c>
      <c r="AD35" s="231">
        <f>(INDEX(Models!$BJ35:$BT35,,AH35)*(1-AF35)+INDEX(Models!$BJ35:$BT35,,AH35+1)*AF35-ERP_i)*AE35*Ramure*Pc/MaxiM</f>
        <v>2.9349153104506758E-3</v>
      </c>
      <c r="AE35" s="305">
        <f t="shared" si="15"/>
        <v>0.7</v>
      </c>
      <c r="AF35" s="177">
        <f t="shared" si="23"/>
        <v>0.50092493048107378</v>
      </c>
      <c r="AG35" s="921">
        <f t="shared" si="24"/>
        <v>0</v>
      </c>
      <c r="AH35" s="176">
        <f t="shared" si="16"/>
        <v>6</v>
      </c>
      <c r="AI35" s="225">
        <f t="shared" si="17"/>
        <v>0.50092493048107378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28.179150834307286</v>
      </c>
      <c r="C36" s="955"/>
      <c r="D36" s="393">
        <f t="shared" si="0"/>
        <v>29.251377223192527</v>
      </c>
      <c r="E36" s="385">
        <f t="shared" si="1"/>
        <v>32.608165371086777</v>
      </c>
      <c r="F36" s="385">
        <f t="shared" si="2"/>
        <v>32.695637974355293</v>
      </c>
      <c r="G36" s="110">
        <f t="shared" si="21"/>
        <v>0.97057137692924922</v>
      </c>
      <c r="H36" s="414" t="b">
        <f>Wh_hp&gt;='2022'!Maxi_hp</f>
        <v>0</v>
      </c>
      <c r="I36" s="390">
        <f>IF(H36,Wh_hp,'2022'!Maxi_hp)</f>
        <v>32.697849500824447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3.6655586528592798E-2</v>
      </c>
      <c r="M36" s="959"/>
      <c r="N36" s="959"/>
      <c r="O36" s="48">
        <f>IF(t&lt;Tnet,'2022'!Resal+('2022'!Salim-'2022'!Resal)*(1-EXP(('2022'!Tnet-t)/('2022'!Tau_j))),Resal+(Salim-Resal)*(1-EXP((Tnet-t)/(Tau_j))))*Salcycl</f>
        <v>0.10294317725923545</v>
      </c>
      <c r="P36" s="169">
        <f>(INDEX(Models!$BJ36:$BT36,,T36)*(1-R36)+INDEX(Models!$BJ36:$BT36,,T36+1)*R36-ERP_i)*Q36*Ramure*Pc/MaxiM</f>
        <v>2.792296676016531E-3</v>
      </c>
      <c r="Q36" s="305">
        <f t="shared" si="4"/>
        <v>0.7</v>
      </c>
      <c r="R36" s="177">
        <f t="shared" si="5"/>
        <v>0.50099114935985589</v>
      </c>
      <c r="S36" s="921">
        <f t="shared" si="6"/>
        <v>0</v>
      </c>
      <c r="T36" s="176">
        <f t="shared" si="7"/>
        <v>6</v>
      </c>
      <c r="U36" s="251">
        <f t="shared" si="8"/>
        <v>0.50099114935985589</v>
      </c>
      <c r="V36" s="383">
        <f t="shared" si="9"/>
        <v>29.030164591166226</v>
      </c>
      <c r="W36" s="402">
        <f t="shared" si="10"/>
        <v>28.179150834307286</v>
      </c>
      <c r="X36" s="157">
        <f t="shared" si="11"/>
        <v>44948</v>
      </c>
      <c r="Y36" s="385">
        <f t="shared" si="12"/>
        <v>26.841680910027861</v>
      </c>
      <c r="Z36" s="385">
        <f t="shared" si="22"/>
        <v>27.863016107919272</v>
      </c>
      <c r="AA36" s="386">
        <f t="shared" si="13"/>
        <v>32.608165371086777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0.1455202771810942</v>
      </c>
      <c r="AD36" s="231">
        <f>(INDEX(Models!$BJ36:$BT36,,AH36)*(1-AF36)+INDEX(Models!$BJ36:$BT36,,AH36+1)*AF36-ERP_i)*AE36*Ramure*Pc/MaxiM</f>
        <v>2.792296676016531E-3</v>
      </c>
      <c r="AE36" s="305">
        <f t="shared" si="15"/>
        <v>0.7</v>
      </c>
      <c r="AF36" s="177">
        <f t="shared" si="23"/>
        <v>0.50099114935985589</v>
      </c>
      <c r="AG36" s="921">
        <f t="shared" si="24"/>
        <v>0</v>
      </c>
      <c r="AH36" s="176">
        <f t="shared" si="16"/>
        <v>6</v>
      </c>
      <c r="AI36" s="225">
        <f t="shared" si="17"/>
        <v>0.50099114935985589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28.239112138828563</v>
      </c>
      <c r="C37" s="955"/>
      <c r="D37" s="393">
        <f t="shared" si="0"/>
        <v>29.314262133564117</v>
      </c>
      <c r="E37" s="385">
        <f t="shared" si="1"/>
        <v>32.680123434135631</v>
      </c>
      <c r="F37" s="385">
        <f t="shared" si="2"/>
        <v>32.762472000316293</v>
      </c>
      <c r="G37" s="110">
        <f t="shared" si="21"/>
        <v>0.96394000968505478</v>
      </c>
      <c r="H37" s="414" t="b">
        <f>Wh_hp&gt;='2022'!Maxi_hp</f>
        <v>0</v>
      </c>
      <c r="I37" s="390">
        <f>IF(H37,Wh_hp,'2022'!Maxi_hp)</f>
        <v>32.765037654429378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3.6676686243606094E-2</v>
      </c>
      <c r="M37" s="959"/>
      <c r="N37" s="959"/>
      <c r="O37" s="48">
        <f>IF(t&lt;Tnet,'2022'!Resal+('2022'!Salim-'2022'!Resal)*(1-EXP(('2022'!Tnet-t)/('2022'!Tau_j))),Resal+(Salim-Resal)*(1-EXP((Tnet-t)/(Tau_j))))*Salcycl</f>
        <v>0.10299414282676003</v>
      </c>
      <c r="P37" s="169">
        <f>(INDEX(Models!$BJ37:$BT37,,T37)*(1-R37)+INDEX(Models!$BJ37:$BT37,,T37+1)*R37-ERP_i)*Q37*Ramure*Pc/MaxiM</f>
        <v>2.6494920096434508E-3</v>
      </c>
      <c r="Q37" s="305">
        <f t="shared" si="4"/>
        <v>0.7</v>
      </c>
      <c r="R37" s="177">
        <f t="shared" si="5"/>
        <v>0.50106012757063323</v>
      </c>
      <c r="S37" s="921">
        <f t="shared" si="6"/>
        <v>0</v>
      </c>
      <c r="T37" s="176">
        <f t="shared" si="7"/>
        <v>6</v>
      </c>
      <c r="U37" s="251">
        <f t="shared" si="8"/>
        <v>0.50106012757063323</v>
      </c>
      <c r="V37" s="383">
        <f t="shared" si="9"/>
        <v>29.29151395814306</v>
      </c>
      <c r="W37" s="402">
        <f t="shared" si="10"/>
        <v>28.239112138828563</v>
      </c>
      <c r="X37" s="157">
        <f t="shared" si="11"/>
        <v>44949</v>
      </c>
      <c r="Y37" s="385">
        <f t="shared" si="12"/>
        <v>26.899958268227849</v>
      </c>
      <c r="Z37" s="385">
        <f t="shared" si="22"/>
        <v>27.924122549607819</v>
      </c>
      <c r="AA37" s="386">
        <f t="shared" si="13"/>
        <v>32.680123434135631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0.1455319131249054</v>
      </c>
      <c r="AD37" s="231">
        <f>(INDEX(Models!$BJ37:$BT37,,AH37)*(1-AF37)+INDEX(Models!$BJ37:$BT37,,AH37+1)*AF37-ERP_i)*AE37*Ramure*Pc/MaxiM</f>
        <v>2.6494920096434508E-3</v>
      </c>
      <c r="AE37" s="305">
        <f t="shared" si="15"/>
        <v>0.7</v>
      </c>
      <c r="AF37" s="177">
        <f t="shared" si="23"/>
        <v>0.50106012757063323</v>
      </c>
      <c r="AG37" s="921">
        <f t="shared" si="24"/>
        <v>0</v>
      </c>
      <c r="AH37" s="176">
        <f t="shared" si="16"/>
        <v>6</v>
      </c>
      <c r="AI37" s="225">
        <f t="shared" si="17"/>
        <v>0.50106012757063323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28.508544772653391</v>
      </c>
      <c r="C38" s="955"/>
      <c r="D38" s="393">
        <f t="shared" si="0"/>
        <v>29.594601095510367</v>
      </c>
      <c r="E38" s="385">
        <f t="shared" si="1"/>
        <v>32.994529441976212</v>
      </c>
      <c r="F38" s="385">
        <f t="shared" si="2"/>
        <v>33.073343368531589</v>
      </c>
      <c r="G38" s="110">
        <f t="shared" si="21"/>
        <v>0.96425040666460626</v>
      </c>
      <c r="H38" s="414" t="b">
        <f>Wh_hp&gt;='2022'!Maxi_hp</f>
        <v>0</v>
      </c>
      <c r="I38" s="390">
        <f>IF(H38,Wh_hp,'2022'!Maxi_hp)</f>
        <v>33.075754899751203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3.6697785496481505E-2</v>
      </c>
      <c r="M38" s="959"/>
      <c r="N38" s="959"/>
      <c r="O38" s="48">
        <f>IF(t&lt;Tnet,'2022'!Resal+('2022'!Salim-'2022'!Resal)*(1-EXP(('2022'!Tnet-t)/('2022'!Tau_j))),Resal+(Salim-Resal)*(1-EXP((Tnet-t)/(Tau_j))))*Salcycl</f>
        <v>0.10304521397842394</v>
      </c>
      <c r="P38" s="169">
        <f>(INDEX(Models!$BJ38:$BT38,,T38)*(1-R38)+INDEX(Models!$BJ38:$BT38,,T38+1)*R38-ERP_i)*Q38*Ramure*Pc/MaxiM</f>
        <v>2.5107895955553123E-3</v>
      </c>
      <c r="Q38" s="305">
        <f t="shared" si="4"/>
        <v>0.7</v>
      </c>
      <c r="R38" s="177">
        <f t="shared" si="5"/>
        <v>0.50113197928086273</v>
      </c>
      <c r="S38" s="921">
        <f t="shared" si="6"/>
        <v>0</v>
      </c>
      <c r="T38" s="176">
        <f t="shared" si="7"/>
        <v>6</v>
      </c>
      <c r="U38" s="251">
        <f t="shared" si="8"/>
        <v>0.50113197928086273</v>
      </c>
      <c r="V38" s="383">
        <f t="shared" si="9"/>
        <v>29.561712296917438</v>
      </c>
      <c r="W38" s="402">
        <f t="shared" si="10"/>
        <v>28.508544772653391</v>
      </c>
      <c r="X38" s="157">
        <f t="shared" si="11"/>
        <v>44950</v>
      </c>
      <c r="Y38" s="385">
        <f t="shared" si="12"/>
        <v>27.157783767727938</v>
      </c>
      <c r="Z38" s="385">
        <f t="shared" si="22"/>
        <v>28.192381745665283</v>
      </c>
      <c r="AA38" s="386">
        <f t="shared" si="13"/>
        <v>32.994529441976212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0.14554375460198424</v>
      </c>
      <c r="AD38" s="231">
        <f>(INDEX(Models!$BJ38:$BT38,,AH38)*(1-AF38)+INDEX(Models!$BJ38:$BT38,,AH38+1)*AF38-ERP_i)*AE38*Ramure*Pc/MaxiM</f>
        <v>2.5107895955553123E-3</v>
      </c>
      <c r="AE38" s="305">
        <f t="shared" si="15"/>
        <v>0.7</v>
      </c>
      <c r="AF38" s="177">
        <f t="shared" si="23"/>
        <v>0.50113197928086273</v>
      </c>
      <c r="AG38" s="921">
        <f t="shared" si="24"/>
        <v>0</v>
      </c>
      <c r="AH38" s="176">
        <f t="shared" si="16"/>
        <v>6</v>
      </c>
      <c r="AI38" s="225">
        <f t="shared" si="17"/>
        <v>0.50113197928086273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28.083474635555337</v>
      </c>
      <c r="C39" s="955"/>
      <c r="D39" s="393">
        <f t="shared" si="0"/>
        <v>29.153976110883509</v>
      </c>
      <c r="E39" s="385">
        <f t="shared" si="1"/>
        <v>32.505138710186827</v>
      </c>
      <c r="F39" s="385">
        <f t="shared" si="2"/>
        <v>32.576112396221497</v>
      </c>
      <c r="G39" s="110">
        <f t="shared" si="21"/>
        <v>0.94095724509811285</v>
      </c>
      <c r="H39" s="414" t="b">
        <f>Wh_hp&gt;='2022'!Maxi_hp</f>
        <v>0</v>
      </c>
      <c r="I39" s="390">
        <f>IF(H39,Wh_hp,'2022'!Maxi_hp)</f>
        <v>32.57978354288494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3.6718884287229026E-2</v>
      </c>
      <c r="M39" s="959"/>
      <c r="N39" s="959"/>
      <c r="O39" s="48">
        <f>IF(t&lt;Tnet,'2022'!Resal+('2022'!Salim-'2022'!Resal)*(1-EXP(('2022'!Tnet-t)/('2022'!Tau_j))),Resal+(Salim-Resal)*(1-EXP((Tnet-t)/(Tau_j))))*Salcycl</f>
        <v>0.10309639436342705</v>
      </c>
      <c r="P39" s="169">
        <f>(INDEX(Models!$BJ39:$BT39,,T39)*(1-R39)+INDEX(Models!$BJ39:$BT39,,T39+1)*R39-ERP_i)*Q39*Ramure*Pc/MaxiM</f>
        <v>2.378697906500611E-3</v>
      </c>
      <c r="Q39" s="305">
        <f t="shared" si="4"/>
        <v>0.7</v>
      </c>
      <c r="R39" s="177">
        <f t="shared" si="5"/>
        <v>0.50120682331227095</v>
      </c>
      <c r="S39" s="921">
        <f t="shared" si="6"/>
        <v>0</v>
      </c>
      <c r="T39" s="176">
        <f t="shared" si="7"/>
        <v>6</v>
      </c>
      <c r="U39" s="251">
        <f t="shared" si="8"/>
        <v>0.50120682331227095</v>
      </c>
      <c r="V39" s="383">
        <f t="shared" si="9"/>
        <v>29.839661660493228</v>
      </c>
      <c r="W39" s="402">
        <f t="shared" si="10"/>
        <v>28.083474635555337</v>
      </c>
      <c r="X39" s="157">
        <f t="shared" si="11"/>
        <v>44951</v>
      </c>
      <c r="Y39" s="385">
        <f t="shared" si="12"/>
        <v>26.75400309072673</v>
      </c>
      <c r="Z39" s="385">
        <f t="shared" si="22"/>
        <v>27.773827031717893</v>
      </c>
      <c r="AA39" s="386">
        <f t="shared" si="13"/>
        <v>32.505138710186827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0.14555580644195748</v>
      </c>
      <c r="AD39" s="231">
        <f>(INDEX(Models!$BJ39:$BT39,,AH39)*(1-AF39)+INDEX(Models!$BJ39:$BT39,,AH39+1)*AF39-ERP_i)*AE39*Ramure*Pc/MaxiM</f>
        <v>2.378697906500611E-3</v>
      </c>
      <c r="AE39" s="305">
        <f t="shared" si="15"/>
        <v>0.7</v>
      </c>
      <c r="AF39" s="177">
        <f t="shared" si="23"/>
        <v>0.50120682331227095</v>
      </c>
      <c r="AG39" s="921">
        <f t="shared" si="24"/>
        <v>0</v>
      </c>
      <c r="AH39" s="176">
        <f t="shared" si="16"/>
        <v>6</v>
      </c>
      <c r="AI39" s="225">
        <f t="shared" si="17"/>
        <v>0.50120682331227095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28.810607207910692</v>
      </c>
      <c r="C40" s="955"/>
      <c r="D40" s="393">
        <f t="shared" si="0"/>
        <v>29.909481020659072</v>
      </c>
      <c r="E40" s="385">
        <f t="shared" si="1"/>
        <v>33.349393855834826</v>
      </c>
      <c r="F40" s="385">
        <f t="shared" si="2"/>
        <v>33.420005026181023</v>
      </c>
      <c r="G40" s="110">
        <f t="shared" si="21"/>
        <v>0.95625522725983358</v>
      </c>
      <c r="H40" s="414" t="b">
        <f>Wh_hp&gt;='2022'!Maxi_hp</f>
        <v>0</v>
      </c>
      <c r="I40" s="390">
        <f>IF(H40,Wh_hp,'2022'!Maxi_hp)</f>
        <v>33.422605659814721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3.6739982615858979E-2</v>
      </c>
      <c r="M40" s="959"/>
      <c r="N40" s="959"/>
      <c r="O40" s="48">
        <f>IF(t&lt;Tnet,'2022'!Resal+('2022'!Salim-'2022'!Resal)*(1-EXP(('2022'!Tnet-t)/('2022'!Tau_j))),Resal+(Salim-Resal)*(1-EXP((Tnet-t)/(Tau_j))))*Salcycl</f>
        <v>0.10314768688288774</v>
      </c>
      <c r="P40" s="169">
        <f>(INDEX(Models!$BJ40:$BT40,,T40)*(1-R40)+INDEX(Models!$BJ40:$BT40,,T40+1)*R40-ERP_i)*Q40*Ramure*Pc/MaxiM</f>
        <v>2.2532176151448154E-3</v>
      </c>
      <c r="Q40" s="305">
        <f t="shared" si="4"/>
        <v>0.7</v>
      </c>
      <c r="R40" s="177">
        <f t="shared" si="5"/>
        <v>0.50128478332466364</v>
      </c>
      <c r="S40" s="921">
        <f t="shared" si="6"/>
        <v>0</v>
      </c>
      <c r="T40" s="176">
        <f t="shared" si="7"/>
        <v>6</v>
      </c>
      <c r="U40" s="251">
        <f t="shared" si="8"/>
        <v>0.50128478332466364</v>
      </c>
      <c r="V40" s="383">
        <f t="shared" si="9"/>
        <v>30.124336578501786</v>
      </c>
      <c r="W40" s="402">
        <f t="shared" si="10"/>
        <v>28.810607207910692</v>
      </c>
      <c r="X40" s="157">
        <f t="shared" si="11"/>
        <v>44952</v>
      </c>
      <c r="Y40" s="385">
        <f t="shared" si="12"/>
        <v>27.447888901680113</v>
      </c>
      <c r="Z40" s="385">
        <f t="shared" si="22"/>
        <v>28.494786876152563</v>
      </c>
      <c r="AA40" s="386">
        <f t="shared" si="13"/>
        <v>33.349393855834826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0.145568072411394</v>
      </c>
      <c r="AD40" s="231">
        <f>(INDEX(Models!$BJ40:$BT40,,AH40)*(1-AF40)+INDEX(Models!$BJ40:$BT40,,AH40+1)*AF40-ERP_i)*AE40*Ramure*Pc/MaxiM</f>
        <v>2.2532176151448154E-3</v>
      </c>
      <c r="AE40" s="305">
        <f t="shared" si="15"/>
        <v>0.7</v>
      </c>
      <c r="AF40" s="177">
        <f t="shared" si="23"/>
        <v>0.50128478332466364</v>
      </c>
      <c r="AG40" s="921">
        <f t="shared" si="24"/>
        <v>0</v>
      </c>
      <c r="AH40" s="176">
        <f t="shared" si="16"/>
        <v>6</v>
      </c>
      <c r="AI40" s="225">
        <f t="shared" si="17"/>
        <v>0.50128478332466364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28.549607577171766</v>
      </c>
      <c r="C41" s="955"/>
      <c r="D41" s="393">
        <f t="shared" si="0"/>
        <v>29.639175700530405</v>
      </c>
      <c r="E41" s="385">
        <f t="shared" si="1"/>
        <v>33.049894896741066</v>
      </c>
      <c r="F41" s="385">
        <f t="shared" si="2"/>
        <v>33.114380120225356</v>
      </c>
      <c r="G41" s="110">
        <f t="shared" si="21"/>
        <v>0.93850170838284563</v>
      </c>
      <c r="H41" s="414" t="b">
        <f>Wh_hp&gt;='2022'!Maxi_hp</f>
        <v>0</v>
      </c>
      <c r="I41" s="390">
        <f>IF(H41,Wh_hp,'2022'!Maxi_hp)</f>
        <v>33.117741356998614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3.6761080482381359E-2</v>
      </c>
      <c r="M41" s="959"/>
      <c r="N41" s="959"/>
      <c r="O41" s="48">
        <f>IF(t&lt;Tnet,'2022'!Resal+('2022'!Salim-'2022'!Resal)*(1-EXP(('2022'!Tnet-t)/('2022'!Tau_j))),Resal+(Salim-Resal)*(1-EXP((Tnet-t)/(Tau_j))))*Salcycl</f>
        <v>0.10319909357856924</v>
      </c>
      <c r="P41" s="169">
        <f>(INDEX(Models!$BJ41:$BT41,,T41)*(1-R41)+INDEX(Models!$BJ41:$BT41,,T41+1)*R41-ERP_i)*Q41*Ramure*Pc/MaxiM</f>
        <v>2.1343221065696712E-3</v>
      </c>
      <c r="Q41" s="305">
        <f t="shared" si="4"/>
        <v>0.7</v>
      </c>
      <c r="R41" s="177">
        <f t="shared" si="5"/>
        <v>0.50136598800648535</v>
      </c>
      <c r="S41" s="921">
        <f t="shared" si="6"/>
        <v>0</v>
      </c>
      <c r="T41" s="176">
        <f t="shared" si="7"/>
        <v>6</v>
      </c>
      <c r="U41" s="251">
        <f t="shared" si="8"/>
        <v>0.50136598800648535</v>
      </c>
      <c r="V41" s="383">
        <f t="shared" si="9"/>
        <v>30.414711950880204</v>
      </c>
      <c r="W41" s="402">
        <f t="shared" si="10"/>
        <v>28.549607577171766</v>
      </c>
      <c r="X41" s="157">
        <f t="shared" si="11"/>
        <v>44953</v>
      </c>
      <c r="Y41" s="385">
        <f t="shared" si="12"/>
        <v>27.20039607978056</v>
      </c>
      <c r="Z41" s="385">
        <f t="shared" si="22"/>
        <v>28.238472853030352</v>
      </c>
      <c r="AA41" s="386">
        <f t="shared" si="13"/>
        <v>33.049894896741066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0.14558055505904657</v>
      </c>
      <c r="AD41" s="231">
        <f>(INDEX(Models!$BJ41:$BT41,,AH41)*(1-AF41)+INDEX(Models!$BJ41:$BT41,,AH41+1)*AF41-ERP_i)*AE41*Ramure*Pc/MaxiM</f>
        <v>2.1343221065696712E-3</v>
      </c>
      <c r="AE41" s="305">
        <f t="shared" si="15"/>
        <v>0.7</v>
      </c>
      <c r="AF41" s="177">
        <f t="shared" si="23"/>
        <v>0.50136598800648535</v>
      </c>
      <c r="AG41" s="921">
        <f t="shared" si="24"/>
        <v>0</v>
      </c>
      <c r="AH41" s="176">
        <f t="shared" si="16"/>
        <v>6</v>
      </c>
      <c r="AI41" s="225">
        <f t="shared" si="17"/>
        <v>0.50136598800648535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3.8681722843098476</v>
      </c>
      <c r="C42" s="955"/>
      <c r="D42" s="393">
        <f t="shared" si="0"/>
        <v>4.0158852914738477</v>
      </c>
      <c r="E42" s="385">
        <f t="shared" si="1"/>
        <v>4.4782693593854193</v>
      </c>
      <c r="F42" s="385">
        <f t="shared" si="2"/>
        <v>4.4782693593854193</v>
      </c>
      <c r="G42" s="110">
        <f t="shared" si="21"/>
        <v>0.12570435607171529</v>
      </c>
      <c r="H42" s="414" t="b">
        <f>Wh_hp&gt;='2022'!Maxi_hp</f>
        <v>0</v>
      </c>
      <c r="I42" s="390">
        <f>IF(H42,Wh_hp,'2022'!Maxi_hp)</f>
        <v>17.427879917759782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3.6782177886806267E-2</v>
      </c>
      <c r="M42" s="959"/>
      <c r="N42" s="959"/>
      <c r="O42" s="48">
        <f>IF(t&lt;Tnet,'2022'!Resal+('2022'!Salim-'2022'!Resal)*(1-EXP(('2022'!Tnet-t)/('2022'!Tau_j))),Resal+(Salim-Resal)*(1-EXP((Tnet-t)/(Tau_j))))*Salcycl</f>
        <v>0.1032506155402468</v>
      </c>
      <c r="P42" s="169">
        <f>(INDEX(Models!$BJ42:$BT42,,T42)*(1-R42)+INDEX(Models!$BJ42:$BT42,,T42+1)*R42-ERP_i)*Q42*Ramure*Pc/MaxiM</f>
        <v>2.0219610792245914E-3</v>
      </c>
      <c r="Q42" s="305">
        <f t="shared" si="4"/>
        <v>0.7</v>
      </c>
      <c r="R42" s="177">
        <f t="shared" si="5"/>
        <v>0.50145057127233128</v>
      </c>
      <c r="S42" s="921">
        <f t="shared" si="6"/>
        <v>0</v>
      </c>
      <c r="T42" s="176">
        <f t="shared" si="7"/>
        <v>6</v>
      </c>
      <c r="U42" s="251">
        <f t="shared" si="8"/>
        <v>0.50145057127233128</v>
      </c>
      <c r="V42" s="383">
        <f t="shared" si="9"/>
        <v>30.70976305945101</v>
      </c>
      <c r="W42" s="402">
        <f t="shared" si="10"/>
        <v>3.8681722843098476</v>
      </c>
      <c r="X42" s="157">
        <f t="shared" si="11"/>
        <v>44954</v>
      </c>
      <c r="Y42" s="385">
        <f t="shared" si="12"/>
        <v>3.6855252376381089</v>
      </c>
      <c r="Z42" s="385">
        <f t="shared" si="22"/>
        <v>3.8262635439536123</v>
      </c>
      <c r="AA42" s="386">
        <f t="shared" si="13"/>
        <v>4.4782693593854193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0.14559325558775363</v>
      </c>
      <c r="AD42" s="231">
        <f>(INDEX(Models!$BJ42:$BT42,,AH42)*(1-AF42)+INDEX(Models!$BJ42:$BT42,,AH42+1)*AF42-ERP_i)*AE42*Ramure*Pc/MaxiM</f>
        <v>2.0219610792245914E-3</v>
      </c>
      <c r="AE42" s="305">
        <f t="shared" si="15"/>
        <v>0.7</v>
      </c>
      <c r="AF42" s="177">
        <f t="shared" si="23"/>
        <v>0.50145057127233128</v>
      </c>
      <c r="AG42" s="921">
        <f t="shared" si="24"/>
        <v>0</v>
      </c>
      <c r="AH42" s="176">
        <f t="shared" si="16"/>
        <v>6</v>
      </c>
      <c r="AI42" s="225">
        <f t="shared" si="17"/>
        <v>0.50145057127233128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5.7511343290225723</v>
      </c>
      <c r="C43" s="955"/>
      <c r="D43" s="393">
        <f t="shared" si="0"/>
        <v>5.970882353241401</v>
      </c>
      <c r="E43" s="385">
        <f t="shared" si="1"/>
        <v>6.658745794891388</v>
      </c>
      <c r="F43" s="385">
        <f t="shared" si="2"/>
        <v>6.658745794891388</v>
      </c>
      <c r="G43" s="110">
        <f t="shared" si="21"/>
        <v>0.18511444162771237</v>
      </c>
      <c r="H43" s="414" t="b">
        <f>Wh_hp&gt;='2022'!Maxi_hp</f>
        <v>0</v>
      </c>
      <c r="I43" s="390">
        <f>IF(H43,Wh_hp,'2022'!Maxi_hp)</f>
        <v>22.511927090396647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3.6803274829143917E-2</v>
      </c>
      <c r="M43" s="959"/>
      <c r="N43" s="959"/>
      <c r="O43" s="48">
        <f>IF(t&lt;Tnet,'2022'!Resal+('2022'!Salim-'2022'!Resal)*(1-EXP(('2022'!Tnet-t)/('2022'!Tau_j))),Resal+(Salim-Resal)*(1-EXP((Tnet-t)/(Tau_j))))*Salcycl</f>
        <v>0.10330225283231544</v>
      </c>
      <c r="P43" s="169">
        <f>(INDEX(Models!$BJ43:$BT43,,T43)*(1-R43)+INDEX(Models!$BJ43:$BT43,,T43+1)*R43-ERP_i)*Q43*Ramure*Pc/MaxiM</f>
        <v>1.9160639936484207E-3</v>
      </c>
      <c r="Q43" s="305">
        <f t="shared" si="4"/>
        <v>0.7</v>
      </c>
      <c r="R43" s="177">
        <f t="shared" si="5"/>
        <v>0.50153867246761652</v>
      </c>
      <c r="S43" s="921">
        <f t="shared" si="6"/>
        <v>0</v>
      </c>
      <c r="T43" s="176">
        <f t="shared" si="7"/>
        <v>6</v>
      </c>
      <c r="U43" s="251">
        <f t="shared" si="8"/>
        <v>0.50153867246761652</v>
      </c>
      <c r="V43" s="383">
        <f t="shared" si="9"/>
        <v>31.008465558598417</v>
      </c>
      <c r="W43" s="402">
        <f t="shared" si="10"/>
        <v>5.7511343290225723</v>
      </c>
      <c r="X43" s="157">
        <f t="shared" si="11"/>
        <v>44955</v>
      </c>
      <c r="Y43" s="385">
        <f t="shared" si="12"/>
        <v>5.4798104268134917</v>
      </c>
      <c r="Z43" s="385">
        <f t="shared" si="22"/>
        <v>5.6891912976982546</v>
      </c>
      <c r="AA43" s="386">
        <f t="shared" si="13"/>
        <v>6.658745794891388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0.14560617375376897</v>
      </c>
      <c r="AD43" s="231">
        <f>(INDEX(Models!$BJ43:$BT43,,AH43)*(1-AF43)+INDEX(Models!$BJ43:$BT43,,AH43+1)*AF43-ERP_i)*AE43*Ramure*Pc/MaxiM</f>
        <v>1.9160639936484207E-3</v>
      </c>
      <c r="AE43" s="305">
        <f t="shared" si="15"/>
        <v>0.7</v>
      </c>
      <c r="AF43" s="177">
        <f t="shared" si="23"/>
        <v>0.50153867246761652</v>
      </c>
      <c r="AG43" s="921">
        <f t="shared" si="24"/>
        <v>0</v>
      </c>
      <c r="AH43" s="176">
        <f t="shared" si="16"/>
        <v>6</v>
      </c>
      <c r="AI43" s="225">
        <f t="shared" si="17"/>
        <v>0.50153867246761652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4.7162484514998484</v>
      </c>
      <c r="C44" s="955"/>
      <c r="D44" s="393">
        <f t="shared" si="0"/>
        <v>4.8965612407691701</v>
      </c>
      <c r="E44" s="385">
        <f t="shared" si="1"/>
        <v>5.4609748607767559</v>
      </c>
      <c r="F44" s="385">
        <f t="shared" si="2"/>
        <v>5.4609748607767559</v>
      </c>
      <c r="G44" s="110">
        <f t="shared" si="21"/>
        <v>0.15035809428819749</v>
      </c>
      <c r="H44" s="414" t="b">
        <f>Wh_hp&gt;='2022'!Maxi_hp</f>
        <v>0</v>
      </c>
      <c r="I44" s="390">
        <f>IF(H44,Wh_hp,'2022'!Maxi_hp)</f>
        <v>10.423685229998675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3.6824371309404413E-2</v>
      </c>
      <c r="M44" s="959"/>
      <c r="N44" s="959"/>
      <c r="O44" s="48">
        <f>IF(t&lt;Tnet,'2022'!Resal+('2022'!Salim-'2022'!Resal)*(1-EXP(('2022'!Tnet-t)/('2022'!Tau_j))),Resal+(Salim-Resal)*(1-EXP((Tnet-t)/(Tau_j))))*Salcycl</f>
        <v>0.10335400444002504</v>
      </c>
      <c r="P44" s="169">
        <f>(INDEX(Models!$BJ44:$BT44,,T44)*(1-R44)+INDEX(Models!$BJ44:$BT44,,T44+1)*R44-ERP_i)*Q44*Ramure*Pc/MaxiM</f>
        <v>1.8204972776104883E-3</v>
      </c>
      <c r="Q44" s="305">
        <f t="shared" si="4"/>
        <v>0.7</v>
      </c>
      <c r="R44" s="177">
        <f t="shared" si="5"/>
        <v>0.50163043658061002</v>
      </c>
      <c r="S44" s="921">
        <f t="shared" si="6"/>
        <v>0</v>
      </c>
      <c r="T44" s="176">
        <f t="shared" si="7"/>
        <v>6</v>
      </c>
      <c r="U44" s="251">
        <f t="shared" si="8"/>
        <v>0.50163043658061002</v>
      </c>
      <c r="V44" s="383">
        <f t="shared" si="9"/>
        <v>31.309671463446385</v>
      </c>
      <c r="W44" s="402">
        <f t="shared" si="10"/>
        <v>4.7162484514998484</v>
      </c>
      <c r="X44" s="157">
        <f t="shared" si="11"/>
        <v>44956</v>
      </c>
      <c r="Y44" s="385">
        <f t="shared" si="12"/>
        <v>4.4939381166716732</v>
      </c>
      <c r="Z44" s="385">
        <f t="shared" si="22"/>
        <v>4.6657514816700969</v>
      </c>
      <c r="AA44" s="386">
        <f t="shared" si="13"/>
        <v>5.4609748607767559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0.14561930779398391</v>
      </c>
      <c r="AD44" s="231">
        <f>(INDEX(Models!$BJ44:$BT44,,AH44)*(1-AF44)+INDEX(Models!$BJ44:$BT44,,AH44+1)*AF44-ERP_i)*AE44*Ramure*Pc/MaxiM</f>
        <v>1.8204972776104883E-3</v>
      </c>
      <c r="AE44" s="305">
        <f t="shared" si="15"/>
        <v>0.7</v>
      </c>
      <c r="AF44" s="177">
        <f t="shared" si="23"/>
        <v>0.50163043658061002</v>
      </c>
      <c r="AG44" s="921">
        <f t="shared" si="24"/>
        <v>0</v>
      </c>
      <c r="AH44" s="176">
        <f t="shared" si="16"/>
        <v>6</v>
      </c>
      <c r="AI44" s="225">
        <f t="shared" si="17"/>
        <v>0.50163043658061002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6.4718912359112881</v>
      </c>
      <c r="C45" s="955"/>
      <c r="D45" s="393">
        <f t="shared" si="0"/>
        <v>6.7194733725170277</v>
      </c>
      <c r="E45" s="385">
        <f t="shared" si="1"/>
        <v>7.4944427299487408</v>
      </c>
      <c r="F45" s="385">
        <f t="shared" si="2"/>
        <v>7.4944427299487408</v>
      </c>
      <c r="G45" s="110">
        <f t="shared" si="21"/>
        <v>0.20437141594656075</v>
      </c>
      <c r="H45" s="414" t="b">
        <f>Wh_hp&gt;='2022'!Maxi_hp</f>
        <v>0</v>
      </c>
      <c r="I45" s="390">
        <f>IF(H45,Wh_hp,'2022'!Maxi_hp)</f>
        <v>26.210661022055326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3.6845467327597858E-2</v>
      </c>
      <c r="M45" s="959"/>
      <c r="N45" s="959"/>
      <c r="O45" s="48">
        <f>IF(t&lt;Tnet,'2022'!Resal+('2022'!Salim-'2022'!Resal)*(1-EXP(('2022'!Tnet-t)/('2022'!Tau_j))),Resal+(Salim-Resal)*(1-EXP((Tnet-t)/(Tau_j))))*Salcycl</f>
        <v>0.10340586823551765</v>
      </c>
      <c r="P45" s="169">
        <f>(INDEX(Models!$BJ45:$BT45,,T45)*(1-R45)+INDEX(Models!$BJ45:$BT45,,T45+1)*R45-ERP_i)*Q45*Ramure*Pc/MaxiM</f>
        <v>1.7345269001082094E-3</v>
      </c>
      <c r="Q45" s="305">
        <f t="shared" si="4"/>
        <v>0.7</v>
      </c>
      <c r="R45" s="177">
        <f t="shared" si="5"/>
        <v>0.50172601446204013</v>
      </c>
      <c r="S45" s="921">
        <f t="shared" si="6"/>
        <v>0</v>
      </c>
      <c r="T45" s="176">
        <f t="shared" si="7"/>
        <v>6</v>
      </c>
      <c r="U45" s="251">
        <f t="shared" si="8"/>
        <v>0.50172601446204013</v>
      </c>
      <c r="V45" s="383">
        <f t="shared" si="9"/>
        <v>31.61237366069513</v>
      </c>
      <c r="W45" s="402">
        <f t="shared" si="10"/>
        <v>6.4718912359112881</v>
      </c>
      <c r="X45" s="157">
        <f t="shared" si="11"/>
        <v>44957</v>
      </c>
      <c r="Y45" s="385">
        <f t="shared" si="12"/>
        <v>6.1670853516265405</v>
      </c>
      <c r="Z45" s="385">
        <f t="shared" si="22"/>
        <v>6.4030071420783647</v>
      </c>
      <c r="AA45" s="386">
        <f t="shared" si="13"/>
        <v>7.4944427299487408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0.1456326543812072</v>
      </c>
      <c r="AD45" s="231">
        <f>(INDEX(Models!$BJ45:$BT45,,AH45)*(1-AF45)+INDEX(Models!$BJ45:$BT45,,AH45+1)*AF45-ERP_i)*AE45*Ramure*Pc/MaxiM</f>
        <v>1.7345269001082094E-3</v>
      </c>
      <c r="AE45" s="305">
        <f t="shared" si="15"/>
        <v>0.7</v>
      </c>
      <c r="AF45" s="177">
        <f t="shared" si="23"/>
        <v>0.50172601446204013</v>
      </c>
      <c r="AG45" s="921">
        <f t="shared" si="24"/>
        <v>0</v>
      </c>
      <c r="AH45" s="176">
        <f t="shared" si="16"/>
        <v>6</v>
      </c>
      <c r="AI45" s="225">
        <f t="shared" si="17"/>
        <v>0.50172601446204013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13.390444683902373</v>
      </c>
      <c r="C46" s="955"/>
      <c r="D46" s="393">
        <f t="shared" si="0"/>
        <v>13.903000527107578</v>
      </c>
      <c r="E46" s="385">
        <f t="shared" si="1"/>
        <v>15.507358340014877</v>
      </c>
      <c r="F46" s="385">
        <f t="shared" si="2"/>
        <v>15.511750874873934</v>
      </c>
      <c r="G46" s="110">
        <f t="shared" si="21"/>
        <v>0.41898169096037052</v>
      </c>
      <c r="H46" s="414" t="b">
        <f>Wh_hp&gt;='2022'!Maxi_hp</f>
        <v>0</v>
      </c>
      <c r="I46" s="390">
        <f>IF(H46,Wh_hp,'2022'!Maxi_hp)</f>
        <v>29.47119267155292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3.6866562883734355E-2</v>
      </c>
      <c r="M46" s="959"/>
      <c r="N46" s="959"/>
      <c r="O46" s="48">
        <f>IF(t&lt;Tnet,'2022'!Resal+('2022'!Salim-'2022'!Resal)*(1-EXP(('2022'!Tnet-t)/('2022'!Tau_j))),Resal+(Salim-Resal)*(1-EXP((Tnet-t)/(Tau_j))))*Salcycl</f>
        <v>0.10345784096363124</v>
      </c>
      <c r="P46" s="169">
        <f>(INDEX(Models!$BJ46:$BT46,,T46)*(1-R46)+INDEX(Models!$BJ46:$BT46,,T46+1)*R46-ERP_i)*Q46*Ramure*Pc/MaxiM</f>
        <v>1.65794997044631E-3</v>
      </c>
      <c r="Q46" s="305">
        <f t="shared" si="4"/>
        <v>0.7</v>
      </c>
      <c r="R46" s="177">
        <f t="shared" si="5"/>
        <v>0.50182556305248061</v>
      </c>
      <c r="S46" s="921">
        <f t="shared" si="6"/>
        <v>0</v>
      </c>
      <c r="T46" s="176">
        <f t="shared" si="7"/>
        <v>6</v>
      </c>
      <c r="U46" s="251">
        <f t="shared" si="8"/>
        <v>0.50182556305248061</v>
      </c>
      <c r="V46" s="383">
        <f t="shared" si="9"/>
        <v>31.91554883024904</v>
      </c>
      <c r="W46" s="402">
        <f t="shared" si="10"/>
        <v>13.390444683902373</v>
      </c>
      <c r="X46" s="157">
        <f t="shared" si="11"/>
        <v>44958</v>
      </c>
      <c r="Y46" s="385">
        <f t="shared" si="12"/>
        <v>12.760333765476805</v>
      </c>
      <c r="Z46" s="385">
        <f t="shared" si="22"/>
        <v>13.248770392275798</v>
      </c>
      <c r="AA46" s="386">
        <f t="shared" si="13"/>
        <v>15.507358340014877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0.1456462086073721</v>
      </c>
      <c r="AD46" s="231">
        <f>(INDEX(Models!$BJ46:$BT46,,AH46)*(1-AF46)+INDEX(Models!$BJ46:$BT46,,AH46+1)*AF46-ERP_i)*AE46*Ramure*Pc/MaxiM</f>
        <v>1.65794997044631E-3</v>
      </c>
      <c r="AE46" s="305">
        <f t="shared" si="15"/>
        <v>0.7</v>
      </c>
      <c r="AF46" s="177">
        <f t="shared" si="23"/>
        <v>0.50182556305248061</v>
      </c>
      <c r="AG46" s="921">
        <f t="shared" si="24"/>
        <v>0</v>
      </c>
      <c r="AH46" s="176">
        <f t="shared" si="16"/>
        <v>6</v>
      </c>
      <c r="AI46" s="225">
        <f t="shared" si="17"/>
        <v>0.50182556305248061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5.0394418216361911</v>
      </c>
      <c r="C47" s="955"/>
      <c r="D47" s="393">
        <f t="shared" si="0"/>
        <v>5.2324548256283858</v>
      </c>
      <c r="E47" s="385">
        <f t="shared" si="1"/>
        <v>5.8366009085099613</v>
      </c>
      <c r="F47" s="385">
        <f t="shared" si="2"/>
        <v>5.8366009085099613</v>
      </c>
      <c r="G47" s="110">
        <f t="shared" si="21"/>
        <v>0.15616733231571728</v>
      </c>
      <c r="H47" s="414" t="b">
        <f>Wh_hp&gt;='2022'!Maxi_hp</f>
        <v>0</v>
      </c>
      <c r="I47" s="390">
        <f>IF(H47,Wh_hp,'2022'!Maxi_hp)</f>
        <v>31.55257955620117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3.6887657977824007E-2</v>
      </c>
      <c r="M47" s="959"/>
      <c r="N47" s="959"/>
      <c r="O47" s="48">
        <f>IF(t&lt;Tnet,'2022'!Resal+('2022'!Salim-'2022'!Resal)*(1-EXP(('2022'!Tnet-t)/('2022'!Tau_j))),Resal+(Salim-Resal)*(1-EXP((Tnet-t)/(Tau_j))))*Salcycl</f>
        <v>0.10350991824723026</v>
      </c>
      <c r="P47" s="169">
        <f>(INDEX(Models!$BJ47:$BT47,,T47)*(1-R47)+INDEX(Models!$BJ47:$BT47,,T47+1)*R47-ERP_i)*Q47*Ramure*Pc/MaxiM</f>
        <v>1.5905597432415315E-3</v>
      </c>
      <c r="Q47" s="305">
        <f t="shared" si="4"/>
        <v>0.7</v>
      </c>
      <c r="R47" s="177">
        <f t="shared" si="5"/>
        <v>0.50192924561772545</v>
      </c>
      <c r="S47" s="921">
        <f t="shared" si="6"/>
        <v>0</v>
      </c>
      <c r="T47" s="176">
        <f t="shared" si="7"/>
        <v>6</v>
      </c>
      <c r="U47" s="251">
        <f t="shared" si="8"/>
        <v>0.50192924561772545</v>
      </c>
      <c r="V47" s="383">
        <f t="shared" si="9"/>
        <v>32.218174017178278</v>
      </c>
      <c r="W47" s="402">
        <f t="shared" si="10"/>
        <v>5.0394418216361911</v>
      </c>
      <c r="X47" s="157">
        <f t="shared" si="11"/>
        <v>44959</v>
      </c>
      <c r="Y47" s="385">
        <f t="shared" si="12"/>
        <v>4.802503669564147</v>
      </c>
      <c r="Z47" s="385">
        <f t="shared" si="22"/>
        <v>4.9864418303275855</v>
      </c>
      <c r="AA47" s="386">
        <f t="shared" si="13"/>
        <v>5.8366009085099613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0.14565996399425138</v>
      </c>
      <c r="AD47" s="231">
        <f>(INDEX(Models!$BJ47:$BT47,,AH47)*(1-AF47)+INDEX(Models!$BJ47:$BT47,,AH47+1)*AF47-ERP_i)*AE47*Ramure*Pc/MaxiM</f>
        <v>1.5905597432415315E-3</v>
      </c>
      <c r="AE47" s="305">
        <f t="shared" si="15"/>
        <v>0.7</v>
      </c>
      <c r="AF47" s="177">
        <f t="shared" si="23"/>
        <v>0.50192924561772545</v>
      </c>
      <c r="AG47" s="921">
        <f t="shared" si="24"/>
        <v>0</v>
      </c>
      <c r="AH47" s="176">
        <f t="shared" si="16"/>
        <v>6</v>
      </c>
      <c r="AI47" s="225">
        <f t="shared" si="17"/>
        <v>0.50192924561772545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11.023223921610047</v>
      </c>
      <c r="C48" s="955"/>
      <c r="D48" s="393">
        <f t="shared" si="0"/>
        <v>11.44566929819146</v>
      </c>
      <c r="E48" s="385">
        <f t="shared" si="1"/>
        <v>12.767944359997459</v>
      </c>
      <c r="F48" s="385">
        <f t="shared" si="2"/>
        <v>12.769033675316832</v>
      </c>
      <c r="G48" s="110">
        <f t="shared" si="21"/>
        <v>0.33848510139245813</v>
      </c>
      <c r="H48" s="414" t="b">
        <f>Wh_hp&gt;='2022'!Maxi_hp</f>
        <v>0</v>
      </c>
      <c r="I48" s="390">
        <f>IF(H48,Wh_hp,'2022'!Maxi_hp)</f>
        <v>28.70079034414249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3.6908752609876916E-2</v>
      </c>
      <c r="M48" s="959"/>
      <c r="N48" s="959"/>
      <c r="O48" s="48">
        <f>IF(t&lt;Tnet,'2022'!Resal+('2022'!Salim-'2022'!Resal)*(1-EXP(('2022'!Tnet-t)/('2022'!Tau_j))),Resal+(Salim-Resal)*(1-EXP((Tnet-t)/(Tau_j))))*Salcycl</f>
        <v>0.10356209461162334</v>
      </c>
      <c r="P48" s="169">
        <f>(INDEX(Models!$BJ48:$BT48,,T48)*(1-R48)+INDEX(Models!$BJ48:$BT48,,T48+1)*R48-ERP_i)*Q48*Ramure*Pc/MaxiM</f>
        <v>1.532148848244807E-3</v>
      </c>
      <c r="Q48" s="305">
        <f t="shared" si="4"/>
        <v>0.7</v>
      </c>
      <c r="R48" s="177">
        <f t="shared" si="5"/>
        <v>0.50203723199235839</v>
      </c>
      <c r="S48" s="921">
        <f t="shared" si="6"/>
        <v>0</v>
      </c>
      <c r="T48" s="176">
        <f t="shared" si="7"/>
        <v>6</v>
      </c>
      <c r="U48" s="251">
        <f t="shared" si="8"/>
        <v>0.50203723199235839</v>
      </c>
      <c r="V48" s="383">
        <f t="shared" si="9"/>
        <v>32.519226629416359</v>
      </c>
      <c r="W48" s="402">
        <f t="shared" si="10"/>
        <v>11.023223921610047</v>
      </c>
      <c r="X48" s="157">
        <f t="shared" si="11"/>
        <v>44960</v>
      </c>
      <c r="Y48" s="385">
        <f t="shared" si="12"/>
        <v>10.505387721376991</v>
      </c>
      <c r="Z48" s="385">
        <f t="shared" si="22"/>
        <v>10.907987950098702</v>
      </c>
      <c r="AA48" s="386">
        <f t="shared" si="13"/>
        <v>12.767944359997459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0.14567391253098524</v>
      </c>
      <c r="AD48" s="231">
        <f>(INDEX(Models!$BJ48:$BT48,,AH48)*(1-AF48)+INDEX(Models!$BJ48:$BT48,,AH48+1)*AF48-ERP_i)*AE48*Ramure*Pc/MaxiM</f>
        <v>1.532148848244807E-3</v>
      </c>
      <c r="AE48" s="305">
        <f t="shared" si="15"/>
        <v>0.7</v>
      </c>
      <c r="AF48" s="177">
        <f t="shared" si="23"/>
        <v>0.50203723199235839</v>
      </c>
      <c r="AG48" s="921">
        <f t="shared" si="24"/>
        <v>0</v>
      </c>
      <c r="AH48" s="176">
        <f t="shared" si="16"/>
        <v>6</v>
      </c>
      <c r="AI48" s="225">
        <f t="shared" si="17"/>
        <v>0.50203723199235839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10.572468500056132</v>
      </c>
      <c r="C49" s="955"/>
      <c r="D49" s="393">
        <f t="shared" si="0"/>
        <v>10.977879923602966</v>
      </c>
      <c r="E49" s="385">
        <f t="shared" si="1"/>
        <v>12.246827120973188</v>
      </c>
      <c r="F49" s="385">
        <f t="shared" si="2"/>
        <v>12.247401856631718</v>
      </c>
      <c r="G49" s="110">
        <f t="shared" si="21"/>
        <v>0.32169515586701047</v>
      </c>
      <c r="H49" s="414" t="b">
        <f>Wh_hp&gt;='2022'!Maxi_hp</f>
        <v>0</v>
      </c>
      <c r="I49" s="390">
        <f>IF(H49,Wh_hp,'2022'!Maxi_hp)</f>
        <v>29.923583051666235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3.6929846779903297E-2</v>
      </c>
      <c r="M49" s="959"/>
      <c r="N49" s="959"/>
      <c r="O49" s="48">
        <f>IF(t&lt;Tnet,'2022'!Resal+('2022'!Salim-'2022'!Resal)*(1-EXP(('2022'!Tnet-t)/('2022'!Tau_j))),Resal+(Salim-Resal)*(1-EXP((Tnet-t)/(Tau_j))))*Salcycl</f>
        <v>0.10361436352743961</v>
      </c>
      <c r="P49" s="169">
        <f>(INDEX(Models!$BJ49:$BT49,,T49)*(1-R49)+INDEX(Models!$BJ49:$BT49,,T49+1)*R49-ERP_i)*Q49*Ramure*Pc/MaxiM</f>
        <v>1.4825122004200723E-3</v>
      </c>
      <c r="Q49" s="305">
        <f t="shared" si="4"/>
        <v>0.7</v>
      </c>
      <c r="R49" s="177">
        <f t="shared" si="5"/>
        <v>0.50214969883172444</v>
      </c>
      <c r="S49" s="921">
        <f t="shared" si="6"/>
        <v>0</v>
      </c>
      <c r="T49" s="176">
        <f t="shared" si="7"/>
        <v>6</v>
      </c>
      <c r="U49" s="251">
        <f t="shared" si="8"/>
        <v>0.50214969883172444</v>
      </c>
      <c r="V49" s="383">
        <f t="shared" si="9"/>
        <v>32.817684436667399</v>
      </c>
      <c r="W49" s="402">
        <f t="shared" si="10"/>
        <v>10.572468500056132</v>
      </c>
      <c r="X49" s="157">
        <f t="shared" si="11"/>
        <v>44961</v>
      </c>
      <c r="Y49" s="385">
        <f t="shared" si="12"/>
        <v>10.076228208851999</v>
      </c>
      <c r="Z49" s="385">
        <f t="shared" si="22"/>
        <v>10.462610823480906</v>
      </c>
      <c r="AA49" s="386">
        <f t="shared" si="13"/>
        <v>12.246827120973188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0.14568804473746017</v>
      </c>
      <c r="AD49" s="231">
        <f>(INDEX(Models!$BJ49:$BT49,,AH49)*(1-AF49)+INDEX(Models!$BJ49:$BT49,,AH49+1)*AF49-ERP_i)*AE49*Ramure*Pc/MaxiM</f>
        <v>1.4825122004200723E-3</v>
      </c>
      <c r="AE49" s="305">
        <f t="shared" si="15"/>
        <v>0.7</v>
      </c>
      <c r="AF49" s="177">
        <f t="shared" si="23"/>
        <v>0.50214969883172444</v>
      </c>
      <c r="AG49" s="921">
        <f t="shared" si="24"/>
        <v>0</v>
      </c>
      <c r="AH49" s="176">
        <f t="shared" si="16"/>
        <v>6</v>
      </c>
      <c r="AI49" s="225">
        <f t="shared" si="17"/>
        <v>0.50214969883172444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9.9891783095863858</v>
      </c>
      <c r="C50" s="955"/>
      <c r="D50" s="393">
        <f t="shared" si="0"/>
        <v>10.372450095789764</v>
      </c>
      <c r="E50" s="385">
        <f t="shared" si="1"/>
        <v>11.572090759059781</v>
      </c>
      <c r="F50" s="385">
        <f t="shared" si="2"/>
        <v>11.57213064262554</v>
      </c>
      <c r="G50" s="110">
        <f t="shared" si="21"/>
        <v>0.3012398969833221</v>
      </c>
      <c r="H50" s="414" t="b">
        <f>Wh_hp&gt;='2022'!Maxi_hp</f>
        <v>0</v>
      </c>
      <c r="I50" s="390">
        <f>IF(H50,Wh_hp,'2022'!Maxi_hp)</f>
        <v>37.591562892350396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3.6950940487913253E-2</v>
      </c>
      <c r="M50" s="959"/>
      <c r="N50" s="959"/>
      <c r="O50" s="48">
        <f>IF(t&lt;Tnet,'2022'!Resal+('2022'!Salim-'2022'!Resal)*(1-EXP(('2022'!Tnet-t)/('2022'!Tau_j))),Resal+(Salim-Resal)*(1-EXP((Tnet-t)/(Tau_j))))*Salcycl</f>
        <v>0.10366671747115533</v>
      </c>
      <c r="P50" s="169">
        <f>(INDEX(Models!$BJ50:$BT50,,T50)*(1-R50)+INDEX(Models!$BJ50:$BT50,,T50+1)*R50-ERP_i)*Q50*Ramure*Pc/MaxiM</f>
        <v>1.4414496130907401E-3</v>
      </c>
      <c r="Q50" s="305">
        <f t="shared" si="4"/>
        <v>0.7</v>
      </c>
      <c r="R50" s="177">
        <f t="shared" si="5"/>
        <v>0.50226682987250526</v>
      </c>
      <c r="S50" s="921">
        <f t="shared" si="6"/>
        <v>0</v>
      </c>
      <c r="T50" s="176">
        <f t="shared" si="7"/>
        <v>6</v>
      </c>
      <c r="U50" s="251">
        <f t="shared" si="8"/>
        <v>0.50226682987250526</v>
      </c>
      <c r="V50" s="383">
        <f t="shared" si="9"/>
        <v>33.112525567330124</v>
      </c>
      <c r="W50" s="402">
        <f t="shared" si="10"/>
        <v>9.9891783095863858</v>
      </c>
      <c r="X50" s="157">
        <f t="shared" si="11"/>
        <v>44962</v>
      </c>
      <c r="Y50" s="385">
        <f t="shared" si="12"/>
        <v>9.5207125788169229</v>
      </c>
      <c r="Z50" s="385">
        <f t="shared" si="22"/>
        <v>9.8860099439175393</v>
      </c>
      <c r="AA50" s="386">
        <f t="shared" si="13"/>
        <v>11.572090759059781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0.14570234975233071</v>
      </c>
      <c r="AD50" s="231">
        <f>(INDEX(Models!$BJ50:$BT50,,AH50)*(1-AF50)+INDEX(Models!$BJ50:$BT50,,AH50+1)*AF50-ERP_i)*AE50*Ramure*Pc/MaxiM</f>
        <v>1.4414496130907401E-3</v>
      </c>
      <c r="AE50" s="305">
        <f t="shared" si="15"/>
        <v>0.7</v>
      </c>
      <c r="AF50" s="177">
        <f t="shared" si="23"/>
        <v>0.50226682987250526</v>
      </c>
      <c r="AG50" s="921">
        <f t="shared" si="24"/>
        <v>0</v>
      </c>
      <c r="AH50" s="176">
        <f t="shared" si="16"/>
        <v>6</v>
      </c>
      <c r="AI50" s="225">
        <f t="shared" si="17"/>
        <v>0.50226682987250526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22.044408738306075</v>
      </c>
      <c r="C51" s="955"/>
      <c r="D51" s="393">
        <f t="shared" si="0"/>
        <v>22.89072541037218</v>
      </c>
      <c r="E51" s="385">
        <f t="shared" si="1"/>
        <v>25.53967917461522</v>
      </c>
      <c r="F51" s="385">
        <f t="shared" si="2"/>
        <v>25.558188584678692</v>
      </c>
      <c r="G51" s="110">
        <f t="shared" si="21"/>
        <v>0.65943597066742476</v>
      </c>
      <c r="H51" s="414" t="b">
        <f>Wh_hp&gt;='2022'!Maxi_hp</f>
        <v>0</v>
      </c>
      <c r="I51" s="390">
        <f>IF(H51,Wh_hp,'2022'!Maxi_hp)</f>
        <v>39.747861870771352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3.6972033733916776E-2</v>
      </c>
      <c r="M51" s="959"/>
      <c r="N51" s="959"/>
      <c r="O51" s="48">
        <f>IF(t&lt;Tnet,'2022'!Resal+('2022'!Salim-'2022'!Resal)*(1-EXP(('2022'!Tnet-t)/('2022'!Tau_j))),Resal+(Salim-Resal)*(1-EXP((Tnet-t)/(Tau_j))))*Salcycl</f>
        <v>0.10371914800229463</v>
      </c>
      <c r="P51" s="169">
        <f>(INDEX(Models!$BJ51:$BT51,,T51)*(1-R51)+INDEX(Models!$BJ51:$BT51,,T51+1)*R51-ERP_i)*Q51*Ramure*Pc/MaxiM</f>
        <v>1.4086180913285289E-3</v>
      </c>
      <c r="Q51" s="305">
        <f t="shared" si="4"/>
        <v>0.7</v>
      </c>
      <c r="R51" s="177">
        <f t="shared" si="5"/>
        <v>0.50238881620209941</v>
      </c>
      <c r="S51" s="921">
        <f t="shared" si="6"/>
        <v>0</v>
      </c>
      <c r="T51" s="176">
        <f t="shared" si="7"/>
        <v>6</v>
      </c>
      <c r="U51" s="251">
        <f t="shared" si="8"/>
        <v>0.50238881620209941</v>
      </c>
      <c r="V51" s="383">
        <f t="shared" si="9"/>
        <v>33.406291646546457</v>
      </c>
      <c r="W51" s="402">
        <f t="shared" si="10"/>
        <v>22.044408738306075</v>
      </c>
      <c r="X51" s="157">
        <f t="shared" si="11"/>
        <v>44963</v>
      </c>
      <c r="Y51" s="385">
        <f t="shared" si="12"/>
        <v>21.011458246189441</v>
      </c>
      <c r="Z51" s="385">
        <f t="shared" si="22"/>
        <v>21.818118457822653</v>
      </c>
      <c r="AA51" s="386">
        <f t="shared" si="13"/>
        <v>25.53967917461522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0.14571681544424242</v>
      </c>
      <c r="AD51" s="231">
        <f>(INDEX(Models!$BJ51:$BT51,,AH51)*(1-AF51)+INDEX(Models!$BJ51:$BT51,,AH51+1)*AF51-ERP_i)*AE51*Ramure*Pc/MaxiM</f>
        <v>1.4086180913285289E-3</v>
      </c>
      <c r="AE51" s="305">
        <f t="shared" si="15"/>
        <v>0.7</v>
      </c>
      <c r="AF51" s="177">
        <f t="shared" si="23"/>
        <v>0.50238881620209941</v>
      </c>
      <c r="AG51" s="921">
        <f t="shared" si="24"/>
        <v>0</v>
      </c>
      <c r="AH51" s="176">
        <f t="shared" si="16"/>
        <v>6</v>
      </c>
      <c r="AI51" s="225">
        <f t="shared" si="17"/>
        <v>0.50238881620209941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8.6819615133956134</v>
      </c>
      <c r="C52" s="955"/>
      <c r="D52" s="393">
        <f t="shared" si="0"/>
        <v>9.0154720100834336</v>
      </c>
      <c r="E52" s="385">
        <f t="shared" si="1"/>
        <v>10.059347005034217</v>
      </c>
      <c r="F52" s="385">
        <f t="shared" si="2"/>
        <v>10.059347005034217</v>
      </c>
      <c r="G52" s="110">
        <f t="shared" si="21"/>
        <v>0.25725403117138612</v>
      </c>
      <c r="H52" s="414" t="b">
        <f>Wh_hp&gt;='2022'!Maxi_hp</f>
        <v>0</v>
      </c>
      <c r="I52" s="390">
        <f>IF(H52,Wh_hp,'2022'!Maxi_hp)</f>
        <v>25.290736794333089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3.6993126517924191E-2</v>
      </c>
      <c r="M52" s="959"/>
      <c r="N52" s="959"/>
      <c r="O52" s="48">
        <f>IF(t&lt;Tnet,'2022'!Resal+('2022'!Salim-'2022'!Resal)*(1-EXP(('2022'!Tnet-t)/('2022'!Tau_j))),Resal+(Salim-Resal)*(1-EXP((Tnet-t)/(Tau_j))))*Salcycl</f>
        <v>0.10377164585617479</v>
      </c>
      <c r="P52" s="169">
        <f>(INDEX(Models!$BJ52:$BT52,,T52)*(1-R52)+INDEX(Models!$BJ52:$BT52,,T52+1)*R52-ERP_i)*Q52*Ramure*Pc/MaxiM</f>
        <v>1.3838834497017954E-3</v>
      </c>
      <c r="Q52" s="305">
        <f t="shared" si="4"/>
        <v>0.7</v>
      </c>
      <c r="R52" s="177">
        <f t="shared" si="5"/>
        <v>0.50251585653700082</v>
      </c>
      <c r="S52" s="921">
        <f t="shared" si="6"/>
        <v>0</v>
      </c>
      <c r="T52" s="176">
        <f t="shared" si="7"/>
        <v>6</v>
      </c>
      <c r="U52" s="251">
        <f t="shared" si="8"/>
        <v>0.50251585653700082</v>
      </c>
      <c r="V52" s="383">
        <f t="shared" si="9"/>
        <v>33.701888561544997</v>
      </c>
      <c r="W52" s="402">
        <f t="shared" si="10"/>
        <v>8.6819615133956134</v>
      </c>
      <c r="X52" s="157">
        <f t="shared" si="11"/>
        <v>44964</v>
      </c>
      <c r="Y52" s="385">
        <f t="shared" si="12"/>
        <v>8.2754878543922583</v>
      </c>
      <c r="Z52" s="385">
        <f t="shared" si="22"/>
        <v>8.593383995764686</v>
      </c>
      <c r="AA52" s="386">
        <f t="shared" si="13"/>
        <v>10.059347005034217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0.14573142854460511</v>
      </c>
      <c r="AD52" s="231">
        <f>(INDEX(Models!$BJ52:$BT52,,AH52)*(1-AF52)+INDEX(Models!$BJ52:$BT52,,AH52+1)*AF52-ERP_i)*AE52*Ramure*Pc/MaxiM</f>
        <v>1.3838834497017954E-3</v>
      </c>
      <c r="AE52" s="305">
        <f t="shared" si="15"/>
        <v>0.7</v>
      </c>
      <c r="AF52" s="177">
        <f t="shared" si="23"/>
        <v>0.50251585653700082</v>
      </c>
      <c r="AG52" s="921">
        <f t="shared" si="24"/>
        <v>0</v>
      </c>
      <c r="AH52" s="176">
        <f t="shared" si="16"/>
        <v>6</v>
      </c>
      <c r="AI52" s="225">
        <f t="shared" si="17"/>
        <v>0.50251585653700082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33.534062346217645</v>
      </c>
      <c r="C53" s="955"/>
      <c r="D53" s="393">
        <f t="shared" si="0"/>
        <v>34.823008815167604</v>
      </c>
      <c r="E53" s="385">
        <f t="shared" si="1"/>
        <v>38.857341222563512</v>
      </c>
      <c r="F53" s="385">
        <f t="shared" si="2"/>
        <v>38.909352738057017</v>
      </c>
      <c r="G53" s="110">
        <f t="shared" si="21"/>
        <v>0.9862993228106709</v>
      </c>
      <c r="H53" s="414" t="b">
        <f>Wh_hp&gt;='2022'!Maxi_hp</f>
        <v>0</v>
      </c>
      <c r="I53" s="390">
        <f>IF(H53,Wh_hp,'2022'!Maxi_hp)</f>
        <v>38.909731663461848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3.7014218839945379E-2</v>
      </c>
      <c r="M53" s="959"/>
      <c r="N53" s="959"/>
      <c r="O53" s="48">
        <f>IF(t&lt;Tnet,'2022'!Resal+('2022'!Salim-'2022'!Resal)*(1-EXP(('2022'!Tnet-t)/('2022'!Tau_j))),Resal+(Salim-Resal)*(1-EXP((Tnet-t)/(Tau_j))))*Salcycl</f>
        <v>0.10382420105092688</v>
      </c>
      <c r="P53" s="169">
        <f>(INDEX(Models!$BJ53:$BT53,,T53)*(1-R53)+INDEX(Models!$BJ53:$BT53,,T53+1)*R53-ERP_i)*Q53*Ramure*Pc/MaxiM</f>
        <v>1.3633687226057521E-3</v>
      </c>
      <c r="Q53" s="305">
        <f t="shared" si="4"/>
        <v>0.7</v>
      </c>
      <c r="R53" s="177">
        <f t="shared" si="5"/>
        <v>0.50264815751036707</v>
      </c>
      <c r="S53" s="921">
        <f t="shared" si="6"/>
        <v>0</v>
      </c>
      <c r="T53" s="176">
        <f t="shared" si="7"/>
        <v>6</v>
      </c>
      <c r="U53" s="251">
        <f t="shared" si="8"/>
        <v>0.50264815751036707</v>
      </c>
      <c r="V53" s="383">
        <f t="shared" si="9"/>
        <v>33.99897704190218</v>
      </c>
      <c r="W53" s="402">
        <f t="shared" si="10"/>
        <v>33.534062346217645</v>
      </c>
      <c r="X53" s="157">
        <f t="shared" si="11"/>
        <v>44965</v>
      </c>
      <c r="Y53" s="385">
        <f t="shared" si="12"/>
        <v>31.965381197910602</v>
      </c>
      <c r="Z53" s="385">
        <f t="shared" si="22"/>
        <v>33.194032376473629</v>
      </c>
      <c r="AA53" s="386">
        <f t="shared" si="13"/>
        <v>38.857341222563512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0.1457461748000746</v>
      </c>
      <c r="AD53" s="231">
        <f>(INDEX(Models!$BJ53:$BT53,,AH53)*(1-AF53)+INDEX(Models!$BJ53:$BT53,,AH53+1)*AF53-ERP_i)*AE53*Ramure*Pc/MaxiM</f>
        <v>1.3633687226057521E-3</v>
      </c>
      <c r="AE53" s="305">
        <f t="shared" si="15"/>
        <v>0.7</v>
      </c>
      <c r="AF53" s="177">
        <f t="shared" si="23"/>
        <v>0.50264815751036707</v>
      </c>
      <c r="AG53" s="921">
        <f t="shared" si="24"/>
        <v>0</v>
      </c>
      <c r="AH53" s="176">
        <f t="shared" si="16"/>
        <v>6</v>
      </c>
      <c r="AI53" s="225">
        <f t="shared" si="17"/>
        <v>0.50264815751036707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33.60966742760619</v>
      </c>
      <c r="C54" s="955"/>
      <c r="D54" s="393">
        <f t="shared" si="0"/>
        <v>34.902284373518889</v>
      </c>
      <c r="E54" s="385">
        <f t="shared" si="1"/>
        <v>38.94808714990458</v>
      </c>
      <c r="F54" s="385">
        <f t="shared" si="2"/>
        <v>38.999114334432512</v>
      </c>
      <c r="G54" s="110">
        <f t="shared" si="21"/>
        <v>0.97991891378285179</v>
      </c>
      <c r="H54" s="414" t="b">
        <f>Wh_hp&gt;='2022'!Maxi_hp</f>
        <v>0</v>
      </c>
      <c r="I54" s="390">
        <f>IF(H54,Wh_hp,'2022'!Maxi_hp)</f>
        <v>38.999655191950957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3.7035310699990664E-2</v>
      </c>
      <c r="M54" s="959"/>
      <c r="N54" s="959"/>
      <c r="O54" s="48">
        <f>IF(t&lt;Tnet,'2022'!Resal+('2022'!Salim-'2022'!Resal)*(1-EXP(('2022'!Tnet-t)/('2022'!Tau_j))),Resal+(Salim-Resal)*(1-EXP((Tnet-t)/(Tau_j))))*Salcycl</f>
        <v>0.10387680300740013</v>
      </c>
      <c r="P54" s="169">
        <f>(INDEX(Models!$BJ54:$BT54,,T54)*(1-R54)+INDEX(Models!$BJ54:$BT54,,T54+1)*R54-ERP_i)*Q54*Ramure*Pc/MaxiM</f>
        <v>1.3469876286690088E-3</v>
      </c>
      <c r="Q54" s="305">
        <f t="shared" si="4"/>
        <v>0.7</v>
      </c>
      <c r="R54" s="177">
        <f t="shared" si="5"/>
        <v>0.50278593396895821</v>
      </c>
      <c r="S54" s="921">
        <f t="shared" si="6"/>
        <v>0</v>
      </c>
      <c r="T54" s="176">
        <f t="shared" si="7"/>
        <v>6</v>
      </c>
      <c r="U54" s="251">
        <f t="shared" si="8"/>
        <v>0.50278593396895821</v>
      </c>
      <c r="V54" s="383">
        <f t="shared" si="9"/>
        <v>34.297092320437272</v>
      </c>
      <c r="W54" s="402">
        <f t="shared" si="10"/>
        <v>33.60966742760619</v>
      </c>
      <c r="X54" s="157">
        <f t="shared" si="11"/>
        <v>44966</v>
      </c>
      <c r="Y54" s="385">
        <f t="shared" si="12"/>
        <v>32.038772653659649</v>
      </c>
      <c r="Z54" s="385">
        <f t="shared" si="22"/>
        <v>33.27097349431267</v>
      </c>
      <c r="AA54" s="386">
        <f t="shared" si="13"/>
        <v>38.94808714990458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0.14576103914273542</v>
      </c>
      <c r="AD54" s="231">
        <f>(INDEX(Models!$BJ54:$BT54,,AH54)*(1-AF54)+INDEX(Models!$BJ54:$BT54,,AH54+1)*AF54-ERP_i)*AE54*Ramure*Pc/MaxiM</f>
        <v>1.3469876286690088E-3</v>
      </c>
      <c r="AE54" s="305">
        <f t="shared" si="15"/>
        <v>0.7</v>
      </c>
      <c r="AF54" s="177">
        <f t="shared" si="23"/>
        <v>0.50278593396895821</v>
      </c>
      <c r="AG54" s="921">
        <f t="shared" si="24"/>
        <v>0</v>
      </c>
      <c r="AH54" s="176">
        <f t="shared" si="16"/>
        <v>6</v>
      </c>
      <c r="AI54" s="225">
        <f t="shared" si="17"/>
        <v>0.50278593396895821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31.229028013362111</v>
      </c>
      <c r="C55" s="955"/>
      <c r="D55" s="393">
        <f t="shared" si="0"/>
        <v>32.430796654554008</v>
      </c>
      <c r="E55" s="385">
        <f t="shared" si="1"/>
        <v>36.192235440902223</v>
      </c>
      <c r="F55" s="385">
        <f t="shared" si="2"/>
        <v>36.233872025321929</v>
      </c>
      <c r="G55" s="110">
        <f t="shared" si="21"/>
        <v>0.90251574173549431</v>
      </c>
      <c r="H55" s="414" t="b">
        <f>Wh_hp&gt;='2022'!Maxi_hp</f>
        <v>0</v>
      </c>
      <c r="I55" s="390">
        <f>IF(H55,Wh_hp,'2022'!Maxi_hp)</f>
        <v>36.23625864148525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3.705640209807004E-2</v>
      </c>
      <c r="M55" s="959"/>
      <c r="N55" s="959"/>
      <c r="O55" s="48">
        <f>IF(t&lt;Tnet,'2022'!Resal+('2022'!Salim-'2022'!Resal)*(1-EXP(('2022'!Tnet-t)/('2022'!Tau_j))),Resal+(Salim-Resal)*(1-EXP((Tnet-t)/(Tau_j))))*Salcycl</f>
        <v>0.10392944068045239</v>
      </c>
      <c r="P55" s="169">
        <f>(INDEX(Models!$BJ55:$BT55,,T55)*(1-R55)+INDEX(Models!$BJ55:$BT55,,T55+1)*R55-ERP_i)*Q55*Ramure*Pc/MaxiM</f>
        <v>1.3346553791411637E-3</v>
      </c>
      <c r="Q55" s="305">
        <f t="shared" si="4"/>
        <v>0.7</v>
      </c>
      <c r="R55" s="177">
        <f t="shared" si="5"/>
        <v>0.50292940927962071</v>
      </c>
      <c r="S55" s="921">
        <f t="shared" si="6"/>
        <v>0</v>
      </c>
      <c r="T55" s="176">
        <f t="shared" si="7"/>
        <v>6</v>
      </c>
      <c r="U55" s="251">
        <f t="shared" si="8"/>
        <v>0.50292940927962071</v>
      </c>
      <c r="V55" s="383">
        <f t="shared" si="9"/>
        <v>34.595769799717267</v>
      </c>
      <c r="W55" s="402">
        <f t="shared" si="10"/>
        <v>31.229028013362111</v>
      </c>
      <c r="X55" s="157">
        <f t="shared" si="11"/>
        <v>44967</v>
      </c>
      <c r="Y55" s="385">
        <f t="shared" si="12"/>
        <v>29.770629962942984</v>
      </c>
      <c r="Z55" s="385">
        <f t="shared" si="22"/>
        <v>30.916275914609635</v>
      </c>
      <c r="AA55" s="386">
        <f t="shared" si="13"/>
        <v>36.192235440902223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0.14577600587583564</v>
      </c>
      <c r="AD55" s="231">
        <f>(INDEX(Models!$BJ55:$BT55,,AH55)*(1-AF55)+INDEX(Models!$BJ55:$BT55,,AH55+1)*AF55-ERP_i)*AE55*Ramure*Pc/MaxiM</f>
        <v>1.3346553791411637E-3</v>
      </c>
      <c r="AE55" s="305">
        <f t="shared" si="15"/>
        <v>0.7</v>
      </c>
      <c r="AF55" s="177">
        <f t="shared" si="23"/>
        <v>0.50292940927962071</v>
      </c>
      <c r="AG55" s="921">
        <f t="shared" si="24"/>
        <v>0</v>
      </c>
      <c r="AH55" s="176">
        <f t="shared" si="16"/>
        <v>6</v>
      </c>
      <c r="AI55" s="225">
        <f t="shared" si="17"/>
        <v>0.50292940927962071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15.720983101945004</v>
      </c>
      <c r="C56" s="955"/>
      <c r="D56" s="393">
        <f t="shared" si="0"/>
        <v>16.326322199573699</v>
      </c>
      <c r="E56" s="385">
        <f t="shared" si="1"/>
        <v>18.220977782666036</v>
      </c>
      <c r="F56" s="385">
        <f t="shared" si="2"/>
        <v>18.226175996805441</v>
      </c>
      <c r="G56" s="110">
        <f t="shared" si="21"/>
        <v>0.45005921585305042</v>
      </c>
      <c r="H56" s="414" t="b">
        <f>Wh_hp&gt;='2022'!Maxi_hp</f>
        <v>0</v>
      </c>
      <c r="I56" s="390">
        <f>IF(H56,Wh_hp,'2022'!Maxi_hp)</f>
        <v>32.069160070810902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3.707749303419372E-2</v>
      </c>
      <c r="M56" s="959"/>
      <c r="N56" s="959"/>
      <c r="O56" s="48">
        <f>IF(t&lt;Tnet,'2022'!Resal+('2022'!Salim-'2022'!Resal)*(1-EXP(('2022'!Tnet-t)/('2022'!Tau_j))),Resal+(Salim-Resal)*(1-EXP((Tnet-t)/(Tau_j))))*Salcycl</f>
        <v>0.10398210270004049</v>
      </c>
      <c r="P56" s="169">
        <f>(INDEX(Models!$BJ56:$BT56,,T56)*(1-R56)+INDEX(Models!$BJ56:$BT56,,T56+1)*R56-ERP_i)*Q56*Ramure*Pc/MaxiM</f>
        <v>1.3262892148400097E-3</v>
      </c>
      <c r="Q56" s="305">
        <f t="shared" si="4"/>
        <v>0.7</v>
      </c>
      <c r="R56" s="177">
        <f t="shared" si="5"/>
        <v>0.50307881564548196</v>
      </c>
      <c r="S56" s="921">
        <f t="shared" si="6"/>
        <v>0</v>
      </c>
      <c r="T56" s="176">
        <f t="shared" si="7"/>
        <v>6</v>
      </c>
      <c r="U56" s="251">
        <f t="shared" si="8"/>
        <v>0.50307881564548196</v>
      </c>
      <c r="V56" s="383">
        <f t="shared" si="9"/>
        <v>34.894545045070487</v>
      </c>
      <c r="W56" s="402">
        <f t="shared" si="10"/>
        <v>15.720983101945004</v>
      </c>
      <c r="X56" s="157">
        <f t="shared" si="11"/>
        <v>44968</v>
      </c>
      <c r="Y56" s="385">
        <f t="shared" si="12"/>
        <v>14.98742867687978</v>
      </c>
      <c r="Z56" s="385">
        <f t="shared" si="22"/>
        <v>15.564522138033263</v>
      </c>
      <c r="AA56" s="386">
        <f t="shared" si="13"/>
        <v>18.220977782666036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0.14579105887280705</v>
      </c>
      <c r="AD56" s="231">
        <f>(INDEX(Models!$BJ56:$BT56,,AH56)*(1-AF56)+INDEX(Models!$BJ56:$BT56,,AH56+1)*AF56-ERP_i)*AE56*Ramure*Pc/MaxiM</f>
        <v>1.3262892148400097E-3</v>
      </c>
      <c r="AE56" s="305">
        <f t="shared" si="15"/>
        <v>0.7</v>
      </c>
      <c r="AF56" s="177">
        <f t="shared" si="23"/>
        <v>0.50307881564548196</v>
      </c>
      <c r="AG56" s="921">
        <f t="shared" si="24"/>
        <v>0</v>
      </c>
      <c r="AH56" s="176">
        <f t="shared" si="16"/>
        <v>6</v>
      </c>
      <c r="AI56" s="225">
        <f t="shared" si="17"/>
        <v>0.50307881564548196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26.148140214873376</v>
      </c>
      <c r="C57" s="955"/>
      <c r="D57" s="393">
        <f t="shared" si="0"/>
        <v>27.155573527085693</v>
      </c>
      <c r="E57" s="385">
        <f t="shared" si="1"/>
        <v>30.308736149304796</v>
      </c>
      <c r="F57" s="385">
        <f t="shared" si="2"/>
        <v>30.334110759039028</v>
      </c>
      <c r="G57" s="110">
        <f t="shared" si="21"/>
        <v>0.74263274229165277</v>
      </c>
      <c r="H57" s="414" t="b">
        <f>Wh_hp&gt;='2022'!Maxi_hp</f>
        <v>0</v>
      </c>
      <c r="I57" s="390">
        <f>IF(H57,Wh_hp,'2022'!Maxi_hp)</f>
        <v>40.986650074876621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3.7098583508371696E-2</v>
      </c>
      <c r="M57" s="959"/>
      <c r="N57" s="959"/>
      <c r="O57" s="48">
        <f>IF(t&lt;Tnet,'2022'!Resal+('2022'!Salim-'2022'!Resal)*(1-EXP(('2022'!Tnet-t)/('2022'!Tau_j))),Resal+(Salim-Resal)*(1-EXP((Tnet-t)/(Tau_j))))*Salcycl</f>
        <v>0.10403477752045522</v>
      </c>
      <c r="P57" s="169">
        <f>(INDEX(Models!$BJ57:$BT57,,T57)*(1-R57)+INDEX(Models!$BJ57:$BT57,,T57+1)*R57-ERP_i)*Q57*Ramure*Pc/MaxiM</f>
        <v>1.3218088925691423E-3</v>
      </c>
      <c r="Q57" s="305">
        <f t="shared" si="4"/>
        <v>0.7</v>
      </c>
      <c r="R57" s="177">
        <f t="shared" si="5"/>
        <v>0.50323439443200479</v>
      </c>
      <c r="S57" s="921">
        <f t="shared" si="6"/>
        <v>0</v>
      </c>
      <c r="T57" s="176">
        <f t="shared" si="7"/>
        <v>6</v>
      </c>
      <c r="U57" s="251">
        <f t="shared" si="8"/>
        <v>0.50323439443200479</v>
      </c>
      <c r="V57" s="383">
        <f t="shared" si="9"/>
        <v>35.192953779504919</v>
      </c>
      <c r="W57" s="402">
        <f t="shared" si="10"/>
        <v>26.148140214873376</v>
      </c>
      <c r="X57" s="157">
        <f t="shared" si="11"/>
        <v>44969</v>
      </c>
      <c r="Y57" s="385">
        <f t="shared" si="12"/>
        <v>24.929069978289107</v>
      </c>
      <c r="Z57" s="385">
        <f t="shared" si="22"/>
        <v>25.889535056578502</v>
      </c>
      <c r="AA57" s="386">
        <f t="shared" si="13"/>
        <v>30.308736149304796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0.1458061817872158</v>
      </c>
      <c r="AD57" s="231">
        <f>(INDEX(Models!$BJ57:$BT57,,AH57)*(1-AF57)+INDEX(Models!$BJ57:$BT57,,AH57+1)*AF57-ERP_i)*AE57*Ramure*Pc/MaxiM</f>
        <v>1.3218088925691423E-3</v>
      </c>
      <c r="AE57" s="305">
        <f t="shared" si="15"/>
        <v>0.7</v>
      </c>
      <c r="AF57" s="177">
        <f t="shared" si="23"/>
        <v>0.50323439443200479</v>
      </c>
      <c r="AG57" s="921">
        <f t="shared" si="24"/>
        <v>0</v>
      </c>
      <c r="AH57" s="176">
        <f t="shared" si="16"/>
        <v>6</v>
      </c>
      <c r="AI57" s="225">
        <f t="shared" si="17"/>
        <v>0.50323439443200479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31.954795562295715</v>
      </c>
      <c r="C58" s="955"/>
      <c r="D58" s="393">
        <f t="shared" si="0"/>
        <v>33.186674068970952</v>
      </c>
      <c r="E58" s="385">
        <f t="shared" si="1"/>
        <v>37.042314231934888</v>
      </c>
      <c r="F58" s="385">
        <f t="shared" si="2"/>
        <v>37.084329456839718</v>
      </c>
      <c r="G58" s="110">
        <f t="shared" si="21"/>
        <v>0.90020560503073532</v>
      </c>
      <c r="H58" s="414" t="b">
        <f>Wh_hp&gt;='2022'!Maxi_hp</f>
        <v>0</v>
      </c>
      <c r="I58" s="390">
        <f>IF(H58,Wh_hp,'2022'!Maxi_hp)</f>
        <v>42.930559585857665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3.7119673520614183E-2</v>
      </c>
      <c r="M58" s="959"/>
      <c r="N58" s="959"/>
      <c r="O58" s="48">
        <f>IF(t&lt;Tnet,'2022'!Resal+('2022'!Salim-'2022'!Resal)*(1-EXP(('2022'!Tnet-t)/('2022'!Tau_j))),Resal+(Salim-Resal)*(1-EXP((Tnet-t)/(Tau_j))))*Salcycl</f>
        <v>0.10408745357599485</v>
      </c>
      <c r="P58" s="169">
        <f>(INDEX(Models!$BJ58:$BT58,,T58)*(1-R58)+INDEX(Models!$BJ58:$BT58,,T58+1)*R58-ERP_i)*Q58*Ramure*Pc/MaxiM</f>
        <v>1.3209660389962748E-3</v>
      </c>
      <c r="Q58" s="305">
        <f t="shared" si="4"/>
        <v>0.7</v>
      </c>
      <c r="R58" s="177">
        <f t="shared" si="5"/>
        <v>0.50339639650304402</v>
      </c>
      <c r="S58" s="921">
        <f t="shared" si="6"/>
        <v>0</v>
      </c>
      <c r="T58" s="176">
        <f t="shared" si="7"/>
        <v>6</v>
      </c>
      <c r="U58" s="251">
        <f t="shared" si="8"/>
        <v>0.50339639650304402</v>
      </c>
      <c r="V58" s="383">
        <f t="shared" si="9"/>
        <v>35.490537956665996</v>
      </c>
      <c r="W58" s="402">
        <f t="shared" si="10"/>
        <v>31.954795562295715</v>
      </c>
      <c r="X58" s="157">
        <f t="shared" si="11"/>
        <v>44970</v>
      </c>
      <c r="Y58" s="385">
        <f t="shared" si="12"/>
        <v>30.466259211426024</v>
      </c>
      <c r="Z58" s="385">
        <f t="shared" si="22"/>
        <v>31.640753657124673</v>
      </c>
      <c r="AA58" s="386">
        <f t="shared" si="13"/>
        <v>37.042314231934888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0.14582135827122342</v>
      </c>
      <c r="AD58" s="231">
        <f>(INDEX(Models!$BJ58:$BT58,,AH58)*(1-AF58)+INDEX(Models!$BJ58:$BT58,,AH58+1)*AF58-ERP_i)*AE58*Ramure*Pc/MaxiM</f>
        <v>1.3209660389962748E-3</v>
      </c>
      <c r="AE58" s="305">
        <f t="shared" si="15"/>
        <v>0.7</v>
      </c>
      <c r="AF58" s="177">
        <f t="shared" si="23"/>
        <v>0.50339639650304402</v>
      </c>
      <c r="AG58" s="921">
        <f t="shared" si="24"/>
        <v>0</v>
      </c>
      <c r="AH58" s="176">
        <f t="shared" si="16"/>
        <v>6</v>
      </c>
      <c r="AI58" s="225">
        <f t="shared" si="17"/>
        <v>0.50339639650304402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17.72736788629237</v>
      </c>
      <c r="C59" s="955"/>
      <c r="D59" s="393">
        <f t="shared" si="0"/>
        <v>18.411172896706915</v>
      </c>
      <c r="E59" s="385">
        <f t="shared" si="1"/>
        <v>20.55139793203557</v>
      </c>
      <c r="F59" s="385">
        <f t="shared" si="2"/>
        <v>20.558972905811729</v>
      </c>
      <c r="G59" s="110">
        <f t="shared" si="21"/>
        <v>0.49488669368784022</v>
      </c>
      <c r="H59" s="414" t="b">
        <f>Wh_hp&gt;='2022'!Maxi_hp</f>
        <v>0</v>
      </c>
      <c r="I59" s="390">
        <f>IF(H59,Wh_hp,'2022'!Maxi_hp)</f>
        <v>42.898613753230741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3.7140763070931393E-2</v>
      </c>
      <c r="M59" s="959"/>
      <c r="N59" s="959"/>
      <c r="O59" s="48">
        <f>IF(t&lt;Tnet,'2022'!Resal+('2022'!Salim-'2022'!Resal)*(1-EXP(('2022'!Tnet-t)/('2022'!Tau_j))),Resal+(Salim-Resal)*(1-EXP((Tnet-t)/(Tau_j))))*Salcycl</f>
        <v>0.10414011944133821</v>
      </c>
      <c r="P59" s="169">
        <f>(INDEX(Models!$BJ59:$BT59,,T59)*(1-R59)+INDEX(Models!$BJ59:$BT59,,T59+1)*R59-ERP_i)*Q59*Ramure*Pc/MaxiM</f>
        <v>1.3202185109906749E-3</v>
      </c>
      <c r="Q59" s="305">
        <f t="shared" si="4"/>
        <v>0.7</v>
      </c>
      <c r="R59" s="177">
        <f t="shared" si="5"/>
        <v>0.5035650825670257</v>
      </c>
      <c r="S59" s="921">
        <f t="shared" si="6"/>
        <v>0</v>
      </c>
      <c r="T59" s="176">
        <f t="shared" si="7"/>
        <v>6</v>
      </c>
      <c r="U59" s="251">
        <f t="shared" si="8"/>
        <v>0.5035650825670257</v>
      </c>
      <c r="V59" s="383">
        <f t="shared" si="9"/>
        <v>35.786958025250968</v>
      </c>
      <c r="W59" s="402">
        <f t="shared" si="10"/>
        <v>17.72736788629237</v>
      </c>
      <c r="X59" s="157">
        <f t="shared" si="11"/>
        <v>44971</v>
      </c>
      <c r="Y59" s="385">
        <f t="shared" si="12"/>
        <v>16.902274170579741</v>
      </c>
      <c r="Z59" s="385">
        <f t="shared" si="22"/>
        <v>17.554252503707236</v>
      </c>
      <c r="AA59" s="386">
        <f t="shared" si="13"/>
        <v>20.55139793203557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0.14583657220010204</v>
      </c>
      <c r="AD59" s="231">
        <f>(INDEX(Models!$BJ59:$BT59,,AH59)*(1-AF59)+INDEX(Models!$BJ59:$BT59,,AH59+1)*AF59-ERP_i)*AE59*Ramure*Pc/MaxiM</f>
        <v>1.3202185109906749E-3</v>
      </c>
      <c r="AE59" s="305">
        <f t="shared" si="15"/>
        <v>0.7</v>
      </c>
      <c r="AF59" s="177">
        <f t="shared" si="23"/>
        <v>0.5035650825670257</v>
      </c>
      <c r="AG59" s="921">
        <f t="shared" si="24"/>
        <v>0</v>
      </c>
      <c r="AH59" s="176">
        <f t="shared" si="16"/>
        <v>6</v>
      </c>
      <c r="AI59" s="225">
        <f t="shared" si="17"/>
        <v>0.5035650825670257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17.469999588514149</v>
      </c>
      <c r="C60" s="955"/>
      <c r="D60" s="393">
        <f t="shared" si="0"/>
        <v>18.144274432513587</v>
      </c>
      <c r="E60" s="385">
        <f t="shared" si="1"/>
        <v>20.254663841998276</v>
      </c>
      <c r="F60" s="385">
        <f t="shared" si="2"/>
        <v>20.261698651637591</v>
      </c>
      <c r="G60" s="110">
        <f t="shared" si="21"/>
        <v>0.48370730376006632</v>
      </c>
      <c r="H60" s="414" t="b">
        <f>Wh_hp&gt;='2022'!Maxi_hp</f>
        <v>0</v>
      </c>
      <c r="I60" s="390">
        <f>IF(H60,Wh_hp,'2022'!Maxi_hp)</f>
        <v>43.307632323541206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3.7161852159333209E-2</v>
      </c>
      <c r="M60" s="959"/>
      <c r="N60" s="959"/>
      <c r="O60" s="48">
        <f>IF(t&lt;Tnet,'2022'!Resal+('2022'!Salim-'2022'!Resal)*(1-EXP(('2022'!Tnet-t)/('2022'!Tau_j))),Resal+(Salim-Resal)*(1-EXP((Tnet-t)/(Tau_j))))*Salcycl</f>
        <v>0.10419276399486671</v>
      </c>
      <c r="P60" s="169">
        <f>(INDEX(Models!$BJ60:$BT60,,T60)*(1-R60)+INDEX(Models!$BJ60:$BT60,,T60+1)*R60-ERP_i)*Q60*Ramure*Pc/MaxiM</f>
        <v>1.31958125741745E-3</v>
      </c>
      <c r="Q60" s="305">
        <f t="shared" si="4"/>
        <v>0.7</v>
      </c>
      <c r="R60" s="177">
        <f t="shared" si="5"/>
        <v>0.50374072353335608</v>
      </c>
      <c r="S60" s="921">
        <f t="shared" si="6"/>
        <v>0</v>
      </c>
      <c r="T60" s="176">
        <f t="shared" si="7"/>
        <v>6</v>
      </c>
      <c r="U60" s="251">
        <f t="shared" si="8"/>
        <v>0.50374072353335608</v>
      </c>
      <c r="V60" s="383">
        <f t="shared" si="9"/>
        <v>36.081750280897886</v>
      </c>
      <c r="W60" s="402">
        <f t="shared" si="10"/>
        <v>17.469999588514149</v>
      </c>
      <c r="X60" s="157">
        <f t="shared" si="11"/>
        <v>44972</v>
      </c>
      <c r="Y60" s="385">
        <f t="shared" si="12"/>
        <v>16.657566454872548</v>
      </c>
      <c r="Z60" s="385">
        <f t="shared" si="22"/>
        <v>17.300484502229224</v>
      </c>
      <c r="AA60" s="386">
        <f t="shared" si="13"/>
        <v>20.254663841998276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0.14585180790033778</v>
      </c>
      <c r="AD60" s="231">
        <f>(INDEX(Models!$BJ60:$BT60,,AH60)*(1-AF60)+INDEX(Models!$BJ60:$BT60,,AH60+1)*AF60-ERP_i)*AE60*Ramure*Pc/MaxiM</f>
        <v>1.31958125741745E-3</v>
      </c>
      <c r="AE60" s="305">
        <f t="shared" si="15"/>
        <v>0.7</v>
      </c>
      <c r="AF60" s="177">
        <f t="shared" si="23"/>
        <v>0.50374072353335608</v>
      </c>
      <c r="AG60" s="921">
        <f t="shared" si="24"/>
        <v>0</v>
      </c>
      <c r="AH60" s="176">
        <f t="shared" si="16"/>
        <v>6</v>
      </c>
      <c r="AI60" s="225">
        <f t="shared" si="17"/>
        <v>0.50374072353335608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7.5984291150169927</v>
      </c>
      <c r="C61" s="955"/>
      <c r="D61" s="393">
        <f t="shared" si="0"/>
        <v>7.8918721290819889</v>
      </c>
      <c r="E61" s="385">
        <f t="shared" si="1"/>
        <v>8.8103057721084816</v>
      </c>
      <c r="F61" s="385">
        <f t="shared" si="2"/>
        <v>8.8103057721084816</v>
      </c>
      <c r="G61" s="110">
        <f t="shared" si="21"/>
        <v>0.20861912748711323</v>
      </c>
      <c r="H61" s="414" t="b">
        <f>Wh_hp&gt;='2022'!Maxi_hp</f>
        <v>0</v>
      </c>
      <c r="I61" s="390">
        <f>IF(H61,Wh_hp,'2022'!Maxi_hp)</f>
        <v>43.625435149292962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3.7182940785829843E-2</v>
      </c>
      <c r="M61" s="959"/>
      <c r="N61" s="959"/>
      <c r="O61" s="48">
        <f>IF(t&lt;Tnet,'2022'!Resal+('2022'!Salim-'2022'!Resal)*(1-EXP(('2022'!Tnet-t)/('2022'!Tau_j))),Resal+(Salim-Resal)*(1-EXP((Tnet-t)/(Tau_j))))*Salcycl</f>
        <v>0.10424537658318912</v>
      </c>
      <c r="P61" s="169">
        <f>(INDEX(Models!$BJ61:$BT61,,T61)*(1-R61)+INDEX(Models!$BJ61:$BT61,,T61+1)*R61-ERP_i)*Q61*Ramure*Pc/MaxiM</f>
        <v>1.3190688270694471E-3</v>
      </c>
      <c r="Q61" s="305">
        <f t="shared" si="4"/>
        <v>0.7</v>
      </c>
      <c r="R61" s="177">
        <f t="shared" si="5"/>
        <v>0.50392360087914423</v>
      </c>
      <c r="S61" s="921">
        <f t="shared" si="6"/>
        <v>0</v>
      </c>
      <c r="T61" s="176">
        <f t="shared" si="7"/>
        <v>6</v>
      </c>
      <c r="U61" s="251">
        <f t="shared" si="8"/>
        <v>0.50392360087914423</v>
      </c>
      <c r="V61" s="383">
        <f t="shared" si="9"/>
        <v>36.374451161029924</v>
      </c>
      <c r="W61" s="402">
        <f t="shared" si="10"/>
        <v>7.5984291150169927</v>
      </c>
      <c r="X61" s="157">
        <f t="shared" si="11"/>
        <v>44973</v>
      </c>
      <c r="Y61" s="385">
        <f t="shared" si="12"/>
        <v>7.2453644143532197</v>
      </c>
      <c r="Z61" s="385">
        <f t="shared" si="22"/>
        <v>7.5251724561950786</v>
      </c>
      <c r="AA61" s="386">
        <f t="shared" si="13"/>
        <v>8.8103057721084816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0.14586705037887068</v>
      </c>
      <c r="AD61" s="231">
        <f>(INDEX(Models!$BJ61:$BT61,,AH61)*(1-AF61)+INDEX(Models!$BJ61:$BT61,,AH61+1)*AF61-ERP_i)*AE61*Ramure*Pc/MaxiM</f>
        <v>1.3190688270694471E-3</v>
      </c>
      <c r="AE61" s="305">
        <f t="shared" si="15"/>
        <v>0.7</v>
      </c>
      <c r="AF61" s="177">
        <f t="shared" si="23"/>
        <v>0.50392360087914423</v>
      </c>
      <c r="AG61" s="921">
        <f t="shared" si="24"/>
        <v>0</v>
      </c>
      <c r="AH61" s="176">
        <f t="shared" si="16"/>
        <v>6</v>
      </c>
      <c r="AI61" s="225">
        <f t="shared" si="17"/>
        <v>0.50392360087914423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8.8797740402532011</v>
      </c>
      <c r="C62" s="955"/>
      <c r="D62" s="393">
        <f t="shared" si="0"/>
        <v>9.2229031978323839</v>
      </c>
      <c r="E62" s="385">
        <f t="shared" si="1"/>
        <v>10.296842760210593</v>
      </c>
      <c r="F62" s="385">
        <f t="shared" si="2"/>
        <v>10.296842760210593</v>
      </c>
      <c r="G62" s="110">
        <f t="shared" si="21"/>
        <v>0.24186995062031069</v>
      </c>
      <c r="H62" s="414" t="b">
        <f>Wh_hp&gt;='2022'!Maxi_hp</f>
        <v>0</v>
      </c>
      <c r="I62" s="390">
        <f>IF(H62,Wh_hp,'2022'!Maxi_hp)</f>
        <v>44.343925318135149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3.7204028950431511E-2</v>
      </c>
      <c r="M62" s="959"/>
      <c r="N62" s="959"/>
      <c r="O62" s="48">
        <f>IF(t&lt;Tnet,'2022'!Resal+('2022'!Salim-'2022'!Resal)*(1-EXP(('2022'!Tnet-t)/('2022'!Tau_j))),Resal+(Salim-Resal)*(1-EXP((Tnet-t)/(Tau_j))))*Salcycl</f>
        <v>0.10429794718514715</v>
      </c>
      <c r="P62" s="169">
        <f>(INDEX(Models!$BJ62:$BT62,,T62)*(1-R62)+INDEX(Models!$BJ62:$BT62,,T62+1)*R62-ERP_i)*Q62*Ramure*Pc/MaxiM</f>
        <v>1.3186954381723172E-3</v>
      </c>
      <c r="Q62" s="305">
        <f t="shared" si="4"/>
        <v>0.7</v>
      </c>
      <c r="R62" s="177">
        <f t="shared" si="5"/>
        <v>0.50411400702630049</v>
      </c>
      <c r="S62" s="921">
        <f t="shared" si="6"/>
        <v>0</v>
      </c>
      <c r="T62" s="176">
        <f t="shared" si="7"/>
        <v>6</v>
      </c>
      <c r="U62" s="251">
        <f t="shared" si="8"/>
        <v>0.50411400702630049</v>
      </c>
      <c r="V62" s="383">
        <f t="shared" si="9"/>
        <v>36.664597234963978</v>
      </c>
      <c r="W62" s="402">
        <f t="shared" si="10"/>
        <v>8.8797740402532011</v>
      </c>
      <c r="X62" s="157">
        <f t="shared" si="11"/>
        <v>44974</v>
      </c>
      <c r="Y62" s="385">
        <f t="shared" si="12"/>
        <v>8.4675169429937789</v>
      </c>
      <c r="Z62" s="385">
        <f t="shared" si="22"/>
        <v>8.7947158043911653</v>
      </c>
      <c r="AA62" s="386">
        <f t="shared" si="13"/>
        <v>10.296842760210593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0.14588228555106209</v>
      </c>
      <c r="AD62" s="231">
        <f>(INDEX(Models!$BJ62:$BT62,,AH62)*(1-AF62)+INDEX(Models!$BJ62:$BT62,,AH62+1)*AF62-ERP_i)*AE62*Ramure*Pc/MaxiM</f>
        <v>1.3186954381723172E-3</v>
      </c>
      <c r="AE62" s="305">
        <f t="shared" si="15"/>
        <v>0.7</v>
      </c>
      <c r="AF62" s="177">
        <f t="shared" si="23"/>
        <v>0.50411400702630049</v>
      </c>
      <c r="AG62" s="921">
        <f t="shared" si="24"/>
        <v>0</v>
      </c>
      <c r="AH62" s="176">
        <f t="shared" si="16"/>
        <v>6</v>
      </c>
      <c r="AI62" s="225">
        <f t="shared" si="17"/>
        <v>0.50411400702630049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29.103327037832234</v>
      </c>
      <c r="C63" s="955"/>
      <c r="D63" s="393">
        <f t="shared" si="0"/>
        <v>30.228589820147388</v>
      </c>
      <c r="E63" s="385">
        <f t="shared" si="1"/>
        <v>33.75046677521901</v>
      </c>
      <c r="F63" s="385">
        <f t="shared" si="2"/>
        <v>33.78149236012181</v>
      </c>
      <c r="G63" s="110">
        <f t="shared" si="21"/>
        <v>0.78728863768538737</v>
      </c>
      <c r="H63" s="414" t="b">
        <f>Wh_hp&gt;='2022'!Maxi_hp</f>
        <v>0</v>
      </c>
      <c r="I63" s="390">
        <f>IF(H63,Wh_hp,'2022'!Maxi_hp)</f>
        <v>43.682090944826165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3.7225116653148205E-2</v>
      </c>
      <c r="M63" s="959"/>
      <c r="N63" s="959"/>
      <c r="O63" s="48">
        <f>IF(t&lt;Tnet,'2022'!Resal+('2022'!Salim-'2022'!Resal)*(1-EXP(('2022'!Tnet-t)/('2022'!Tau_j))),Resal+(Salim-Resal)*(1-EXP((Tnet-t)/(Tau_j))))*Salcycl</f>
        <v>0.10435046657362176</v>
      </c>
      <c r="P63" s="169">
        <f>(INDEX(Models!$BJ63:$BT63,,T63)*(1-R63)+INDEX(Models!$BJ63:$BT63,,T63+1)*R63-ERP_i)*Q63*Ramure*Pc/MaxiM</f>
        <v>1.3184750485401354E-3</v>
      </c>
      <c r="Q63" s="305">
        <f t="shared" si="4"/>
        <v>0.7</v>
      </c>
      <c r="R63" s="177">
        <f t="shared" si="5"/>
        <v>0.50431224572904887</v>
      </c>
      <c r="S63" s="921">
        <f t="shared" si="6"/>
        <v>0</v>
      </c>
      <c r="T63" s="176">
        <f t="shared" si="7"/>
        <v>6</v>
      </c>
      <c r="U63" s="251">
        <f t="shared" si="8"/>
        <v>0.50431224572904887</v>
      </c>
      <c r="V63" s="383">
        <f t="shared" si="9"/>
        <v>36.9517251970572</v>
      </c>
      <c r="W63" s="402">
        <f t="shared" si="10"/>
        <v>29.103327037832234</v>
      </c>
      <c r="X63" s="157">
        <f t="shared" si="11"/>
        <v>44975</v>
      </c>
      <c r="Y63" s="385">
        <f t="shared" si="12"/>
        <v>27.753293492715212</v>
      </c>
      <c r="Z63" s="385">
        <f t="shared" si="22"/>
        <v>28.826358033185976</v>
      </c>
      <c r="AA63" s="386">
        <f t="shared" si="13"/>
        <v>33.75046677521901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0.14589750046504601</v>
      </c>
      <c r="AD63" s="231">
        <f>(INDEX(Models!$BJ63:$BT63,,AH63)*(1-AF63)+INDEX(Models!$BJ63:$BT63,,AH63+1)*AF63-ERP_i)*AE63*Ramure*Pc/MaxiM</f>
        <v>1.3184750485401354E-3</v>
      </c>
      <c r="AE63" s="305">
        <f t="shared" si="15"/>
        <v>0.7</v>
      </c>
      <c r="AF63" s="177">
        <f t="shared" si="23"/>
        <v>0.50431224572904887</v>
      </c>
      <c r="AG63" s="921">
        <f t="shared" si="24"/>
        <v>0</v>
      </c>
      <c r="AH63" s="176">
        <f t="shared" si="16"/>
        <v>6</v>
      </c>
      <c r="AI63" s="225">
        <f t="shared" si="17"/>
        <v>0.50431224572904887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17.7460791690837</v>
      </c>
      <c r="C64" s="955"/>
      <c r="D64" s="393">
        <f t="shared" si="0"/>
        <v>18.432624457945696</v>
      </c>
      <c r="E64" s="385">
        <f t="shared" si="1"/>
        <v>20.581380849499443</v>
      </c>
      <c r="F64" s="385">
        <f t="shared" si="2"/>
        <v>20.588228571821919</v>
      </c>
      <c r="G64" s="110">
        <f t="shared" si="21"/>
        <v>0.47612197938755862</v>
      </c>
      <c r="H64" s="414" t="b">
        <f>Wh_hp&gt;='2022'!Maxi_hp</f>
        <v>0</v>
      </c>
      <c r="I64" s="390">
        <f>IF(H64,Wh_hp,'2022'!Maxi_hp)</f>
        <v>40.826390842051637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3.7246203893990137E-2</v>
      </c>
      <c r="M64" s="959"/>
      <c r="N64" s="959"/>
      <c r="O64" s="48">
        <f>IF(t&lt;Tnet,'2022'!Resal+('2022'!Salim-'2022'!Resal)*(1-EXP(('2022'!Tnet-t)/('2022'!Tau_j))),Resal+(Salim-Resal)*(1-EXP((Tnet-t)/(Tau_j))))*Salcycl</f>
        <v>0.10440292647351726</v>
      </c>
      <c r="P64" s="169">
        <f>(INDEX(Models!$BJ64:$BT64,,T64)*(1-R64)+INDEX(Models!$BJ64:$BT64,,T64+1)*R64-ERP_i)*Q64*Ramure*Pc/MaxiM</f>
        <v>1.3184214263940342E-3</v>
      </c>
      <c r="Q64" s="305">
        <f t="shared" si="4"/>
        <v>0.7</v>
      </c>
      <c r="R64" s="177">
        <f t="shared" si="5"/>
        <v>0.5045186324718578</v>
      </c>
      <c r="S64" s="921">
        <f t="shared" si="6"/>
        <v>0</v>
      </c>
      <c r="T64" s="176">
        <f t="shared" si="7"/>
        <v>6</v>
      </c>
      <c r="U64" s="251">
        <f t="shared" si="8"/>
        <v>0.5045186324718578</v>
      </c>
      <c r="V64" s="383">
        <f t="shared" si="9"/>
        <v>37.235371853597314</v>
      </c>
      <c r="W64" s="402">
        <f t="shared" si="10"/>
        <v>17.7460791690837</v>
      </c>
      <c r="X64" s="157">
        <f t="shared" si="11"/>
        <v>44976</v>
      </c>
      <c r="Y64" s="385">
        <f t="shared" si="12"/>
        <v>16.923571529638828</v>
      </c>
      <c r="Z64" s="385">
        <f t="shared" si="22"/>
        <v>17.578296339197561</v>
      </c>
      <c r="AA64" s="386">
        <f t="shared" si="13"/>
        <v>20.581380849499443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0.14591268352020798</v>
      </c>
      <c r="AD64" s="231">
        <f>(INDEX(Models!$BJ64:$BT64,,AH64)*(1-AF64)+INDEX(Models!$BJ64:$BT64,,AH64+1)*AF64-ERP_i)*AE64*Ramure*Pc/MaxiM</f>
        <v>1.3184214263940342E-3</v>
      </c>
      <c r="AE64" s="305">
        <f t="shared" si="15"/>
        <v>0.7</v>
      </c>
      <c r="AF64" s="177">
        <f t="shared" si="23"/>
        <v>0.5045186324718578</v>
      </c>
      <c r="AG64" s="921">
        <f t="shared" si="24"/>
        <v>0</v>
      </c>
      <c r="AH64" s="176">
        <f t="shared" si="16"/>
        <v>6</v>
      </c>
      <c r="AI64" s="225">
        <f t="shared" si="17"/>
        <v>0.5045186324718578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20.917922748044212</v>
      </c>
      <c r="C65" s="955"/>
      <c r="D65" s="393">
        <f t="shared" si="0"/>
        <v>21.727653527702628</v>
      </c>
      <c r="E65" s="385">
        <f t="shared" si="1"/>
        <v>24.261942487082624</v>
      </c>
      <c r="F65" s="385">
        <f t="shared" si="2"/>
        <v>24.273719179635243</v>
      </c>
      <c r="G65" s="110">
        <f t="shared" si="21"/>
        <v>0.55710799675852418</v>
      </c>
      <c r="H65" s="414" t="b">
        <f>Wh_hp&gt;='2022'!Maxi_hp</f>
        <v>0</v>
      </c>
      <c r="I65" s="390">
        <f>IF(H65,Wh_hp,'2022'!Maxi_hp)</f>
        <v>43.218540620250515</v>
      </c>
      <c r="J65" s="85">
        <f>IF(H65,An,'2022'!An_max)</f>
        <v>2019</v>
      </c>
      <c r="K65" s="197">
        <f t="shared" si="3"/>
        <v>44977</v>
      </c>
      <c r="L65" s="147">
        <f>IF(t&lt;Tvie,1-EXP((T0-t)*PertePVj)+'2022'!Pspv,1-EXP((T0-t)*PertePVj)+Pspv)</f>
        <v>3.7267290672967301E-2</v>
      </c>
      <c r="M65" s="959"/>
      <c r="N65" s="959"/>
      <c r="O65" s="48">
        <f>IF(t&lt;Tnet,'2022'!Resal+('2022'!Salim-'2022'!Resal)*(1-EXP(('2022'!Tnet-t)/('2022'!Tau_j))),Resal+(Salim-Resal)*(1-EXP((Tnet-t)/(Tau_j))))*Salcycl</f>
        <v>0.10445531971437508</v>
      </c>
      <c r="P65" s="169">
        <f>(INDEX(Models!$BJ65:$BT65,,T65)*(1-R65)+INDEX(Models!$BJ65:$BT65,,T65+1)*R65-ERP_i)*Q65*Ramure*Pc/MaxiM</f>
        <v>1.3185145456304295E-3</v>
      </c>
      <c r="Q65" s="305">
        <f t="shared" si="4"/>
        <v>0.7</v>
      </c>
      <c r="R65" s="177">
        <f t="shared" si="5"/>
        <v>0.50473349487776809</v>
      </c>
      <c r="S65" s="921">
        <f t="shared" si="6"/>
        <v>0</v>
      </c>
      <c r="T65" s="176">
        <f t="shared" si="7"/>
        <v>6</v>
      </c>
      <c r="U65" s="251">
        <f t="shared" si="8"/>
        <v>0.50473349487776809</v>
      </c>
      <c r="V65" s="383">
        <f t="shared" si="9"/>
        <v>37.516033533083586</v>
      </c>
      <c r="W65" s="402">
        <f t="shared" si="10"/>
        <v>20.917922748044212</v>
      </c>
      <c r="X65" s="157">
        <f t="shared" si="11"/>
        <v>44977</v>
      </c>
      <c r="Y65" s="385">
        <f t="shared" si="12"/>
        <v>19.9492176972667</v>
      </c>
      <c r="Z65" s="385">
        <f t="shared" si="22"/>
        <v>20.72144999748846</v>
      </c>
      <c r="AA65" s="386">
        <f t="shared" si="13"/>
        <v>24.261942487082624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0.14592782467764773</v>
      </c>
      <c r="AD65" s="231">
        <f>(INDEX(Models!$BJ65:$BT65,,AH65)*(1-AF65)+INDEX(Models!$BJ65:$BT65,,AH65+1)*AF65-ERP_i)*AE65*Ramure*Pc/MaxiM</f>
        <v>1.3185145456304295E-3</v>
      </c>
      <c r="AE65" s="305">
        <f t="shared" si="15"/>
        <v>0.7</v>
      </c>
      <c r="AF65" s="177">
        <f t="shared" si="23"/>
        <v>0.50473349487776809</v>
      </c>
      <c r="AG65" s="921">
        <f t="shared" si="24"/>
        <v>0</v>
      </c>
      <c r="AH65" s="176">
        <f t="shared" si="16"/>
        <v>6</v>
      </c>
      <c r="AI65" s="225">
        <f t="shared" si="17"/>
        <v>0.50473349487776809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20.596817608171062</v>
      </c>
      <c r="C66" s="955"/>
      <c r="D66" s="393">
        <f t="shared" si="0"/>
        <v>21.394587035082509</v>
      </c>
      <c r="E66" s="385">
        <f t="shared" si="1"/>
        <v>23.891423310489703</v>
      </c>
      <c r="F66" s="385">
        <f t="shared" si="2"/>
        <v>23.902448624513301</v>
      </c>
      <c r="G66" s="110">
        <f t="shared" si="21"/>
        <v>0.54450002546135545</v>
      </c>
      <c r="H66" s="414" t="b">
        <f>Wh_hp&gt;='2022'!Maxi_hp</f>
        <v>0</v>
      </c>
      <c r="I66" s="390">
        <f>IF(H66,Wh_hp,'2022'!Maxi_hp)</f>
        <v>42.441850727741603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3.7288376990089911E-2</v>
      </c>
      <c r="M66" s="959"/>
      <c r="N66" s="959"/>
      <c r="O66" s="48">
        <f>IF(t&lt;Tnet,'2022'!Resal+('2022'!Salim-'2022'!Resal)*(1-EXP(('2022'!Tnet-t)/('2022'!Tau_j))),Resal+(Salim-Resal)*(1-EXP((Tnet-t)/(Tau_j))))*Salcycl</f>
        <v>0.10450764037615715</v>
      </c>
      <c r="P66" s="169">
        <f>(INDEX(Models!$BJ66:$BT66,,T66)*(1-R66)+INDEX(Models!$BJ66:$BT66,,T66+1)*R66-ERP_i)*Q66*Ramure*Pc/MaxiM</f>
        <v>1.3180707548804277E-3</v>
      </c>
      <c r="Q66" s="305">
        <f t="shared" si="4"/>
        <v>0.7</v>
      </c>
      <c r="R66" s="177">
        <f t="shared" si="5"/>
        <v>0.50495717312705468</v>
      </c>
      <c r="S66" s="921">
        <f t="shared" si="6"/>
        <v>0</v>
      </c>
      <c r="T66" s="176">
        <f t="shared" si="7"/>
        <v>6</v>
      </c>
      <c r="U66" s="251">
        <f t="shared" si="8"/>
        <v>0.50495717312705468</v>
      </c>
      <c r="V66" s="383">
        <f t="shared" si="9"/>
        <v>37.794602365356596</v>
      </c>
      <c r="W66" s="402">
        <f t="shared" si="10"/>
        <v>20.596817608171062</v>
      </c>
      <c r="X66" s="157">
        <f t="shared" si="11"/>
        <v>44978</v>
      </c>
      <c r="Y66" s="385">
        <f t="shared" si="12"/>
        <v>19.643783449468994</v>
      </c>
      <c r="Z66" s="385">
        <f t="shared" si="22"/>
        <v>20.404639333274968</v>
      </c>
      <c r="AA66" s="386">
        <f t="shared" si="13"/>
        <v>23.891423310489703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0.14594291566061021</v>
      </c>
      <c r="AD66" s="231">
        <f>(INDEX(Models!$BJ66:$BT66,,AH66)*(1-AF66)+INDEX(Models!$BJ66:$BT66,,AH66+1)*AF66-ERP_i)*AE66*Ramure*Pc/MaxiM</f>
        <v>1.3180707548804277E-3</v>
      </c>
      <c r="AE66" s="305">
        <f t="shared" si="15"/>
        <v>0.7</v>
      </c>
      <c r="AF66" s="177">
        <f t="shared" si="23"/>
        <v>0.50495717312705468</v>
      </c>
      <c r="AG66" s="921">
        <f t="shared" si="24"/>
        <v>0</v>
      </c>
      <c r="AH66" s="176">
        <f t="shared" si="16"/>
        <v>6</v>
      </c>
      <c r="AI66" s="225">
        <f t="shared" si="17"/>
        <v>0.50495717312705468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33.7280482129161</v>
      </c>
      <c r="C67" s="955"/>
      <c r="D67" s="393">
        <f t="shared" si="0"/>
        <v>35.035192422898554</v>
      </c>
      <c r="E67" s="385">
        <f t="shared" si="1"/>
        <v>39.126226080355885</v>
      </c>
      <c r="F67" s="385">
        <f t="shared" si="2"/>
        <v>39.169402414538197</v>
      </c>
      <c r="G67" s="110">
        <f t="shared" si="21"/>
        <v>0.88573042739565366</v>
      </c>
      <c r="H67" s="414" t="b">
        <f>Wh_hp&gt;='2022'!Maxi_hp</f>
        <v>0</v>
      </c>
      <c r="I67" s="390">
        <f>IF(H67,Wh_hp,'2022'!Maxi_hp)</f>
        <v>42.464770609772728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3.7309462845368069E-2</v>
      </c>
      <c r="M67" s="959"/>
      <c r="N67" s="959"/>
      <c r="O67" s="48">
        <f>IF(t&lt;Tnet,'2022'!Resal+('2022'!Salim-'2022'!Resal)*(1-EXP(('2022'!Tnet-t)/('2022'!Tau_j))),Resal+(Salim-Resal)*(1-EXP((Tnet-t)/(Tau_j))))*Salcycl</f>
        <v>0.10455988392684055</v>
      </c>
      <c r="P67" s="169">
        <f>(INDEX(Models!$BJ67:$BT67,,T67)*(1-R67)+INDEX(Models!$BJ67:$BT67,,T67+1)*R67-ERP_i)*Q67*Ramure*Pc/MaxiM</f>
        <v>1.3169156716211128E-3</v>
      </c>
      <c r="Q67" s="305">
        <f t="shared" si="4"/>
        <v>0.7</v>
      </c>
      <c r="R67" s="177">
        <f t="shared" si="5"/>
        <v>0.50519002038612393</v>
      </c>
      <c r="S67" s="921">
        <f t="shared" si="6"/>
        <v>0</v>
      </c>
      <c r="T67" s="176">
        <f t="shared" si="7"/>
        <v>6</v>
      </c>
      <c r="U67" s="251">
        <f t="shared" si="8"/>
        <v>0.50519002038612393</v>
      </c>
      <c r="V67" s="383">
        <f t="shared" si="9"/>
        <v>38.071178916052631</v>
      </c>
      <c r="W67" s="402">
        <f t="shared" si="10"/>
        <v>33.7280482129161</v>
      </c>
      <c r="X67" s="157">
        <f t="shared" si="11"/>
        <v>44979</v>
      </c>
      <c r="Y67" s="385">
        <f t="shared" si="12"/>
        <v>32.168730120954834</v>
      </c>
      <c r="Z67" s="385">
        <f t="shared" si="22"/>
        <v>33.4154423248348</v>
      </c>
      <c r="AA67" s="386">
        <f t="shared" si="13"/>
        <v>39.126226080355885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0.14595795014301932</v>
      </c>
      <c r="AD67" s="231">
        <f>(INDEX(Models!$BJ67:$BT67,,AH67)*(1-AF67)+INDEX(Models!$BJ67:$BT67,,AH67+1)*AF67-ERP_i)*AE67*Ramure*Pc/MaxiM</f>
        <v>1.3169156716211128E-3</v>
      </c>
      <c r="AE67" s="305">
        <f t="shared" si="15"/>
        <v>0.7</v>
      </c>
      <c r="AF67" s="177">
        <f t="shared" si="23"/>
        <v>0.50519002038612393</v>
      </c>
      <c r="AG67" s="921">
        <f t="shared" si="24"/>
        <v>0</v>
      </c>
      <c r="AH67" s="176">
        <f t="shared" si="16"/>
        <v>6</v>
      </c>
      <c r="AI67" s="225">
        <f t="shared" si="17"/>
        <v>0.50519002038612393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35.182122609952103</v>
      </c>
      <c r="C68" s="955"/>
      <c r="D68" s="393">
        <f t="shared" si="0"/>
        <v>36.546420524290014</v>
      </c>
      <c r="E68" s="385">
        <f t="shared" si="1"/>
        <v>40.816296909234133</v>
      </c>
      <c r="F68" s="385">
        <f t="shared" si="2"/>
        <v>40.863701069218301</v>
      </c>
      <c r="G68" s="110">
        <f t="shared" si="21"/>
        <v>0.91735237853338458</v>
      </c>
      <c r="H68" s="414" t="b">
        <f>Wh_hp&gt;='2022'!Maxi_hp</f>
        <v>0</v>
      </c>
      <c r="I68" s="390">
        <f>IF(H68,Wh_hp,'2022'!Maxi_hp)</f>
        <v>43.491209699160983</v>
      </c>
      <c r="J68" s="85">
        <f>IF(H68,An,'2022'!An_max)</f>
        <v>2019</v>
      </c>
      <c r="K68" s="197">
        <f t="shared" si="3"/>
        <v>44980</v>
      </c>
      <c r="L68" s="147">
        <f>IF(t&lt;Tvie,1-EXP((T0-t)*PertePVj)+'2022'!Pspv,1-EXP((T0-t)*PertePVj)+Pspv)</f>
        <v>3.7330548238811878E-2</v>
      </c>
      <c r="M68" s="959"/>
      <c r="N68" s="959"/>
      <c r="O68" s="48">
        <f>IF(t&lt;Tnet,'2022'!Resal+('2022'!Salim-'2022'!Resal)*(1-EXP(('2022'!Tnet-t)/('2022'!Tau_j))),Resal+(Salim-Resal)*(1-EXP((Tnet-t)/(Tau_j))))*Salcycl</f>
        <v>0.1046120473505797</v>
      </c>
      <c r="P68" s="169">
        <f>(INDEX(Models!$BJ68:$BT68,,T68)*(1-R68)+INDEX(Models!$BJ68:$BT68,,T68+1)*R68-ERP_i)*Q68*Ramure*Pc/MaxiM</f>
        <v>1.3150538114072711E-3</v>
      </c>
      <c r="Q68" s="305">
        <f t="shared" si="4"/>
        <v>0.7</v>
      </c>
      <c r="R68" s="177">
        <f t="shared" si="5"/>
        <v>0.50543240324650185</v>
      </c>
      <c r="S68" s="921">
        <f t="shared" si="6"/>
        <v>0</v>
      </c>
      <c r="T68" s="176">
        <f t="shared" si="7"/>
        <v>6</v>
      </c>
      <c r="U68" s="251">
        <f t="shared" si="8"/>
        <v>0.50543240324650185</v>
      </c>
      <c r="V68" s="383">
        <f t="shared" si="9"/>
        <v>38.34585697836328</v>
      </c>
      <c r="W68" s="402">
        <f t="shared" si="10"/>
        <v>35.182122609952103</v>
      </c>
      <c r="X68" s="157">
        <f t="shared" si="11"/>
        <v>44980</v>
      </c>
      <c r="Y68" s="385">
        <f t="shared" si="12"/>
        <v>33.556946141394619</v>
      </c>
      <c r="Z68" s="385">
        <f t="shared" si="22"/>
        <v>34.858222705626247</v>
      </c>
      <c r="AA68" s="386">
        <f t="shared" si="13"/>
        <v>40.816296909234133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0.145972923924413</v>
      </c>
      <c r="AD68" s="231">
        <f>(INDEX(Models!$BJ68:$BT68,,AH68)*(1-AF68)+INDEX(Models!$BJ68:$BT68,,AH68+1)*AF68-ERP_i)*AE68*Ramure*Pc/MaxiM</f>
        <v>1.3150538114072711E-3</v>
      </c>
      <c r="AE68" s="305">
        <f t="shared" si="15"/>
        <v>0.7</v>
      </c>
      <c r="AF68" s="177">
        <f t="shared" si="23"/>
        <v>0.50543240324650185</v>
      </c>
      <c r="AG68" s="921">
        <f t="shared" si="24"/>
        <v>0</v>
      </c>
      <c r="AH68" s="176">
        <f t="shared" si="16"/>
        <v>6</v>
      </c>
      <c r="AI68" s="225">
        <f t="shared" si="17"/>
        <v>0.50543240324650185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20.013346969226951</v>
      </c>
      <c r="C69" s="955"/>
      <c r="D69" s="393">
        <f t="shared" si="0"/>
        <v>20.789883054743918</v>
      </c>
      <c r="E69" s="385">
        <f t="shared" si="1"/>
        <v>23.220205661685803</v>
      </c>
      <c r="F69" s="385">
        <f t="shared" si="2"/>
        <v>23.229710752256441</v>
      </c>
      <c r="G69" s="110">
        <f t="shared" si="21"/>
        <v>0.51776071249625688</v>
      </c>
      <c r="H69" s="414" t="b">
        <f>Wh_hp&gt;='2022'!Maxi_hp</f>
        <v>0</v>
      </c>
      <c r="I69" s="390">
        <f>IF(H69,Wh_hp,'2022'!Maxi_hp)</f>
        <v>44.144707241290959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3.7351633170431553E-2</v>
      </c>
      <c r="M69" s="959"/>
      <c r="N69" s="959"/>
      <c r="O69" s="48">
        <f>IF(t&lt;Tnet,'2022'!Resal+('2022'!Salim-'2022'!Resal)*(1-EXP(('2022'!Tnet-t)/('2022'!Tau_j))),Resal+(Salim-Resal)*(1-EXP((Tnet-t)/(Tau_j))))*Salcycl</f>
        <v>0.10466412926531507</v>
      </c>
      <c r="P69" s="169">
        <f>(INDEX(Models!$BJ69:$BT69,,T69)*(1-R69)+INDEX(Models!$BJ69:$BT69,,T69+1)*R69-ERP_i)*Q69*Ramure*Pc/MaxiM</f>
        <v>1.3124959615198925E-3</v>
      </c>
      <c r="Q69" s="305">
        <f t="shared" si="4"/>
        <v>0.7</v>
      </c>
      <c r="R69" s="177">
        <f t="shared" si="5"/>
        <v>0.50568470217372008</v>
      </c>
      <c r="S69" s="921">
        <f t="shared" si="6"/>
        <v>0</v>
      </c>
      <c r="T69" s="176">
        <f t="shared" si="7"/>
        <v>6</v>
      </c>
      <c r="U69" s="251">
        <f t="shared" si="8"/>
        <v>0.50568470217372008</v>
      </c>
      <c r="V69" s="383">
        <f t="shared" si="9"/>
        <v>38.618729992374774</v>
      </c>
      <c r="W69" s="402">
        <f t="shared" si="10"/>
        <v>20.013346969226951</v>
      </c>
      <c r="X69" s="157">
        <f t="shared" si="11"/>
        <v>44981</v>
      </c>
      <c r="Y69" s="385">
        <f t="shared" si="12"/>
        <v>19.089642592186671</v>
      </c>
      <c r="Z69" s="385">
        <f t="shared" si="22"/>
        <v>19.830338106797399</v>
      </c>
      <c r="AA69" s="386">
        <f t="shared" si="13"/>
        <v>23.220205661685803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0.14598783508975582</v>
      </c>
      <c r="AD69" s="231">
        <f>(INDEX(Models!$BJ69:$BT69,,AH69)*(1-AF69)+INDEX(Models!$BJ69:$BT69,,AH69+1)*AF69-ERP_i)*AE69*Ramure*Pc/MaxiM</f>
        <v>1.3124959615198925E-3</v>
      </c>
      <c r="AE69" s="305">
        <f t="shared" si="15"/>
        <v>0.7</v>
      </c>
      <c r="AF69" s="177">
        <f t="shared" si="23"/>
        <v>0.50568470217372008</v>
      </c>
      <c r="AG69" s="921">
        <f t="shared" si="24"/>
        <v>0</v>
      </c>
      <c r="AH69" s="176">
        <f t="shared" si="16"/>
        <v>6</v>
      </c>
      <c r="AI69" s="225">
        <f t="shared" si="17"/>
        <v>0.50568470217372008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29.108082400763045</v>
      </c>
      <c r="C70" s="955"/>
      <c r="D70" s="393">
        <f t="shared" si="0"/>
        <v>30.238164795629043</v>
      </c>
      <c r="E70" s="385">
        <f t="shared" si="1"/>
        <v>33.774946483290471</v>
      </c>
      <c r="F70" s="385">
        <f t="shared" si="2"/>
        <v>33.803300988242817</v>
      </c>
      <c r="G70" s="110">
        <f t="shared" si="21"/>
        <v>0.74812184411869675</v>
      </c>
      <c r="H70" s="414" t="b">
        <f>Wh_hp&gt;='2022'!Maxi_hp</f>
        <v>0</v>
      </c>
      <c r="I70" s="390">
        <f>IF(H70,Wh_hp,'2022'!Maxi_hp)</f>
        <v>44.223095559004854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3.7372717640236974E-2</v>
      </c>
      <c r="M70" s="959"/>
      <c r="N70" s="959"/>
      <c r="O70" s="48">
        <f>IF(t&lt;Tnet,'2022'!Resal+('2022'!Salim-'2022'!Resal)*(1-EXP(('2022'!Tnet-t)/('2022'!Tau_j))),Resal+(Salim-Resal)*(1-EXP((Tnet-t)/(Tau_j))))*Salcycl</f>
        <v>0.10471613002884218</v>
      </c>
      <c r="P70" s="169">
        <f>(INDEX(Models!$BJ70:$BT70,,T70)*(1-R70)+INDEX(Models!$BJ70:$BT70,,T70+1)*R70-ERP_i)*Q70*Ramure*Pc/MaxiM</f>
        <v>1.3092527048837303E-3</v>
      </c>
      <c r="Q70" s="305">
        <f t="shared" si="4"/>
        <v>0.7</v>
      </c>
      <c r="R70" s="177">
        <f t="shared" si="5"/>
        <v>0.50594731196585618</v>
      </c>
      <c r="S70" s="921">
        <f t="shared" si="6"/>
        <v>0</v>
      </c>
      <c r="T70" s="176">
        <f t="shared" si="7"/>
        <v>6</v>
      </c>
      <c r="U70" s="251">
        <f t="shared" si="8"/>
        <v>0.50594731196585618</v>
      </c>
      <c r="V70" s="383">
        <f t="shared" si="9"/>
        <v>38.889891282133505</v>
      </c>
      <c r="W70" s="402">
        <f t="shared" si="10"/>
        <v>29.108082400763045</v>
      </c>
      <c r="X70" s="157">
        <f t="shared" si="11"/>
        <v>44982</v>
      </c>
      <c r="Y70" s="385">
        <f t="shared" si="12"/>
        <v>27.765745674063879</v>
      </c>
      <c r="Z70" s="385">
        <f t="shared" si="22"/>
        <v>28.843713639612986</v>
      </c>
      <c r="AA70" s="386">
        <f t="shared" si="13"/>
        <v>33.774946483290471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0.14600268415279716</v>
      </c>
      <c r="AD70" s="231">
        <f>(INDEX(Models!$BJ70:$BT70,,AH70)*(1-AF70)+INDEX(Models!$BJ70:$BT70,,AH70+1)*AF70-ERP_i)*AE70*Ramure*Pc/MaxiM</f>
        <v>1.3092527048837303E-3</v>
      </c>
      <c r="AE70" s="305">
        <f t="shared" si="15"/>
        <v>0.7</v>
      </c>
      <c r="AF70" s="177">
        <f t="shared" si="23"/>
        <v>0.50594731196585618</v>
      </c>
      <c r="AG70" s="921">
        <f t="shared" si="24"/>
        <v>0</v>
      </c>
      <c r="AH70" s="176">
        <f t="shared" si="16"/>
        <v>6</v>
      </c>
      <c r="AI70" s="225">
        <f t="shared" si="17"/>
        <v>0.50594731196585618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39.288788309437784</v>
      </c>
      <c r="C71" s="955"/>
      <c r="D71" s="393">
        <f t="shared" si="0"/>
        <v>40.815016957828306</v>
      </c>
      <c r="E71" s="385">
        <f t="shared" si="1"/>
        <v>45.591555396760029</v>
      </c>
      <c r="F71" s="385">
        <f t="shared" si="2"/>
        <v>45.651145410531825</v>
      </c>
      <c r="G71" s="110">
        <f t="shared" si="21"/>
        <v>1.0033032719379253</v>
      </c>
      <c r="H71" s="414" t="b">
        <f>Wh_hp&gt;='2022'!Maxi_hp</f>
        <v>1</v>
      </c>
      <c r="I71" s="390">
        <f>IF(H71,Wh_hp,'2022'!Maxi_hp)</f>
        <v>45.651145410531825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3.7393801648238467E-2</v>
      </c>
      <c r="M71" s="959"/>
      <c r="N71" s="959"/>
      <c r="O71" s="48">
        <f>IF(t&lt;Tnet,'2022'!Resal+('2022'!Salim-'2022'!Resal)*(1-EXP(('2022'!Tnet-t)/('2022'!Tau_j))),Resal+(Salim-Resal)*(1-EXP((Tnet-t)/(Tau_j))))*Salcycl</f>
        <v>0.10476805183249284</v>
      </c>
      <c r="P71" s="169">
        <f>(INDEX(Models!$BJ71:$BT71,,T71)*(1-R71)+INDEX(Models!$BJ71:$BT71,,T71+1)*R71-ERP_i)*Q71*Ramure*Pc/MaxiM</f>
        <v>1.3053344715869715E-3</v>
      </c>
      <c r="Q71" s="305">
        <f t="shared" si="4"/>
        <v>0.7</v>
      </c>
      <c r="R71" s="177">
        <f t="shared" si="5"/>
        <v>0.50622064222142149</v>
      </c>
      <c r="S71" s="921">
        <f t="shared" si="6"/>
        <v>0</v>
      </c>
      <c r="T71" s="176">
        <f t="shared" si="7"/>
        <v>6</v>
      </c>
      <c r="U71" s="251">
        <f t="shared" si="8"/>
        <v>0.50622064222142149</v>
      </c>
      <c r="V71" s="383">
        <f t="shared" si="9"/>
        <v>39.159434049835923</v>
      </c>
      <c r="W71" s="402">
        <f t="shared" si="10"/>
        <v>39.288788309437784</v>
      </c>
      <c r="X71" s="157">
        <f t="shared" si="11"/>
        <v>44983</v>
      </c>
      <c r="Y71" s="385">
        <f t="shared" si="12"/>
        <v>37.478486715658143</v>
      </c>
      <c r="Z71" s="385">
        <f t="shared" si="22"/>
        <v>38.934391633703697</v>
      </c>
      <c r="AA71" s="386">
        <f t="shared" si="13"/>
        <v>45.591555396760029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0.14601747418183988</v>
      </c>
      <c r="AD71" s="231">
        <f>(INDEX(Models!$BJ71:$BT71,,AH71)*(1-AF71)+INDEX(Models!$BJ71:$BT71,,AH71+1)*AF71-ERP_i)*AE71*Ramure*Pc/MaxiM</f>
        <v>1.3053344715869715E-3</v>
      </c>
      <c r="AE71" s="305">
        <f t="shared" si="15"/>
        <v>0.7</v>
      </c>
      <c r="AF71" s="177">
        <f t="shared" si="23"/>
        <v>0.50622064222142149</v>
      </c>
      <c r="AG71" s="921">
        <f t="shared" si="24"/>
        <v>0</v>
      </c>
      <c r="AH71" s="176">
        <f t="shared" si="16"/>
        <v>6</v>
      </c>
      <c r="AI71" s="225">
        <f t="shared" si="17"/>
        <v>0.50622064222142149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27.115239835327465</v>
      </c>
      <c r="C72" s="955"/>
      <c r="D72" s="393">
        <f t="shared" si="0"/>
        <v>28.169186722573464</v>
      </c>
      <c r="E72" s="385">
        <f t="shared" si="1"/>
        <v>31.467619403332737</v>
      </c>
      <c r="F72" s="385">
        <f t="shared" si="2"/>
        <v>31.490281648942553</v>
      </c>
      <c r="G72" s="110">
        <f t="shared" si="21"/>
        <v>0.68732497453470531</v>
      </c>
      <c r="H72" s="414" t="b">
        <f>Wh_hp&gt;='2022'!Maxi_hp</f>
        <v>0</v>
      </c>
      <c r="I72" s="390">
        <f>IF(H72,Wh_hp,'2022'!Maxi_hp)</f>
        <v>44.962572405256154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3.7414885194446024E-2</v>
      </c>
      <c r="M72" s="959"/>
      <c r="N72" s="959"/>
      <c r="O72" s="48">
        <f>IF(t&lt;Tnet,'2022'!Resal+('2022'!Salim-'2022'!Resal)*(1-EXP(('2022'!Tnet-t)/('2022'!Tau_j))),Resal+(Salim-Resal)*(1-EXP((Tnet-t)/(Tau_j))))*Salcycl</f>
        <v>0.10481989878172783</v>
      </c>
      <c r="P72" s="169">
        <f>(INDEX(Models!$BJ72:$BT72,,T72)*(1-R72)+INDEX(Models!$BJ72:$BT72,,T72+1)*R72-ERP_i)*Q72*Ramure*Pc/MaxiM</f>
        <v>1.2992774098892781E-3</v>
      </c>
      <c r="Q72" s="305">
        <f t="shared" si="4"/>
        <v>0.7</v>
      </c>
      <c r="R72" s="177">
        <f t="shared" si="5"/>
        <v>0.50650511781623164</v>
      </c>
      <c r="S72" s="921">
        <f t="shared" si="6"/>
        <v>0</v>
      </c>
      <c r="T72" s="176">
        <f t="shared" si="7"/>
        <v>6</v>
      </c>
      <c r="U72" s="251">
        <f t="shared" si="8"/>
        <v>0.50650511781623164</v>
      </c>
      <c r="V72" s="383">
        <f t="shared" si="9"/>
        <v>39.427509565558829</v>
      </c>
      <c r="W72" s="402">
        <f t="shared" si="10"/>
        <v>27.115239835327465</v>
      </c>
      <c r="X72" s="157">
        <f t="shared" si="11"/>
        <v>44984</v>
      </c>
      <c r="Y72" s="385">
        <f t="shared" si="12"/>
        <v>25.866908101943171</v>
      </c>
      <c r="Z72" s="385">
        <f t="shared" si="22"/>
        <v>26.87233336988427</v>
      </c>
      <c r="AA72" s="386">
        <f t="shared" si="13"/>
        <v>31.467619403332737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0.14603221090699284</v>
      </c>
      <c r="AD72" s="231">
        <f>(INDEX(Models!$BJ72:$BT72,,AH72)*(1-AF72)+INDEX(Models!$BJ72:$BT72,,AH72+1)*AF72-ERP_i)*AE72*Ramure*Pc/MaxiM</f>
        <v>1.2992774098892781E-3</v>
      </c>
      <c r="AE72" s="305">
        <f t="shared" si="15"/>
        <v>0.7</v>
      </c>
      <c r="AF72" s="177">
        <f t="shared" si="23"/>
        <v>0.50650511781623164</v>
      </c>
      <c r="AG72" s="921">
        <f t="shared" si="24"/>
        <v>0</v>
      </c>
      <c r="AH72" s="176">
        <f t="shared" si="16"/>
        <v>6</v>
      </c>
      <c r="AI72" s="225">
        <f t="shared" si="17"/>
        <v>0.50650511781623164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31.416648478351267</v>
      </c>
      <c r="C73" s="955"/>
      <c r="D73" s="393">
        <f t="shared" si="0"/>
        <v>32.638502419601274</v>
      </c>
      <c r="E73" s="385">
        <f t="shared" si="1"/>
        <v>36.462372577898392</v>
      </c>
      <c r="F73" s="385">
        <f t="shared" si="2"/>
        <v>36.495459287344623</v>
      </c>
      <c r="G73" s="110">
        <f t="shared" si="21"/>
        <v>0.791162148632369</v>
      </c>
      <c r="H73" s="414" t="b">
        <f>Wh_hp&gt;='2022'!Maxi_hp</f>
        <v>0</v>
      </c>
      <c r="I73" s="390">
        <f>IF(H73,Wh_hp,'2022'!Maxi_hp)</f>
        <v>37.080698817786207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3.7435968278869858E-2</v>
      </c>
      <c r="M73" s="959"/>
      <c r="N73" s="959"/>
      <c r="O73" s="48">
        <f>IF(t&lt;Tnet,'2022'!Resal+('2022'!Salim-'2022'!Resal)*(1-EXP(('2022'!Tnet-t)/('2022'!Tau_j))),Resal+(Salim-Resal)*(1-EXP((Tnet-t)/(Tau_j))))*Salcycl</f>
        <v>0.10487167696308791</v>
      </c>
      <c r="P73" s="169">
        <f>(INDEX(Models!$BJ73:$BT73,,T73)*(1-R73)+INDEX(Models!$BJ73:$BT73,,T73+1)*R73-ERP_i)*Q73*Ramure*Pc/MaxiM</f>
        <v>1.2912743523671496E-3</v>
      </c>
      <c r="Q73" s="305">
        <f t="shared" si="4"/>
        <v>0.7</v>
      </c>
      <c r="R73" s="177">
        <f t="shared" si="5"/>
        <v>0.5068011793888193</v>
      </c>
      <c r="S73" s="921">
        <f t="shared" si="6"/>
        <v>0</v>
      </c>
      <c r="T73" s="176">
        <f t="shared" si="7"/>
        <v>6</v>
      </c>
      <c r="U73" s="251">
        <f t="shared" si="8"/>
        <v>0.5068011793888193</v>
      </c>
      <c r="V73" s="383">
        <f t="shared" si="9"/>
        <v>39.694204688229</v>
      </c>
      <c r="W73" s="402">
        <f t="shared" si="10"/>
        <v>31.416648478351267</v>
      </c>
      <c r="X73" s="157">
        <f t="shared" si="11"/>
        <v>44985</v>
      </c>
      <c r="Y73" s="385">
        <f t="shared" si="12"/>
        <v>29.971506409777792</v>
      </c>
      <c r="Z73" s="385">
        <f t="shared" si="22"/>
        <v>31.137155993858087</v>
      </c>
      <c r="AA73" s="386">
        <f t="shared" si="13"/>
        <v>36.462372577898392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0.14604690280818913</v>
      </c>
      <c r="AD73" s="231">
        <f>(INDEX(Models!$BJ73:$BT73,,AH73)*(1-AF73)+INDEX(Models!$BJ73:$BT73,,AH73+1)*AF73-ERP_i)*AE73*Ramure*Pc/MaxiM</f>
        <v>1.2912743523671496E-3</v>
      </c>
      <c r="AE73" s="305">
        <f t="shared" si="15"/>
        <v>0.7</v>
      </c>
      <c r="AF73" s="177">
        <f t="shared" si="23"/>
        <v>0.5068011793888193</v>
      </c>
      <c r="AG73" s="921">
        <f t="shared" si="24"/>
        <v>0</v>
      </c>
      <c r="AH73" s="176">
        <f t="shared" si="16"/>
        <v>6</v>
      </c>
      <c r="AI73" s="225">
        <f t="shared" si="17"/>
        <v>0.5068011793888193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40.156375006912349</v>
      </c>
      <c r="C74" s="955"/>
      <c r="D74" s="393">
        <f t="shared" si="0"/>
        <v>41.719047492398033</v>
      </c>
      <c r="E74" s="385">
        <f t="shared" si="1"/>
        <v>46.609471452958147</v>
      </c>
      <c r="F74" s="385">
        <f t="shared" si="2"/>
        <v>46.669271608719846</v>
      </c>
      <c r="G74" s="110">
        <f t="shared" si="21"/>
        <v>1.0049240409767171</v>
      </c>
      <c r="H74" s="414" t="b">
        <f>Wh_hp&gt;='2022'!Maxi_hp</f>
        <v>1</v>
      </c>
      <c r="I74" s="390">
        <f>IF(H74,Wh_hp,'2022'!Maxi_hp)</f>
        <v>46.669271608719846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3.7457050901520073E-2</v>
      </c>
      <c r="M74" s="959"/>
      <c r="N74" s="959"/>
      <c r="O74" s="48">
        <f>IF(t&lt;Tnet,'2022'!Resal+('2022'!Salim-'2022'!Resal)*(1-EXP(('2022'!Tnet-t)/('2022'!Tau_j))),Resal+(Salim-Resal)*(1-EXP((Tnet-t)/(Tau_j))))*Salcycl</f>
        <v>0.10492339449710143</v>
      </c>
      <c r="P74" s="169">
        <f>(INDEX(Models!$BJ74:$BT74,,T74)*(1-R74)+INDEX(Models!$BJ74:$BT74,,T74+1)*R74-ERP_i)*Q74*Ramure*Pc/MaxiM</f>
        <v>1.2813603834032059E-3</v>
      </c>
      <c r="Q74" s="305">
        <f t="shared" si="4"/>
        <v>0.7</v>
      </c>
      <c r="R74" s="177">
        <f t="shared" si="5"/>
        <v>0.5071092838338781</v>
      </c>
      <c r="S74" s="921">
        <f t="shared" si="6"/>
        <v>0</v>
      </c>
      <c r="T74" s="176">
        <f t="shared" si="7"/>
        <v>6</v>
      </c>
      <c r="U74" s="251">
        <f t="shared" si="8"/>
        <v>0.5071092838338781</v>
      </c>
      <c r="V74" s="383">
        <f t="shared" si="9"/>
        <v>39.959612238834609</v>
      </c>
      <c r="W74" s="402">
        <f t="shared" si="10"/>
        <v>40.156375006912349</v>
      </c>
      <c r="X74" s="157">
        <f t="shared" si="11"/>
        <v>44986</v>
      </c>
      <c r="Y74" s="385">
        <f t="shared" si="12"/>
        <v>38.31076800702175</v>
      </c>
      <c r="Z74" s="385">
        <f t="shared" si="22"/>
        <v>39.801619286602957</v>
      </c>
      <c r="AA74" s="386">
        <f t="shared" si="13"/>
        <v>46.609471452958147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0.14606156118346456</v>
      </c>
      <c r="AD74" s="231">
        <f>(INDEX(Models!$BJ74:$BT74,,AH74)*(1-AF74)+INDEX(Models!$BJ74:$BT74,,AH74+1)*AF74-ERP_i)*AE74*Ramure*Pc/MaxiM</f>
        <v>1.2813603834032059E-3</v>
      </c>
      <c r="AE74" s="305">
        <f t="shared" si="15"/>
        <v>0.7</v>
      </c>
      <c r="AF74" s="177">
        <f t="shared" si="23"/>
        <v>0.5071092838338781</v>
      </c>
      <c r="AG74" s="921">
        <f t="shared" si="24"/>
        <v>0</v>
      </c>
      <c r="AH74" s="176">
        <f t="shared" si="16"/>
        <v>6</v>
      </c>
      <c r="AI74" s="225">
        <f t="shared" si="17"/>
        <v>0.5071092838338781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10.127432184404752</v>
      </c>
      <c r="C75" s="955"/>
      <c r="D75" s="393">
        <f t="shared" si="0"/>
        <v>10.521768421352011</v>
      </c>
      <c r="E75" s="385">
        <f t="shared" si="1"/>
        <v>11.755838267355742</v>
      </c>
      <c r="F75" s="385">
        <f t="shared" si="2"/>
        <v>11.755838267355742</v>
      </c>
      <c r="G75" s="110">
        <f t="shared" si="21"/>
        <v>0.25145730747320377</v>
      </c>
      <c r="H75" s="414" t="b">
        <f>Wh_hp&gt;='2022'!Maxi_hp</f>
        <v>0</v>
      </c>
      <c r="I75" s="390">
        <f>IF(H75,Wh_hp,'2022'!Maxi_hp)</f>
        <v>32.956677810715547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3.747813306240666E-2</v>
      </c>
      <c r="M75" s="959"/>
      <c r="N75" s="959"/>
      <c r="O75" s="48">
        <f>IF(t&lt;Tnet,'2022'!Resal+('2022'!Salim-'2022'!Resal)*(1-EXP(('2022'!Tnet-t)/('2022'!Tau_j))),Resal+(Salim-Resal)*(1-EXP((Tnet-t)/(Tau_j))))*Salcycl</f>
        <v>0.10497506157689868</v>
      </c>
      <c r="P75" s="169">
        <f>(INDEX(Models!$BJ75:$BT75,,T75)*(1-R75)+INDEX(Models!$BJ75:$BT75,,T75+1)*R75-ERP_i)*Q75*Ramure*Pc/MaxiM</f>
        <v>1.2695696559719323E-3</v>
      </c>
      <c r="Q75" s="305">
        <f t="shared" si="4"/>
        <v>0.7</v>
      </c>
      <c r="R75" s="177">
        <f t="shared" si="5"/>
        <v>0.50742990480313965</v>
      </c>
      <c r="S75" s="921">
        <f t="shared" si="6"/>
        <v>0</v>
      </c>
      <c r="T75" s="176">
        <f t="shared" si="7"/>
        <v>6</v>
      </c>
      <c r="U75" s="251">
        <f t="shared" si="8"/>
        <v>0.50742990480313965</v>
      </c>
      <c r="V75" s="383">
        <f t="shared" si="9"/>
        <v>40.223824892773749</v>
      </c>
      <c r="W75" s="402">
        <f t="shared" si="10"/>
        <v>10.127432184404752</v>
      </c>
      <c r="X75" s="157">
        <f t="shared" si="11"/>
        <v>44987</v>
      </c>
      <c r="Y75" s="385">
        <f t="shared" si="12"/>
        <v>9.6623624682331304</v>
      </c>
      <c r="Z75" s="385">
        <f t="shared" si="22"/>
        <v>10.03859008312754</v>
      </c>
      <c r="AA75" s="386">
        <f t="shared" si="13"/>
        <v>11.755838267355742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0.14607620019720338</v>
      </c>
      <c r="AD75" s="231">
        <f>(INDEX(Models!$BJ75:$BT75,,AH75)*(1-AF75)+INDEX(Models!$BJ75:$BT75,,AH75+1)*AF75-ERP_i)*AE75*Ramure*Pc/MaxiM</f>
        <v>1.2695696559719323E-3</v>
      </c>
      <c r="AE75" s="305">
        <f t="shared" si="15"/>
        <v>0.7</v>
      </c>
      <c r="AF75" s="177">
        <f t="shared" si="23"/>
        <v>0.50742990480313965</v>
      </c>
      <c r="AG75" s="921">
        <f t="shared" si="24"/>
        <v>0</v>
      </c>
      <c r="AH75" s="176">
        <f t="shared" si="16"/>
        <v>6</v>
      </c>
      <c r="AI75" s="225">
        <f t="shared" si="17"/>
        <v>0.50742990480313965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37.971819422992951</v>
      </c>
      <c r="C76" s="955"/>
      <c r="D76" s="393">
        <f t="shared" si="0"/>
        <v>39.451208773388593</v>
      </c>
      <c r="E76" s="385">
        <f t="shared" si="1"/>
        <v>44.080877445490927</v>
      </c>
      <c r="F76" s="385">
        <f t="shared" si="2"/>
        <v>44.131384807927709</v>
      </c>
      <c r="G76" s="110">
        <f t="shared" si="21"/>
        <v>0.9377736826168136</v>
      </c>
      <c r="H76" s="414" t="b">
        <f>Wh_hp&gt;='2022'!Maxi_hp</f>
        <v>0</v>
      </c>
      <c r="I76" s="390">
        <f>IF(H76,Wh_hp,'2022'!Maxi_hp)</f>
        <v>44.133139315873827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3.7499214761539834E-2</v>
      </c>
      <c r="M76" s="959"/>
      <c r="N76" s="959"/>
      <c r="O76" s="48">
        <f>IF(t&lt;Tnet,'2022'!Resal+('2022'!Salim-'2022'!Resal)*(1-EXP(('2022'!Tnet-t)/('2022'!Tau_j))),Resal+(Salim-Resal)*(1-EXP((Tnet-t)/(Tau_j))))*Salcycl</f>
        <v>0.10502669049243035</v>
      </c>
      <c r="P76" s="169">
        <f>(INDEX(Models!$BJ76:$BT76,,T76)*(1-R76)+INDEX(Models!$BJ76:$BT76,,T76+1)*R76-ERP_i)*Q76*Ramure*Pc/MaxiM</f>
        <v>1.2559354560214044E-3</v>
      </c>
      <c r="Q76" s="305">
        <f t="shared" si="4"/>
        <v>0.7</v>
      </c>
      <c r="R76" s="177">
        <f t="shared" si="5"/>
        <v>0.5077635332129975</v>
      </c>
      <c r="S76" s="921">
        <f t="shared" si="6"/>
        <v>0</v>
      </c>
      <c r="T76" s="176">
        <f t="shared" si="7"/>
        <v>6</v>
      </c>
      <c r="U76" s="251">
        <f t="shared" si="8"/>
        <v>0.5077635332129975</v>
      </c>
      <c r="V76" s="383">
        <f t="shared" si="9"/>
        <v>40.486935178094349</v>
      </c>
      <c r="W76" s="402">
        <f t="shared" si="10"/>
        <v>37.971819422992951</v>
      </c>
      <c r="X76" s="157">
        <f t="shared" si="11"/>
        <v>44988</v>
      </c>
      <c r="Y76" s="385">
        <f t="shared" si="12"/>
        <v>36.229554781247003</v>
      </c>
      <c r="Z76" s="385">
        <f t="shared" si="22"/>
        <v>37.641065167828522</v>
      </c>
      <c r="AA76" s="386">
        <f t="shared" si="13"/>
        <v>44.080877445490927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0.14609083690826441</v>
      </c>
      <c r="AD76" s="231">
        <f>(INDEX(Models!$BJ76:$BT76,,AH76)*(1-AF76)+INDEX(Models!$BJ76:$BT76,,AH76+1)*AF76-ERP_i)*AE76*Ramure*Pc/MaxiM</f>
        <v>1.2559354560214044E-3</v>
      </c>
      <c r="AE76" s="305">
        <f t="shared" si="15"/>
        <v>0.7</v>
      </c>
      <c r="AF76" s="177">
        <f t="shared" si="23"/>
        <v>0.5077635332129975</v>
      </c>
      <c r="AG76" s="921">
        <f t="shared" si="24"/>
        <v>0</v>
      </c>
      <c r="AH76" s="176">
        <f t="shared" si="16"/>
        <v>6</v>
      </c>
      <c r="AI76" s="225">
        <f t="shared" si="17"/>
        <v>0.5077635332129975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4.0599787882990093</v>
      </c>
      <c r="C77" s="955"/>
      <c r="D77" s="393">
        <f t="shared" si="0"/>
        <v>4.218248729216314</v>
      </c>
      <c r="E77" s="385">
        <f t="shared" si="1"/>
        <v>4.7135394176572847</v>
      </c>
      <c r="F77" s="385">
        <f t="shared" si="2"/>
        <v>4.7135394176572847</v>
      </c>
      <c r="G77" s="110">
        <f t="shared" si="21"/>
        <v>9.9510144897392239E-2</v>
      </c>
      <c r="H77" s="414" t="b">
        <f>Wh_hp&gt;='2022'!Maxi_hp</f>
        <v>0</v>
      </c>
      <c r="I77" s="390">
        <f>IF(H77,Wh_hp,'2022'!Maxi_hp)</f>
        <v>33.323703114447028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3.7520295998929698E-2</v>
      </c>
      <c r="M77" s="959"/>
      <c r="N77" s="959"/>
      <c r="O77" s="48">
        <f>IF(t&lt;Tnet,'2022'!Resal+('2022'!Salim-'2022'!Resal)*(1-EXP(('2022'!Tnet-t)/('2022'!Tau_j))),Resal+(Salim-Resal)*(1-EXP((Tnet-t)/(Tau_j))))*Salcycl</f>
        <v>0.10507829564033634</v>
      </c>
      <c r="P77" s="169">
        <f>(INDEX(Models!$BJ77:$BT77,,T77)*(1-R77)+INDEX(Models!$BJ77:$BT77,,T77+1)*R77-ERP_i)*Q77*Ramure*Pc/MaxiM</f>
        <v>1.2404902520443731E-3</v>
      </c>
      <c r="Q77" s="305">
        <f t="shared" si="4"/>
        <v>0.7</v>
      </c>
      <c r="R77" s="177">
        <f t="shared" si="5"/>
        <v>0.50811067775809582</v>
      </c>
      <c r="S77" s="921">
        <f t="shared" si="6"/>
        <v>0</v>
      </c>
      <c r="T77" s="176">
        <f t="shared" si="7"/>
        <v>6</v>
      </c>
      <c r="U77" s="251">
        <f t="shared" si="8"/>
        <v>0.50811067775809582</v>
      </c>
      <c r="V77" s="383">
        <f t="shared" si="9"/>
        <v>40.749035471406295</v>
      </c>
      <c r="W77" s="402">
        <f t="shared" si="10"/>
        <v>4.0599787882990093</v>
      </c>
      <c r="X77" s="157">
        <f t="shared" si="11"/>
        <v>44989</v>
      </c>
      <c r="Y77" s="385">
        <f t="shared" si="12"/>
        <v>3.8738512832655658</v>
      </c>
      <c r="Z77" s="385">
        <f t="shared" si="22"/>
        <v>4.0248654253817469</v>
      </c>
      <c r="AA77" s="386">
        <f t="shared" si="13"/>
        <v>4.7135394176572847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0.14610549127810657</v>
      </c>
      <c r="AD77" s="231">
        <f>(INDEX(Models!$BJ77:$BT77,,AH77)*(1-AF77)+INDEX(Models!$BJ77:$BT77,,AH77+1)*AF77-ERP_i)*AE77*Ramure*Pc/MaxiM</f>
        <v>1.2404902520443731E-3</v>
      </c>
      <c r="AE77" s="305">
        <f t="shared" si="15"/>
        <v>0.7</v>
      </c>
      <c r="AF77" s="177">
        <f t="shared" si="23"/>
        <v>0.50811067775809582</v>
      </c>
      <c r="AG77" s="921">
        <f t="shared" si="24"/>
        <v>0</v>
      </c>
      <c r="AH77" s="176">
        <f t="shared" si="16"/>
        <v>6</v>
      </c>
      <c r="AI77" s="225">
        <f t="shared" si="17"/>
        <v>0.50811067775809582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14.434958892818463</v>
      </c>
      <c r="C78" s="955"/>
      <c r="D78" s="393">
        <f t="shared" si="0"/>
        <v>14.998004635714826</v>
      </c>
      <c r="E78" s="385">
        <f t="shared" si="1"/>
        <v>16.759979495464513</v>
      </c>
      <c r="F78" s="385">
        <f t="shared" si="2"/>
        <v>16.76150217718202</v>
      </c>
      <c r="G78" s="110">
        <f t="shared" si="21"/>
        <v>0.35158581569209924</v>
      </c>
      <c r="H78" s="414" t="b">
        <f>Wh_hp&gt;='2022'!Maxi_hp</f>
        <v>0</v>
      </c>
      <c r="I78" s="390">
        <f>IF(H78,Wh_hp,'2022'!Maxi_hp)</f>
        <v>47.032781812856342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3.7541376774586355E-2</v>
      </c>
      <c r="M78" s="959"/>
      <c r="N78" s="959"/>
      <c r="O78" s="48">
        <f>IF(t&lt;Tnet,'2022'!Resal+('2022'!Salim-'2022'!Resal)*(1-EXP(('2022'!Tnet-t)/('2022'!Tau_j))),Resal+(Salim-Resal)*(1-EXP((Tnet-t)/(Tau_j))))*Salcycl</f>
        <v>0.10512989351964924</v>
      </c>
      <c r="P78" s="169">
        <f>(INDEX(Models!$BJ78:$BT78,,T78)*(1-R78)+INDEX(Models!$BJ78:$BT78,,T78+1)*R78-ERP_i)*Q78*Ramure*Pc/MaxiM</f>
        <v>1.2232657304588061E-3</v>
      </c>
      <c r="Q78" s="305">
        <f t="shared" si="4"/>
        <v>0.7</v>
      </c>
      <c r="R78" s="177">
        <f t="shared" si="5"/>
        <v>0.50847186542999145</v>
      </c>
      <c r="S78" s="921">
        <f t="shared" si="6"/>
        <v>0</v>
      </c>
      <c r="T78" s="176">
        <f t="shared" si="7"/>
        <v>6</v>
      </c>
      <c r="U78" s="251">
        <f t="shared" si="8"/>
        <v>0.50847186542999145</v>
      </c>
      <c r="V78" s="383">
        <f t="shared" si="9"/>
        <v>41.010217997656511</v>
      </c>
      <c r="W78" s="402">
        <f t="shared" si="10"/>
        <v>14.434958892818463</v>
      </c>
      <c r="X78" s="157">
        <f t="shared" si="11"/>
        <v>44990</v>
      </c>
      <c r="Y78" s="385">
        <f t="shared" si="12"/>
        <v>13.773753221769626</v>
      </c>
      <c r="Z78" s="385">
        <f t="shared" si="22"/>
        <v>14.311008171562435</v>
      </c>
      <c r="AA78" s="386">
        <f t="shared" si="13"/>
        <v>16.759979495464513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0.14612018615922565</v>
      </c>
      <c r="AD78" s="231">
        <f>(INDEX(Models!$BJ78:$BT78,,AH78)*(1-AF78)+INDEX(Models!$BJ78:$BT78,,AH78+1)*AF78-ERP_i)*AE78*Ramure*Pc/MaxiM</f>
        <v>1.2232657304588061E-3</v>
      </c>
      <c r="AE78" s="305">
        <f t="shared" si="15"/>
        <v>0.7</v>
      </c>
      <c r="AF78" s="177">
        <f t="shared" si="23"/>
        <v>0.50847186542999145</v>
      </c>
      <c r="AG78" s="921">
        <f t="shared" si="24"/>
        <v>0</v>
      </c>
      <c r="AH78" s="176">
        <f t="shared" si="16"/>
        <v>6</v>
      </c>
      <c r="AI78" s="225">
        <f t="shared" si="17"/>
        <v>0.50847186542999145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20.43792724543659</v>
      </c>
      <c r="C79" s="955"/>
      <c r="D79" s="393">
        <f t="shared" ref="D79:D142" si="25">Wh/(1-Ppv)</f>
        <v>21.235588112668172</v>
      </c>
      <c r="E79" s="385">
        <f t="shared" si="1"/>
        <v>23.731726799421185</v>
      </c>
      <c r="F79" s="385">
        <f t="shared" ref="F79:F142" si="26">Wh_sa/(1-Pvg*MEDIAN((-Sdif+Wh/Env_an)/Csdif,0,1))</f>
        <v>23.73969967713759</v>
      </c>
      <c r="G79" s="110">
        <f t="shared" si="21"/>
        <v>0.4947832391097246</v>
      </c>
      <c r="H79" s="414" t="b">
        <f>Wh_hp&gt;='2022'!Maxi_hp</f>
        <v>0</v>
      </c>
      <c r="I79" s="390">
        <f>IF(H79,Wh_hp,'2022'!Maxi_hp)</f>
        <v>24.181479709212134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3.7562457088519907E-2</v>
      </c>
      <c r="M79" s="959"/>
      <c r="N79" s="959"/>
      <c r="O79" s="48">
        <f>IF(t&lt;Tnet,'2022'!Resal+('2022'!Salim-'2022'!Resal)*(1-EXP(('2022'!Tnet-t)/('2022'!Tau_j))),Resal+(Salim-Resal)*(1-EXP((Tnet-t)/(Tau_j))))*Salcycl</f>
        <v>0.10518150271365391</v>
      </c>
      <c r="P79" s="169">
        <f>(INDEX(Models!$BJ79:$BT79,,T79)*(1-R79)+INDEX(Models!$BJ79:$BT79,,T79+1)*R79-ERP_i)*Q79*Ramure*Pc/MaxiM</f>
        <v>1.2042820057460099E-3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0.50884764203988953</v>
      </c>
      <c r="S79" s="92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0.50884764203988953</v>
      </c>
      <c r="V79" s="383">
        <f t="shared" ref="V79:V142" si="33">MaxiM*(1-Ppv)*(1-Pvg)*(1-Psa)</f>
        <v>41.270945803728253</v>
      </c>
      <c r="W79" s="402">
        <f t="shared" ref="W79:W142" si="34">Wh*(A79&gt;Tmaj)</f>
        <v>20.43792724543659</v>
      </c>
      <c r="X79" s="157">
        <f t="shared" ref="X79:X142" si="35">t</f>
        <v>44991</v>
      </c>
      <c r="Y79" s="385">
        <f t="shared" ref="Y79:Y142" si="36">Wh_pvt_s*(1-Ppv)</f>
        <v>19.502538088063854</v>
      </c>
      <c r="Z79" s="385">
        <f t="shared" ref="Z79:Z142" si="37">Wh_sa_s*(1-Psa_s)</f>
        <v>20.263692155094571</v>
      </c>
      <c r="AA79" s="386">
        <f t="shared" ref="AA79:AA142" si="38">Wh_hp*(1-Pvg_s*MEDIAN((-Sdif+Wh/Env_an)/Csdif,0,1))</f>
        <v>23.731726799421185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0.14613494726440215</v>
      </c>
      <c r="AD79" s="231">
        <f>(INDEX(Models!$BJ79:$BT79,,AH79)*(1-AF79)+INDEX(Models!$BJ79:$BT79,,AH79+1)*AF79-ERP_i)*AE79*Ramure*Pc/MaxiM</f>
        <v>1.2042820057460099E-3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0.50884764203988953</v>
      </c>
      <c r="AG79" s="921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0.50884764203988953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31.011746153456222</v>
      </c>
      <c r="C80" s="955"/>
      <c r="D80" s="393">
        <f t="shared" si="25"/>
        <v>32.222792672185115</v>
      </c>
      <c r="E80" s="385">
        <f t="shared" ref="E80:E143" si="47">Wh_pvt/(1-Psa)</f>
        <v>36.012501414205204</v>
      </c>
      <c r="F80" s="385">
        <f t="shared" si="26"/>
        <v>36.039709806564098</v>
      </c>
      <c r="G80" s="110">
        <f t="shared" ref="G80:G143" si="48">+Wh_hp/MaxiM</f>
        <v>0.74638510848427042</v>
      </c>
      <c r="H80" s="414" t="b">
        <f>Wh_hp&gt;='2022'!Maxi_hp</f>
        <v>0</v>
      </c>
      <c r="I80" s="390">
        <f>IF(H80,Wh_hp,'2022'!Maxi_hp)</f>
        <v>43.018931785268983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3.7583536940740569E-2</v>
      </c>
      <c r="M80" s="959"/>
      <c r="N80" s="959"/>
      <c r="O80" s="48">
        <f>IF(t&lt;Tnet,'2022'!Resal+('2022'!Salim-'2022'!Resal)*(1-EXP(('2022'!Tnet-t)/('2022'!Tau_j))),Resal+(Salim-Resal)*(1-EXP((Tnet-t)/(Tau_j))))*Salcycl</f>
        <v>0.10523314385834992</v>
      </c>
      <c r="P80" s="169">
        <f>(INDEX(Models!$BJ80:$BT80,,T80)*(1-R80)+INDEX(Models!$BJ80:$BT80,,T80+1)*R80-ERP_i)*Q80*Ramure*Pc/MaxiM</f>
        <v>1.1830383455493445E-3</v>
      </c>
      <c r="Q80" s="305">
        <f t="shared" si="28"/>
        <v>0.7</v>
      </c>
      <c r="R80" s="177">
        <f t="shared" si="29"/>
        <v>0.50923857274432516</v>
      </c>
      <c r="S80" s="921">
        <f t="shared" si="30"/>
        <v>0</v>
      </c>
      <c r="T80" s="176">
        <f t="shared" si="31"/>
        <v>6</v>
      </c>
      <c r="U80" s="251">
        <f t="shared" si="32"/>
        <v>0.50923857274432516</v>
      </c>
      <c r="V80" s="383">
        <f t="shared" si="33"/>
        <v>41.531456332125437</v>
      </c>
      <c r="W80" s="402">
        <f t="shared" si="34"/>
        <v>31.011746153456222</v>
      </c>
      <c r="X80" s="157">
        <f t="shared" si="35"/>
        <v>44992</v>
      </c>
      <c r="Y80" s="385">
        <f t="shared" si="36"/>
        <v>29.593614668499587</v>
      </c>
      <c r="Z80" s="385">
        <f t="shared" si="37"/>
        <v>30.749281422752848</v>
      </c>
      <c r="AA80" s="386">
        <f t="shared" si="38"/>
        <v>36.012501414205204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0.1461498031174327</v>
      </c>
      <c r="AD80" s="231">
        <f>(INDEX(Models!$BJ80:$BT80,,AH80)*(1-AF80)+INDEX(Models!$BJ80:$BT80,,AH80+1)*AF80-ERP_i)*AE80*Ramure*Pc/MaxiM</f>
        <v>1.1830383455493445E-3</v>
      </c>
      <c r="AE80" s="305">
        <f t="shared" si="40"/>
        <v>0.7</v>
      </c>
      <c r="AF80" s="177">
        <f t="shared" si="41"/>
        <v>0.50923857274432516</v>
      </c>
      <c r="AG80" s="921">
        <f t="shared" ref="AG80:AG143" si="49">INDEX(Echel_vg,AH80)</f>
        <v>0</v>
      </c>
      <c r="AH80" s="176">
        <f t="shared" si="42"/>
        <v>6</v>
      </c>
      <c r="AI80" s="225">
        <f t="shared" si="43"/>
        <v>0.50923857274432516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29.750548116557045</v>
      </c>
      <c r="C81" s="955"/>
      <c r="D81" s="393">
        <f t="shared" si="25"/>
        <v>30.91302038788378</v>
      </c>
      <c r="E81" s="385">
        <f t="shared" si="47"/>
        <v>34.550683565032266</v>
      </c>
      <c r="F81" s="385">
        <f t="shared" si="26"/>
        <v>34.574285699235908</v>
      </c>
      <c r="G81" s="110">
        <f t="shared" si="48"/>
        <v>0.71154111353285732</v>
      </c>
      <c r="H81" s="414" t="b">
        <f>Wh_hp&gt;='2022'!Maxi_hp</f>
        <v>0</v>
      </c>
      <c r="I81" s="390">
        <f>IF(H81,Wh_hp,'2022'!Maxi_hp)</f>
        <v>34.580370202974152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3.7604616331258334E-2</v>
      </c>
      <c r="M81" s="959"/>
      <c r="N81" s="959"/>
      <c r="O81" s="48">
        <f>IF(t&lt;Tnet,'2022'!Resal+('2022'!Salim-'2022'!Resal)*(1-EXP(('2022'!Tnet-t)/('2022'!Tau_j))),Resal+(Salim-Resal)*(1-EXP((Tnet-t)/(Tau_j))))*Salcycl</f>
        <v>0.10528483959808116</v>
      </c>
      <c r="P81" s="169">
        <f>(INDEX(Models!$BJ81:$BT81,,T81)*(1-R81)+INDEX(Models!$BJ81:$BT81,,T81+1)*R81-ERP_i)*Q81*Ramure*Pc/MaxiM</f>
        <v>1.1601764269476983E-3</v>
      </c>
      <c r="Q81" s="305">
        <f t="shared" si="28"/>
        <v>0.7</v>
      </c>
      <c r="R81" s="177">
        <f t="shared" si="29"/>
        <v>0.50964524257253518</v>
      </c>
      <c r="S81" s="921">
        <f t="shared" si="30"/>
        <v>0</v>
      </c>
      <c r="T81" s="176">
        <f t="shared" si="31"/>
        <v>6</v>
      </c>
      <c r="U81" s="251">
        <f t="shared" si="32"/>
        <v>0.50964524257253518</v>
      </c>
      <c r="V81" s="383">
        <f t="shared" si="33"/>
        <v>41.791445598275502</v>
      </c>
      <c r="W81" s="402">
        <f t="shared" si="34"/>
        <v>29.750548116557045</v>
      </c>
      <c r="X81" s="157">
        <f t="shared" si="35"/>
        <v>44993</v>
      </c>
      <c r="Y81" s="385">
        <f t="shared" si="36"/>
        <v>28.391231949695083</v>
      </c>
      <c r="Z81" s="385">
        <f t="shared" si="37"/>
        <v>29.500590330623822</v>
      </c>
      <c r="AA81" s="386">
        <f t="shared" si="38"/>
        <v>34.550683565032266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0.1461647849861788</v>
      </c>
      <c r="AD81" s="231">
        <f>(INDEX(Models!$BJ81:$BT81,,AH81)*(1-AF81)+INDEX(Models!$BJ81:$BT81,,AH81+1)*AF81-ERP_i)*AE81*Ramure*Pc/MaxiM</f>
        <v>1.1601764269476983E-3</v>
      </c>
      <c r="AE81" s="305">
        <f t="shared" si="40"/>
        <v>0.7</v>
      </c>
      <c r="AF81" s="177">
        <f t="shared" si="41"/>
        <v>0.50964524257253518</v>
      </c>
      <c r="AG81" s="921">
        <f t="shared" si="49"/>
        <v>0</v>
      </c>
      <c r="AH81" s="176">
        <f t="shared" si="42"/>
        <v>6</v>
      </c>
      <c r="AI81" s="225">
        <f t="shared" si="43"/>
        <v>0.50964524257253518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31.403753394227156</v>
      </c>
      <c r="C82" s="955"/>
      <c r="D82" s="393">
        <f t="shared" si="25"/>
        <v>32.631537687110288</v>
      </c>
      <c r="E82" s="385">
        <f t="shared" si="47"/>
        <v>36.473536546856032</v>
      </c>
      <c r="F82" s="385">
        <f t="shared" si="26"/>
        <v>36.499996699868994</v>
      </c>
      <c r="G82" s="110">
        <f t="shared" si="48"/>
        <v>0.74650106805838234</v>
      </c>
      <c r="H82" s="414" t="b">
        <f>Wh_hp&gt;='2022'!Maxi_hp</f>
        <v>0</v>
      </c>
      <c r="I82" s="390">
        <f>IF(H82,Wh_hp,'2022'!Maxi_hp)</f>
        <v>44.616353864796501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3.7625695260083303E-2</v>
      </c>
      <c r="M82" s="959"/>
      <c r="N82" s="959"/>
      <c r="O82" s="48">
        <f>IF(t&lt;Tnet,'2022'!Resal+('2022'!Salim-'2022'!Resal)*(1-EXP(('2022'!Tnet-t)/('2022'!Tau_j))),Resal+(Salim-Resal)*(1-EXP((Tnet-t)/(Tau_j))))*Salcycl</f>
        <v>0.10533661452900478</v>
      </c>
      <c r="P82" s="169">
        <f>(INDEX(Models!$BJ82:$BT82,,T82)*(1-R82)+INDEX(Models!$BJ82:$BT82,,T82+1)*R82-ERP_i)*Q82*Ramure*Pc/MaxiM</f>
        <v>1.1357337977062948E-3</v>
      </c>
      <c r="Q82" s="305">
        <f t="shared" si="28"/>
        <v>0.7</v>
      </c>
      <c r="R82" s="177">
        <f t="shared" si="29"/>
        <v>0.51006825695412217</v>
      </c>
      <c r="S82" s="921">
        <f t="shared" si="30"/>
        <v>0</v>
      </c>
      <c r="T82" s="176">
        <f t="shared" si="31"/>
        <v>6</v>
      </c>
      <c r="U82" s="251">
        <f t="shared" si="32"/>
        <v>0.51006825695412217</v>
      </c>
      <c r="V82" s="383">
        <f t="shared" si="33"/>
        <v>42.050634323744099</v>
      </c>
      <c r="W82" s="402">
        <f t="shared" si="34"/>
        <v>31.403753394227156</v>
      </c>
      <c r="X82" s="157">
        <f t="shared" si="35"/>
        <v>44994</v>
      </c>
      <c r="Y82" s="385">
        <f t="shared" si="36"/>
        <v>29.970104351294239</v>
      </c>
      <c r="Z82" s="385">
        <f t="shared" si="37"/>
        <v>31.141837644339134</v>
      </c>
      <c r="AA82" s="386">
        <f t="shared" si="38"/>
        <v>36.473536546856032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0.14617992679891315</v>
      </c>
      <c r="AD82" s="231">
        <f>(INDEX(Models!$BJ82:$BT82,,AH82)*(1-AF82)+INDEX(Models!$BJ82:$BT82,,AH82+1)*AF82-ERP_i)*AE82*Ramure*Pc/MaxiM</f>
        <v>1.1357337977062948E-3</v>
      </c>
      <c r="AE82" s="305">
        <f t="shared" si="40"/>
        <v>0.7</v>
      </c>
      <c r="AF82" s="177">
        <f t="shared" si="41"/>
        <v>0.51006825695412217</v>
      </c>
      <c r="AG82" s="921">
        <f t="shared" si="49"/>
        <v>0</v>
      </c>
      <c r="AH82" s="176">
        <f t="shared" si="42"/>
        <v>6</v>
      </c>
      <c r="AI82" s="225">
        <f t="shared" si="43"/>
        <v>0.51006825695412217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22.729204174426279</v>
      </c>
      <c r="C83" s="955"/>
      <c r="D83" s="393">
        <f t="shared" si="25"/>
        <v>23.618359198999343</v>
      </c>
      <c r="E83" s="385">
        <f t="shared" si="47"/>
        <v>26.40068797512528</v>
      </c>
      <c r="F83" s="385">
        <f t="shared" si="26"/>
        <v>26.410620504944625</v>
      </c>
      <c r="G83" s="110">
        <f t="shared" si="48"/>
        <v>0.53682810104380807</v>
      </c>
      <c r="H83" s="414" t="b">
        <f>Wh_hp&gt;='2022'!Maxi_hp</f>
        <v>0</v>
      </c>
      <c r="I83" s="390">
        <f>IF(H83,Wh_hp,'2022'!Maxi_hp)</f>
        <v>45.293809105395539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3.764677372722558E-2</v>
      </c>
      <c r="M83" s="959"/>
      <c r="N83" s="959"/>
      <c r="O83" s="48">
        <f>IF(t&lt;Tnet,'2022'!Resal+('2022'!Salim-'2022'!Resal)*(1-EXP(('2022'!Tnet-t)/('2022'!Tau_j))),Resal+(Salim-Resal)*(1-EXP((Tnet-t)/(Tau_j))))*Salcycl</f>
        <v>0.10538849513116653</v>
      </c>
      <c r="P83" s="169">
        <f>(INDEX(Models!$BJ83:$BT83,,T83)*(1-R83)+INDEX(Models!$BJ83:$BT83,,T83+1)*R83-ERP_i)*Q83*Ramure*Pc/MaxiM</f>
        <v>1.1097461175600531E-3</v>
      </c>
      <c r="Q83" s="305">
        <f t="shared" si="28"/>
        <v>0.7</v>
      </c>
      <c r="R83" s="177">
        <f t="shared" si="29"/>
        <v>0.51050824224545888</v>
      </c>
      <c r="S83" s="921">
        <f t="shared" si="30"/>
        <v>0</v>
      </c>
      <c r="T83" s="176">
        <f t="shared" si="31"/>
        <v>6</v>
      </c>
      <c r="U83" s="251">
        <f t="shared" si="32"/>
        <v>0.51050824224545888</v>
      </c>
      <c r="V83" s="383">
        <f t="shared" si="33"/>
        <v>42.30874320830079</v>
      </c>
      <c r="W83" s="402">
        <f t="shared" si="34"/>
        <v>22.729204174426279</v>
      </c>
      <c r="X83" s="157">
        <f t="shared" si="35"/>
        <v>44995</v>
      </c>
      <c r="Y83" s="385">
        <f t="shared" si="36"/>
        <v>21.69243525291774</v>
      </c>
      <c r="Z83" s="385">
        <f t="shared" si="37"/>
        <v>22.541032399229596</v>
      </c>
      <c r="AA83" s="386">
        <f t="shared" si="38"/>
        <v>26.40068797512528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0.14619526504507196</v>
      </c>
      <c r="AD83" s="231">
        <f>(INDEX(Models!$BJ83:$BT83,,AH83)*(1-AF83)+INDEX(Models!$BJ83:$BT83,,AH83+1)*AF83-ERP_i)*AE83*Ramure*Pc/MaxiM</f>
        <v>1.1097461175600531E-3</v>
      </c>
      <c r="AE83" s="305">
        <f t="shared" si="40"/>
        <v>0.7</v>
      </c>
      <c r="AF83" s="177">
        <f t="shared" si="41"/>
        <v>0.51050824224545888</v>
      </c>
      <c r="AG83" s="921">
        <f t="shared" si="49"/>
        <v>0</v>
      </c>
      <c r="AH83" s="176">
        <f t="shared" si="42"/>
        <v>6</v>
      </c>
      <c r="AI83" s="225">
        <f t="shared" si="43"/>
        <v>0.51050824224545888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15.155106248229091</v>
      </c>
      <c r="C84" s="955"/>
      <c r="D84" s="393">
        <f t="shared" si="25"/>
        <v>15.748311303447691</v>
      </c>
      <c r="E84" s="385">
        <f t="shared" si="47"/>
        <v>17.604543324436559</v>
      </c>
      <c r="F84" s="385">
        <f t="shared" si="26"/>
        <v>17.606068798864303</v>
      </c>
      <c r="G84" s="110">
        <f t="shared" si="48"/>
        <v>0.35568756378402439</v>
      </c>
      <c r="H84" s="414" t="b">
        <f>Wh_hp&gt;='2022'!Maxi_hp</f>
        <v>0</v>
      </c>
      <c r="I84" s="390">
        <f>IF(H84,Wh_hp,'2022'!Maxi_hp)</f>
        <v>36.273412618426136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3.766785173269549E-2</v>
      </c>
      <c r="M84" s="959"/>
      <c r="N84" s="959"/>
      <c r="O84" s="48">
        <f>IF(t&lt;Tnet,'2022'!Resal+('2022'!Salim-'2022'!Resal)*(1-EXP(('2022'!Tnet-t)/('2022'!Tau_j))),Resal+(Salim-Resal)*(1-EXP((Tnet-t)/(Tau_j))))*Salcycl</f>
        <v>0.10544050969003359</v>
      </c>
      <c r="P84" s="169">
        <f>(INDEX(Models!$BJ84:$BT84,,T84)*(1-R84)+INDEX(Models!$BJ84:$BT84,,T84+1)*R84-ERP_i)*Q84*Ramure*Pc/MaxiM</f>
        <v>1.0822470305818566E-3</v>
      </c>
      <c r="Q84" s="305">
        <f t="shared" si="28"/>
        <v>0.7</v>
      </c>
      <c r="R84" s="177">
        <f t="shared" si="29"/>
        <v>0.51096584625312369</v>
      </c>
      <c r="S84" s="921">
        <f t="shared" si="30"/>
        <v>0</v>
      </c>
      <c r="T84" s="176">
        <f t="shared" si="31"/>
        <v>6</v>
      </c>
      <c r="U84" s="251">
        <f t="shared" si="32"/>
        <v>0.51096584625312369</v>
      </c>
      <c r="V84" s="383">
        <f t="shared" si="33"/>
        <v>42.565492934941233</v>
      </c>
      <c r="W84" s="402">
        <f t="shared" si="34"/>
        <v>15.155106248229091</v>
      </c>
      <c r="X84" s="157">
        <f t="shared" si="35"/>
        <v>44996</v>
      </c>
      <c r="Y84" s="385">
        <f t="shared" si="36"/>
        <v>14.464399063259441</v>
      </c>
      <c r="Z84" s="385">
        <f t="shared" si="37"/>
        <v>15.030568280715592</v>
      </c>
      <c r="AA84" s="386">
        <f t="shared" si="38"/>
        <v>17.604543324436559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0.14621083866163556</v>
      </c>
      <c r="AD84" s="231">
        <f>(INDEX(Models!$BJ84:$BT84,,AH84)*(1-AF84)+INDEX(Models!$BJ84:$BT84,,AH84+1)*AF84-ERP_i)*AE84*Ramure*Pc/MaxiM</f>
        <v>1.0822470305818566E-3</v>
      </c>
      <c r="AE84" s="305">
        <f t="shared" si="40"/>
        <v>0.7</v>
      </c>
      <c r="AF84" s="177">
        <f t="shared" si="41"/>
        <v>0.51096584625312369</v>
      </c>
      <c r="AG84" s="921">
        <f t="shared" si="49"/>
        <v>0</v>
      </c>
      <c r="AH84" s="176">
        <f t="shared" si="42"/>
        <v>6</v>
      </c>
      <c r="AI84" s="225">
        <f t="shared" si="43"/>
        <v>0.51096584625312369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12.51496073379986</v>
      </c>
      <c r="C85" s="955"/>
      <c r="D85" s="393">
        <f t="shared" si="25"/>
        <v>13.005109381512883</v>
      </c>
      <c r="E85" s="385">
        <f t="shared" si="47"/>
        <v>14.538851958029454</v>
      </c>
      <c r="F85" s="385">
        <f t="shared" si="26"/>
        <v>14.538851958029454</v>
      </c>
      <c r="G85" s="110">
        <f t="shared" si="48"/>
        <v>0.29195709323493735</v>
      </c>
      <c r="H85" s="414" t="b">
        <f>Wh_hp&gt;='2022'!Maxi_hp</f>
        <v>0</v>
      </c>
      <c r="I85" s="390">
        <f>IF(H85,Wh_hp,'2022'!Maxi_hp)</f>
        <v>43.935491435363161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3.7688929276502803E-2</v>
      </c>
      <c r="M85" s="959"/>
      <c r="N85" s="959"/>
      <c r="O85" s="48">
        <f>IF(t&lt;Tnet,'2022'!Resal+('2022'!Salim-'2022'!Resal)*(1-EXP(('2022'!Tnet-t)/('2022'!Tau_j))),Resal+(Salim-Resal)*(1-EXP((Tnet-t)/(Tau_j))))*Salcycl</f>
        <v>0.10549268820840589</v>
      </c>
      <c r="P85" s="169">
        <f>(INDEX(Models!$BJ85:$BT85,,T85)*(1-R85)+INDEX(Models!$BJ85:$BT85,,T85+1)*R85-ERP_i)*Q85*Ramure*Pc/MaxiM</f>
        <v>1.0532680392933134E-3</v>
      </c>
      <c r="Q85" s="305">
        <f t="shared" si="28"/>
        <v>0.7</v>
      </c>
      <c r="R85" s="177">
        <f t="shared" si="29"/>
        <v>0.511441738752479</v>
      </c>
      <c r="S85" s="921">
        <f t="shared" si="30"/>
        <v>0</v>
      </c>
      <c r="T85" s="176">
        <f t="shared" si="31"/>
        <v>6</v>
      </c>
      <c r="U85" s="251">
        <f t="shared" si="32"/>
        <v>0.511441738752479</v>
      </c>
      <c r="V85" s="383">
        <f t="shared" si="33"/>
        <v>42.820604175510745</v>
      </c>
      <c r="W85" s="402">
        <f t="shared" si="34"/>
        <v>12.51496073379986</v>
      </c>
      <c r="X85" s="157">
        <f t="shared" si="35"/>
        <v>44997</v>
      </c>
      <c r="Y85" s="385">
        <f t="shared" si="36"/>
        <v>11.945055476965711</v>
      </c>
      <c r="Z85" s="385">
        <f t="shared" si="37"/>
        <v>12.412883775705733</v>
      </c>
      <c r="AA85" s="386">
        <f t="shared" si="38"/>
        <v>14.538851958029454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0.14622668890645107</v>
      </c>
      <c r="AD85" s="231">
        <f>(INDEX(Models!$BJ85:$BT85,,AH85)*(1-AF85)+INDEX(Models!$BJ85:$BT85,,AH85+1)*AF85-ERP_i)*AE85*Ramure*Pc/MaxiM</f>
        <v>1.0532680392933134E-3</v>
      </c>
      <c r="AE85" s="305">
        <f t="shared" si="40"/>
        <v>0.7</v>
      </c>
      <c r="AF85" s="177">
        <f t="shared" si="41"/>
        <v>0.511441738752479</v>
      </c>
      <c r="AG85" s="921">
        <f t="shared" si="49"/>
        <v>0</v>
      </c>
      <c r="AH85" s="176">
        <f t="shared" si="42"/>
        <v>6</v>
      </c>
      <c r="AI85" s="225">
        <f t="shared" si="43"/>
        <v>0.511441738752479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11.780929442231592</v>
      </c>
      <c r="C86" s="955"/>
      <c r="D86" s="393">
        <f t="shared" si="25"/>
        <v>12.242597886373218</v>
      </c>
      <c r="E86" s="385">
        <f t="shared" si="47"/>
        <v>13.687215946268203</v>
      </c>
      <c r="F86" s="385">
        <f t="shared" si="26"/>
        <v>13.687215946268203</v>
      </c>
      <c r="G86" s="110">
        <f t="shared" si="48"/>
        <v>0.27322595432563007</v>
      </c>
      <c r="H86" s="414" t="b">
        <f>Wh_hp&gt;='2022'!Maxi_hp</f>
        <v>0</v>
      </c>
      <c r="I86" s="390">
        <f>IF(H86,Wh_hp,'2022'!Maxi_hp)</f>
        <v>42.800557177693996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3.7710006358657955E-2</v>
      </c>
      <c r="M86" s="959"/>
      <c r="N86" s="959"/>
      <c r="O86" s="48">
        <f>IF(t&lt;Tnet,'2022'!Resal+('2022'!Salim-'2022'!Resal)*(1-EXP(('2022'!Tnet-t)/('2022'!Tau_j))),Resal+(Salim-Resal)*(1-EXP((Tnet-t)/(Tau_j))))*Salcycl</f>
        <v>0.10554506230968448</v>
      </c>
      <c r="P86" s="169">
        <f>(INDEX(Models!$BJ86:$BT86,,T86)*(1-R86)+INDEX(Models!$BJ86:$BT86,,T86+1)*R86-ERP_i)*Q86*Ramure*Pc/MaxiM</f>
        <v>1.0234212943953612E-3</v>
      </c>
      <c r="Q86" s="305">
        <f t="shared" si="28"/>
        <v>0.7</v>
      </c>
      <c r="R86" s="177">
        <f t="shared" si="29"/>
        <v>0.51193661199932472</v>
      </c>
      <c r="S86" s="921">
        <f t="shared" si="30"/>
        <v>0</v>
      </c>
      <c r="T86" s="176">
        <f t="shared" si="31"/>
        <v>6</v>
      </c>
      <c r="U86" s="251">
        <f t="shared" si="32"/>
        <v>0.51193661199932472</v>
      </c>
      <c r="V86" s="383">
        <f t="shared" si="33"/>
        <v>43.073772465065773</v>
      </c>
      <c r="W86" s="402">
        <f t="shared" si="34"/>
        <v>11.780929442231592</v>
      </c>
      <c r="X86" s="157">
        <f t="shared" si="35"/>
        <v>44998</v>
      </c>
      <c r="Y86" s="385">
        <f t="shared" si="36"/>
        <v>11.244895871785392</v>
      </c>
      <c r="Z86" s="385">
        <f t="shared" si="37"/>
        <v>11.685558351525902</v>
      </c>
      <c r="AA86" s="386">
        <f t="shared" si="38"/>
        <v>13.687215946268203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0.14624285921988758</v>
      </c>
      <c r="AD86" s="231">
        <f>(INDEX(Models!$BJ86:$BT86,,AH86)*(1-AF86)+INDEX(Models!$BJ86:$BT86,,AH86+1)*AF86-ERP_i)*AE86*Ramure*Pc/MaxiM</f>
        <v>1.0234212943953612E-3</v>
      </c>
      <c r="AE86" s="305">
        <f t="shared" si="40"/>
        <v>0.7</v>
      </c>
      <c r="AF86" s="177">
        <f t="shared" si="41"/>
        <v>0.51193661199932472</v>
      </c>
      <c r="AG86" s="921">
        <f t="shared" si="49"/>
        <v>0</v>
      </c>
      <c r="AH86" s="176">
        <f t="shared" si="42"/>
        <v>6</v>
      </c>
      <c r="AI86" s="225">
        <f t="shared" si="43"/>
        <v>0.51193661199932472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12.446671887538018</v>
      </c>
      <c r="C87" s="955"/>
      <c r="D87" s="393">
        <f t="shared" si="25"/>
        <v>12.934712602037211</v>
      </c>
      <c r="E87" s="385">
        <f t="shared" si="47"/>
        <v>14.461850218635803</v>
      </c>
      <c r="F87" s="385">
        <f t="shared" si="26"/>
        <v>14.461850218635803</v>
      </c>
      <c r="G87" s="110">
        <f t="shared" si="48"/>
        <v>0.28700280623692015</v>
      </c>
      <c r="H87" s="414" t="b">
        <f>Wh_hp&gt;='2022'!Maxi_hp</f>
        <v>0</v>
      </c>
      <c r="I87" s="390">
        <f>IF(H87,Wh_hp,'2022'!Maxi_hp)</f>
        <v>36.891466840324576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3.7731082979170827E-2</v>
      </c>
      <c r="M87" s="959"/>
      <c r="N87" s="959"/>
      <c r="O87" s="48">
        <f>IF(t&lt;Tnet,'2022'!Resal+('2022'!Salim-'2022'!Resal)*(1-EXP(('2022'!Tnet-t)/('2022'!Tau_j))),Resal+(Salim-Resal)*(1-EXP((Tnet-t)/(Tau_j))))*Salcycl</f>
        <v>0.10559766513351766</v>
      </c>
      <c r="P87" s="169">
        <f>(INDEX(Models!$BJ87:$BT87,,T87)*(1-R87)+INDEX(Models!$BJ87:$BT87,,T87+1)*R87-ERP_i)*Q87*Ramure*Pc/MaxiM</f>
        <v>9.9407138372500535E-4</v>
      </c>
      <c r="Q87" s="305">
        <f t="shared" si="28"/>
        <v>0.7</v>
      </c>
      <c r="R87" s="177">
        <f t="shared" si="29"/>
        <v>0.51245118123236244</v>
      </c>
      <c r="S87" s="921">
        <f t="shared" si="30"/>
        <v>0</v>
      </c>
      <c r="T87" s="176">
        <f t="shared" si="31"/>
        <v>6</v>
      </c>
      <c r="U87" s="251">
        <f t="shared" si="32"/>
        <v>0.51245118123236244</v>
      </c>
      <c r="V87" s="383">
        <f t="shared" si="33"/>
        <v>43.324660027635815</v>
      </c>
      <c r="W87" s="402">
        <f t="shared" si="34"/>
        <v>12.446671887538018</v>
      </c>
      <c r="X87" s="157">
        <f t="shared" si="35"/>
        <v>44999</v>
      </c>
      <c r="Y87" s="385">
        <f t="shared" si="36"/>
        <v>11.880815570701984</v>
      </c>
      <c r="Z87" s="385">
        <f t="shared" si="37"/>
        <v>12.346668753974532</v>
      </c>
      <c r="AA87" s="386">
        <f t="shared" si="38"/>
        <v>14.461850218635803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0.14625939507626826</v>
      </c>
      <c r="AD87" s="231">
        <f>(INDEX(Models!$BJ87:$BT87,,AH87)*(1-AF87)+INDEX(Models!$BJ87:$BT87,,AH87+1)*AF87-ERP_i)*AE87*Ramure*Pc/MaxiM</f>
        <v>9.9407138372500535E-4</v>
      </c>
      <c r="AE87" s="305">
        <f t="shared" si="40"/>
        <v>0.7</v>
      </c>
      <c r="AF87" s="177">
        <f t="shared" si="41"/>
        <v>0.51245118123236244</v>
      </c>
      <c r="AG87" s="921">
        <f t="shared" si="49"/>
        <v>0</v>
      </c>
      <c r="AH87" s="176">
        <f t="shared" si="42"/>
        <v>6</v>
      </c>
      <c r="AI87" s="225">
        <f t="shared" si="43"/>
        <v>0.51245118123236244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14.13118888481516</v>
      </c>
      <c r="C88" s="955"/>
      <c r="D88" s="393">
        <f t="shared" si="25"/>
        <v>14.685602071246977</v>
      </c>
      <c r="E88" s="385">
        <f t="shared" si="47"/>
        <v>16.420429131981209</v>
      </c>
      <c r="F88" s="385">
        <f t="shared" si="26"/>
        <v>16.420979587913518</v>
      </c>
      <c r="G88" s="110">
        <f t="shared" si="48"/>
        <v>0.32400859727740794</v>
      </c>
      <c r="H88" s="414" t="b">
        <f>Wh_hp&gt;='2022'!Maxi_hp</f>
        <v>0</v>
      </c>
      <c r="I88" s="390">
        <f>IF(H88,Wh_hp,'2022'!Maxi_hp)</f>
        <v>34.951737117929945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3.7752159138051744E-2</v>
      </c>
      <c r="M88" s="959"/>
      <c r="N88" s="959"/>
      <c r="O88" s="48">
        <f>IF(t&lt;Tnet,'2022'!Resal+('2022'!Salim-'2022'!Resal)*(1-EXP(('2022'!Tnet-t)/('2022'!Tau_j))),Resal+(Salim-Resal)*(1-EXP((Tnet-t)/(Tau_j))))*Salcycl</f>
        <v>0.10565053122487512</v>
      </c>
      <c r="P88" s="169">
        <f>(INDEX(Models!$BJ88:$BT88,,T88)*(1-R88)+INDEX(Models!$BJ88:$BT88,,T88+1)*R88-ERP_i)*Q88*Ramure*Pc/MaxiM</f>
        <v>9.6521244632986425E-4</v>
      </c>
      <c r="Q88" s="305">
        <f t="shared" si="28"/>
        <v>0.7</v>
      </c>
      <c r="R88" s="177">
        <f t="shared" si="29"/>
        <v>0.51298618516399397</v>
      </c>
      <c r="S88" s="921">
        <f t="shared" si="30"/>
        <v>0</v>
      </c>
      <c r="T88" s="176">
        <f t="shared" si="31"/>
        <v>6</v>
      </c>
      <c r="U88" s="251">
        <f t="shared" si="32"/>
        <v>0.51298618516399397</v>
      </c>
      <c r="V88" s="383">
        <f t="shared" si="33"/>
        <v>43.572987449722525</v>
      </c>
      <c r="W88" s="402">
        <f t="shared" si="34"/>
        <v>14.13118888481516</v>
      </c>
      <c r="X88" s="157">
        <f t="shared" si="35"/>
        <v>45000</v>
      </c>
      <c r="Y88" s="385">
        <f t="shared" si="36"/>
        <v>13.489279819604043</v>
      </c>
      <c r="Z88" s="385">
        <f t="shared" si="37"/>
        <v>14.018508794491879</v>
      </c>
      <c r="AA88" s="386">
        <f t="shared" si="38"/>
        <v>16.420429131981209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0.14627634382655902</v>
      </c>
      <c r="AD88" s="231">
        <f>(INDEX(Models!$BJ88:$BT88,,AH88)*(1-AF88)+INDEX(Models!$BJ88:$BT88,,AH88+1)*AF88-ERP_i)*AE88*Ramure*Pc/MaxiM</f>
        <v>9.6521244632986425E-4</v>
      </c>
      <c r="AE88" s="305">
        <f t="shared" si="40"/>
        <v>0.7</v>
      </c>
      <c r="AF88" s="177">
        <f t="shared" si="41"/>
        <v>0.51298618516399397</v>
      </c>
      <c r="AG88" s="921">
        <f t="shared" si="49"/>
        <v>0</v>
      </c>
      <c r="AH88" s="176">
        <f t="shared" si="42"/>
        <v>6</v>
      </c>
      <c r="AI88" s="225">
        <f t="shared" si="43"/>
        <v>0.51298618516399397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9.7002185449254696</v>
      </c>
      <c r="C89" s="955"/>
      <c r="D89" s="393">
        <f t="shared" si="25"/>
        <v>10.081010938482088</v>
      </c>
      <c r="E89" s="385">
        <f t="shared" si="47"/>
        <v>11.272562458437353</v>
      </c>
      <c r="F89" s="385">
        <f t="shared" si="26"/>
        <v>11.272562458437353</v>
      </c>
      <c r="G89" s="110">
        <f t="shared" si="48"/>
        <v>0.22116540891347056</v>
      </c>
      <c r="H89" s="414" t="b">
        <f>Wh_hp&gt;='2022'!Maxi_hp</f>
        <v>0</v>
      </c>
      <c r="I89" s="390">
        <f>IF(H89,Wh_hp,'2022'!Maxi_hp)</f>
        <v>52.275659986289419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3.7773234835310587E-2</v>
      </c>
      <c r="M89" s="959"/>
      <c r="N89" s="959"/>
      <c r="O89" s="48">
        <f>IF(t&lt;Tnet,'2022'!Resal+('2022'!Salim-'2022'!Resal)*(1-EXP(('2022'!Tnet-t)/('2022'!Tau_j))),Resal+(Salim-Resal)*(1-EXP((Tnet-t)/(Tau_j))))*Salcycl</f>
        <v>0.105703696417615</v>
      </c>
      <c r="P89" s="169">
        <f>(INDEX(Models!$BJ89:$BT89,,T89)*(1-R89)+INDEX(Models!$BJ89:$BT89,,T89+1)*R89-ERP_i)*Q89*Ramure*Pc/MaxiM</f>
        <v>9.368379207956262E-4</v>
      </c>
      <c r="Q89" s="305">
        <f t="shared" si="28"/>
        <v>0.7</v>
      </c>
      <c r="R89" s="177">
        <f t="shared" si="29"/>
        <v>0.51354238645676586</v>
      </c>
      <c r="S89" s="921">
        <f t="shared" si="30"/>
        <v>0</v>
      </c>
      <c r="T89" s="176">
        <f t="shared" si="31"/>
        <v>6</v>
      </c>
      <c r="U89" s="251">
        <f t="shared" si="32"/>
        <v>0.51354238645676586</v>
      </c>
      <c r="V89" s="383">
        <f t="shared" si="33"/>
        <v>43.818475321084975</v>
      </c>
      <c r="W89" s="402">
        <f t="shared" si="34"/>
        <v>9.7002185449254696</v>
      </c>
      <c r="X89" s="157">
        <f t="shared" si="35"/>
        <v>45001</v>
      </c>
      <c r="Y89" s="385">
        <f t="shared" si="36"/>
        <v>9.2599478730004012</v>
      </c>
      <c r="Z89" s="385">
        <f t="shared" si="37"/>
        <v>9.6234569731756725</v>
      </c>
      <c r="AA89" s="386">
        <f t="shared" si="38"/>
        <v>11.272562458437353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0.14629375453381027</v>
      </c>
      <c r="AD89" s="231">
        <f>(INDEX(Models!$BJ89:$BT89,,AH89)*(1-AF89)+INDEX(Models!$BJ89:$BT89,,AH89+1)*AF89-ERP_i)*AE89*Ramure*Pc/MaxiM</f>
        <v>9.368379207956262E-4</v>
      </c>
      <c r="AE89" s="305">
        <f t="shared" si="40"/>
        <v>0.7</v>
      </c>
      <c r="AF89" s="177">
        <f t="shared" si="41"/>
        <v>0.51354238645676586</v>
      </c>
      <c r="AG89" s="921">
        <f t="shared" si="49"/>
        <v>0</v>
      </c>
      <c r="AH89" s="176">
        <f t="shared" si="42"/>
        <v>6</v>
      </c>
      <c r="AI89" s="225">
        <f t="shared" si="43"/>
        <v>0.51354238645676586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10.504709423240605</v>
      </c>
      <c r="C90" s="955"/>
      <c r="D90" s="393">
        <f t="shared" si="25"/>
        <v>10.917322079040368</v>
      </c>
      <c r="E90" s="385">
        <f t="shared" si="47"/>
        <v>12.208453958060458</v>
      </c>
      <c r="F90" s="385">
        <f t="shared" si="26"/>
        <v>12.208453958060458</v>
      </c>
      <c r="G90" s="110">
        <f t="shared" si="48"/>
        <v>0.23819700794178422</v>
      </c>
      <c r="H90" s="414" t="b">
        <f>Wh_hp&gt;='2022'!Maxi_hp</f>
        <v>0</v>
      </c>
      <c r="I90" s="390">
        <f>IF(H90,Wh_hp,'2022'!Maxi_hp)</f>
        <v>27.107916637934526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3.7794310070957571E-2</v>
      </c>
      <c r="M90" s="959"/>
      <c r="N90" s="959"/>
      <c r="O90" s="48">
        <f>IF(t&lt;Tnet,'2022'!Resal+('2022'!Salim-'2022'!Resal)*(1-EXP(('2022'!Tnet-t)/('2022'!Tau_j))),Resal+(Salim-Resal)*(1-EXP((Tnet-t)/(Tau_j))))*Salcycl</f>
        <v>0.10575719771360893</v>
      </c>
      <c r="P90" s="169">
        <f>(INDEX(Models!$BJ90:$BT90,,T90)*(1-R90)+INDEX(Models!$BJ90:$BT90,,T90+1)*R90-ERP_i)*Q90*Ramure*Pc/MaxiM</f>
        <v>9.0894055887220991E-4</v>
      </c>
      <c r="Q90" s="305">
        <f t="shared" si="28"/>
        <v>0.7</v>
      </c>
      <c r="R90" s="177">
        <f t="shared" si="29"/>
        <v>0.51412057218253016</v>
      </c>
      <c r="S90" s="921">
        <f t="shared" si="30"/>
        <v>0</v>
      </c>
      <c r="T90" s="176">
        <f t="shared" si="31"/>
        <v>6</v>
      </c>
      <c r="U90" s="251">
        <f t="shared" si="32"/>
        <v>0.51412057218253016</v>
      </c>
      <c r="V90" s="383">
        <f t="shared" si="33"/>
        <v>44.060844246001992</v>
      </c>
      <c r="W90" s="402">
        <f t="shared" si="34"/>
        <v>10.504709423240605</v>
      </c>
      <c r="X90" s="157">
        <f t="shared" si="35"/>
        <v>45002</v>
      </c>
      <c r="Y90" s="385">
        <f t="shared" si="36"/>
        <v>10.028314166763527</v>
      </c>
      <c r="Z90" s="385">
        <f t="shared" si="37"/>
        <v>10.422214576077868</v>
      </c>
      <c r="AA90" s="386">
        <f t="shared" si="38"/>
        <v>12.208453958060458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0.1463116778028434</v>
      </c>
      <c r="AD90" s="231">
        <f>(INDEX(Models!$BJ90:$BT90,,AH90)*(1-AF90)+INDEX(Models!$BJ90:$BT90,,AH90+1)*AF90-ERP_i)*AE90*Ramure*Pc/MaxiM</f>
        <v>9.0894055887220991E-4</v>
      </c>
      <c r="AE90" s="305">
        <f t="shared" si="40"/>
        <v>0.7</v>
      </c>
      <c r="AF90" s="177">
        <f t="shared" si="41"/>
        <v>0.51412057218253016</v>
      </c>
      <c r="AG90" s="921">
        <f t="shared" si="49"/>
        <v>0</v>
      </c>
      <c r="AH90" s="176">
        <f t="shared" si="42"/>
        <v>6</v>
      </c>
      <c r="AI90" s="225">
        <f t="shared" si="43"/>
        <v>0.51412057218253016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12.884658097848023</v>
      </c>
      <c r="C91" s="955"/>
      <c r="D91" s="393">
        <f t="shared" si="25"/>
        <v>13.391045642288146</v>
      </c>
      <c r="E91" s="385">
        <f t="shared" si="47"/>
        <v>14.975633493459112</v>
      </c>
      <c r="F91" s="385">
        <f t="shared" si="26"/>
        <v>14.975633493459112</v>
      </c>
      <c r="G91" s="110">
        <f t="shared" si="48"/>
        <v>0.29059489654062226</v>
      </c>
      <c r="H91" s="414" t="b">
        <f>Wh_hp&gt;='2022'!Maxi_hp</f>
        <v>0</v>
      </c>
      <c r="I91" s="390">
        <f>IF(H91,Wh_hp,'2022'!Maxi_hp)</f>
        <v>38.270489516966428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3.7815384845002797E-2</v>
      </c>
      <c r="M91" s="959"/>
      <c r="N91" s="959"/>
      <c r="O91" s="48">
        <f>IF(t&lt;Tnet,'2022'!Resal+('2022'!Salim-'2022'!Resal)*(1-EXP(('2022'!Tnet-t)/('2022'!Tau_j))),Resal+(Salim-Resal)*(1-EXP((Tnet-t)/(Tau_j))))*Salcycl</f>
        <v>0.10581107315847872</v>
      </c>
      <c r="P91" s="169">
        <f>(INDEX(Models!$BJ91:$BT91,,T91)*(1-R91)+INDEX(Models!$BJ91:$BT91,,T91+1)*R91-ERP_i)*Q91*Ramure*Pc/MaxiM</f>
        <v>8.8151243904813334E-4</v>
      </c>
      <c r="Q91" s="305">
        <f t="shared" si="28"/>
        <v>0.7</v>
      </c>
      <c r="R91" s="177">
        <f t="shared" si="29"/>
        <v>0.51472155426115562</v>
      </c>
      <c r="S91" s="921">
        <f t="shared" si="30"/>
        <v>0</v>
      </c>
      <c r="T91" s="176">
        <f t="shared" si="31"/>
        <v>6</v>
      </c>
      <c r="U91" s="251">
        <f t="shared" si="32"/>
        <v>0.51472155426115562</v>
      </c>
      <c r="V91" s="383">
        <f t="shared" si="33"/>
        <v>44.299814844347516</v>
      </c>
      <c r="W91" s="402">
        <f t="shared" si="34"/>
        <v>12.884658097848023</v>
      </c>
      <c r="X91" s="157">
        <f t="shared" si="35"/>
        <v>45003</v>
      </c>
      <c r="Y91" s="385">
        <f t="shared" si="36"/>
        <v>12.300805360528839</v>
      </c>
      <c r="Z91" s="385">
        <f t="shared" si="37"/>
        <v>12.78424656431169</v>
      </c>
      <c r="AA91" s="386">
        <f t="shared" si="38"/>
        <v>14.975633493459112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0.14633016560565204</v>
      </c>
      <c r="AD91" s="231">
        <f>(INDEX(Models!$BJ91:$BT91,,AH91)*(1-AF91)+INDEX(Models!$BJ91:$BT91,,AH91+1)*AF91-ERP_i)*AE91*Ramure*Pc/MaxiM</f>
        <v>8.8151243904813334E-4</v>
      </c>
      <c r="AE91" s="305">
        <f t="shared" si="40"/>
        <v>0.7</v>
      </c>
      <c r="AF91" s="177">
        <f t="shared" si="41"/>
        <v>0.51472155426115562</v>
      </c>
      <c r="AG91" s="921">
        <f t="shared" si="49"/>
        <v>0</v>
      </c>
      <c r="AH91" s="176">
        <f t="shared" si="42"/>
        <v>6</v>
      </c>
      <c r="AI91" s="225">
        <f t="shared" si="43"/>
        <v>0.51472155426115562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29.524632306427907</v>
      </c>
      <c r="C92" s="955"/>
      <c r="D92" s="393">
        <f t="shared" si="25"/>
        <v>30.685669382747442</v>
      </c>
      <c r="E92" s="385">
        <f t="shared" si="47"/>
        <v>34.318846478873979</v>
      </c>
      <c r="F92" s="385">
        <f t="shared" si="26"/>
        <v>34.334059345609738</v>
      </c>
      <c r="G92" s="110">
        <f t="shared" si="48"/>
        <v>0.66267895515242647</v>
      </c>
      <c r="H92" s="414" t="b">
        <f>Wh_hp&gt;='2022'!Maxi_hp</f>
        <v>0</v>
      </c>
      <c r="I92" s="390">
        <f>IF(H92,Wh_hp,'2022'!Maxi_hp)</f>
        <v>46.831517578729603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3.783645915745637E-2</v>
      </c>
      <c r="M92" s="959"/>
      <c r="N92" s="959"/>
      <c r="O92" s="48">
        <f>IF(t&lt;Tnet,'2022'!Resal+('2022'!Salim-'2022'!Resal)*(1-EXP(('2022'!Tnet-t)/('2022'!Tau_j))),Resal+(Salim-Resal)*(1-EXP((Tnet-t)/(Tau_j))))*Salcycl</f>
        <v>0.10586536171497056</v>
      </c>
      <c r="P92" s="169">
        <f>(INDEX(Models!$BJ92:$BT92,,T92)*(1-R92)+INDEX(Models!$BJ92:$BT92,,T92+1)*R92-ERP_i)*Q92*Ramure*Pc/MaxiM</f>
        <v>8.5454497957252373E-4</v>
      </c>
      <c r="Q92" s="305">
        <f t="shared" si="28"/>
        <v>0.7</v>
      </c>
      <c r="R92" s="177">
        <f t="shared" si="29"/>
        <v>0.51534616987536219</v>
      </c>
      <c r="S92" s="921">
        <f t="shared" si="30"/>
        <v>0</v>
      </c>
      <c r="T92" s="176">
        <f t="shared" si="31"/>
        <v>6</v>
      </c>
      <c r="U92" s="251">
        <f t="shared" si="32"/>
        <v>0.51534616987536219</v>
      </c>
      <c r="V92" s="383">
        <f t="shared" si="33"/>
        <v>44.535107766635122</v>
      </c>
      <c r="W92" s="402">
        <f t="shared" si="34"/>
        <v>29.524632306427907</v>
      </c>
      <c r="X92" s="157">
        <f t="shared" si="35"/>
        <v>45004</v>
      </c>
      <c r="Y92" s="385">
        <f t="shared" si="36"/>
        <v>28.187839738667801</v>
      </c>
      <c r="Z92" s="385">
        <f t="shared" si="37"/>
        <v>29.296308311562484</v>
      </c>
      <c r="AA92" s="386">
        <f t="shared" si="38"/>
        <v>34.318846478873979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0.14634927110394788</v>
      </c>
      <c r="AD92" s="231">
        <f>(INDEX(Models!$BJ92:$BT92,,AH92)*(1-AF92)+INDEX(Models!$BJ92:$BT92,,AH92+1)*AF92-ERP_i)*AE92*Ramure*Pc/MaxiM</f>
        <v>8.5454497957252373E-4</v>
      </c>
      <c r="AE92" s="305">
        <f t="shared" si="40"/>
        <v>0.7</v>
      </c>
      <c r="AF92" s="177">
        <f t="shared" si="41"/>
        <v>0.51534616987536219</v>
      </c>
      <c r="AG92" s="921">
        <f t="shared" si="49"/>
        <v>0</v>
      </c>
      <c r="AH92" s="176">
        <f t="shared" si="42"/>
        <v>6</v>
      </c>
      <c r="AI92" s="225">
        <f t="shared" si="43"/>
        <v>0.51534616987536219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30.441938499179365</v>
      </c>
      <c r="C93" s="955"/>
      <c r="D93" s="393">
        <f t="shared" si="25"/>
        <v>31.639741039975192</v>
      </c>
      <c r="E93" s="385">
        <f t="shared" si="47"/>
        <v>35.388046583884901</v>
      </c>
      <c r="F93" s="385">
        <f t="shared" si="26"/>
        <v>35.403959341246448</v>
      </c>
      <c r="G93" s="110">
        <f t="shared" si="48"/>
        <v>0.67972750131018811</v>
      </c>
      <c r="H93" s="414" t="b">
        <f>Wh_hp&gt;='2022'!Maxi_hp</f>
        <v>0</v>
      </c>
      <c r="I93" s="390">
        <f>IF(H93,Wh_hp,'2022'!Maxi_hp)</f>
        <v>53.139538604347429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3.7857533008328503E-2</v>
      </c>
      <c r="M93" s="959"/>
      <c r="N93" s="959"/>
      <c r="O93" s="48">
        <f>IF(t&lt;Tnet,'2022'!Resal+('2022'!Salim-'2022'!Resal)*(1-EXP(('2022'!Tnet-t)/('2022'!Tau_j))),Resal+(Salim-Resal)*(1-EXP((Tnet-t)/(Tau_j))))*Salcycl</f>
        <v>0.10592010313495574</v>
      </c>
      <c r="P93" s="169">
        <f>(INDEX(Models!$BJ93:$BT93,,T93)*(1-R93)+INDEX(Models!$BJ93:$BT93,,T93+1)*R93-ERP_i)*Q93*Ramure*Pc/MaxiM</f>
        <v>8.2799017371530789E-4</v>
      </c>
      <c r="Q93" s="305">
        <f t="shared" si="28"/>
        <v>0.7</v>
      </c>
      <c r="R93" s="177">
        <f t="shared" si="29"/>
        <v>0.5159952818579836</v>
      </c>
      <c r="S93" s="921">
        <f t="shared" si="30"/>
        <v>0</v>
      </c>
      <c r="T93" s="176">
        <f t="shared" si="31"/>
        <v>6</v>
      </c>
      <c r="U93" s="251">
        <f t="shared" si="32"/>
        <v>0.5159952818579836</v>
      </c>
      <c r="V93" s="383">
        <f t="shared" si="33"/>
        <v>44.768543493339244</v>
      </c>
      <c r="W93" s="402">
        <f t="shared" si="34"/>
        <v>30.441938499179365</v>
      </c>
      <c r="X93" s="157">
        <f t="shared" si="35"/>
        <v>45005</v>
      </c>
      <c r="Y93" s="385">
        <f t="shared" si="36"/>
        <v>29.06471895697695</v>
      </c>
      <c r="Z93" s="385">
        <f t="shared" si="37"/>
        <v>30.20833187818176</v>
      </c>
      <c r="AA93" s="386">
        <f t="shared" si="38"/>
        <v>35.388046583884901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0.1463690484702225</v>
      </c>
      <c r="AD93" s="231">
        <f>(INDEX(Models!$BJ93:$BT93,,AH93)*(1-AF93)+INDEX(Models!$BJ93:$BT93,,AH93+1)*AF93-ERP_i)*AE93*Ramure*Pc/MaxiM</f>
        <v>8.2799017371530789E-4</v>
      </c>
      <c r="AE93" s="305">
        <f t="shared" si="40"/>
        <v>0.7</v>
      </c>
      <c r="AF93" s="177">
        <f t="shared" si="41"/>
        <v>0.5159952818579836</v>
      </c>
      <c r="AG93" s="921">
        <f t="shared" si="49"/>
        <v>0</v>
      </c>
      <c r="AH93" s="176">
        <f t="shared" si="42"/>
        <v>6</v>
      </c>
      <c r="AI93" s="225">
        <f t="shared" si="43"/>
        <v>0.5159952818579836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43.899453908367491</v>
      </c>
      <c r="C94" s="955"/>
      <c r="D94" s="393">
        <f t="shared" si="25"/>
        <v>45.627770258802109</v>
      </c>
      <c r="E94" s="385">
        <f t="shared" si="47"/>
        <v>51.036366433230192</v>
      </c>
      <c r="F94" s="385">
        <f t="shared" si="26"/>
        <v>51.075898034622014</v>
      </c>
      <c r="G94" s="110">
        <f t="shared" si="48"/>
        <v>0.97547950850437504</v>
      </c>
      <c r="H94" s="414" t="b">
        <f>Wh_hp&gt;='2022'!Maxi_hp</f>
        <v>0</v>
      </c>
      <c r="I94" s="390">
        <f>IF(H94,Wh_hp,'2022'!Maxi_hp)</f>
        <v>53.219933275475654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3.7878606397629189E-2</v>
      </c>
      <c r="M94" s="959"/>
      <c r="N94" s="959"/>
      <c r="O94" s="48">
        <f>IF(t&lt;Tnet,'2022'!Resal+('2022'!Salim-'2022'!Resal)*(1-EXP(('2022'!Tnet-t)/('2022'!Tau_j))),Resal+(Salim-Resal)*(1-EXP((Tnet-t)/(Tau_j))))*Salcycl</f>
        <v>0.10597533783099626</v>
      </c>
      <c r="P94" s="169">
        <f>(INDEX(Models!$BJ94:$BT94,,T94)*(1-R94)+INDEX(Models!$BJ94:$BT94,,T94+1)*R94-ERP_i)*Q94*Ramure*Pc/MaxiM</f>
        <v>8.0204113525861418E-4</v>
      </c>
      <c r="Q94" s="305">
        <f t="shared" si="28"/>
        <v>0.7</v>
      </c>
      <c r="R94" s="177">
        <f t="shared" si="29"/>
        <v>0.51666977904768385</v>
      </c>
      <c r="S94" s="921">
        <f t="shared" si="30"/>
        <v>0</v>
      </c>
      <c r="T94" s="176">
        <f t="shared" si="31"/>
        <v>6</v>
      </c>
      <c r="U94" s="251">
        <f t="shared" si="32"/>
        <v>0.51666977904768385</v>
      </c>
      <c r="V94" s="383">
        <f t="shared" si="33"/>
        <v>45.001684400215794</v>
      </c>
      <c r="W94" s="402">
        <f t="shared" si="34"/>
        <v>43.899453908367491</v>
      </c>
      <c r="X94" s="157">
        <f t="shared" si="35"/>
        <v>45006</v>
      </c>
      <c r="Y94" s="385">
        <f t="shared" si="36"/>
        <v>41.914987440788202</v>
      </c>
      <c r="Z94" s="385">
        <f t="shared" si="37"/>
        <v>43.565175579196179</v>
      </c>
      <c r="AA94" s="386">
        <f t="shared" si="38"/>
        <v>51.036366433230192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0.14638955270862428</v>
      </c>
      <c r="AD94" s="231">
        <f>(INDEX(Models!$BJ94:$BT94,,AH94)*(1-AF94)+INDEX(Models!$BJ94:$BT94,,AH94+1)*AF94-ERP_i)*AE94*Ramure*Pc/MaxiM</f>
        <v>8.0204113525861418E-4</v>
      </c>
      <c r="AE94" s="305">
        <f t="shared" si="40"/>
        <v>0.7</v>
      </c>
      <c r="AF94" s="177">
        <f t="shared" si="41"/>
        <v>0.51666977904768385</v>
      </c>
      <c r="AG94" s="921">
        <f t="shared" si="49"/>
        <v>0</v>
      </c>
      <c r="AH94" s="176">
        <f t="shared" si="42"/>
        <v>6</v>
      </c>
      <c r="AI94" s="225">
        <f t="shared" si="43"/>
        <v>0.51666977904768385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38.740963330770441</v>
      </c>
      <c r="C95" s="955"/>
      <c r="D95" s="393">
        <f t="shared" si="25"/>
        <v>40.267072464548193</v>
      </c>
      <c r="E95" s="385">
        <f t="shared" si="47"/>
        <v>45.043035354489938</v>
      </c>
      <c r="F95" s="385">
        <f t="shared" si="26"/>
        <v>45.070881104070992</v>
      </c>
      <c r="G95" s="110">
        <f t="shared" si="48"/>
        <v>0.85632284202426689</v>
      </c>
      <c r="H95" s="414" t="b">
        <f>Wh_hp&gt;='2022'!Maxi_hp</f>
        <v>0</v>
      </c>
      <c r="I95" s="390">
        <f>IF(H95,Wh_hp,'2022'!Maxi_hp)</f>
        <v>52.117627843898426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3.7899679325368529E-2</v>
      </c>
      <c r="M95" s="959"/>
      <c r="N95" s="959"/>
      <c r="O95" s="48">
        <f>IF(t&lt;Tnet,'2022'!Resal+('2022'!Salim-'2022'!Resal)*(1-EXP(('2022'!Tnet-t)/('2022'!Tau_j))),Resal+(Salim-Resal)*(1-EXP((Tnet-t)/(Tau_j))))*Salcycl</f>
        <v>0.10603110674835262</v>
      </c>
      <c r="P95" s="169">
        <f>(INDEX(Models!$BJ95:$BT95,,T95)*(1-R95)+INDEX(Models!$BJ95:$BT95,,T95+1)*R95-ERP_i)*Q95*Ramure*Pc/MaxiM</f>
        <v>7.7719036243980536E-4</v>
      </c>
      <c r="Q95" s="305">
        <f t="shared" si="28"/>
        <v>0.7</v>
      </c>
      <c r="R95" s="177">
        <f t="shared" si="29"/>
        <v>0.51737057660885855</v>
      </c>
      <c r="S95" s="921">
        <f t="shared" si="30"/>
        <v>0</v>
      </c>
      <c r="T95" s="176">
        <f t="shared" si="31"/>
        <v>6</v>
      </c>
      <c r="U95" s="251">
        <f t="shared" si="32"/>
        <v>0.51737057660885855</v>
      </c>
      <c r="V95" s="383">
        <f t="shared" si="33"/>
        <v>45.233857490802514</v>
      </c>
      <c r="W95" s="402">
        <f t="shared" si="34"/>
        <v>38.740963330770441</v>
      </c>
      <c r="X95" s="157">
        <f t="shared" si="35"/>
        <v>45007</v>
      </c>
      <c r="Y95" s="385">
        <f t="shared" si="36"/>
        <v>36.991070513749243</v>
      </c>
      <c r="Z95" s="385">
        <f t="shared" si="37"/>
        <v>38.448246735653143</v>
      </c>
      <c r="AA95" s="386">
        <f t="shared" si="38"/>
        <v>45.043035354489938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0.14641083947686079</v>
      </c>
      <c r="AD95" s="231">
        <f>(INDEX(Models!$BJ95:$BT95,,AH95)*(1-AF95)+INDEX(Models!$BJ95:$BT95,,AH95+1)*AF95-ERP_i)*AE95*Ramure*Pc/MaxiM</f>
        <v>7.7719036243980536E-4</v>
      </c>
      <c r="AE95" s="305">
        <f t="shared" si="40"/>
        <v>0.7</v>
      </c>
      <c r="AF95" s="177">
        <f t="shared" si="41"/>
        <v>0.51737057660885855</v>
      </c>
      <c r="AG95" s="921">
        <f t="shared" si="49"/>
        <v>0</v>
      </c>
      <c r="AH95" s="176">
        <f t="shared" si="42"/>
        <v>6</v>
      </c>
      <c r="AI95" s="225">
        <f t="shared" si="43"/>
        <v>0.51737057660885855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45.621420333875278</v>
      </c>
      <c r="C96" s="955"/>
      <c r="D96" s="393">
        <f t="shared" si="25"/>
        <v>47.419607499933292</v>
      </c>
      <c r="E96" s="385">
        <f t="shared" si="47"/>
        <v>53.047255646672141</v>
      </c>
      <c r="F96" s="385">
        <f t="shared" si="26"/>
        <v>53.087253194145482</v>
      </c>
      <c r="G96" s="110">
        <f t="shared" si="48"/>
        <v>1.0034534301766029</v>
      </c>
      <c r="H96" s="414" t="b">
        <f>Wh_hp&gt;='2022'!Maxi_hp</f>
        <v>1</v>
      </c>
      <c r="I96" s="390">
        <f>IF(H96,Wh_hp,'2022'!Maxi_hp)</f>
        <v>53.087253194145482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3.7920751791556739E-2</v>
      </c>
      <c r="M96" s="959"/>
      <c r="N96" s="959"/>
      <c r="O96" s="48">
        <f>IF(t&lt;Tnet,'2022'!Resal+('2022'!Salim-'2022'!Resal)*(1-EXP(('2022'!Tnet-t)/('2022'!Tau_j))),Resal+(Salim-Resal)*(1-EXP((Tnet-t)/(Tau_j))))*Salcycl</f>
        <v>0.10608745123824122</v>
      </c>
      <c r="P96" s="169">
        <f>(INDEX(Models!$BJ96:$BT96,,T96)*(1-R96)+INDEX(Models!$BJ96:$BT96,,T96+1)*R96-ERP_i)*Q96*Ramure*Pc/MaxiM</f>
        <v>7.5343034470182375E-4</v>
      </c>
      <c r="Q96" s="305">
        <f t="shared" si="28"/>
        <v>0.7</v>
      </c>
      <c r="R96" s="177">
        <f t="shared" si="29"/>
        <v>0.51809861631115317</v>
      </c>
      <c r="S96" s="921">
        <f t="shared" si="30"/>
        <v>0</v>
      </c>
      <c r="T96" s="176">
        <f t="shared" si="31"/>
        <v>6</v>
      </c>
      <c r="U96" s="251">
        <f t="shared" si="32"/>
        <v>0.51809861631115317</v>
      </c>
      <c r="V96" s="383">
        <f t="shared" si="33"/>
        <v>45.464412160957117</v>
      </c>
      <c r="W96" s="402">
        <f t="shared" si="34"/>
        <v>45.621420333875278</v>
      </c>
      <c r="X96" s="157">
        <f t="shared" si="35"/>
        <v>45008</v>
      </c>
      <c r="Y96" s="385">
        <f t="shared" si="36"/>
        <v>43.562360260979077</v>
      </c>
      <c r="Z96" s="385">
        <f t="shared" si="37"/>
        <v>45.279388721978641</v>
      </c>
      <c r="AA96" s="386">
        <f t="shared" si="38"/>
        <v>53.047255646672141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0.14643296491023675</v>
      </c>
      <c r="AD96" s="231">
        <f>(INDEX(Models!$BJ96:$BT96,,AH96)*(1-AF96)+INDEX(Models!$BJ96:$BT96,,AH96+1)*AF96-ERP_i)*AE96*Ramure*Pc/MaxiM</f>
        <v>7.5343034470182375E-4</v>
      </c>
      <c r="AE96" s="305">
        <f t="shared" si="40"/>
        <v>0.7</v>
      </c>
      <c r="AF96" s="177">
        <f t="shared" si="41"/>
        <v>0.51809861631115317</v>
      </c>
      <c r="AG96" s="921">
        <f t="shared" si="49"/>
        <v>0</v>
      </c>
      <c r="AH96" s="176">
        <f t="shared" si="42"/>
        <v>6</v>
      </c>
      <c r="AI96" s="225">
        <f t="shared" si="43"/>
        <v>0.51809861631115317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42.942708863243077</v>
      </c>
      <c r="C97" s="955"/>
      <c r="D97" s="393">
        <f t="shared" si="25"/>
        <v>44.636291157247406</v>
      </c>
      <c r="E97" s="385">
        <f t="shared" si="47"/>
        <v>49.936803889894037</v>
      </c>
      <c r="F97" s="385">
        <f t="shared" si="26"/>
        <v>49.970180174165584</v>
      </c>
      <c r="G97" s="110">
        <f t="shared" si="48"/>
        <v>0.93975648051215488</v>
      </c>
      <c r="H97" s="414" t="b">
        <f>Wh_hp&gt;='2022'!Maxi_hp</f>
        <v>0</v>
      </c>
      <c r="I97" s="390">
        <f>IF(H97,Wh_hp,'2022'!Maxi_hp)</f>
        <v>52.635831121779191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3.7941823796203811E-2</v>
      </c>
      <c r="M97" s="959"/>
      <c r="N97" s="959"/>
      <c r="O97" s="48">
        <f>IF(t&lt;Tnet,'2022'!Resal+('2022'!Salim-'2022'!Resal)*(1-EXP(('2022'!Tnet-t)/('2022'!Tau_j))),Resal+(Salim-Resal)*(1-EXP((Tnet-t)/(Tau_j))))*Salcycl</f>
        <v>0.1061444129330696</v>
      </c>
      <c r="P97" s="169">
        <f>(INDEX(Models!$BJ97:$BT97,,T97)*(1-R97)+INDEX(Models!$BJ97:$BT97,,T97+1)*R97-ERP_i)*Q97*Ramure*Pc/MaxiM</f>
        <v>7.3075249666726654E-4</v>
      </c>
      <c r="Q97" s="305">
        <f t="shared" si="28"/>
        <v>0.7</v>
      </c>
      <c r="R97" s="177">
        <f t="shared" si="29"/>
        <v>0.51885486676371306</v>
      </c>
      <c r="S97" s="921">
        <f t="shared" si="30"/>
        <v>0</v>
      </c>
      <c r="T97" s="176">
        <f t="shared" si="31"/>
        <v>6</v>
      </c>
      <c r="U97" s="251">
        <f t="shared" si="32"/>
        <v>0.51885486676371306</v>
      </c>
      <c r="V97" s="383">
        <f t="shared" si="33"/>
        <v>45.692697976541581</v>
      </c>
      <c r="W97" s="402">
        <f t="shared" si="34"/>
        <v>42.942708863243077</v>
      </c>
      <c r="X97" s="157">
        <f t="shared" si="35"/>
        <v>45009</v>
      </c>
      <c r="Y97" s="385">
        <f t="shared" si="36"/>
        <v>41.006055842989625</v>
      </c>
      <c r="Z97" s="385">
        <f t="shared" si="37"/>
        <v>42.623260066034888</v>
      </c>
      <c r="AA97" s="386">
        <f t="shared" si="38"/>
        <v>49.936803889894037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0.14645598544882499</v>
      </c>
      <c r="AD97" s="231">
        <f>(INDEX(Models!$BJ97:$BT97,,AH97)*(1-AF97)+INDEX(Models!$BJ97:$BT97,,AH97+1)*AF97-ERP_i)*AE97*Ramure*Pc/MaxiM</f>
        <v>7.3075249666726654E-4</v>
      </c>
      <c r="AE97" s="305">
        <f t="shared" si="40"/>
        <v>0.7</v>
      </c>
      <c r="AF97" s="177">
        <f t="shared" si="41"/>
        <v>0.51885486676371306</v>
      </c>
      <c r="AG97" s="921">
        <f t="shared" si="49"/>
        <v>0</v>
      </c>
      <c r="AH97" s="176">
        <f t="shared" si="42"/>
        <v>6</v>
      </c>
      <c r="AI97" s="225">
        <f t="shared" si="43"/>
        <v>0.51885486676371306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39.095427598832742</v>
      </c>
      <c r="C98" s="955"/>
      <c r="D98" s="393">
        <f t="shared" si="25"/>
        <v>40.638170200952985</v>
      </c>
      <c r="E98" s="385">
        <f t="shared" si="47"/>
        <v>45.46684119873094</v>
      </c>
      <c r="F98" s="385">
        <f t="shared" si="26"/>
        <v>45.492254212462448</v>
      </c>
      <c r="G98" s="110">
        <f t="shared" si="48"/>
        <v>0.85128891558381226</v>
      </c>
      <c r="H98" s="414" t="b">
        <f>Wh_hp&gt;='2022'!Maxi_hp</f>
        <v>0</v>
      </c>
      <c r="I98" s="390">
        <f>IF(H98,Wh_hp,'2022'!Maxi_hp)</f>
        <v>47.578792902284313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3.7962895339319846E-2</v>
      </c>
      <c r="M98" s="959"/>
      <c r="N98" s="959"/>
      <c r="O98" s="48">
        <f>IF(t&lt;Tnet,'2022'!Resal+('2022'!Salim-'2022'!Resal)*(1-EXP(('2022'!Tnet-t)/('2022'!Tau_j))),Resal+(Salim-Resal)*(1-EXP((Tnet-t)/(Tau_j))))*Salcycl</f>
        <v>0.10620203362429168</v>
      </c>
      <c r="P98" s="169">
        <f>(INDEX(Models!$BJ98:$BT98,,T98)*(1-R98)+INDEX(Models!$BJ98:$BT98,,T98+1)*R98-ERP_i)*Q98*Ramure*Pc/MaxiM</f>
        <v>7.0914735504603048E-4</v>
      </c>
      <c r="Q98" s="305">
        <f t="shared" si="28"/>
        <v>0.7</v>
      </c>
      <c r="R98" s="177">
        <f t="shared" si="29"/>
        <v>0.51964032359896029</v>
      </c>
      <c r="S98" s="921">
        <f t="shared" si="30"/>
        <v>0</v>
      </c>
      <c r="T98" s="176">
        <f t="shared" si="31"/>
        <v>6</v>
      </c>
      <c r="U98" s="251">
        <f t="shared" si="32"/>
        <v>0.51964032359896029</v>
      </c>
      <c r="V98" s="383">
        <f t="shared" si="33"/>
        <v>45.918064684056084</v>
      </c>
      <c r="W98" s="402">
        <f t="shared" si="34"/>
        <v>39.095427598832742</v>
      </c>
      <c r="X98" s="157">
        <f t="shared" si="35"/>
        <v>45010</v>
      </c>
      <c r="Y98" s="385">
        <f t="shared" si="36"/>
        <v>37.333639451459128</v>
      </c>
      <c r="Z98" s="385">
        <f t="shared" si="37"/>
        <v>38.80686022461375</v>
      </c>
      <c r="AA98" s="386">
        <f t="shared" si="38"/>
        <v>45.46684119873094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0.14647995766864663</v>
      </c>
      <c r="AD98" s="231">
        <f>(INDEX(Models!$BJ98:$BT98,,AH98)*(1-AF98)+INDEX(Models!$BJ98:$BT98,,AH98+1)*AF98-ERP_i)*AE98*Ramure*Pc/MaxiM</f>
        <v>7.0914735504603048E-4</v>
      </c>
      <c r="AE98" s="305">
        <f t="shared" si="40"/>
        <v>0.7</v>
      </c>
      <c r="AF98" s="177">
        <f t="shared" si="41"/>
        <v>0.51964032359896029</v>
      </c>
      <c r="AG98" s="921">
        <f t="shared" si="49"/>
        <v>0</v>
      </c>
      <c r="AH98" s="176">
        <f t="shared" si="42"/>
        <v>6</v>
      </c>
      <c r="AI98" s="225">
        <f t="shared" si="43"/>
        <v>0.51964032359896029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42.467451195605001</v>
      </c>
      <c r="C99" s="955"/>
      <c r="D99" s="393">
        <f t="shared" si="25"/>
        <v>44.14422391444878</v>
      </c>
      <c r="E99" s="385">
        <f t="shared" si="47"/>
        <v>49.392710918103383</v>
      </c>
      <c r="F99" s="385">
        <f t="shared" si="26"/>
        <v>49.422874065570603</v>
      </c>
      <c r="G99" s="110">
        <f t="shared" si="48"/>
        <v>0.92033486946558329</v>
      </c>
      <c r="H99" s="414" t="b">
        <f>Wh_hp&gt;='2022'!Maxi_hp</f>
        <v>0</v>
      </c>
      <c r="I99" s="390">
        <f>IF(H99,Wh_hp,'2022'!Maxi_hp)</f>
        <v>56.081839676566283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3.7983966420915061E-2</v>
      </c>
      <c r="M99" s="959"/>
      <c r="N99" s="959"/>
      <c r="O99" s="48">
        <f>IF(t&lt;Tnet,'2022'!Resal+('2022'!Salim-'2022'!Resal)*(1-EXP(('2022'!Tnet-t)/('2022'!Tau_j))),Resal+(Salim-Resal)*(1-EXP((Tnet-t)/(Tau_j))))*Salcycl</f>
        <v>0.10626035514343332</v>
      </c>
      <c r="P99" s="169">
        <f>(INDEX(Models!$BJ99:$BT99,,T99)*(1-R99)+INDEX(Models!$BJ99:$BT99,,T99+1)*R99-ERP_i)*Q99*Ramure*Pc/MaxiM</f>
        <v>6.8860476841149361E-4</v>
      </c>
      <c r="Q99" s="305">
        <f t="shared" si="28"/>
        <v>0.7</v>
      </c>
      <c r="R99" s="177">
        <f t="shared" si="29"/>
        <v>0.52045600960036387</v>
      </c>
      <c r="S99" s="921">
        <f t="shared" si="30"/>
        <v>0</v>
      </c>
      <c r="T99" s="176">
        <f t="shared" si="31"/>
        <v>6</v>
      </c>
      <c r="U99" s="251">
        <f t="shared" si="32"/>
        <v>0.52045600960036387</v>
      </c>
      <c r="V99" s="383">
        <f t="shared" si="33"/>
        <v>46.139862223717458</v>
      </c>
      <c r="W99" s="402">
        <f t="shared" si="34"/>
        <v>42.467451195605001</v>
      </c>
      <c r="X99" s="157">
        <f t="shared" si="35"/>
        <v>45011</v>
      </c>
      <c r="Y99" s="385">
        <f t="shared" si="36"/>
        <v>40.555166255377834</v>
      </c>
      <c r="Z99" s="385">
        <f t="shared" si="37"/>
        <v>42.156434861585801</v>
      </c>
      <c r="AA99" s="386">
        <f t="shared" si="38"/>
        <v>49.392710918103383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0.14650493811760693</v>
      </c>
      <c r="AD99" s="231">
        <f>(INDEX(Models!$BJ99:$BT99,,AH99)*(1-AF99)+INDEX(Models!$BJ99:$BT99,,AH99+1)*AF99-ERP_i)*AE99*Ramure*Pc/MaxiM</f>
        <v>6.8860476841149361E-4</v>
      </c>
      <c r="AE99" s="305">
        <f t="shared" si="40"/>
        <v>0.7</v>
      </c>
      <c r="AF99" s="177">
        <f t="shared" si="41"/>
        <v>0.52045600960036387</v>
      </c>
      <c r="AG99" s="921">
        <f t="shared" si="49"/>
        <v>0</v>
      </c>
      <c r="AH99" s="176">
        <f t="shared" si="42"/>
        <v>6</v>
      </c>
      <c r="AI99" s="225">
        <f t="shared" si="43"/>
        <v>0.52045600960036387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43.167723845953603</v>
      </c>
      <c r="C100" s="955"/>
      <c r="D100" s="393">
        <f t="shared" si="25"/>
        <v>44.873128766884598</v>
      </c>
      <c r="E100" s="385">
        <f t="shared" si="47"/>
        <v>50.211596551714628</v>
      </c>
      <c r="F100" s="385">
        <f t="shared" si="26"/>
        <v>50.241926961837187</v>
      </c>
      <c r="G100" s="110">
        <f t="shared" si="48"/>
        <v>0.93113202813820006</v>
      </c>
      <c r="H100" s="414" t="b">
        <f>Wh_hp&gt;='2022'!Maxi_hp</f>
        <v>0</v>
      </c>
      <c r="I100" s="390">
        <f>IF(H100,Wh_hp,'2022'!Maxi_hp)</f>
        <v>55.275486537639232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3.8005037040999556E-2</v>
      </c>
      <c r="M100" s="959"/>
      <c r="N100" s="959"/>
      <c r="O100" s="48">
        <f>IF(t&lt;Tnet,'2022'!Resal+('2022'!Salim-'2022'!Resal)*(1-EXP(('2022'!Tnet-t)/('2022'!Tau_j))),Resal+(Salim-Resal)*(1-EXP((Tnet-t)/(Tau_j))))*Salcycl</f>
        <v>0.10631941924674242</v>
      </c>
      <c r="P100" s="169">
        <f>(INDEX(Models!$BJ100:$BT100,,T100)*(1-R100)+INDEX(Models!$BJ100:$BT100,,T100+1)*R100-ERP_i)*Q100*Ramure*Pc/MaxiM</f>
        <v>6.6949544031331347E-4</v>
      </c>
      <c r="Q100" s="305">
        <f t="shared" si="28"/>
        <v>0.7</v>
      </c>
      <c r="R100" s="177">
        <f t="shared" si="29"/>
        <v>0.52130297476832843</v>
      </c>
      <c r="S100" s="921">
        <f t="shared" si="30"/>
        <v>0</v>
      </c>
      <c r="T100" s="176">
        <f t="shared" si="31"/>
        <v>6</v>
      </c>
      <c r="U100" s="251">
        <f t="shared" si="32"/>
        <v>0.52130297476832843</v>
      </c>
      <c r="V100" s="383">
        <f t="shared" si="33"/>
        <v>46.357423045554071</v>
      </c>
      <c r="W100" s="402">
        <f t="shared" si="34"/>
        <v>43.167723845953603</v>
      </c>
      <c r="X100" s="157">
        <f t="shared" si="35"/>
        <v>45012</v>
      </c>
      <c r="Y100" s="385">
        <f t="shared" si="36"/>
        <v>41.225372491714566</v>
      </c>
      <c r="Z100" s="385">
        <f t="shared" si="37"/>
        <v>42.85404194311937</v>
      </c>
      <c r="AA100" s="386">
        <f t="shared" si="38"/>
        <v>50.211596551714628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0.14653098315679841</v>
      </c>
      <c r="AD100" s="231">
        <f>(INDEX(Models!$BJ100:$BT100,,AH100)*(1-AF100)+INDEX(Models!$BJ100:$BT100,,AH100+1)*AF100-ERP_i)*AE100*Ramure*Pc/MaxiM</f>
        <v>6.6949544031331347E-4</v>
      </c>
      <c r="AE100" s="305">
        <f t="shared" si="40"/>
        <v>0.7</v>
      </c>
      <c r="AF100" s="177">
        <f t="shared" si="41"/>
        <v>0.52130297476832843</v>
      </c>
      <c r="AG100" s="921">
        <f t="shared" si="49"/>
        <v>0</v>
      </c>
      <c r="AH100" s="176">
        <f t="shared" si="42"/>
        <v>6</v>
      </c>
      <c r="AI100" s="225">
        <f t="shared" si="43"/>
        <v>0.52130297476832843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33.119024964610858</v>
      </c>
      <c r="C101" s="955"/>
      <c r="D101" s="393">
        <f t="shared" si="25"/>
        <v>34.428195206210397</v>
      </c>
      <c r="E101" s="385">
        <f t="shared" si="47"/>
        <v>38.526629871311194</v>
      </c>
      <c r="F101" s="385">
        <f t="shared" si="26"/>
        <v>38.54137334333587</v>
      </c>
      <c r="G101" s="110">
        <f t="shared" si="48"/>
        <v>0.71097346723395083</v>
      </c>
      <c r="H101" s="414" t="b">
        <f>Wh_hp&gt;='2022'!Maxi_hp</f>
        <v>0</v>
      </c>
      <c r="I101" s="390">
        <f>IF(H101,Wh_hp,'2022'!Maxi_hp)</f>
        <v>54.062253279945516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3.8026107199583326E-2</v>
      </c>
      <c r="M101" s="959"/>
      <c r="N101" s="959"/>
      <c r="O101" s="48">
        <f>IF(t&lt;Tnet,'2022'!Resal+('2022'!Salim-'2022'!Resal)*(1-EXP(('2022'!Tnet-t)/('2022'!Tau_j))),Resal+(Salim-Resal)*(1-EXP((Tnet-t)/(Tau_j))))*Salcycl</f>
        <v>0.10637926750381803</v>
      </c>
      <c r="P101" s="169">
        <f>(INDEX(Models!$BJ101:$BT101,,T101)*(1-R101)+INDEX(Models!$BJ101:$BT101,,T101+1)*R101-ERP_i)*Q101*Ramure*Pc/MaxiM</f>
        <v>6.5126067907051398E-4</v>
      </c>
      <c r="Q101" s="305">
        <f t="shared" si="28"/>
        <v>0.7</v>
      </c>
      <c r="R101" s="177">
        <f t="shared" si="29"/>
        <v>0.52218229631799273</v>
      </c>
      <c r="S101" s="921">
        <f t="shared" si="30"/>
        <v>0</v>
      </c>
      <c r="T101" s="176">
        <f t="shared" si="31"/>
        <v>6</v>
      </c>
      <c r="U101" s="251">
        <f t="shared" si="32"/>
        <v>0.52218229631799273</v>
      </c>
      <c r="V101" s="383">
        <f t="shared" si="33"/>
        <v>46.570122786958798</v>
      </c>
      <c r="W101" s="402">
        <f t="shared" si="34"/>
        <v>33.119024964610858</v>
      </c>
      <c r="X101" s="157">
        <f t="shared" si="35"/>
        <v>45013</v>
      </c>
      <c r="Y101" s="385">
        <f t="shared" si="36"/>
        <v>31.629930850562573</v>
      </c>
      <c r="Z101" s="385">
        <f t="shared" si="37"/>
        <v>32.880238317574509</v>
      </c>
      <c r="AA101" s="386">
        <f t="shared" si="38"/>
        <v>38.526629871311194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0.14655814880764492</v>
      </c>
      <c r="AD101" s="231">
        <f>(INDEX(Models!$BJ101:$BT101,,AH101)*(1-AF101)+INDEX(Models!$BJ101:$BT101,,AH101+1)*AF101-ERP_i)*AE101*Ramure*Pc/MaxiM</f>
        <v>6.5126067907051398E-4</v>
      </c>
      <c r="AE101" s="305">
        <f t="shared" si="40"/>
        <v>0.7</v>
      </c>
      <c r="AF101" s="177">
        <f t="shared" si="41"/>
        <v>0.52218229631799273</v>
      </c>
      <c r="AG101" s="921">
        <f t="shared" si="49"/>
        <v>0</v>
      </c>
      <c r="AH101" s="176">
        <f t="shared" si="42"/>
        <v>6</v>
      </c>
      <c r="AI101" s="225">
        <f t="shared" si="43"/>
        <v>0.52218229631799273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26.10186587351869</v>
      </c>
      <c r="C102" s="955"/>
      <c r="D102" s="393">
        <f t="shared" si="25"/>
        <v>27.134247383683896</v>
      </c>
      <c r="E102" s="385">
        <f t="shared" si="47"/>
        <v>30.366450599676902</v>
      </c>
      <c r="F102" s="385">
        <f t="shared" si="26"/>
        <v>30.373546977088466</v>
      </c>
      <c r="G102" s="110">
        <f t="shared" si="48"/>
        <v>0.55777929298164408</v>
      </c>
      <c r="H102" s="414" t="b">
        <f>Wh_hp&gt;='2022'!Maxi_hp</f>
        <v>0</v>
      </c>
      <c r="I102" s="390">
        <f>IF(H102,Wh_hp,'2022'!Maxi_hp)</f>
        <v>54.934926813744624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3.8047176896676582E-2</v>
      </c>
      <c r="M102" s="959"/>
      <c r="N102" s="959"/>
      <c r="O102" s="48">
        <f>IF(t&lt;Tnet,'2022'!Resal+('2022'!Salim-'2022'!Resal)*(1-EXP(('2022'!Tnet-t)/('2022'!Tau_j))),Resal+(Salim-Resal)*(1-EXP((Tnet-t)/(Tau_j))))*Salcycl</f>
        <v>0.10643994119047286</v>
      </c>
      <c r="P102" s="169">
        <f>(INDEX(Models!$BJ102:$BT102,,T102)*(1-R102)+INDEX(Models!$BJ102:$BT102,,T102+1)*R102-ERP_i)*Q102*Ramure*Pc/MaxiM</f>
        <v>6.3389160801889492E-4</v>
      </c>
      <c r="Q102" s="305">
        <f t="shared" si="28"/>
        <v>0.7</v>
      </c>
      <c r="R102" s="177">
        <f t="shared" si="29"/>
        <v>0.52309507860237914</v>
      </c>
      <c r="S102" s="921">
        <f t="shared" si="30"/>
        <v>0</v>
      </c>
      <c r="T102" s="176">
        <f t="shared" si="31"/>
        <v>6</v>
      </c>
      <c r="U102" s="251">
        <f t="shared" si="32"/>
        <v>0.52309507860237914</v>
      </c>
      <c r="V102" s="383">
        <f t="shared" si="33"/>
        <v>46.777312034090563</v>
      </c>
      <c r="W102" s="402">
        <f t="shared" si="34"/>
        <v>26.10186587351869</v>
      </c>
      <c r="X102" s="157">
        <f t="shared" si="35"/>
        <v>45014</v>
      </c>
      <c r="Y102" s="385">
        <f t="shared" si="36"/>
        <v>24.929141289673268</v>
      </c>
      <c r="Z102" s="385">
        <f t="shared" si="37"/>
        <v>25.915139174133518</v>
      </c>
      <c r="AA102" s="386">
        <f t="shared" si="38"/>
        <v>30.366450599676902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0.14658649060521903</v>
      </c>
      <c r="AD102" s="231">
        <f>(INDEX(Models!$BJ102:$BT102,,AH102)*(1-AF102)+INDEX(Models!$BJ102:$BT102,,AH102+1)*AF102-ERP_i)*AE102*Ramure*Pc/MaxiM</f>
        <v>6.3389160801889492E-4</v>
      </c>
      <c r="AE102" s="305">
        <f t="shared" si="40"/>
        <v>0.7</v>
      </c>
      <c r="AF102" s="177">
        <f t="shared" si="41"/>
        <v>0.52309507860237914</v>
      </c>
      <c r="AG102" s="921">
        <f t="shared" si="49"/>
        <v>0</v>
      </c>
      <c r="AH102" s="176">
        <f t="shared" si="42"/>
        <v>6</v>
      </c>
      <c r="AI102" s="225">
        <f t="shared" si="43"/>
        <v>0.52309507860237914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6.8137966329085105</v>
      </c>
      <c r="C103" s="955"/>
      <c r="D103" s="393">
        <f t="shared" si="25"/>
        <v>7.0834511965238391</v>
      </c>
      <c r="E103" s="385">
        <f t="shared" si="47"/>
        <v>7.9277704969517275</v>
      </c>
      <c r="F103" s="385">
        <f t="shared" si="26"/>
        <v>7.9277704969517275</v>
      </c>
      <c r="G103" s="110">
        <f t="shared" si="48"/>
        <v>0.1449516884297738</v>
      </c>
      <c r="H103" s="414" t="b">
        <f>Wh_hp&gt;='2022'!Maxi_hp</f>
        <v>0</v>
      </c>
      <c r="I103" s="390">
        <f>IF(H103,Wh_hp,'2022'!Maxi_hp)</f>
        <v>56.1503147173473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3.8068246132289318E-2</v>
      </c>
      <c r="M103" s="959"/>
      <c r="N103" s="959"/>
      <c r="O103" s="48">
        <f>IF(t&lt;Tnet,'2022'!Resal+('2022'!Salim-'2022'!Resal)*(1-EXP(('2022'!Tnet-t)/('2022'!Tau_j))),Resal+(Salim-Resal)*(1-EXP((Tnet-t)/(Tau_j))))*Salcycl</f>
        <v>0.10650148118598216</v>
      </c>
      <c r="P103" s="169">
        <f>(INDEX(Models!$BJ103:$BT103,,T103)*(1-R103)+INDEX(Models!$BJ103:$BT103,,T103+1)*R103-ERP_i)*Q103*Ramure*Pc/MaxiM</f>
        <v>6.1737913896072925E-4</v>
      </c>
      <c r="Q103" s="305">
        <f t="shared" si="28"/>
        <v>0.7</v>
      </c>
      <c r="R103" s="177">
        <f t="shared" si="29"/>
        <v>0.52404245295399743</v>
      </c>
      <c r="S103" s="921">
        <f t="shared" si="30"/>
        <v>0</v>
      </c>
      <c r="T103" s="176">
        <f t="shared" si="31"/>
        <v>6</v>
      </c>
      <c r="U103" s="251">
        <f t="shared" si="32"/>
        <v>0.52404245295399743</v>
      </c>
      <c r="V103" s="383">
        <f t="shared" si="33"/>
        <v>46.978341616968073</v>
      </c>
      <c r="W103" s="402">
        <f t="shared" si="34"/>
        <v>6.8137966329085105</v>
      </c>
      <c r="X103" s="157">
        <f t="shared" si="35"/>
        <v>45015</v>
      </c>
      <c r="Y103" s="385">
        <f t="shared" si="36"/>
        <v>6.5078838643256187</v>
      </c>
      <c r="Z103" s="385">
        <f t="shared" si="37"/>
        <v>6.7654319946907719</v>
      </c>
      <c r="AA103" s="386">
        <f t="shared" si="38"/>
        <v>7.9277704969517275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0.14661606345792705</v>
      </c>
      <c r="AD103" s="231">
        <f>(INDEX(Models!$BJ103:$BT103,,AH103)*(1-AF103)+INDEX(Models!$BJ103:$BT103,,AH103+1)*AF103-ERP_i)*AE103*Ramure*Pc/MaxiM</f>
        <v>6.1737913896072925E-4</v>
      </c>
      <c r="AE103" s="305">
        <f t="shared" si="40"/>
        <v>0.7</v>
      </c>
      <c r="AF103" s="177">
        <f t="shared" si="41"/>
        <v>0.52404245295399743</v>
      </c>
      <c r="AG103" s="921">
        <f t="shared" si="49"/>
        <v>0</v>
      </c>
      <c r="AH103" s="176">
        <f t="shared" si="42"/>
        <v>6</v>
      </c>
      <c r="AI103" s="225">
        <f t="shared" si="43"/>
        <v>0.52404245295399743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20.283244747214763</v>
      </c>
      <c r="C104" s="955"/>
      <c r="D104" s="393">
        <f t="shared" si="25"/>
        <v>21.086411723601703</v>
      </c>
      <c r="E104" s="385">
        <f t="shared" si="47"/>
        <v>23.601477913739508</v>
      </c>
      <c r="F104" s="385">
        <f t="shared" si="26"/>
        <v>23.604115188864476</v>
      </c>
      <c r="G104" s="110">
        <f t="shared" si="48"/>
        <v>0.42976900199707352</v>
      </c>
      <c r="H104" s="414" t="b">
        <f>Wh_hp&gt;='2022'!Maxi_hp</f>
        <v>0</v>
      </c>
      <c r="I104" s="390">
        <f>IF(H104,Wh_hp,'2022'!Maxi_hp)</f>
        <v>49.506417533337903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3.8089314906431859E-2</v>
      </c>
      <c r="M104" s="959"/>
      <c r="N104" s="959"/>
      <c r="O104" s="48">
        <f>IF(t&lt;Tnet,'2022'!Resal+('2022'!Salim-'2022'!Resal)*(1-EXP(('2022'!Tnet-t)/('2022'!Tau_j))),Resal+(Salim-Resal)*(1-EXP((Tnet-t)/(Tau_j))))*Salcycl</f>
        <v>0.10656392787477383</v>
      </c>
      <c r="P104" s="169">
        <f>(INDEX(Models!$BJ104:$BT104,,T104)*(1-R104)+INDEX(Models!$BJ104:$BT104,,T104+1)*R104-ERP_i)*Q104*Ramure*Pc/MaxiM</f>
        <v>6.017141060857521E-4</v>
      </c>
      <c r="Q104" s="305">
        <f t="shared" si="28"/>
        <v>0.7</v>
      </c>
      <c r="R104" s="177">
        <f t="shared" si="29"/>
        <v>0.52502557743766165</v>
      </c>
      <c r="S104" s="921">
        <f t="shared" si="30"/>
        <v>0</v>
      </c>
      <c r="T104" s="176">
        <f t="shared" si="31"/>
        <v>6</v>
      </c>
      <c r="U104" s="251">
        <f t="shared" si="32"/>
        <v>0.52502557743766165</v>
      </c>
      <c r="V104" s="383">
        <f t="shared" si="33"/>
        <v>47.172562618600999</v>
      </c>
      <c r="W104" s="402">
        <f t="shared" si="34"/>
        <v>20.283244747214763</v>
      </c>
      <c r="X104" s="157">
        <f t="shared" si="35"/>
        <v>45016</v>
      </c>
      <c r="Y104" s="385">
        <f t="shared" si="36"/>
        <v>19.373260031415452</v>
      </c>
      <c r="Z104" s="385">
        <f t="shared" si="37"/>
        <v>20.140393834517965</v>
      </c>
      <c r="AA104" s="386">
        <f t="shared" si="38"/>
        <v>23.601477913739508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0.14664692151361788</v>
      </c>
      <c r="AD104" s="231">
        <f>(INDEX(Models!$BJ104:$BT104,,AH104)*(1-AF104)+INDEX(Models!$BJ104:$BT104,,AH104+1)*AF104-ERP_i)*AE104*Ramure*Pc/MaxiM</f>
        <v>6.017141060857521E-4</v>
      </c>
      <c r="AE104" s="305">
        <f t="shared" si="40"/>
        <v>0.7</v>
      </c>
      <c r="AF104" s="177">
        <f t="shared" si="41"/>
        <v>0.52502557743766165</v>
      </c>
      <c r="AG104" s="921">
        <f t="shared" si="49"/>
        <v>0</v>
      </c>
      <c r="AH104" s="176">
        <f t="shared" si="42"/>
        <v>6</v>
      </c>
      <c r="AI104" s="225">
        <f t="shared" si="43"/>
        <v>0.52502557743766165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30.214624308628256</v>
      </c>
      <c r="C105" s="955"/>
      <c r="D105" s="393">
        <f t="shared" si="25"/>
        <v>31.411737668763099</v>
      </c>
      <c r="E105" s="385">
        <f t="shared" si="47"/>
        <v>35.160844302705208</v>
      </c>
      <c r="F105" s="385">
        <f t="shared" si="26"/>
        <v>35.170810714753721</v>
      </c>
      <c r="G105" s="110">
        <f t="shared" si="48"/>
        <v>0.63779308944375257</v>
      </c>
      <c r="H105" s="414" t="b">
        <f>Wh_hp&gt;='2022'!Maxi_hp</f>
        <v>0</v>
      </c>
      <c r="I105" s="390">
        <f>IF(H105,Wh_hp,'2022'!Maxi_hp)</f>
        <v>49.445909039564896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3.8110383219114086E-2</v>
      </c>
      <c r="M105" s="959"/>
      <c r="N105" s="959"/>
      <c r="O105" s="48">
        <f>IF(t&lt;Tnet,'2022'!Resal+('2022'!Salim-'2022'!Resal)*(1-EXP(('2022'!Tnet-t)/('2022'!Tau_j))),Resal+(Salim-Resal)*(1-EXP((Tnet-t)/(Tau_j))))*Salcycl</f>
        <v>0.10662732105251696</v>
      </c>
      <c r="P105" s="169">
        <f>(INDEX(Models!$BJ105:$BT105,,T105)*(1-R105)+INDEX(Models!$BJ105:$BT105,,T105+1)*R105-ERP_i)*Q105*Ramure*Pc/MaxiM</f>
        <v>5.8688739421799833E-4</v>
      </c>
      <c r="Q105" s="305">
        <f t="shared" si="28"/>
        <v>0.7</v>
      </c>
      <c r="R105" s="177">
        <f t="shared" si="29"/>
        <v>0.52604563650694691</v>
      </c>
      <c r="S105" s="921">
        <f t="shared" si="30"/>
        <v>0</v>
      </c>
      <c r="T105" s="176">
        <f t="shared" si="31"/>
        <v>6</v>
      </c>
      <c r="U105" s="251">
        <f t="shared" si="32"/>
        <v>0.52604563650694691</v>
      </c>
      <c r="V105" s="383">
        <f t="shared" si="33"/>
        <v>47.359326396197091</v>
      </c>
      <c r="W105" s="402">
        <f t="shared" si="34"/>
        <v>30.214624308628256</v>
      </c>
      <c r="X105" s="157">
        <f t="shared" si="35"/>
        <v>45017</v>
      </c>
      <c r="Y105" s="385">
        <f t="shared" si="36"/>
        <v>28.860038448617995</v>
      </c>
      <c r="Z105" s="385">
        <f t="shared" si="37"/>
        <v>30.003482671122523</v>
      </c>
      <c r="AA105" s="386">
        <f t="shared" si="38"/>
        <v>35.160844302705208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0.14667911803204017</v>
      </c>
      <c r="AD105" s="231">
        <f>(INDEX(Models!$BJ105:$BT105,,AH105)*(1-AF105)+INDEX(Models!$BJ105:$BT105,,AH105+1)*AF105-ERP_i)*AE105*Ramure*Pc/MaxiM</f>
        <v>5.8688739421799833E-4</v>
      </c>
      <c r="AE105" s="305">
        <f t="shared" si="40"/>
        <v>0.7</v>
      </c>
      <c r="AF105" s="177">
        <f t="shared" si="41"/>
        <v>0.52604563650694691</v>
      </c>
      <c r="AG105" s="921">
        <f t="shared" si="49"/>
        <v>0</v>
      </c>
      <c r="AH105" s="176">
        <f t="shared" si="42"/>
        <v>6</v>
      </c>
      <c r="AI105" s="225">
        <f t="shared" si="43"/>
        <v>0.52604563650694691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18.534216266111788</v>
      </c>
      <c r="C106" s="955"/>
      <c r="D106" s="393">
        <f t="shared" si="25"/>
        <v>19.268970054937608</v>
      </c>
      <c r="E106" s="385">
        <f t="shared" si="47"/>
        <v>21.570347047497865</v>
      </c>
      <c r="F106" s="385">
        <f t="shared" si="26"/>
        <v>21.571933898871805</v>
      </c>
      <c r="G106" s="110">
        <f t="shared" si="48"/>
        <v>0.38968755348518724</v>
      </c>
      <c r="H106" s="414" t="b">
        <f>Wh_hp&gt;='2022'!Maxi_hp</f>
        <v>0</v>
      </c>
      <c r="I106" s="390">
        <f>IF(H106,Wh_hp,'2022'!Maxi_hp)</f>
        <v>44.480418756560418</v>
      </c>
      <c r="J106" s="85">
        <f>IF(H106,An,'2022'!An_max)</f>
        <v>2020</v>
      </c>
      <c r="K106" s="197">
        <f t="shared" si="27"/>
        <v>45018</v>
      </c>
      <c r="L106" s="147">
        <f>IF(t&lt;Tvie,1-EXP((T0-t)*PertePVj)+'2022'!Pspv,1-EXP((T0-t)*PertePVj)+Pspv)</f>
        <v>3.8131451070346212E-2</v>
      </c>
      <c r="M106" s="959"/>
      <c r="N106" s="959"/>
      <c r="O106" s="48">
        <f>IF(t&lt;Tnet,'2022'!Resal+('2022'!Salim-'2022'!Resal)*(1-EXP(('2022'!Tnet-t)/('2022'!Tau_j))),Resal+(Salim-Resal)*(1-EXP((Tnet-t)/(Tau_j))))*Salcycl</f>
        <v>0.10669169983647595</v>
      </c>
      <c r="P106" s="169">
        <f>(INDEX(Models!$BJ106:$BT106,,T106)*(1-R106)+INDEX(Models!$BJ106:$BT106,,T106+1)*R106-ERP_i)*Q106*Ramure*Pc/MaxiM</f>
        <v>5.7289006206546751E-4</v>
      </c>
      <c r="Q106" s="305">
        <f t="shared" si="28"/>
        <v>0.7</v>
      </c>
      <c r="R106" s="177">
        <f t="shared" si="29"/>
        <v>0.52710384055638626</v>
      </c>
      <c r="S106" s="921">
        <f t="shared" si="30"/>
        <v>0</v>
      </c>
      <c r="T106" s="176">
        <f t="shared" si="31"/>
        <v>6</v>
      </c>
      <c r="U106" s="251">
        <f t="shared" si="32"/>
        <v>0.52710384055638626</v>
      </c>
      <c r="V106" s="383">
        <f t="shared" si="33"/>
        <v>47.53798458625073</v>
      </c>
      <c r="W106" s="402">
        <f t="shared" si="34"/>
        <v>18.534216266111788</v>
      </c>
      <c r="X106" s="157">
        <f t="shared" si="35"/>
        <v>45018</v>
      </c>
      <c r="Y106" s="385">
        <f t="shared" si="36"/>
        <v>17.703866912327754</v>
      </c>
      <c r="Z106" s="385">
        <f t="shared" si="37"/>
        <v>18.40570307868807</v>
      </c>
      <c r="AA106" s="386">
        <f t="shared" si="38"/>
        <v>21.570347047497865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0.1467127052634459</v>
      </c>
      <c r="AD106" s="231">
        <f>(INDEX(Models!$BJ106:$BT106,,AH106)*(1-AF106)+INDEX(Models!$BJ106:$BT106,,AH106+1)*AF106-ERP_i)*AE106*Ramure*Pc/MaxiM</f>
        <v>5.7289006206546751E-4</v>
      </c>
      <c r="AE106" s="305">
        <f t="shared" si="40"/>
        <v>0.7</v>
      </c>
      <c r="AF106" s="177">
        <f t="shared" si="41"/>
        <v>0.52710384055638626</v>
      </c>
      <c r="AG106" s="921">
        <f t="shared" si="49"/>
        <v>0</v>
      </c>
      <c r="AH106" s="176">
        <f t="shared" si="42"/>
        <v>6</v>
      </c>
      <c r="AI106" s="225">
        <f t="shared" si="43"/>
        <v>0.52710384055638626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23.670514498335724</v>
      </c>
      <c r="C107" s="955"/>
      <c r="D107" s="393">
        <f t="shared" si="25"/>
        <v>24.609426081191803</v>
      </c>
      <c r="E107" s="385">
        <f t="shared" si="47"/>
        <v>27.55065408554605</v>
      </c>
      <c r="F107" s="385">
        <f t="shared" si="26"/>
        <v>27.554975715990292</v>
      </c>
      <c r="G107" s="110">
        <f t="shared" si="48"/>
        <v>0.49594881257313239</v>
      </c>
      <c r="H107" s="414" t="b">
        <f>Wh_hp&gt;='2022'!Maxi_hp</f>
        <v>0</v>
      </c>
      <c r="I107" s="390">
        <f>IF(H107,Wh_hp,'2022'!Maxi_hp)</f>
        <v>52.947397962650761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3.815251846013834E-2</v>
      </c>
      <c r="M107" s="959"/>
      <c r="N107" s="959"/>
      <c r="O107" s="48">
        <f>IF(t&lt;Tnet,'2022'!Resal+('2022'!Salim-'2022'!Resal)*(1-EXP(('2022'!Tnet-t)/('2022'!Tau_j))),Resal+(Salim-Resal)*(1-EXP((Tnet-t)/(Tau_j))))*Salcycl</f>
        <v>0.10675710257990971</v>
      </c>
      <c r="P107" s="169">
        <f>(INDEX(Models!$BJ107:$BT107,,T107)*(1-R107)+INDEX(Models!$BJ107:$BT107,,T107+1)*R107-ERP_i)*Q107*Ramure*Pc/MaxiM</f>
        <v>5.5970622799762012E-4</v>
      </c>
      <c r="Q107" s="305">
        <f t="shared" si="28"/>
        <v>0.7</v>
      </c>
      <c r="R107" s="177">
        <f t="shared" si="29"/>
        <v>0.52820142536119985</v>
      </c>
      <c r="S107" s="921">
        <f t="shared" si="30"/>
        <v>0</v>
      </c>
      <c r="T107" s="176">
        <f t="shared" si="31"/>
        <v>6</v>
      </c>
      <c r="U107" s="251">
        <f t="shared" si="32"/>
        <v>0.52820142536119985</v>
      </c>
      <c r="V107" s="383">
        <f t="shared" si="33"/>
        <v>47.70850594409162</v>
      </c>
      <c r="W107" s="402">
        <f t="shared" si="34"/>
        <v>23.670514498335724</v>
      </c>
      <c r="X107" s="157">
        <f t="shared" si="35"/>
        <v>45019</v>
      </c>
      <c r="Y107" s="385">
        <f t="shared" si="36"/>
        <v>22.610781662571068</v>
      </c>
      <c r="Z107" s="385">
        <f t="shared" si="37"/>
        <v>23.507658019099377</v>
      </c>
      <c r="AA107" s="386">
        <f t="shared" si="38"/>
        <v>27.55065408554605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0.14674773433302107</v>
      </c>
      <c r="AD107" s="231">
        <f>(INDEX(Models!$BJ107:$BT107,,AH107)*(1-AF107)+INDEX(Models!$BJ107:$BT107,,AH107+1)*AF107-ERP_i)*AE107*Ramure*Pc/MaxiM</f>
        <v>5.5970622799762012E-4</v>
      </c>
      <c r="AE107" s="305">
        <f t="shared" si="40"/>
        <v>0.7</v>
      </c>
      <c r="AF107" s="177">
        <f t="shared" si="41"/>
        <v>0.52820142536119985</v>
      </c>
      <c r="AG107" s="921">
        <f t="shared" si="49"/>
        <v>0</v>
      </c>
      <c r="AH107" s="176">
        <f t="shared" si="42"/>
        <v>6</v>
      </c>
      <c r="AI107" s="225">
        <f t="shared" si="43"/>
        <v>0.52820142536119985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41.512035958084645</v>
      </c>
      <c r="C108" s="955"/>
      <c r="D108" s="393">
        <f t="shared" si="25"/>
        <v>43.159592341672344</v>
      </c>
      <c r="E108" s="385">
        <f t="shared" si="47"/>
        <v>48.321463416327433</v>
      </c>
      <c r="F108" s="385">
        <f t="shared" si="26"/>
        <v>48.342936968788408</v>
      </c>
      <c r="G108" s="110">
        <f t="shared" si="48"/>
        <v>0.86706426813443549</v>
      </c>
      <c r="H108" s="414" t="b">
        <f>Wh_hp&gt;='2022'!Maxi_hp</f>
        <v>0</v>
      </c>
      <c r="I108" s="390">
        <f>IF(H108,Wh_hp,'2022'!Maxi_hp)</f>
        <v>55.741875297523443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3.8173585388500464E-2</v>
      </c>
      <c r="M108" s="959"/>
      <c r="N108" s="959"/>
      <c r="O108" s="48">
        <f>IF(t&lt;Tnet,'2022'!Resal+('2022'!Salim-'2022'!Resal)*(1-EXP(('2022'!Tnet-t)/('2022'!Tau_j))),Resal+(Salim-Resal)*(1-EXP((Tnet-t)/(Tau_j))))*Salcycl</f>
        <v>0.10682356679021716</v>
      </c>
      <c r="P108" s="169">
        <f>(INDEX(Models!$BJ108:$BT108,,T108)*(1-R108)+INDEX(Models!$BJ108:$BT108,,T108+1)*R108-ERP_i)*Q108*Ramure*Pc/MaxiM</f>
        <v>5.4823593748846121E-4</v>
      </c>
      <c r="Q108" s="305">
        <f t="shared" si="28"/>
        <v>0.7</v>
      </c>
      <c r="R108" s="177">
        <f t="shared" si="29"/>
        <v>0.52933965139605255</v>
      </c>
      <c r="S108" s="921">
        <f t="shared" si="30"/>
        <v>0</v>
      </c>
      <c r="T108" s="176">
        <f t="shared" si="31"/>
        <v>6</v>
      </c>
      <c r="U108" s="251">
        <f t="shared" si="32"/>
        <v>0.52933965139605255</v>
      </c>
      <c r="V108" s="383">
        <f t="shared" si="33"/>
        <v>47.871555193986161</v>
      </c>
      <c r="W108" s="402">
        <f t="shared" si="34"/>
        <v>41.512035958084645</v>
      </c>
      <c r="X108" s="157">
        <f t="shared" si="35"/>
        <v>45020</v>
      </c>
      <c r="Y108" s="385">
        <f t="shared" si="36"/>
        <v>39.654788644315659</v>
      </c>
      <c r="Z108" s="385">
        <f t="shared" si="37"/>
        <v>41.228633401935632</v>
      </c>
      <c r="AA108" s="386">
        <f t="shared" si="38"/>
        <v>48.321463416327433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0.14678425513071677</v>
      </c>
      <c r="AD108" s="231">
        <f>(INDEX(Models!$BJ108:$BT108,,AH108)*(1-AF108)+INDEX(Models!$BJ108:$BT108,,AH108+1)*AF108-ERP_i)*AE108*Ramure*Pc/MaxiM</f>
        <v>5.4823593748846121E-4</v>
      </c>
      <c r="AE108" s="305">
        <f t="shared" si="40"/>
        <v>0.7</v>
      </c>
      <c r="AF108" s="177">
        <f t="shared" si="41"/>
        <v>0.52933965139605255</v>
      </c>
      <c r="AG108" s="921">
        <f t="shared" si="49"/>
        <v>0</v>
      </c>
      <c r="AH108" s="176">
        <f t="shared" si="42"/>
        <v>6</v>
      </c>
      <c r="AI108" s="225">
        <f t="shared" si="43"/>
        <v>0.52933965139605255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47.840177899059746</v>
      </c>
      <c r="C109" s="955"/>
      <c r="D109" s="393">
        <f t="shared" si="25"/>
        <v>49.7399790834491</v>
      </c>
      <c r="E109" s="385">
        <f t="shared" si="47"/>
        <v>55.693074720628708</v>
      </c>
      <c r="F109" s="385">
        <f t="shared" si="26"/>
        <v>55.722899924361926</v>
      </c>
      <c r="G109" s="110">
        <f t="shared" si="48"/>
        <v>0.99609453353018196</v>
      </c>
      <c r="H109" s="414" t="b">
        <f>Wh_hp&gt;='2022'!Maxi_hp</f>
        <v>0</v>
      </c>
      <c r="I109" s="390">
        <f>IF(H109,Wh_hp,'2022'!Maxi_hp)</f>
        <v>58.256884739736201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3.8194651855442907E-2</v>
      </c>
      <c r="M109" s="959"/>
      <c r="N109" s="959"/>
      <c r="O109" s="48">
        <f>IF(t&lt;Tnet,'2022'!Resal+('2022'!Salim-'2022'!Resal)*(1-EXP(('2022'!Tnet-t)/('2022'!Tau_j))),Resal+(Salim-Resal)*(1-EXP((Tnet-t)/(Tau_j))))*Salcycl</f>
        <v>0.10689112905045946</v>
      </c>
      <c r="P109" s="169">
        <f>(INDEX(Models!$BJ109:$BT109,,T109)*(1-R109)+INDEX(Models!$BJ109:$BT109,,T109+1)*R109-ERP_i)*Q109*Ramure*Pc/MaxiM</f>
        <v>5.3824209488678991E-4</v>
      </c>
      <c r="Q109" s="305">
        <f t="shared" si="28"/>
        <v>0.7</v>
      </c>
      <c r="R109" s="177">
        <f t="shared" si="29"/>
        <v>0.5305198030240712</v>
      </c>
      <c r="S109" s="921">
        <f t="shared" si="30"/>
        <v>0</v>
      </c>
      <c r="T109" s="176">
        <f t="shared" si="31"/>
        <v>6</v>
      </c>
      <c r="U109" s="251">
        <f t="shared" si="32"/>
        <v>0.5305198030240712</v>
      </c>
      <c r="V109" s="383">
        <f t="shared" si="33"/>
        <v>48.027604467938374</v>
      </c>
      <c r="W109" s="402">
        <f t="shared" si="34"/>
        <v>47.840177899059746</v>
      </c>
      <c r="X109" s="157">
        <f t="shared" si="35"/>
        <v>45021</v>
      </c>
      <c r="Y109" s="385">
        <f t="shared" si="36"/>
        <v>45.70122803597237</v>
      </c>
      <c r="Z109" s="385">
        <f t="shared" si="37"/>
        <v>47.516088493514573</v>
      </c>
      <c r="AA109" s="386">
        <f t="shared" si="38"/>
        <v>55.693074720628708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0.14682231620595695</v>
      </c>
      <c r="AD109" s="231">
        <f>(INDEX(Models!$BJ109:$BT109,,AH109)*(1-AF109)+INDEX(Models!$BJ109:$BT109,,AH109+1)*AF109-ERP_i)*AE109*Ramure*Pc/MaxiM</f>
        <v>5.3824209488678991E-4</v>
      </c>
      <c r="AE109" s="305">
        <f t="shared" si="40"/>
        <v>0.7</v>
      </c>
      <c r="AF109" s="177">
        <f t="shared" si="41"/>
        <v>0.5305198030240712</v>
      </c>
      <c r="AG109" s="921">
        <f t="shared" si="49"/>
        <v>0</v>
      </c>
      <c r="AH109" s="176">
        <f t="shared" si="42"/>
        <v>6</v>
      </c>
      <c r="AI109" s="225">
        <f t="shared" si="43"/>
        <v>0.5305198030240712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11.23587093465787</v>
      </c>
      <c r="C110" s="955"/>
      <c r="D110" s="393">
        <f t="shared" si="25"/>
        <v>11.682319147147117</v>
      </c>
      <c r="E110" s="385">
        <f t="shared" si="47"/>
        <v>13.081515785571776</v>
      </c>
      <c r="F110" s="385">
        <f t="shared" si="26"/>
        <v>13.081515785571776</v>
      </c>
      <c r="G110" s="110">
        <f t="shared" si="48"/>
        <v>0.23309654614928446</v>
      </c>
      <c r="H110" s="414" t="b">
        <f>Wh_hp&gt;='2022'!Maxi_hp</f>
        <v>0</v>
      </c>
      <c r="I110" s="390">
        <f>IF(H110,Wh_hp,'2022'!Maxi_hp)</f>
        <v>57.685469912803519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3.8215717860975662E-2</v>
      </c>
      <c r="M110" s="959"/>
      <c r="N110" s="959"/>
      <c r="O110" s="48">
        <f>IF(t&lt;Tnet,'2022'!Resal+('2022'!Salim-'2022'!Resal)*(1-EXP(('2022'!Tnet-t)/('2022'!Tau_j))),Resal+(Salim-Resal)*(1-EXP((Tnet-t)/(Tau_j))))*Salcycl</f>
        <v>0.10695982494382637</v>
      </c>
      <c r="P110" s="169">
        <f>(INDEX(Models!$BJ110:$BT110,,T110)*(1-R110)+INDEX(Models!$BJ110:$BT110,,T110+1)*R110-ERP_i)*Q110*Ramure*Pc/MaxiM</f>
        <v>5.2970882736166566E-4</v>
      </c>
      <c r="Q110" s="305">
        <f t="shared" si="28"/>
        <v>0.7</v>
      </c>
      <c r="R110" s="177">
        <f t="shared" si="29"/>
        <v>0.53174318754711147</v>
      </c>
      <c r="S110" s="921">
        <f t="shared" si="30"/>
        <v>0</v>
      </c>
      <c r="T110" s="176">
        <f t="shared" si="31"/>
        <v>6</v>
      </c>
      <c r="U110" s="251">
        <f t="shared" si="32"/>
        <v>0.53174318754711147</v>
      </c>
      <c r="V110" s="383">
        <f t="shared" si="33"/>
        <v>48.177115363385049</v>
      </c>
      <c r="W110" s="402">
        <f t="shared" si="34"/>
        <v>11.23587093465787</v>
      </c>
      <c r="X110" s="157">
        <f t="shared" si="35"/>
        <v>45022</v>
      </c>
      <c r="Y110" s="385">
        <f t="shared" si="36"/>
        <v>10.733838322391849</v>
      </c>
      <c r="Z110" s="385">
        <f t="shared" si="37"/>
        <v>11.160338676485347</v>
      </c>
      <c r="AA110" s="386">
        <f t="shared" si="38"/>
        <v>13.081515785571776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0.14686196466661652</v>
      </c>
      <c r="AD110" s="231">
        <f>(INDEX(Models!$BJ110:$BT110,,AH110)*(1-AF110)+INDEX(Models!$BJ110:$BT110,,AH110+1)*AF110-ERP_i)*AE110*Ramure*Pc/MaxiM</f>
        <v>5.2970882736166566E-4</v>
      </c>
      <c r="AE110" s="305">
        <f t="shared" si="40"/>
        <v>0.7</v>
      </c>
      <c r="AF110" s="177">
        <f t="shared" si="41"/>
        <v>0.53174318754711147</v>
      </c>
      <c r="AG110" s="921">
        <f t="shared" si="49"/>
        <v>0</v>
      </c>
      <c r="AH110" s="176">
        <f t="shared" si="42"/>
        <v>6</v>
      </c>
      <c r="AI110" s="225">
        <f t="shared" si="43"/>
        <v>0.53174318754711147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37.011127071298695</v>
      </c>
      <c r="C111" s="955"/>
      <c r="D111" s="393">
        <f t="shared" si="25"/>
        <v>38.482577034226843</v>
      </c>
      <c r="E111" s="385">
        <f t="shared" si="47"/>
        <v>43.095024055496587</v>
      </c>
      <c r="F111" s="385">
        <f t="shared" si="26"/>
        <v>43.110021181190746</v>
      </c>
      <c r="G111" s="110">
        <f t="shared" si="48"/>
        <v>0.76581615706301231</v>
      </c>
      <c r="H111" s="414" t="b">
        <f>Wh_hp&gt;='2022'!Maxi_hp</f>
        <v>0</v>
      </c>
      <c r="I111" s="390">
        <f>IF(H111,Wh_hp,'2022'!Maxi_hp)</f>
        <v>56.268394657199678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3.8236783405108832E-2</v>
      </c>
      <c r="M111" s="959"/>
      <c r="N111" s="959"/>
      <c r="O111" s="48">
        <f>IF(t&lt;Tnet,'2022'!Resal+('2022'!Salim-'2022'!Resal)*(1-EXP(('2022'!Tnet-t)/('2022'!Tau_j))),Resal+(Salim-Resal)*(1-EXP((Tnet-t)/(Tau_j))))*Salcycl</f>
        <v>0.1070296889805645</v>
      </c>
      <c r="P111" s="169">
        <f>(INDEX(Models!$BJ111:$BT111,,T111)*(1-R111)+INDEX(Models!$BJ111:$BT111,,T111+1)*R111-ERP_i)*Q111*Ramure*Pc/MaxiM</f>
        <v>5.226229470201519E-4</v>
      </c>
      <c r="Q111" s="305">
        <f t="shared" si="28"/>
        <v>0.7</v>
      </c>
      <c r="R111" s="177">
        <f t="shared" si="29"/>
        <v>0.53301113410806045</v>
      </c>
      <c r="S111" s="921">
        <f t="shared" si="30"/>
        <v>0</v>
      </c>
      <c r="T111" s="176">
        <f t="shared" si="31"/>
        <v>6</v>
      </c>
      <c r="U111" s="251">
        <f t="shared" si="32"/>
        <v>0.53301113410806045</v>
      </c>
      <c r="V111" s="383">
        <f t="shared" si="33"/>
        <v>48.320549332651424</v>
      </c>
      <c r="W111" s="402">
        <f t="shared" si="34"/>
        <v>37.011127071298695</v>
      </c>
      <c r="X111" s="157">
        <f t="shared" si="35"/>
        <v>45023</v>
      </c>
      <c r="Y111" s="385">
        <f t="shared" si="36"/>
        <v>35.358479418359195</v>
      </c>
      <c r="Z111" s="385">
        <f t="shared" si="37"/>
        <v>36.764225131779718</v>
      </c>
      <c r="AA111" s="386">
        <f t="shared" si="38"/>
        <v>43.095024055496587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0.14690324608159491</v>
      </c>
      <c r="AD111" s="231">
        <f>(INDEX(Models!$BJ111:$BT111,,AH111)*(1-AF111)+INDEX(Models!$BJ111:$BT111,,AH111+1)*AF111-ERP_i)*AE111*Ramure*Pc/MaxiM</f>
        <v>5.226229470201519E-4</v>
      </c>
      <c r="AE111" s="305">
        <f t="shared" si="40"/>
        <v>0.7</v>
      </c>
      <c r="AF111" s="177">
        <f t="shared" si="41"/>
        <v>0.53301113410806045</v>
      </c>
      <c r="AG111" s="921">
        <f t="shared" si="49"/>
        <v>0</v>
      </c>
      <c r="AH111" s="176">
        <f t="shared" si="42"/>
        <v>6</v>
      </c>
      <c r="AI111" s="225">
        <f t="shared" si="43"/>
        <v>0.53301113410806045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30.030614393990561</v>
      </c>
      <c r="C112" s="955"/>
      <c r="D112" s="393">
        <f t="shared" si="25"/>
        <v>31.225224294030799</v>
      </c>
      <c r="E112" s="385">
        <f t="shared" si="47"/>
        <v>34.970602173019167</v>
      </c>
      <c r="F112" s="385">
        <f t="shared" si="26"/>
        <v>34.978861522253752</v>
      </c>
      <c r="G112" s="110">
        <f t="shared" si="48"/>
        <v>0.61954580282779659</v>
      </c>
      <c r="H112" s="414" t="b">
        <f>Wh_hp&gt;='2022'!Maxi_hp</f>
        <v>0</v>
      </c>
      <c r="I112" s="390">
        <f>IF(H112,Wh_hp,'2022'!Maxi_hp)</f>
        <v>56.211155978326396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3.8257848487852408E-2</v>
      </c>
      <c r="M112" s="959"/>
      <c r="N112" s="959"/>
      <c r="O112" s="48">
        <f>IF(t&lt;Tnet,'2022'!Resal+('2022'!Salim-'2022'!Resal)*(1-EXP(('2022'!Tnet-t)/('2022'!Tau_j))),Resal+(Salim-Resal)*(1-EXP((Tnet-t)/(Tau_j))))*Salcycl</f>
        <v>0.10710075452684173</v>
      </c>
      <c r="P112" s="169">
        <f>(INDEX(Models!$BJ112:$BT112,,T112)*(1-R112)+INDEX(Models!$BJ112:$BT112,,T112+1)*R112-ERP_i)*Q112*Ramure*Pc/MaxiM</f>
        <v>5.1697380988965794E-4</v>
      </c>
      <c r="Q112" s="305">
        <f t="shared" si="28"/>
        <v>0.7</v>
      </c>
      <c r="R112" s="177">
        <f t="shared" si="29"/>
        <v>0.534324992435804</v>
      </c>
      <c r="S112" s="921">
        <f t="shared" si="30"/>
        <v>0</v>
      </c>
      <c r="T112" s="176">
        <f t="shared" si="31"/>
        <v>6</v>
      </c>
      <c r="U112" s="251">
        <f t="shared" si="32"/>
        <v>0.534324992435804</v>
      </c>
      <c r="V112" s="383">
        <f t="shared" si="33"/>
        <v>48.458367683414771</v>
      </c>
      <c r="W112" s="402">
        <f t="shared" si="34"/>
        <v>30.030614393990561</v>
      </c>
      <c r="X112" s="157">
        <f t="shared" si="35"/>
        <v>45024</v>
      </c>
      <c r="Y112" s="385">
        <f t="shared" si="36"/>
        <v>28.690504245897625</v>
      </c>
      <c r="Z112" s="385">
        <f t="shared" si="37"/>
        <v>29.831804918592301</v>
      </c>
      <c r="AA112" s="386">
        <f t="shared" si="38"/>
        <v>34.970602173019167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0.14694620438625433</v>
      </c>
      <c r="AD112" s="231">
        <f>(INDEX(Models!$BJ112:$BT112,,AH112)*(1-AF112)+INDEX(Models!$BJ112:$BT112,,AH112+1)*AF112-ERP_i)*AE112*Ramure*Pc/MaxiM</f>
        <v>5.1697380988965794E-4</v>
      </c>
      <c r="AE112" s="305">
        <f t="shared" si="40"/>
        <v>0.7</v>
      </c>
      <c r="AF112" s="177">
        <f t="shared" si="41"/>
        <v>0.534324992435804</v>
      </c>
      <c r="AG112" s="921">
        <f t="shared" si="49"/>
        <v>0</v>
      </c>
      <c r="AH112" s="176">
        <f t="shared" si="42"/>
        <v>6</v>
      </c>
      <c r="AI112" s="225">
        <f t="shared" si="43"/>
        <v>0.534324992435804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32.776377666299432</v>
      </c>
      <c r="C113" s="955"/>
      <c r="D113" s="393">
        <f t="shared" si="25"/>
        <v>34.080959763775716</v>
      </c>
      <c r="E113" s="385">
        <f t="shared" si="47"/>
        <v>38.171965918309063</v>
      </c>
      <c r="F113" s="385">
        <f t="shared" si="26"/>
        <v>38.182441232311398</v>
      </c>
      <c r="G113" s="110">
        <f t="shared" si="48"/>
        <v>0.67437468266449418</v>
      </c>
      <c r="H113" s="414" t="b">
        <f>Wh_hp&gt;='2022'!Maxi_hp</f>
        <v>0</v>
      </c>
      <c r="I113" s="390">
        <f>IF(H113,Wh_hp,'2022'!Maxi_hp)</f>
        <v>45.992596170964376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3.8278913109216717E-2</v>
      </c>
      <c r="M113" s="959"/>
      <c r="N113" s="959"/>
      <c r="O113" s="48">
        <f>IF(t&lt;Tnet,'2022'!Resal+('2022'!Salim-'2022'!Resal)*(1-EXP(('2022'!Tnet-t)/('2022'!Tau_j))),Resal+(Salim-Resal)*(1-EXP((Tnet-t)/(Tau_j))))*Salcycl</f>
        <v>0.10717305373499528</v>
      </c>
      <c r="P113" s="169">
        <f>(INDEX(Models!$BJ113:$BT113,,T113)*(1-R113)+INDEX(Models!$BJ113:$BT113,,T113+1)*R113-ERP_i)*Q113*Ramure*Pc/MaxiM</f>
        <v>5.1275318268594863E-4</v>
      </c>
      <c r="Q113" s="305">
        <f t="shared" si="28"/>
        <v>0.7</v>
      </c>
      <c r="R113" s="177">
        <f t="shared" si="29"/>
        <v>0.53568613142337007</v>
      </c>
      <c r="S113" s="921">
        <f t="shared" si="30"/>
        <v>0</v>
      </c>
      <c r="T113" s="176">
        <f t="shared" si="31"/>
        <v>6</v>
      </c>
      <c r="U113" s="251">
        <f t="shared" si="32"/>
        <v>0.53568613142337007</v>
      </c>
      <c r="V113" s="383">
        <f t="shared" si="33"/>
        <v>48.591031570839192</v>
      </c>
      <c r="W113" s="402">
        <f t="shared" si="34"/>
        <v>32.776377666299432</v>
      </c>
      <c r="X113" s="157">
        <f t="shared" si="35"/>
        <v>45025</v>
      </c>
      <c r="Y113" s="385">
        <f t="shared" si="36"/>
        <v>31.314633959256565</v>
      </c>
      <c r="Z113" s="385">
        <f t="shared" si="37"/>
        <v>32.561034988320657</v>
      </c>
      <c r="AA113" s="386">
        <f t="shared" si="38"/>
        <v>38.171965918309063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0.14699088178995626</v>
      </c>
      <c r="AD113" s="231">
        <f>(INDEX(Models!$BJ113:$BT113,,AH113)*(1-AF113)+INDEX(Models!$BJ113:$BT113,,AH113+1)*AF113-ERP_i)*AE113*Ramure*Pc/MaxiM</f>
        <v>5.1275318268594863E-4</v>
      </c>
      <c r="AE113" s="305">
        <f t="shared" si="40"/>
        <v>0.7</v>
      </c>
      <c r="AF113" s="177">
        <f t="shared" si="41"/>
        <v>0.53568613142337007</v>
      </c>
      <c r="AG113" s="921">
        <f t="shared" si="49"/>
        <v>0</v>
      </c>
      <c r="AH113" s="176">
        <f t="shared" si="42"/>
        <v>6</v>
      </c>
      <c r="AI113" s="225">
        <f t="shared" si="43"/>
        <v>0.53568613142337007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50.10762607816887</v>
      </c>
      <c r="C114" s="955"/>
      <c r="D114" s="393">
        <f t="shared" si="25"/>
        <v>52.103176555914104</v>
      </c>
      <c r="E114" s="385">
        <f t="shared" si="47"/>
        <v>58.36234012188828</v>
      </c>
      <c r="F114" s="385">
        <f t="shared" si="26"/>
        <v>58.392220786132825</v>
      </c>
      <c r="G114" s="110">
        <f t="shared" si="48"/>
        <v>1.0285045397372836</v>
      </c>
      <c r="H114" s="414" t="b">
        <f>Wh_hp&gt;='2022'!Maxi_hp</f>
        <v>1</v>
      </c>
      <c r="I114" s="390">
        <f>IF(H114,Wh_hp,'2022'!Maxi_hp)</f>
        <v>58.392220786132825</v>
      </c>
      <c r="J114" s="85">
        <f>IF(H114,An,'2022'!An_max)</f>
        <v>2023</v>
      </c>
      <c r="K114" s="197">
        <f t="shared" si="27"/>
        <v>45026</v>
      </c>
      <c r="L114" s="147">
        <f>IF(t&lt;Tvie,1-EXP((T0-t)*PertePVj)+'2022'!Pspv,1-EXP((T0-t)*PertePVj)+Pspv)</f>
        <v>3.8299977269211749E-2</v>
      </c>
      <c r="M114" s="959"/>
      <c r="N114" s="959"/>
      <c r="O114" s="48">
        <f>IF(t&lt;Tnet,'2022'!Resal+('2022'!Salim-'2022'!Resal)*(1-EXP(('2022'!Tnet-t)/('2022'!Tau_j))),Resal+(Salim-Resal)*(1-EXP((Tnet-t)/(Tau_j))))*Salcycl</f>
        <v>0.10724661747459187</v>
      </c>
      <c r="P114" s="169">
        <f>(INDEX(Models!$BJ114:$BT114,,T114)*(1-R114)+INDEX(Models!$BJ114:$BT114,,T114+1)*R114-ERP_i)*Q114*Ramure*Pc/MaxiM</f>
        <v>5.1172337414572325E-4</v>
      </c>
      <c r="Q114" s="305">
        <f t="shared" si="28"/>
        <v>0.7</v>
      </c>
      <c r="R114" s="177">
        <f t="shared" si="29"/>
        <v>0.53709593752971263</v>
      </c>
      <c r="S114" s="921">
        <f t="shared" si="30"/>
        <v>0</v>
      </c>
      <c r="T114" s="176">
        <f t="shared" si="31"/>
        <v>6</v>
      </c>
      <c r="U114" s="251">
        <f t="shared" si="32"/>
        <v>0.53709593752971263</v>
      </c>
      <c r="V114" s="383">
        <f t="shared" si="33"/>
        <v>48.718915806602205</v>
      </c>
      <c r="W114" s="402">
        <f t="shared" si="34"/>
        <v>50.10762607816887</v>
      </c>
      <c r="X114" s="157">
        <f t="shared" si="35"/>
        <v>45026</v>
      </c>
      <c r="Y114" s="385">
        <f t="shared" si="36"/>
        <v>47.874290851821705</v>
      </c>
      <c r="Z114" s="385">
        <f t="shared" si="37"/>
        <v>49.780898118189299</v>
      </c>
      <c r="AA114" s="386">
        <f t="shared" si="38"/>
        <v>58.36234012188828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0.14703731868490638</v>
      </c>
      <c r="AD114" s="231">
        <f>(INDEX(Models!$BJ114:$BT114,,AH114)*(1-AF114)+INDEX(Models!$BJ114:$BT114,,AH114+1)*AF114-ERP_i)*AE114*Ramure*Pc/MaxiM</f>
        <v>5.1172337414572325E-4</v>
      </c>
      <c r="AE114" s="305">
        <f t="shared" si="40"/>
        <v>0.7</v>
      </c>
      <c r="AF114" s="177">
        <f t="shared" si="41"/>
        <v>0.53709593752971263</v>
      </c>
      <c r="AG114" s="921">
        <f t="shared" si="49"/>
        <v>0</v>
      </c>
      <c r="AH114" s="176">
        <f t="shared" si="42"/>
        <v>6</v>
      </c>
      <c r="AI114" s="225">
        <f t="shared" si="43"/>
        <v>0.53709593752971263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41.348897023131677</v>
      </c>
      <c r="C115" s="955"/>
      <c r="D115" s="393">
        <f t="shared" si="25"/>
        <v>42.996570357269547</v>
      </c>
      <c r="E115" s="385">
        <f t="shared" si="47"/>
        <v>48.165794477885555</v>
      </c>
      <c r="F115" s="385">
        <f t="shared" si="26"/>
        <v>48.185114815789802</v>
      </c>
      <c r="G115" s="110">
        <f t="shared" si="48"/>
        <v>0.84648088188751403</v>
      </c>
      <c r="H115" s="414" t="b">
        <f>Wh_hp&gt;='2022'!Maxi_hp</f>
        <v>0</v>
      </c>
      <c r="I115" s="390">
        <f>IF(H115,Wh_hp,'2022'!Maxi_hp)</f>
        <v>56.926003902955259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3.8321040967847608E-2</v>
      </c>
      <c r="M115" s="959"/>
      <c r="N115" s="959"/>
      <c r="O115" s="48">
        <f>IF(t&lt;Tnet,'2022'!Resal+('2022'!Salim-'2022'!Resal)*(1-EXP(('2022'!Tnet-t)/('2022'!Tau_j))),Resal+(Salim-Resal)*(1-EXP((Tnet-t)/(Tau_j))))*Salcycl</f>
        <v>0.10732147526372392</v>
      </c>
      <c r="P115" s="169">
        <f>(INDEX(Models!$BJ115:$BT115,,T115)*(1-R115)+INDEX(Models!$BJ115:$BT115,,T115+1)*R115-ERP_i)*Q115*Ramure*Pc/MaxiM</f>
        <v>5.1351027879677138E-4</v>
      </c>
      <c r="Q115" s="305">
        <f t="shared" si="28"/>
        <v>0.7</v>
      </c>
      <c r="R115" s="177">
        <f t="shared" si="29"/>
        <v>0.53855581299560973</v>
      </c>
      <c r="S115" s="921">
        <f t="shared" si="30"/>
        <v>0</v>
      </c>
      <c r="T115" s="176">
        <f t="shared" si="31"/>
        <v>6</v>
      </c>
      <c r="U115" s="251">
        <f t="shared" si="32"/>
        <v>0.53855581299560973</v>
      </c>
      <c r="V115" s="383">
        <f t="shared" si="33"/>
        <v>48.842498679614899</v>
      </c>
      <c r="W115" s="402">
        <f t="shared" si="34"/>
        <v>41.348897023131677</v>
      </c>
      <c r="X115" s="157">
        <f t="shared" si="35"/>
        <v>45027</v>
      </c>
      <c r="Y115" s="385">
        <f t="shared" si="36"/>
        <v>39.507023680213806</v>
      </c>
      <c r="Z115" s="385">
        <f t="shared" si="37"/>
        <v>41.081301934664609</v>
      </c>
      <c r="AA115" s="386">
        <f t="shared" si="38"/>
        <v>48.165794477885555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0.14708555355551464</v>
      </c>
      <c r="AD115" s="231">
        <f>(INDEX(Models!$BJ115:$BT115,,AH115)*(1-AF115)+INDEX(Models!$BJ115:$BT115,,AH115+1)*AF115-ERP_i)*AE115*Ramure*Pc/MaxiM</f>
        <v>5.1351027879677138E-4</v>
      </c>
      <c r="AE115" s="305">
        <f t="shared" si="40"/>
        <v>0.7</v>
      </c>
      <c r="AF115" s="177">
        <f t="shared" si="41"/>
        <v>0.53855581299560973</v>
      </c>
      <c r="AG115" s="921">
        <f t="shared" si="49"/>
        <v>0</v>
      </c>
      <c r="AH115" s="176">
        <f t="shared" si="42"/>
        <v>6</v>
      </c>
      <c r="AI115" s="225">
        <f t="shared" si="43"/>
        <v>0.53855581299560973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2.3364271111275223</v>
      </c>
      <c r="C116" s="955"/>
      <c r="D116" s="393">
        <f t="shared" si="25"/>
        <v>2.4295824131889758</v>
      </c>
      <c r="E116" s="385">
        <f t="shared" si="47"/>
        <v>2.7219090643698514</v>
      </c>
      <c r="F116" s="385">
        <f t="shared" si="26"/>
        <v>2.7219090643698514</v>
      </c>
      <c r="G116" s="110">
        <f t="shared" si="48"/>
        <v>4.7694234592123158E-2</v>
      </c>
      <c r="H116" s="414" t="b">
        <f>Wh_hp&gt;='2022'!Maxi_hp</f>
        <v>0</v>
      </c>
      <c r="I116" s="390">
        <f>IF(H116,Wh_hp,'2022'!Maxi_hp)</f>
        <v>56.893751444283453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3.8342104205134397E-2</v>
      </c>
      <c r="M116" s="959"/>
      <c r="N116" s="959"/>
      <c r="O116" s="48">
        <f>IF(t&lt;Tnet,'2022'!Resal+('2022'!Salim-'2022'!Resal)*(1-EXP(('2022'!Tnet-t)/('2022'!Tau_j))),Resal+(Salim-Resal)*(1-EXP((Tnet-t)/(Tau_j))))*Salcycl</f>
        <v>0.10739765519997338</v>
      </c>
      <c r="P116" s="169">
        <f>(INDEX(Models!$BJ116:$BT116,,T116)*(1-R116)+INDEX(Models!$BJ116:$BT116,,T116+1)*R116-ERP_i)*Q116*Ramure*Pc/MaxiM</f>
        <v>5.1811822053318256E-4</v>
      </c>
      <c r="Q116" s="305">
        <f t="shared" si="28"/>
        <v>0.7</v>
      </c>
      <c r="R116" s="177">
        <f t="shared" si="29"/>
        <v>0.54006717386423808</v>
      </c>
      <c r="S116" s="921">
        <f t="shared" si="30"/>
        <v>0</v>
      </c>
      <c r="T116" s="176">
        <f t="shared" si="31"/>
        <v>6</v>
      </c>
      <c r="U116" s="251">
        <f t="shared" si="32"/>
        <v>0.54006717386423808</v>
      </c>
      <c r="V116" s="383">
        <f t="shared" si="33"/>
        <v>48.962240103879715</v>
      </c>
      <c r="W116" s="402">
        <f t="shared" si="34"/>
        <v>2.3364271111275223</v>
      </c>
      <c r="X116" s="157">
        <f t="shared" si="35"/>
        <v>45028</v>
      </c>
      <c r="Y116" s="385">
        <f t="shared" si="36"/>
        <v>2.2324111788514069</v>
      </c>
      <c r="Z116" s="385">
        <f t="shared" si="37"/>
        <v>2.3214192787406902</v>
      </c>
      <c r="AA116" s="386">
        <f t="shared" si="38"/>
        <v>2.7219090643698514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0.14713562288748924</v>
      </c>
      <c r="AD116" s="231">
        <f>(INDEX(Models!$BJ116:$BT116,,AH116)*(1-AF116)+INDEX(Models!$BJ116:$BT116,,AH116+1)*AF116-ERP_i)*AE116*Ramure*Pc/MaxiM</f>
        <v>5.1811822053318256E-4</v>
      </c>
      <c r="AE116" s="305">
        <f t="shared" si="40"/>
        <v>0.7</v>
      </c>
      <c r="AF116" s="177">
        <f t="shared" si="41"/>
        <v>0.54006717386423808</v>
      </c>
      <c r="AG116" s="921">
        <f t="shared" si="49"/>
        <v>0</v>
      </c>
      <c r="AH116" s="176">
        <f t="shared" si="42"/>
        <v>6</v>
      </c>
      <c r="AI116" s="225">
        <f t="shared" si="43"/>
        <v>0.54006717386423808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Wh_hp&gt;='2022'!Maxi_hp</f>
        <v>0</v>
      </c>
      <c r="I117" s="390">
        <f>IF(H117,Wh_hp,'2022'!Maxi_hp)</f>
        <v>58.336070770675065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3.836316698108222E-2</v>
      </c>
      <c r="M117" s="959"/>
      <c r="N117" s="959"/>
      <c r="O117" s="48">
        <f>IF(t&lt;Tnet,'2022'!Resal+('2022'!Salim-'2022'!Resal)*(1-EXP(('2022'!Tnet-t)/('2022'!Tau_j))),Resal+(Salim-Resal)*(1-EXP((Tnet-t)/(Tau_j))))*Salcycl</f>
        <v>0.10747518389049411</v>
      </c>
      <c r="P117" s="169">
        <f>(INDEX(Models!$BJ117:$BT117,,T117)*(1-R117)+INDEX(Models!$BJ117:$BT117,,T117+1)*R117-ERP_i)*Q117*Ramure*Pc/MaxiM</f>
        <v>5.2555536325618732E-4</v>
      </c>
      <c r="Q117" s="305">
        <f t="shared" si="28"/>
        <v>0.7</v>
      </c>
      <c r="R117" s="177">
        <f t="shared" si="29"/>
        <v>0.54163144779715955</v>
      </c>
      <c r="S117" s="921">
        <f t="shared" si="30"/>
        <v>0</v>
      </c>
      <c r="T117" s="176">
        <f t="shared" si="31"/>
        <v>6</v>
      </c>
      <c r="U117" s="251">
        <f t="shared" si="32"/>
        <v>0.54163144779715955</v>
      </c>
      <c r="V117" s="383">
        <f t="shared" si="33"/>
        <v>49.078599756981212</v>
      </c>
      <c r="W117" s="402">
        <f t="shared" si="34"/>
        <v>0</v>
      </c>
      <c r="X117" s="157">
        <f t="shared" si="35"/>
        <v>45029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0.14718756107591288</v>
      </c>
      <c r="AD117" s="231">
        <f>(INDEX(Models!$BJ117:$BT117,,AH117)*(1-AF117)+INDEX(Models!$BJ117:$BT117,,AH117+1)*AF117-ERP_i)*AE117*Ramure*Pc/MaxiM</f>
        <v>5.2555536325618732E-4</v>
      </c>
      <c r="AE117" s="305">
        <f t="shared" si="40"/>
        <v>0.7</v>
      </c>
      <c r="AF117" s="177">
        <f t="shared" si="41"/>
        <v>0.54163144779715955</v>
      </c>
      <c r="AG117" s="921">
        <f t="shared" si="49"/>
        <v>0</v>
      </c>
      <c r="AH117" s="176">
        <f t="shared" si="42"/>
        <v>6</v>
      </c>
      <c r="AI117" s="225">
        <f t="shared" si="43"/>
        <v>0.54163144779715955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39.245497493080578</v>
      </c>
      <c r="C118" s="955"/>
      <c r="D118" s="393">
        <f t="shared" si="25"/>
        <v>40.812036042562724</v>
      </c>
      <c r="E118" s="385">
        <f t="shared" si="47"/>
        <v>45.730542792279699</v>
      </c>
      <c r="F118" s="385">
        <f t="shared" si="26"/>
        <v>45.747975312760374</v>
      </c>
      <c r="G118" s="110">
        <f t="shared" si="48"/>
        <v>0.79767830668691531</v>
      </c>
      <c r="H118" s="414" t="b">
        <f>Wh_hp&gt;='2022'!Maxi_hp</f>
        <v>0</v>
      </c>
      <c r="I118" s="390">
        <f>IF(H118,Wh_hp,'2022'!Maxi_hp)</f>
        <v>56.615625243922842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3.8384229295701178E-2</v>
      </c>
      <c r="M118" s="959"/>
      <c r="N118" s="959"/>
      <c r="O118" s="48">
        <f>IF(t&lt;Tnet,'2022'!Resal+('2022'!Salim-'2022'!Resal)*(1-EXP(('2022'!Tnet-t)/('2022'!Tau_j))),Resal+(Salim-Resal)*(1-EXP((Tnet-t)/(Tau_j))))*Salcycl</f>
        <v>0.10755408638069618</v>
      </c>
      <c r="P118" s="169">
        <f>(INDEX(Models!$BJ118:$BT118,,T118)*(1-R118)+INDEX(Models!$BJ118:$BT118,,T118+1)*R118-ERP_i)*Q118*Ramure*Pc/MaxiM</f>
        <v>5.3583348785193918E-4</v>
      </c>
      <c r="Q118" s="305">
        <f t="shared" si="28"/>
        <v>0.7</v>
      </c>
      <c r="R118" s="177">
        <f t="shared" si="29"/>
        <v>0.54325007167672312</v>
      </c>
      <c r="S118" s="921">
        <f t="shared" si="30"/>
        <v>0</v>
      </c>
      <c r="T118" s="176">
        <f t="shared" si="31"/>
        <v>6</v>
      </c>
      <c r="U118" s="251">
        <f t="shared" si="32"/>
        <v>0.54325007167672312</v>
      </c>
      <c r="V118" s="383">
        <f t="shared" si="33"/>
        <v>49.192037080520599</v>
      </c>
      <c r="W118" s="402">
        <f t="shared" si="34"/>
        <v>39.245497493080578</v>
      </c>
      <c r="X118" s="157">
        <f t="shared" si="35"/>
        <v>45030</v>
      </c>
      <c r="Y118" s="385">
        <f t="shared" si="36"/>
        <v>37.500239482037067</v>
      </c>
      <c r="Z118" s="385">
        <f t="shared" si="37"/>
        <v>38.997113633620472</v>
      </c>
      <c r="AA118" s="386">
        <f t="shared" si="38"/>
        <v>45.730542792279699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0.14724140033159569</v>
      </c>
      <c r="AD118" s="231">
        <f>(INDEX(Models!$BJ118:$BT118,,AH118)*(1-AF118)+INDEX(Models!$BJ118:$BT118,,AH118+1)*AF118-ERP_i)*AE118*Ramure*Pc/MaxiM</f>
        <v>5.3583348785193918E-4</v>
      </c>
      <c r="AE118" s="305">
        <f t="shared" si="40"/>
        <v>0.7</v>
      </c>
      <c r="AF118" s="177">
        <f t="shared" si="41"/>
        <v>0.54325007167672312</v>
      </c>
      <c r="AG118" s="921">
        <f t="shared" si="49"/>
        <v>0</v>
      </c>
      <c r="AH118" s="176">
        <f t="shared" si="42"/>
        <v>6</v>
      </c>
      <c r="AI118" s="225">
        <f t="shared" si="43"/>
        <v>0.54325007167672312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43.680077671783991</v>
      </c>
      <c r="C119" s="955"/>
      <c r="D119" s="393">
        <f t="shared" si="25"/>
        <v>45.424623565136869</v>
      </c>
      <c r="E119" s="385">
        <f t="shared" si="47"/>
        <v>50.903601457309271</v>
      </c>
      <c r="F119" s="385">
        <f t="shared" si="26"/>
        <v>50.92700376120046</v>
      </c>
      <c r="G119" s="110">
        <f t="shared" si="48"/>
        <v>0.88587224069587311</v>
      </c>
      <c r="H119" s="414" t="b">
        <f>Wh_hp&gt;='2022'!Maxi_hp</f>
        <v>0</v>
      </c>
      <c r="I119" s="390">
        <f>IF(H119,Wh_hp,'2022'!Maxi_hp)</f>
        <v>56.990205602590848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3.8405291149001486E-2</v>
      </c>
      <c r="M119" s="959"/>
      <c r="N119" s="959"/>
      <c r="O119" s="48">
        <f>IF(t&lt;Tnet,'2022'!Resal+('2022'!Salim-'2022'!Resal)*(1-EXP(('2022'!Tnet-t)/('2022'!Tau_j))),Resal+(Salim-Resal)*(1-EXP((Tnet-t)/(Tau_j))))*Salcycl</f>
        <v>0.10763438608105931</v>
      </c>
      <c r="P119" s="169">
        <f>(INDEX(Models!$BJ119:$BT119,,T119)*(1-R119)+INDEX(Models!$BJ119:$BT119,,T119+1)*R119-ERP_i)*Q119*Ramure*Pc/MaxiM</f>
        <v>5.4896776708368393E-4</v>
      </c>
      <c r="Q119" s="305">
        <f t="shared" si="28"/>
        <v>0.7</v>
      </c>
      <c r="R119" s="177">
        <f t="shared" si="29"/>
        <v>0.54492448898625467</v>
      </c>
      <c r="S119" s="921">
        <f t="shared" si="30"/>
        <v>0</v>
      </c>
      <c r="T119" s="176">
        <f t="shared" si="31"/>
        <v>6</v>
      </c>
      <c r="U119" s="251">
        <f t="shared" si="32"/>
        <v>0.54492448898625467</v>
      </c>
      <c r="V119" s="383">
        <f t="shared" si="33"/>
        <v>49.303011274548275</v>
      </c>
      <c r="W119" s="402">
        <f t="shared" si="34"/>
        <v>43.680077671783991</v>
      </c>
      <c r="X119" s="157">
        <f t="shared" si="35"/>
        <v>45031</v>
      </c>
      <c r="Y119" s="385">
        <f t="shared" si="36"/>
        <v>41.738638556704615</v>
      </c>
      <c r="Z119" s="385">
        <f t="shared" si="37"/>
        <v>43.405644990057986</v>
      </c>
      <c r="AA119" s="386">
        <f t="shared" si="38"/>
        <v>50.903601457309271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0.14729717058506175</v>
      </c>
      <c r="AD119" s="231">
        <f>(INDEX(Models!$BJ119:$BT119,,AH119)*(1-AF119)+INDEX(Models!$BJ119:$BT119,,AH119+1)*AF119-ERP_i)*AE119*Ramure*Pc/MaxiM</f>
        <v>5.4896776708368393E-4</v>
      </c>
      <c r="AE119" s="305">
        <f t="shared" si="40"/>
        <v>0.7</v>
      </c>
      <c r="AF119" s="177">
        <f t="shared" si="41"/>
        <v>0.54492448898625467</v>
      </c>
      <c r="AG119" s="921">
        <f t="shared" si="49"/>
        <v>0</v>
      </c>
      <c r="AH119" s="176">
        <f t="shared" si="42"/>
        <v>6</v>
      </c>
      <c r="AI119" s="225">
        <f t="shared" si="43"/>
        <v>0.54492448898625467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39.300926499614064</v>
      </c>
      <c r="C120" s="955"/>
      <c r="D120" s="393">
        <f t="shared" si="25"/>
        <v>40.871467935366347</v>
      </c>
      <c r="E120" s="385">
        <f t="shared" si="47"/>
        <v>45.805452894835227</v>
      </c>
      <c r="F120" s="385">
        <f t="shared" si="26"/>
        <v>45.823774142256973</v>
      </c>
      <c r="G120" s="110">
        <f t="shared" si="48"/>
        <v>0.79524099339907972</v>
      </c>
      <c r="H120" s="414" t="b">
        <f>Wh_hp&gt;='2022'!Maxi_hp</f>
        <v>0</v>
      </c>
      <c r="I120" s="390">
        <f>IF(H120,Wh_hp,'2022'!Maxi_hp)</f>
        <v>53.394011325702145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3.8426352540993025E-2</v>
      </c>
      <c r="M120" s="959"/>
      <c r="N120" s="959"/>
      <c r="O120" s="48">
        <f>IF(t&lt;Tnet,'2022'!Resal+('2022'!Salim-'2022'!Resal)*(1-EXP(('2022'!Tnet-t)/('2022'!Tau_j))),Resal+(Salim-Resal)*(1-EXP((Tnet-t)/(Tau_j))))*Salcycl</f>
        <v>0.10771610469165802</v>
      </c>
      <c r="P120" s="169">
        <f>(INDEX(Models!$BJ120:$BT120,,T120)*(1-R120)+INDEX(Models!$BJ120:$BT120,,T120+1)*R120-ERP_i)*Q120*Ramure*Pc/MaxiM</f>
        <v>5.6497653640181079E-4</v>
      </c>
      <c r="Q120" s="305">
        <f t="shared" si="28"/>
        <v>0.7</v>
      </c>
      <c r="R120" s="177">
        <f t="shared" si="29"/>
        <v>0.54665614695989706</v>
      </c>
      <c r="S120" s="921">
        <f t="shared" si="30"/>
        <v>0</v>
      </c>
      <c r="T120" s="176">
        <f t="shared" si="31"/>
        <v>6</v>
      </c>
      <c r="U120" s="251">
        <f t="shared" si="32"/>
        <v>0.54665614695989706</v>
      </c>
      <c r="V120" s="383">
        <f t="shared" si="33"/>
        <v>49.411981289592546</v>
      </c>
      <c r="W120" s="402">
        <f t="shared" si="34"/>
        <v>39.300926499614064</v>
      </c>
      <c r="X120" s="157">
        <f t="shared" si="35"/>
        <v>45032</v>
      </c>
      <c r="Y120" s="385">
        <f t="shared" si="36"/>
        <v>37.555023244977498</v>
      </c>
      <c r="Z120" s="385">
        <f t="shared" si="37"/>
        <v>39.055794992113192</v>
      </c>
      <c r="AA120" s="386">
        <f t="shared" si="38"/>
        <v>45.805452894835227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0.14735489938760302</v>
      </c>
      <c r="AD120" s="231">
        <f>(INDEX(Models!$BJ120:$BT120,,AH120)*(1-AF120)+INDEX(Models!$BJ120:$BT120,,AH120+1)*AF120-ERP_i)*AE120*Ramure*Pc/MaxiM</f>
        <v>5.6497653640181079E-4</v>
      </c>
      <c r="AE120" s="305">
        <f t="shared" si="40"/>
        <v>0.7</v>
      </c>
      <c r="AF120" s="177">
        <f t="shared" si="41"/>
        <v>0.54665614695989706</v>
      </c>
      <c r="AG120" s="921">
        <f t="shared" si="49"/>
        <v>0</v>
      </c>
      <c r="AH120" s="176">
        <f t="shared" si="42"/>
        <v>6</v>
      </c>
      <c r="AI120" s="225">
        <f t="shared" si="43"/>
        <v>0.54665614695989706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49.628826391590536</v>
      </c>
      <c r="C121" s="955"/>
      <c r="D121" s="393">
        <f t="shared" si="25"/>
        <v>51.613221249578707</v>
      </c>
      <c r="E121" s="385">
        <f t="shared" si="47"/>
        <v>57.849337103725574</v>
      </c>
      <c r="F121" s="385">
        <f t="shared" si="26"/>
        <v>57.883134620837687</v>
      </c>
      <c r="G121" s="110">
        <f t="shared" si="48"/>
        <v>1.0022289716869432</v>
      </c>
      <c r="H121" s="414" t="b">
        <f>Wh_hp&gt;='2022'!Maxi_hp</f>
        <v>1</v>
      </c>
      <c r="I121" s="390">
        <f>IF(H121,Wh_hp,'2022'!Maxi_hp)</f>
        <v>57.883134620837687</v>
      </c>
      <c r="J121" s="85">
        <f>IF(H121,An,'2022'!An_max)</f>
        <v>2023</v>
      </c>
      <c r="K121" s="197">
        <f t="shared" si="27"/>
        <v>45033</v>
      </c>
      <c r="L121" s="147">
        <f>IF(t&lt;Tvie,1-EXP((T0-t)*PertePVj)+'2022'!Pspv,1-EXP((T0-t)*PertePVj)+Pspv)</f>
        <v>3.844741347168612E-2</v>
      </c>
      <c r="M121" s="959"/>
      <c r="N121" s="959"/>
      <c r="O121" s="48">
        <f>IF(t&lt;Tnet,'2022'!Resal+('2022'!Salim-'2022'!Resal)*(1-EXP(('2022'!Tnet-t)/('2022'!Tau_j))),Resal+(Salim-Resal)*(1-EXP((Tnet-t)/(Tau_j))))*Salcycl</f>
        <v>0.10779926212404689</v>
      </c>
      <c r="P121" s="169">
        <f>(INDEX(Models!$BJ121:$BT121,,T121)*(1-R121)+INDEX(Models!$BJ121:$BT121,,T121+1)*R121-ERP_i)*Q121*Ramure*Pc/MaxiM</f>
        <v>5.8389230876149329E-4</v>
      </c>
      <c r="Q121" s="305">
        <f t="shared" si="28"/>
        <v>0.7</v>
      </c>
      <c r="R121" s="177">
        <f t="shared" si="29"/>
        <v>0.54844649349457386</v>
      </c>
      <c r="S121" s="921">
        <f t="shared" si="30"/>
        <v>0</v>
      </c>
      <c r="T121" s="176">
        <f t="shared" si="31"/>
        <v>6</v>
      </c>
      <c r="U121" s="251">
        <f t="shared" si="32"/>
        <v>0.54844649349457386</v>
      </c>
      <c r="V121" s="383">
        <f t="shared" si="33"/>
        <v>49.518451165960329</v>
      </c>
      <c r="W121" s="402">
        <f t="shared" si="34"/>
        <v>49.628826391590536</v>
      </c>
      <c r="X121" s="157">
        <f t="shared" si="35"/>
        <v>45033</v>
      </c>
      <c r="Y121" s="385">
        <f t="shared" si="36"/>
        <v>47.425215445657386</v>
      </c>
      <c r="Z121" s="385">
        <f t="shared" si="37"/>
        <v>49.321499531176087</v>
      </c>
      <c r="AA121" s="386">
        <f t="shared" si="38"/>
        <v>57.849337103725574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0.1474146118089274</v>
      </c>
      <c r="AD121" s="231">
        <f>(INDEX(Models!$BJ121:$BT121,,AH121)*(1-AF121)+INDEX(Models!$BJ121:$BT121,,AH121+1)*AF121-ERP_i)*AE121*Ramure*Pc/MaxiM</f>
        <v>5.8389230876149329E-4</v>
      </c>
      <c r="AE121" s="305">
        <f t="shared" si="40"/>
        <v>0.7</v>
      </c>
      <c r="AF121" s="177">
        <f t="shared" si="41"/>
        <v>0.54844649349457386</v>
      </c>
      <c r="AG121" s="921">
        <f t="shared" si="49"/>
        <v>0</v>
      </c>
      <c r="AH121" s="176">
        <f t="shared" si="42"/>
        <v>6</v>
      </c>
      <c r="AI121" s="225">
        <f t="shared" si="43"/>
        <v>0.54844649349457386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35.389730586580988</v>
      </c>
      <c r="C122" s="955"/>
      <c r="D122" s="393">
        <f t="shared" si="25"/>
        <v>36.805585285003751</v>
      </c>
      <c r="E122" s="385">
        <f t="shared" si="47"/>
        <v>41.256496001120368</v>
      </c>
      <c r="F122" s="385">
        <f t="shared" si="26"/>
        <v>41.271294941495277</v>
      </c>
      <c r="G122" s="110">
        <f t="shared" si="48"/>
        <v>0.71301633718289747</v>
      </c>
      <c r="H122" s="414" t="b">
        <f>Wh_hp&gt;='2022'!Maxi_hp</f>
        <v>0</v>
      </c>
      <c r="I122" s="390">
        <f>IF(H122,Wh_hp,'2022'!Maxi_hp)</f>
        <v>42.269665111428111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3.8468473941090764E-2</v>
      </c>
      <c r="M122" s="959"/>
      <c r="N122" s="959"/>
      <c r="O122" s="48">
        <f>IF(t&lt;Tnet,'2022'!Resal+('2022'!Salim-'2022'!Resal)*(1-EXP(('2022'!Tnet-t)/('2022'!Tau_j))),Resal+(Salim-Resal)*(1-EXP((Tnet-t)/(Tau_j))))*Salcycl</f>
        <v>0.10788387642023081</v>
      </c>
      <c r="P122" s="169">
        <f>(INDEX(Models!$BJ122:$BT122,,T122)*(1-R122)+INDEX(Models!$BJ122:$BT122,,T122+1)*R122-ERP_i)*Q122*Ramure*Pc/MaxiM</f>
        <v>6.074725402846515E-4</v>
      </c>
      <c r="Q122" s="305">
        <f t="shared" si="28"/>
        <v>0.7</v>
      </c>
      <c r="R122" s="177">
        <f t="shared" si="29"/>
        <v>0.5502969738172967</v>
      </c>
      <c r="S122" s="921">
        <f t="shared" si="30"/>
        <v>0</v>
      </c>
      <c r="T122" s="176">
        <f t="shared" si="31"/>
        <v>6</v>
      </c>
      <c r="U122" s="251">
        <f t="shared" si="32"/>
        <v>0.5502969738172967</v>
      </c>
      <c r="V122" s="383">
        <f t="shared" si="33"/>
        <v>49.62147041880921</v>
      </c>
      <c r="W122" s="402">
        <f t="shared" si="34"/>
        <v>35.389730586580988</v>
      </c>
      <c r="X122" s="157">
        <f t="shared" si="35"/>
        <v>45034</v>
      </c>
      <c r="Y122" s="385">
        <f t="shared" si="36"/>
        <v>33.819120841806438</v>
      </c>
      <c r="Z122" s="385">
        <f t="shared" si="37"/>
        <v>35.172139368558234</v>
      </c>
      <c r="AA122" s="386">
        <f t="shared" si="38"/>
        <v>41.256496001120368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0.14747633033103216</v>
      </c>
      <c r="AD122" s="231">
        <f>(INDEX(Models!$BJ122:$BT122,,AH122)*(1-AF122)+INDEX(Models!$BJ122:$BT122,,AH122+1)*AF122-ERP_i)*AE122*Ramure*Pc/MaxiM</f>
        <v>6.074725402846515E-4</v>
      </c>
      <c r="AE122" s="305">
        <f t="shared" si="40"/>
        <v>0.7</v>
      </c>
      <c r="AF122" s="177">
        <f t="shared" si="41"/>
        <v>0.5502969738172967</v>
      </c>
      <c r="AG122" s="921">
        <f t="shared" si="49"/>
        <v>0</v>
      </c>
      <c r="AH122" s="176">
        <f t="shared" si="42"/>
        <v>6</v>
      </c>
      <c r="AI122" s="225">
        <f t="shared" si="43"/>
        <v>0.5502969738172967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8.47135821719516</v>
      </c>
      <c r="C123" s="955"/>
      <c r="D123" s="393">
        <f t="shared" si="25"/>
        <v>8.8104690653962567</v>
      </c>
      <c r="E123" s="385">
        <f t="shared" si="47"/>
        <v>9.8768748882379107</v>
      </c>
      <c r="F123" s="385">
        <f t="shared" si="26"/>
        <v>9.8768748882379107</v>
      </c>
      <c r="G123" s="110">
        <f t="shared" si="48"/>
        <v>0.1702697484854665</v>
      </c>
      <c r="H123" s="414" t="b">
        <f>Wh_hp&gt;='2022'!Maxi_hp</f>
        <v>0</v>
      </c>
      <c r="I123" s="390">
        <f>IF(H123,Wh_hp,'2022'!Maxi_hp)</f>
        <v>56.035337326864806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3.8489533949217059E-2</v>
      </c>
      <c r="M123" s="959"/>
      <c r="N123" s="959"/>
      <c r="O123" s="48">
        <f>IF(t&lt;Tnet,'2022'!Resal+('2022'!Salim-'2022'!Resal)*(1-EXP(('2022'!Tnet-t)/('2022'!Tau_j))),Resal+(Salim-Resal)*(1-EXP((Tnet-t)/(Tau_j))))*Salcycl</f>
        <v>0.107969963668529</v>
      </c>
      <c r="P123" s="169">
        <f>(INDEX(Models!$BJ123:$BT123,,T123)*(1-R123)+INDEX(Models!$BJ123:$BT123,,T123+1)*R123-ERP_i)*Q123*Ramure*Pc/MaxiM</f>
        <v>6.3482581665565575E-4</v>
      </c>
      <c r="Q123" s="305">
        <f t="shared" si="28"/>
        <v>0.7</v>
      </c>
      <c r="R123" s="177">
        <f t="shared" si="29"/>
        <v>0.55220902690193363</v>
      </c>
      <c r="S123" s="921">
        <f t="shared" si="30"/>
        <v>0</v>
      </c>
      <c r="T123" s="176">
        <f t="shared" si="31"/>
        <v>6</v>
      </c>
      <c r="U123" s="251">
        <f t="shared" si="32"/>
        <v>0.55220902690193363</v>
      </c>
      <c r="V123" s="383">
        <f t="shared" si="33"/>
        <v>49.720989521631722</v>
      </c>
      <c r="W123" s="402">
        <f t="shared" si="34"/>
        <v>8.47135821719516</v>
      </c>
      <c r="X123" s="157">
        <f t="shared" si="35"/>
        <v>45035</v>
      </c>
      <c r="Y123" s="385">
        <f t="shared" si="36"/>
        <v>8.0955720083106524</v>
      </c>
      <c r="Z123" s="385">
        <f t="shared" si="37"/>
        <v>8.4196400290489173</v>
      </c>
      <c r="AA123" s="386">
        <f t="shared" si="38"/>
        <v>9.8768748882379107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0.14754007473805034</v>
      </c>
      <c r="AD123" s="231">
        <f>(INDEX(Models!$BJ123:$BT123,,AH123)*(1-AF123)+INDEX(Models!$BJ123:$BT123,,AH123+1)*AF123-ERP_i)*AE123*Ramure*Pc/MaxiM</f>
        <v>6.3482581665565575E-4</v>
      </c>
      <c r="AE123" s="305">
        <f t="shared" si="40"/>
        <v>0.7</v>
      </c>
      <c r="AF123" s="177">
        <f t="shared" si="41"/>
        <v>0.55220902690193363</v>
      </c>
      <c r="AG123" s="921">
        <f t="shared" si="49"/>
        <v>0</v>
      </c>
      <c r="AH123" s="176">
        <f t="shared" si="42"/>
        <v>6</v>
      </c>
      <c r="AI123" s="225">
        <f t="shared" si="43"/>
        <v>0.55220902690193363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9.5578205058321046</v>
      </c>
      <c r="C124" s="955"/>
      <c r="D124" s="393">
        <f t="shared" si="25"/>
        <v>9.9406404700654267</v>
      </c>
      <c r="E124" s="385">
        <f t="shared" si="47"/>
        <v>11.144934670832919</v>
      </c>
      <c r="F124" s="385">
        <f t="shared" si="26"/>
        <v>11.144934670832919</v>
      </c>
      <c r="G124" s="110">
        <f t="shared" si="48"/>
        <v>0.19173117058579325</v>
      </c>
      <c r="H124" s="414" t="b">
        <f>Wh_hp&gt;='2022'!Maxi_hp</f>
        <v>0</v>
      </c>
      <c r="I124" s="390">
        <f>IF(H124,Wh_hp,'2022'!Maxi_hp)</f>
        <v>54.638540839726012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3.8510593496075107E-2</v>
      </c>
      <c r="M124" s="959"/>
      <c r="N124" s="959"/>
      <c r="O124" s="48">
        <f>IF(t&lt;Tnet,'2022'!Resal+('2022'!Salim-'2022'!Resal)*(1-EXP(('2022'!Tnet-t)/('2022'!Tau_j))),Resal+(Salim-Resal)*(1-EXP((Tnet-t)/(Tau_j))))*Salcycl</f>
        <v>0.10805753791623518</v>
      </c>
      <c r="P124" s="169">
        <f>(INDEX(Models!$BJ124:$BT124,,T124)*(1-R124)+INDEX(Models!$BJ124:$BT124,,T124+1)*R124-ERP_i)*Q124*Ramure*Pc/MaxiM</f>
        <v>6.65999680081904E-4</v>
      </c>
      <c r="Q124" s="305">
        <f t="shared" si="28"/>
        <v>0.7</v>
      </c>
      <c r="R124" s="177">
        <f t="shared" si="29"/>
        <v>0.55418408163060284</v>
      </c>
      <c r="S124" s="921">
        <f t="shared" si="30"/>
        <v>0</v>
      </c>
      <c r="T124" s="176">
        <f t="shared" si="31"/>
        <v>6</v>
      </c>
      <c r="U124" s="251">
        <f t="shared" si="32"/>
        <v>0.55418408163060284</v>
      </c>
      <c r="V124" s="383">
        <f t="shared" si="33"/>
        <v>49.816912770367644</v>
      </c>
      <c r="W124" s="402">
        <f t="shared" si="34"/>
        <v>9.5578205058321046</v>
      </c>
      <c r="X124" s="157">
        <f t="shared" si="35"/>
        <v>45036</v>
      </c>
      <c r="Y124" s="385">
        <f t="shared" si="36"/>
        <v>9.1340310810808383</v>
      </c>
      <c r="Z124" s="385">
        <f t="shared" si="37"/>
        <v>9.4998769817892441</v>
      </c>
      <c r="AA124" s="386">
        <f t="shared" si="38"/>
        <v>11.144934670832919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0.14760586200194664</v>
      </c>
      <c r="AD124" s="231">
        <f>(INDEX(Models!$BJ124:$BT124,,AH124)*(1-AF124)+INDEX(Models!$BJ124:$BT124,,AH124+1)*AF124-ERP_i)*AE124*Ramure*Pc/MaxiM</f>
        <v>6.65999680081904E-4</v>
      </c>
      <c r="AE124" s="305">
        <f t="shared" si="40"/>
        <v>0.7</v>
      </c>
      <c r="AF124" s="177">
        <f t="shared" si="41"/>
        <v>0.55418408163060284</v>
      </c>
      <c r="AG124" s="921">
        <f t="shared" si="49"/>
        <v>0</v>
      </c>
      <c r="AH124" s="176">
        <f t="shared" si="42"/>
        <v>6</v>
      </c>
      <c r="AI124" s="225">
        <f t="shared" si="43"/>
        <v>0.55418408163060284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8.6319713383451315</v>
      </c>
      <c r="C125" s="955"/>
      <c r="D125" s="393">
        <f t="shared" si="25"/>
        <v>8.9779048488940543</v>
      </c>
      <c r="E125" s="385">
        <f t="shared" si="47"/>
        <v>10.066570313486876</v>
      </c>
      <c r="F125" s="385">
        <f t="shared" si="26"/>
        <v>10.066570313486876</v>
      </c>
      <c r="G125" s="110">
        <f t="shared" si="48"/>
        <v>0.17283245414961024</v>
      </c>
      <c r="H125" s="414" t="b">
        <f>Wh_hp&gt;='2022'!Maxi_hp</f>
        <v>0</v>
      </c>
      <c r="I125" s="390">
        <f>IF(H125,Wh_hp,'2022'!Maxi_hp)</f>
        <v>49.293646269634195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3.8531652581675124E-2</v>
      </c>
      <c r="M125" s="959"/>
      <c r="N125" s="959"/>
      <c r="O125" s="48">
        <f>IF(t&lt;Tnet,'2022'!Resal+('2022'!Salim-'2022'!Resal)*(1-EXP(('2022'!Tnet-t)/('2022'!Tau_j))),Resal+(Salim-Resal)*(1-EXP((Tnet-t)/(Tau_j))))*Salcycl</f>
        <v>0.10814661107907454</v>
      </c>
      <c r="P125" s="169">
        <f>(INDEX(Models!$BJ125:$BT125,,T125)*(1-R125)+INDEX(Models!$BJ125:$BT125,,T125+1)*R125-ERP_i)*Q125*Ramure*Pc/MaxiM</f>
        <v>7.0104893363639954E-4</v>
      </c>
      <c r="Q125" s="305">
        <f t="shared" si="28"/>
        <v>0.7</v>
      </c>
      <c r="R125" s="177">
        <f t="shared" si="29"/>
        <v>0.55622355269607593</v>
      </c>
      <c r="S125" s="921">
        <f t="shared" si="30"/>
        <v>0</v>
      </c>
      <c r="T125" s="176">
        <f t="shared" si="31"/>
        <v>6</v>
      </c>
      <c r="U125" s="251">
        <f t="shared" si="32"/>
        <v>0.55622355269607593</v>
      </c>
      <c r="V125" s="383">
        <f t="shared" si="33"/>
        <v>49.909144358826751</v>
      </c>
      <c r="W125" s="402">
        <f t="shared" si="34"/>
        <v>8.6319713383451315</v>
      </c>
      <c r="X125" s="157">
        <f t="shared" si="35"/>
        <v>45037</v>
      </c>
      <c r="Y125" s="385">
        <f t="shared" si="36"/>
        <v>8.2494008888740922</v>
      </c>
      <c r="Z125" s="385">
        <f t="shared" si="37"/>
        <v>8.580002566933036</v>
      </c>
      <c r="AA125" s="386">
        <f t="shared" si="38"/>
        <v>10.066570313486876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0.14767370616407299</v>
      </c>
      <c r="AD125" s="231">
        <f>(INDEX(Models!$BJ125:$BT125,,AH125)*(1-AF125)+INDEX(Models!$BJ125:$BT125,,AH125+1)*AF125-ERP_i)*AE125*Ramure*Pc/MaxiM</f>
        <v>7.0104893363639954E-4</v>
      </c>
      <c r="AE125" s="305">
        <f t="shared" si="40"/>
        <v>0.7</v>
      </c>
      <c r="AF125" s="177">
        <f t="shared" si="41"/>
        <v>0.55622355269607593</v>
      </c>
      <c r="AG125" s="921">
        <f t="shared" si="49"/>
        <v>0</v>
      </c>
      <c r="AH125" s="176">
        <f t="shared" si="42"/>
        <v>6</v>
      </c>
      <c r="AI125" s="225">
        <f t="shared" si="43"/>
        <v>0.55622355269607593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26.098939089140558</v>
      </c>
      <c r="C126" s="955"/>
      <c r="D126" s="393">
        <f t="shared" si="25"/>
        <v>27.14547057684122</v>
      </c>
      <c r="E126" s="385">
        <f t="shared" si="47"/>
        <v>30.44023630400299</v>
      </c>
      <c r="F126" s="385">
        <f t="shared" si="26"/>
        <v>30.4473823273817</v>
      </c>
      <c r="G126" s="110">
        <f t="shared" si="48"/>
        <v>0.52174011044287494</v>
      </c>
      <c r="H126" s="414" t="b">
        <f>Wh_hp&gt;='2022'!Maxi_hp</f>
        <v>0</v>
      </c>
      <c r="I126" s="390">
        <f>IF(H126,Wh_hp,'2022'!Maxi_hp)</f>
        <v>60.094501166563738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3.8552711206026991E-2</v>
      </c>
      <c r="M126" s="959"/>
      <c r="N126" s="959"/>
      <c r="O126" s="48">
        <f>IF(t&lt;Tnet,'2022'!Resal+('2022'!Salim-'2022'!Resal)*(1-EXP(('2022'!Tnet-t)/('2022'!Tau_j))),Resal+(Salim-Resal)*(1-EXP((Tnet-t)/(Tau_j))))*Salcycl</f>
        <v>0.10823719284756336</v>
      </c>
      <c r="P126" s="169">
        <f>(INDEX(Models!$BJ126:$BT126,,T126)*(1-R126)+INDEX(Models!$BJ126:$BT126,,T126+1)*R126-ERP_i)*Q126*Ramure*Pc/MaxiM</f>
        <v>7.4003420529719405E-4</v>
      </c>
      <c r="Q126" s="305">
        <f t="shared" si="28"/>
        <v>0.7</v>
      </c>
      <c r="R126" s="177">
        <f t="shared" si="29"/>
        <v>0.55832883624295837</v>
      </c>
      <c r="S126" s="921">
        <f t="shared" si="30"/>
        <v>0</v>
      </c>
      <c r="T126" s="176">
        <f t="shared" si="31"/>
        <v>6</v>
      </c>
      <c r="U126" s="251">
        <f t="shared" si="32"/>
        <v>0.55832883624295837</v>
      </c>
      <c r="V126" s="383">
        <f t="shared" si="33"/>
        <v>49.997588461687052</v>
      </c>
      <c r="W126" s="402">
        <f t="shared" si="34"/>
        <v>26.098939089140558</v>
      </c>
      <c r="X126" s="157">
        <f t="shared" si="35"/>
        <v>45038</v>
      </c>
      <c r="Y126" s="385">
        <f t="shared" si="36"/>
        <v>24.942717074760093</v>
      </c>
      <c r="Z126" s="385">
        <f t="shared" si="37"/>
        <v>25.94288565319885</v>
      </c>
      <c r="AA126" s="386">
        <f t="shared" si="38"/>
        <v>30.44023630400299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0.14774361821273785</v>
      </c>
      <c r="AD126" s="231">
        <f>(INDEX(Models!$BJ126:$BT126,,AH126)*(1-AF126)+INDEX(Models!$BJ126:$BT126,,AH126+1)*AF126-ERP_i)*AE126*Ramure*Pc/MaxiM</f>
        <v>7.4003420529719405E-4</v>
      </c>
      <c r="AE126" s="305">
        <f t="shared" si="40"/>
        <v>0.7</v>
      </c>
      <c r="AF126" s="177">
        <f t="shared" si="41"/>
        <v>0.55832883624295837</v>
      </c>
      <c r="AG126" s="921">
        <f t="shared" si="49"/>
        <v>0</v>
      </c>
      <c r="AH126" s="176">
        <f t="shared" si="42"/>
        <v>6</v>
      </c>
      <c r="AI126" s="225">
        <f t="shared" si="43"/>
        <v>0.55832883624295837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8.9677973015703163</v>
      </c>
      <c r="C127" s="955"/>
      <c r="D127" s="393">
        <f t="shared" si="25"/>
        <v>9.3275979122037445</v>
      </c>
      <c r="E127" s="385">
        <f t="shared" si="47"/>
        <v>10.460810043183649</v>
      </c>
      <c r="F127" s="385">
        <f t="shared" si="26"/>
        <v>10.460810043183649</v>
      </c>
      <c r="G127" s="110">
        <f t="shared" si="48"/>
        <v>0.17892154101516786</v>
      </c>
      <c r="H127" s="414" t="b">
        <f>Wh_hp&gt;='2022'!Maxi_hp</f>
        <v>0</v>
      </c>
      <c r="I127" s="390">
        <f>IF(H127,Wh_hp,'2022'!Maxi_hp)</f>
        <v>60.511949341362161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3.8573769369141031E-2</v>
      </c>
      <c r="M127" s="959"/>
      <c r="N127" s="959"/>
      <c r="O127" s="48">
        <f>IF(t&lt;Tnet,'2022'!Resal+('2022'!Salim-'2022'!Resal)*(1-EXP(('2022'!Tnet-t)/('2022'!Tau_j))),Resal+(Salim-Resal)*(1-EXP((Tnet-t)/(Tau_j))))*Salcycl</f>
        <v>0.10832929059048493</v>
      </c>
      <c r="P127" s="169">
        <f>(INDEX(Models!$BJ127:$BT127,,T127)*(1-R127)+INDEX(Models!$BJ127:$BT127,,T127+1)*R127-ERP_i)*Q127*Ramure*Pc/MaxiM</f>
        <v>7.8301987457643453E-4</v>
      </c>
      <c r="Q127" s="305">
        <f t="shared" si="28"/>
        <v>0.7</v>
      </c>
      <c r="R127" s="177">
        <f t="shared" si="29"/>
        <v>0.56050130524699171</v>
      </c>
      <c r="S127" s="921">
        <f t="shared" si="30"/>
        <v>0</v>
      </c>
      <c r="T127" s="176">
        <f t="shared" si="31"/>
        <v>6</v>
      </c>
      <c r="U127" s="251">
        <f t="shared" si="32"/>
        <v>0.56050130524699171</v>
      </c>
      <c r="V127" s="383">
        <f t="shared" si="33"/>
        <v>50.082149344401053</v>
      </c>
      <c r="W127" s="402">
        <f t="shared" si="34"/>
        <v>8.9677973015703163</v>
      </c>
      <c r="X127" s="157">
        <f t="shared" si="35"/>
        <v>45039</v>
      </c>
      <c r="Y127" s="385">
        <f t="shared" si="36"/>
        <v>8.570671693813054</v>
      </c>
      <c r="Z127" s="385">
        <f t="shared" si="37"/>
        <v>8.9145390678484375</v>
      </c>
      <c r="AA127" s="386">
        <f t="shared" si="38"/>
        <v>10.460810043183649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0.14781560595709073</v>
      </c>
      <c r="AD127" s="231">
        <f>(INDEX(Models!$BJ127:$BT127,,AH127)*(1-AF127)+INDEX(Models!$BJ127:$BT127,,AH127+1)*AF127-ERP_i)*AE127*Ramure*Pc/MaxiM</f>
        <v>7.8301987457643453E-4</v>
      </c>
      <c r="AE127" s="305">
        <f t="shared" si="40"/>
        <v>0.7</v>
      </c>
      <c r="AF127" s="177">
        <f t="shared" si="41"/>
        <v>0.56050130524699171</v>
      </c>
      <c r="AG127" s="921">
        <f t="shared" si="49"/>
        <v>0</v>
      </c>
      <c r="AH127" s="176">
        <f t="shared" si="42"/>
        <v>6</v>
      </c>
      <c r="AI127" s="225">
        <f t="shared" si="43"/>
        <v>0.56050130524699171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23.051598227071988</v>
      </c>
      <c r="C128" s="955"/>
      <c r="D128" s="393">
        <f t="shared" si="25"/>
        <v>23.97698584962264</v>
      </c>
      <c r="E128" s="385">
        <f t="shared" si="47"/>
        <v>26.892779209489564</v>
      </c>
      <c r="F128" s="385">
        <f t="shared" si="26"/>
        <v>26.897873863653523</v>
      </c>
      <c r="G128" s="110">
        <f t="shared" si="48"/>
        <v>0.45924187940924688</v>
      </c>
      <c r="H128" s="414" t="b">
        <f>Wh_hp&gt;='2022'!Maxi_hp</f>
        <v>0</v>
      </c>
      <c r="I128" s="390">
        <f>IF(H128,Wh_hp,'2022'!Maxi_hp)</f>
        <v>59.112989516648078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3.8594827071027238E-2</v>
      </c>
      <c r="M128" s="959"/>
      <c r="N128" s="959"/>
      <c r="O128" s="48">
        <f>IF(t&lt;Tnet,'2022'!Resal+('2022'!Salim-'2022'!Resal)*(1-EXP(('2022'!Tnet-t)/('2022'!Tau_j))),Resal+(Salim-Resal)*(1-EXP((Tnet-t)/(Tau_j))))*Salcycl</f>
        <v>0.10842290925580647</v>
      </c>
      <c r="P128" s="169">
        <f>(INDEX(Models!$BJ128:$BT128,,T128)*(1-R128)+INDEX(Models!$BJ128:$BT128,,T128+1)*R128-ERP_i)*Q128*Ramure*Pc/MaxiM</f>
        <v>8.3106294786252548E-4</v>
      </c>
      <c r="Q128" s="305">
        <f t="shared" si="28"/>
        <v>0.7</v>
      </c>
      <c r="R128" s="177">
        <f t="shared" si="29"/>
        <v>0.56274230463357322</v>
      </c>
      <c r="S128" s="921">
        <f t="shared" si="30"/>
        <v>0</v>
      </c>
      <c r="T128" s="176">
        <f t="shared" si="31"/>
        <v>6</v>
      </c>
      <c r="U128" s="251">
        <f t="shared" si="32"/>
        <v>0.56274230463357322</v>
      </c>
      <c r="V128" s="383">
        <f t="shared" si="33"/>
        <v>50.16268173723482</v>
      </c>
      <c r="W128" s="402">
        <f t="shared" si="34"/>
        <v>23.051598227071988</v>
      </c>
      <c r="X128" s="157">
        <f t="shared" si="35"/>
        <v>45040</v>
      </c>
      <c r="Y128" s="385">
        <f t="shared" si="36"/>
        <v>22.03119066916847</v>
      </c>
      <c r="Z128" s="385">
        <f t="shared" si="37"/>
        <v>22.915614861993365</v>
      </c>
      <c r="AA128" s="386">
        <f t="shared" si="38"/>
        <v>26.892779209489564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0.14788967389777216</v>
      </c>
      <c r="AD128" s="231">
        <f>(INDEX(Models!$BJ128:$BT128,,AH128)*(1-AF128)+INDEX(Models!$BJ128:$BT128,,AH128+1)*AF128-ERP_i)*AE128*Ramure*Pc/MaxiM</f>
        <v>8.3106294786252548E-4</v>
      </c>
      <c r="AE128" s="305">
        <f t="shared" si="40"/>
        <v>0.7</v>
      </c>
      <c r="AF128" s="177">
        <f t="shared" si="41"/>
        <v>0.56274230463357322</v>
      </c>
      <c r="AG128" s="921">
        <f t="shared" si="49"/>
        <v>0</v>
      </c>
      <c r="AH128" s="176">
        <f t="shared" si="42"/>
        <v>6</v>
      </c>
      <c r="AI128" s="225">
        <f t="shared" si="43"/>
        <v>0.56274230463357322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43.718891390236166</v>
      </c>
      <c r="C129" s="955"/>
      <c r="D129" s="393">
        <f t="shared" si="25"/>
        <v>45.474946669922424</v>
      </c>
      <c r="E129" s="385">
        <f t="shared" si="47"/>
        <v>51.010507542725783</v>
      </c>
      <c r="F129" s="385">
        <f t="shared" si="26"/>
        <v>51.047200762757157</v>
      </c>
      <c r="G129" s="110">
        <f t="shared" si="48"/>
        <v>0.87007256792996757</v>
      </c>
      <c r="H129" s="414" t="b">
        <f>Wh_hp&gt;='2022'!Maxi_hp</f>
        <v>0</v>
      </c>
      <c r="I129" s="390">
        <f>IF(H129,Wh_hp,'2022'!Maxi_hp)</f>
        <v>55.415664195239167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3.8615884311695714E-2</v>
      </c>
      <c r="M129" s="959"/>
      <c r="N129" s="959"/>
      <c r="O129" s="48">
        <f>IF(t&lt;Tnet,'2022'!Resal+('2022'!Salim-'2022'!Resal)*(1-EXP(('2022'!Tnet-t)/('2022'!Tau_j))),Resal+(Salim-Resal)*(1-EXP((Tnet-t)/(Tau_j))))*Salcycl</f>
        <v>0.10851805126947307</v>
      </c>
      <c r="P129" s="169">
        <f>(INDEX(Models!$BJ129:$BT129,,T129)*(1-R129)+INDEX(Models!$BJ129:$BT129,,T129+1)*R129-ERP_i)*Q129*Ramure*Pc/MaxiM</f>
        <v>8.8241577398740748E-4</v>
      </c>
      <c r="Q129" s="305">
        <f t="shared" si="28"/>
        <v>0.7</v>
      </c>
      <c r="R129" s="177">
        <f t="shared" si="29"/>
        <v>0.56505314613853908</v>
      </c>
      <c r="S129" s="921">
        <f t="shared" si="30"/>
        <v>0</v>
      </c>
      <c r="T129" s="176">
        <f t="shared" si="31"/>
        <v>6</v>
      </c>
      <c r="U129" s="251">
        <f t="shared" si="32"/>
        <v>0.56505314613853908</v>
      </c>
      <c r="V129" s="383">
        <f t="shared" si="33"/>
        <v>50.239181394192869</v>
      </c>
      <c r="W129" s="402">
        <f t="shared" si="34"/>
        <v>43.718891390236166</v>
      </c>
      <c r="X129" s="157">
        <f t="shared" si="35"/>
        <v>45041</v>
      </c>
      <c r="Y129" s="385">
        <f t="shared" si="36"/>
        <v>41.784345374492489</v>
      </c>
      <c r="Z129" s="385">
        <f t="shared" si="37"/>
        <v>43.462695807676134</v>
      </c>
      <c r="AA129" s="386">
        <f t="shared" si="38"/>
        <v>51.010507542725783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0.14796582309493175</v>
      </c>
      <c r="AD129" s="231">
        <f>(INDEX(Models!$BJ129:$BT129,,AH129)*(1-AF129)+INDEX(Models!$BJ129:$BT129,,AH129+1)*AF129-ERP_i)*AE129*Ramure*Pc/MaxiM</f>
        <v>8.8241577398740748E-4</v>
      </c>
      <c r="AE129" s="305">
        <f t="shared" si="40"/>
        <v>0.7</v>
      </c>
      <c r="AF129" s="177">
        <f t="shared" si="41"/>
        <v>0.56505314613853908</v>
      </c>
      <c r="AG129" s="921">
        <f t="shared" si="49"/>
        <v>0</v>
      </c>
      <c r="AH129" s="176">
        <f t="shared" si="42"/>
        <v>6</v>
      </c>
      <c r="AI129" s="225">
        <f t="shared" si="43"/>
        <v>0.56505314613853908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48.89482306174596</v>
      </c>
      <c r="C130" s="955"/>
      <c r="D130" s="393">
        <f t="shared" si="25"/>
        <v>50.85989378169166</v>
      </c>
      <c r="E130" s="385">
        <f t="shared" si="47"/>
        <v>57.057138724735836</v>
      </c>
      <c r="F130" s="385">
        <f t="shared" si="26"/>
        <v>57.108504978481221</v>
      </c>
      <c r="G130" s="110">
        <f t="shared" si="48"/>
        <v>0.97180418460114126</v>
      </c>
      <c r="H130" s="414" t="b">
        <f>Wh_hp&gt;='2022'!Maxi_hp</f>
        <v>0</v>
      </c>
      <c r="I130" s="390">
        <f>IF(H130,Wh_hp,'2022'!Maxi_hp)</f>
        <v>57.1090988007223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3.8636941091156562E-2</v>
      </c>
      <c r="M130" s="959"/>
      <c r="N130" s="959"/>
      <c r="O130" s="48">
        <f>IF(t&lt;Tnet,'2022'!Resal+('2022'!Salim-'2022'!Resal)*(1-EXP(('2022'!Tnet-t)/('2022'!Tau_j))),Resal+(Salim-Resal)*(1-EXP((Tnet-t)/(Tau_j))))*Salcycl</f>
        <v>0.10861471643262575</v>
      </c>
      <c r="P130" s="169">
        <f>(INDEX(Models!$BJ130:$BT130,,T130)*(1-R130)+INDEX(Models!$BJ130:$BT130,,T130+1)*R130-ERP_i)*Q130*Ramure*Pc/MaxiM</f>
        <v>9.3714918479277285E-4</v>
      </c>
      <c r="Q130" s="305">
        <f t="shared" si="28"/>
        <v>0.7</v>
      </c>
      <c r="R130" s="177">
        <f t="shared" si="29"/>
        <v>0.56743510291639798</v>
      </c>
      <c r="S130" s="921">
        <f t="shared" si="30"/>
        <v>0</v>
      </c>
      <c r="T130" s="176">
        <f t="shared" si="31"/>
        <v>6</v>
      </c>
      <c r="U130" s="251">
        <f t="shared" si="32"/>
        <v>0.56743510291639798</v>
      </c>
      <c r="V130" s="383">
        <f t="shared" si="33"/>
        <v>50.311553386716312</v>
      </c>
      <c r="W130" s="402">
        <f t="shared" si="34"/>
        <v>48.89482306174596</v>
      </c>
      <c r="X130" s="157">
        <f t="shared" si="35"/>
        <v>45042</v>
      </c>
      <c r="Y130" s="385">
        <f t="shared" si="36"/>
        <v>46.732020540395268</v>
      </c>
      <c r="Z130" s="385">
        <f t="shared" si="37"/>
        <v>48.610168767496198</v>
      </c>
      <c r="AA130" s="386">
        <f t="shared" si="38"/>
        <v>57.057138724735836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0.14804405103436502</v>
      </c>
      <c r="AD130" s="231">
        <f>(INDEX(Models!$BJ130:$BT130,,AH130)*(1-AF130)+INDEX(Models!$BJ130:$BT130,,AH130+1)*AF130-ERP_i)*AE130*Ramure*Pc/MaxiM</f>
        <v>9.3714918479277285E-4</v>
      </c>
      <c r="AE130" s="305">
        <f t="shared" si="40"/>
        <v>0.7</v>
      </c>
      <c r="AF130" s="177">
        <f t="shared" si="41"/>
        <v>0.56743510291639798</v>
      </c>
      <c r="AG130" s="921">
        <f t="shared" si="49"/>
        <v>0</v>
      </c>
      <c r="AH130" s="176">
        <f t="shared" si="42"/>
        <v>6</v>
      </c>
      <c r="AI130" s="225">
        <f t="shared" si="43"/>
        <v>0.56743510291639798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36.039893744862574</v>
      </c>
      <c r="C131" s="955"/>
      <c r="D131" s="393">
        <f t="shared" si="25"/>
        <v>37.489149176613452</v>
      </c>
      <c r="E131" s="385">
        <f t="shared" si="47"/>
        <v>42.061810670296467</v>
      </c>
      <c r="F131" s="385">
        <f t="shared" si="26"/>
        <v>42.086667601889644</v>
      </c>
      <c r="G131" s="110">
        <f t="shared" si="48"/>
        <v>0.71507565152081354</v>
      </c>
      <c r="H131" s="414" t="b">
        <f>Wh_hp&gt;='2022'!Maxi_hp</f>
        <v>0</v>
      </c>
      <c r="I131" s="390">
        <f>IF(H131,Wh_hp,'2022'!Maxi_hp)</f>
        <v>42.091220919554068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3.8657997409419886E-2</v>
      </c>
      <c r="M131" s="959"/>
      <c r="N131" s="959"/>
      <c r="O131" s="48">
        <f>IF(t&lt;Tnet,'2022'!Resal+('2022'!Salim-'2022'!Resal)*(1-EXP(('2022'!Tnet-t)/('2022'!Tau_j))),Resal+(Salim-Resal)*(1-EXP((Tnet-t)/(Tau_j))))*Salcycl</f>
        <v>0.10871290181789935</v>
      </c>
      <c r="P131" s="169">
        <f>(INDEX(Models!$BJ131:$BT131,,T131)*(1-R131)+INDEX(Models!$BJ131:$BT131,,T131+1)*R131-ERP_i)*Q131*Ramure*Pc/MaxiM</f>
        <v>9.9533838638784611E-4</v>
      </c>
      <c r="Q131" s="305">
        <f t="shared" si="28"/>
        <v>0.7</v>
      </c>
      <c r="R131" s="177">
        <f t="shared" si="29"/>
        <v>0.56988940390353293</v>
      </c>
      <c r="S131" s="921">
        <f t="shared" si="30"/>
        <v>0</v>
      </c>
      <c r="T131" s="176">
        <f t="shared" si="31"/>
        <v>6</v>
      </c>
      <c r="U131" s="251">
        <f t="shared" si="32"/>
        <v>0.56988940390353293</v>
      </c>
      <c r="V131" s="383">
        <f t="shared" si="33"/>
        <v>50.379702884837293</v>
      </c>
      <c r="W131" s="402">
        <f t="shared" si="34"/>
        <v>36.039893744862574</v>
      </c>
      <c r="X131" s="157">
        <f t="shared" si="35"/>
        <v>45043</v>
      </c>
      <c r="Y131" s="385">
        <f t="shared" si="36"/>
        <v>34.446260827358572</v>
      </c>
      <c r="Z131" s="385">
        <f t="shared" si="37"/>
        <v>35.831432242151465</v>
      </c>
      <c r="AA131" s="386">
        <f t="shared" si="38"/>
        <v>42.061810670296467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0.14812435149266684</v>
      </c>
      <c r="AD131" s="231">
        <f>(INDEX(Models!$BJ131:$BT131,,AH131)*(1-AF131)+INDEX(Models!$BJ131:$BT131,,AH131+1)*AF131-ERP_i)*AE131*Ramure*Pc/MaxiM</f>
        <v>9.9533838638784611E-4</v>
      </c>
      <c r="AE131" s="305">
        <f t="shared" si="40"/>
        <v>0.7</v>
      </c>
      <c r="AF131" s="177">
        <f t="shared" si="41"/>
        <v>0.56988940390353293</v>
      </c>
      <c r="AG131" s="921">
        <f t="shared" si="49"/>
        <v>0</v>
      </c>
      <c r="AH131" s="176">
        <f t="shared" si="42"/>
        <v>6</v>
      </c>
      <c r="AI131" s="225">
        <f t="shared" si="43"/>
        <v>0.56988940390353293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19.382390015159906</v>
      </c>
      <c r="C132" s="955"/>
      <c r="D132" s="393">
        <f t="shared" si="25"/>
        <v>20.162246626394442</v>
      </c>
      <c r="E132" s="385">
        <f t="shared" si="47"/>
        <v>22.624025725763317</v>
      </c>
      <c r="F132" s="385">
        <f t="shared" si="26"/>
        <v>22.626904070707027</v>
      </c>
      <c r="G132" s="110">
        <f t="shared" si="48"/>
        <v>0.38388199527742117</v>
      </c>
      <c r="H132" s="414" t="b">
        <f>Wh_hp&gt;='2022'!Maxi_hp</f>
        <v>0</v>
      </c>
      <c r="I132" s="390">
        <f>IF(H132,Wh_hp,'2022'!Maxi_hp)</f>
        <v>44.927139058198264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3.8679053266495789E-2</v>
      </c>
      <c r="M132" s="959"/>
      <c r="N132" s="959"/>
      <c r="O132" s="48">
        <f>IF(t&lt;Tnet,'2022'!Resal+('2022'!Salim-'2022'!Resal)*(1-EXP(('2022'!Tnet-t)/('2022'!Tau_j))),Resal+(Salim-Resal)*(1-EXP((Tnet-t)/(Tau_j))))*Salcycl</f>
        <v>0.10881260166556046</v>
      </c>
      <c r="P132" s="169">
        <f>(INDEX(Models!$BJ132:$BT132,,T132)*(1-R132)+INDEX(Models!$BJ132:$BT132,,T132+1)*R132-ERP_i)*Q132*Ramure*Pc/MaxiM</f>
        <v>1.0570629565339802E-3</v>
      </c>
      <c r="Q132" s="305">
        <f t="shared" si="28"/>
        <v>0.7</v>
      </c>
      <c r="R132" s="177">
        <f t="shared" si="29"/>
        <v>0.57241722794641026</v>
      </c>
      <c r="S132" s="921">
        <f t="shared" si="30"/>
        <v>0</v>
      </c>
      <c r="T132" s="176">
        <f t="shared" si="31"/>
        <v>6</v>
      </c>
      <c r="U132" s="251">
        <f t="shared" si="32"/>
        <v>0.57241722794641026</v>
      </c>
      <c r="V132" s="383">
        <f t="shared" si="33"/>
        <v>50.443535168673357</v>
      </c>
      <c r="W132" s="402">
        <f t="shared" si="34"/>
        <v>19.382390015159906</v>
      </c>
      <c r="X132" s="157">
        <f t="shared" si="35"/>
        <v>45044</v>
      </c>
      <c r="Y132" s="385">
        <f t="shared" si="36"/>
        <v>18.525609433663409</v>
      </c>
      <c r="Z132" s="385">
        <f t="shared" si="37"/>
        <v>19.270993206391712</v>
      </c>
      <c r="AA132" s="386">
        <f t="shared" si="38"/>
        <v>22.624025725763317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0.14820671440243768</v>
      </c>
      <c r="AD132" s="231">
        <f>(INDEX(Models!$BJ132:$BT132,,AH132)*(1-AF132)+INDEX(Models!$BJ132:$BT132,,AH132+1)*AF132-ERP_i)*AE132*Ramure*Pc/MaxiM</f>
        <v>1.0570629565339802E-3</v>
      </c>
      <c r="AE132" s="305">
        <f t="shared" si="40"/>
        <v>0.7</v>
      </c>
      <c r="AF132" s="177">
        <f t="shared" si="41"/>
        <v>0.57241722794641026</v>
      </c>
      <c r="AG132" s="921">
        <f t="shared" si="49"/>
        <v>0</v>
      </c>
      <c r="AH132" s="176">
        <f t="shared" si="42"/>
        <v>6</v>
      </c>
      <c r="AI132" s="225">
        <f t="shared" si="43"/>
        <v>0.57241722794641026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39.238411091862567</v>
      </c>
      <c r="C133" s="955"/>
      <c r="D133" s="393">
        <f t="shared" si="25"/>
        <v>40.818075030950105</v>
      </c>
      <c r="E133" s="385">
        <f t="shared" si="47"/>
        <v>45.807100777053456</v>
      </c>
      <c r="F133" s="385">
        <f t="shared" si="26"/>
        <v>45.842159226069349</v>
      </c>
      <c r="G133" s="110">
        <f t="shared" si="48"/>
        <v>0.77667468225824499</v>
      </c>
      <c r="H133" s="414" t="b">
        <f>Wh_hp&gt;='2022'!Maxi_hp</f>
        <v>0</v>
      </c>
      <c r="I133" s="390">
        <f>IF(H133,Wh_hp,'2022'!Maxi_hp)</f>
        <v>53.012856919854819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3.8700108662394483E-2</v>
      </c>
      <c r="M133" s="959"/>
      <c r="N133" s="959"/>
      <c r="O133" s="48">
        <f>IF(t&lt;Tnet,'2022'!Resal+('2022'!Salim-'2022'!Resal)*(1-EXP(('2022'!Tnet-t)/('2022'!Tau_j))),Resal+(Salim-Resal)*(1-EXP((Tnet-t)/(Tau_j))))*Salcycl</f>
        <v>0.10891380728034514</v>
      </c>
      <c r="P133" s="169">
        <f>(INDEX(Models!$BJ133:$BT133,,T133)*(1-R133)+INDEX(Models!$BJ133:$BT133,,T133+1)*R133-ERP_i)*Q133*Ramure*Pc/MaxiM</f>
        <v>1.122406832616038E-3</v>
      </c>
      <c r="Q133" s="305">
        <f t="shared" si="28"/>
        <v>0.7</v>
      </c>
      <c r="R133" s="177">
        <f t="shared" si="29"/>
        <v>0.57501969770754235</v>
      </c>
      <c r="S133" s="921">
        <f t="shared" si="30"/>
        <v>0</v>
      </c>
      <c r="T133" s="176">
        <f t="shared" si="31"/>
        <v>6</v>
      </c>
      <c r="U133" s="251">
        <f t="shared" si="32"/>
        <v>0.57501969770754235</v>
      </c>
      <c r="V133" s="383">
        <f t="shared" si="33"/>
        <v>50.502955644935149</v>
      </c>
      <c r="W133" s="402">
        <f t="shared" si="34"/>
        <v>39.238411091862567</v>
      </c>
      <c r="X133" s="157">
        <f t="shared" si="35"/>
        <v>45045</v>
      </c>
      <c r="Y133" s="385">
        <f t="shared" si="36"/>
        <v>37.504456036556327</v>
      </c>
      <c r="Z133" s="385">
        <f t="shared" si="37"/>
        <v>39.014314236913691</v>
      </c>
      <c r="AA133" s="386">
        <f t="shared" si="38"/>
        <v>45.807100777053456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0.14829112571871253</v>
      </c>
      <c r="AD133" s="231">
        <f>(INDEX(Models!$BJ133:$BT133,,AH133)*(1-AF133)+INDEX(Models!$BJ133:$BT133,,AH133+1)*AF133-ERP_i)*AE133*Ramure*Pc/MaxiM</f>
        <v>1.122406832616038E-3</v>
      </c>
      <c r="AE133" s="305">
        <f t="shared" si="40"/>
        <v>0.7</v>
      </c>
      <c r="AF133" s="177">
        <f t="shared" si="41"/>
        <v>0.57501969770754235</v>
      </c>
      <c r="AG133" s="921">
        <f t="shared" si="49"/>
        <v>0</v>
      </c>
      <c r="AH133" s="176">
        <f t="shared" si="42"/>
        <v>6</v>
      </c>
      <c r="AI133" s="225">
        <f t="shared" si="43"/>
        <v>0.57501969770754235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38.260665717325246</v>
      </c>
      <c r="C134" s="955"/>
      <c r="D134" s="393">
        <f t="shared" si="25"/>
        <v>39.801839246245628</v>
      </c>
      <c r="E134" s="385">
        <f t="shared" si="47"/>
        <v>44.671803188071316</v>
      </c>
      <c r="F134" s="385">
        <f t="shared" si="26"/>
        <v>44.706560756287082</v>
      </c>
      <c r="G134" s="110">
        <f t="shared" si="48"/>
        <v>0.75645618876966292</v>
      </c>
      <c r="H134" s="414" t="b">
        <f>Wh_hp&gt;='2022'!Maxi_hp</f>
        <v>0</v>
      </c>
      <c r="I134" s="390">
        <f>IF(H134,Wh_hp,'2022'!Maxi_hp)</f>
        <v>59.629748537925202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3.8721163597125852E-2</v>
      </c>
      <c r="M134" s="959"/>
      <c r="N134" s="959"/>
      <c r="O134" s="48">
        <f>IF(t&lt;Tnet,'2022'!Resal+('2022'!Salim-'2022'!Resal)*(1-EXP(('2022'!Tnet-t)/('2022'!Tau_j))),Resal+(Salim-Resal)*(1-EXP((Tnet-t)/(Tau_j))))*Salcycl</f>
        <v>0.10901650692994877</v>
      </c>
      <c r="P134" s="169">
        <f>(INDEX(Models!$BJ134:$BT134,,T134)*(1-R134)+INDEX(Models!$BJ134:$BT134,,T134+1)*R134-ERP_i)*Q134*Ramure*Pc/MaxiM</f>
        <v>1.191458289958596E-3</v>
      </c>
      <c r="Q134" s="305">
        <f t="shared" si="28"/>
        <v>0.7</v>
      </c>
      <c r="R134" s="177">
        <f t="shared" si="29"/>
        <v>0.57769787336482148</v>
      </c>
      <c r="S134" s="921">
        <f t="shared" si="30"/>
        <v>0</v>
      </c>
      <c r="T134" s="176">
        <f t="shared" si="31"/>
        <v>6</v>
      </c>
      <c r="U134" s="251">
        <f t="shared" si="32"/>
        <v>0.57769787336482148</v>
      </c>
      <c r="V134" s="383">
        <f t="shared" si="33"/>
        <v>50.55786986106552</v>
      </c>
      <c r="W134" s="402">
        <f t="shared" si="34"/>
        <v>38.260665717325246</v>
      </c>
      <c r="X134" s="157">
        <f t="shared" si="35"/>
        <v>45046</v>
      </c>
      <c r="Y134" s="385">
        <f t="shared" si="36"/>
        <v>36.570420741578204</v>
      </c>
      <c r="Z134" s="385">
        <f t="shared" si="37"/>
        <v>38.04350970466124</v>
      </c>
      <c r="AA134" s="386">
        <f t="shared" si="38"/>
        <v>44.671803188071316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0.14837756728790436</v>
      </c>
      <c r="AD134" s="231">
        <f>(INDEX(Models!$BJ134:$BT134,,AH134)*(1-AF134)+INDEX(Models!$BJ134:$BT134,,AH134+1)*AF134-ERP_i)*AE134*Ramure*Pc/MaxiM</f>
        <v>1.191458289958596E-3</v>
      </c>
      <c r="AE134" s="305">
        <f t="shared" si="40"/>
        <v>0.7</v>
      </c>
      <c r="AF134" s="177">
        <f t="shared" si="41"/>
        <v>0.57769787336482148</v>
      </c>
      <c r="AG134" s="921">
        <f t="shared" si="49"/>
        <v>0</v>
      </c>
      <c r="AH134" s="176">
        <f t="shared" si="42"/>
        <v>6</v>
      </c>
      <c r="AI134" s="225">
        <f t="shared" si="43"/>
        <v>0.57769787336482148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42.825600972244231</v>
      </c>
      <c r="C135" s="955"/>
      <c r="D135" s="393">
        <f t="shared" si="25"/>
        <v>44.551629934574656</v>
      </c>
      <c r="E135" s="385">
        <f t="shared" si="47"/>
        <v>50.008602985569681</v>
      </c>
      <c r="F135" s="385">
        <f t="shared" si="26"/>
        <v>50.057988966338534</v>
      </c>
      <c r="G135" s="110">
        <f t="shared" si="48"/>
        <v>0.84598979416576547</v>
      </c>
      <c r="H135" s="414" t="b">
        <f>Wh_hp&gt;='2022'!Maxi_hp</f>
        <v>0</v>
      </c>
      <c r="I135" s="390">
        <f>IF(H135,Wh_hp,'2022'!Maxi_hp)</f>
        <v>57.486763345827086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3.8742218070700218E-2</v>
      </c>
      <c r="M135" s="959"/>
      <c r="N135" s="959"/>
      <c r="O135" s="48">
        <f>IF(t&lt;Tnet,'2022'!Resal+('2022'!Salim-'2022'!Resal)*(1-EXP(('2022'!Tnet-t)/('2022'!Tau_j))),Resal+(Salim-Resal)*(1-EXP((Tnet-t)/(Tau_j))))*Salcycl</f>
        <v>0.10912068574620394</v>
      </c>
      <c r="P135" s="169">
        <f>(INDEX(Models!$BJ135:$BT135,,T135)*(1-R135)+INDEX(Models!$BJ135:$BT135,,T135+1)*R135-ERP_i)*Q135*Ramure*Pc/MaxiM</f>
        <v>1.2643191141452844E-3</v>
      </c>
      <c r="Q135" s="305">
        <f t="shared" si="28"/>
        <v>0.7</v>
      </c>
      <c r="R135" s="177">
        <f t="shared" si="29"/>
        <v>0.58045274612288145</v>
      </c>
      <c r="S135" s="921">
        <f t="shared" si="30"/>
        <v>0</v>
      </c>
      <c r="T135" s="176">
        <f t="shared" si="31"/>
        <v>6</v>
      </c>
      <c r="U135" s="251">
        <f t="shared" si="32"/>
        <v>0.58045274612288145</v>
      </c>
      <c r="V135" s="383">
        <f t="shared" si="33"/>
        <v>50.607814633010371</v>
      </c>
      <c r="W135" s="402">
        <f t="shared" si="34"/>
        <v>42.825600972244231</v>
      </c>
      <c r="X135" s="157">
        <f t="shared" si="35"/>
        <v>45047</v>
      </c>
      <c r="Y135" s="385">
        <f t="shared" si="36"/>
        <v>40.934225319589771</v>
      </c>
      <c r="Z135" s="385">
        <f t="shared" si="37"/>
        <v>42.584024898537017</v>
      </c>
      <c r="AA135" s="386">
        <f t="shared" si="38"/>
        <v>50.008602985569681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0.14846601672066451</v>
      </c>
      <c r="AD135" s="231">
        <f>(INDEX(Models!$BJ135:$BT135,,AH135)*(1-AF135)+INDEX(Models!$BJ135:$BT135,,AH135+1)*AF135-ERP_i)*AE135*Ramure*Pc/MaxiM</f>
        <v>1.2643191141452844E-3</v>
      </c>
      <c r="AE135" s="305">
        <f t="shared" si="40"/>
        <v>0.7</v>
      </c>
      <c r="AF135" s="177">
        <f t="shared" si="41"/>
        <v>0.58045274612288145</v>
      </c>
      <c r="AG135" s="921">
        <f t="shared" si="49"/>
        <v>0</v>
      </c>
      <c r="AH135" s="176">
        <f t="shared" si="42"/>
        <v>6</v>
      </c>
      <c r="AI135" s="225">
        <f t="shared" si="43"/>
        <v>0.58045274612288145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25.08569230726853</v>
      </c>
      <c r="C136" s="955"/>
      <c r="D136" s="393">
        <f t="shared" si="25"/>
        <v>26.0973094126694</v>
      </c>
      <c r="E136" s="385">
        <f t="shared" si="47"/>
        <v>29.297351463746846</v>
      </c>
      <c r="F136" s="385">
        <f t="shared" si="26"/>
        <v>29.308322626681154</v>
      </c>
      <c r="G136" s="110">
        <f t="shared" si="48"/>
        <v>0.49477114397648397</v>
      </c>
      <c r="H136" s="414" t="b">
        <f>Wh_hp&gt;='2022'!Maxi_hp</f>
        <v>0</v>
      </c>
      <c r="I136" s="390">
        <f>IF(H136,Wh_hp,'2022'!Maxi_hp)</f>
        <v>52.039309618554178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3.8763272083127576E-2</v>
      </c>
      <c r="M136" s="959"/>
      <c r="N136" s="959"/>
      <c r="O136" s="48">
        <f>IF(t&lt;Tnet,'2022'!Resal+('2022'!Salim-'2022'!Resal)*(1-EXP(('2022'!Tnet-t)/('2022'!Tau_j))),Resal+(Salim-Resal)*(1-EXP((Tnet-t)/(Tau_j))))*Salcycl</f>
        <v>0.10922632563005721</v>
      </c>
      <c r="P136" s="169">
        <f>(INDEX(Models!$BJ136:$BT136,,T136)*(1-R136)+INDEX(Models!$BJ136:$BT136,,T136+1)*R136-ERP_i)*Q136*Ramure*Pc/MaxiM</f>
        <v>1.3420460044442318E-3</v>
      </c>
      <c r="Q136" s="305">
        <f t="shared" si="28"/>
        <v>0.7</v>
      </c>
      <c r="R136" s="177">
        <f t="shared" si="29"/>
        <v>0.58328523155831657</v>
      </c>
      <c r="S136" s="921">
        <f t="shared" si="30"/>
        <v>0</v>
      </c>
      <c r="T136" s="176">
        <f t="shared" si="31"/>
        <v>6</v>
      </c>
      <c r="U136" s="251">
        <f t="shared" si="32"/>
        <v>0.58328523155831657</v>
      </c>
      <c r="V136" s="383">
        <f t="shared" si="33"/>
        <v>50.652524603722682</v>
      </c>
      <c r="W136" s="402">
        <f t="shared" si="34"/>
        <v>25.08569230726853</v>
      </c>
      <c r="X136" s="157">
        <f t="shared" si="35"/>
        <v>45048</v>
      </c>
      <c r="Y136" s="385">
        <f t="shared" si="36"/>
        <v>23.97808960384457</v>
      </c>
      <c r="Z136" s="385">
        <f t="shared" si="37"/>
        <v>24.945041015867414</v>
      </c>
      <c r="AA136" s="386">
        <f t="shared" si="38"/>
        <v>29.297351463746846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0.14855644727015932</v>
      </c>
      <c r="AD136" s="231">
        <f>(INDEX(Models!$BJ136:$BT136,,AH136)*(1-AF136)+INDEX(Models!$BJ136:$BT136,,AH136+1)*AF136-ERP_i)*AE136*Ramure*Pc/MaxiM</f>
        <v>1.3420460044442318E-3</v>
      </c>
      <c r="AE136" s="305">
        <f t="shared" si="40"/>
        <v>0.7</v>
      </c>
      <c r="AF136" s="177">
        <f t="shared" si="41"/>
        <v>0.58328523155831657</v>
      </c>
      <c r="AG136" s="921">
        <f t="shared" si="49"/>
        <v>0</v>
      </c>
      <c r="AH136" s="176">
        <f t="shared" si="42"/>
        <v>6</v>
      </c>
      <c r="AI136" s="225">
        <f t="shared" si="43"/>
        <v>0.58328523155831657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28.651106863483342</v>
      </c>
      <c r="C137" s="955"/>
      <c r="D137" s="393">
        <f t="shared" si="25"/>
        <v>29.807157360800986</v>
      </c>
      <c r="E137" s="385">
        <f t="shared" si="47"/>
        <v>33.46612249020788</v>
      </c>
      <c r="F137" s="385">
        <f t="shared" si="26"/>
        <v>33.484172966885041</v>
      </c>
      <c r="G137" s="110">
        <f t="shared" si="48"/>
        <v>0.56469586908990677</v>
      </c>
      <c r="H137" s="414" t="b">
        <f>Wh_hp&gt;='2022'!Maxi_hp</f>
        <v>0</v>
      </c>
      <c r="I137" s="390">
        <f>IF(H137,Wh_hp,'2022'!Maxi_hp)</f>
        <v>59.632265422182535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3.8784325634417915E-2</v>
      </c>
      <c r="M137" s="959"/>
      <c r="N137" s="959"/>
      <c r="O137" s="48">
        <f>IF(t&lt;Tnet,'2022'!Resal+('2022'!Salim-'2022'!Resal)*(1-EXP(('2022'!Tnet-t)/('2022'!Tau_j))),Resal+(Salim-Resal)*(1-EXP((Tnet-t)/(Tau_j))))*Salcycl</f>
        <v>0.10933340516151822</v>
      </c>
      <c r="P137" s="169">
        <f>(INDEX(Models!$BJ137:$BT137,,T137)*(1-R137)+INDEX(Models!$BJ137:$BT137,,T137+1)*R137-ERP_i)*Q137*Ramure*Pc/MaxiM</f>
        <v>1.4229206637713287E-3</v>
      </c>
      <c r="Q137" s="305">
        <f t="shared" si="28"/>
        <v>0.7</v>
      </c>
      <c r="R137" s="177">
        <f t="shared" si="29"/>
        <v>0.58619616282388032</v>
      </c>
      <c r="S137" s="921">
        <f t="shared" si="30"/>
        <v>0</v>
      </c>
      <c r="T137" s="176">
        <f t="shared" si="31"/>
        <v>6</v>
      </c>
      <c r="U137" s="251">
        <f t="shared" si="32"/>
        <v>0.58619616282388032</v>
      </c>
      <c r="V137" s="383">
        <f t="shared" si="33"/>
        <v>50.692366656241134</v>
      </c>
      <c r="W137" s="402">
        <f t="shared" si="34"/>
        <v>28.651106863483342</v>
      </c>
      <c r="X137" s="157">
        <f t="shared" si="35"/>
        <v>45049</v>
      </c>
      <c r="Y137" s="385">
        <f t="shared" si="36"/>
        <v>27.386402001352227</v>
      </c>
      <c r="Z137" s="385">
        <f t="shared" si="37"/>
        <v>28.491422613793411</v>
      </c>
      <c r="AA137" s="386">
        <f t="shared" si="38"/>
        <v>33.46612249020788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0.14864882771734481</v>
      </c>
      <c r="AD137" s="231">
        <f>(INDEX(Models!$BJ137:$BT137,,AH137)*(1-AF137)+INDEX(Models!$BJ137:$BT137,,AH137+1)*AF137-ERP_i)*AE137*Ramure*Pc/MaxiM</f>
        <v>1.4229206637713287E-3</v>
      </c>
      <c r="AE137" s="305">
        <f t="shared" si="40"/>
        <v>0.7</v>
      </c>
      <c r="AF137" s="177">
        <f t="shared" si="41"/>
        <v>0.58619616282388032</v>
      </c>
      <c r="AG137" s="921">
        <f t="shared" si="49"/>
        <v>0</v>
      </c>
      <c r="AH137" s="176">
        <f t="shared" si="42"/>
        <v>6</v>
      </c>
      <c r="AI137" s="225">
        <f t="shared" si="43"/>
        <v>0.58619616282388032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16.898531649558876</v>
      </c>
      <c r="C138" s="955"/>
      <c r="D138" s="393">
        <f t="shared" si="25"/>
        <v>17.580759687498094</v>
      </c>
      <c r="E138" s="385">
        <f t="shared" si="47"/>
        <v>19.741283222217053</v>
      </c>
      <c r="F138" s="385">
        <f t="shared" si="26"/>
        <v>19.742691073779813</v>
      </c>
      <c r="G138" s="110">
        <f t="shared" si="48"/>
        <v>0.33264461389263611</v>
      </c>
      <c r="H138" s="414" t="b">
        <f>Wh_hp&gt;='2022'!Maxi_hp</f>
        <v>0</v>
      </c>
      <c r="I138" s="390">
        <f>IF(H138,Wh_hp,'2022'!Maxi_hp)</f>
        <v>56.02715044671482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3.8805378724581563E-2</v>
      </c>
      <c r="M138" s="959"/>
      <c r="N138" s="959"/>
      <c r="O138" s="48">
        <f>IF(t&lt;Tnet,'2022'!Resal+('2022'!Salim-'2022'!Resal)*(1-EXP(('2022'!Tnet-t)/('2022'!Tau_j))),Resal+(Salim-Resal)*(1-EXP((Tnet-t)/(Tau_j))))*Salcycl</f>
        <v>0.1094418995158066</v>
      </c>
      <c r="P138" s="169">
        <f>(INDEX(Models!$BJ138:$BT138,,T138)*(1-R138)+INDEX(Models!$BJ138:$BT138,,T138+1)*R138-ERP_i)*Q138*Ramure*Pc/MaxiM</f>
        <v>1.5070233481488012E-3</v>
      </c>
      <c r="Q138" s="305">
        <f t="shared" si="28"/>
        <v>0.7</v>
      </c>
      <c r="R138" s="177">
        <f t="shared" si="29"/>
        <v>0.58918628374017079</v>
      </c>
      <c r="S138" s="921">
        <f t="shared" si="30"/>
        <v>0</v>
      </c>
      <c r="T138" s="176">
        <f t="shared" si="31"/>
        <v>6</v>
      </c>
      <c r="U138" s="251">
        <f t="shared" si="32"/>
        <v>0.58918628374017079</v>
      </c>
      <c r="V138" s="383">
        <f t="shared" si="33"/>
        <v>50.727616703779844</v>
      </c>
      <c r="W138" s="402">
        <f t="shared" si="34"/>
        <v>16.898531649558876</v>
      </c>
      <c r="X138" s="157">
        <f t="shared" si="35"/>
        <v>45050</v>
      </c>
      <c r="Y138" s="385">
        <f t="shared" si="36"/>
        <v>16.152782488296303</v>
      </c>
      <c r="Z138" s="385">
        <f t="shared" si="37"/>
        <v>16.804903118229085</v>
      </c>
      <c r="AA138" s="386">
        <f t="shared" si="38"/>
        <v>19.741283222217053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0.1487431222648857</v>
      </c>
      <c r="AD138" s="231">
        <f>(INDEX(Models!$BJ138:$BT138,,AH138)*(1-AF138)+INDEX(Models!$BJ138:$BT138,,AH138+1)*AF138-ERP_i)*AE138*Ramure*Pc/MaxiM</f>
        <v>1.5070233481488012E-3</v>
      </c>
      <c r="AE138" s="305">
        <f t="shared" si="40"/>
        <v>0.7</v>
      </c>
      <c r="AF138" s="177">
        <f t="shared" si="41"/>
        <v>0.58918628374017079</v>
      </c>
      <c r="AG138" s="921">
        <f t="shared" si="49"/>
        <v>0</v>
      </c>
      <c r="AH138" s="176">
        <f t="shared" si="42"/>
        <v>6</v>
      </c>
      <c r="AI138" s="225">
        <f t="shared" si="43"/>
        <v>0.58918628374017079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35.487913240751872</v>
      </c>
      <c r="C139" s="955"/>
      <c r="D139" s="393">
        <f t="shared" si="25"/>
        <v>36.921441036637937</v>
      </c>
      <c r="E139" s="385">
        <f t="shared" si="47"/>
        <v>41.463883270700201</v>
      </c>
      <c r="F139" s="385">
        <f t="shared" si="26"/>
        <v>41.501615405286508</v>
      </c>
      <c r="G139" s="110">
        <f t="shared" si="48"/>
        <v>0.69867189068307478</v>
      </c>
      <c r="H139" s="414" t="b">
        <f>Wh_hp&gt;='2022'!Maxi_hp</f>
        <v>0</v>
      </c>
      <c r="I139" s="390">
        <f>IF(H139,Wh_hp,'2022'!Maxi_hp)</f>
        <v>58.496922298592779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3.882643135362851E-2</v>
      </c>
      <c r="M139" s="959"/>
      <c r="N139" s="959"/>
      <c r="O139" s="48">
        <f>IF(t&lt;Tnet,'2022'!Resal+('2022'!Salim-'2022'!Resal)*(1-EXP(('2022'!Tnet-t)/('2022'!Tau_j))),Resal+(Salim-Resal)*(1-EXP((Tnet-t)/(Tau_j))))*Salcycl</f>
        <v>0.1095517803869592</v>
      </c>
      <c r="P139" s="169">
        <f>(INDEX(Models!$BJ139:$BT139,,T139)*(1-R139)+INDEX(Models!$BJ139:$BT139,,T139+1)*R139-ERP_i)*Q139*Ramure*Pc/MaxiM</f>
        <v>1.5944346559508837E-3</v>
      </c>
      <c r="Q139" s="305">
        <f t="shared" si="28"/>
        <v>0.7</v>
      </c>
      <c r="R139" s="177">
        <f t="shared" si="29"/>
        <v>0.59225624180674719</v>
      </c>
      <c r="S139" s="921">
        <f t="shared" si="30"/>
        <v>0</v>
      </c>
      <c r="T139" s="176">
        <f t="shared" si="31"/>
        <v>6</v>
      </c>
      <c r="U139" s="251">
        <f t="shared" si="32"/>
        <v>0.59225624180674719</v>
      </c>
      <c r="V139" s="383">
        <f t="shared" si="33"/>
        <v>50.758550710274484</v>
      </c>
      <c r="W139" s="402">
        <f t="shared" si="34"/>
        <v>35.487913240751872</v>
      </c>
      <c r="X139" s="157">
        <f t="shared" si="35"/>
        <v>45051</v>
      </c>
      <c r="Y139" s="385">
        <f t="shared" si="36"/>
        <v>33.922149260827837</v>
      </c>
      <c r="Z139" s="385">
        <f t="shared" si="37"/>
        <v>35.292428305743648</v>
      </c>
      <c r="AA139" s="386">
        <f t="shared" si="38"/>
        <v>41.463883270700201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0.14883929044141211</v>
      </c>
      <c r="AD139" s="231">
        <f>(INDEX(Models!$BJ139:$BT139,,AH139)*(1-AF139)+INDEX(Models!$BJ139:$BT139,,AH139+1)*AF139-ERP_i)*AE139*Ramure*Pc/MaxiM</f>
        <v>1.5944346559508837E-3</v>
      </c>
      <c r="AE139" s="305">
        <f t="shared" si="40"/>
        <v>0.7</v>
      </c>
      <c r="AF139" s="177">
        <f t="shared" si="41"/>
        <v>0.59225624180674719</v>
      </c>
      <c r="AG139" s="921">
        <f t="shared" si="49"/>
        <v>0</v>
      </c>
      <c r="AH139" s="176">
        <f t="shared" si="42"/>
        <v>6</v>
      </c>
      <c r="AI139" s="225">
        <f t="shared" si="43"/>
        <v>0.59225624180674719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33.140683352517001</v>
      </c>
      <c r="C140" s="955"/>
      <c r="D140" s="393">
        <f t="shared" si="25"/>
        <v>34.48015042809358</v>
      </c>
      <c r="E140" s="385">
        <f t="shared" si="47"/>
        <v>38.727078673171853</v>
      </c>
      <c r="F140" s="385">
        <f t="shared" si="26"/>
        <v>38.759977641302669</v>
      </c>
      <c r="G140" s="110">
        <f t="shared" si="48"/>
        <v>0.65201633140662385</v>
      </c>
      <c r="H140" s="414" t="b">
        <f>Wh_hp&gt;='2022'!Maxi_hp</f>
        <v>0</v>
      </c>
      <c r="I140" s="390">
        <f>IF(H140,Wh_hp,'2022'!Maxi_hp)</f>
        <v>61.787025291973102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3.8847483521568749E-2</v>
      </c>
      <c r="M140" s="959"/>
      <c r="N140" s="959"/>
      <c r="O140" s="48">
        <f>IF(t&lt;Tnet,'2022'!Resal+('2022'!Salim-'2022'!Resal)*(1-EXP(('2022'!Tnet-t)/('2022'!Tau_j))),Resal+(Salim-Resal)*(1-EXP((Tnet-t)/(Tau_j))))*Salcycl</f>
        <v>0.10966301592018422</v>
      </c>
      <c r="P140" s="169">
        <f>(INDEX(Models!$BJ140:$BT140,,T140)*(1-R140)+INDEX(Models!$BJ140:$BT140,,T140+1)*R140-ERP_i)*Q140*Ramure*Pc/MaxiM</f>
        <v>1.6852351996817624E-3</v>
      </c>
      <c r="Q140" s="305">
        <f t="shared" si="28"/>
        <v>0.7</v>
      </c>
      <c r="R140" s="177">
        <f t="shared" si="29"/>
        <v>0.59540658116808853</v>
      </c>
      <c r="S140" s="921">
        <f t="shared" si="30"/>
        <v>0</v>
      </c>
      <c r="T140" s="176">
        <f t="shared" si="31"/>
        <v>6</v>
      </c>
      <c r="U140" s="251">
        <f t="shared" si="32"/>
        <v>0.59540658116808853</v>
      </c>
      <c r="V140" s="383">
        <f t="shared" si="33"/>
        <v>50.78544469883407</v>
      </c>
      <c r="W140" s="402">
        <f t="shared" si="34"/>
        <v>33.140683352517001</v>
      </c>
      <c r="X140" s="157">
        <f t="shared" si="35"/>
        <v>45052</v>
      </c>
      <c r="Y140" s="385">
        <f t="shared" si="36"/>
        <v>31.678791725389615</v>
      </c>
      <c r="Z140" s="385">
        <f t="shared" si="37"/>
        <v>32.959172641463404</v>
      </c>
      <c r="AA140" s="386">
        <f t="shared" si="38"/>
        <v>38.727078673171853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0.14893728701783435</v>
      </c>
      <c r="AD140" s="231">
        <f>(INDEX(Models!$BJ140:$BT140,,AH140)*(1-AF140)+INDEX(Models!$BJ140:$BT140,,AH140+1)*AF140-ERP_i)*AE140*Ramure*Pc/MaxiM</f>
        <v>1.6852351996817624E-3</v>
      </c>
      <c r="AE140" s="305">
        <f t="shared" si="40"/>
        <v>0.7</v>
      </c>
      <c r="AF140" s="177">
        <f t="shared" si="41"/>
        <v>0.59540658116808853</v>
      </c>
      <c r="AG140" s="921">
        <f t="shared" si="49"/>
        <v>0</v>
      </c>
      <c r="AH140" s="176">
        <f t="shared" si="42"/>
        <v>6</v>
      </c>
      <c r="AI140" s="225">
        <f t="shared" si="43"/>
        <v>0.59540658116808853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42.881420540826539</v>
      </c>
      <c r="C141" s="955"/>
      <c r="D141" s="393">
        <f t="shared" si="25"/>
        <v>44.615562087562381</v>
      </c>
      <c r="E141" s="385">
        <f t="shared" si="47"/>
        <v>50.117207096138657</v>
      </c>
      <c r="F141" s="385">
        <f t="shared" si="26"/>
        <v>50.186609100727338</v>
      </c>
      <c r="G141" s="110">
        <f t="shared" si="48"/>
        <v>0.84364478415337085</v>
      </c>
      <c r="H141" s="414" t="b">
        <f>Wh_hp&gt;='2022'!Maxi_hp</f>
        <v>0</v>
      </c>
      <c r="I141" s="390">
        <f>IF(H141,Wh_hp,'2022'!Maxi_hp)</f>
        <v>57.268675300754929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3.8868535228412493E-2</v>
      </c>
      <c r="M141" s="959"/>
      <c r="N141" s="959"/>
      <c r="O141" s="48">
        <f>IF(t&lt;Tnet,'2022'!Resal+('2022'!Salim-'2022'!Resal)*(1-EXP(('2022'!Tnet-t)/('2022'!Tau_j))),Resal+(Salim-Resal)*(1-EXP((Tnet-t)/(Tau_j))))*Salcycl</f>
        <v>0.1097755706542585</v>
      </c>
      <c r="P141" s="169">
        <f>(INDEX(Models!$BJ141:$BT141,,T141)*(1-R141)+INDEX(Models!$BJ141:$BT141,,T141+1)*R141-ERP_i)*Q141*Ramure*Pc/MaxiM</f>
        <v>1.779505255101141E-3</v>
      </c>
      <c r="Q141" s="305">
        <f t="shared" si="28"/>
        <v>0.7</v>
      </c>
      <c r="R141" s="177">
        <f t="shared" si="29"/>
        <v>0.59863773557324085</v>
      </c>
      <c r="S141" s="921">
        <f t="shared" si="30"/>
        <v>0</v>
      </c>
      <c r="T141" s="176">
        <f t="shared" si="31"/>
        <v>6</v>
      </c>
      <c r="U141" s="251">
        <f t="shared" si="32"/>
        <v>0.59863773557324085</v>
      </c>
      <c r="V141" s="383">
        <f t="shared" si="33"/>
        <v>50.808574762201253</v>
      </c>
      <c r="W141" s="402">
        <f t="shared" si="34"/>
        <v>42.881420540826539</v>
      </c>
      <c r="X141" s="157">
        <f t="shared" si="35"/>
        <v>45053</v>
      </c>
      <c r="Y141" s="385">
        <f t="shared" si="36"/>
        <v>40.990224946462028</v>
      </c>
      <c r="Z141" s="385">
        <f t="shared" si="37"/>
        <v>42.647885798019672</v>
      </c>
      <c r="AA141" s="386">
        <f t="shared" si="38"/>
        <v>50.117207096138657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0.1490370619374452</v>
      </c>
      <c r="AD141" s="231">
        <f>(INDEX(Models!$BJ141:$BT141,,AH141)*(1-AF141)+INDEX(Models!$BJ141:$BT141,,AH141+1)*AF141-ERP_i)*AE141*Ramure*Pc/MaxiM</f>
        <v>1.779505255101141E-3</v>
      </c>
      <c r="AE141" s="305">
        <f t="shared" si="40"/>
        <v>0.7</v>
      </c>
      <c r="AF141" s="177">
        <f t="shared" si="41"/>
        <v>0.59863773557324085</v>
      </c>
      <c r="AG141" s="921">
        <f t="shared" si="49"/>
        <v>0</v>
      </c>
      <c r="AH141" s="176">
        <f t="shared" si="42"/>
        <v>6</v>
      </c>
      <c r="AI141" s="225">
        <f t="shared" si="43"/>
        <v>0.59863773557324085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44.733324311716899</v>
      </c>
      <c r="C142" s="955"/>
      <c r="D142" s="393">
        <f t="shared" si="25"/>
        <v>46.543376996210938</v>
      </c>
      <c r="E142" s="385">
        <f t="shared" si="47"/>
        <v>52.289431540877032</v>
      </c>
      <c r="F142" s="385">
        <f t="shared" si="26"/>
        <v>52.370909482726873</v>
      </c>
      <c r="G142" s="110">
        <f t="shared" si="48"/>
        <v>0.87980497852178574</v>
      </c>
      <c r="H142" s="414" t="b">
        <f>Wh_hp&gt;='2022'!Maxi_hp</f>
        <v>0</v>
      </c>
      <c r="I142" s="390">
        <f>IF(H142,Wh_hp,'2022'!Maxi_hp)</f>
        <v>59.229596839292704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3.8889586474169957E-2</v>
      </c>
      <c r="M142" s="959"/>
      <c r="N142" s="959"/>
      <c r="O142" s="48">
        <f>IF(t&lt;Tnet,'2022'!Resal+('2022'!Salim-'2022'!Resal)*(1-EXP(('2022'!Tnet-t)/('2022'!Tau_j))),Resal+(Salim-Resal)*(1-EXP((Tnet-t)/(Tau_j))))*Salcycl</f>
        <v>0.10988940547525641</v>
      </c>
      <c r="P142" s="169">
        <f>(INDEX(Models!$BJ142:$BT142,,T142)*(1-R142)+INDEX(Models!$BJ142:$BT142,,T142+1)*R142-ERP_i)*Q142*Ramure*Pc/MaxiM</f>
        <v>1.8773867605463262E-3</v>
      </c>
      <c r="Q142" s="305">
        <f t="shared" si="28"/>
        <v>0.7</v>
      </c>
      <c r="R142" s="177">
        <f t="shared" si="29"/>
        <v>0.60195002137137377</v>
      </c>
      <c r="S142" s="921">
        <f t="shared" si="30"/>
        <v>0</v>
      </c>
      <c r="T142" s="176">
        <f t="shared" si="31"/>
        <v>6</v>
      </c>
      <c r="U142" s="251">
        <f t="shared" si="32"/>
        <v>0.60195002137137377</v>
      </c>
      <c r="V142" s="383">
        <f t="shared" si="33"/>
        <v>50.828213896821595</v>
      </c>
      <c r="W142" s="402">
        <f t="shared" si="34"/>
        <v>44.733324311716899</v>
      </c>
      <c r="X142" s="157">
        <f t="shared" si="35"/>
        <v>45054</v>
      </c>
      <c r="Y142" s="385">
        <f t="shared" si="36"/>
        <v>42.760822039735402</v>
      </c>
      <c r="Z142" s="385">
        <f t="shared" si="37"/>
        <v>44.491061003977144</v>
      </c>
      <c r="AA142" s="386">
        <f t="shared" si="38"/>
        <v>52.289431540877032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0.14913856026152339</v>
      </c>
      <c r="AD142" s="231">
        <f>(INDEX(Models!$BJ142:$BT142,,AH142)*(1-AF142)+INDEX(Models!$BJ142:$BT142,,AH142+1)*AF142-ERP_i)*AE142*Ramure*Pc/MaxiM</f>
        <v>1.8773867605463262E-3</v>
      </c>
      <c r="AE142" s="305">
        <f t="shared" si="40"/>
        <v>0.7</v>
      </c>
      <c r="AF142" s="177">
        <f t="shared" si="41"/>
        <v>0.60195002137137377</v>
      </c>
      <c r="AG142" s="921">
        <f t="shared" si="49"/>
        <v>0</v>
      </c>
      <c r="AH142" s="176">
        <f t="shared" si="42"/>
        <v>6</v>
      </c>
      <c r="AI142" s="225">
        <f t="shared" si="43"/>
        <v>0.60195002137137377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48.659957947091421</v>
      </c>
      <c r="C143" s="955"/>
      <c r="D143" s="393">
        <f t="shared" ref="D143:D206" si="50">Wh/(1-Ppv)</f>
        <v>50.630003653673825</v>
      </c>
      <c r="E143" s="385">
        <f t="shared" si="47"/>
        <v>56.887930757414082</v>
      </c>
      <c r="F143" s="385">
        <f t="shared" ref="F143:F206" si="51">Wh_sa/(1-Pvg*MEDIAN((-Sdif+Wh/Env_an)/Csdif,0,1))</f>
        <v>56.993738163959655</v>
      </c>
      <c r="G143" s="110">
        <f t="shared" si="48"/>
        <v>0.95691479703256588</v>
      </c>
      <c r="H143" s="414" t="b">
        <f>Wh_hp&gt;='2022'!Maxi_hp</f>
        <v>0</v>
      </c>
      <c r="I143" s="390">
        <f>IF(H143,Wh_hp,'2022'!Maxi_hp)</f>
        <v>56.995146549871819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3.8910637258851022E-2</v>
      </c>
      <c r="M143" s="959"/>
      <c r="N143" s="959"/>
      <c r="O143" s="48">
        <f>IF(t&lt;Tnet,'2022'!Resal+('2022'!Salim-'2022'!Resal)*(1-EXP(('2022'!Tnet-t)/('2022'!Tau_j))),Resal+(Salim-Resal)*(1-EXP((Tnet-t)/(Tau_j))))*Salcycl</f>
        <v>0.11000447758287772</v>
      </c>
      <c r="P143" s="169">
        <f>(INDEX(Models!$BJ143:$BT143,,T143)*(1-R143)+INDEX(Models!$BJ143:$BT143,,T143+1)*R143-ERP_i)*Q143*Ramure*Pc/MaxiM</f>
        <v>1.9778846913986801E-3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0.60534363058871921</v>
      </c>
      <c r="S143" s="92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0.60534363058871921</v>
      </c>
      <c r="V143" s="383">
        <f t="shared" ref="V143:V206" si="58">MaxiM*(1-Ppv)*(1-Pvg)*(1-Psa)</f>
        <v>50.844693051265416</v>
      </c>
      <c r="W143" s="402">
        <f t="shared" ref="W143:W206" si="59">Wh*(A143&gt;Tmaj)</f>
        <v>48.659957947091421</v>
      </c>
      <c r="X143" s="157">
        <f t="shared" ref="X143:X206" si="60">t</f>
        <v>45055</v>
      </c>
      <c r="Y143" s="385">
        <f t="shared" ref="Y143:Y206" si="61">Wh_pvt_s*(1-Ppv)</f>
        <v>46.514685727585871</v>
      </c>
      <c r="Z143" s="385">
        <f t="shared" ref="Z143:Z206" si="62">Wh_sa_s*(1-Psa_s)</f>
        <v>48.397878002644909</v>
      </c>
      <c r="AA143" s="386">
        <f t="shared" ref="AA143:AA206" si="63">Wh_hp*(1-Pvg_s*MEDIAN((-Sdif+Wh/Env_an)/Csdif,0,1))</f>
        <v>56.887930757414082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0.1492417221321182</v>
      </c>
      <c r="AD143" s="231">
        <f>(INDEX(Models!$BJ143:$BT143,,AH143)*(1-AF143)+INDEX(Models!$BJ143:$BT143,,AH143+1)*AF143-ERP_i)*AE143*Ramure*Pc/MaxiM</f>
        <v>1.9778846913986801E-3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0.60534363058871921</v>
      </c>
      <c r="AG143" s="92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0.60534363058871921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46.374944474461245</v>
      </c>
      <c r="C144" s="955"/>
      <c r="D144" s="393">
        <f t="shared" si="50"/>
        <v>48.253536065304942</v>
      </c>
      <c r="E144" s="385">
        <f t="shared" ref="E144:E169" si="72">Wh_pvt/(1-Psa)</f>
        <v>54.224812578307862</v>
      </c>
      <c r="F144" s="385">
        <f t="shared" si="51"/>
        <v>54.323626113421291</v>
      </c>
      <c r="G144" s="110">
        <f t="shared" ref="G144:G169" si="73">+Wh_hp/MaxiM</f>
        <v>0.91160691450693565</v>
      </c>
      <c r="H144" s="414" t="b">
        <f>Wh_hp&gt;='2022'!Maxi_hp</f>
        <v>0</v>
      </c>
      <c r="I144" s="390">
        <f>IF(H144,Wh_hp,'2022'!Maxi_hp)</f>
        <v>54.326480151612564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3.893168758246579E-2</v>
      </c>
      <c r="M144" s="959"/>
      <c r="N144" s="959"/>
      <c r="O144" s="48">
        <f>IF(t&lt;Tnet,'2022'!Resal+('2022'!Salim-'2022'!Resal)*(1-EXP(('2022'!Tnet-t)/('2022'!Tau_j))),Resal+(Salim-Resal)*(1-EXP((Tnet-t)/(Tau_j))))*Salcycl</f>
        <v>0.11012074047060279</v>
      </c>
      <c r="P144" s="169">
        <f>(INDEX(Models!$BJ144:$BT144,,T144)*(1-R144)+INDEX(Models!$BJ144:$BT144,,T144+1)*R144-ERP_i)*Q144*Ramure*Pc/MaxiM</f>
        <v>2.0810541044551192E-3</v>
      </c>
      <c r="Q144" s="305">
        <f t="shared" si="53"/>
        <v>0.7</v>
      </c>
      <c r="R144" s="177">
        <f t="shared" si="54"/>
        <v>0.60881862413543741</v>
      </c>
      <c r="S144" s="921">
        <f t="shared" si="55"/>
        <v>0</v>
      </c>
      <c r="T144" s="176">
        <f t="shared" si="56"/>
        <v>6</v>
      </c>
      <c r="U144" s="251">
        <f t="shared" si="57"/>
        <v>0.60881862413543741</v>
      </c>
      <c r="V144" s="383">
        <f t="shared" si="58"/>
        <v>50.858289763503663</v>
      </c>
      <c r="W144" s="402">
        <f t="shared" si="59"/>
        <v>46.374944474461245</v>
      </c>
      <c r="X144" s="157">
        <f t="shared" si="60"/>
        <v>45056</v>
      </c>
      <c r="Y144" s="385">
        <f t="shared" si="61"/>
        <v>44.33074398224241</v>
      </c>
      <c r="Z144" s="385">
        <f t="shared" si="62"/>
        <v>46.126527541762307</v>
      </c>
      <c r="AA144" s="386">
        <f t="shared" si="63"/>
        <v>54.224812578307862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0.14934648275363888</v>
      </c>
      <c r="AD144" s="231">
        <f>(INDEX(Models!$BJ144:$BT144,,AH144)*(1-AF144)+INDEX(Models!$BJ144:$BT144,,AH144+1)*AF144-ERP_i)*AE144*Ramure*Pc/MaxiM</f>
        <v>2.0810541044551192E-3</v>
      </c>
      <c r="AE144" s="305">
        <f t="shared" si="65"/>
        <v>0.7</v>
      </c>
      <c r="AF144" s="177">
        <f t="shared" si="66"/>
        <v>0.60881862413543741</v>
      </c>
      <c r="AG144" s="921">
        <f t="shared" ref="AG144:AG207" si="74">INDEX(Echel_vg,AH144)</f>
        <v>0</v>
      </c>
      <c r="AH144" s="176">
        <f t="shared" si="67"/>
        <v>6</v>
      </c>
      <c r="AI144" s="225">
        <f t="shared" si="68"/>
        <v>0.60881862413543741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49.745832229376965</v>
      </c>
      <c r="C145" s="955"/>
      <c r="D145" s="393">
        <f t="shared" si="50"/>
        <v>51.762108033195005</v>
      </c>
      <c r="E145" s="385">
        <f t="shared" si="72"/>
        <v>58.17523832870441</v>
      </c>
      <c r="F145" s="385">
        <f t="shared" si="51"/>
        <v>58.298712010757157</v>
      </c>
      <c r="G145" s="110">
        <f t="shared" si="73"/>
        <v>0.97784735470912543</v>
      </c>
      <c r="H145" s="414" t="b">
        <f>Wh_hp&gt;='2022'!Maxi_hp</f>
        <v>0</v>
      </c>
      <c r="I145" s="390">
        <f>IF(H145,Wh_hp,'2022'!Maxi_hp)</f>
        <v>58.299507176045971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3.8952737445024588E-2</v>
      </c>
      <c r="M145" s="959"/>
      <c r="N145" s="959"/>
      <c r="O145" s="48">
        <f>IF(t&lt;Tnet,'2022'!Resal+('2022'!Salim-'2022'!Resal)*(1-EXP(('2022'!Tnet-t)/('2022'!Tau_j))),Resal+(Salim-Resal)*(1-EXP((Tnet-t)/(Tau_j))))*Salcycl</f>
        <v>0.11023814392084898</v>
      </c>
      <c r="P145" s="169">
        <f>(INDEX(Models!$BJ145:$BT145,,T145)*(1-R145)+INDEX(Models!$BJ145:$BT145,,T145+1)*R145-ERP_i)*Q145*Ramure*Pc/MaxiM</f>
        <v>2.1869469761232785E-3</v>
      </c>
      <c r="Q145" s="305">
        <f t="shared" si="53"/>
        <v>0.7</v>
      </c>
      <c r="R145" s="177">
        <f t="shared" si="54"/>
        <v>0.61237492519380166</v>
      </c>
      <c r="S145" s="921">
        <f t="shared" si="55"/>
        <v>0</v>
      </c>
      <c r="T145" s="176">
        <f t="shared" si="56"/>
        <v>6</v>
      </c>
      <c r="U145" s="251">
        <f t="shared" si="57"/>
        <v>0.61237492519380166</v>
      </c>
      <c r="V145" s="383">
        <f t="shared" si="58"/>
        <v>50.869281722513129</v>
      </c>
      <c r="W145" s="402">
        <f t="shared" si="59"/>
        <v>49.745832229376965</v>
      </c>
      <c r="X145" s="157">
        <f t="shared" si="60"/>
        <v>45057</v>
      </c>
      <c r="Y145" s="385">
        <f t="shared" si="61"/>
        <v>47.553375544845146</v>
      </c>
      <c r="Z145" s="385">
        <f t="shared" si="62"/>
        <v>49.480787675751714</v>
      </c>
      <c r="AA145" s="386">
        <f t="shared" si="63"/>
        <v>58.17523832870441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0.14945277239479296</v>
      </c>
      <c r="AD145" s="231">
        <f>(INDEX(Models!$BJ145:$BT145,,AH145)*(1-AF145)+INDEX(Models!$BJ145:$BT145,,AH145+1)*AF145-ERP_i)*AE145*Ramure*Pc/MaxiM</f>
        <v>2.1869469761232785E-3</v>
      </c>
      <c r="AE145" s="305">
        <f t="shared" si="65"/>
        <v>0.7</v>
      </c>
      <c r="AF145" s="177">
        <f t="shared" si="66"/>
        <v>0.61237492519380166</v>
      </c>
      <c r="AG145" s="921">
        <f t="shared" si="74"/>
        <v>0</v>
      </c>
      <c r="AH145" s="176">
        <f t="shared" si="67"/>
        <v>6</v>
      </c>
      <c r="AI145" s="225">
        <f t="shared" si="68"/>
        <v>0.61237492519380166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38.293521596540828</v>
      </c>
      <c r="C146" s="955"/>
      <c r="D146" s="393">
        <f t="shared" si="50"/>
        <v>39.846490212672144</v>
      </c>
      <c r="E146" s="385">
        <f t="shared" si="72"/>
        <v>44.789284938476335</v>
      </c>
      <c r="F146" s="385">
        <f t="shared" si="51"/>
        <v>44.855871512582716</v>
      </c>
      <c r="G146" s="110">
        <f t="shared" si="73"/>
        <v>0.75204319022175081</v>
      </c>
      <c r="H146" s="414" t="b">
        <f>Wh_hp&gt;='2022'!Maxi_hp</f>
        <v>0</v>
      </c>
      <c r="I146" s="390">
        <f>IF(H146,Wh_hp,'2022'!Maxi_hp)</f>
        <v>54.342875304504368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3.8973786846537295E-2</v>
      </c>
      <c r="M146" s="959"/>
      <c r="N146" s="959"/>
      <c r="O146" s="48">
        <f>IF(t&lt;Tnet,'2022'!Resal+('2022'!Salim-'2022'!Resal)*(1-EXP(('2022'!Tnet-t)/('2022'!Tau_j))),Resal+(Salim-Resal)*(1-EXP((Tnet-t)/(Tau_j))))*Salcycl</f>
        <v>0.11035663401623252</v>
      </c>
      <c r="P146" s="169">
        <f>(INDEX(Models!$BJ146:$BT146,,T146)*(1-R146)+INDEX(Models!$BJ146:$BT146,,T146+1)*R146-ERP_i)*Q146*Ramure*Pc/MaxiM</f>
        <v>2.295611842490186E-3</v>
      </c>
      <c r="Q146" s="305">
        <f t="shared" si="53"/>
        <v>0.7</v>
      </c>
      <c r="R146" s="177">
        <f t="shared" si="54"/>
        <v>0.61601231284163038</v>
      </c>
      <c r="S146" s="921">
        <f t="shared" si="55"/>
        <v>0</v>
      </c>
      <c r="T146" s="176">
        <f t="shared" si="56"/>
        <v>6</v>
      </c>
      <c r="U146" s="251">
        <f t="shared" si="57"/>
        <v>0.61601231284163038</v>
      </c>
      <c r="V146" s="383">
        <f t="shared" si="58"/>
        <v>50.877946781619663</v>
      </c>
      <c r="W146" s="402">
        <f t="shared" si="59"/>
        <v>38.293521596540828</v>
      </c>
      <c r="X146" s="157">
        <f t="shared" si="60"/>
        <v>45058</v>
      </c>
      <c r="Y146" s="385">
        <f t="shared" si="61"/>
        <v>36.606042349682497</v>
      </c>
      <c r="Z146" s="385">
        <f t="shared" si="62"/>
        <v>38.090576353339294</v>
      </c>
      <c r="AA146" s="386">
        <f t="shared" si="63"/>
        <v>44.789284938476335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0.14956051641231949</v>
      </c>
      <c r="AD146" s="231">
        <f>(INDEX(Models!$BJ146:$BT146,,AH146)*(1-AF146)+INDEX(Models!$BJ146:$BT146,,AH146+1)*AF146-ERP_i)*AE146*Ramure*Pc/MaxiM</f>
        <v>2.295611842490186E-3</v>
      </c>
      <c r="AE146" s="305">
        <f t="shared" si="65"/>
        <v>0.7</v>
      </c>
      <c r="AF146" s="177">
        <f t="shared" si="66"/>
        <v>0.61601231284163038</v>
      </c>
      <c r="AG146" s="921">
        <f t="shared" si="74"/>
        <v>0</v>
      </c>
      <c r="AH146" s="176">
        <f t="shared" si="67"/>
        <v>6</v>
      </c>
      <c r="AI146" s="225">
        <f t="shared" si="68"/>
        <v>0.61601231284163038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35.062746170723514</v>
      </c>
      <c r="C147" s="955"/>
      <c r="D147" s="393">
        <f t="shared" si="50"/>
        <v>36.485491937432109</v>
      </c>
      <c r="E147" s="385">
        <f t="shared" si="72"/>
        <v>41.016878937390658</v>
      </c>
      <c r="F147" s="385">
        <f t="shared" si="51"/>
        <v>41.071828033253283</v>
      </c>
      <c r="G147" s="110">
        <f t="shared" si="73"/>
        <v>0.68832675924537601</v>
      </c>
      <c r="H147" s="414" t="b">
        <f>Wh_hp&gt;='2022'!Maxi_hp</f>
        <v>0</v>
      </c>
      <c r="I147" s="390">
        <f>IF(H147,Wh_hp,'2022'!Maxi_hp)</f>
        <v>61.987907498178245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3.8994835787014126E-2</v>
      </c>
      <c r="M147" s="959"/>
      <c r="N147" s="959"/>
      <c r="O147" s="48">
        <f>IF(t&lt;Tnet,'2022'!Resal+('2022'!Salim-'2022'!Resal)*(1-EXP(('2022'!Tnet-t)/('2022'!Tau_j))),Resal+(Salim-Resal)*(1-EXP((Tnet-t)/(Tau_j))))*Salcycl</f>
        <v>0.11047615316795276</v>
      </c>
      <c r="P147" s="169">
        <f>(INDEX(Models!$BJ147:$BT147,,T147)*(1-R147)+INDEX(Models!$BJ147:$BT147,,T147+1)*R147-ERP_i)*Q147*Ramure*Pc/MaxiM</f>
        <v>2.4070934280545709E-3</v>
      </c>
      <c r="Q147" s="305">
        <f t="shared" si="53"/>
        <v>0.7</v>
      </c>
      <c r="R147" s="177">
        <f t="shared" si="54"/>
        <v>0.61973041596708256</v>
      </c>
      <c r="S147" s="921">
        <f t="shared" si="55"/>
        <v>0</v>
      </c>
      <c r="T147" s="176">
        <f t="shared" si="56"/>
        <v>6</v>
      </c>
      <c r="U147" s="251">
        <f t="shared" si="57"/>
        <v>0.61973041596708256</v>
      </c>
      <c r="V147" s="383">
        <f t="shared" si="58"/>
        <v>50.884562960817625</v>
      </c>
      <c r="W147" s="402">
        <f t="shared" si="59"/>
        <v>35.062746170723514</v>
      </c>
      <c r="X147" s="157">
        <f t="shared" si="60"/>
        <v>45059</v>
      </c>
      <c r="Y147" s="385">
        <f t="shared" si="61"/>
        <v>33.517839735262257</v>
      </c>
      <c r="Z147" s="385">
        <f t="shared" si="62"/>
        <v>34.877897625775667</v>
      </c>
      <c r="AA147" s="386">
        <f t="shared" si="63"/>
        <v>41.016878937390658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0.14966963529784183</v>
      </c>
      <c r="AD147" s="231">
        <f>(INDEX(Models!$BJ147:$BT147,,AH147)*(1-AF147)+INDEX(Models!$BJ147:$BT147,,AH147+1)*AF147-ERP_i)*AE147*Ramure*Pc/MaxiM</f>
        <v>2.4070934280545709E-3</v>
      </c>
      <c r="AE147" s="305">
        <f t="shared" si="65"/>
        <v>0.7</v>
      </c>
      <c r="AF147" s="177">
        <f t="shared" si="66"/>
        <v>0.61973041596708256</v>
      </c>
      <c r="AG147" s="921">
        <f t="shared" si="74"/>
        <v>0</v>
      </c>
      <c r="AH147" s="176">
        <f t="shared" si="67"/>
        <v>6</v>
      </c>
      <c r="AI147" s="225">
        <f t="shared" si="68"/>
        <v>0.61973041596708256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45.761507853806272</v>
      </c>
      <c r="C148" s="955"/>
      <c r="D148" s="393">
        <f t="shared" si="50"/>
        <v>47.619421699676863</v>
      </c>
      <c r="E148" s="385">
        <f t="shared" si="72"/>
        <v>53.540861042353221</v>
      </c>
      <c r="F148" s="385">
        <f t="shared" si="51"/>
        <v>53.656677371386415</v>
      </c>
      <c r="G148" s="110">
        <f t="shared" si="73"/>
        <v>0.89890732892794811</v>
      </c>
      <c r="H148" s="414" t="b">
        <f>Wh_hp&gt;='2022'!Maxi_hp</f>
        <v>0</v>
      </c>
      <c r="I148" s="390">
        <f>IF(H148,Wh_hp,'2022'!Maxi_hp)</f>
        <v>60.924968033525275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3.9015884266465184E-2</v>
      </c>
      <c r="M148" s="959"/>
      <c r="N148" s="959"/>
      <c r="O148" s="48">
        <f>IF(t&lt;Tnet,'2022'!Resal+('2022'!Salim-'2022'!Resal)*(1-EXP(('2022'!Tnet-t)/('2022'!Tau_j))),Resal+(Salim-Resal)*(1-EXP((Tnet-t)/(Tau_j))))*Salcycl</f>
        <v>0.11059664016221611</v>
      </c>
      <c r="P148" s="169">
        <f>(INDEX(Models!$BJ148:$BT148,,T148)*(1-R148)+INDEX(Models!$BJ148:$BT148,,T148+1)*R148-ERP_i)*Q148*Ramure*Pc/MaxiM</f>
        <v>2.5214322641241467E-3</v>
      </c>
      <c r="Q148" s="305">
        <f t="shared" si="53"/>
        <v>0.7</v>
      </c>
      <c r="R148" s="177">
        <f t="shared" si="54"/>
        <v>0.62352870753268497</v>
      </c>
      <c r="S148" s="921">
        <f t="shared" si="55"/>
        <v>0</v>
      </c>
      <c r="T148" s="176">
        <f t="shared" si="56"/>
        <v>6</v>
      </c>
      <c r="U148" s="251">
        <f t="shared" si="57"/>
        <v>0.62352870753268497</v>
      </c>
      <c r="V148" s="383">
        <f t="shared" si="58"/>
        <v>50.889408454713482</v>
      </c>
      <c r="W148" s="402">
        <f t="shared" si="59"/>
        <v>45.761507853806272</v>
      </c>
      <c r="X148" s="157">
        <f t="shared" si="60"/>
        <v>45060</v>
      </c>
      <c r="Y148" s="385">
        <f t="shared" si="61"/>
        <v>43.745446573056064</v>
      </c>
      <c r="Z148" s="385">
        <f t="shared" si="62"/>
        <v>45.521508479528251</v>
      </c>
      <c r="AA148" s="386">
        <f t="shared" si="63"/>
        <v>53.540861042353221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0.14978004474902451</v>
      </c>
      <c r="AD148" s="231">
        <f>(INDEX(Models!$BJ148:$BT148,,AH148)*(1-AF148)+INDEX(Models!$BJ148:$BT148,,AH148+1)*AF148-ERP_i)*AE148*Ramure*Pc/MaxiM</f>
        <v>2.5214322641241467E-3</v>
      </c>
      <c r="AE148" s="305">
        <f t="shared" si="65"/>
        <v>0.7</v>
      </c>
      <c r="AF148" s="177">
        <f t="shared" si="66"/>
        <v>0.62352870753268497</v>
      </c>
      <c r="AG148" s="921">
        <f t="shared" si="74"/>
        <v>0</v>
      </c>
      <c r="AH148" s="176">
        <f t="shared" si="67"/>
        <v>6</v>
      </c>
      <c r="AI148" s="225">
        <f t="shared" si="68"/>
        <v>0.62352870753268497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46.685047135746501</v>
      </c>
      <c r="C149" s="955"/>
      <c r="D149" s="393">
        <f t="shared" si="50"/>
        <v>48.581520668375362</v>
      </c>
      <c r="E149" s="385">
        <f t="shared" si="72"/>
        <v>54.630052468841185</v>
      </c>
      <c r="F149" s="385">
        <f t="shared" si="51"/>
        <v>54.757479074791021</v>
      </c>
      <c r="G149" s="110">
        <f t="shared" si="73"/>
        <v>0.91705147019140909</v>
      </c>
      <c r="H149" s="414" t="b">
        <f>Wh_hp&gt;='2022'!Maxi_hp</f>
        <v>0</v>
      </c>
      <c r="I149" s="390">
        <f>IF(H149,Wh_hp,'2022'!Maxi_hp)</f>
        <v>61.115724809852011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3.9036932284900461E-2</v>
      </c>
      <c r="M149" s="959"/>
      <c r="N149" s="959"/>
      <c r="O149" s="48">
        <f>IF(t&lt;Tnet,'2022'!Resal+('2022'!Salim-'2022'!Resal)*(1-EXP(('2022'!Tnet-t)/('2022'!Tau_j))),Resal+(Salim-Resal)*(1-EXP((Tnet-t)/(Tau_j))))*Salcycl</f>
        <v>0.11071803022550035</v>
      </c>
      <c r="P149" s="169">
        <f>(INDEX(Models!$BJ149:$BT149,,T149)*(1-R149)+INDEX(Models!$BJ149:$BT149,,T149+1)*R149-ERP_i)*Q149*Ramure*Pc/MaxiM</f>
        <v>2.6387103019984907E-3</v>
      </c>
      <c r="Q149" s="305">
        <f t="shared" si="53"/>
        <v>0.7</v>
      </c>
      <c r="R149" s="177">
        <f t="shared" si="54"/>
        <v>0.62740649924772451</v>
      </c>
      <c r="S149" s="921">
        <f t="shared" si="55"/>
        <v>0</v>
      </c>
      <c r="T149" s="176">
        <f t="shared" si="56"/>
        <v>6</v>
      </c>
      <c r="U149" s="251">
        <f t="shared" si="57"/>
        <v>0.62740649924772451</v>
      </c>
      <c r="V149" s="383">
        <f t="shared" si="58"/>
        <v>50.891872032879718</v>
      </c>
      <c r="W149" s="402">
        <f t="shared" si="59"/>
        <v>46.685047135746501</v>
      </c>
      <c r="X149" s="157">
        <f t="shared" si="60"/>
        <v>45061</v>
      </c>
      <c r="Y149" s="385">
        <f t="shared" si="61"/>
        <v>44.628531185802252</v>
      </c>
      <c r="Z149" s="385">
        <f t="shared" si="62"/>
        <v>46.441463449699867</v>
      </c>
      <c r="AA149" s="386">
        <f t="shared" si="63"/>
        <v>54.630052468841185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0.1498916557660597</v>
      </c>
      <c r="AD149" s="231">
        <f>(INDEX(Models!$BJ149:$BT149,,AH149)*(1-AF149)+INDEX(Models!$BJ149:$BT149,,AH149+1)*AF149-ERP_i)*AE149*Ramure*Pc/MaxiM</f>
        <v>2.6387103019984907E-3</v>
      </c>
      <c r="AE149" s="305">
        <f t="shared" si="65"/>
        <v>0.7</v>
      </c>
      <c r="AF149" s="177">
        <f t="shared" si="66"/>
        <v>0.62740649924772451</v>
      </c>
      <c r="AG149" s="921">
        <f t="shared" si="74"/>
        <v>0</v>
      </c>
      <c r="AH149" s="176">
        <f t="shared" si="67"/>
        <v>6</v>
      </c>
      <c r="AI149" s="225">
        <f t="shared" si="68"/>
        <v>0.62740649924772451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44.951349336196863</v>
      </c>
      <c r="C150" s="955"/>
      <c r="D150" s="393">
        <f t="shared" si="50"/>
        <v>46.778419918426827</v>
      </c>
      <c r="E150" s="385">
        <f t="shared" si="72"/>
        <v>52.609691551183246</v>
      </c>
      <c r="F150" s="385">
        <f t="shared" si="51"/>
        <v>52.730905895805805</v>
      </c>
      <c r="G150" s="110">
        <f t="shared" si="73"/>
        <v>0.88287548924328818</v>
      </c>
      <c r="H150" s="414" t="b">
        <f>Wh_hp&gt;='2022'!Maxi_hp</f>
        <v>0</v>
      </c>
      <c r="I150" s="390">
        <f>IF(H150,Wh_hp,'2022'!Maxi_hp)</f>
        <v>53.059049152756259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3.9057979842330059E-2</v>
      </c>
      <c r="M150" s="959"/>
      <c r="N150" s="959"/>
      <c r="O150" s="48">
        <f>IF(t&lt;Tnet,'2022'!Resal+('2022'!Salim-'2022'!Resal)*(1-EXP(('2022'!Tnet-t)/('2022'!Tau_j))),Resal+(Salim-Resal)*(1-EXP((Tnet-t)/(Tau_j))))*Salcycl</f>
        <v>0.11084025510933206</v>
      </c>
      <c r="P150" s="169">
        <f>(INDEX(Models!$BJ150:$BT150,,T150)*(1-R150)+INDEX(Models!$BJ150:$BT150,,T150+1)*R150-ERP_i)*Q150*Ramure*Pc/MaxiM</f>
        <v>2.7587205654984975E-3</v>
      </c>
      <c r="Q150" s="305">
        <f t="shared" si="53"/>
        <v>0.7</v>
      </c>
      <c r="R150" s="177">
        <f t="shared" si="54"/>
        <v>0.63136293670885069</v>
      </c>
      <c r="S150" s="921">
        <f t="shared" si="55"/>
        <v>0</v>
      </c>
      <c r="T150" s="176">
        <f t="shared" si="56"/>
        <v>6</v>
      </c>
      <c r="U150" s="251">
        <f t="shared" si="57"/>
        <v>0.63136293670885069</v>
      </c>
      <c r="V150" s="383">
        <f t="shared" si="58"/>
        <v>50.891235788119808</v>
      </c>
      <c r="W150" s="402">
        <f t="shared" si="59"/>
        <v>44.951349336196863</v>
      </c>
      <c r="X150" s="157">
        <f t="shared" si="60"/>
        <v>45062</v>
      </c>
      <c r="Y150" s="385">
        <f t="shared" si="61"/>
        <v>42.971412621087858</v>
      </c>
      <c r="Z150" s="385">
        <f t="shared" si="62"/>
        <v>44.718007662977598</v>
      </c>
      <c r="AA150" s="386">
        <f t="shared" si="63"/>
        <v>52.609691551183246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0.15000437477433101</v>
      </c>
      <c r="AD150" s="231">
        <f>(INDEX(Models!$BJ150:$BT150,,AH150)*(1-AF150)+INDEX(Models!$BJ150:$BT150,,AH150+1)*AF150-ERP_i)*AE150*Ramure*Pc/MaxiM</f>
        <v>2.7587205654984975E-3</v>
      </c>
      <c r="AE150" s="305">
        <f t="shared" si="65"/>
        <v>0.7</v>
      </c>
      <c r="AF150" s="177">
        <f t="shared" si="66"/>
        <v>0.63136293670885069</v>
      </c>
      <c r="AG150" s="921">
        <f t="shared" si="74"/>
        <v>0</v>
      </c>
      <c r="AH150" s="176">
        <f t="shared" si="67"/>
        <v>6</v>
      </c>
      <c r="AI150" s="225">
        <f t="shared" si="68"/>
        <v>0.63136293670885069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48.128671118937802</v>
      </c>
      <c r="C151" s="955"/>
      <c r="D151" s="393">
        <f t="shared" si="50"/>
        <v>50.085982581494498</v>
      </c>
      <c r="E151" s="385">
        <f t="shared" si="72"/>
        <v>56.337358605394918</v>
      </c>
      <c r="F151" s="385">
        <f t="shared" si="51"/>
        <v>56.487465288858147</v>
      </c>
      <c r="G151" s="110">
        <f t="shared" si="73"/>
        <v>0.94557137365174604</v>
      </c>
      <c r="H151" s="414" t="b">
        <f>Wh_hp&gt;='2022'!Maxi_hp</f>
        <v>0</v>
      </c>
      <c r="I151" s="390">
        <f>IF(H151,Wh_hp,'2022'!Maxi_hp)</f>
        <v>56.489788505091589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3.9079026938764194E-2</v>
      </c>
      <c r="M151" s="959"/>
      <c r="N151" s="959"/>
      <c r="O151" s="48">
        <f>IF(t&lt;Tnet,'2022'!Resal+('2022'!Salim-'2022'!Resal)*(1-EXP(('2022'!Tnet-t)/('2022'!Tau_j))),Resal+(Salim-Resal)*(1-EXP((Tnet-t)/(Tau_j))))*Salcycl</f>
        <v>0.11096324319510759</v>
      </c>
      <c r="P151" s="169">
        <f>(INDEX(Models!$BJ151:$BT151,,T151)*(1-R151)+INDEX(Models!$BJ151:$BT151,,T151+1)*R151-ERP_i)*Q151*Ramure*Pc/MaxiM</f>
        <v>2.8804438581499182E-3</v>
      </c>
      <c r="Q151" s="305">
        <f t="shared" si="53"/>
        <v>0.7</v>
      </c>
      <c r="R151" s="177">
        <f t="shared" si="54"/>
        <v>0.63539699506882452</v>
      </c>
      <c r="S151" s="921">
        <f t="shared" si="55"/>
        <v>0</v>
      </c>
      <c r="T151" s="176">
        <f t="shared" si="56"/>
        <v>6</v>
      </c>
      <c r="U151" s="251">
        <f t="shared" si="57"/>
        <v>0.63539699506882452</v>
      </c>
      <c r="V151" s="383">
        <f t="shared" si="58"/>
        <v>50.887649942715072</v>
      </c>
      <c r="W151" s="402">
        <f t="shared" si="59"/>
        <v>48.128671118937802</v>
      </c>
      <c r="X151" s="157">
        <f t="shared" si="60"/>
        <v>45063</v>
      </c>
      <c r="Y151" s="385">
        <f t="shared" si="61"/>
        <v>46.008993396862913</v>
      </c>
      <c r="Z151" s="385">
        <f t="shared" si="62"/>
        <v>47.880101159922269</v>
      </c>
      <c r="AA151" s="386">
        <f t="shared" si="63"/>
        <v>56.337358605394918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0.15011810377390986</v>
      </c>
      <c r="AD151" s="231">
        <f>(INDEX(Models!$BJ151:$BT151,,AH151)*(1-AF151)+INDEX(Models!$BJ151:$BT151,,AH151+1)*AF151-ERP_i)*AE151*Ramure*Pc/MaxiM</f>
        <v>2.8804438581499182E-3</v>
      </c>
      <c r="AE151" s="305">
        <f t="shared" si="65"/>
        <v>0.7</v>
      </c>
      <c r="AF151" s="177">
        <f t="shared" si="66"/>
        <v>0.63539699506882452</v>
      </c>
      <c r="AG151" s="921">
        <f t="shared" si="74"/>
        <v>0</v>
      </c>
      <c r="AH151" s="176">
        <f t="shared" si="67"/>
        <v>6</v>
      </c>
      <c r="AI151" s="225">
        <f t="shared" si="68"/>
        <v>0.63539699506882452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46.623960301355311</v>
      </c>
      <c r="C152" s="955"/>
      <c r="D152" s="393">
        <f t="shared" si="50"/>
        <v>48.521140463378117</v>
      </c>
      <c r="E152" s="385">
        <f t="shared" si="72"/>
        <v>54.584797472661407</v>
      </c>
      <c r="F152" s="385">
        <f t="shared" si="51"/>
        <v>54.729548432713969</v>
      </c>
      <c r="G152" s="110">
        <f t="shared" si="73"/>
        <v>0.9159997074408277</v>
      </c>
      <c r="H152" s="414" t="b">
        <f>Wh_hp&gt;='2022'!Maxi_hp</f>
        <v>0</v>
      </c>
      <c r="I152" s="390">
        <f>IF(H152,Wh_hp,'2022'!Maxi_hp)</f>
        <v>59.62470514235855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3.9100073574212968E-2</v>
      </c>
      <c r="M152" s="959"/>
      <c r="N152" s="959"/>
      <c r="O152" s="48">
        <f>IF(t&lt;Tnet,'2022'!Resal+('2022'!Salim-'2022'!Resal)*(1-EXP(('2022'!Tnet-t)/('2022'!Tau_j))),Resal+(Salim-Resal)*(1-EXP((Tnet-t)/(Tau_j))))*Salcycl</f>
        <v>0.11108691961933634</v>
      </c>
      <c r="P152" s="169">
        <f>(INDEX(Models!$BJ152:$BT152,,T152)*(1-R152)+INDEX(Models!$BJ152:$BT152,,T152+1)*R152-ERP_i)*Q152*Ramure*Pc/MaxiM</f>
        <v>3.0038940369757731E-3</v>
      </c>
      <c r="Q152" s="305">
        <f t="shared" si="53"/>
        <v>0.7</v>
      </c>
      <c r="R152" s="177">
        <f t="shared" si="54"/>
        <v>0.63950747529278162</v>
      </c>
      <c r="S152" s="921">
        <f t="shared" si="55"/>
        <v>0</v>
      </c>
      <c r="T152" s="176">
        <f t="shared" si="56"/>
        <v>6</v>
      </c>
      <c r="U152" s="251">
        <f t="shared" si="57"/>
        <v>0.63950747529278162</v>
      </c>
      <c r="V152" s="383">
        <f t="shared" si="58"/>
        <v>50.881212144951988</v>
      </c>
      <c r="W152" s="402">
        <f t="shared" si="59"/>
        <v>46.623960301355311</v>
      </c>
      <c r="X152" s="157">
        <f t="shared" si="60"/>
        <v>45064</v>
      </c>
      <c r="Y152" s="385">
        <f t="shared" si="61"/>
        <v>44.570741331190249</v>
      </c>
      <c r="Z152" s="385">
        <f t="shared" si="62"/>
        <v>46.384373757814593</v>
      </c>
      <c r="AA152" s="386">
        <f t="shared" si="63"/>
        <v>54.584797472661407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0.15023274051633084</v>
      </c>
      <c r="AD152" s="231">
        <f>(INDEX(Models!$BJ152:$BT152,,AH152)*(1-AF152)+INDEX(Models!$BJ152:$BT152,,AH152+1)*AF152-ERP_i)*AE152*Ramure*Pc/MaxiM</f>
        <v>3.0038940369757731E-3</v>
      </c>
      <c r="AE152" s="305">
        <f t="shared" si="65"/>
        <v>0.7</v>
      </c>
      <c r="AF152" s="177">
        <f t="shared" si="66"/>
        <v>0.63950747529278162</v>
      </c>
      <c r="AG152" s="921">
        <f t="shared" si="74"/>
        <v>0</v>
      </c>
      <c r="AH152" s="176">
        <f t="shared" si="67"/>
        <v>6</v>
      </c>
      <c r="AI152" s="225">
        <f t="shared" si="68"/>
        <v>0.63950747529278162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48.703653226407098</v>
      </c>
      <c r="C153" s="955"/>
      <c r="D153" s="393">
        <f t="shared" si="50"/>
        <v>50.686568544069644</v>
      </c>
      <c r="E153" s="385">
        <f t="shared" si="72"/>
        <v>57.028811468109595</v>
      </c>
      <c r="F153" s="385">
        <f t="shared" si="51"/>
        <v>57.196887170877133</v>
      </c>
      <c r="G153" s="110">
        <f t="shared" si="73"/>
        <v>0.95719308569493156</v>
      </c>
      <c r="H153" s="414" t="b">
        <f>Wh_hp&gt;='2022'!Maxi_hp</f>
        <v>0</v>
      </c>
      <c r="I153" s="390">
        <f>IF(H153,Wh_hp,'2022'!Maxi_hp)</f>
        <v>59.775748831066402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3.9121119748686262E-2</v>
      </c>
      <c r="M153" s="959"/>
      <c r="N153" s="959"/>
      <c r="O153" s="48">
        <f>IF(t&lt;Tnet,'2022'!Resal+('2022'!Salim-'2022'!Resal)*(1-EXP(('2022'!Tnet-t)/('2022'!Tau_j))),Resal+(Salim-Resal)*(1-EXP((Tnet-t)/(Tau_j))))*Salcycl</f>
        <v>0.11121120641952224</v>
      </c>
      <c r="P153" s="169">
        <f>(INDEX(Models!$BJ153:$BT153,,T153)*(1-R153)+INDEX(Models!$BJ153:$BT153,,T153+1)*R153-ERP_i)*Q153*Ramure*Pc/MaxiM</f>
        <v>3.1290803390112789E-3</v>
      </c>
      <c r="Q153" s="305">
        <f t="shared" si="53"/>
        <v>0.7</v>
      </c>
      <c r="R153" s="177">
        <f t="shared" si="54"/>
        <v>0.6436930010600781</v>
      </c>
      <c r="S153" s="921">
        <f t="shared" si="55"/>
        <v>0</v>
      </c>
      <c r="T153" s="176">
        <f t="shared" si="56"/>
        <v>6</v>
      </c>
      <c r="U153" s="251">
        <f t="shared" si="57"/>
        <v>0.6436930010600781</v>
      </c>
      <c r="V153" s="383">
        <f t="shared" si="58"/>
        <v>50.872020392260595</v>
      </c>
      <c r="W153" s="402">
        <f t="shared" si="59"/>
        <v>48.703653226407098</v>
      </c>
      <c r="X153" s="157">
        <f t="shared" si="60"/>
        <v>45065</v>
      </c>
      <c r="Y153" s="385">
        <f t="shared" si="61"/>
        <v>46.559034009243824</v>
      </c>
      <c r="Z153" s="385">
        <f t="shared" si="62"/>
        <v>48.454633529947614</v>
      </c>
      <c r="AA153" s="386">
        <f t="shared" si="63"/>
        <v>57.028811468109595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0.15034817870887315</v>
      </c>
      <c r="AD153" s="231">
        <f>(INDEX(Models!$BJ153:$BT153,,AH153)*(1-AF153)+INDEX(Models!$BJ153:$BT153,,AH153+1)*AF153-ERP_i)*AE153*Ramure*Pc/MaxiM</f>
        <v>3.1290803390112789E-3</v>
      </c>
      <c r="AE153" s="305">
        <f t="shared" si="65"/>
        <v>0.7</v>
      </c>
      <c r="AF153" s="177">
        <f t="shared" si="66"/>
        <v>0.6436930010600781</v>
      </c>
      <c r="AG153" s="921">
        <f t="shared" si="74"/>
        <v>0</v>
      </c>
      <c r="AH153" s="176">
        <f t="shared" si="67"/>
        <v>6</v>
      </c>
      <c r="AI153" s="225">
        <f t="shared" si="68"/>
        <v>0.6436930010600781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44.173610005389875</v>
      </c>
      <c r="C154" s="955"/>
      <c r="D154" s="393">
        <f t="shared" si="50"/>
        <v>45.973096557659218</v>
      </c>
      <c r="E154" s="385">
        <f t="shared" si="72"/>
        <v>51.732823352844278</v>
      </c>
      <c r="F154" s="385">
        <f t="shared" si="51"/>
        <v>51.869992757321107</v>
      </c>
      <c r="G154" s="110">
        <f t="shared" si="73"/>
        <v>0.86799793627415711</v>
      </c>
      <c r="H154" s="414" t="b">
        <f>Wh_hp&gt;='2022'!Maxi_hp</f>
        <v>0</v>
      </c>
      <c r="I154" s="390">
        <f>IF(H154,Wh_hp,'2022'!Maxi_hp)</f>
        <v>61.745336141235896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3.9142165462194511E-2</v>
      </c>
      <c r="M154" s="959"/>
      <c r="N154" s="959"/>
      <c r="O154" s="48">
        <f>IF(t&lt;Tnet,'2022'!Resal+('2022'!Salim-'2022'!Resal)*(1-EXP(('2022'!Tnet-t)/('2022'!Tau_j))),Resal+(Salim-Resal)*(1-EXP((Tnet-t)/(Tau_j))))*Salcycl</f>
        <v>0.11133602270072872</v>
      </c>
      <c r="P154" s="169">
        <f>(INDEX(Models!$BJ154:$BT154,,T154)*(1-R154)+INDEX(Models!$BJ154:$BT154,,T154+1)*R154-ERP_i)*Q154*Ramure*Pc/MaxiM</f>
        <v>3.2560072263780951E-3</v>
      </c>
      <c r="Q154" s="305">
        <f t="shared" si="53"/>
        <v>0.7</v>
      </c>
      <c r="R154" s="177">
        <f t="shared" si="54"/>
        <v>0.64795201636773869</v>
      </c>
      <c r="S154" s="921">
        <f t="shared" si="55"/>
        <v>0</v>
      </c>
      <c r="T154" s="176">
        <f t="shared" si="56"/>
        <v>6</v>
      </c>
      <c r="U154" s="251">
        <f t="shared" si="57"/>
        <v>0.64795201636773869</v>
      </c>
      <c r="V154" s="383">
        <f t="shared" si="58"/>
        <v>50.860173025198158</v>
      </c>
      <c r="W154" s="402">
        <f t="shared" si="59"/>
        <v>44.173610005389875</v>
      </c>
      <c r="X154" s="157">
        <f t="shared" si="60"/>
        <v>45066</v>
      </c>
      <c r="Y154" s="385">
        <f t="shared" si="61"/>
        <v>42.228625545544475</v>
      </c>
      <c r="Z154" s="385">
        <f t="shared" si="62"/>
        <v>43.948879873428318</v>
      </c>
      <c r="AA154" s="386">
        <f t="shared" si="63"/>
        <v>51.732823352844278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0.15046430824634272</v>
      </c>
      <c r="AD154" s="231">
        <f>(INDEX(Models!$BJ154:$BT154,,AH154)*(1-AF154)+INDEX(Models!$BJ154:$BT154,,AH154+1)*AF154-ERP_i)*AE154*Ramure*Pc/MaxiM</f>
        <v>3.2560072263780951E-3</v>
      </c>
      <c r="AE154" s="305">
        <f t="shared" si="65"/>
        <v>0.7</v>
      </c>
      <c r="AF154" s="177">
        <f t="shared" si="66"/>
        <v>0.64795201636773869</v>
      </c>
      <c r="AG154" s="921">
        <f t="shared" si="74"/>
        <v>0</v>
      </c>
      <c r="AH154" s="176">
        <f t="shared" si="67"/>
        <v>6</v>
      </c>
      <c r="AI154" s="225">
        <f t="shared" si="68"/>
        <v>0.64795201636773869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44.712109051640859</v>
      </c>
      <c r="C155" s="955"/>
      <c r="D155" s="393">
        <f t="shared" si="50"/>
        <v>46.53455149745183</v>
      </c>
      <c r="E155" s="385">
        <f t="shared" si="72"/>
        <v>52.3720021453044</v>
      </c>
      <c r="F155" s="385">
        <f t="shared" si="51"/>
        <v>52.519128463256166</v>
      </c>
      <c r="G155" s="110">
        <f t="shared" si="73"/>
        <v>0.87885298683499358</v>
      </c>
      <c r="H155" s="414" t="b">
        <f>Wh_hp&gt;='2022'!Maxi_hp</f>
        <v>0</v>
      </c>
      <c r="I155" s="390">
        <f>IF(H155,Wh_hp,'2022'!Maxi_hp)</f>
        <v>58.246676654523853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3.9163210714747487E-2</v>
      </c>
      <c r="M155" s="959"/>
      <c r="N155" s="959"/>
      <c r="O155" s="48">
        <f>IF(t&lt;Tnet,'2022'!Resal+('2022'!Salim-'2022'!Resal)*(1-EXP(('2022'!Tnet-t)/('2022'!Tau_j))),Resal+(Salim-Resal)*(1-EXP((Tnet-t)/(Tau_j))))*Salcycl</f>
        <v>0.111461284822695</v>
      </c>
      <c r="P155" s="169">
        <f>(INDEX(Models!$BJ155:$BT155,,T155)*(1-R155)+INDEX(Models!$BJ155:$BT155,,T155+1)*R155-ERP_i)*Q155*Ramure*Pc/MaxiM</f>
        <v>3.3846742428352873E-3</v>
      </c>
      <c r="Q155" s="305">
        <f t="shared" si="53"/>
        <v>0.7</v>
      </c>
      <c r="R155" s="177">
        <f t="shared" si="54"/>
        <v>0.65228278388868155</v>
      </c>
      <c r="S155" s="921">
        <f t="shared" si="55"/>
        <v>0</v>
      </c>
      <c r="T155" s="176">
        <f t="shared" si="56"/>
        <v>6</v>
      </c>
      <c r="U155" s="251">
        <f t="shared" si="57"/>
        <v>0.65228278388868155</v>
      </c>
      <c r="V155" s="383">
        <f t="shared" si="58"/>
        <v>50.845768723099219</v>
      </c>
      <c r="W155" s="402">
        <f t="shared" si="59"/>
        <v>44.712109051640859</v>
      </c>
      <c r="X155" s="157">
        <f t="shared" si="60"/>
        <v>45067</v>
      </c>
      <c r="Y155" s="385">
        <f t="shared" si="61"/>
        <v>42.743567182951338</v>
      </c>
      <c r="Z155" s="385">
        <f t="shared" si="62"/>
        <v>44.485772880061589</v>
      </c>
      <c r="AA155" s="386">
        <f t="shared" si="63"/>
        <v>52.3720021453044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0.15058101547011182</v>
      </c>
      <c r="AD155" s="231">
        <f>(INDEX(Models!$BJ155:$BT155,,AH155)*(1-AF155)+INDEX(Models!$BJ155:$BT155,,AH155+1)*AF155-ERP_i)*AE155*Ramure*Pc/MaxiM</f>
        <v>3.3846742428352873E-3</v>
      </c>
      <c r="AE155" s="305">
        <f t="shared" si="65"/>
        <v>0.7</v>
      </c>
      <c r="AF155" s="177">
        <f t="shared" si="66"/>
        <v>0.65228278388868155</v>
      </c>
      <c r="AG155" s="921">
        <f t="shared" si="74"/>
        <v>0</v>
      </c>
      <c r="AH155" s="176">
        <f t="shared" si="67"/>
        <v>6</v>
      </c>
      <c r="AI155" s="225">
        <f t="shared" si="68"/>
        <v>0.65228278388868155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34.200750883745407</v>
      </c>
      <c r="C156" s="955"/>
      <c r="D156" s="393">
        <f t="shared" si="50"/>
        <v>35.595535439283836</v>
      </c>
      <c r="E156" s="385">
        <f t="shared" si="72"/>
        <v>40.066423721138605</v>
      </c>
      <c r="F156" s="385">
        <f t="shared" si="51"/>
        <v>40.141588353598699</v>
      </c>
      <c r="G156" s="110">
        <f t="shared" si="73"/>
        <v>0.67175294738419766</v>
      </c>
      <c r="H156" s="414" t="b">
        <f>Wh_hp&gt;='2022'!Maxi_hp</f>
        <v>0</v>
      </c>
      <c r="I156" s="390">
        <f>IF(H156,Wh_hp,'2022'!Maxi_hp)</f>
        <v>58.677512490213942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3.9184255506355403E-2</v>
      </c>
      <c r="M156" s="959"/>
      <c r="N156" s="959"/>
      <c r="O156" s="48">
        <f>IF(t&lt;Tnet,'2022'!Resal+('2022'!Salim-'2022'!Resal)*(1-EXP(('2022'!Tnet-t)/('2022'!Tau_j))),Resal+(Salim-Resal)*(1-EXP((Tnet-t)/(Tau_j))))*Salcycl</f>
        <v>0.11158690660718933</v>
      </c>
      <c r="P156" s="169">
        <f>(INDEX(Models!$BJ156:$BT156,,T156)*(1-R156)+INDEX(Models!$BJ156:$BT156,,T156+1)*R156-ERP_i)*Q156*Ramure*Pc/MaxiM</f>
        <v>3.5153672792253825E-3</v>
      </c>
      <c r="Q156" s="305">
        <f t="shared" si="53"/>
        <v>0.7</v>
      </c>
      <c r="R156" s="177">
        <f t="shared" si="54"/>
        <v>0.65668338413423721</v>
      </c>
      <c r="S156" s="921">
        <f t="shared" si="55"/>
        <v>0</v>
      </c>
      <c r="T156" s="176">
        <f t="shared" si="56"/>
        <v>6</v>
      </c>
      <c r="U156" s="251">
        <f t="shared" si="57"/>
        <v>0.65668338413423721</v>
      </c>
      <c r="V156" s="383">
        <f t="shared" si="58"/>
        <v>50.828891626027101</v>
      </c>
      <c r="W156" s="402">
        <f t="shared" si="59"/>
        <v>34.200750883745407</v>
      </c>
      <c r="X156" s="157">
        <f t="shared" si="60"/>
        <v>45068</v>
      </c>
      <c r="Y156" s="385">
        <f t="shared" si="61"/>
        <v>32.695105541360739</v>
      </c>
      <c r="Z156" s="385">
        <f t="shared" si="62"/>
        <v>34.028486448867724</v>
      </c>
      <c r="AA156" s="386">
        <f t="shared" si="63"/>
        <v>40.066423721138605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0.15069818345392602</v>
      </c>
      <c r="AD156" s="231">
        <f>(INDEX(Models!$BJ156:$BT156,,AH156)*(1-AF156)+INDEX(Models!$BJ156:$BT156,,AH156+1)*AF156-ERP_i)*AE156*Ramure*Pc/MaxiM</f>
        <v>3.5153672792253825E-3</v>
      </c>
      <c r="AE156" s="305">
        <f t="shared" si="65"/>
        <v>0.7</v>
      </c>
      <c r="AF156" s="177">
        <f t="shared" si="66"/>
        <v>0.65668338413423721</v>
      </c>
      <c r="AG156" s="921">
        <f t="shared" si="74"/>
        <v>0</v>
      </c>
      <c r="AH156" s="176">
        <f t="shared" si="67"/>
        <v>6</v>
      </c>
      <c r="AI156" s="225">
        <f t="shared" si="68"/>
        <v>0.65668338413423721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15.973189482358936</v>
      </c>
      <c r="C157" s="955"/>
      <c r="D157" s="393">
        <f t="shared" si="50"/>
        <v>16.624976677795516</v>
      </c>
      <c r="E157" s="385">
        <f t="shared" si="72"/>
        <v>18.715767456354214</v>
      </c>
      <c r="F157" s="385">
        <f t="shared" si="51"/>
        <v>18.71716945654633</v>
      </c>
      <c r="G157" s="110">
        <f t="shared" si="73"/>
        <v>0.31324980718897144</v>
      </c>
      <c r="H157" s="414" t="b">
        <f>Wh_hp&gt;='2022'!Maxi_hp</f>
        <v>0</v>
      </c>
      <c r="I157" s="390">
        <f>IF(H157,Wh_hp,'2022'!Maxi_hp)</f>
        <v>53.955691624579302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3.9205299837028473E-2</v>
      </c>
      <c r="M157" s="959"/>
      <c r="N157" s="959"/>
      <c r="O157" s="48">
        <f>IF(t&lt;Tnet,'2022'!Resal+('2022'!Salim-'2022'!Resal)*(1-EXP(('2022'!Tnet-t)/('2022'!Tau_j))),Resal+(Salim-Resal)*(1-EXP((Tnet-t)/(Tau_j))))*Salcycl</f>
        <v>0.11171279956509884</v>
      </c>
      <c r="P157" s="169">
        <f>(INDEX(Models!$BJ157:$BT157,,T157)*(1-R157)+INDEX(Models!$BJ157:$BT157,,T157+1)*R157-ERP_i)*Q157*Ramure*Pc/MaxiM</f>
        <v>3.6479871366466368E-3</v>
      </c>
      <c r="Q157" s="305">
        <f t="shared" si="53"/>
        <v>0.7</v>
      </c>
      <c r="R157" s="177">
        <f t="shared" si="54"/>
        <v>0.66115171546600948</v>
      </c>
      <c r="S157" s="921">
        <f t="shared" si="55"/>
        <v>0</v>
      </c>
      <c r="T157" s="176">
        <f t="shared" si="56"/>
        <v>6</v>
      </c>
      <c r="U157" s="251">
        <f t="shared" si="57"/>
        <v>0.66115171546600948</v>
      </c>
      <c r="V157" s="383">
        <f t="shared" si="58"/>
        <v>50.809645578994953</v>
      </c>
      <c r="W157" s="402">
        <f t="shared" si="59"/>
        <v>15.973189482358936</v>
      </c>
      <c r="X157" s="157">
        <f t="shared" si="60"/>
        <v>45069</v>
      </c>
      <c r="Y157" s="385">
        <f t="shared" si="61"/>
        <v>15.27004086678892</v>
      </c>
      <c r="Z157" s="385">
        <f t="shared" si="62"/>
        <v>15.893136030203738</v>
      </c>
      <c r="AA157" s="386">
        <f t="shared" si="63"/>
        <v>18.715767456354214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0.15081569231574099</v>
      </c>
      <c r="AD157" s="231">
        <f>(INDEX(Models!$BJ157:$BT157,,AH157)*(1-AF157)+INDEX(Models!$BJ157:$BT157,,AH157+1)*AF157-ERP_i)*AE157*Ramure*Pc/MaxiM</f>
        <v>3.6479871366466368E-3</v>
      </c>
      <c r="AE157" s="305">
        <f t="shared" si="65"/>
        <v>0.7</v>
      </c>
      <c r="AF157" s="177">
        <f t="shared" si="66"/>
        <v>0.66115171546600948</v>
      </c>
      <c r="AG157" s="921">
        <f t="shared" si="74"/>
        <v>0</v>
      </c>
      <c r="AH157" s="176">
        <f t="shared" si="67"/>
        <v>6</v>
      </c>
      <c r="AI157" s="225">
        <f t="shared" si="68"/>
        <v>0.66115171546600948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15.18327626867451</v>
      </c>
      <c r="C158" s="955"/>
      <c r="D158" s="393">
        <f t="shared" si="50"/>
        <v>15.803177126289407</v>
      </c>
      <c r="E158" s="385">
        <f t="shared" si="72"/>
        <v>17.793142086960717</v>
      </c>
      <c r="F158" s="385">
        <f t="shared" si="51"/>
        <v>17.793142086960717</v>
      </c>
      <c r="G158" s="110">
        <f t="shared" si="73"/>
        <v>0.29782244771763955</v>
      </c>
      <c r="H158" s="414" t="b">
        <f>Wh_hp&gt;='2022'!Maxi_hp</f>
        <v>0</v>
      </c>
      <c r="I158" s="390">
        <f>IF(H158,Wh_hp,'2022'!Maxi_hp)</f>
        <v>25.770368698840517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3.9226343706776579E-2</v>
      </c>
      <c r="M158" s="959"/>
      <c r="N158" s="959"/>
      <c r="O158" s="48">
        <f>IF(t&lt;Tnet,'2022'!Resal+('2022'!Salim-'2022'!Resal)*(1-EXP(('2022'!Tnet-t)/('2022'!Tau_j))),Resal+(Salim-Resal)*(1-EXP((Tnet-t)/(Tau_j))))*Salcycl</f>
        <v>0.11183887314256928</v>
      </c>
      <c r="P158" s="169">
        <f>(INDEX(Models!$BJ158:$BT158,,T158)*(1-R158)+INDEX(Models!$BJ158:$BT158,,T158+1)*R158-ERP_i)*Q158*Ramure*Pc/MaxiM</f>
        <v>3.7824990047008252E-3</v>
      </c>
      <c r="Q158" s="305">
        <f t="shared" si="53"/>
        <v>0.7</v>
      </c>
      <c r="R158" s="177">
        <f t="shared" si="54"/>
        <v>0.66568549499683904</v>
      </c>
      <c r="S158" s="921">
        <f t="shared" si="55"/>
        <v>0</v>
      </c>
      <c r="T158" s="176">
        <f t="shared" si="56"/>
        <v>6</v>
      </c>
      <c r="U158" s="251">
        <f t="shared" si="57"/>
        <v>0.66568549499683904</v>
      </c>
      <c r="V158" s="383">
        <f t="shared" si="58"/>
        <v>50.788131174184393</v>
      </c>
      <c r="W158" s="402">
        <f t="shared" si="59"/>
        <v>15.18327626867451</v>
      </c>
      <c r="X158" s="157">
        <f t="shared" si="60"/>
        <v>45070</v>
      </c>
      <c r="Y158" s="385">
        <f t="shared" si="61"/>
        <v>14.514947875522866</v>
      </c>
      <c r="Z158" s="385">
        <f t="shared" si="62"/>
        <v>15.107562307154865</v>
      </c>
      <c r="AA158" s="386">
        <f t="shared" si="63"/>
        <v>17.793142086960717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0.15093341955459993</v>
      </c>
      <c r="AD158" s="231">
        <f>(INDEX(Models!$BJ158:$BT158,,AH158)*(1-AF158)+INDEX(Models!$BJ158:$BT158,,AH158+1)*AF158-ERP_i)*AE158*Ramure*Pc/MaxiM</f>
        <v>3.7824990047008252E-3</v>
      </c>
      <c r="AE158" s="305">
        <f t="shared" si="65"/>
        <v>0.7</v>
      </c>
      <c r="AF158" s="177">
        <f t="shared" si="66"/>
        <v>0.66568549499683904</v>
      </c>
      <c r="AG158" s="921">
        <f t="shared" si="74"/>
        <v>0</v>
      </c>
      <c r="AH158" s="176">
        <f t="shared" si="67"/>
        <v>6</v>
      </c>
      <c r="AI158" s="225">
        <f t="shared" si="68"/>
        <v>0.66568549499683904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35.367135585054925</v>
      </c>
      <c r="C159" s="955"/>
      <c r="D159" s="393">
        <f t="shared" si="50"/>
        <v>36.811906739316619</v>
      </c>
      <c r="E159" s="385">
        <f t="shared" si="72"/>
        <v>41.453217710530275</v>
      </c>
      <c r="F159" s="385">
        <f t="shared" si="51"/>
        <v>41.545483461866574</v>
      </c>
      <c r="G159" s="110">
        <f t="shared" si="73"/>
        <v>0.69550538040339771</v>
      </c>
      <c r="H159" s="414" t="b">
        <f>Wh_hp&gt;='2022'!Maxi_hp</f>
        <v>0</v>
      </c>
      <c r="I159" s="390">
        <f>IF(H159,Wh_hp,'2022'!Maxi_hp)</f>
        <v>55.122596698708996</v>
      </c>
      <c r="J159" s="85">
        <f>IF(H159,An,'2022'!An_max)</f>
        <v>2021</v>
      </c>
      <c r="K159" s="197">
        <f t="shared" si="52"/>
        <v>45071</v>
      </c>
      <c r="L159" s="147">
        <f>IF(t&lt;Tvie,1-EXP((T0-t)*PertePVj)+'2022'!Pspv,1-EXP((T0-t)*PertePVj)+Pspv)</f>
        <v>3.9247387115610044E-2</v>
      </c>
      <c r="M159" s="959"/>
      <c r="N159" s="959"/>
      <c r="O159" s="48">
        <f>IF(t&lt;Tnet,'2022'!Resal+('2022'!Salim-'2022'!Resal)*(1-EXP(('2022'!Tnet-t)/('2022'!Tau_j))),Resal+(Salim-Resal)*(1-EXP((Tnet-t)/(Tau_j))))*Salcycl</f>
        <v>0.11196503498532123</v>
      </c>
      <c r="P159" s="169">
        <f>(INDEX(Models!$BJ159:$BT159,,T159)*(1-R159)+INDEX(Models!$BJ159:$BT159,,T159+1)*R159-ERP_i)*Q159*Ramure*Pc/MaxiM</f>
        <v>3.9188836360594601E-3</v>
      </c>
      <c r="Q159" s="305">
        <f t="shared" si="53"/>
        <v>0.7</v>
      </c>
      <c r="R159" s="177">
        <f t="shared" si="54"/>
        <v>0.67028226041455607</v>
      </c>
      <c r="S159" s="921">
        <f t="shared" si="55"/>
        <v>0</v>
      </c>
      <c r="T159" s="176">
        <f t="shared" si="56"/>
        <v>6</v>
      </c>
      <c r="U159" s="251">
        <f t="shared" si="57"/>
        <v>0.67028226041455607</v>
      </c>
      <c r="V159" s="383">
        <f t="shared" si="58"/>
        <v>50.764448225348247</v>
      </c>
      <c r="W159" s="402">
        <f t="shared" si="59"/>
        <v>35.367135585054925</v>
      </c>
      <c r="X159" s="157">
        <f t="shared" si="60"/>
        <v>45071</v>
      </c>
      <c r="Y159" s="385">
        <f t="shared" si="61"/>
        <v>33.810477141112187</v>
      </c>
      <c r="Z159" s="385">
        <f t="shared" si="62"/>
        <v>35.191657756314314</v>
      </c>
      <c r="AA159" s="386">
        <f t="shared" si="63"/>
        <v>41.453217710530275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0.15105124041131671</v>
      </c>
      <c r="AD159" s="231">
        <f>(INDEX(Models!$BJ159:$BT159,,AH159)*(1-AF159)+INDEX(Models!$BJ159:$BT159,,AH159+1)*AF159-ERP_i)*AE159*Ramure*Pc/MaxiM</f>
        <v>3.9188836360594601E-3</v>
      </c>
      <c r="AE159" s="305">
        <f t="shared" si="65"/>
        <v>0.7</v>
      </c>
      <c r="AF159" s="177">
        <f t="shared" si="66"/>
        <v>0.67028226041455607</v>
      </c>
      <c r="AG159" s="921">
        <f t="shared" si="74"/>
        <v>0</v>
      </c>
      <c r="AH159" s="176">
        <f t="shared" si="67"/>
        <v>6</v>
      </c>
      <c r="AI159" s="225">
        <f t="shared" si="68"/>
        <v>0.67028226041455607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24.066111594784957</v>
      </c>
      <c r="C160" s="955"/>
      <c r="D160" s="393">
        <f t="shared" si="50"/>
        <v>25.04977701146699</v>
      </c>
      <c r="E160" s="385">
        <f t="shared" si="72"/>
        <v>28.21210552679187</v>
      </c>
      <c r="F160" s="385">
        <f t="shared" si="51"/>
        <v>28.240637255122209</v>
      </c>
      <c r="G160" s="110">
        <f t="shared" si="73"/>
        <v>0.47286812835972347</v>
      </c>
      <c r="H160" s="414" t="b">
        <f>Wh_hp&gt;='2022'!Maxi_hp</f>
        <v>0</v>
      </c>
      <c r="I160" s="390">
        <f>IF(H160,Wh_hp,'2022'!Maxi_hp)</f>
        <v>58.823190702914935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3.9268430063538751E-2</v>
      </c>
      <c r="M160" s="959"/>
      <c r="N160" s="959"/>
      <c r="O160" s="48">
        <f>IF(t&lt;Tnet,'2022'!Resal+('2022'!Salim-'2022'!Resal)*(1-EXP(('2022'!Tnet-t)/('2022'!Tau_j))),Resal+(Salim-Resal)*(1-EXP((Tnet-t)/(Tau_j))))*Salcycl</f>
        <v>0.11209119122008626</v>
      </c>
      <c r="P160" s="169">
        <f>(INDEX(Models!$BJ160:$BT160,,T160)*(1-R160)+INDEX(Models!$BJ160:$BT160,,T160+1)*R160-ERP_i)*Q160*Ramure*Pc/MaxiM</f>
        <v>4.0571169243294736E-3</v>
      </c>
      <c r="Q160" s="305">
        <f t="shared" si="53"/>
        <v>0.7</v>
      </c>
      <c r="R160" s="177">
        <f t="shared" si="54"/>
        <v>0.6749393727553884</v>
      </c>
      <c r="S160" s="921">
        <f t="shared" si="55"/>
        <v>0</v>
      </c>
      <c r="T160" s="176">
        <f t="shared" si="56"/>
        <v>6</v>
      </c>
      <c r="U160" s="251">
        <f t="shared" si="57"/>
        <v>0.6749393727553884</v>
      </c>
      <c r="V160" s="383">
        <f t="shared" si="58"/>
        <v>50.738696785139688</v>
      </c>
      <c r="W160" s="402">
        <f t="shared" si="59"/>
        <v>24.066111594784957</v>
      </c>
      <c r="X160" s="157">
        <f t="shared" si="60"/>
        <v>45072</v>
      </c>
      <c r="Y160" s="385">
        <f t="shared" si="61"/>
        <v>23.006935722689821</v>
      </c>
      <c r="Z160" s="385">
        <f t="shared" si="62"/>
        <v>23.947308949378446</v>
      </c>
      <c r="AA160" s="386">
        <f t="shared" si="63"/>
        <v>28.21210552679187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0.15116902825148312</v>
      </c>
      <c r="AD160" s="231">
        <f>(INDEX(Models!$BJ160:$BT160,,AH160)*(1-AF160)+INDEX(Models!$BJ160:$BT160,,AH160+1)*AF160-ERP_i)*AE160*Ramure*Pc/MaxiM</f>
        <v>4.0571169243294736E-3</v>
      </c>
      <c r="AE160" s="305">
        <f t="shared" si="65"/>
        <v>0.7</v>
      </c>
      <c r="AF160" s="177">
        <f t="shared" si="66"/>
        <v>0.6749393727553884</v>
      </c>
      <c r="AG160" s="921">
        <f t="shared" si="74"/>
        <v>0</v>
      </c>
      <c r="AH160" s="176">
        <f t="shared" si="67"/>
        <v>6</v>
      </c>
      <c r="AI160" s="225">
        <f t="shared" si="68"/>
        <v>0.6749393727553884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38.352050516653243</v>
      </c>
      <c r="C161" s="955"/>
      <c r="D161" s="393">
        <f t="shared" si="50"/>
        <v>39.920506147125714</v>
      </c>
      <c r="E161" s="385">
        <f t="shared" si="72"/>
        <v>44.966525877047204</v>
      </c>
      <c r="F161" s="385">
        <f t="shared" si="51"/>
        <v>45.08988625782554</v>
      </c>
      <c r="G161" s="110">
        <f t="shared" si="73"/>
        <v>0.75517876712467469</v>
      </c>
      <c r="H161" s="414" t="b">
        <f>Wh_hp&gt;='2022'!Maxi_hp</f>
        <v>0</v>
      </c>
      <c r="I161" s="390">
        <f>IF(H161,Wh_hp,'2022'!Maxi_hp)</f>
        <v>60.55384086599669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3.9289472550572913E-2</v>
      </c>
      <c r="M161" s="959"/>
      <c r="N161" s="959"/>
      <c r="O161" s="48">
        <f>IF(t&lt;Tnet,'2022'!Resal+('2022'!Salim-'2022'!Resal)*(1-EXP(('2022'!Tnet-t)/('2022'!Tau_j))),Resal+(Salim-Resal)*(1-EXP((Tnet-t)/(Tau_j))))*Salcycl</f>
        <v>0.1122172467519265</v>
      </c>
      <c r="P161" s="169">
        <f>(INDEX(Models!$BJ161:$BT161,,T161)*(1-R161)+INDEX(Models!$BJ161:$BT161,,T161+1)*R161-ERP_i)*Q161*Ramure*Pc/MaxiM</f>
        <v>4.1971698845076448E-3</v>
      </c>
      <c r="Q161" s="305">
        <f t="shared" si="53"/>
        <v>0.7</v>
      </c>
      <c r="R161" s="177">
        <f t="shared" si="54"/>
        <v>0.67965402014636433</v>
      </c>
      <c r="S161" s="921">
        <f t="shared" si="55"/>
        <v>0</v>
      </c>
      <c r="T161" s="176">
        <f t="shared" si="56"/>
        <v>6</v>
      </c>
      <c r="U161" s="251">
        <f t="shared" si="57"/>
        <v>0.67965402014636433</v>
      </c>
      <c r="V161" s="383">
        <f t="shared" si="58"/>
        <v>50.710977128351345</v>
      </c>
      <c r="W161" s="402">
        <f t="shared" si="59"/>
        <v>38.352050516653243</v>
      </c>
      <c r="X161" s="157">
        <f t="shared" si="60"/>
        <v>45073</v>
      </c>
      <c r="Y161" s="385">
        <f t="shared" si="61"/>
        <v>36.664259317603616</v>
      </c>
      <c r="Z161" s="385">
        <f t="shared" si="62"/>
        <v>38.163690591528017</v>
      </c>
      <c r="AA161" s="386">
        <f t="shared" si="63"/>
        <v>44.966525877047204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0.15128665496908308</v>
      </c>
      <c r="AD161" s="231">
        <f>(INDEX(Models!$BJ161:$BT161,,AH161)*(1-AF161)+INDEX(Models!$BJ161:$BT161,,AH161+1)*AF161-ERP_i)*AE161*Ramure*Pc/MaxiM</f>
        <v>4.1971698845076448E-3</v>
      </c>
      <c r="AE161" s="305">
        <f t="shared" si="65"/>
        <v>0.7</v>
      </c>
      <c r="AF161" s="177">
        <f t="shared" si="66"/>
        <v>0.67965402014636433</v>
      </c>
      <c r="AG161" s="921">
        <f t="shared" si="74"/>
        <v>0</v>
      </c>
      <c r="AH161" s="176">
        <f t="shared" si="67"/>
        <v>6</v>
      </c>
      <c r="AI161" s="225">
        <f t="shared" si="68"/>
        <v>0.67965402014636433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47.2366904713003</v>
      </c>
      <c r="C162" s="955"/>
      <c r="D162" s="393">
        <f t="shared" si="50"/>
        <v>49.169571633739629</v>
      </c>
      <c r="E162" s="385">
        <f t="shared" si="72"/>
        <v>55.392541805972662</v>
      </c>
      <c r="F162" s="385">
        <f t="shared" si="51"/>
        <v>55.610406973153339</v>
      </c>
      <c r="G162" s="110">
        <f t="shared" si="73"/>
        <v>0.93163805218194351</v>
      </c>
      <c r="H162" s="414" t="b">
        <f>Wh_hp&gt;='2022'!Maxi_hp</f>
        <v>0</v>
      </c>
      <c r="I162" s="390">
        <f>IF(H162,Wh_hp,'2022'!Maxi_hp)</f>
        <v>57.676626455771242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3.9310514576722633E-2</v>
      </c>
      <c r="M162" s="959"/>
      <c r="N162" s="959"/>
      <c r="O162" s="48">
        <f>IF(t&lt;Tnet,'2022'!Resal+('2022'!Salim-'2022'!Resal)*(1-EXP(('2022'!Tnet-t)/('2022'!Tau_j))),Resal+(Salim-Resal)*(1-EXP((Tnet-t)/(Tau_j))))*Salcycl</f>
        <v>0.1123431055760299</v>
      </c>
      <c r="P162" s="169">
        <f>(INDEX(Models!$BJ162:$BT162,,T162)*(1-R162)+INDEX(Models!$BJ162:$BT162,,T162+1)*R162-ERP_i)*Q162*Ramure*Pc/MaxiM</f>
        <v>4.3390086586968966E-3</v>
      </c>
      <c r="Q162" s="305">
        <f t="shared" si="53"/>
        <v>0.7</v>
      </c>
      <c r="R162" s="177">
        <f t="shared" si="54"/>
        <v>0.68442322252790666</v>
      </c>
      <c r="S162" s="921">
        <f t="shared" si="55"/>
        <v>0</v>
      </c>
      <c r="T162" s="176">
        <f t="shared" si="56"/>
        <v>6</v>
      </c>
      <c r="U162" s="251">
        <f t="shared" si="57"/>
        <v>0.68442322252790666</v>
      </c>
      <c r="V162" s="383">
        <f t="shared" si="58"/>
        <v>50.68138972576422</v>
      </c>
      <c r="W162" s="402">
        <f t="shared" si="59"/>
        <v>47.2366904713003</v>
      </c>
      <c r="X162" s="157">
        <f t="shared" si="60"/>
        <v>45074</v>
      </c>
      <c r="Y162" s="385">
        <f t="shared" si="61"/>
        <v>45.158064162862431</v>
      </c>
      <c r="Z162" s="385">
        <f t="shared" si="62"/>
        <v>47.005889882271276</v>
      </c>
      <c r="AA162" s="386">
        <f t="shared" si="63"/>
        <v>55.392541805972662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0.15140399140876942</v>
      </c>
      <c r="AD162" s="231">
        <f>(INDEX(Models!$BJ162:$BT162,,AH162)*(1-AF162)+INDEX(Models!$BJ162:$BT162,,AH162+1)*AF162-ERP_i)*AE162*Ramure*Pc/MaxiM</f>
        <v>4.3390086586968966E-3</v>
      </c>
      <c r="AE162" s="305">
        <f t="shared" si="65"/>
        <v>0.7</v>
      </c>
      <c r="AF162" s="177">
        <f t="shared" si="66"/>
        <v>0.68442322252790666</v>
      </c>
      <c r="AG162" s="921">
        <f t="shared" si="74"/>
        <v>0</v>
      </c>
      <c r="AH162" s="176">
        <f t="shared" si="67"/>
        <v>6</v>
      </c>
      <c r="AI162" s="225">
        <f t="shared" si="68"/>
        <v>0.68442322252790666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51.141608085997774</v>
      </c>
      <c r="C163" s="955"/>
      <c r="D163" s="393">
        <f t="shared" si="50"/>
        <v>53.235440815163386</v>
      </c>
      <c r="E163" s="385">
        <f t="shared" si="72"/>
        <v>59.981477928545281</v>
      </c>
      <c r="F163" s="385">
        <f t="shared" si="51"/>
        <v>60.251561411651252</v>
      </c>
      <c r="G163" s="110">
        <f t="shared" si="73"/>
        <v>1.0097058919531767</v>
      </c>
      <c r="H163" s="414" t="b">
        <f>Wh_hp&gt;='2022'!Maxi_hp</f>
        <v>1</v>
      </c>
      <c r="I163" s="390">
        <f>IF(H163,Wh_hp,'2022'!Maxi_hp)</f>
        <v>60.251561411651252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3.9331556141998014E-2</v>
      </c>
      <c r="M163" s="959"/>
      <c r="N163" s="959"/>
      <c r="O163" s="48">
        <f>IF(t&lt;Tnet,'2022'!Resal+('2022'!Salim-'2022'!Resal)*(1-EXP(('2022'!Tnet-t)/('2022'!Tau_j))),Resal+(Salim-Resal)*(1-EXP((Tnet-t)/(Tau_j))))*Salcycl</f>
        <v>0.11246867110240787</v>
      </c>
      <c r="P163" s="169">
        <f>(INDEX(Models!$BJ163:$BT163,,T163)*(1-R163)+INDEX(Models!$BJ163:$BT163,,T163+1)*R163-ERP_i)*Q163*Ramure*Pc/MaxiM</f>
        <v>4.4825972435917792E-3</v>
      </c>
      <c r="Q163" s="305">
        <f t="shared" si="53"/>
        <v>0.7</v>
      </c>
      <c r="R163" s="177">
        <f t="shared" si="54"/>
        <v>0.68924383735912864</v>
      </c>
      <c r="S163" s="921">
        <f t="shared" si="55"/>
        <v>0</v>
      </c>
      <c r="T163" s="176">
        <f t="shared" si="56"/>
        <v>6</v>
      </c>
      <c r="U163" s="251">
        <f t="shared" si="57"/>
        <v>0.68924383735912864</v>
      </c>
      <c r="V163" s="383">
        <f t="shared" si="58"/>
        <v>50.650004613788454</v>
      </c>
      <c r="W163" s="402">
        <f t="shared" si="59"/>
        <v>51.141608085997774</v>
      </c>
      <c r="X163" s="157">
        <f t="shared" si="60"/>
        <v>45075</v>
      </c>
      <c r="Y163" s="385">
        <f t="shared" si="61"/>
        <v>48.89132787697352</v>
      </c>
      <c r="Z163" s="385">
        <f t="shared" si="62"/>
        <v>50.89302994134804</v>
      </c>
      <c r="AA163" s="386">
        <f t="shared" si="63"/>
        <v>59.981477928545281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0.15152090780464134</v>
      </c>
      <c r="AD163" s="231">
        <f>(INDEX(Models!$BJ163:$BT163,,AH163)*(1-AF163)+INDEX(Models!$BJ163:$BT163,,AH163+1)*AF163-ERP_i)*AE163*Ramure*Pc/MaxiM</f>
        <v>4.4825972435917792E-3</v>
      </c>
      <c r="AE163" s="305">
        <f t="shared" si="65"/>
        <v>0.7</v>
      </c>
      <c r="AF163" s="177">
        <f t="shared" si="66"/>
        <v>0.68924383735912864</v>
      </c>
      <c r="AG163" s="921">
        <f t="shared" si="74"/>
        <v>0</v>
      </c>
      <c r="AH163" s="176">
        <f t="shared" si="67"/>
        <v>6</v>
      </c>
      <c r="AI163" s="225">
        <f t="shared" si="68"/>
        <v>0.68924383735912864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42.849757680025391</v>
      </c>
      <c r="C164" s="955"/>
      <c r="D164" s="393">
        <f t="shared" si="50"/>
        <v>44.605083568852876</v>
      </c>
      <c r="E164" s="385">
        <f t="shared" si="72"/>
        <v>50.264564193648148</v>
      </c>
      <c r="F164" s="385">
        <f t="shared" si="51"/>
        <v>50.446781813587194</v>
      </c>
      <c r="G164" s="110">
        <f t="shared" si="73"/>
        <v>0.84568952453710311</v>
      </c>
      <c r="H164" s="414" t="b">
        <f>Wh_hp&gt;='2022'!Maxi_hp</f>
        <v>0</v>
      </c>
      <c r="I164" s="390">
        <f>IF(H164,Wh_hp,'2022'!Maxi_hp)</f>
        <v>58.524365554999449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3.9352597246409049E-2</v>
      </c>
      <c r="M164" s="959"/>
      <c r="N164" s="959"/>
      <c r="O164" s="48">
        <f>IF(t&lt;Tnet,'2022'!Resal+('2022'!Salim-'2022'!Resal)*(1-EXP(('2022'!Tnet-t)/('2022'!Tau_j))),Resal+(Salim-Resal)*(1-EXP((Tnet-t)/(Tau_j))))*Salcycl</f>
        <v>0.11259384649176861</v>
      </c>
      <c r="P164" s="169">
        <f>(INDEX(Models!$BJ164:$BT164,,T164)*(1-R164)+INDEX(Models!$BJ164:$BT164,,T164+1)*R164-ERP_i)*Q164*Ramure*Pc/MaxiM</f>
        <v>4.6261971577371726E-3</v>
      </c>
      <c r="Q164" s="305">
        <f t="shared" si="53"/>
        <v>0.7</v>
      </c>
      <c r="R164" s="177">
        <f t="shared" si="54"/>
        <v>0.69411256629921625</v>
      </c>
      <c r="S164" s="921">
        <f t="shared" si="55"/>
        <v>0</v>
      </c>
      <c r="T164" s="176">
        <f t="shared" si="56"/>
        <v>6</v>
      </c>
      <c r="U164" s="251">
        <f t="shared" si="57"/>
        <v>0.69411256629921625</v>
      </c>
      <c r="V164" s="383">
        <f t="shared" si="58"/>
        <v>50.61685650528338</v>
      </c>
      <c r="W164" s="402">
        <f t="shared" si="59"/>
        <v>42.849757680025391</v>
      </c>
      <c r="X164" s="157">
        <f t="shared" si="60"/>
        <v>45076</v>
      </c>
      <c r="Y164" s="385">
        <f t="shared" si="61"/>
        <v>40.964486306706299</v>
      </c>
      <c r="Z164" s="385">
        <f t="shared" si="62"/>
        <v>42.642582688805561</v>
      </c>
      <c r="AA164" s="386">
        <f t="shared" si="63"/>
        <v>50.264564193648148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0.1516372742331617</v>
      </c>
      <c r="AD164" s="231">
        <f>(INDEX(Models!$BJ164:$BT164,,AH164)*(1-AF164)+INDEX(Models!$BJ164:$BT164,,AH164+1)*AF164-ERP_i)*AE164*Ramure*Pc/MaxiM</f>
        <v>4.6261971577371726E-3</v>
      </c>
      <c r="AE164" s="305">
        <f t="shared" si="65"/>
        <v>0.7</v>
      </c>
      <c r="AF164" s="177">
        <f t="shared" si="66"/>
        <v>0.69411256629921625</v>
      </c>
      <c r="AG164" s="921">
        <f t="shared" si="74"/>
        <v>0</v>
      </c>
      <c r="AH164" s="176">
        <f t="shared" si="67"/>
        <v>6</v>
      </c>
      <c r="AI164" s="225">
        <f t="shared" si="68"/>
        <v>0.69411256629921625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47.608441824801787</v>
      </c>
      <c r="C165" s="955"/>
      <c r="D165" s="393">
        <f t="shared" si="50"/>
        <v>49.559791093208126</v>
      </c>
      <c r="E165" s="385">
        <f t="shared" si="72"/>
        <v>55.855771869693136</v>
      </c>
      <c r="F165" s="385">
        <f t="shared" si="51"/>
        <v>56.100904600639154</v>
      </c>
      <c r="G165" s="110">
        <f t="shared" si="73"/>
        <v>0.94083726585921856</v>
      </c>
      <c r="H165" s="414" t="b">
        <f>Wh_hp&gt;='2022'!Maxi_hp</f>
        <v>0</v>
      </c>
      <c r="I165" s="390">
        <f>IF(H165,Wh_hp,'2022'!Maxi_hp)</f>
        <v>59.313017833892296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3.9373637889965951E-2</v>
      </c>
      <c r="M165" s="959"/>
      <c r="N165" s="959"/>
      <c r="O165" s="48">
        <f>IF(t&lt;Tnet,'2022'!Resal+('2022'!Salim-'2022'!Resal)*(1-EXP(('2022'!Tnet-t)/('2022'!Tau_j))),Resal+(Salim-Resal)*(1-EXP((Tnet-t)/(Tau_j))))*Salcycl</f>
        <v>0.11271853500069812</v>
      </c>
      <c r="P165" s="169">
        <f>(INDEX(Models!$BJ165:$BT165,,T165)*(1-R165)+INDEX(Models!$BJ165:$BT165,,T165+1)*R165-ERP_i)*Q165*Ramure*Pc/MaxiM</f>
        <v>4.7700745046578962E-3</v>
      </c>
      <c r="Q165" s="305">
        <f t="shared" si="53"/>
        <v>0.7</v>
      </c>
      <c r="R165" s="177">
        <f t="shared" si="54"/>
        <v>0.69902596284884289</v>
      </c>
      <c r="S165" s="921">
        <f t="shared" si="55"/>
        <v>0</v>
      </c>
      <c r="T165" s="176">
        <f t="shared" si="56"/>
        <v>6</v>
      </c>
      <c r="U165" s="251">
        <f t="shared" si="57"/>
        <v>0.69902596284884289</v>
      </c>
      <c r="V165" s="383">
        <f t="shared" si="58"/>
        <v>50.581847660756267</v>
      </c>
      <c r="W165" s="402">
        <f t="shared" si="59"/>
        <v>47.608441824801787</v>
      </c>
      <c r="X165" s="157">
        <f t="shared" si="60"/>
        <v>45077</v>
      </c>
      <c r="Y165" s="385">
        <f t="shared" si="61"/>
        <v>45.513990090648448</v>
      </c>
      <c r="Z165" s="385">
        <f t="shared" si="62"/>
        <v>47.379493095188543</v>
      </c>
      <c r="AA165" s="386">
        <f t="shared" si="63"/>
        <v>55.855771869693136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0.151752961077667</v>
      </c>
      <c r="AD165" s="231">
        <f>(INDEX(Models!$BJ165:$BT165,,AH165)*(1-AF165)+INDEX(Models!$BJ165:$BT165,,AH165+1)*AF165-ERP_i)*AE165*Ramure*Pc/MaxiM</f>
        <v>4.7700745046578962E-3</v>
      </c>
      <c r="AE165" s="305">
        <f t="shared" si="65"/>
        <v>0.7</v>
      </c>
      <c r="AF165" s="177">
        <f t="shared" si="66"/>
        <v>0.69902596284884289</v>
      </c>
      <c r="AG165" s="921">
        <f t="shared" si="74"/>
        <v>0</v>
      </c>
      <c r="AH165" s="176">
        <f t="shared" si="67"/>
        <v>6</v>
      </c>
      <c r="AI165" s="225">
        <f t="shared" si="68"/>
        <v>0.69902596284884289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48.388938040901394</v>
      </c>
      <c r="C166" s="955"/>
      <c r="D166" s="393">
        <f t="shared" si="50"/>
        <v>50.373381175752499</v>
      </c>
      <c r="E166" s="385">
        <f t="shared" si="72"/>
        <v>56.780660868017613</v>
      </c>
      <c r="F166" s="385">
        <f t="shared" si="51"/>
        <v>57.043902571375526</v>
      </c>
      <c r="G166" s="110">
        <f t="shared" si="73"/>
        <v>0.95705766068950604</v>
      </c>
      <c r="H166" s="414" t="b">
        <f>Wh_hp&gt;='2022'!Maxi_hp</f>
        <v>0</v>
      </c>
      <c r="I166" s="390">
        <f>IF(H166,Wh_hp,'2022'!Maxi_hp)</f>
        <v>60.331915443766647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3.9394678072678713E-2</v>
      </c>
      <c r="M166" s="959"/>
      <c r="N166" s="959"/>
      <c r="O166" s="48">
        <f>IF(t&lt;Tnet,'2022'!Resal+('2022'!Salim-'2022'!Resal)*(1-EXP(('2022'!Tnet-t)/('2022'!Tau_j))),Resal+(Salim-Resal)*(1-EXP((Tnet-t)/(Tau_j))))*Salcycl</f>
        <v>0.11284264033415108</v>
      </c>
      <c r="P166" s="169">
        <f>(INDEX(Models!$BJ166:$BT166,,T166)*(1-R166)+INDEX(Models!$BJ166:$BT166,,T166+1)*R166-ERP_i)*Q166*Ramure*Pc/MaxiM</f>
        <v>4.9141646388513307E-3</v>
      </c>
      <c r="Q166" s="305">
        <f t="shared" si="53"/>
        <v>0.7</v>
      </c>
      <c r="R166" s="177">
        <f t="shared" si="54"/>
        <v>0.70398044092592515</v>
      </c>
      <c r="S166" s="921">
        <f t="shared" si="55"/>
        <v>0</v>
      </c>
      <c r="T166" s="176">
        <f t="shared" si="56"/>
        <v>6</v>
      </c>
      <c r="U166" s="251">
        <f t="shared" si="57"/>
        <v>0.70398044092592515</v>
      </c>
      <c r="V166" s="383">
        <f t="shared" si="58"/>
        <v>50.544897239718537</v>
      </c>
      <c r="W166" s="402">
        <f t="shared" si="59"/>
        <v>48.388938040901394</v>
      </c>
      <c r="X166" s="157">
        <f t="shared" si="60"/>
        <v>45078</v>
      </c>
      <c r="Y166" s="385">
        <f t="shared" si="61"/>
        <v>46.260355186934575</v>
      </c>
      <c r="Z166" s="385">
        <f t="shared" si="62"/>
        <v>48.15750457650973</v>
      </c>
      <c r="AA166" s="386">
        <f t="shared" si="63"/>
        <v>56.780660868017613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0.15186783950175856</v>
      </c>
      <c r="AD166" s="231">
        <f>(INDEX(Models!$BJ166:$BT166,,AH166)*(1-AF166)+INDEX(Models!$BJ166:$BT166,,AH166+1)*AF166-ERP_i)*AE166*Ramure*Pc/MaxiM</f>
        <v>4.9141646388513307E-3</v>
      </c>
      <c r="AE166" s="305">
        <f t="shared" si="65"/>
        <v>0.7</v>
      </c>
      <c r="AF166" s="177">
        <f t="shared" si="66"/>
        <v>0.70398044092592515</v>
      </c>
      <c r="AG166" s="921">
        <f t="shared" si="74"/>
        <v>0</v>
      </c>
      <c r="AH166" s="176">
        <f t="shared" si="67"/>
        <v>6</v>
      </c>
      <c r="AI166" s="225">
        <f t="shared" si="68"/>
        <v>0.70398044092592515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38.303384391119344</v>
      </c>
      <c r="C167" s="955"/>
      <c r="D167" s="393">
        <f t="shared" si="50"/>
        <v>39.875089672690798</v>
      </c>
      <c r="E167" s="385">
        <f t="shared" si="72"/>
        <v>44.953285538888245</v>
      </c>
      <c r="F167" s="385">
        <f t="shared" si="51"/>
        <v>45.102687546591909</v>
      </c>
      <c r="G167" s="110">
        <f t="shared" si="73"/>
        <v>0.75706539416624952</v>
      </c>
      <c r="H167" s="414" t="b">
        <f>Wh_hp&gt;='2022'!Maxi_hp</f>
        <v>0</v>
      </c>
      <c r="I167" s="390">
        <f>IF(H167,Wh_hp,'2022'!Maxi_hp)</f>
        <v>59.300139796564821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3.9415717794557548E-2</v>
      </c>
      <c r="M167" s="959"/>
      <c r="N167" s="959"/>
      <c r="O167" s="48">
        <f>IF(t&lt;Tnet,'2022'!Resal+('2022'!Salim-'2022'!Resal)*(1-EXP(('2022'!Tnet-t)/('2022'!Tau_j))),Resal+(Salim-Resal)*(1-EXP((Tnet-t)/(Tau_j))))*Salcycl</f>
        <v>0.11296606700314253</v>
      </c>
      <c r="P167" s="169">
        <f>(INDEX(Models!$BJ167:$BT167,,T167)*(1-R167)+INDEX(Models!$BJ167:$BT167,,T167+1)*R167-ERP_i)*Q167*Ramure*Pc/MaxiM</f>
        <v>5.058400783730971E-3</v>
      </c>
      <c r="Q167" s="305">
        <f t="shared" si="53"/>
        <v>0.7</v>
      </c>
      <c r="R167" s="177">
        <f t="shared" si="54"/>
        <v>0.70897228434033777</v>
      </c>
      <c r="S167" s="921">
        <f t="shared" si="55"/>
        <v>0</v>
      </c>
      <c r="T167" s="176">
        <f t="shared" si="56"/>
        <v>6</v>
      </c>
      <c r="U167" s="251">
        <f t="shared" si="57"/>
        <v>0.70897228434033777</v>
      </c>
      <c r="V167" s="383">
        <f t="shared" si="58"/>
        <v>50.50592455081955</v>
      </c>
      <c r="W167" s="402">
        <f t="shared" si="59"/>
        <v>38.303384391119344</v>
      </c>
      <c r="X167" s="157">
        <f t="shared" si="60"/>
        <v>45079</v>
      </c>
      <c r="Y167" s="385">
        <f t="shared" si="61"/>
        <v>36.618630436961475</v>
      </c>
      <c r="Z167" s="385">
        <f t="shared" si="62"/>
        <v>38.121205099137526</v>
      </c>
      <c r="AA167" s="386">
        <f t="shared" si="63"/>
        <v>44.953285538888245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0.15198178192871842</v>
      </c>
      <c r="AD167" s="231">
        <f>(INDEX(Models!$BJ167:$BT167,,AH167)*(1-AF167)+INDEX(Models!$BJ167:$BT167,,AH167+1)*AF167-ERP_i)*AE167*Ramure*Pc/MaxiM</f>
        <v>5.058400783730971E-3</v>
      </c>
      <c r="AE167" s="305">
        <f t="shared" si="65"/>
        <v>0.7</v>
      </c>
      <c r="AF167" s="177">
        <f t="shared" si="66"/>
        <v>0.70897228434033777</v>
      </c>
      <c r="AG167" s="921">
        <f t="shared" si="74"/>
        <v>0</v>
      </c>
      <c r="AH167" s="176">
        <f t="shared" si="67"/>
        <v>6</v>
      </c>
      <c r="AI167" s="225">
        <f t="shared" si="68"/>
        <v>0.70897228434033777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48.112486305712935</v>
      </c>
      <c r="C168" s="955"/>
      <c r="D168" s="393">
        <f t="shared" si="50"/>
        <v>50.087786159956607</v>
      </c>
      <c r="E168" s="385">
        <f t="shared" si="72"/>
        <v>56.474404292914222</v>
      </c>
      <c r="F168" s="385">
        <f t="shared" si="51"/>
        <v>56.749996976772721</v>
      </c>
      <c r="G168" s="110">
        <f t="shared" si="73"/>
        <v>0.95305419669854363</v>
      </c>
      <c r="H168" s="414" t="b">
        <f>Wh_hp&gt;='2022'!Maxi_hp</f>
        <v>0</v>
      </c>
      <c r="I168" s="390">
        <f>IF(H168,Wh_hp,'2022'!Maxi_hp)</f>
        <v>56.753164190064147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3.9436757055612337E-2</v>
      </c>
      <c r="M168" s="959"/>
      <c r="N168" s="959"/>
      <c r="O168" s="48">
        <f>IF(t&lt;Tnet,'2022'!Resal+('2022'!Salim-'2022'!Resal)*(1-EXP(('2022'!Tnet-t)/('2022'!Tau_j))),Resal+(Salim-Resal)*(1-EXP((Tnet-t)/(Tau_j))))*Salcycl</f>
        <v>0.11308872068543337</v>
      </c>
      <c r="P168" s="169">
        <f>(INDEX(Models!$BJ168:$BT168,,T168)*(1-R168)+INDEX(Models!$BJ168:$BT168,,T168+1)*R168-ERP_i)*Q168*Ramure*Pc/MaxiM</f>
        <v>5.2027143358187502E-3</v>
      </c>
      <c r="Q168" s="305">
        <f t="shared" si="53"/>
        <v>0.7</v>
      </c>
      <c r="R168" s="177">
        <f t="shared" si="54"/>
        <v>0.71399765712260965</v>
      </c>
      <c r="S168" s="921">
        <f t="shared" si="55"/>
        <v>0</v>
      </c>
      <c r="T168" s="176">
        <f t="shared" si="56"/>
        <v>6</v>
      </c>
      <c r="U168" s="251">
        <f t="shared" si="57"/>
        <v>0.71399765712260965</v>
      </c>
      <c r="V168" s="383">
        <f t="shared" si="58"/>
        <v>50.464849010475795</v>
      </c>
      <c r="W168" s="402">
        <f t="shared" si="59"/>
        <v>48.112486305712935</v>
      </c>
      <c r="X168" s="157">
        <f t="shared" si="60"/>
        <v>45080</v>
      </c>
      <c r="Y168" s="385">
        <f t="shared" si="61"/>
        <v>45.996521737082723</v>
      </c>
      <c r="Z168" s="385">
        <f t="shared" si="62"/>
        <v>47.884948830741088</v>
      </c>
      <c r="AA168" s="386">
        <f t="shared" si="63"/>
        <v>56.474404292914222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0.15209466252397191</v>
      </c>
      <c r="AD168" s="231">
        <f>(INDEX(Models!$BJ168:$BT168,,AH168)*(1-AF168)+INDEX(Models!$BJ168:$BT168,,AH168+1)*AF168-ERP_i)*AE168*Ramure*Pc/MaxiM</f>
        <v>5.2027143358187502E-3</v>
      </c>
      <c r="AE168" s="305">
        <f t="shared" si="65"/>
        <v>0.7</v>
      </c>
      <c r="AF168" s="177">
        <f t="shared" si="66"/>
        <v>0.71399765712260965</v>
      </c>
      <c r="AG168" s="921">
        <f t="shared" si="74"/>
        <v>0</v>
      </c>
      <c r="AH168" s="176">
        <f t="shared" si="67"/>
        <v>6</v>
      </c>
      <c r="AI168" s="225">
        <f t="shared" si="68"/>
        <v>0.71399765712260965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19.925393412219311</v>
      </c>
      <c r="C169" s="955"/>
      <c r="D169" s="393">
        <f t="shared" si="50"/>
        <v>20.743902065160217</v>
      </c>
      <c r="E169" s="385">
        <f t="shared" si="72"/>
        <v>23.392137892957418</v>
      </c>
      <c r="F169" s="385">
        <f t="shared" si="51"/>
        <v>23.409156633408436</v>
      </c>
      <c r="G169" s="110">
        <f t="shared" si="73"/>
        <v>0.39334877421504122</v>
      </c>
      <c r="H169" s="414" t="b">
        <f>Wh_hp&gt;='2022'!Maxi_hp</f>
        <v>0</v>
      </c>
      <c r="I169" s="390">
        <f>IF(H169,Wh_hp,'2022'!Maxi_hp)</f>
        <v>57.111684044434135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3.9457795855853406E-2</v>
      </c>
      <c r="M169" s="959"/>
      <c r="N169" s="959"/>
      <c r="O169" s="48">
        <f>IF(t&lt;Tnet,'2022'!Resal+('2022'!Salim-'2022'!Resal)*(1-EXP(('2022'!Tnet-t)/('2022'!Tau_j))),Resal+(Salim-Resal)*(1-EXP((Tnet-t)/(Tau_j))))*Salcycl</f>
        <v>0.11321050858692551</v>
      </c>
      <c r="P169" s="169">
        <f>(INDEX(Models!$BJ169:$BT169,,T169)*(1-R169)+INDEX(Models!$BJ169:$BT169,,T169+1)*R169-ERP_i)*Q169*Ramure*Pc/MaxiM</f>
        <v>5.3470351902085772E-3</v>
      </c>
      <c r="Q169" s="305">
        <f t="shared" si="53"/>
        <v>0.7</v>
      </c>
      <c r="R169" s="177">
        <f t="shared" si="54"/>
        <v>0.71905261465226944</v>
      </c>
      <c r="S169" s="921">
        <f t="shared" si="55"/>
        <v>0</v>
      </c>
      <c r="T169" s="176">
        <f t="shared" si="56"/>
        <v>6</v>
      </c>
      <c r="U169" s="251">
        <f t="shared" si="57"/>
        <v>0.71905261465226944</v>
      </c>
      <c r="V169" s="383">
        <f t="shared" si="58"/>
        <v>50.421590101748038</v>
      </c>
      <c r="W169" s="402">
        <f t="shared" si="59"/>
        <v>19.925393412219311</v>
      </c>
      <c r="X169" s="157">
        <f t="shared" si="60"/>
        <v>45081</v>
      </c>
      <c r="Y169" s="385">
        <f t="shared" si="61"/>
        <v>19.049190387603488</v>
      </c>
      <c r="Z169" s="385">
        <f t="shared" si="62"/>
        <v>19.831705785980034</v>
      </c>
      <c r="AA169" s="386">
        <f t="shared" si="63"/>
        <v>23.392137892957418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0.15220635767752155</v>
      </c>
      <c r="AD169" s="231">
        <f>(INDEX(Models!$BJ169:$BT169,,AH169)*(1-AF169)+INDEX(Models!$BJ169:$BT169,,AH169+1)*AF169-ERP_i)*AE169*Ramure*Pc/MaxiM</f>
        <v>5.3470351902085772E-3</v>
      </c>
      <c r="AE169" s="305">
        <f t="shared" si="65"/>
        <v>0.7</v>
      </c>
      <c r="AF169" s="177">
        <f t="shared" si="66"/>
        <v>0.71905261465226944</v>
      </c>
      <c r="AG169" s="921">
        <f t="shared" si="74"/>
        <v>0</v>
      </c>
      <c r="AH169" s="176">
        <f t="shared" si="67"/>
        <v>6</v>
      </c>
      <c r="AI169" s="225">
        <f t="shared" si="68"/>
        <v>0.71905261465226944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28.110855815804548</v>
      </c>
      <c r="C170" s="955"/>
      <c r="D170" s="393">
        <f t="shared" si="50"/>
        <v>29.266253380531936</v>
      </c>
      <c r="E170" s="385">
        <f t="shared" ref="E170:E232" si="75">Wh_pvt/(1-Psa)</f>
        <v>33.006978473759823</v>
      </c>
      <c r="F170" s="385">
        <f t="shared" si="51"/>
        <v>33.073870216526316</v>
      </c>
      <c r="G170" s="110">
        <f t="shared" ref="G170:G232" si="76">+Wh_hp/MaxiM</f>
        <v>0.55608047301005292</v>
      </c>
      <c r="H170" s="414" t="b">
        <f>Wh_hp&gt;='2022'!Maxi_hp</f>
        <v>0</v>
      </c>
      <c r="I170" s="390">
        <f>IF(H170,Wh_hp,'2022'!Maxi_hp)</f>
        <v>42.716075181662134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3.9478834195290746E-2</v>
      </c>
      <c r="M170" s="959"/>
      <c r="N170" s="959"/>
      <c r="O170" s="48">
        <f>IF(t&lt;Tnet,'2022'!Resal+('2022'!Salim-'2022'!Resal)*(1-EXP(('2022'!Tnet-t)/('2022'!Tau_j))),Resal+(Salim-Resal)*(1-EXP((Tnet-t)/(Tau_j))))*Salcycl</f>
        <v>0.11333133980142171</v>
      </c>
      <c r="P170" s="169">
        <f>(INDEX(Models!$BJ170:$BT170,,T170)*(1-R170)+INDEX(Models!$BJ170:$BT170,,T170+1)*R170-ERP_i)*Q170*Ramure*Pc/MaxiM</f>
        <v>5.4870145414267716E-3</v>
      </c>
      <c r="Q170" s="305">
        <f t="shared" si="53"/>
        <v>0.7</v>
      </c>
      <c r="R170" s="177">
        <f t="shared" si="54"/>
        <v>0.72413311552254145</v>
      </c>
      <c r="S170" s="921">
        <f t="shared" si="55"/>
        <v>0</v>
      </c>
      <c r="T170" s="176">
        <f t="shared" si="56"/>
        <v>6</v>
      </c>
      <c r="U170" s="251">
        <f t="shared" si="57"/>
        <v>0.72413311552254145</v>
      </c>
      <c r="V170" s="383">
        <f t="shared" si="58"/>
        <v>50.376284008749252</v>
      </c>
      <c r="W170" s="402">
        <f t="shared" si="59"/>
        <v>28.110855815804548</v>
      </c>
      <c r="X170" s="157">
        <f t="shared" si="60"/>
        <v>45082</v>
      </c>
      <c r="Y170" s="385">
        <f t="shared" si="61"/>
        <v>26.874866324638067</v>
      </c>
      <c r="Z170" s="385">
        <f t="shared" si="62"/>
        <v>27.97946290139555</v>
      </c>
      <c r="AA170" s="386">
        <f t="shared" si="63"/>
        <v>33.006978473759823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0.15231674648320484</v>
      </c>
      <c r="AD170" s="231">
        <f>(INDEX(Models!$BJ170:$BT170,,AH170)*(1-AF170)+INDEX(Models!$BJ170:$BT170,,AH170+1)*AF170-ERP_i)*AE170*Ramure*Pc/MaxiM</f>
        <v>5.4870145414267716E-3</v>
      </c>
      <c r="AE170" s="305">
        <f t="shared" si="65"/>
        <v>0.7</v>
      </c>
      <c r="AF170" s="177">
        <f t="shared" si="66"/>
        <v>0.72413311552254145</v>
      </c>
      <c r="AG170" s="921">
        <f t="shared" si="74"/>
        <v>0</v>
      </c>
      <c r="AH170" s="176">
        <f t="shared" si="67"/>
        <v>6</v>
      </c>
      <c r="AI170" s="225">
        <f t="shared" si="68"/>
        <v>0.72413311552254145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42.114561931281465</v>
      </c>
      <c r="C171" s="955"/>
      <c r="D171" s="393">
        <f t="shared" si="50"/>
        <v>43.846492787269291</v>
      </c>
      <c r="E171" s="385">
        <f t="shared" si="75"/>
        <v>49.457502069726431</v>
      </c>
      <c r="F171" s="385">
        <f t="shared" si="51"/>
        <v>49.671652429863457</v>
      </c>
      <c r="G171" s="110">
        <f t="shared" si="76"/>
        <v>0.83568569301867357</v>
      </c>
      <c r="H171" s="414" t="b">
        <f>Wh_hp&gt;='2022'!Maxi_hp</f>
        <v>0</v>
      </c>
      <c r="I171" s="390">
        <f>IF(H171,Wh_hp,'2022'!Maxi_hp)</f>
        <v>56.000265625104696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3.9499872073934461E-2</v>
      </c>
      <c r="M171" s="959"/>
      <c r="N171" s="959"/>
      <c r="O171" s="48">
        <f>IF(t&lt;Tnet,'2022'!Resal+('2022'!Salim-'2022'!Resal)*(1-EXP(('2022'!Tnet-t)/('2022'!Tau_j))),Resal+(Salim-Resal)*(1-EXP((Tnet-t)/(Tau_j))))*Salcycl</f>
        <v>0.11345112566636699</v>
      </c>
      <c r="P171" s="169">
        <f>(INDEX(Models!$BJ171:$BT171,,T171)*(1-R171)+INDEX(Models!$BJ171:$BT171,,T171+1)*R171-ERP_i)*Q171*Ramure*Pc/MaxiM</f>
        <v>5.6221956460027096E-3</v>
      </c>
      <c r="Q171" s="305">
        <f t="shared" si="53"/>
        <v>0.7</v>
      </c>
      <c r="R171" s="177">
        <f t="shared" si="54"/>
        <v>0.72923503406968138</v>
      </c>
      <c r="S171" s="921">
        <f t="shared" si="55"/>
        <v>0</v>
      </c>
      <c r="T171" s="176">
        <f t="shared" si="56"/>
        <v>6</v>
      </c>
      <c r="U171" s="251">
        <f t="shared" si="57"/>
        <v>0.72923503406968138</v>
      </c>
      <c r="V171" s="383">
        <f t="shared" si="58"/>
        <v>50.328869166309111</v>
      </c>
      <c r="W171" s="402">
        <f t="shared" si="59"/>
        <v>42.114561931281465</v>
      </c>
      <c r="X171" s="157">
        <f t="shared" si="60"/>
        <v>45083</v>
      </c>
      <c r="Y171" s="385">
        <f t="shared" si="61"/>
        <v>40.263115672411786</v>
      </c>
      <c r="Z171" s="385">
        <f t="shared" si="62"/>
        <v>41.918907141999924</v>
      </c>
      <c r="AA171" s="386">
        <f t="shared" si="63"/>
        <v>49.457502069726431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0.1524257112115853</v>
      </c>
      <c r="AD171" s="231">
        <f>(INDEX(Models!$BJ171:$BT171,,AH171)*(1-AF171)+INDEX(Models!$BJ171:$BT171,,AH171+1)*AF171-ERP_i)*AE171*Ramure*Pc/MaxiM</f>
        <v>5.6221956460027096E-3</v>
      </c>
      <c r="AE171" s="305">
        <f t="shared" si="65"/>
        <v>0.7</v>
      </c>
      <c r="AF171" s="177">
        <f t="shared" si="66"/>
        <v>0.72923503406968138</v>
      </c>
      <c r="AG171" s="921">
        <f t="shared" si="74"/>
        <v>0</v>
      </c>
      <c r="AH171" s="176">
        <f t="shared" si="67"/>
        <v>6</v>
      </c>
      <c r="AI171" s="225">
        <f t="shared" si="68"/>
        <v>0.72923503406968138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24.656021863635093</v>
      </c>
      <c r="C172" s="955"/>
      <c r="D172" s="393">
        <f t="shared" si="50"/>
        <v>25.670545155323669</v>
      </c>
      <c r="E172" s="385">
        <f t="shared" si="75"/>
        <v>28.959465256692166</v>
      </c>
      <c r="F172" s="385">
        <f t="shared" si="51"/>
        <v>29.00484351602422</v>
      </c>
      <c r="G172" s="110">
        <f t="shared" si="76"/>
        <v>0.48832457986240008</v>
      </c>
      <c r="H172" s="414" t="b">
        <f>Wh_hp&gt;='2022'!Maxi_hp</f>
        <v>0</v>
      </c>
      <c r="I172" s="390">
        <f>IF(H172,Wh_hp,'2022'!Maxi_hp)</f>
        <v>55.156942491889488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3.9520909491794654E-2</v>
      </c>
      <c r="M172" s="959"/>
      <c r="N172" s="959"/>
      <c r="O172" s="48">
        <f>IF(t&lt;Tnet,'2022'!Resal+('2022'!Salim-'2022'!Resal)*(1-EXP(('2022'!Tnet-t)/('2022'!Tau_j))),Resal+(Salim-Resal)*(1-EXP((Tnet-t)/(Tau_j))))*Salcycl</f>
        <v>0.11356978011216805</v>
      </c>
      <c r="P172" s="169">
        <f>(INDEX(Models!$BJ172:$BT172,,T172)*(1-R172)+INDEX(Models!$BJ172:$BT172,,T172+1)*R172-ERP_i)*Q172*Ramure*Pc/MaxiM</f>
        <v>5.7524209829700372E-3</v>
      </c>
      <c r="Q172" s="305">
        <f t="shared" si="53"/>
        <v>0.7</v>
      </c>
      <c r="R172" s="177">
        <f t="shared" si="54"/>
        <v>0.73435417348750742</v>
      </c>
      <c r="S172" s="921">
        <f t="shared" si="55"/>
        <v>0</v>
      </c>
      <c r="T172" s="176">
        <f t="shared" si="56"/>
        <v>6</v>
      </c>
      <c r="U172" s="251">
        <f t="shared" si="57"/>
        <v>0.73435417348750742</v>
      </c>
      <c r="V172" s="383">
        <f t="shared" si="58"/>
        <v>50.279268665513108</v>
      </c>
      <c r="W172" s="402">
        <f t="shared" si="59"/>
        <v>24.656021863635093</v>
      </c>
      <c r="X172" s="157">
        <f t="shared" si="60"/>
        <v>45084</v>
      </c>
      <c r="Y172" s="385">
        <f t="shared" si="61"/>
        <v>23.572257595654392</v>
      </c>
      <c r="Z172" s="385">
        <f t="shared" si="62"/>
        <v>24.542187152852978</v>
      </c>
      <c r="AA172" s="386">
        <f t="shared" si="63"/>
        <v>28.959465256692166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0.15253313777326771</v>
      </c>
      <c r="AD172" s="231">
        <f>(INDEX(Models!$BJ172:$BT172,,AH172)*(1-AF172)+INDEX(Models!$BJ172:$BT172,,AH172+1)*AF172-ERP_i)*AE172*Ramure*Pc/MaxiM</f>
        <v>5.7524209829700372E-3</v>
      </c>
      <c r="AE172" s="305">
        <f t="shared" si="65"/>
        <v>0.7</v>
      </c>
      <c r="AF172" s="177">
        <f t="shared" si="66"/>
        <v>0.73435417348750742</v>
      </c>
      <c r="AG172" s="921">
        <f t="shared" si="74"/>
        <v>0</v>
      </c>
      <c r="AH172" s="176">
        <f t="shared" si="67"/>
        <v>6</v>
      </c>
      <c r="AI172" s="225">
        <f t="shared" si="68"/>
        <v>0.73435417348750742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18.331709545570877</v>
      </c>
      <c r="C173" s="955"/>
      <c r="D173" s="393">
        <f t="shared" si="50"/>
        <v>19.086423897215212</v>
      </c>
      <c r="E173" s="385">
        <f t="shared" si="75"/>
        <v>21.534636900161992</v>
      </c>
      <c r="F173" s="385">
        <f t="shared" si="51"/>
        <v>21.546391638121705</v>
      </c>
      <c r="G173" s="110">
        <f t="shared" si="76"/>
        <v>0.36302715163271249</v>
      </c>
      <c r="H173" s="414" t="b">
        <f>Wh_hp&gt;='2022'!Maxi_hp</f>
        <v>0</v>
      </c>
      <c r="I173" s="390">
        <f>IF(H173,Wh_hp,'2022'!Maxi_hp)</f>
        <v>61.487890344452325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3.9541946448881427E-2</v>
      </c>
      <c r="M173" s="959"/>
      <c r="N173" s="959"/>
      <c r="O173" s="48">
        <f>IF(t&lt;Tnet,'2022'!Resal+('2022'!Salim-'2022'!Resal)*(1-EXP(('2022'!Tnet-t)/('2022'!Tau_j))),Resal+(Salim-Resal)*(1-EXP((Tnet-t)/(Tau_j))))*Salcycl</f>
        <v>0.11368722000269084</v>
      </c>
      <c r="P173" s="169">
        <f>(INDEX(Models!$BJ173:$BT173,,T173)*(1-R173)+INDEX(Models!$BJ173:$BT173,,T173+1)*R173-ERP_i)*Q173*Ramure*Pc/MaxiM</f>
        <v>5.8775343177162442E-3</v>
      </c>
      <c r="Q173" s="305">
        <f t="shared" si="53"/>
        <v>0.7</v>
      </c>
      <c r="R173" s="177">
        <f t="shared" si="54"/>
        <v>0.73948627944077383</v>
      </c>
      <c r="S173" s="921">
        <f t="shared" si="55"/>
        <v>0</v>
      </c>
      <c r="T173" s="176">
        <f t="shared" si="56"/>
        <v>6</v>
      </c>
      <c r="U173" s="251">
        <f t="shared" si="57"/>
        <v>0.73948627944077383</v>
      </c>
      <c r="V173" s="383">
        <f t="shared" si="58"/>
        <v>50.227405333879105</v>
      </c>
      <c r="W173" s="402">
        <f t="shared" si="59"/>
        <v>18.331709545570877</v>
      </c>
      <c r="X173" s="157">
        <f t="shared" si="60"/>
        <v>45085</v>
      </c>
      <c r="Y173" s="385">
        <f t="shared" si="61"/>
        <v>17.526067117128903</v>
      </c>
      <c r="Z173" s="385">
        <f t="shared" si="62"/>
        <v>18.247613263618817</v>
      </c>
      <c r="AA173" s="386">
        <f t="shared" si="63"/>
        <v>21.534636900161992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0.15263891616944092</v>
      </c>
      <c r="AD173" s="231">
        <f>(INDEX(Models!$BJ173:$BT173,,AH173)*(1-AF173)+INDEX(Models!$BJ173:$BT173,,AH173+1)*AF173-ERP_i)*AE173*Ramure*Pc/MaxiM</f>
        <v>5.8775343177162442E-3</v>
      </c>
      <c r="AE173" s="305">
        <f t="shared" si="65"/>
        <v>0.7</v>
      </c>
      <c r="AF173" s="177">
        <f t="shared" si="66"/>
        <v>0.73948627944077383</v>
      </c>
      <c r="AG173" s="921">
        <f t="shared" si="74"/>
        <v>0</v>
      </c>
      <c r="AH173" s="176">
        <f t="shared" si="67"/>
        <v>6</v>
      </c>
      <c r="AI173" s="225">
        <f t="shared" si="68"/>
        <v>0.73948627944077383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40.728696777415912</v>
      </c>
      <c r="C174" s="955"/>
      <c r="D174" s="393">
        <f t="shared" si="50"/>
        <v>42.406421300078073</v>
      </c>
      <c r="E174" s="385">
        <f t="shared" si="75"/>
        <v>47.852157915616779</v>
      </c>
      <c r="F174" s="385">
        <f t="shared" si="51"/>
        <v>48.06289528219672</v>
      </c>
      <c r="G174" s="110">
        <f t="shared" si="76"/>
        <v>0.81044701822168563</v>
      </c>
      <c r="H174" s="414" t="b">
        <f>Wh_hp&gt;='2022'!Maxi_hp</f>
        <v>0</v>
      </c>
      <c r="I174" s="390">
        <f>IF(H174,Wh_hp,'2022'!Maxi_hp)</f>
        <v>58.767455716335284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3.9562982945204772E-2</v>
      </c>
      <c r="M174" s="959"/>
      <c r="N174" s="959"/>
      <c r="O174" s="48">
        <f>IF(t&lt;Tnet,'2022'!Resal+('2022'!Salim-'2022'!Resal)*(1-EXP(('2022'!Tnet-t)/('2022'!Tau_j))),Resal+(Salim-Resal)*(1-EXP((Tnet-t)/(Tau_j))))*Salcycl</f>
        <v>0.11380336546455859</v>
      </c>
      <c r="P174" s="169">
        <f>(INDEX(Models!$BJ174:$BT174,,T174)*(1-R174)+INDEX(Models!$BJ174:$BT174,,T174+1)*R174-ERP_i)*Q174*Ramure*Pc/MaxiM</f>
        <v>5.9973812112025316E-3</v>
      </c>
      <c r="Q174" s="305">
        <f t="shared" si="53"/>
        <v>0.7</v>
      </c>
      <c r="R174" s="177">
        <f t="shared" si="54"/>
        <v>0.74462705408507968</v>
      </c>
      <c r="S174" s="921">
        <f t="shared" si="55"/>
        <v>0</v>
      </c>
      <c r="T174" s="176">
        <f t="shared" si="56"/>
        <v>6</v>
      </c>
      <c r="U174" s="251">
        <f t="shared" si="57"/>
        <v>0.74462705408507968</v>
      </c>
      <c r="V174" s="383">
        <f t="shared" si="58"/>
        <v>50.173201684142114</v>
      </c>
      <c r="W174" s="402">
        <f t="shared" si="59"/>
        <v>40.728696777415912</v>
      </c>
      <c r="X174" s="157">
        <f t="shared" si="60"/>
        <v>45086</v>
      </c>
      <c r="Y174" s="385">
        <f t="shared" si="61"/>
        <v>38.939073459266233</v>
      </c>
      <c r="Z174" s="385">
        <f t="shared" si="62"/>
        <v>40.543078585906549</v>
      </c>
      <c r="AA174" s="386">
        <f t="shared" si="63"/>
        <v>47.852157915616779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0.15274294092649218</v>
      </c>
      <c r="AD174" s="231">
        <f>(INDEX(Models!$BJ174:$BT174,,AH174)*(1-AF174)+INDEX(Models!$BJ174:$BT174,,AH174+1)*AF174-ERP_i)*AE174*Ramure*Pc/MaxiM</f>
        <v>5.9973812112025316E-3</v>
      </c>
      <c r="AE174" s="305">
        <f t="shared" si="65"/>
        <v>0.7</v>
      </c>
      <c r="AF174" s="177">
        <f t="shared" si="66"/>
        <v>0.74462705408507968</v>
      </c>
      <c r="AG174" s="921">
        <f t="shared" si="74"/>
        <v>0</v>
      </c>
      <c r="AH174" s="176">
        <f t="shared" si="67"/>
        <v>6</v>
      </c>
      <c r="AI174" s="225">
        <f t="shared" si="68"/>
        <v>0.74462705408507968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49.869005617204536</v>
      </c>
      <c r="C175" s="955"/>
      <c r="D175" s="393">
        <f t="shared" si="50"/>
        <v>51.924381312649444</v>
      </c>
      <c r="E175" s="385">
        <f t="shared" si="75"/>
        <v>58.599982313756534</v>
      </c>
      <c r="F175" s="385">
        <f t="shared" si="51"/>
        <v>58.957778077965365</v>
      </c>
      <c r="G175" s="110">
        <f t="shared" si="76"/>
        <v>0.99501685259946748</v>
      </c>
      <c r="H175" s="414" t="b">
        <f>Wh_hp&gt;='2022'!Maxi_hp</f>
        <v>0</v>
      </c>
      <c r="I175" s="390">
        <f>IF(H175,Wh_hp,'2022'!Maxi_hp)</f>
        <v>58.958171691814933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3.9584018980774904E-2</v>
      </c>
      <c r="M175" s="959"/>
      <c r="N175" s="959"/>
      <c r="O175" s="48">
        <f>IF(t&lt;Tnet,'2022'!Resal+('2022'!Salim-'2022'!Resal)*(1-EXP(('2022'!Tnet-t)/('2022'!Tau_j))),Resal+(Salim-Resal)*(1-EXP((Tnet-t)/(Tau_j))))*Salcycl</f>
        <v>0.11391814020291902</v>
      </c>
      <c r="P175" s="169">
        <f>(INDEX(Models!$BJ175:$BT175,,T175)*(1-R175)+INDEX(Models!$BJ175:$BT175,,T175+1)*R175-ERP_i)*Q175*Ramure*Pc/MaxiM</f>
        <v>6.1118095119855834E-3</v>
      </c>
      <c r="Q175" s="305">
        <f t="shared" si="53"/>
        <v>0.7</v>
      </c>
      <c r="R175" s="177">
        <f t="shared" si="54"/>
        <v>0.74977217039609123</v>
      </c>
      <c r="S175" s="921">
        <f t="shared" si="55"/>
        <v>0</v>
      </c>
      <c r="T175" s="176">
        <f t="shared" si="56"/>
        <v>6</v>
      </c>
      <c r="U175" s="251">
        <f t="shared" si="57"/>
        <v>0.74977217039609123</v>
      </c>
      <c r="V175" s="383">
        <f t="shared" si="58"/>
        <v>50.116579857690866</v>
      </c>
      <c r="W175" s="402">
        <f t="shared" si="59"/>
        <v>49.869005617204536</v>
      </c>
      <c r="X175" s="157">
        <f t="shared" si="60"/>
        <v>45087</v>
      </c>
      <c r="Y175" s="385">
        <f t="shared" si="61"/>
        <v>47.678181677644154</v>
      </c>
      <c r="Z175" s="385">
        <f t="shared" si="62"/>
        <v>49.64326148243233</v>
      </c>
      <c r="AA175" s="386">
        <f t="shared" si="63"/>
        <v>58.599982313756534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0.15284511151160504</v>
      </c>
      <c r="AD175" s="231">
        <f>(INDEX(Models!$BJ175:$BT175,,AH175)*(1-AF175)+INDEX(Models!$BJ175:$BT175,,AH175+1)*AF175-ERP_i)*AE175*Ramure*Pc/MaxiM</f>
        <v>6.1118095119855834E-3</v>
      </c>
      <c r="AE175" s="305">
        <f t="shared" si="65"/>
        <v>0.7</v>
      </c>
      <c r="AF175" s="177">
        <f t="shared" si="66"/>
        <v>0.74977217039609123</v>
      </c>
      <c r="AG175" s="921">
        <f t="shared" si="74"/>
        <v>0</v>
      </c>
      <c r="AH175" s="176">
        <f t="shared" si="67"/>
        <v>6</v>
      </c>
      <c r="AI175" s="225">
        <f t="shared" si="68"/>
        <v>0.74977217039609123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48.510912498942801</v>
      </c>
      <c r="C176" s="955"/>
      <c r="D176" s="393">
        <f t="shared" si="50"/>
        <v>50.511420045526812</v>
      </c>
      <c r="E176" s="385">
        <f t="shared" si="75"/>
        <v>57.012657264734088</v>
      </c>
      <c r="F176" s="385">
        <f t="shared" si="51"/>
        <v>57.353688715306518</v>
      </c>
      <c r="G176" s="110">
        <f t="shared" si="76"/>
        <v>0.96883685760014904</v>
      </c>
      <c r="H176" s="414" t="b">
        <f>Wh_hp&gt;='2022'!Maxi_hp</f>
        <v>0</v>
      </c>
      <c r="I176" s="390">
        <f>IF(H176,Wh_hp,'2022'!Maxi_hp)</f>
        <v>57.3561169599772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3.9605054555601815E-2</v>
      </c>
      <c r="M176" s="959"/>
      <c r="N176" s="959"/>
      <c r="O176" s="48">
        <f>IF(t&lt;Tnet,'2022'!Resal+('2022'!Salim-'2022'!Resal)*(1-EXP(('2022'!Tnet-t)/('2022'!Tau_j))),Resal+(Salim-Resal)*(1-EXP((Tnet-t)/(Tau_j))))*Salcycl</f>
        <v>0.11403147180141522</v>
      </c>
      <c r="P176" s="169">
        <f>(INDEX(Models!$BJ176:$BT176,,T176)*(1-R176)+INDEX(Models!$BJ176:$BT176,,T176+1)*R176-ERP_i)*Q176*Ramure*Pc/MaxiM</f>
        <v>6.220669824461806E-3</v>
      </c>
      <c r="Q176" s="305">
        <f t="shared" si="53"/>
        <v>0.7</v>
      </c>
      <c r="R176" s="177">
        <f t="shared" si="54"/>
        <v>0.75491728670710279</v>
      </c>
      <c r="S176" s="921">
        <f t="shared" si="55"/>
        <v>0</v>
      </c>
      <c r="T176" s="176">
        <f t="shared" si="56"/>
        <v>6</v>
      </c>
      <c r="U176" s="251">
        <f t="shared" si="57"/>
        <v>0.75491728670710279</v>
      </c>
      <c r="V176" s="383">
        <f t="shared" si="58"/>
        <v>50.05746157609569</v>
      </c>
      <c r="W176" s="402">
        <f t="shared" si="59"/>
        <v>48.510912498942801</v>
      </c>
      <c r="X176" s="157">
        <f t="shared" si="60"/>
        <v>45088</v>
      </c>
      <c r="Y176" s="385">
        <f t="shared" si="61"/>
        <v>46.380196968715211</v>
      </c>
      <c r="Z176" s="385">
        <f t="shared" si="62"/>
        <v>48.292837429765896</v>
      </c>
      <c r="AA176" s="386">
        <f t="shared" si="63"/>
        <v>57.012657264734088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0.15294533272635147</v>
      </c>
      <c r="AD176" s="231">
        <f>(INDEX(Models!$BJ176:$BT176,,AH176)*(1-AF176)+INDEX(Models!$BJ176:$BT176,,AH176+1)*AF176-ERP_i)*AE176*Ramure*Pc/MaxiM</f>
        <v>6.220669824461806E-3</v>
      </c>
      <c r="AE176" s="305">
        <f t="shared" si="65"/>
        <v>0.7</v>
      </c>
      <c r="AF176" s="177">
        <f t="shared" si="66"/>
        <v>0.75491728670710279</v>
      </c>
      <c r="AG176" s="921">
        <f t="shared" si="74"/>
        <v>0</v>
      </c>
      <c r="AH176" s="176">
        <f t="shared" si="67"/>
        <v>6</v>
      </c>
      <c r="AI176" s="225">
        <f t="shared" si="68"/>
        <v>0.75491728670710279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37.183903247721524</v>
      </c>
      <c r="C177" s="955"/>
      <c r="D177" s="393">
        <f t="shared" si="50"/>
        <v>38.718152219412907</v>
      </c>
      <c r="E177" s="385">
        <f t="shared" si="75"/>
        <v>43.707014768799056</v>
      </c>
      <c r="F177" s="385">
        <f t="shared" si="51"/>
        <v>43.882936518960584</v>
      </c>
      <c r="G177" s="110">
        <f t="shared" si="76"/>
        <v>0.7420207087804731</v>
      </c>
      <c r="H177" s="414" t="b">
        <f>Wh_hp&gt;='2022'!Maxi_hp</f>
        <v>0</v>
      </c>
      <c r="I177" s="390">
        <f>IF(H177,Wh_hp,'2022'!Maxi_hp)</f>
        <v>53.061432092137871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3.9626089669695719E-2</v>
      </c>
      <c r="M177" s="959"/>
      <c r="N177" s="959"/>
      <c r="O177" s="48">
        <f>IF(t&lt;Tnet,'2022'!Resal+('2022'!Salim-'2022'!Resal)*(1-EXP(('2022'!Tnet-t)/('2022'!Tau_j))),Resal+(Salim-Resal)*(1-EXP((Tnet-t)/(Tau_j))))*Salcycl</f>
        <v>0.11414329200418255</v>
      </c>
      <c r="P177" s="169">
        <f>(INDEX(Models!$BJ177:$BT177,,T177)*(1-R177)+INDEX(Models!$BJ177:$BT177,,T177+1)*R177-ERP_i)*Q177*Ramure*Pc/MaxiM</f>
        <v>6.3238869609023333E-3</v>
      </c>
      <c r="Q177" s="305">
        <f t="shared" si="53"/>
        <v>0.7</v>
      </c>
      <c r="R177" s="177">
        <f t="shared" si="54"/>
        <v>0.76005806135140874</v>
      </c>
      <c r="S177" s="921">
        <f t="shared" si="55"/>
        <v>0</v>
      </c>
      <c r="T177" s="176">
        <f t="shared" si="56"/>
        <v>6</v>
      </c>
      <c r="U177" s="251">
        <f t="shared" si="57"/>
        <v>0.76005806135140874</v>
      </c>
      <c r="V177" s="383">
        <f t="shared" si="58"/>
        <v>49.99520311386884</v>
      </c>
      <c r="W177" s="402">
        <f t="shared" si="59"/>
        <v>37.183903247721524</v>
      </c>
      <c r="X177" s="157">
        <f t="shared" si="60"/>
        <v>45089</v>
      </c>
      <c r="Y177" s="385">
        <f t="shared" si="61"/>
        <v>35.55106340134509</v>
      </c>
      <c r="Z177" s="385">
        <f t="shared" si="62"/>
        <v>37.01793959512905</v>
      </c>
      <c r="AA177" s="386">
        <f t="shared" si="63"/>
        <v>43.707014768799056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0.15304351507541311</v>
      </c>
      <c r="AD177" s="231">
        <f>(INDEX(Models!$BJ177:$BT177,,AH177)*(1-AF177)+INDEX(Models!$BJ177:$BT177,,AH177+1)*AF177-ERP_i)*AE177*Ramure*Pc/MaxiM</f>
        <v>6.3238869609023333E-3</v>
      </c>
      <c r="AE177" s="305">
        <f t="shared" si="65"/>
        <v>0.7</v>
      </c>
      <c r="AF177" s="177">
        <f t="shared" si="66"/>
        <v>0.76005806135140874</v>
      </c>
      <c r="AG177" s="921">
        <f t="shared" si="74"/>
        <v>0</v>
      </c>
      <c r="AH177" s="176">
        <f t="shared" si="67"/>
        <v>6</v>
      </c>
      <c r="AI177" s="225">
        <f t="shared" si="68"/>
        <v>0.76005806135140874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45.679001265731316</v>
      </c>
      <c r="C178" s="955"/>
      <c r="D178" s="393">
        <f t="shared" si="50"/>
        <v>47.564809168226951</v>
      </c>
      <c r="E178" s="385">
        <f t="shared" si="75"/>
        <v>53.700253011379985</v>
      </c>
      <c r="F178" s="385">
        <f t="shared" si="51"/>
        <v>54.004779864705135</v>
      </c>
      <c r="G178" s="110">
        <f t="shared" si="76"/>
        <v>0.91415070018780209</v>
      </c>
      <c r="H178" s="414" t="b">
        <f>Wh_hp&gt;='2022'!Maxi_hp</f>
        <v>0</v>
      </c>
      <c r="I178" s="390">
        <f>IF(H178,Wh_hp,'2022'!Maxi_hp)</f>
        <v>61.924411785677407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3.9647124323066607E-2</v>
      </c>
      <c r="M178" s="959"/>
      <c r="N178" s="959"/>
      <c r="O178" s="48">
        <f>IF(t&lt;Tnet,'2022'!Resal+('2022'!Salim-'2022'!Resal)*(1-EXP(('2022'!Tnet-t)/('2022'!Tau_j))),Resal+(Salim-Resal)*(1-EXP((Tnet-t)/(Tau_j))))*Salcycl</f>
        <v>0.11425353697780222</v>
      </c>
      <c r="P178" s="169">
        <f>(INDEX(Models!$BJ178:$BT178,,T178)*(1-R178)+INDEX(Models!$BJ178:$BT178,,T178+1)*R178-ERP_i)*Q178*Ramure*Pc/MaxiM</f>
        <v>6.4196127127251245E-3</v>
      </c>
      <c r="Q178" s="305">
        <f t="shared" si="53"/>
        <v>0.7</v>
      </c>
      <c r="R178" s="177">
        <f t="shared" si="54"/>
        <v>0.76519016730467526</v>
      </c>
      <c r="S178" s="921">
        <f t="shared" si="55"/>
        <v>0</v>
      </c>
      <c r="T178" s="176">
        <f t="shared" si="56"/>
        <v>6</v>
      </c>
      <c r="U178" s="251">
        <f t="shared" si="57"/>
        <v>0.76519016730467526</v>
      </c>
      <c r="V178" s="383">
        <f t="shared" si="58"/>
        <v>49.929553462766513</v>
      </c>
      <c r="W178" s="402">
        <f t="shared" si="59"/>
        <v>45.679001265731316</v>
      </c>
      <c r="X178" s="157">
        <f t="shared" si="60"/>
        <v>45090</v>
      </c>
      <c r="Y178" s="385">
        <f t="shared" si="61"/>
        <v>43.673601911501819</v>
      </c>
      <c r="Z178" s="385">
        <f t="shared" si="62"/>
        <v>45.476619082040209</v>
      </c>
      <c r="AA178" s="386">
        <f t="shared" si="63"/>
        <v>53.700253011379985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0.15313957510771967</v>
      </c>
      <c r="AD178" s="231">
        <f>(INDEX(Models!$BJ178:$BT178,,AH178)*(1-AF178)+INDEX(Models!$BJ178:$BT178,,AH178+1)*AF178-ERP_i)*AE178*Ramure*Pc/MaxiM</f>
        <v>6.4196127127251245E-3</v>
      </c>
      <c r="AE178" s="305">
        <f t="shared" si="65"/>
        <v>0.7</v>
      </c>
      <c r="AF178" s="177">
        <f t="shared" si="66"/>
        <v>0.76519016730467526</v>
      </c>
      <c r="AG178" s="921">
        <f t="shared" si="74"/>
        <v>0</v>
      </c>
      <c r="AH178" s="176">
        <f t="shared" si="67"/>
        <v>6</v>
      </c>
      <c r="AI178" s="225">
        <f t="shared" si="68"/>
        <v>0.76519016730467526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43.49084029550756</v>
      </c>
      <c r="C179" s="955"/>
      <c r="D179" s="393">
        <f t="shared" si="50"/>
        <v>45.28730425962835</v>
      </c>
      <c r="E179" s="385">
        <f t="shared" si="75"/>
        <v>51.13524013727725</v>
      </c>
      <c r="F179" s="385">
        <f t="shared" si="51"/>
        <v>51.408811695983481</v>
      </c>
      <c r="G179" s="110">
        <f t="shared" si="76"/>
        <v>0.8712033911016458</v>
      </c>
      <c r="H179" s="414" t="b">
        <f>Wh_hp&gt;='2022'!Maxi_hp</f>
        <v>0</v>
      </c>
      <c r="I179" s="390">
        <f>IF(H179,Wh_hp,'2022'!Maxi_hp)</f>
        <v>57.572810186062441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3.9668158515724694E-2</v>
      </c>
      <c r="M179" s="959"/>
      <c r="N179" s="959"/>
      <c r="O179" s="48">
        <f>IF(t&lt;Tnet,'2022'!Resal+('2022'!Salim-'2022'!Resal)*(1-EXP(('2022'!Tnet-t)/('2022'!Tau_j))),Resal+(Salim-Resal)*(1-EXP((Tnet-t)/(Tau_j))))*Salcycl</f>
        <v>0.11436214755126951</v>
      </c>
      <c r="P179" s="169">
        <f>(INDEX(Models!$BJ179:$BT179,,T179)*(1-R179)+INDEX(Models!$BJ179:$BT179,,T179+1)*R179-ERP_i)*Q179*Ramure*Pc/MaxiM</f>
        <v>6.5095245289421939E-3</v>
      </c>
      <c r="Q179" s="305">
        <f t="shared" si="53"/>
        <v>0.7</v>
      </c>
      <c r="R179" s="177">
        <f t="shared" si="54"/>
        <v>0.77030930672250109</v>
      </c>
      <c r="S179" s="921">
        <f t="shared" si="55"/>
        <v>0</v>
      </c>
      <c r="T179" s="176">
        <f t="shared" si="56"/>
        <v>6</v>
      </c>
      <c r="U179" s="251">
        <f t="shared" si="57"/>
        <v>0.77030930672250109</v>
      </c>
      <c r="V179" s="383">
        <f t="shared" si="58"/>
        <v>49.860796873950306</v>
      </c>
      <c r="W179" s="402">
        <f t="shared" si="59"/>
        <v>43.49084029550756</v>
      </c>
      <c r="X179" s="157">
        <f t="shared" si="60"/>
        <v>45091</v>
      </c>
      <c r="Y179" s="385">
        <f t="shared" si="61"/>
        <v>41.581995747504578</v>
      </c>
      <c r="Z179" s="385">
        <f t="shared" si="62"/>
        <v>43.299611604292984</v>
      </c>
      <c r="AA179" s="386">
        <f t="shared" si="63"/>
        <v>51.13524013727725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0.153233435727471</v>
      </c>
      <c r="AD179" s="231">
        <f>(INDEX(Models!$BJ179:$BT179,,AH179)*(1-AF179)+INDEX(Models!$BJ179:$BT179,,AH179+1)*AF179-ERP_i)*AE179*Ramure*Pc/MaxiM</f>
        <v>6.5095245289421939E-3</v>
      </c>
      <c r="AE179" s="305">
        <f t="shared" si="65"/>
        <v>0.7</v>
      </c>
      <c r="AF179" s="177">
        <f t="shared" si="66"/>
        <v>0.77030930672250109</v>
      </c>
      <c r="AG179" s="921">
        <f t="shared" si="74"/>
        <v>0</v>
      </c>
      <c r="AH179" s="176">
        <f t="shared" si="67"/>
        <v>6</v>
      </c>
      <c r="AI179" s="225">
        <f t="shared" si="68"/>
        <v>0.77030930672250109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46.69034509495922</v>
      </c>
      <c r="C180" s="955"/>
      <c r="D180" s="393">
        <f t="shared" si="50"/>
        <v>48.620035011624509</v>
      </c>
      <c r="E180" s="385">
        <f t="shared" si="75"/>
        <v>54.904954003637656</v>
      </c>
      <c r="F180" s="385">
        <f t="shared" si="51"/>
        <v>55.236770389657863</v>
      </c>
      <c r="G180" s="110">
        <f t="shared" si="76"/>
        <v>0.93720531303643173</v>
      </c>
      <c r="H180" s="414" t="b">
        <f>Wh_hp&gt;='2022'!Maxi_hp</f>
        <v>0</v>
      </c>
      <c r="I180" s="390">
        <f>IF(H180,Wh_hp,'2022'!Maxi_hp)</f>
        <v>55.24171181359447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3.9689192247679861E-2</v>
      </c>
      <c r="M180" s="959"/>
      <c r="N180" s="959"/>
      <c r="O180" s="48">
        <f>IF(t&lt;Tnet,'2022'!Resal+('2022'!Salim-'2022'!Resal)*(1-EXP(('2022'!Tnet-t)/('2022'!Tau_j))),Resal+(Salim-Resal)*(1-EXP((Tnet-t)/(Tau_j))))*Salcycl</f>
        <v>0.11446906943218187</v>
      </c>
      <c r="P180" s="169">
        <f>(INDEX(Models!$BJ180:$BT180,,T180)*(1-R180)+INDEX(Models!$BJ180:$BT180,,T180+1)*R180-ERP_i)*Q180*Ramure*Pc/MaxiM</f>
        <v>6.5934299439332489E-3</v>
      </c>
      <c r="Q180" s="305">
        <f t="shared" si="53"/>
        <v>0.7</v>
      </c>
      <c r="R180" s="177">
        <f t="shared" si="54"/>
        <v>0.77541122526964124</v>
      </c>
      <c r="S180" s="921">
        <f t="shared" si="55"/>
        <v>0</v>
      </c>
      <c r="T180" s="176">
        <f t="shared" si="56"/>
        <v>6</v>
      </c>
      <c r="U180" s="251">
        <f t="shared" si="57"/>
        <v>0.77541122526964124</v>
      </c>
      <c r="V180" s="383">
        <f t="shared" si="58"/>
        <v>49.789310943262159</v>
      </c>
      <c r="W180" s="402">
        <f t="shared" si="59"/>
        <v>46.69034509495922</v>
      </c>
      <c r="X180" s="157">
        <f t="shared" si="60"/>
        <v>45092</v>
      </c>
      <c r="Y180" s="385">
        <f t="shared" si="61"/>
        <v>44.641632869792879</v>
      </c>
      <c r="Z180" s="385">
        <f t="shared" si="62"/>
        <v>46.486650477546938</v>
      </c>
      <c r="AA180" s="386">
        <f t="shared" si="63"/>
        <v>54.904954003637656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0.15332502647271087</v>
      </c>
      <c r="AD180" s="231">
        <f>(INDEX(Models!$BJ180:$BT180,,AH180)*(1-AF180)+INDEX(Models!$BJ180:$BT180,,AH180+1)*AF180-ERP_i)*AE180*Ramure*Pc/MaxiM</f>
        <v>6.5934299439332489E-3</v>
      </c>
      <c r="AE180" s="305">
        <f t="shared" si="65"/>
        <v>0.7</v>
      </c>
      <c r="AF180" s="177">
        <f t="shared" si="66"/>
        <v>0.77541122526964124</v>
      </c>
      <c r="AG180" s="921">
        <f t="shared" si="74"/>
        <v>0</v>
      </c>
      <c r="AH180" s="176">
        <f t="shared" si="67"/>
        <v>6</v>
      </c>
      <c r="AI180" s="225">
        <f t="shared" si="68"/>
        <v>0.77541122526964124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45.310648711105138</v>
      </c>
      <c r="C181" s="955"/>
      <c r="D181" s="393">
        <f t="shared" si="50"/>
        <v>47.18434988604465</v>
      </c>
      <c r="E181" s="385">
        <f t="shared" si="75"/>
        <v>53.290013382938412</v>
      </c>
      <c r="F181" s="385">
        <f t="shared" si="51"/>
        <v>53.602341140648221</v>
      </c>
      <c r="G181" s="110">
        <f t="shared" si="76"/>
        <v>0.91062526074812511</v>
      </c>
      <c r="H181" s="414" t="b">
        <f>Wh_hp&gt;='2022'!Maxi_hp</f>
        <v>0</v>
      </c>
      <c r="I181" s="390">
        <f>IF(H181,Wh_hp,'2022'!Maxi_hp)</f>
        <v>59.636866753529013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3.9710225518942321E-2</v>
      </c>
      <c r="M181" s="959"/>
      <c r="N181" s="959"/>
      <c r="O181" s="48">
        <f>IF(t&lt;Tnet,'2022'!Resal+('2022'!Salim-'2022'!Resal)*(1-EXP(('2022'!Tnet-t)/('2022'!Tau_j))),Resal+(Salim-Resal)*(1-EXP((Tnet-t)/(Tau_j))))*Salcycl</f>
        <v>0.11457425339751517</v>
      </c>
      <c r="P181" s="169">
        <f>(INDEX(Models!$BJ181:$BT181,,T181)*(1-R181)+INDEX(Models!$BJ181:$BT181,,T181+1)*R181-ERP_i)*Q181*Ramure*Pc/MaxiM</f>
        <v>6.6711376110931879E-3</v>
      </c>
      <c r="Q181" s="305">
        <f t="shared" si="53"/>
        <v>0.7</v>
      </c>
      <c r="R181" s="177">
        <f t="shared" si="54"/>
        <v>0.78049172613991313</v>
      </c>
      <c r="S181" s="921">
        <f t="shared" si="55"/>
        <v>0</v>
      </c>
      <c r="T181" s="176">
        <f t="shared" si="56"/>
        <v>6</v>
      </c>
      <c r="U181" s="251">
        <f t="shared" si="57"/>
        <v>0.78049172613991313</v>
      </c>
      <c r="V181" s="383">
        <f t="shared" si="58"/>
        <v>49.715472373094457</v>
      </c>
      <c r="W181" s="402">
        <f t="shared" si="59"/>
        <v>45.310648711105138</v>
      </c>
      <c r="X181" s="157">
        <f t="shared" si="60"/>
        <v>45093</v>
      </c>
      <c r="Y181" s="385">
        <f t="shared" si="61"/>
        <v>43.323054631752285</v>
      </c>
      <c r="Z181" s="385">
        <f t="shared" si="62"/>
        <v>45.114564148268833</v>
      </c>
      <c r="AA181" s="386">
        <f t="shared" si="63"/>
        <v>53.290013382938412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0.15341428375934821</v>
      </c>
      <c r="AD181" s="231">
        <f>(INDEX(Models!$BJ181:$BT181,,AH181)*(1-AF181)+INDEX(Models!$BJ181:$BT181,,AH181+1)*AF181-ERP_i)*AE181*Ramure*Pc/MaxiM</f>
        <v>6.6711376110931879E-3</v>
      </c>
      <c r="AE181" s="305">
        <f t="shared" si="65"/>
        <v>0.7</v>
      </c>
      <c r="AF181" s="177">
        <f t="shared" si="66"/>
        <v>0.78049172613991313</v>
      </c>
      <c r="AG181" s="921">
        <f t="shared" si="74"/>
        <v>0</v>
      </c>
      <c r="AH181" s="176">
        <f t="shared" si="67"/>
        <v>6</v>
      </c>
      <c r="AI181" s="225">
        <f t="shared" si="68"/>
        <v>0.78049172613991313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45.902838200620558</v>
      </c>
      <c r="C182" s="955"/>
      <c r="D182" s="393">
        <f t="shared" si="50"/>
        <v>47.802074782490841</v>
      </c>
      <c r="E182" s="385">
        <f t="shared" si="75"/>
        <v>53.993977535035683</v>
      </c>
      <c r="F182" s="385">
        <f t="shared" si="51"/>
        <v>54.320845916280959</v>
      </c>
      <c r="G182" s="110">
        <f t="shared" si="76"/>
        <v>0.9240465327606332</v>
      </c>
      <c r="H182" s="414" t="b">
        <f>Wh_hp&gt;='2022'!Maxi_hp</f>
        <v>0</v>
      </c>
      <c r="I182" s="390">
        <f>IF(H182,Wh_hp,'2022'!Maxi_hp)</f>
        <v>58.647204437041879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3.973125832952229E-2</v>
      </c>
      <c r="M182" s="959"/>
      <c r="N182" s="959"/>
      <c r="O182" s="48">
        <f>IF(t&lt;Tnet,'2022'!Resal+('2022'!Salim-'2022'!Resal)*(1-EXP(('2022'!Tnet-t)/('2022'!Tau_j))),Resal+(Salim-Resal)*(1-EXP((Tnet-t)/(Tau_j))))*Salcycl</f>
        <v>0.1146776554575375</v>
      </c>
      <c r="P182" s="169">
        <f>(INDEX(Models!$BJ182:$BT182,,T182)*(1-R182)+INDEX(Models!$BJ182:$BT182,,T182+1)*R182-ERP_i)*Q182*Ramure*Pc/MaxiM</f>
        <v>6.7424580512843732E-3</v>
      </c>
      <c r="Q182" s="305">
        <f t="shared" si="53"/>
        <v>0.7</v>
      </c>
      <c r="R182" s="177">
        <f t="shared" si="54"/>
        <v>0.78554668366957281</v>
      </c>
      <c r="S182" s="921">
        <f t="shared" si="55"/>
        <v>0</v>
      </c>
      <c r="T182" s="176">
        <f t="shared" si="56"/>
        <v>6</v>
      </c>
      <c r="U182" s="251">
        <f t="shared" si="57"/>
        <v>0.78554668366957281</v>
      </c>
      <c r="V182" s="383">
        <f t="shared" si="58"/>
        <v>49.639656957286626</v>
      </c>
      <c r="W182" s="402">
        <f t="shared" si="59"/>
        <v>45.902838200620558</v>
      </c>
      <c r="X182" s="157">
        <f t="shared" si="60"/>
        <v>45094</v>
      </c>
      <c r="Y182" s="385">
        <f t="shared" si="61"/>
        <v>43.889889302031811</v>
      </c>
      <c r="Z182" s="385">
        <f t="shared" si="62"/>
        <v>45.705839831546768</v>
      </c>
      <c r="AA182" s="386">
        <f t="shared" si="63"/>
        <v>53.993977535035683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0.15350115108876544</v>
      </c>
      <c r="AD182" s="231">
        <f>(INDEX(Models!$BJ182:$BT182,,AH182)*(1-AF182)+INDEX(Models!$BJ182:$BT182,,AH182+1)*AF182-ERP_i)*AE182*Ramure*Pc/MaxiM</f>
        <v>6.7424580512843732E-3</v>
      </c>
      <c r="AE182" s="305">
        <f t="shared" si="65"/>
        <v>0.7</v>
      </c>
      <c r="AF182" s="177">
        <f t="shared" si="66"/>
        <v>0.78554668366957281</v>
      </c>
      <c r="AG182" s="921">
        <f t="shared" si="74"/>
        <v>0</v>
      </c>
      <c r="AH182" s="176">
        <f t="shared" si="67"/>
        <v>6</v>
      </c>
      <c r="AI182" s="225">
        <f t="shared" si="68"/>
        <v>0.78554668366957281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47.450352212675782</v>
      </c>
      <c r="C183" s="955"/>
      <c r="D183" s="393">
        <f t="shared" si="50"/>
        <v>49.414699719772919</v>
      </c>
      <c r="E183" s="385">
        <f t="shared" si="75"/>
        <v>55.821894136145836</v>
      </c>
      <c r="F183" s="385">
        <f t="shared" si="51"/>
        <v>56.181050163702587</v>
      </c>
      <c r="G183" s="110">
        <f t="shared" si="76"/>
        <v>0.95698991864257366</v>
      </c>
      <c r="H183" s="414" t="b">
        <f>Wh_hp&gt;='2022'!Maxi_hp</f>
        <v>0</v>
      </c>
      <c r="I183" s="390">
        <f>IF(H183,Wh_hp,'2022'!Maxi_hp)</f>
        <v>56.677985927992459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3.9752290679429536E-2</v>
      </c>
      <c r="M183" s="959"/>
      <c r="N183" s="959"/>
      <c r="O183" s="48">
        <f>IF(t&lt;Tnet,'2022'!Resal+('2022'!Salim-'2022'!Resal)*(1-EXP(('2022'!Tnet-t)/('2022'!Tau_j))),Resal+(Salim-Resal)*(1-EXP((Tnet-t)/(Tau_j))))*Salcycl</f>
        <v>0.11477923699160406</v>
      </c>
      <c r="P183" s="169">
        <f>(INDEX(Models!$BJ183:$BT183,,T183)*(1-R183)+INDEX(Models!$BJ183:$BT183,,T183+1)*R183-ERP_i)*Q183*Ramure*Pc/MaxiM</f>
        <v>6.807204384680984E-3</v>
      </c>
      <c r="Q183" s="305">
        <f t="shared" si="53"/>
        <v>0.7</v>
      </c>
      <c r="R183" s="177">
        <f t="shared" si="54"/>
        <v>0.79057205645184481</v>
      </c>
      <c r="S183" s="921">
        <f t="shared" si="55"/>
        <v>0</v>
      </c>
      <c r="T183" s="176">
        <f t="shared" si="56"/>
        <v>6</v>
      </c>
      <c r="U183" s="251">
        <f t="shared" si="57"/>
        <v>0.79057205645184481</v>
      </c>
      <c r="V183" s="383">
        <f t="shared" si="58"/>
        <v>49.562239557815403</v>
      </c>
      <c r="W183" s="402">
        <f t="shared" si="59"/>
        <v>47.450352212675782</v>
      </c>
      <c r="X183" s="157">
        <f t="shared" si="60"/>
        <v>45095</v>
      </c>
      <c r="Y183" s="385">
        <f t="shared" si="61"/>
        <v>45.370221827524389</v>
      </c>
      <c r="Z183" s="385">
        <f t="shared" si="62"/>
        <v>47.248456192232297</v>
      </c>
      <c r="AA183" s="386">
        <f t="shared" si="63"/>
        <v>55.821894136145836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0.15358557921742141</v>
      </c>
      <c r="AD183" s="231">
        <f>(INDEX(Models!$BJ183:$BT183,,AH183)*(1-AF183)+INDEX(Models!$BJ183:$BT183,,AH183+1)*AF183-ERP_i)*AE183*Ramure*Pc/MaxiM</f>
        <v>6.807204384680984E-3</v>
      </c>
      <c r="AE183" s="305">
        <f t="shared" si="65"/>
        <v>0.7</v>
      </c>
      <c r="AF183" s="177">
        <f t="shared" si="66"/>
        <v>0.79057205645184481</v>
      </c>
      <c r="AG183" s="921">
        <f t="shared" si="74"/>
        <v>0</v>
      </c>
      <c r="AH183" s="176">
        <f t="shared" si="67"/>
        <v>6</v>
      </c>
      <c r="AI183" s="225">
        <f t="shared" si="68"/>
        <v>0.79057205645184481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48.449560320891557</v>
      </c>
      <c r="C184" s="955"/>
      <c r="D184" s="393">
        <f t="shared" si="50"/>
        <v>50.456378123650524</v>
      </c>
      <c r="E184" s="385">
        <f t="shared" si="75"/>
        <v>57.005060460880955</v>
      </c>
      <c r="F184" s="385">
        <f t="shared" si="51"/>
        <v>57.387171270391804</v>
      </c>
      <c r="G184" s="110">
        <f t="shared" si="76"/>
        <v>0.97889974387655909</v>
      </c>
      <c r="H184" s="414" t="b">
        <f>Wh_hp&gt;='2022'!Maxi_hp</f>
        <v>0</v>
      </c>
      <c r="I184" s="390">
        <f>IF(H184,Wh_hp,'2022'!Maxi_hp)</f>
        <v>57.388957189665653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3.9773322568674496E-2</v>
      </c>
      <c r="M184" s="959"/>
      <c r="N184" s="959"/>
      <c r="O184" s="48">
        <f>IF(t&lt;Tnet,'2022'!Resal+('2022'!Salim-'2022'!Resal)*(1-EXP(('2022'!Tnet-t)/('2022'!Tau_j))),Resal+(Salim-Resal)*(1-EXP((Tnet-t)/(Tau_j))))*Salcycl</f>
        <v>0.1148789648547849</v>
      </c>
      <c r="P184" s="169">
        <f>(INDEX(Models!$BJ184:$BT184,,T184)*(1-R184)+INDEX(Models!$BJ184:$BT184,,T184+1)*R184-ERP_i)*Q184*Ramure*Pc/MaxiM</f>
        <v>6.8633748857141021E-3</v>
      </c>
      <c r="Q184" s="305">
        <f t="shared" si="53"/>
        <v>0.7</v>
      </c>
      <c r="R184" s="177">
        <f t="shared" si="54"/>
        <v>0.79556389986625731</v>
      </c>
      <c r="S184" s="921">
        <f t="shared" si="55"/>
        <v>0</v>
      </c>
      <c r="T184" s="176">
        <f t="shared" si="56"/>
        <v>6</v>
      </c>
      <c r="U184" s="251">
        <f t="shared" si="57"/>
        <v>0.79556389986625731</v>
      </c>
      <c r="V184" s="383">
        <f t="shared" si="58"/>
        <v>49.483684688255259</v>
      </c>
      <c r="W184" s="402">
        <f t="shared" si="59"/>
        <v>48.449560320891557</v>
      </c>
      <c r="X184" s="157">
        <f t="shared" si="60"/>
        <v>45096</v>
      </c>
      <c r="Y184" s="385">
        <f t="shared" si="61"/>
        <v>46.326360586327574</v>
      </c>
      <c r="Z184" s="385">
        <f t="shared" si="62"/>
        <v>48.245233834008729</v>
      </c>
      <c r="AA184" s="386">
        <f t="shared" si="63"/>
        <v>57.005060460880955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0.1536675262871364</v>
      </c>
      <c r="AD184" s="231">
        <f>(INDEX(Models!$BJ184:$BT184,,AH184)*(1-AF184)+INDEX(Models!$BJ184:$BT184,,AH184+1)*AF184-ERP_i)*AE184*Ramure*Pc/MaxiM</f>
        <v>6.8633748857141021E-3</v>
      </c>
      <c r="AE184" s="305">
        <f t="shared" si="65"/>
        <v>0.7</v>
      </c>
      <c r="AF184" s="177">
        <f t="shared" si="66"/>
        <v>0.79556389986625731</v>
      </c>
      <c r="AG184" s="921">
        <f t="shared" si="74"/>
        <v>0</v>
      </c>
      <c r="AH184" s="176">
        <f t="shared" si="67"/>
        <v>6</v>
      </c>
      <c r="AI184" s="225">
        <f t="shared" si="68"/>
        <v>0.79556389986625731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30.559937421617668</v>
      </c>
      <c r="C185" s="955"/>
      <c r="D185" s="393">
        <f t="shared" si="50"/>
        <v>31.826450457604047</v>
      </c>
      <c r="E185" s="385">
        <f t="shared" si="75"/>
        <v>35.961148667651699</v>
      </c>
      <c r="F185" s="385">
        <f t="shared" si="51"/>
        <v>36.074683617211953</v>
      </c>
      <c r="G185" s="110">
        <f t="shared" si="76"/>
        <v>0.61623218692537052</v>
      </c>
      <c r="H185" s="414" t="b">
        <f>Wh_hp&gt;='2022'!Maxi_hp</f>
        <v>0</v>
      </c>
      <c r="I185" s="390">
        <f>IF(H185,Wh_hp,'2022'!Maxi_hp)</f>
        <v>50.746590499850917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3.9794353997267051E-2</v>
      </c>
      <c r="M185" s="959"/>
      <c r="N185" s="959"/>
      <c r="O185" s="48">
        <f>IF(t&lt;Tnet,'2022'!Resal+('2022'!Salim-'2022'!Resal)*(1-EXP(('2022'!Tnet-t)/('2022'!Tau_j))),Resal+(Salim-Resal)*(1-EXP((Tnet-t)/(Tau_j))))*Salcycl</f>
        <v>0.11497681145449494</v>
      </c>
      <c r="P185" s="169">
        <f>(INDEX(Models!$BJ185:$BT185,,T185)*(1-R185)+INDEX(Models!$BJ185:$BT185,,T185+1)*R185-ERP_i)*Q185*Ramure*Pc/MaxiM</f>
        <v>6.915436321984169E-3</v>
      </c>
      <c r="Q185" s="305">
        <f t="shared" si="53"/>
        <v>0.7</v>
      </c>
      <c r="R185" s="177">
        <f t="shared" si="54"/>
        <v>0.80051837794333958</v>
      </c>
      <c r="S185" s="921">
        <f t="shared" si="55"/>
        <v>0</v>
      </c>
      <c r="T185" s="176">
        <f t="shared" si="56"/>
        <v>6</v>
      </c>
      <c r="U185" s="251">
        <f t="shared" si="57"/>
        <v>0.80051837794333958</v>
      </c>
      <c r="V185" s="383">
        <f t="shared" si="58"/>
        <v>49.404133753344702</v>
      </c>
      <c r="W185" s="402">
        <f t="shared" si="59"/>
        <v>30.559937421617668</v>
      </c>
      <c r="X185" s="157">
        <f t="shared" si="60"/>
        <v>45097</v>
      </c>
      <c r="Y185" s="385">
        <f t="shared" si="61"/>
        <v>29.221200465348247</v>
      </c>
      <c r="Z185" s="385">
        <f t="shared" si="62"/>
        <v>30.432231456869683</v>
      </c>
      <c r="AA185" s="386">
        <f t="shared" si="63"/>
        <v>35.961148667651699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0.15374695791504203</v>
      </c>
      <c r="AD185" s="231">
        <f>(INDEX(Models!$BJ185:$BT185,,AH185)*(1-AF185)+INDEX(Models!$BJ185:$BT185,,AH185+1)*AF185-ERP_i)*AE185*Ramure*Pc/MaxiM</f>
        <v>6.915436321984169E-3</v>
      </c>
      <c r="AE185" s="305">
        <f t="shared" si="65"/>
        <v>0.7</v>
      </c>
      <c r="AF185" s="177">
        <f t="shared" si="66"/>
        <v>0.80051837794333958</v>
      </c>
      <c r="AG185" s="921">
        <f t="shared" si="74"/>
        <v>0</v>
      </c>
      <c r="AH185" s="176">
        <f t="shared" si="67"/>
        <v>6</v>
      </c>
      <c r="AI185" s="225">
        <f t="shared" si="68"/>
        <v>0.80051837794333958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21.606325396524543</v>
      </c>
      <c r="C186" s="955"/>
      <c r="D186" s="393">
        <f t="shared" si="50"/>
        <v>22.50226160491215</v>
      </c>
      <c r="E186" s="385">
        <f t="shared" si="75"/>
        <v>25.428374735753675</v>
      </c>
      <c r="F186" s="385">
        <f t="shared" si="51"/>
        <v>25.463342165216421</v>
      </c>
      <c r="G186" s="110">
        <f t="shared" si="76"/>
        <v>0.43559724095377894</v>
      </c>
      <c r="H186" s="414" t="b">
        <f>Wh_hp&gt;='2022'!Maxi_hp</f>
        <v>0</v>
      </c>
      <c r="I186" s="390">
        <f>IF(H186,Wh_hp,'2022'!Maxi_hp)</f>
        <v>50.271199376554243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3.9815384965217304E-2</v>
      </c>
      <c r="M186" s="959"/>
      <c r="N186" s="959"/>
      <c r="O186" s="48">
        <f>IF(t&lt;Tnet,'2022'!Resal+('2022'!Salim-'2022'!Resal)*(1-EXP(('2022'!Tnet-t)/('2022'!Tau_j))),Resal+(Salim-Resal)*(1-EXP((Tnet-t)/(Tau_j))))*Salcycl</f>
        <v>0.11507275479652472</v>
      </c>
      <c r="P186" s="169">
        <f>(INDEX(Models!$BJ186:$BT186,,T186)*(1-R186)+INDEX(Models!$BJ186:$BT186,,T186+1)*R186-ERP_i)*Q186*Ramure*Pc/MaxiM</f>
        <v>6.9632519929119143E-3</v>
      </c>
      <c r="Q186" s="305">
        <f t="shared" si="53"/>
        <v>0.7</v>
      </c>
      <c r="R186" s="177">
        <f t="shared" si="54"/>
        <v>0.80543177449296632</v>
      </c>
      <c r="S186" s="921">
        <f t="shared" si="55"/>
        <v>0</v>
      </c>
      <c r="T186" s="176">
        <f t="shared" si="56"/>
        <v>6</v>
      </c>
      <c r="U186" s="251">
        <f t="shared" si="57"/>
        <v>0.80543177449296632</v>
      </c>
      <c r="V186" s="383">
        <f t="shared" si="58"/>
        <v>49.323957539770532</v>
      </c>
      <c r="W186" s="402">
        <f t="shared" si="59"/>
        <v>21.606325396524543</v>
      </c>
      <c r="X186" s="157">
        <f t="shared" si="60"/>
        <v>45098</v>
      </c>
      <c r="Y186" s="385">
        <f t="shared" si="61"/>
        <v>20.660181272929652</v>
      </c>
      <c r="Z186" s="385">
        <f t="shared" si="62"/>
        <v>21.516884304776365</v>
      </c>
      <c r="AA186" s="386">
        <f t="shared" si="63"/>
        <v>25.428374735753675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0.15382384724248771</v>
      </c>
      <c r="AD186" s="231">
        <f>(INDEX(Models!$BJ186:$BT186,,AH186)*(1-AF186)+INDEX(Models!$BJ186:$BT186,,AH186+1)*AF186-ERP_i)*AE186*Ramure*Pc/MaxiM</f>
        <v>6.9632519929119143E-3</v>
      </c>
      <c r="AE186" s="305">
        <f t="shared" si="65"/>
        <v>0.7</v>
      </c>
      <c r="AF186" s="177">
        <f t="shared" si="66"/>
        <v>0.80543177449296632</v>
      </c>
      <c r="AG186" s="921">
        <f t="shared" si="74"/>
        <v>0</v>
      </c>
      <c r="AH186" s="176">
        <f t="shared" si="67"/>
        <v>6</v>
      </c>
      <c r="AI186" s="225">
        <f t="shared" si="68"/>
        <v>0.80543177449296632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38.153744348489177</v>
      </c>
      <c r="C187" s="955"/>
      <c r="D187" s="393">
        <f t="shared" si="50"/>
        <v>39.736712538693268</v>
      </c>
      <c r="E187" s="385">
        <f t="shared" si="75"/>
        <v>44.908703214527677</v>
      </c>
      <c r="F187" s="385">
        <f t="shared" si="51"/>
        <v>45.123151374195317</v>
      </c>
      <c r="G187" s="110">
        <f t="shared" si="76"/>
        <v>0.77304229269447844</v>
      </c>
      <c r="H187" s="414" t="b">
        <f>Wh_hp&gt;='2022'!Maxi_hp</f>
        <v>0</v>
      </c>
      <c r="I187" s="390">
        <f>IF(H187,Wh_hp,'2022'!Maxi_hp)</f>
        <v>58.651325061036623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3.9836415472535469E-2</v>
      </c>
      <c r="M187" s="959"/>
      <c r="N187" s="959"/>
      <c r="O187" s="48">
        <f>IF(t&lt;Tnet,'2022'!Resal+('2022'!Salim-'2022'!Resal)*(1-EXP(('2022'!Tnet-t)/('2022'!Tau_j))),Resal+(Salim-Resal)*(1-EXP((Tnet-t)/(Tau_j))))*Salcycl</f>
        <v>0.11516677850010384</v>
      </c>
      <c r="P187" s="169">
        <f>(INDEX(Models!$BJ187:$BT187,,T187)*(1-R187)+INDEX(Models!$BJ187:$BT187,,T187+1)*R187-ERP_i)*Q187*Ramure*Pc/MaxiM</f>
        <v>7.00668871195475E-3</v>
      </c>
      <c r="Q187" s="305">
        <f t="shared" si="53"/>
        <v>0.7</v>
      </c>
      <c r="R187" s="177">
        <f t="shared" si="54"/>
        <v>0.81030050343305393</v>
      </c>
      <c r="S187" s="921">
        <f t="shared" si="55"/>
        <v>0</v>
      </c>
      <c r="T187" s="176">
        <f t="shared" si="56"/>
        <v>6</v>
      </c>
      <c r="U187" s="251">
        <f t="shared" si="57"/>
        <v>0.81030050343305393</v>
      </c>
      <c r="V187" s="383">
        <f t="shared" si="58"/>
        <v>49.243525999494949</v>
      </c>
      <c r="W187" s="402">
        <f t="shared" si="59"/>
        <v>38.153744348489177</v>
      </c>
      <c r="X187" s="157">
        <f t="shared" si="60"/>
        <v>45099</v>
      </c>
      <c r="Y187" s="385">
        <f t="shared" si="61"/>
        <v>36.483658096959779</v>
      </c>
      <c r="Z187" s="385">
        <f t="shared" si="62"/>
        <v>37.997335750777161</v>
      </c>
      <c r="AA187" s="386">
        <f t="shared" si="63"/>
        <v>44.908703214527677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0.15389817494250718</v>
      </c>
      <c r="AD187" s="231">
        <f>(INDEX(Models!$BJ187:$BT187,,AH187)*(1-AF187)+INDEX(Models!$BJ187:$BT187,,AH187+1)*AF187-ERP_i)*AE187*Ramure*Pc/MaxiM</f>
        <v>7.00668871195475E-3</v>
      </c>
      <c r="AE187" s="305">
        <f t="shared" si="65"/>
        <v>0.7</v>
      </c>
      <c r="AF187" s="177">
        <f t="shared" si="66"/>
        <v>0.81030050343305393</v>
      </c>
      <c r="AG187" s="921">
        <f t="shared" si="74"/>
        <v>0</v>
      </c>
      <c r="AH187" s="176">
        <f t="shared" si="67"/>
        <v>6</v>
      </c>
      <c r="AI187" s="225">
        <f t="shared" si="68"/>
        <v>0.81030050343305393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37.822229377970444</v>
      </c>
      <c r="C188" s="955"/>
      <c r="D188" s="393">
        <f t="shared" si="50"/>
        <v>39.392306071075211</v>
      </c>
      <c r="E188" s="385">
        <f t="shared" si="75"/>
        <v>44.524104073709495</v>
      </c>
      <c r="F188" s="385">
        <f t="shared" si="51"/>
        <v>44.735422285540174</v>
      </c>
      <c r="G188" s="110">
        <f t="shared" si="76"/>
        <v>0.76752504758394557</v>
      </c>
      <c r="H188" s="414" t="b">
        <f>Wh_hp&gt;='2022'!Maxi_hp</f>
        <v>0</v>
      </c>
      <c r="I188" s="390">
        <f>IF(H188,Wh_hp,'2022'!Maxi_hp)</f>
        <v>52.717054573900171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3.9857445519231427E-2</v>
      </c>
      <c r="M188" s="959"/>
      <c r="N188" s="959"/>
      <c r="O188" s="48">
        <f>IF(t&lt;Tnet,'2022'!Resal+('2022'!Salim-'2022'!Resal)*(1-EXP(('2022'!Tnet-t)/('2022'!Tau_j))),Resal+(Salim-Resal)*(1-EXP((Tnet-t)/(Tau_j))))*Salcycl</f>
        <v>0.11525887178186918</v>
      </c>
      <c r="P188" s="169">
        <f>(INDEX(Models!$BJ188:$BT188,,T188)*(1-R188)+INDEX(Models!$BJ188:$BT188,,T188+1)*R188-ERP_i)*Q188*Ramure*Pc/MaxiM</f>
        <v>7.0455451709413933E-3</v>
      </c>
      <c r="Q188" s="305">
        <f t="shared" si="53"/>
        <v>0.7</v>
      </c>
      <c r="R188" s="177">
        <f t="shared" si="54"/>
        <v>0.81512111826427591</v>
      </c>
      <c r="S188" s="921">
        <f t="shared" si="55"/>
        <v>0</v>
      </c>
      <c r="T188" s="176">
        <f t="shared" si="56"/>
        <v>6</v>
      </c>
      <c r="U188" s="251">
        <f t="shared" si="57"/>
        <v>0.81512111826427591</v>
      </c>
      <c r="V188" s="383">
        <f t="shared" si="58"/>
        <v>49.16321182434897</v>
      </c>
      <c r="W188" s="402">
        <f t="shared" si="59"/>
        <v>37.822229377970444</v>
      </c>
      <c r="X188" s="157">
        <f t="shared" si="60"/>
        <v>45100</v>
      </c>
      <c r="Y188" s="385">
        <f t="shared" si="61"/>
        <v>36.167351531901545</v>
      </c>
      <c r="Z188" s="385">
        <f t="shared" si="62"/>
        <v>37.668730922420508</v>
      </c>
      <c r="AA188" s="386">
        <f t="shared" si="63"/>
        <v>44.524104073709495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0.15396992918577193</v>
      </c>
      <c r="AD188" s="231">
        <f>(INDEX(Models!$BJ188:$BT188,,AH188)*(1-AF188)+INDEX(Models!$BJ188:$BT188,,AH188+1)*AF188-ERP_i)*AE188*Ramure*Pc/MaxiM</f>
        <v>7.0455451709413933E-3</v>
      </c>
      <c r="AE188" s="305">
        <f t="shared" si="65"/>
        <v>0.7</v>
      </c>
      <c r="AF188" s="177">
        <f t="shared" si="66"/>
        <v>0.81512111826427591</v>
      </c>
      <c r="AG188" s="921">
        <f t="shared" si="74"/>
        <v>0</v>
      </c>
      <c r="AH188" s="176">
        <f t="shared" si="67"/>
        <v>6</v>
      </c>
      <c r="AI188" s="225">
        <f t="shared" si="68"/>
        <v>0.81512111826427591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36.027145707390169</v>
      </c>
      <c r="C189" s="955"/>
      <c r="D189" s="393">
        <f t="shared" si="50"/>
        <v>37.523526734120431</v>
      </c>
      <c r="E189" s="385">
        <f t="shared" si="75"/>
        <v>42.416193483681099</v>
      </c>
      <c r="F189" s="385">
        <f t="shared" si="51"/>
        <v>42.60319387302804</v>
      </c>
      <c r="G189" s="110">
        <f t="shared" si="76"/>
        <v>0.73201540972763446</v>
      </c>
      <c r="H189" s="414" t="b">
        <f>Wh_hp&gt;='2022'!Maxi_hp</f>
        <v>0</v>
      </c>
      <c r="I189" s="390">
        <f>IF(H189,Wh_hp,'2022'!Maxi_hp)</f>
        <v>57.879746381610467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3.9878475105315503E-2</v>
      </c>
      <c r="M189" s="959"/>
      <c r="N189" s="959"/>
      <c r="O189" s="48">
        <f>IF(t&lt;Tnet,'2022'!Resal+('2022'!Salim-'2022'!Resal)*(1-EXP(('2022'!Tnet-t)/('2022'!Tau_j))),Resal+(Salim-Resal)*(1-EXP((Tnet-t)/(Tau_j))))*Salcycl</f>
        <v>0.11534902940885144</v>
      </c>
      <c r="P189" s="169">
        <f>(INDEX(Models!$BJ189:$BT189,,T189)*(1-R189)+INDEX(Models!$BJ189:$BT189,,T189+1)*R189-ERP_i)*Q189*Ramure*Pc/MaxiM</f>
        <v>7.0796191452514824E-3</v>
      </c>
      <c r="Q189" s="305">
        <f t="shared" si="53"/>
        <v>0.7</v>
      </c>
      <c r="R189" s="177">
        <f t="shared" si="54"/>
        <v>0.81989032064581824</v>
      </c>
      <c r="S189" s="921">
        <f t="shared" si="55"/>
        <v>0</v>
      </c>
      <c r="T189" s="176">
        <f t="shared" si="56"/>
        <v>6</v>
      </c>
      <c r="U189" s="251">
        <f t="shared" si="57"/>
        <v>0.81989032064581824</v>
      </c>
      <c r="V189" s="383">
        <f t="shared" si="58"/>
        <v>49.083387124389247</v>
      </c>
      <c r="W189" s="402">
        <f t="shared" si="59"/>
        <v>36.027145707390169</v>
      </c>
      <c r="X189" s="157">
        <f t="shared" si="60"/>
        <v>45101</v>
      </c>
      <c r="Y189" s="385">
        <f t="shared" si="61"/>
        <v>34.451503948713039</v>
      </c>
      <c r="Z189" s="385">
        <f t="shared" si="62"/>
        <v>35.882440977971008</v>
      </c>
      <c r="AA189" s="386">
        <f t="shared" si="63"/>
        <v>42.416193483681099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0.15403910556527983</v>
      </c>
      <c r="AD189" s="231">
        <f>(INDEX(Models!$BJ189:$BT189,,AH189)*(1-AF189)+INDEX(Models!$BJ189:$BT189,,AH189+1)*AF189-ERP_i)*AE189*Ramure*Pc/MaxiM</f>
        <v>7.0796191452514824E-3</v>
      </c>
      <c r="AE189" s="305">
        <f t="shared" si="65"/>
        <v>0.7</v>
      </c>
      <c r="AF189" s="177">
        <f t="shared" si="66"/>
        <v>0.81989032064581824</v>
      </c>
      <c r="AG189" s="921">
        <f t="shared" si="74"/>
        <v>0</v>
      </c>
      <c r="AH189" s="176">
        <f t="shared" si="67"/>
        <v>6</v>
      </c>
      <c r="AI189" s="225">
        <f t="shared" si="68"/>
        <v>0.81989032064581824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30.912456974229968</v>
      </c>
      <c r="C190" s="955"/>
      <c r="D190" s="393">
        <f t="shared" si="50"/>
        <v>32.197105522233777</v>
      </c>
      <c r="E190" s="385">
        <f t="shared" si="75"/>
        <v>36.39889378252748</v>
      </c>
      <c r="F190" s="385">
        <f t="shared" si="51"/>
        <v>36.521588236543543</v>
      </c>
      <c r="G190" s="110">
        <f t="shared" si="76"/>
        <v>0.62843651788070531</v>
      </c>
      <c r="H190" s="414" t="b">
        <f>Wh_hp&gt;='2022'!Maxi_hp</f>
        <v>0</v>
      </c>
      <c r="I190" s="390">
        <f>IF(H190,Wh_hp,'2022'!Maxi_hp)</f>
        <v>56.287194704165557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3.9899504230797689E-2</v>
      </c>
      <c r="M190" s="959"/>
      <c r="N190" s="959"/>
      <c r="O190" s="48">
        <f>IF(t&lt;Tnet,'2022'!Resal+('2022'!Salim-'2022'!Resal)*(1-EXP(('2022'!Tnet-t)/('2022'!Tau_j))),Resal+(Salim-Resal)*(1-EXP((Tnet-t)/(Tau_j))))*Salcycl</f>
        <v>0.11543725162083597</v>
      </c>
      <c r="P190" s="169">
        <f>(INDEX(Models!$BJ190:$BT190,,T190)*(1-R190)+INDEX(Models!$BJ190:$BT190,,T190+1)*R190-ERP_i)*Q190*Ramure*Pc/MaxiM</f>
        <v>7.1087828980214169E-3</v>
      </c>
      <c r="Q190" s="305">
        <f t="shared" si="53"/>
        <v>0.7</v>
      </c>
      <c r="R190" s="177">
        <f t="shared" si="54"/>
        <v>0.82460496803679417</v>
      </c>
      <c r="S190" s="921">
        <f t="shared" si="55"/>
        <v>0</v>
      </c>
      <c r="T190" s="176">
        <f t="shared" si="56"/>
        <v>6</v>
      </c>
      <c r="U190" s="251">
        <f t="shared" si="57"/>
        <v>0.82460496803679417</v>
      </c>
      <c r="V190" s="383">
        <f t="shared" si="58"/>
        <v>49.004419739475622</v>
      </c>
      <c r="W190" s="402">
        <f t="shared" si="59"/>
        <v>30.912456974229968</v>
      </c>
      <c r="X190" s="157">
        <f t="shared" si="60"/>
        <v>45102</v>
      </c>
      <c r="Y190" s="385">
        <f t="shared" si="61"/>
        <v>29.561126088149628</v>
      </c>
      <c r="Z190" s="385">
        <f t="shared" si="62"/>
        <v>30.789616522868457</v>
      </c>
      <c r="AA190" s="386">
        <f t="shared" si="63"/>
        <v>36.39889378252748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0.15410570698034889</v>
      </c>
      <c r="AD190" s="231">
        <f>(INDEX(Models!$BJ190:$BT190,,AH190)*(1-AF190)+INDEX(Models!$BJ190:$BT190,,AH190+1)*AF190-ERP_i)*AE190*Ramure*Pc/MaxiM</f>
        <v>7.1087828980214169E-3</v>
      </c>
      <c r="AE190" s="305">
        <f t="shared" si="65"/>
        <v>0.7</v>
      </c>
      <c r="AF190" s="177">
        <f t="shared" si="66"/>
        <v>0.82460496803679417</v>
      </c>
      <c r="AG190" s="921">
        <f t="shared" si="74"/>
        <v>0</v>
      </c>
      <c r="AH190" s="176">
        <f t="shared" si="67"/>
        <v>6</v>
      </c>
      <c r="AI190" s="225">
        <f t="shared" si="68"/>
        <v>0.82460496803679417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10.016498631547728</v>
      </c>
      <c r="C191" s="955"/>
      <c r="D191" s="393">
        <f t="shared" si="50"/>
        <v>10.432989116784686</v>
      </c>
      <c r="E191" s="385">
        <f t="shared" si="75"/>
        <v>11.795666290807834</v>
      </c>
      <c r="F191" s="385">
        <f t="shared" si="51"/>
        <v>11.795666290807834</v>
      </c>
      <c r="G191" s="110">
        <f t="shared" si="76"/>
        <v>0.20326817663676103</v>
      </c>
      <c r="H191" s="414" t="b">
        <f>Wh_hp&gt;='2022'!Maxi_hp</f>
        <v>0</v>
      </c>
      <c r="I191" s="390">
        <f>IF(H191,Wh_hp,'2022'!Maxi_hp)</f>
        <v>59.196700093726733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3.9920532895687977E-2</v>
      </c>
      <c r="M191" s="959"/>
      <c r="N191" s="959"/>
      <c r="O191" s="48">
        <f>IF(t&lt;Tnet,'2022'!Resal+('2022'!Salim-'2022'!Resal)*(1-EXP(('2022'!Tnet-t)/('2022'!Tau_j))),Resal+(Salim-Resal)*(1-EXP((Tnet-t)/(Tau_j))))*Salcycl</f>
        <v>0.11552354402269405</v>
      </c>
      <c r="P191" s="169">
        <f>(INDEX(Models!$BJ191:$BT191,,T191)*(1-R191)+INDEX(Models!$BJ191:$BT191,,T191+1)*R191-ERP_i)*Q191*Ramure*Pc/MaxiM</f>
        <v>7.1330466373173704E-3</v>
      </c>
      <c r="Q191" s="305">
        <f t="shared" si="53"/>
        <v>0.7</v>
      </c>
      <c r="R191" s="177">
        <f t="shared" si="54"/>
        <v>0.82926208037762639</v>
      </c>
      <c r="S191" s="921">
        <f t="shared" si="55"/>
        <v>0</v>
      </c>
      <c r="T191" s="176">
        <f t="shared" si="56"/>
        <v>6</v>
      </c>
      <c r="U191" s="251">
        <f t="shared" si="57"/>
        <v>0.82926208037762639</v>
      </c>
      <c r="V191" s="383">
        <f t="shared" si="58"/>
        <v>48.925762233003233</v>
      </c>
      <c r="W191" s="402">
        <f t="shared" si="59"/>
        <v>10.016498631547728</v>
      </c>
      <c r="X191" s="157">
        <f t="shared" si="60"/>
        <v>45103</v>
      </c>
      <c r="Y191" s="385">
        <f t="shared" si="61"/>
        <v>9.57883904053128</v>
      </c>
      <c r="Z191" s="385">
        <f t="shared" si="62"/>
        <v>9.9771314445687906</v>
      </c>
      <c r="AA191" s="386">
        <f t="shared" si="63"/>
        <v>11.795666290807834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0.15416974348080667</v>
      </c>
      <c r="AD191" s="231">
        <f>(INDEX(Models!$BJ191:$BT191,,AH191)*(1-AF191)+INDEX(Models!$BJ191:$BT191,,AH191+1)*AF191-ERP_i)*AE191*Ramure*Pc/MaxiM</f>
        <v>7.1330466373173704E-3</v>
      </c>
      <c r="AE191" s="305">
        <f t="shared" si="65"/>
        <v>0.7</v>
      </c>
      <c r="AF191" s="177">
        <f t="shared" si="66"/>
        <v>0.82926208037762639</v>
      </c>
      <c r="AG191" s="921">
        <f t="shared" si="74"/>
        <v>0</v>
      </c>
      <c r="AH191" s="176">
        <f t="shared" si="67"/>
        <v>6</v>
      </c>
      <c r="AI191" s="225">
        <f t="shared" si="68"/>
        <v>0.82926208037762639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9.3920804671175109</v>
      </c>
      <c r="C192" s="955"/>
      <c r="D192" s="393">
        <f t="shared" si="50"/>
        <v>9.7828216351898138</v>
      </c>
      <c r="E192" s="385">
        <f t="shared" si="75"/>
        <v>11.061634119286971</v>
      </c>
      <c r="F192" s="385">
        <f t="shared" si="51"/>
        <v>11.061634119286971</v>
      </c>
      <c r="G192" s="110">
        <f t="shared" si="76"/>
        <v>0.1909017119226433</v>
      </c>
      <c r="H192" s="414" t="b">
        <f>Wh_hp&gt;='2022'!Maxi_hp</f>
        <v>0</v>
      </c>
      <c r="I192" s="390">
        <f>IF(H192,Wh_hp,'2022'!Maxi_hp)</f>
        <v>57.199547222334189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3.9941561099996581E-2</v>
      </c>
      <c r="M192" s="959"/>
      <c r="N192" s="959"/>
      <c r="O192" s="48">
        <f>IF(t&lt;Tnet,'2022'!Resal+('2022'!Salim-'2022'!Resal)*(1-EXP(('2022'!Tnet-t)/('2022'!Tau_j))),Resal+(Salim-Resal)*(1-EXP((Tnet-t)/(Tau_j))))*Salcycl</f>
        <v>0.11560791744751632</v>
      </c>
      <c r="P192" s="169">
        <f>(INDEX(Models!$BJ192:$BT192,,T192)*(1-R192)+INDEX(Models!$BJ192:$BT192,,T192+1)*R192-ERP_i)*Q192*Ramure*Pc/MaxiM</f>
        <v>7.1476219628425069E-3</v>
      </c>
      <c r="Q192" s="305">
        <f t="shared" si="53"/>
        <v>0.7</v>
      </c>
      <c r="R192" s="177">
        <f t="shared" si="54"/>
        <v>0.83385884579534353</v>
      </c>
      <c r="S192" s="921">
        <f t="shared" si="55"/>
        <v>0</v>
      </c>
      <c r="T192" s="176">
        <f t="shared" si="56"/>
        <v>6</v>
      </c>
      <c r="U192" s="251">
        <f t="shared" si="57"/>
        <v>0.83385884579534353</v>
      </c>
      <c r="V192" s="383">
        <f t="shared" si="58"/>
        <v>48.846861207156643</v>
      </c>
      <c r="W192" s="402">
        <f t="shared" si="59"/>
        <v>9.3920804671175109</v>
      </c>
      <c r="X192" s="157">
        <f t="shared" si="60"/>
        <v>45104</v>
      </c>
      <c r="Y192" s="385">
        <f t="shared" si="61"/>
        <v>8.981908003996411</v>
      </c>
      <c r="Z192" s="385">
        <f t="shared" si="62"/>
        <v>9.3555846603333048</v>
      </c>
      <c r="AA192" s="386">
        <f t="shared" si="63"/>
        <v>11.061634119286971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0.15423123207257541</v>
      </c>
      <c r="AD192" s="231">
        <f>(INDEX(Models!$BJ192:$BT192,,AH192)*(1-AF192)+INDEX(Models!$BJ192:$BT192,,AH192+1)*AF192-ERP_i)*AE192*Ramure*Pc/MaxiM</f>
        <v>7.1476219628425069E-3</v>
      </c>
      <c r="AE192" s="305">
        <f t="shared" si="65"/>
        <v>0.7</v>
      </c>
      <c r="AF192" s="177">
        <f t="shared" si="66"/>
        <v>0.83385884579534353</v>
      </c>
      <c r="AG192" s="921">
        <f t="shared" si="74"/>
        <v>0</v>
      </c>
      <c r="AH192" s="176">
        <f t="shared" si="67"/>
        <v>6</v>
      </c>
      <c r="AI192" s="225">
        <f t="shared" si="68"/>
        <v>0.83385884579534353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48.367561691217418</v>
      </c>
      <c r="C193" s="955"/>
      <c r="D193" s="393">
        <f t="shared" si="50"/>
        <v>50.38091341978398</v>
      </c>
      <c r="E193" s="385">
        <f t="shared" si="75"/>
        <v>56.972029619770254</v>
      </c>
      <c r="F193" s="385">
        <f t="shared" si="51"/>
        <v>57.377717094070647</v>
      </c>
      <c r="G193" s="110">
        <f t="shared" si="76"/>
        <v>0.99171279798430345</v>
      </c>
      <c r="H193" s="414" t="b">
        <f>Wh_hp&gt;='2022'!Maxi_hp</f>
        <v>0</v>
      </c>
      <c r="I193" s="390">
        <f>IF(H193,Wh_hp,'2022'!Maxi_hp)</f>
        <v>57.378438327002037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3.9962588843733493E-2</v>
      </c>
      <c r="M193" s="959"/>
      <c r="N193" s="959"/>
      <c r="O193" s="48">
        <f>IF(t&lt;Tnet,'2022'!Resal+('2022'!Salim-'2022'!Resal)*(1-EXP(('2022'!Tnet-t)/('2022'!Tau_j))),Resal+(Salim-Resal)*(1-EXP((Tnet-t)/(Tau_j))))*Salcycl</f>
        <v>0.11569038779160933</v>
      </c>
      <c r="P193" s="169">
        <f>(INDEX(Models!$BJ193:$BT193,,T193)*(1-R193)+INDEX(Models!$BJ193:$BT193,,T193+1)*R193-ERP_i)*Q193*Ramure*Pc/MaxiM</f>
        <v>7.1543138022644014E-3</v>
      </c>
      <c r="Q193" s="305">
        <f t="shared" si="53"/>
        <v>0.7</v>
      </c>
      <c r="R193" s="177">
        <f t="shared" si="54"/>
        <v>0.83839262532617309</v>
      </c>
      <c r="S193" s="921">
        <f t="shared" si="55"/>
        <v>0</v>
      </c>
      <c r="T193" s="176">
        <f t="shared" si="56"/>
        <v>6</v>
      </c>
      <c r="U193" s="251">
        <f t="shared" si="57"/>
        <v>0.83839262532617309</v>
      </c>
      <c r="V193" s="383">
        <f t="shared" si="58"/>
        <v>48.767624691213882</v>
      </c>
      <c r="W193" s="402">
        <f t="shared" si="59"/>
        <v>48.367561691217418</v>
      </c>
      <c r="X193" s="157">
        <f t="shared" si="60"/>
        <v>45105</v>
      </c>
      <c r="Y193" s="385">
        <f t="shared" si="61"/>
        <v>46.256334353497685</v>
      </c>
      <c r="Z193" s="385">
        <f t="shared" si="62"/>
        <v>48.181803975520786</v>
      </c>
      <c r="AA193" s="386">
        <f t="shared" si="63"/>
        <v>56.972029619770254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0.15429019648615633</v>
      </c>
      <c r="AD193" s="231">
        <f>(INDEX(Models!$BJ193:$BT193,,AH193)*(1-AF193)+INDEX(Models!$BJ193:$BT193,,AH193+1)*AF193-ERP_i)*AE193*Ramure*Pc/MaxiM</f>
        <v>7.1543138022644014E-3</v>
      </c>
      <c r="AE193" s="305">
        <f t="shared" si="65"/>
        <v>0.7</v>
      </c>
      <c r="AF193" s="177">
        <f t="shared" si="66"/>
        <v>0.83839262532617309</v>
      </c>
      <c r="AG193" s="921">
        <f t="shared" si="74"/>
        <v>0</v>
      </c>
      <c r="AH193" s="176">
        <f t="shared" si="67"/>
        <v>6</v>
      </c>
      <c r="AI193" s="225">
        <f t="shared" si="68"/>
        <v>0.83839262532617309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49.126484555776052</v>
      </c>
      <c r="C194" s="955"/>
      <c r="D194" s="393">
        <f t="shared" si="50"/>
        <v>51.172548074211093</v>
      </c>
      <c r="E194" s="385">
        <f t="shared" si="75"/>
        <v>57.872504379528969</v>
      </c>
      <c r="F194" s="385">
        <f t="shared" si="51"/>
        <v>58.289451559149796</v>
      </c>
      <c r="G194" s="110">
        <f t="shared" si="76"/>
        <v>1.0090049067127487</v>
      </c>
      <c r="H194" s="414" t="b">
        <f>Wh_hp&gt;='2022'!Maxi_hp</f>
        <v>1</v>
      </c>
      <c r="I194" s="390">
        <f>IF(H194,Wh_hp,'2022'!Maxi_hp)</f>
        <v>58.289451559149796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3.9983616126908816E-2</v>
      </c>
      <c r="M194" s="959"/>
      <c r="N194" s="959"/>
      <c r="O194" s="48">
        <f>IF(t&lt;Tnet,'2022'!Resal+('2022'!Salim-'2022'!Resal)*(1-EXP(('2022'!Tnet-t)/('2022'!Tau_j))),Resal+(Salim-Resal)*(1-EXP((Tnet-t)/(Tau_j))))*Salcycl</f>
        <v>0.1157709758226365</v>
      </c>
      <c r="P194" s="169">
        <f>(INDEX(Models!$BJ194:$BT194,,T194)*(1-R194)+INDEX(Models!$BJ194:$BT194,,T194+1)*R194-ERP_i)*Q194*Ramure*Pc/MaxiM</f>
        <v>7.1530468801499977E-3</v>
      </c>
      <c r="Q194" s="305">
        <f t="shared" si="53"/>
        <v>0.7</v>
      </c>
      <c r="R194" s="177">
        <f t="shared" si="54"/>
        <v>0.84286095665794536</v>
      </c>
      <c r="S194" s="921">
        <f t="shared" si="55"/>
        <v>0</v>
      </c>
      <c r="T194" s="176">
        <f t="shared" si="56"/>
        <v>6</v>
      </c>
      <c r="U194" s="251">
        <f t="shared" si="57"/>
        <v>0.84286095665794536</v>
      </c>
      <c r="V194" s="383">
        <f t="shared" si="58"/>
        <v>48.688053178874938</v>
      </c>
      <c r="W194" s="402">
        <f t="shared" si="59"/>
        <v>49.126484555776052</v>
      </c>
      <c r="X194" s="157">
        <f t="shared" si="60"/>
        <v>45106</v>
      </c>
      <c r="Y194" s="385">
        <f t="shared" si="61"/>
        <v>46.983275001910435</v>
      </c>
      <c r="Z194" s="385">
        <f t="shared" si="62"/>
        <v>48.940076222825546</v>
      </c>
      <c r="AA194" s="386">
        <f t="shared" si="63"/>
        <v>57.872504379528969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0.15434666690980561</v>
      </c>
      <c r="AD194" s="231">
        <f>(INDEX(Models!$BJ194:$BT194,,AH194)*(1-AF194)+INDEX(Models!$BJ194:$BT194,,AH194+1)*AF194-ERP_i)*AE194*Ramure*Pc/MaxiM</f>
        <v>7.1530468801499977E-3</v>
      </c>
      <c r="AE194" s="305">
        <f t="shared" si="65"/>
        <v>0.7</v>
      </c>
      <c r="AF194" s="177">
        <f t="shared" si="66"/>
        <v>0.84286095665794536</v>
      </c>
      <c r="AG194" s="921">
        <f t="shared" si="74"/>
        <v>0</v>
      </c>
      <c r="AH194" s="176">
        <f t="shared" si="67"/>
        <v>6</v>
      </c>
      <c r="AI194" s="225">
        <f t="shared" si="68"/>
        <v>0.84286095665794536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11.18792518957105</v>
      </c>
      <c r="C195" s="955"/>
      <c r="D195" s="393">
        <f t="shared" si="50"/>
        <v>11.654145103311055</v>
      </c>
      <c r="E195" s="385">
        <f t="shared" si="75"/>
        <v>13.18118106738598</v>
      </c>
      <c r="F195" s="385">
        <f t="shared" si="51"/>
        <v>13.18118106738598</v>
      </c>
      <c r="G195" s="110">
        <f t="shared" si="76"/>
        <v>0.22852139435990029</v>
      </c>
      <c r="H195" s="414" t="b">
        <f>Wh_hp&gt;='2022'!Maxi_hp</f>
        <v>0</v>
      </c>
      <c r="I195" s="390">
        <f>IF(H195,Wh_hp,'2022'!Maxi_hp)</f>
        <v>51.899795502885659</v>
      </c>
      <c r="J195" s="85">
        <f>IF(H195,An,'2022'!An_max)</f>
        <v>2021</v>
      </c>
      <c r="K195" s="197">
        <f t="shared" si="52"/>
        <v>45107</v>
      </c>
      <c r="L195" s="147">
        <f>IF(t&lt;Tvie,1-EXP((T0-t)*PertePVj)+'2022'!Pspv,1-EXP((T0-t)*PertePVj)+Pspv)</f>
        <v>4.0004642949532765E-2</v>
      </c>
      <c r="M195" s="959"/>
      <c r="N195" s="959"/>
      <c r="O195" s="48">
        <f>IF(t&lt;Tnet,'2022'!Resal+('2022'!Salim-'2022'!Resal)*(1-EXP(('2022'!Tnet-t)/('2022'!Tau_j))),Resal+(Salim-Resal)*(1-EXP((Tnet-t)/(Tau_j))))*Salcycl</f>
        <v>0.1158497069623943</v>
      </c>
      <c r="P195" s="169">
        <f>(INDEX(Models!$BJ195:$BT195,,T195)*(1-R195)+INDEX(Models!$BJ195:$BT195,,T195+1)*R195-ERP_i)*Q195*Ramure*Pc/MaxiM</f>
        <v>7.143753521138935E-3</v>
      </c>
      <c r="Q195" s="305">
        <f t="shared" si="53"/>
        <v>0.7</v>
      </c>
      <c r="R195" s="177">
        <f t="shared" si="54"/>
        <v>0.84726155690350091</v>
      </c>
      <c r="S195" s="921">
        <f t="shared" si="55"/>
        <v>0</v>
      </c>
      <c r="T195" s="176">
        <f t="shared" si="56"/>
        <v>6</v>
      </c>
      <c r="U195" s="251">
        <f t="shared" si="57"/>
        <v>0.84726155690350091</v>
      </c>
      <c r="V195" s="383">
        <f t="shared" si="58"/>
        <v>48.608146474503506</v>
      </c>
      <c r="W195" s="402">
        <f t="shared" si="59"/>
        <v>11.18792518957105</v>
      </c>
      <c r="X195" s="157">
        <f t="shared" si="60"/>
        <v>45107</v>
      </c>
      <c r="Y195" s="385">
        <f t="shared" si="61"/>
        <v>10.700106091107711</v>
      </c>
      <c r="Z195" s="385">
        <f t="shared" si="62"/>
        <v>11.145997751471629</v>
      </c>
      <c r="AA195" s="386">
        <f t="shared" si="63"/>
        <v>13.18118106738598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0.15440067968946858</v>
      </c>
      <c r="AD195" s="231">
        <f>(INDEX(Models!$BJ195:$BT195,,AH195)*(1-AF195)+INDEX(Models!$BJ195:$BT195,,AH195+1)*AF195-ERP_i)*AE195*Ramure*Pc/MaxiM</f>
        <v>7.143753521138935E-3</v>
      </c>
      <c r="AE195" s="305">
        <f t="shared" si="65"/>
        <v>0.7</v>
      </c>
      <c r="AF195" s="177">
        <f t="shared" si="66"/>
        <v>0.84726155690350091</v>
      </c>
      <c r="AG195" s="921">
        <f t="shared" si="74"/>
        <v>0</v>
      </c>
      <c r="AH195" s="176">
        <f t="shared" si="67"/>
        <v>6</v>
      </c>
      <c r="AI195" s="225">
        <f t="shared" si="68"/>
        <v>0.84726155690350091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41.874723168131787</v>
      </c>
      <c r="C196" s="955"/>
      <c r="D196" s="393">
        <f t="shared" si="50"/>
        <v>43.620669667389947</v>
      </c>
      <c r="E196" s="385">
        <f t="shared" si="75"/>
        <v>49.340552732840159</v>
      </c>
      <c r="F196" s="385">
        <f t="shared" si="51"/>
        <v>49.624934434297508</v>
      </c>
      <c r="G196" s="110">
        <f t="shared" si="76"/>
        <v>0.86168856179772835</v>
      </c>
      <c r="H196" s="414" t="b">
        <f>Wh_hp&gt;='2022'!Maxi_hp</f>
        <v>0</v>
      </c>
      <c r="I196" s="390">
        <f>IF(H196,Wh_hp,'2022'!Maxi_hp)</f>
        <v>55.368807466601659</v>
      </c>
      <c r="J196" s="85">
        <f>IF(H196,An,'2022'!An_max)</f>
        <v>2021</v>
      </c>
      <c r="K196" s="197">
        <f t="shared" si="52"/>
        <v>45108</v>
      </c>
      <c r="L196" s="147">
        <f>IF(t&lt;Tvie,1-EXP((T0-t)*PertePVj)+'2022'!Pspv,1-EXP((T0-t)*PertePVj)+Pspv)</f>
        <v>4.0025669311615331E-2</v>
      </c>
      <c r="M196" s="959"/>
      <c r="N196" s="959"/>
      <c r="O196" s="48">
        <f>IF(t&lt;Tnet,'2022'!Resal+('2022'!Salim-'2022'!Resal)*(1-EXP(('2022'!Tnet-t)/('2022'!Tau_j))),Resal+(Salim-Resal)*(1-EXP((Tnet-t)/(Tau_j))))*Salcycl</f>
        <v>0.11592661104591076</v>
      </c>
      <c r="P196" s="169">
        <f>(INDEX(Models!$BJ196:$BT196,,T196)*(1-R196)+INDEX(Models!$BJ196:$BT196,,T196+1)*R196-ERP_i)*Q196*Ramure*Pc/MaxiM</f>
        <v>7.1263733691851096E-3</v>
      </c>
      <c r="Q196" s="305">
        <f t="shared" si="53"/>
        <v>0.7</v>
      </c>
      <c r="R196" s="177">
        <f t="shared" si="54"/>
        <v>0.85159232442444388</v>
      </c>
      <c r="S196" s="921">
        <f t="shared" si="55"/>
        <v>0</v>
      </c>
      <c r="T196" s="176">
        <f t="shared" si="56"/>
        <v>6</v>
      </c>
      <c r="U196" s="251">
        <f t="shared" si="57"/>
        <v>0.85159232442444388</v>
      </c>
      <c r="V196" s="383">
        <f t="shared" si="58"/>
        <v>48.527903722844883</v>
      </c>
      <c r="W196" s="402">
        <f t="shared" si="59"/>
        <v>41.874723168131787</v>
      </c>
      <c r="X196" s="157">
        <f t="shared" si="60"/>
        <v>45108</v>
      </c>
      <c r="Y196" s="385">
        <f t="shared" si="61"/>
        <v>40.049929415984572</v>
      </c>
      <c r="Z196" s="385">
        <f t="shared" si="62"/>
        <v>41.719792014923257</v>
      </c>
      <c r="AA196" s="386">
        <f t="shared" si="63"/>
        <v>49.340552732840159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0.15445227699779418</v>
      </c>
      <c r="AD196" s="231">
        <f>(INDEX(Models!$BJ196:$BT196,,AH196)*(1-AF196)+INDEX(Models!$BJ196:$BT196,,AH196+1)*AF196-ERP_i)*AE196*Ramure*Pc/MaxiM</f>
        <v>7.1263733691851096E-3</v>
      </c>
      <c r="AE196" s="305">
        <f t="shared" si="65"/>
        <v>0.7</v>
      </c>
      <c r="AF196" s="177">
        <f t="shared" si="66"/>
        <v>0.85159232442444388</v>
      </c>
      <c r="AG196" s="921">
        <f t="shared" si="74"/>
        <v>0</v>
      </c>
      <c r="AH196" s="176">
        <f t="shared" si="67"/>
        <v>6</v>
      </c>
      <c r="AI196" s="225">
        <f t="shared" si="68"/>
        <v>0.85159232442444388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48.19679140018588</v>
      </c>
      <c r="C197" s="955"/>
      <c r="D197" s="393">
        <f t="shared" si="50"/>
        <v>50.207433173938007</v>
      </c>
      <c r="E197" s="385">
        <f t="shared" si="75"/>
        <v>56.795849524577811</v>
      </c>
      <c r="F197" s="385">
        <f t="shared" si="51"/>
        <v>57.199010789157484</v>
      </c>
      <c r="G197" s="110">
        <f t="shared" si="76"/>
        <v>0.99477621781476877</v>
      </c>
      <c r="H197" s="414" t="b">
        <f>Wh_hp&gt;='2022'!Maxi_hp</f>
        <v>0</v>
      </c>
      <c r="I197" s="390">
        <f>IF(H197,Wh_hp,'2022'!Maxi_hp)</f>
        <v>57.199459746011513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4.0046695213166617E-2</v>
      </c>
      <c r="M197" s="959"/>
      <c r="N197" s="959"/>
      <c r="O197" s="48">
        <f>IF(t&lt;Tnet,'2022'!Resal+('2022'!Salim-'2022'!Resal)*(1-EXP(('2022'!Tnet-t)/('2022'!Tau_j))),Resal+(Salim-Resal)*(1-EXP((Tnet-t)/(Tau_j))))*Salcycl</f>
        <v>0.11600172205873481</v>
      </c>
      <c r="P197" s="169">
        <f>(INDEX(Models!$BJ197:$BT197,,T197)*(1-R197)+INDEX(Models!$BJ197:$BT197,,T197+1)*R197-ERP_i)*Q197*Ramure*Pc/MaxiM</f>
        <v>7.1008530560559713E-3</v>
      </c>
      <c r="Q197" s="305">
        <f t="shared" si="53"/>
        <v>0.7</v>
      </c>
      <c r="R197" s="177">
        <f t="shared" si="54"/>
        <v>0.85585133973210448</v>
      </c>
      <c r="S197" s="921">
        <f t="shared" si="55"/>
        <v>0</v>
      </c>
      <c r="T197" s="176">
        <f t="shared" si="56"/>
        <v>6</v>
      </c>
      <c r="U197" s="251">
        <f t="shared" si="57"/>
        <v>0.85585133973210448</v>
      </c>
      <c r="V197" s="383">
        <f t="shared" si="58"/>
        <v>48.447323444735474</v>
      </c>
      <c r="W197" s="402">
        <f t="shared" si="59"/>
        <v>48.19679140018588</v>
      </c>
      <c r="X197" s="157">
        <f t="shared" si="60"/>
        <v>45109</v>
      </c>
      <c r="Y197" s="385">
        <f t="shared" si="61"/>
        <v>46.097730661318792</v>
      </c>
      <c r="Z197" s="385">
        <f t="shared" si="62"/>
        <v>48.020805211515182</v>
      </c>
      <c r="AA197" s="386">
        <f t="shared" si="63"/>
        <v>56.795849524577811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0.15450150647478778</v>
      </c>
      <c r="AD197" s="231">
        <f>(INDEX(Models!$BJ197:$BT197,,AH197)*(1-AF197)+INDEX(Models!$BJ197:$BT197,,AH197+1)*AF197-ERP_i)*AE197*Ramure*Pc/MaxiM</f>
        <v>7.1008530560559713E-3</v>
      </c>
      <c r="AE197" s="305">
        <f t="shared" si="65"/>
        <v>0.7</v>
      </c>
      <c r="AF197" s="177">
        <f t="shared" si="66"/>
        <v>0.85585133973210448</v>
      </c>
      <c r="AG197" s="921">
        <f t="shared" si="74"/>
        <v>0</v>
      </c>
      <c r="AH197" s="176">
        <f t="shared" si="67"/>
        <v>6</v>
      </c>
      <c r="AI197" s="225">
        <f t="shared" si="68"/>
        <v>0.85585133973210448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41.68746748531057</v>
      </c>
      <c r="C198" s="955"/>
      <c r="D198" s="393">
        <f t="shared" si="50"/>
        <v>43.427508775640611</v>
      </c>
      <c r="E198" s="385">
        <f t="shared" si="75"/>
        <v>49.130313771704799</v>
      </c>
      <c r="F198" s="385">
        <f t="shared" si="51"/>
        <v>49.410534479465355</v>
      </c>
      <c r="G198" s="110">
        <f t="shared" si="76"/>
        <v>0.86069962153557367</v>
      </c>
      <c r="H198" s="414" t="b">
        <f>Wh_hp&gt;='2022'!Maxi_hp</f>
        <v>0</v>
      </c>
      <c r="I198" s="390">
        <f>IF(H198,Wh_hp,'2022'!Maxi_hp)</f>
        <v>49.441031489628365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4.0067720654196615E-2</v>
      </c>
      <c r="M198" s="959"/>
      <c r="N198" s="959"/>
      <c r="O198" s="48">
        <f>IF(t&lt;Tnet,'2022'!Resal+('2022'!Salim-'2022'!Resal)*(1-EXP(('2022'!Tnet-t)/('2022'!Tau_j))),Resal+(Salim-Resal)*(1-EXP((Tnet-t)/(Tau_j))))*Salcycl</f>
        <v>0.11607507785444994</v>
      </c>
      <c r="P198" s="169">
        <f>(INDEX(Models!$BJ198:$BT198,,T198)*(1-R198)+INDEX(Models!$BJ198:$BT198,,T198+1)*R198-ERP_i)*Q198*Ramure*Pc/MaxiM</f>
        <v>7.0650247281360519E-3</v>
      </c>
      <c r="Q198" s="305">
        <f t="shared" si="53"/>
        <v>0.7</v>
      </c>
      <c r="R198" s="177">
        <f t="shared" si="54"/>
        <v>0.86003686549940095</v>
      </c>
      <c r="S198" s="921">
        <f t="shared" si="55"/>
        <v>0</v>
      </c>
      <c r="T198" s="176">
        <f t="shared" si="56"/>
        <v>6</v>
      </c>
      <c r="U198" s="251">
        <f t="shared" si="57"/>
        <v>0.86003686549940095</v>
      </c>
      <c r="V198" s="383">
        <f t="shared" si="58"/>
        <v>48.366506895152121</v>
      </c>
      <c r="W198" s="402">
        <f t="shared" si="59"/>
        <v>41.68746748531057</v>
      </c>
      <c r="X198" s="157">
        <f t="shared" si="60"/>
        <v>45110</v>
      </c>
      <c r="Y198" s="385">
        <f t="shared" si="61"/>
        <v>39.872996375040223</v>
      </c>
      <c r="Z198" s="385">
        <f t="shared" si="62"/>
        <v>41.537301362772993</v>
      </c>
      <c r="AA198" s="386">
        <f t="shared" si="63"/>
        <v>49.130313771704799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0.1545484208428724</v>
      </c>
      <c r="AD198" s="231">
        <f>(INDEX(Models!$BJ198:$BT198,,AH198)*(1-AF198)+INDEX(Models!$BJ198:$BT198,,AH198+1)*AF198-ERP_i)*AE198*Ramure*Pc/MaxiM</f>
        <v>7.0650247281360519E-3</v>
      </c>
      <c r="AE198" s="305">
        <f t="shared" si="65"/>
        <v>0.7</v>
      </c>
      <c r="AF198" s="177">
        <f t="shared" si="66"/>
        <v>0.86003686549940095</v>
      </c>
      <c r="AG198" s="921">
        <f t="shared" si="74"/>
        <v>0</v>
      </c>
      <c r="AH198" s="176">
        <f t="shared" si="67"/>
        <v>6</v>
      </c>
      <c r="AI198" s="225">
        <f t="shared" si="68"/>
        <v>0.86003686549940095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39.758635257016941</v>
      </c>
      <c r="C199" s="955"/>
      <c r="D199" s="393">
        <f t="shared" si="50"/>
        <v>41.419073978152568</v>
      </c>
      <c r="E199" s="385">
        <f t="shared" si="75"/>
        <v>46.861933884929961</v>
      </c>
      <c r="F199" s="385">
        <f t="shared" si="51"/>
        <v>47.109240872703161</v>
      </c>
      <c r="G199" s="110">
        <f t="shared" si="76"/>
        <v>0.82194371917127185</v>
      </c>
      <c r="H199" s="414" t="b">
        <f>Wh_hp&gt;='2022'!Maxi_hp</f>
        <v>0</v>
      </c>
      <c r="I199" s="390">
        <f>IF(H199,Wh_hp,'2022'!Maxi_hp)</f>
        <v>55.745011407918014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4.0088745634715539E-2</v>
      </c>
      <c r="M199" s="959"/>
      <c r="N199" s="959"/>
      <c r="O199" s="48">
        <f>IF(t&lt;Tnet,'2022'!Resal+('2022'!Salim-'2022'!Resal)*(1-EXP(('2022'!Tnet-t)/('2022'!Tau_j))),Resal+(Salim-Resal)*(1-EXP((Tnet-t)/(Tau_j))))*Salcycl</f>
        <v>0.11614671985459246</v>
      </c>
      <c r="P199" s="169">
        <f>(INDEX(Models!$BJ199:$BT199,,T199)*(1-R199)+INDEX(Models!$BJ199:$BT199,,T199+1)*R199-ERP_i)*Q199*Ramure*Pc/MaxiM</f>
        <v>7.0207979468870077E-3</v>
      </c>
      <c r="Q199" s="305">
        <f t="shared" si="53"/>
        <v>0.7</v>
      </c>
      <c r="R199" s="177">
        <f t="shared" si="54"/>
        <v>0.86414734572335805</v>
      </c>
      <c r="S199" s="921">
        <f t="shared" si="55"/>
        <v>0</v>
      </c>
      <c r="T199" s="176">
        <f t="shared" si="56"/>
        <v>6</v>
      </c>
      <c r="U199" s="251">
        <f t="shared" si="57"/>
        <v>0.86414734572335805</v>
      </c>
      <c r="V199" s="383">
        <f t="shared" si="58"/>
        <v>48.285356102216554</v>
      </c>
      <c r="W199" s="402">
        <f t="shared" si="59"/>
        <v>39.758635257016941</v>
      </c>
      <c r="X199" s="157">
        <f t="shared" si="60"/>
        <v>45111</v>
      </c>
      <c r="Y199" s="385">
        <f t="shared" si="61"/>
        <v>38.029191304163241</v>
      </c>
      <c r="Z199" s="385">
        <f t="shared" si="62"/>
        <v>39.617403308089166</v>
      </c>
      <c r="AA199" s="386">
        <f t="shared" si="63"/>
        <v>46.861933884929961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0.15459307749931589</v>
      </c>
      <c r="AD199" s="231">
        <f>(INDEX(Models!$BJ199:$BT199,,AH199)*(1-AF199)+INDEX(Models!$BJ199:$BT199,,AH199+1)*AF199-ERP_i)*AE199*Ramure*Pc/MaxiM</f>
        <v>7.0207979468870077E-3</v>
      </c>
      <c r="AE199" s="305">
        <f t="shared" si="65"/>
        <v>0.7</v>
      </c>
      <c r="AF199" s="177">
        <f t="shared" si="66"/>
        <v>0.86414734572335805</v>
      </c>
      <c r="AG199" s="921">
        <f t="shared" si="74"/>
        <v>0</v>
      </c>
      <c r="AH199" s="176">
        <f t="shared" si="67"/>
        <v>6</v>
      </c>
      <c r="AI199" s="225">
        <f t="shared" si="68"/>
        <v>0.86414734572335805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48.41723904159641</v>
      </c>
      <c r="C200" s="955"/>
      <c r="D200" s="393">
        <f t="shared" si="50"/>
        <v>50.440391553314612</v>
      </c>
      <c r="E200" s="385">
        <f t="shared" si="75"/>
        <v>57.073256689257754</v>
      </c>
      <c r="F200" s="385">
        <f t="shared" si="51"/>
        <v>57.47374171282457</v>
      </c>
      <c r="G200" s="110">
        <f t="shared" si="76"/>
        <v>1.0044264330036197</v>
      </c>
      <c r="H200" s="414" t="b">
        <f>Wh_hp&gt;='2022'!Maxi_hp</f>
        <v>0</v>
      </c>
      <c r="I200" s="390">
        <f>IF(H200,Wh_hp,'2022'!Maxi_hp)</f>
        <v>58.767865102105034</v>
      </c>
      <c r="J200" s="85">
        <f>IF(H200,An,'2022'!An_max)</f>
        <v>2021</v>
      </c>
      <c r="K200" s="197">
        <f t="shared" si="52"/>
        <v>45112</v>
      </c>
      <c r="L200" s="147">
        <f>IF(t&lt;Tvie,1-EXP((T0-t)*PertePVj)+'2022'!Pspv,1-EXP((T0-t)*PertePVj)+Pspv)</f>
        <v>4.0109770154733382E-2</v>
      </c>
      <c r="M200" s="959"/>
      <c r="N200" s="959"/>
      <c r="O200" s="48">
        <f>IF(t&lt;Tnet,'2022'!Resal+('2022'!Salim-'2022'!Resal)*(1-EXP(('2022'!Tnet-t)/('2022'!Tau_j))),Resal+(Salim-Resal)*(1-EXP((Tnet-t)/(Tau_j))))*Salcycl</f>
        <v>0.11621669273328099</v>
      </c>
      <c r="P200" s="169">
        <f>(INDEX(Models!$BJ200:$BT200,,T200)*(1-R200)+INDEX(Models!$BJ200:$BT200,,T200+1)*R200-ERP_i)*Q200*Ramure*Pc/MaxiM</f>
        <v>6.9681390428326757E-3</v>
      </c>
      <c r="Q200" s="305">
        <f t="shared" si="53"/>
        <v>0.7</v>
      </c>
      <c r="R200" s="177">
        <f t="shared" si="54"/>
        <v>0.86818140408333189</v>
      </c>
      <c r="S200" s="921">
        <f t="shared" si="55"/>
        <v>0</v>
      </c>
      <c r="T200" s="176">
        <f t="shared" si="56"/>
        <v>6</v>
      </c>
      <c r="U200" s="251">
        <f t="shared" si="57"/>
        <v>0.86818140408333189</v>
      </c>
      <c r="V200" s="383">
        <f t="shared" si="58"/>
        <v>48.203867850042869</v>
      </c>
      <c r="W200" s="402">
        <f t="shared" si="59"/>
        <v>48.41723904159641</v>
      </c>
      <c r="X200" s="157">
        <f t="shared" si="60"/>
        <v>45112</v>
      </c>
      <c r="Y200" s="385">
        <f t="shared" si="61"/>
        <v>46.312498655573819</v>
      </c>
      <c r="Z200" s="385">
        <f t="shared" si="62"/>
        <v>48.247702930614629</v>
      </c>
      <c r="AA200" s="386">
        <f t="shared" si="63"/>
        <v>57.073256689257754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0.15463553808914257</v>
      </c>
      <c r="AD200" s="231">
        <f>(INDEX(Models!$BJ200:$BT200,,AH200)*(1-AF200)+INDEX(Models!$BJ200:$BT200,,AH200+1)*AF200-ERP_i)*AE200*Ramure*Pc/MaxiM</f>
        <v>6.9681390428326757E-3</v>
      </c>
      <c r="AE200" s="305">
        <f t="shared" si="65"/>
        <v>0.7</v>
      </c>
      <c r="AF200" s="177">
        <f t="shared" si="66"/>
        <v>0.86818140408333189</v>
      </c>
      <c r="AG200" s="921">
        <f t="shared" si="74"/>
        <v>0</v>
      </c>
      <c r="AH200" s="176">
        <f t="shared" si="67"/>
        <v>6</v>
      </c>
      <c r="AI200" s="225">
        <f t="shared" si="68"/>
        <v>0.86818140408333189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39.667417586613524</v>
      </c>
      <c r="C201" s="955"/>
      <c r="D201" s="393">
        <f t="shared" si="50"/>
        <v>41.325857051682533</v>
      </c>
      <c r="E201" s="385">
        <f t="shared" si="75"/>
        <v>46.763785964309406</v>
      </c>
      <c r="F201" s="385">
        <f t="shared" si="51"/>
        <v>47.00697391395186</v>
      </c>
      <c r="G201" s="110">
        <f t="shared" si="76"/>
        <v>0.82287232157852075</v>
      </c>
      <c r="H201" s="414" t="b">
        <f>Wh_hp&gt;='2022'!Maxi_hp</f>
        <v>0</v>
      </c>
      <c r="I201" s="390">
        <f>IF(H201,Wh_hp,'2022'!Maxi_hp)</f>
        <v>56.315415913154332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4.0130794214260357E-2</v>
      </c>
      <c r="M201" s="959"/>
      <c r="N201" s="959"/>
      <c r="O201" s="48">
        <f>IF(t&lt;Tnet,'2022'!Resal+('2022'!Salim-'2022'!Resal)*(1-EXP(('2022'!Tnet-t)/('2022'!Tau_j))),Resal+(Salim-Resal)*(1-EXP((Tnet-t)/(Tau_j))))*Salcycl</f>
        <v>0.11628504408896995</v>
      </c>
      <c r="P201" s="169">
        <f>(INDEX(Models!$BJ201:$BT201,,T201)*(1-R201)+INDEX(Models!$BJ201:$BT201,,T201+1)*R201-ERP_i)*Q201*Ramure*Pc/MaxiM</f>
        <v>6.9070195888528748E-3</v>
      </c>
      <c r="Q201" s="305">
        <f t="shared" si="53"/>
        <v>0.7</v>
      </c>
      <c r="R201" s="177">
        <f t="shared" si="54"/>
        <v>0.87213784154445806</v>
      </c>
      <c r="S201" s="921">
        <f t="shared" si="55"/>
        <v>0</v>
      </c>
      <c r="T201" s="176">
        <f t="shared" si="56"/>
        <v>6</v>
      </c>
      <c r="U201" s="251">
        <f t="shared" si="57"/>
        <v>0.87213784154445806</v>
      </c>
      <c r="V201" s="383">
        <f t="shared" si="58"/>
        <v>48.122038466940609</v>
      </c>
      <c r="W201" s="402">
        <f t="shared" si="59"/>
        <v>39.667417586613524</v>
      </c>
      <c r="X201" s="157">
        <f t="shared" si="60"/>
        <v>45113</v>
      </c>
      <c r="Y201" s="385">
        <f t="shared" si="61"/>
        <v>37.944164137254695</v>
      </c>
      <c r="Z201" s="385">
        <f t="shared" si="62"/>
        <v>39.530556776424525</v>
      </c>
      <c r="AA201" s="386">
        <f t="shared" si="63"/>
        <v>46.763785964309406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0.1546758680617808</v>
      </c>
      <c r="AD201" s="231">
        <f>(INDEX(Models!$BJ201:$BT201,,AH201)*(1-AF201)+INDEX(Models!$BJ201:$BT201,,AH201+1)*AF201-ERP_i)*AE201*Ramure*Pc/MaxiM</f>
        <v>6.9070195888528748E-3</v>
      </c>
      <c r="AE201" s="305">
        <f t="shared" si="65"/>
        <v>0.7</v>
      </c>
      <c r="AF201" s="177">
        <f t="shared" si="66"/>
        <v>0.87213784154445806</v>
      </c>
      <c r="AG201" s="921">
        <f t="shared" si="74"/>
        <v>0</v>
      </c>
      <c r="AH201" s="176">
        <f t="shared" si="67"/>
        <v>6</v>
      </c>
      <c r="AI201" s="225">
        <f t="shared" si="68"/>
        <v>0.87213784154445806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46.862462186240393</v>
      </c>
      <c r="C202" s="955"/>
      <c r="D202" s="393">
        <f t="shared" si="50"/>
        <v>48.822785786268746</v>
      </c>
      <c r="E202" s="385">
        <f t="shared" si="75"/>
        <v>55.25138524375302</v>
      </c>
      <c r="F202" s="385">
        <f t="shared" si="51"/>
        <v>55.618356265008877</v>
      </c>
      <c r="G202" s="110">
        <f t="shared" si="76"/>
        <v>0.9752560730235954</v>
      </c>
      <c r="H202" s="414" t="b">
        <f>Wh_hp&gt;='2022'!Maxi_hp</f>
        <v>0</v>
      </c>
      <c r="I202" s="390">
        <f>IF(H202,Wh_hp,'2022'!Maxi_hp)</f>
        <v>56.989181729783134</v>
      </c>
      <c r="J202" s="85">
        <f>IF(H202,An,'2022'!An_max)</f>
        <v>2018</v>
      </c>
      <c r="K202" s="197">
        <f t="shared" si="52"/>
        <v>45114</v>
      </c>
      <c r="L202" s="147">
        <f>IF(t&lt;Tvie,1-EXP((T0-t)*PertePVj)+'2022'!Pspv,1-EXP((T0-t)*PertePVj)+Pspv)</f>
        <v>4.0151817813306456E-2</v>
      </c>
      <c r="M202" s="959"/>
      <c r="N202" s="959"/>
      <c r="O202" s="48">
        <f>IF(t&lt;Tnet,'2022'!Resal+('2022'!Salim-'2022'!Resal)*(1-EXP(('2022'!Tnet-t)/('2022'!Tau_j))),Resal+(Salim-Resal)*(1-EXP((Tnet-t)/(Tau_j))))*Salcycl</f>
        <v>0.11635182410582401</v>
      </c>
      <c r="P202" s="169">
        <f>(INDEX(Models!$BJ202:$BT202,,T202)*(1-R202)+INDEX(Models!$BJ202:$BT202,,T202+1)*R202-ERP_i)*Q202*Ramure*Pc/MaxiM</f>
        <v>6.8374158698279513E-3</v>
      </c>
      <c r="Q202" s="305">
        <f t="shared" si="53"/>
        <v>0.7</v>
      </c>
      <c r="R202" s="177">
        <f t="shared" si="54"/>
        <v>0.87601563325949761</v>
      </c>
      <c r="S202" s="921">
        <f t="shared" si="55"/>
        <v>0</v>
      </c>
      <c r="T202" s="176">
        <f t="shared" si="56"/>
        <v>6</v>
      </c>
      <c r="U202" s="251">
        <f t="shared" si="57"/>
        <v>0.87601563325949761</v>
      </c>
      <c r="V202" s="383">
        <f t="shared" si="58"/>
        <v>48.039863872372841</v>
      </c>
      <c r="W202" s="402">
        <f t="shared" si="59"/>
        <v>46.862462186240393</v>
      </c>
      <c r="X202" s="157">
        <f t="shared" si="60"/>
        <v>45114</v>
      </c>
      <c r="Y202" s="385">
        <f t="shared" si="61"/>
        <v>44.8279959250902</v>
      </c>
      <c r="Z202" s="385">
        <f t="shared" si="62"/>
        <v>46.703214901094654</v>
      </c>
      <c r="AA202" s="386">
        <f t="shared" si="63"/>
        <v>55.25138524375302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0.1547141362147994</v>
      </c>
      <c r="AD202" s="231">
        <f>(INDEX(Models!$BJ202:$BT202,,AH202)*(1-AF202)+INDEX(Models!$BJ202:$BT202,,AH202+1)*AF202-ERP_i)*AE202*Ramure*Pc/MaxiM</f>
        <v>6.8374158698279513E-3</v>
      </c>
      <c r="AE202" s="305">
        <f t="shared" si="65"/>
        <v>0.7</v>
      </c>
      <c r="AF202" s="177">
        <f t="shared" si="66"/>
        <v>0.87601563325949761</v>
      </c>
      <c r="AG202" s="921">
        <f t="shared" si="74"/>
        <v>0</v>
      </c>
      <c r="AH202" s="176">
        <f t="shared" si="67"/>
        <v>6</v>
      </c>
      <c r="AI202" s="225">
        <f t="shared" si="68"/>
        <v>0.87601563325949761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49.119850499923473</v>
      </c>
      <c r="C203" s="955"/>
      <c r="D203" s="393">
        <f t="shared" si="50"/>
        <v>51.175724750940276</v>
      </c>
      <c r="E203" s="385">
        <f t="shared" si="75"/>
        <v>57.918418174648707</v>
      </c>
      <c r="F203" s="385">
        <f t="shared" si="51"/>
        <v>58.312570820398363</v>
      </c>
      <c r="G203" s="110">
        <f t="shared" si="76"/>
        <v>1.0242405204973573</v>
      </c>
      <c r="H203" s="414" t="b">
        <f>Wh_hp&gt;='2022'!Maxi_hp</f>
        <v>0</v>
      </c>
      <c r="I203" s="390">
        <f>IF(H203,Wh_hp,'2022'!Maxi_hp)</f>
        <v>59.606340921073496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4.0172840951881783E-2</v>
      </c>
      <c r="M203" s="959"/>
      <c r="N203" s="959"/>
      <c r="O203" s="48">
        <f>IF(t&lt;Tnet,'2022'!Resal+('2022'!Salim-'2022'!Resal)*(1-EXP(('2022'!Tnet-t)/('2022'!Tau_j))),Resal+(Salim-Resal)*(1-EXP((Tnet-t)/(Tau_j))))*Salcycl</f>
        <v>0.11641708520727106</v>
      </c>
      <c r="P203" s="169">
        <f>(INDEX(Models!$BJ203:$BT203,,T203)*(1-R203)+INDEX(Models!$BJ203:$BT203,,T203+1)*R203-ERP_i)*Q203*Ramure*Pc/MaxiM</f>
        <v>6.759308331022491E-3</v>
      </c>
      <c r="Q203" s="305">
        <f t="shared" si="53"/>
        <v>0.7</v>
      </c>
      <c r="R203" s="177">
        <f t="shared" si="54"/>
        <v>0.87981392482510001</v>
      </c>
      <c r="S203" s="921">
        <f t="shared" si="55"/>
        <v>0</v>
      </c>
      <c r="T203" s="176">
        <f t="shared" si="56"/>
        <v>6</v>
      </c>
      <c r="U203" s="251">
        <f t="shared" si="57"/>
        <v>0.87981392482510001</v>
      </c>
      <c r="V203" s="383">
        <f t="shared" si="58"/>
        <v>47.957339625727307</v>
      </c>
      <c r="W203" s="402">
        <f t="shared" si="59"/>
        <v>49.119850499923473</v>
      </c>
      <c r="X203" s="157">
        <f t="shared" si="60"/>
        <v>45115</v>
      </c>
      <c r="Y203" s="385">
        <f t="shared" si="61"/>
        <v>46.988836693355978</v>
      </c>
      <c r="Z203" s="385">
        <f t="shared" si="62"/>
        <v>48.955518970682022</v>
      </c>
      <c r="AA203" s="386">
        <f t="shared" si="63"/>
        <v>57.918418174648707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0.15475041422816019</v>
      </c>
      <c r="AD203" s="231">
        <f>(INDEX(Models!$BJ203:$BT203,,AH203)*(1-AF203)+INDEX(Models!$BJ203:$BT203,,AH203+1)*AF203-ERP_i)*AE203*Ramure*Pc/MaxiM</f>
        <v>6.759308331022491E-3</v>
      </c>
      <c r="AE203" s="305">
        <f t="shared" si="65"/>
        <v>0.7</v>
      </c>
      <c r="AF203" s="177">
        <f t="shared" si="66"/>
        <v>0.87981392482510001</v>
      </c>
      <c r="AG203" s="921">
        <f t="shared" si="74"/>
        <v>0</v>
      </c>
      <c r="AH203" s="176">
        <f t="shared" si="67"/>
        <v>6</v>
      </c>
      <c r="AI203" s="225">
        <f t="shared" si="68"/>
        <v>0.87981392482510001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48.568058956368525</v>
      </c>
      <c r="C204" s="955"/>
      <c r="D204" s="393">
        <f t="shared" si="50"/>
        <v>50.601946701501006</v>
      </c>
      <c r="E204" s="385">
        <f t="shared" si="75"/>
        <v>57.273176837546373</v>
      </c>
      <c r="F204" s="385">
        <f t="shared" si="51"/>
        <v>57.657909676559221</v>
      </c>
      <c r="G204" s="110">
        <f t="shared" si="76"/>
        <v>1.0144878493958986</v>
      </c>
      <c r="H204" s="414" t="b">
        <f>Wh_hp&gt;='2022'!Maxi_hp</f>
        <v>1</v>
      </c>
      <c r="I204" s="390">
        <f>IF(H204,Wh_hp,'2022'!Maxi_hp)</f>
        <v>57.657909676559221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4.019386362999644E-2</v>
      </c>
      <c r="M204" s="959"/>
      <c r="N204" s="959"/>
      <c r="O204" s="48">
        <f>IF(t&lt;Tnet,'2022'!Resal+('2022'!Salim-'2022'!Resal)*(1-EXP(('2022'!Tnet-t)/('2022'!Tau_j))),Resal+(Salim-Resal)*(1-EXP((Tnet-t)/(Tau_j))))*Salcycl</f>
        <v>0.11648088170432919</v>
      </c>
      <c r="P204" s="169">
        <f>(INDEX(Models!$BJ204:$BT204,,T204)*(1-R204)+INDEX(Models!$BJ204:$BT204,,T204+1)*R204-ERP_i)*Q204*Ramure*Pc/MaxiM</f>
        <v>6.672681010655236E-3</v>
      </c>
      <c r="Q204" s="305">
        <f t="shared" si="53"/>
        <v>0.7</v>
      </c>
      <c r="R204" s="177">
        <f t="shared" si="54"/>
        <v>0.88353202795055208</v>
      </c>
      <c r="S204" s="921">
        <f t="shared" si="55"/>
        <v>0</v>
      </c>
      <c r="T204" s="176">
        <f t="shared" si="56"/>
        <v>6</v>
      </c>
      <c r="U204" s="251">
        <f t="shared" si="57"/>
        <v>0.88353202795055208</v>
      </c>
      <c r="V204" s="383">
        <f t="shared" si="58"/>
        <v>47.874460975840719</v>
      </c>
      <c r="W204" s="402">
        <f t="shared" si="59"/>
        <v>48.568058956368525</v>
      </c>
      <c r="X204" s="157">
        <f t="shared" si="60"/>
        <v>45116</v>
      </c>
      <c r="Y204" s="385">
        <f t="shared" si="61"/>
        <v>46.462449957950511</v>
      </c>
      <c r="Z204" s="385">
        <f t="shared" si="62"/>
        <v>48.408160978915973</v>
      </c>
      <c r="AA204" s="386">
        <f t="shared" si="63"/>
        <v>57.273176837546373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0.15478477619245298</v>
      </c>
      <c r="AD204" s="231">
        <f>(INDEX(Models!$BJ204:$BT204,,AH204)*(1-AF204)+INDEX(Models!$BJ204:$BT204,,AH204+1)*AF204-ERP_i)*AE204*Ramure*Pc/MaxiM</f>
        <v>6.672681010655236E-3</v>
      </c>
      <c r="AE204" s="305">
        <f t="shared" si="65"/>
        <v>0.7</v>
      </c>
      <c r="AF204" s="177">
        <f t="shared" si="66"/>
        <v>0.88353202795055208</v>
      </c>
      <c r="AG204" s="921">
        <f t="shared" si="74"/>
        <v>0</v>
      </c>
      <c r="AH204" s="176">
        <f t="shared" si="67"/>
        <v>6</v>
      </c>
      <c r="AI204" s="225">
        <f t="shared" si="68"/>
        <v>0.88353202795055208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48.254528481193894</v>
      </c>
      <c r="C205" s="955"/>
      <c r="D205" s="393">
        <f t="shared" si="50"/>
        <v>50.276387672266829</v>
      </c>
      <c r="E205" s="385">
        <f t="shared" si="75"/>
        <v>56.908715427945083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Wh_hp&gt;='2022'!Maxi_hp</f>
        <v>1</v>
      </c>
      <c r="I205" s="390">
        <f>IF(H205,Wh_hp,'2022'!Maxi_hp)</f>
        <v>57.285515204280557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4.021488584766042E-2</v>
      </c>
      <c r="M205" s="959"/>
      <c r="N205" s="959"/>
      <c r="O205" s="48">
        <f>IF(t&lt;Tnet,'2022'!Resal+('2022'!Salim-'2022'!Resal)*(1-EXP(('2022'!Tnet-t)/('2022'!Tau_j))),Resal+(Salim-Resal)*(1-EXP((Tnet-t)/(Tau_j))))*Salcycl</f>
        <v>0.11654326944131728</v>
      </c>
      <c r="P205" s="169">
        <f>(INDEX(Models!$BJ205:$BT205,,T205)*(1-R205)+INDEX(Models!$BJ205:$BT205,,T205+1)*R205-ERP_i)*Q205*Ramure*Pc/MaxiM</f>
        <v>6.5775750639895407E-3</v>
      </c>
      <c r="Q205" s="305">
        <f t="shared" si="53"/>
        <v>0.7</v>
      </c>
      <c r="R205" s="177">
        <f t="shared" si="54"/>
        <v>0.88716941559838081</v>
      </c>
      <c r="S205" s="921">
        <f t="shared" si="55"/>
        <v>0</v>
      </c>
      <c r="T205" s="176">
        <f t="shared" si="56"/>
        <v>6</v>
      </c>
      <c r="U205" s="251">
        <f t="shared" si="57"/>
        <v>0.88716941559838081</v>
      </c>
      <c r="V205" s="383">
        <f t="shared" si="58"/>
        <v>47.790827220564488</v>
      </c>
      <c r="W205" s="402">
        <f t="shared" si="59"/>
        <v>48.254528481193894</v>
      </c>
      <c r="X205" s="157">
        <f t="shared" si="60"/>
        <v>45117</v>
      </c>
      <c r="Y205" s="385">
        <f t="shared" si="61"/>
        <v>46.163995754705262</v>
      </c>
      <c r="Z205" s="385">
        <f t="shared" si="62"/>
        <v>48.098261865080346</v>
      </c>
      <c r="AA205" s="386">
        <f t="shared" si="63"/>
        <v>56.908715427945083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0.15481729813459033</v>
      </c>
      <c r="AD205" s="231">
        <f>(INDEX(Models!$BJ205:$BT205,,AH205)*(1-AF205)+INDEX(Models!$BJ205:$BT205,,AH205+1)*AF205-ERP_i)*AE205*Ramure*Pc/MaxiM</f>
        <v>6.5775750639895407E-3</v>
      </c>
      <c r="AE205" s="305">
        <f t="shared" si="65"/>
        <v>0.7</v>
      </c>
      <c r="AF205" s="177">
        <f t="shared" si="66"/>
        <v>0.88716941559838081</v>
      </c>
      <c r="AG205" s="921">
        <f t="shared" si="74"/>
        <v>0</v>
      </c>
      <c r="AH205" s="176">
        <f t="shared" si="67"/>
        <v>6</v>
      </c>
      <c r="AI205" s="225">
        <f t="shared" si="68"/>
        <v>0.88716941559838081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47.111211394674704</v>
      </c>
      <c r="C206" s="955"/>
      <c r="D206" s="393">
        <f t="shared" si="50"/>
        <v>49.086240846026506</v>
      </c>
      <c r="E206" s="385">
        <f t="shared" si="75"/>
        <v>55.565406474571226</v>
      </c>
      <c r="F206" s="385">
        <f t="shared" si="51"/>
        <v>55.921006069727376</v>
      </c>
      <c r="G206" s="110">
        <f t="shared" si="76"/>
        <v>0.98741456316324117</v>
      </c>
      <c r="H206" s="414" t="b">
        <f>Wh_hp&gt;='2022'!Maxi_hp</f>
        <v>0</v>
      </c>
      <c r="I206" s="390">
        <f>IF(H206,Wh_hp,'2022'!Maxi_hp)</f>
        <v>56.244702289420005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4.0235907604883936E-2</v>
      </c>
      <c r="M206" s="959"/>
      <c r="N206" s="959"/>
      <c r="O206" s="48">
        <f>IF(t&lt;Tnet,'2022'!Resal+('2022'!Salim-'2022'!Resal)*(1-EXP(('2022'!Tnet-t)/('2022'!Tau_j))),Resal+(Salim-Resal)*(1-EXP((Tnet-t)/(Tau_j))))*Salcycl</f>
        <v>0.11660430544154883</v>
      </c>
      <c r="P206" s="169">
        <f>(INDEX(Models!$BJ206:$BT206,,T206)*(1-R206)+INDEX(Models!$BJ206:$BT206,,T206+1)*R206-ERP_i)*Q206*Ramure*Pc/MaxiM</f>
        <v>6.4743053196286877E-3</v>
      </c>
      <c r="Q206" s="305">
        <f t="shared" si="53"/>
        <v>0.7</v>
      </c>
      <c r="R206" s="177">
        <f t="shared" si="54"/>
        <v>0.89072571665674505</v>
      </c>
      <c r="S206" s="921">
        <f t="shared" si="55"/>
        <v>0</v>
      </c>
      <c r="T206" s="176">
        <f t="shared" si="56"/>
        <v>6</v>
      </c>
      <c r="U206" s="251">
        <f t="shared" si="57"/>
        <v>0.89072571665674505</v>
      </c>
      <c r="V206" s="383">
        <f t="shared" si="58"/>
        <v>47.706145371027226</v>
      </c>
      <c r="W206" s="402">
        <f t="shared" si="59"/>
        <v>47.111211394674704</v>
      </c>
      <c r="X206" s="157">
        <f t="shared" si="60"/>
        <v>45118</v>
      </c>
      <c r="Y206" s="385">
        <f t="shared" si="61"/>
        <v>45.071684259844965</v>
      </c>
      <c r="Z206" s="385">
        <f t="shared" si="62"/>
        <v>46.961211215317938</v>
      </c>
      <c r="AA206" s="386">
        <f t="shared" si="63"/>
        <v>55.565406474571226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0.15484805754441633</v>
      </c>
      <c r="AD206" s="231">
        <f>(INDEX(Models!$BJ206:$BT206,,AH206)*(1-AF206)+INDEX(Models!$BJ206:$BT206,,AH206+1)*AF206-ERP_i)*AE206*Ramure*Pc/MaxiM</f>
        <v>6.4743053196286877E-3</v>
      </c>
      <c r="AE206" s="305">
        <f t="shared" si="65"/>
        <v>0.7</v>
      </c>
      <c r="AF206" s="177">
        <f t="shared" si="66"/>
        <v>0.89072571665674505</v>
      </c>
      <c r="AG206" s="921">
        <f t="shared" si="74"/>
        <v>0</v>
      </c>
      <c r="AH206" s="176">
        <f t="shared" si="67"/>
        <v>6</v>
      </c>
      <c r="AI206" s="225">
        <f t="shared" si="68"/>
        <v>0.89072571665674505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46.712282391301557</v>
      </c>
      <c r="C207" s="955"/>
      <c r="D207" s="393">
        <f t="shared" ref="D207:D270" si="77">Wh/(1-Ppv)</f>
        <v>48.671653693570676</v>
      </c>
      <c r="E207" s="385">
        <f t="shared" si="75"/>
        <v>55.099821940772671</v>
      </c>
      <c r="F207" s="385">
        <f t="shared" ref="F207:F270" si="78">Wh_sa/(1-Pvg*MEDIAN((-Sdif+Wh/Env_an)/Csdif,0,1))</f>
        <v>55.443262880684202</v>
      </c>
      <c r="G207" s="110">
        <f t="shared" si="76"/>
        <v>0.98075990372236799</v>
      </c>
      <c r="H207" s="414" t="b">
        <f>Wh_hp&gt;='2022'!Maxi_hp</f>
        <v>0</v>
      </c>
      <c r="I207" s="390">
        <f>IF(H207,Wh_hp,'2022'!Maxi_hp)</f>
        <v>57.631675116560842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4.025692890167698E-2</v>
      </c>
      <c r="M207" s="959"/>
      <c r="N207" s="959"/>
      <c r="O207" s="48">
        <f>IF(t&lt;Tnet,'2022'!Resal+('2022'!Salim-'2022'!Resal)*(1-EXP(('2022'!Tnet-t)/('2022'!Tau_j))),Resal+(Salim-Resal)*(1-EXP((Tnet-t)/(Tau_j))))*Salcycl</f>
        <v>0.11666404755557457</v>
      </c>
      <c r="P207" s="169">
        <f>(INDEX(Models!$BJ207:$BT207,,T207)*(1-R207)+INDEX(Models!$BJ207:$BT207,,T207+1)*R207-ERP_i)*Q207*Ramure*Pc/MaxiM</f>
        <v>6.3679278773691381E-3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0.89420071020346326</v>
      </c>
      <c r="S207" s="92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0.89420071020346326</v>
      </c>
      <c r="V207" s="383">
        <f t="shared" ref="V207:V270" si="85">MaxiM*(1-Ppv)*(1-Pvg)*(1-Psa)</f>
        <v>47.620348785347716</v>
      </c>
      <c r="W207" s="402">
        <f t="shared" ref="W207:W270" si="86">Wh*(A207&gt;Tmaj)</f>
        <v>46.712282391301557</v>
      </c>
      <c r="X207" s="157">
        <f t="shared" ref="X207:X270" si="87">t</f>
        <v>45119</v>
      </c>
      <c r="Y207" s="385">
        <f t="shared" ref="Y207:Y270" si="88">Wh_pvt_s*(1-Ppv)</f>
        <v>44.691510533238869</v>
      </c>
      <c r="Z207" s="385">
        <f t="shared" ref="Z207:Z270" si="89">Wh_sa_s*(1-Psa_s)</f>
        <v>46.566119494975077</v>
      </c>
      <c r="AA207" s="386">
        <f t="shared" ref="AA207:AA270" si="90">Wh_hp*(1-Pvg_s*MEDIAN((-Sdif+Wh/Env_an)/Csdif,0,1))</f>
        <v>55.099821940772671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0.15487713290562999</v>
      </c>
      <c r="AD207" s="231">
        <f>(INDEX(Models!$BJ207:$BT207,,AH207)*(1-AF207)+INDEX(Models!$BJ207:$BT207,,AH207+1)*AF207-ERP_i)*AE207*Ramure*Pc/MaxiM</f>
        <v>6.3679278773691381E-3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0.89420071020346326</v>
      </c>
      <c r="AG207" s="92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0.89420071020346326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46.954954327147149</v>
      </c>
      <c r="C208" s="955"/>
      <c r="D208" s="393">
        <f t="shared" si="77"/>
        <v>48.925576227336947</v>
      </c>
      <c r="E208" s="385">
        <f t="shared" si="75"/>
        <v>55.390949305048011</v>
      </c>
      <c r="F208" s="385">
        <f t="shared" si="78"/>
        <v>55.733689587049334</v>
      </c>
      <c r="G208" s="110">
        <f t="shared" si="76"/>
        <v>0.98771811991293323</v>
      </c>
      <c r="H208" s="414" t="b">
        <f>Wh_hp&gt;='2022'!Maxi_hp</f>
        <v>0</v>
      </c>
      <c r="I208" s="390">
        <f>IF(H208,Wh_hp,'2022'!Maxi_hp)</f>
        <v>55.734625424690442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4.0277949738049657E-2</v>
      </c>
      <c r="M208" s="959"/>
      <c r="N208" s="959"/>
      <c r="O208" s="48">
        <f>IF(t&lt;Tnet,'2022'!Resal+('2022'!Salim-'2022'!Resal)*(1-EXP(('2022'!Tnet-t)/('2022'!Tau_j))),Resal+(Salim-Resal)*(1-EXP((Tnet-t)/(Tau_j))))*Salcycl</f>
        <v>0.11672255411448321</v>
      </c>
      <c r="P208" s="169">
        <f>(INDEX(Models!$BJ208:$BT208,,T208)*(1-R208)+INDEX(Models!$BJ208:$BT208,,T208+1)*R208-ERP_i)*Q208*Ramure*Pc/MaxiM</f>
        <v>6.2584475530333356E-3</v>
      </c>
      <c r="Q208" s="305">
        <f t="shared" si="80"/>
        <v>0.7</v>
      </c>
      <c r="R208" s="177">
        <f t="shared" si="81"/>
        <v>0.8975943194208087</v>
      </c>
      <c r="S208" s="921">
        <f t="shared" si="82"/>
        <v>0</v>
      </c>
      <c r="T208" s="176">
        <f t="shared" si="83"/>
        <v>6</v>
      </c>
      <c r="U208" s="251">
        <f t="shared" si="84"/>
        <v>0.8975943194208087</v>
      </c>
      <c r="V208" s="383">
        <f t="shared" si="85"/>
        <v>47.533614246803772</v>
      </c>
      <c r="W208" s="402">
        <f t="shared" si="86"/>
        <v>46.954954327147149</v>
      </c>
      <c r="X208" s="157">
        <f t="shared" si="87"/>
        <v>45120</v>
      </c>
      <c r="Y208" s="385">
        <f t="shared" si="88"/>
        <v>44.925199824877041</v>
      </c>
      <c r="Z208" s="385">
        <f t="shared" si="89"/>
        <v>46.810636280176098</v>
      </c>
      <c r="AA208" s="386">
        <f t="shared" si="90"/>
        <v>55.390949305048011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0.15490460323434013</v>
      </c>
      <c r="AD208" s="231">
        <f>(INDEX(Models!$BJ208:$BT208,,AH208)*(1-AF208)+INDEX(Models!$BJ208:$BT208,,AH208+1)*AF208-ERP_i)*AE208*Ramure*Pc/MaxiM</f>
        <v>6.2584475530333356E-3</v>
      </c>
      <c r="AE208" s="305">
        <f t="shared" si="92"/>
        <v>0.7</v>
      </c>
      <c r="AF208" s="177">
        <f t="shared" si="93"/>
        <v>0.8975943194208087</v>
      </c>
      <c r="AG208" s="921">
        <f t="shared" ref="AG208:AG271" si="99">INDEX(Echel_vg,AH208)</f>
        <v>0</v>
      </c>
      <c r="AH208" s="176">
        <f t="shared" si="94"/>
        <v>6</v>
      </c>
      <c r="AI208" s="225">
        <f t="shared" si="95"/>
        <v>0.8975943194208087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46.231271294799356</v>
      </c>
      <c r="C209" s="955"/>
      <c r="D209" s="393">
        <f t="shared" si="77"/>
        <v>48.172576516138172</v>
      </c>
      <c r="E209" s="385">
        <f t="shared" si="75"/>
        <v>54.541982933972889</v>
      </c>
      <c r="F209" s="385">
        <f t="shared" si="78"/>
        <v>54.866853108495526</v>
      </c>
      <c r="G209" s="110">
        <f t="shared" si="76"/>
        <v>0.97417487049480245</v>
      </c>
      <c r="H209" s="414" t="b">
        <f>Wh_hp&gt;='2022'!Maxi_hp</f>
        <v>0</v>
      </c>
      <c r="I209" s="390">
        <f>IF(H209,Wh_hp,'2022'!Maxi_hp)</f>
        <v>56.367501147703905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4.0298970114012178E-2</v>
      </c>
      <c r="M209" s="959"/>
      <c r="N209" s="959"/>
      <c r="O209" s="48">
        <f>IF(t&lt;Tnet,'2022'!Resal+('2022'!Salim-'2022'!Resal)*(1-EXP(('2022'!Tnet-t)/('2022'!Tau_j))),Resal+(Salim-Resal)*(1-EXP((Tnet-t)/(Tau_j))))*Salcycl</f>
        <v>0.11677988359068939</v>
      </c>
      <c r="P209" s="169">
        <f>(INDEX(Models!$BJ209:$BT209,,T209)*(1-R209)+INDEX(Models!$BJ209:$BT209,,T209+1)*R209-ERP_i)*Q209*Ramure*Pc/MaxiM</f>
        <v>6.1458696320346442E-3</v>
      </c>
      <c r="Q209" s="305">
        <f t="shared" si="80"/>
        <v>0.7</v>
      </c>
      <c r="R209" s="177">
        <f t="shared" si="81"/>
        <v>0.90090660521894161</v>
      </c>
      <c r="S209" s="921">
        <f t="shared" si="82"/>
        <v>0</v>
      </c>
      <c r="T209" s="176">
        <f t="shared" si="83"/>
        <v>6</v>
      </c>
      <c r="U209" s="251">
        <f t="shared" si="84"/>
        <v>0.90090660521894161</v>
      </c>
      <c r="V209" s="383">
        <f t="shared" si="85"/>
        <v>47.4461185172622</v>
      </c>
      <c r="W209" s="402">
        <f t="shared" si="86"/>
        <v>46.231271294799356</v>
      </c>
      <c r="X209" s="157">
        <f t="shared" si="87"/>
        <v>45121</v>
      </c>
      <c r="Y209" s="385">
        <f t="shared" si="88"/>
        <v>44.234313043466621</v>
      </c>
      <c r="Z209" s="385">
        <f t="shared" si="89"/>
        <v>46.091763649270696</v>
      </c>
      <c r="AA209" s="386">
        <f t="shared" si="90"/>
        <v>54.541982933972889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0.15493054762845365</v>
      </c>
      <c r="AD209" s="231">
        <f>(INDEX(Models!$BJ209:$BT209,,AH209)*(1-AF209)+INDEX(Models!$BJ209:$BT209,,AH209+1)*AF209-ERP_i)*AE209*Ramure*Pc/MaxiM</f>
        <v>6.1458696320346442E-3</v>
      </c>
      <c r="AE209" s="305">
        <f t="shared" si="92"/>
        <v>0.7</v>
      </c>
      <c r="AF209" s="177">
        <f t="shared" si="93"/>
        <v>0.90090660521894161</v>
      </c>
      <c r="AG209" s="921">
        <f t="shared" si="99"/>
        <v>0</v>
      </c>
      <c r="AH209" s="176">
        <f t="shared" si="94"/>
        <v>6</v>
      </c>
      <c r="AI209" s="225">
        <f t="shared" si="95"/>
        <v>0.90090660521894161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44.347592255908872</v>
      </c>
      <c r="C210" s="955"/>
      <c r="D210" s="393">
        <f t="shared" si="77"/>
        <v>46.210811723874009</v>
      </c>
      <c r="E210" s="385">
        <f t="shared" si="75"/>
        <v>52.324162507072529</v>
      </c>
      <c r="F210" s="385">
        <f t="shared" si="78"/>
        <v>52.612615931149641</v>
      </c>
      <c r="G210" s="110">
        <f t="shared" si="76"/>
        <v>0.93591657821328633</v>
      </c>
      <c r="H210" s="414" t="b">
        <f>Wh_hp&gt;='2022'!Maxi_hp</f>
        <v>0</v>
      </c>
      <c r="I210" s="390">
        <f>IF(H210,Wh_hp,'2022'!Maxi_hp)</f>
        <v>57.830639820469678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4.0319990029574426E-2</v>
      </c>
      <c r="M210" s="959"/>
      <c r="N210" s="959"/>
      <c r="O210" s="48">
        <f>IF(t&lt;Tnet,'2022'!Resal+('2022'!Salim-'2022'!Resal)*(1-EXP(('2022'!Tnet-t)/('2022'!Tau_j))),Resal+(Salim-Resal)*(1-EXP((Tnet-t)/(Tau_j))))*Salcycl</f>
        <v>0.11683609426853592</v>
      </c>
      <c r="P210" s="169">
        <f>(INDEX(Models!$BJ210:$BT210,,T210)*(1-R210)+INDEX(Models!$BJ210:$BT210,,T210+1)*R210-ERP_i)*Q210*Ramure*Pc/MaxiM</f>
        <v>6.0301997117181557E-3</v>
      </c>
      <c r="Q210" s="305">
        <f t="shared" si="80"/>
        <v>0.7</v>
      </c>
      <c r="R210" s="177">
        <f t="shared" si="81"/>
        <v>0.90413775962409404</v>
      </c>
      <c r="S210" s="921">
        <f t="shared" si="82"/>
        <v>0</v>
      </c>
      <c r="T210" s="176">
        <f t="shared" si="83"/>
        <v>6</v>
      </c>
      <c r="U210" s="251">
        <f t="shared" si="84"/>
        <v>0.90413775962409404</v>
      </c>
      <c r="V210" s="383">
        <f t="shared" si="85"/>
        <v>47.358038370667451</v>
      </c>
      <c r="W210" s="402">
        <f t="shared" si="86"/>
        <v>44.347592255908872</v>
      </c>
      <c r="X210" s="157">
        <f t="shared" si="87"/>
        <v>45122</v>
      </c>
      <c r="Y210" s="385">
        <f t="shared" si="88"/>
        <v>42.433470012240846</v>
      </c>
      <c r="Z210" s="385">
        <f t="shared" si="89"/>
        <v>44.216269560046911</v>
      </c>
      <c r="AA210" s="386">
        <f t="shared" si="90"/>
        <v>52.324162507072529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0.1549550448309554</v>
      </c>
      <c r="AD210" s="231">
        <f>(INDEX(Models!$BJ210:$BT210,,AH210)*(1-AF210)+INDEX(Models!$BJ210:$BT210,,AH210+1)*AF210-ERP_i)*AE210*Ramure*Pc/MaxiM</f>
        <v>6.0301997117181557E-3</v>
      </c>
      <c r="AE210" s="305">
        <f t="shared" si="92"/>
        <v>0.7</v>
      </c>
      <c r="AF210" s="177">
        <f t="shared" si="93"/>
        <v>0.90413775962409404</v>
      </c>
      <c r="AG210" s="921">
        <f t="shared" si="99"/>
        <v>0</v>
      </c>
      <c r="AH210" s="176">
        <f t="shared" si="94"/>
        <v>6</v>
      </c>
      <c r="AI210" s="225">
        <f t="shared" si="95"/>
        <v>0.90413775962409404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46.034186693174178</v>
      </c>
      <c r="C211" s="955"/>
      <c r="D211" s="393">
        <f t="shared" si="77"/>
        <v>47.969317380601858</v>
      </c>
      <c r="E211" s="385">
        <f t="shared" si="75"/>
        <v>54.318697499849073</v>
      </c>
      <c r="F211" s="385">
        <f t="shared" si="78"/>
        <v>54.629580248307079</v>
      </c>
      <c r="G211" s="110">
        <f t="shared" si="76"/>
        <v>0.97364937968131082</v>
      </c>
      <c r="H211" s="414" t="b">
        <f>Wh_hp&gt;='2022'!Maxi_hp</f>
        <v>0</v>
      </c>
      <c r="I211" s="390">
        <f>IF(H211,Wh_hp,'2022'!Maxi_hp)</f>
        <v>57.203978991704709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4.0341009484746615E-2</v>
      </c>
      <c r="M211" s="959"/>
      <c r="N211" s="959"/>
      <c r="O211" s="48">
        <f>IF(t&lt;Tnet,'2022'!Resal+('2022'!Salim-'2022'!Resal)*(1-EXP(('2022'!Tnet-t)/('2022'!Tau_j))),Resal+(Salim-Resal)*(1-EXP((Tnet-t)/(Tau_j))))*Salcycl</f>
        <v>0.1168912439269158</v>
      </c>
      <c r="P211" s="169">
        <f>(INDEX(Models!$BJ211:$BT211,,T211)*(1-R211)+INDEX(Models!$BJ211:$BT211,,T211+1)*R211-ERP_i)*Q211*Ramure*Pc/MaxiM</f>
        <v>5.9114435640923793E-3</v>
      </c>
      <c r="Q211" s="305">
        <f t="shared" si="80"/>
        <v>0.7</v>
      </c>
      <c r="R211" s="177">
        <f t="shared" si="81"/>
        <v>0.9072880989854355</v>
      </c>
      <c r="S211" s="921">
        <f t="shared" si="82"/>
        <v>0</v>
      </c>
      <c r="T211" s="176">
        <f t="shared" si="83"/>
        <v>6</v>
      </c>
      <c r="U211" s="251">
        <f t="shared" si="84"/>
        <v>0.9072880989854355</v>
      </c>
      <c r="V211" s="383">
        <f t="shared" si="85"/>
        <v>47.269550626263523</v>
      </c>
      <c r="W211" s="402">
        <f t="shared" si="86"/>
        <v>46.034186693174178</v>
      </c>
      <c r="X211" s="157">
        <f t="shared" si="87"/>
        <v>45123</v>
      </c>
      <c r="Y211" s="385">
        <f t="shared" si="88"/>
        <v>44.048813110685259</v>
      </c>
      <c r="Z211" s="385">
        <f t="shared" si="89"/>
        <v>45.900485011904991</v>
      </c>
      <c r="AA211" s="386">
        <f t="shared" si="90"/>
        <v>54.318697499849073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0.15497817280996976</v>
      </c>
      <c r="AD211" s="231">
        <f>(INDEX(Models!$BJ211:$BT211,,AH211)*(1-AF211)+INDEX(Models!$BJ211:$BT211,,AH211+1)*AF211-ERP_i)*AE211*Ramure*Pc/MaxiM</f>
        <v>5.9114435640923793E-3</v>
      </c>
      <c r="AE211" s="305">
        <f t="shared" si="92"/>
        <v>0.7</v>
      </c>
      <c r="AF211" s="177">
        <f t="shared" si="93"/>
        <v>0.9072880989854355</v>
      </c>
      <c r="AG211" s="921">
        <f t="shared" si="99"/>
        <v>0</v>
      </c>
      <c r="AH211" s="176">
        <f t="shared" si="94"/>
        <v>6</v>
      </c>
      <c r="AI211" s="225">
        <f t="shared" si="95"/>
        <v>0.9072880989854355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46.015688001505389</v>
      </c>
      <c r="C212" s="955"/>
      <c r="D212" s="393">
        <f t="shared" si="77"/>
        <v>47.951091314777393</v>
      </c>
      <c r="E212" s="385">
        <f t="shared" si="75"/>
        <v>54.301388324760872</v>
      </c>
      <c r="F212" s="385">
        <f t="shared" si="78"/>
        <v>54.606361401005771</v>
      </c>
      <c r="G212" s="110">
        <f t="shared" si="76"/>
        <v>0.97510397638221114</v>
      </c>
      <c r="H212" s="414" t="b">
        <f>Wh_hp&gt;='2022'!Maxi_hp</f>
        <v>0</v>
      </c>
      <c r="I212" s="390">
        <f>IF(H212,Wh_hp,'2022'!Maxi_hp)</f>
        <v>57.205914857920881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4.0362028479538736E-2</v>
      </c>
      <c r="M212" s="959"/>
      <c r="N212" s="959"/>
      <c r="O212" s="48">
        <f>IF(t&lt;Tnet,'2022'!Resal+('2022'!Salim-'2022'!Resal)*(1-EXP(('2022'!Tnet-t)/('2022'!Tau_j))),Resal+(Salim-Resal)*(1-EXP((Tnet-t)/(Tau_j))))*Salcycl</f>
        <v>0.11694538953597634</v>
      </c>
      <c r="P212" s="169">
        <f>(INDEX(Models!$BJ212:$BT212,,T212)*(1-R212)+INDEX(Models!$BJ212:$BT212,,T212+1)*R212-ERP_i)*Q212*Ramure*Pc/MaxiM</f>
        <v>5.7891765214795722E-3</v>
      </c>
      <c r="Q212" s="305">
        <f t="shared" si="80"/>
        <v>0.7</v>
      </c>
      <c r="R212" s="177">
        <f t="shared" si="81"/>
        <v>0.91035805705201178</v>
      </c>
      <c r="S212" s="921">
        <f t="shared" si="82"/>
        <v>0</v>
      </c>
      <c r="T212" s="176">
        <f t="shared" si="83"/>
        <v>6</v>
      </c>
      <c r="U212" s="251">
        <f t="shared" si="84"/>
        <v>0.91035805705201178</v>
      </c>
      <c r="V212" s="383">
        <f t="shared" si="85"/>
        <v>47.180852606794993</v>
      </c>
      <c r="W212" s="402">
        <f t="shared" si="86"/>
        <v>46.015688001505389</v>
      </c>
      <c r="X212" s="157">
        <f t="shared" si="87"/>
        <v>45124</v>
      </c>
      <c r="Y212" s="385">
        <f t="shared" si="88"/>
        <v>44.032674215048971</v>
      </c>
      <c r="Z212" s="385">
        <f t="shared" si="89"/>
        <v>45.88467268055588</v>
      </c>
      <c r="AA212" s="386">
        <f t="shared" si="90"/>
        <v>54.301388324760872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0.15500000835829567</v>
      </c>
      <c r="AD212" s="231">
        <f>(INDEX(Models!$BJ212:$BT212,,AH212)*(1-AF212)+INDEX(Models!$BJ212:$BT212,,AH212+1)*AF212-ERP_i)*AE212*Ramure*Pc/MaxiM</f>
        <v>5.7891765214795722E-3</v>
      </c>
      <c r="AE212" s="305">
        <f t="shared" si="92"/>
        <v>0.7</v>
      </c>
      <c r="AF212" s="177">
        <f t="shared" si="93"/>
        <v>0.91035805705201178</v>
      </c>
      <c r="AG212" s="921">
        <f t="shared" si="99"/>
        <v>0</v>
      </c>
      <c r="AH212" s="176">
        <f t="shared" si="94"/>
        <v>6</v>
      </c>
      <c r="AI212" s="225">
        <f t="shared" si="95"/>
        <v>0.91035805705201178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46.741759735360596</v>
      </c>
      <c r="C213" s="955"/>
      <c r="D213" s="393">
        <f t="shared" si="77"/>
        <v>48.708768212060356</v>
      </c>
      <c r="E213" s="385">
        <f t="shared" si="75"/>
        <v>55.162729632455182</v>
      </c>
      <c r="F213" s="385">
        <f t="shared" si="78"/>
        <v>55.473683765957404</v>
      </c>
      <c r="G213" s="110">
        <f t="shared" si="76"/>
        <v>0.99250222115106101</v>
      </c>
      <c r="H213" s="414" t="b">
        <f>Wh_hp&gt;='2022'!Maxi_hp</f>
        <v>0</v>
      </c>
      <c r="I213" s="390">
        <f>IF(H213,Wh_hp,'2022'!Maxi_hp)</f>
        <v>55.474211028817379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4.0383047013961004E-2</v>
      </c>
      <c r="M213" s="959"/>
      <c r="N213" s="959"/>
      <c r="O213" s="48">
        <f>IF(t&lt;Tnet,'2022'!Resal+('2022'!Salim-'2022'!Resal)*(1-EXP(('2022'!Tnet-t)/('2022'!Tau_j))),Resal+(Salim-Resal)*(1-EXP((Tnet-t)/(Tau_j))))*Salcycl</f>
        <v>0.11699858696980826</v>
      </c>
      <c r="P213" s="169">
        <f>(INDEX(Models!$BJ213:$BT213,,T213)*(1-R213)+INDEX(Models!$BJ213:$BT213,,T213+1)*R213-ERP_i)*Q213*Ramure*Pc/MaxiM</f>
        <v>5.6656339950897213E-3</v>
      </c>
      <c r="Q213" s="305">
        <f t="shared" si="80"/>
        <v>0.7</v>
      </c>
      <c r="R213" s="177">
        <f t="shared" si="81"/>
        <v>0.91334817796830214</v>
      </c>
      <c r="S213" s="921">
        <f t="shared" si="82"/>
        <v>0</v>
      </c>
      <c r="T213" s="176">
        <f t="shared" si="83"/>
        <v>6</v>
      </c>
      <c r="U213" s="251">
        <f t="shared" si="84"/>
        <v>0.91334817796830214</v>
      </c>
      <c r="V213" s="383">
        <f t="shared" si="85"/>
        <v>47.092015589500861</v>
      </c>
      <c r="W213" s="402">
        <f t="shared" si="86"/>
        <v>46.741759735360596</v>
      </c>
      <c r="X213" s="157">
        <f t="shared" si="87"/>
        <v>45125</v>
      </c>
      <c r="Y213" s="385">
        <f t="shared" si="88"/>
        <v>44.729059619384486</v>
      </c>
      <c r="Z213" s="385">
        <f t="shared" si="89"/>
        <v>46.611368713527959</v>
      </c>
      <c r="AA213" s="386">
        <f t="shared" si="90"/>
        <v>55.162729632455182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0.15502062671488978</v>
      </c>
      <c r="AD213" s="231">
        <f>(INDEX(Models!$BJ213:$BT213,,AH213)*(1-AF213)+INDEX(Models!$BJ213:$BT213,,AH213+1)*AF213-ERP_i)*AE213*Ramure*Pc/MaxiM</f>
        <v>5.6656339950897213E-3</v>
      </c>
      <c r="AE213" s="305">
        <f t="shared" si="92"/>
        <v>0.7</v>
      </c>
      <c r="AF213" s="177">
        <f t="shared" si="93"/>
        <v>0.91334817796830214</v>
      </c>
      <c r="AG213" s="921">
        <f t="shared" si="99"/>
        <v>0</v>
      </c>
      <c r="AH213" s="176">
        <f t="shared" si="94"/>
        <v>6</v>
      </c>
      <c r="AI213" s="225">
        <f t="shared" si="95"/>
        <v>0.91334817796830214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31.933111334121108</v>
      </c>
      <c r="C214" s="955"/>
      <c r="D214" s="393">
        <f t="shared" si="77"/>
        <v>33.277664246306259</v>
      </c>
      <c r="E214" s="385">
        <f t="shared" si="75"/>
        <v>37.689221153501556</v>
      </c>
      <c r="F214" s="385">
        <f t="shared" si="78"/>
        <v>37.802742282366175</v>
      </c>
      <c r="G214" s="110">
        <f t="shared" si="76"/>
        <v>0.67765204505042653</v>
      </c>
      <c r="H214" s="414" t="b">
        <f>Wh_hp&gt;='2022'!Maxi_hp</f>
        <v>0</v>
      </c>
      <c r="I214" s="390">
        <f>IF(H214,Wh_hp,'2022'!Maxi_hp)</f>
        <v>57.76277955645417</v>
      </c>
      <c r="J214" s="85">
        <f>IF(H214,An,'2022'!An_max)</f>
        <v>2021</v>
      </c>
      <c r="K214" s="197">
        <f t="shared" si="79"/>
        <v>45126</v>
      </c>
      <c r="L214" s="147">
        <f>IF(t&lt;Tvie,1-EXP((T0-t)*PertePVj)+'2022'!Pspv,1-EXP((T0-t)*PertePVj)+Pspv)</f>
        <v>4.0404065088023411E-2</v>
      </c>
      <c r="M214" s="959"/>
      <c r="N214" s="959"/>
      <c r="O214" s="48">
        <f>IF(t&lt;Tnet,'2022'!Resal+('2022'!Salim-'2022'!Resal)*(1-EXP(('2022'!Tnet-t)/('2022'!Tau_j))),Resal+(Salim-Resal)*(1-EXP((Tnet-t)/(Tau_j))))*Salcycl</f>
        <v>0.11705089073684492</v>
      </c>
      <c r="P214" s="169">
        <f>(INDEX(Models!$BJ214:$BT214,,T214)*(1-R214)+INDEX(Models!$BJ214:$BT214,,T214+1)*R214-ERP_i)*Q214*Ramure*Pc/MaxiM</f>
        <v>5.540837238151115E-3</v>
      </c>
      <c r="Q214" s="305">
        <f t="shared" si="80"/>
        <v>0.7</v>
      </c>
      <c r="R214" s="177">
        <f t="shared" si="81"/>
        <v>0.91625910923386589</v>
      </c>
      <c r="S214" s="921">
        <f t="shared" si="82"/>
        <v>0</v>
      </c>
      <c r="T214" s="176">
        <f t="shared" si="83"/>
        <v>6</v>
      </c>
      <c r="U214" s="251">
        <f t="shared" si="84"/>
        <v>0.91625910923386589</v>
      </c>
      <c r="V214" s="383">
        <f t="shared" si="85"/>
        <v>47.003216474614568</v>
      </c>
      <c r="W214" s="402">
        <f t="shared" si="86"/>
        <v>31.933111334121108</v>
      </c>
      <c r="X214" s="157">
        <f t="shared" si="87"/>
        <v>45126</v>
      </c>
      <c r="Y214" s="385">
        <f t="shared" si="88"/>
        <v>30.559177463160019</v>
      </c>
      <c r="Z214" s="385">
        <f t="shared" si="89"/>
        <v>31.845880491316588</v>
      </c>
      <c r="AA214" s="386">
        <f t="shared" si="90"/>
        <v>37.689221153501556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0.155040101210531</v>
      </c>
      <c r="AD214" s="231">
        <f>(INDEX(Models!$BJ214:$BT214,,AH214)*(1-AF214)+INDEX(Models!$BJ214:$BT214,,AH214+1)*AF214-ERP_i)*AE214*Ramure*Pc/MaxiM</f>
        <v>5.540837238151115E-3</v>
      </c>
      <c r="AE214" s="305">
        <f t="shared" si="92"/>
        <v>0.7</v>
      </c>
      <c r="AF214" s="177">
        <f t="shared" si="93"/>
        <v>0.91625910923386589</v>
      </c>
      <c r="AG214" s="921">
        <f t="shared" si="99"/>
        <v>0</v>
      </c>
      <c r="AH214" s="176">
        <f t="shared" si="94"/>
        <v>6</v>
      </c>
      <c r="AI214" s="225">
        <f t="shared" si="95"/>
        <v>0.91625910923386589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36.356426954701512</v>
      </c>
      <c r="C215" s="955"/>
      <c r="D215" s="393">
        <f t="shared" si="77"/>
        <v>37.888054699329814</v>
      </c>
      <c r="E215" s="385">
        <f t="shared" si="75"/>
        <v>42.913303551521842</v>
      </c>
      <c r="F215" s="385">
        <f t="shared" si="78"/>
        <v>43.071545622119814</v>
      </c>
      <c r="G215" s="110">
        <f t="shared" si="76"/>
        <v>0.7735945031781265</v>
      </c>
      <c r="H215" s="414" t="b">
        <f>Wh_hp&gt;='2022'!Maxi_hp</f>
        <v>0</v>
      </c>
      <c r="I215" s="390">
        <f>IF(H215,Wh_hp,'2022'!Maxi_hp)</f>
        <v>55.682250887635263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4.0425082701735948E-2</v>
      </c>
      <c r="M215" s="959"/>
      <c r="N215" s="959"/>
      <c r="O215" s="48">
        <f>IF(t&lt;Tnet,'2022'!Resal+('2022'!Salim-'2022'!Resal)*(1-EXP(('2022'!Tnet-t)/('2022'!Tau_j))),Resal+(Salim-Resal)*(1-EXP((Tnet-t)/(Tau_j))))*Salcycl</f>
        <v>0.11710235372950713</v>
      </c>
      <c r="P215" s="169">
        <f>(INDEX(Models!$BJ215:$BT215,,T215)*(1-R215)+INDEX(Models!$BJ215:$BT215,,T215+1)*R215-ERP_i)*Q215*Ramure*Pc/MaxiM</f>
        <v>5.4148067501965328E-3</v>
      </c>
      <c r="Q215" s="305">
        <f t="shared" si="80"/>
        <v>0.7</v>
      </c>
      <c r="R215" s="177">
        <f t="shared" si="81"/>
        <v>0.91909159466930102</v>
      </c>
      <c r="S215" s="921">
        <f t="shared" si="82"/>
        <v>0</v>
      </c>
      <c r="T215" s="176">
        <f t="shared" si="83"/>
        <v>6</v>
      </c>
      <c r="U215" s="251">
        <f t="shared" si="84"/>
        <v>0.91909159466930102</v>
      </c>
      <c r="V215" s="383">
        <f t="shared" si="85"/>
        <v>46.914632344365856</v>
      </c>
      <c r="W215" s="402">
        <f t="shared" si="86"/>
        <v>36.356426954701512</v>
      </c>
      <c r="X215" s="157">
        <f t="shared" si="87"/>
        <v>45127</v>
      </c>
      <c r="Y215" s="385">
        <f t="shared" si="88"/>
        <v>34.793448536909672</v>
      </c>
      <c r="Z215" s="385">
        <f t="shared" si="89"/>
        <v>36.25923094662847</v>
      </c>
      <c r="AA215" s="386">
        <f t="shared" si="90"/>
        <v>42.913303551521842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0.15505850293964138</v>
      </c>
      <c r="AD215" s="231">
        <f>(INDEX(Models!$BJ215:$BT215,,AH215)*(1-AF215)+INDEX(Models!$BJ215:$BT215,,AH215+1)*AF215-ERP_i)*AE215*Ramure*Pc/MaxiM</f>
        <v>5.4148067501965328E-3</v>
      </c>
      <c r="AE215" s="305">
        <f t="shared" si="92"/>
        <v>0.7</v>
      </c>
      <c r="AF215" s="177">
        <f t="shared" si="93"/>
        <v>0.91909159466930102</v>
      </c>
      <c r="AG215" s="921">
        <f t="shared" si="99"/>
        <v>0</v>
      </c>
      <c r="AH215" s="176">
        <f t="shared" si="94"/>
        <v>6</v>
      </c>
      <c r="AI215" s="225">
        <f t="shared" si="95"/>
        <v>0.91909159466930102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45.381766299797775</v>
      </c>
      <c r="C216" s="955"/>
      <c r="D216" s="393">
        <f t="shared" si="77"/>
        <v>47.294650454701092</v>
      </c>
      <c r="E216" s="385">
        <f t="shared" si="75"/>
        <v>53.570609517627389</v>
      </c>
      <c r="F216" s="385">
        <f t="shared" si="78"/>
        <v>53.842758774814364</v>
      </c>
      <c r="G216" s="110">
        <f t="shared" si="76"/>
        <v>0.96892132312873158</v>
      </c>
      <c r="H216" s="414" t="b">
        <f>Wh_hp&gt;='2022'!Maxi_hp</f>
        <v>0</v>
      </c>
      <c r="I216" s="390">
        <f>IF(H216,Wh_hp,'2022'!Maxi_hp)</f>
        <v>53.844768353025124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4.0446099855108941E-2</v>
      </c>
      <c r="M216" s="959"/>
      <c r="N216" s="959"/>
      <c r="O216" s="48">
        <f>IF(t&lt;Tnet,'2022'!Resal+('2022'!Salim-'2022'!Resal)*(1-EXP(('2022'!Tnet-t)/('2022'!Tau_j))),Resal+(Salim-Resal)*(1-EXP((Tnet-t)/(Tau_j))))*Salcycl</f>
        <v>0.11715302699442313</v>
      </c>
      <c r="P216" s="169">
        <f>(INDEX(Models!$BJ216:$BT216,,T216)*(1-R216)+INDEX(Models!$BJ216:$BT216,,T216+1)*R216-ERP_i)*Q216*Ramure*Pc/MaxiM</f>
        <v>5.2875622688719091E-3</v>
      </c>
      <c r="Q216" s="305">
        <f t="shared" si="80"/>
        <v>0.7</v>
      </c>
      <c r="R216" s="177">
        <f t="shared" si="81"/>
        <v>0.92184646742736098</v>
      </c>
      <c r="S216" s="921">
        <f t="shared" si="82"/>
        <v>0</v>
      </c>
      <c r="T216" s="176">
        <f t="shared" si="83"/>
        <v>6</v>
      </c>
      <c r="U216" s="251">
        <f t="shared" si="84"/>
        <v>0.92184646742736098</v>
      </c>
      <c r="V216" s="383">
        <f t="shared" si="85"/>
        <v>46.826440477971396</v>
      </c>
      <c r="W216" s="402">
        <f t="shared" si="86"/>
        <v>45.381766299797775</v>
      </c>
      <c r="X216" s="157">
        <f t="shared" si="87"/>
        <v>45128</v>
      </c>
      <c r="Y216" s="385">
        <f t="shared" si="88"/>
        <v>43.432383186243065</v>
      </c>
      <c r="Z216" s="385">
        <f t="shared" si="89"/>
        <v>45.263099008492226</v>
      </c>
      <c r="AA216" s="386">
        <f t="shared" si="90"/>
        <v>53.570609517627389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0.15507590045996358</v>
      </c>
      <c r="AD216" s="231">
        <f>(INDEX(Models!$BJ216:$BT216,,AH216)*(1-AF216)+INDEX(Models!$BJ216:$BT216,,AH216+1)*AF216-ERP_i)*AE216*Ramure*Pc/MaxiM</f>
        <v>5.2875622688719091E-3</v>
      </c>
      <c r="AE216" s="305">
        <f t="shared" si="92"/>
        <v>0.7</v>
      </c>
      <c r="AF216" s="177">
        <f t="shared" si="93"/>
        <v>0.92184646742736098</v>
      </c>
      <c r="AG216" s="921">
        <f t="shared" si="99"/>
        <v>0</v>
      </c>
      <c r="AH216" s="176">
        <f t="shared" si="94"/>
        <v>6</v>
      </c>
      <c r="AI216" s="225">
        <f t="shared" si="95"/>
        <v>0.92184646742736098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34.642157225588321</v>
      </c>
      <c r="C217" s="955"/>
      <c r="D217" s="393">
        <f t="shared" si="77"/>
        <v>36.103147503362003</v>
      </c>
      <c r="E217" s="385">
        <f t="shared" si="75"/>
        <v>40.896316874724995</v>
      </c>
      <c r="F217" s="385">
        <f t="shared" si="78"/>
        <v>41.029729887535936</v>
      </c>
      <c r="G217" s="110">
        <f t="shared" si="76"/>
        <v>0.73976755918664772</v>
      </c>
      <c r="H217" s="414" t="b">
        <f>Wh_hp&gt;='2022'!Maxi_hp</f>
        <v>0</v>
      </c>
      <c r="I217" s="390">
        <f>IF(H217,Wh_hp,'2022'!Maxi_hp)</f>
        <v>54.507643131176636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4.0467116548152271E-2</v>
      </c>
      <c r="M217" s="959"/>
      <c r="N217" s="959"/>
      <c r="O217" s="48">
        <f>IF(t&lt;Tnet,'2022'!Resal+('2022'!Salim-'2022'!Resal)*(1-EXP(('2022'!Tnet-t)/('2022'!Tau_j))),Resal+(Salim-Resal)*(1-EXP((Tnet-t)/(Tau_j))))*Salcycl</f>
        <v>0.11720295952434039</v>
      </c>
      <c r="P217" s="169">
        <f>(INDEX(Models!$BJ217:$BT217,,T217)*(1-R217)+INDEX(Models!$BJ217:$BT217,,T217+1)*R217-ERP_i)*Q217*Ramure*Pc/MaxiM</f>
        <v>5.1591227839243173E-3</v>
      </c>
      <c r="Q217" s="305">
        <f t="shared" si="80"/>
        <v>0.7</v>
      </c>
      <c r="R217" s="177">
        <f t="shared" si="81"/>
        <v>0.92452464308464011</v>
      </c>
      <c r="S217" s="921">
        <f t="shared" si="82"/>
        <v>0</v>
      </c>
      <c r="T217" s="176">
        <f t="shared" si="83"/>
        <v>6</v>
      </c>
      <c r="U217" s="251">
        <f t="shared" si="84"/>
        <v>0.92452464308464011</v>
      </c>
      <c r="V217" s="383">
        <f t="shared" si="85"/>
        <v>46.738818364395456</v>
      </c>
      <c r="W217" s="402">
        <f t="shared" si="86"/>
        <v>34.642157225588321</v>
      </c>
      <c r="X217" s="157">
        <f t="shared" si="87"/>
        <v>45129</v>
      </c>
      <c r="Y217" s="385">
        <f t="shared" si="88"/>
        <v>33.155325607782011</v>
      </c>
      <c r="Z217" s="385">
        <f t="shared" si="89"/>
        <v>34.553610594884681</v>
      </c>
      <c r="AA217" s="386">
        <f t="shared" si="90"/>
        <v>40.896316874724995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0.15509235952150674</v>
      </c>
      <c r="AD217" s="231">
        <f>(INDEX(Models!$BJ217:$BT217,,AH217)*(1-AF217)+INDEX(Models!$BJ217:$BT217,,AH217+1)*AF217-ERP_i)*AE217*Ramure*Pc/MaxiM</f>
        <v>5.1591227839243173E-3</v>
      </c>
      <c r="AE217" s="305">
        <f t="shared" si="92"/>
        <v>0.7</v>
      </c>
      <c r="AF217" s="177">
        <f t="shared" si="93"/>
        <v>0.92452464308464011</v>
      </c>
      <c r="AG217" s="921">
        <f t="shared" si="99"/>
        <v>0</v>
      </c>
      <c r="AH217" s="176">
        <f t="shared" si="94"/>
        <v>6</v>
      </c>
      <c r="AI217" s="225">
        <f t="shared" si="95"/>
        <v>0.92452464308464011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38.654981049392667</v>
      </c>
      <c r="C218" s="955"/>
      <c r="D218" s="393">
        <f t="shared" si="77"/>
        <v>40.286089594100893</v>
      </c>
      <c r="E218" s="385">
        <f t="shared" si="75"/>
        <v>45.637145180243856</v>
      </c>
      <c r="F218" s="385">
        <f t="shared" si="78"/>
        <v>45.811129884555086</v>
      </c>
      <c r="G218" s="110">
        <f t="shared" si="76"/>
        <v>0.82755803032236408</v>
      </c>
      <c r="H218" s="414" t="b">
        <f>Wh_hp&gt;='2022'!Maxi_hp</f>
        <v>0</v>
      </c>
      <c r="I218" s="390">
        <f>IF(H218,Wh_hp,'2022'!Maxi_hp)</f>
        <v>56.297408043792899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4.0488132780876041E-2</v>
      </c>
      <c r="M218" s="959"/>
      <c r="N218" s="959"/>
      <c r="O218" s="48">
        <f>IF(t&lt;Tnet,'2022'!Resal+('2022'!Salim-'2022'!Resal)*(1-EXP(('2022'!Tnet-t)/('2022'!Tau_j))),Resal+(Salim-Resal)*(1-EXP((Tnet-t)/(Tau_j))))*Salcycl</f>
        <v>0.11725219807262212</v>
      </c>
      <c r="P218" s="169">
        <f>(INDEX(Models!$BJ218:$BT218,,T218)*(1-R218)+INDEX(Models!$BJ218:$BT218,,T218+1)*R218-ERP_i)*Q218*Ramure*Pc/MaxiM</f>
        <v>5.0295065728211668E-3</v>
      </c>
      <c r="Q218" s="305">
        <f t="shared" si="80"/>
        <v>0.7</v>
      </c>
      <c r="R218" s="177">
        <f t="shared" si="81"/>
        <v>0.92712711284577232</v>
      </c>
      <c r="S218" s="921">
        <f t="shared" si="82"/>
        <v>0</v>
      </c>
      <c r="T218" s="176">
        <f t="shared" si="83"/>
        <v>6</v>
      </c>
      <c r="U218" s="251">
        <f t="shared" si="84"/>
        <v>0.92712711284577232</v>
      </c>
      <c r="V218" s="383">
        <f t="shared" si="85"/>
        <v>46.651943712657349</v>
      </c>
      <c r="W218" s="402">
        <f t="shared" si="86"/>
        <v>38.654981049392667</v>
      </c>
      <c r="X218" s="157">
        <f t="shared" si="87"/>
        <v>45130</v>
      </c>
      <c r="Y218" s="385">
        <f t="shared" si="88"/>
        <v>36.997301366868768</v>
      </c>
      <c r="Z218" s="385">
        <f t="shared" si="89"/>
        <v>38.558461474890429</v>
      </c>
      <c r="AA218" s="386">
        <f t="shared" si="90"/>
        <v>45.637145180243856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0.15510794282587514</v>
      </c>
      <c r="AD218" s="231">
        <f>(INDEX(Models!$BJ218:$BT218,,AH218)*(1-AF218)+INDEX(Models!$BJ218:$BT218,,AH218+1)*AF218-ERP_i)*AE218*Ramure*Pc/MaxiM</f>
        <v>5.0295065728211668E-3</v>
      </c>
      <c r="AE218" s="305">
        <f t="shared" si="92"/>
        <v>0.7</v>
      </c>
      <c r="AF218" s="177">
        <f t="shared" si="93"/>
        <v>0.92712711284577232</v>
      </c>
      <c r="AG218" s="921">
        <f t="shared" si="99"/>
        <v>0</v>
      </c>
      <c r="AH218" s="176">
        <f t="shared" si="94"/>
        <v>6</v>
      </c>
      <c r="AI218" s="225">
        <f t="shared" si="95"/>
        <v>0.92712711284577232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45.772933558900029</v>
      </c>
      <c r="C219" s="955"/>
      <c r="D219" s="393">
        <f t="shared" si="77"/>
        <v>47.705440327944885</v>
      </c>
      <c r="E219" s="385">
        <f t="shared" si="75"/>
        <v>54.044956226168203</v>
      </c>
      <c r="F219" s="385">
        <f t="shared" si="78"/>
        <v>54.304510204683424</v>
      </c>
      <c r="G219" s="110">
        <f t="shared" si="76"/>
        <v>0.98285686324216315</v>
      </c>
      <c r="H219" s="414" t="b">
        <f>Wh_hp&gt;='2022'!Maxi_hp</f>
        <v>0</v>
      </c>
      <c r="I219" s="390">
        <f>IF(H219,Wh_hp,'2022'!Maxi_hp)</f>
        <v>54.305562115577402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4.0509148553290464E-2</v>
      </c>
      <c r="M219" s="959"/>
      <c r="N219" s="959"/>
      <c r="O219" s="48">
        <f>IF(t&lt;Tnet,'2022'!Resal+('2022'!Salim-'2022'!Resal)*(1-EXP(('2022'!Tnet-t)/('2022'!Tau_j))),Resal+(Salim-Resal)*(1-EXP((Tnet-t)/(Tau_j))))*Salcycl</f>
        <v>0.11730078699099329</v>
      </c>
      <c r="P219" s="169">
        <f>(INDEX(Models!$BJ219:$BT219,,T219)*(1-R219)+INDEX(Models!$BJ219:$BT219,,T219+1)*R219-ERP_i)*Q219*Ramure*Pc/MaxiM</f>
        <v>4.8987503988045938E-3</v>
      </c>
      <c r="Q219" s="305">
        <f t="shared" si="80"/>
        <v>0.7</v>
      </c>
      <c r="R219" s="177">
        <f t="shared" si="81"/>
        <v>0.92965493688864953</v>
      </c>
      <c r="S219" s="921">
        <f t="shared" si="82"/>
        <v>0</v>
      </c>
      <c r="T219" s="176">
        <f t="shared" si="83"/>
        <v>6</v>
      </c>
      <c r="U219" s="251">
        <f t="shared" si="84"/>
        <v>0.92965493688864953</v>
      </c>
      <c r="V219" s="383">
        <f t="shared" si="85"/>
        <v>46.565736410514923</v>
      </c>
      <c r="W219" s="402">
        <f t="shared" si="86"/>
        <v>45.772933558900029</v>
      </c>
      <c r="X219" s="157">
        <f t="shared" si="87"/>
        <v>45131</v>
      </c>
      <c r="Y219" s="385">
        <f t="shared" si="88"/>
        <v>43.811653504425479</v>
      </c>
      <c r="Z219" s="385">
        <f t="shared" si="89"/>
        <v>45.661356164435297</v>
      </c>
      <c r="AA219" s="386">
        <f t="shared" si="90"/>
        <v>54.044956226168203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0.15512270981678813</v>
      </c>
      <c r="AD219" s="231">
        <f>(INDEX(Models!$BJ219:$BT219,,AH219)*(1-AF219)+INDEX(Models!$BJ219:$BT219,,AH219+1)*AF219-ERP_i)*AE219*Ramure*Pc/MaxiM</f>
        <v>4.8987503988045938E-3</v>
      </c>
      <c r="AE219" s="305">
        <f t="shared" si="92"/>
        <v>0.7</v>
      </c>
      <c r="AF219" s="177">
        <f t="shared" si="93"/>
        <v>0.92965493688864953</v>
      </c>
      <c r="AG219" s="921">
        <f t="shared" si="99"/>
        <v>0</v>
      </c>
      <c r="AH219" s="176">
        <f t="shared" si="94"/>
        <v>6</v>
      </c>
      <c r="AI219" s="225">
        <f t="shared" si="95"/>
        <v>0.92965493688864953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23.531697184711618</v>
      </c>
      <c r="C220" s="955"/>
      <c r="D220" s="393">
        <f t="shared" si="77"/>
        <v>24.525729000000151</v>
      </c>
      <c r="E220" s="385">
        <f t="shared" si="75"/>
        <v>27.786432639939743</v>
      </c>
      <c r="F220" s="385">
        <f t="shared" si="78"/>
        <v>27.825520418326107</v>
      </c>
      <c r="G220" s="110">
        <f t="shared" si="76"/>
        <v>0.50457189573858985</v>
      </c>
      <c r="H220" s="414" t="b">
        <f>Wh_hp&gt;='2022'!Maxi_hp</f>
        <v>0</v>
      </c>
      <c r="I220" s="390">
        <f>IF(H220,Wh_hp,'2022'!Maxi_hp)</f>
        <v>54.530894378058939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4.0530163865405533E-2</v>
      </c>
      <c r="M220" s="959"/>
      <c r="N220" s="959"/>
      <c r="O220" s="48">
        <f>IF(t&lt;Tnet,'2022'!Resal+('2022'!Salim-'2022'!Resal)*(1-EXP(('2022'!Tnet-t)/('2022'!Tau_j))),Resal+(Salim-Resal)*(1-EXP((Tnet-t)/(Tau_j))))*Salcycl</f>
        <v>0.11734876809096789</v>
      </c>
      <c r="P220" s="169">
        <f>(INDEX(Models!$BJ220:$BT220,,T220)*(1-R220)+INDEX(Models!$BJ220:$BT220,,T220+1)*R220-ERP_i)*Q220*Ramure*Pc/MaxiM</f>
        <v>4.7670084860240462E-3</v>
      </c>
      <c r="Q220" s="305">
        <f t="shared" si="80"/>
        <v>0.7</v>
      </c>
      <c r="R220" s="177">
        <f t="shared" si="81"/>
        <v>0.93210923787578448</v>
      </c>
      <c r="S220" s="921">
        <f t="shared" si="82"/>
        <v>0</v>
      </c>
      <c r="T220" s="176">
        <f t="shared" si="83"/>
        <v>6</v>
      </c>
      <c r="U220" s="251">
        <f t="shared" si="84"/>
        <v>0.93210923787578448</v>
      </c>
      <c r="V220" s="383">
        <f t="shared" si="85"/>
        <v>46.479929484924952</v>
      </c>
      <c r="W220" s="402">
        <f t="shared" si="86"/>
        <v>23.531697184711618</v>
      </c>
      <c r="X220" s="157">
        <f t="shared" si="87"/>
        <v>45132</v>
      </c>
      <c r="Y220" s="385">
        <f t="shared" si="88"/>
        <v>22.524261260871629</v>
      </c>
      <c r="Z220" s="385">
        <f t="shared" si="89"/>
        <v>23.475736716867381</v>
      </c>
      <c r="AA220" s="386">
        <f t="shared" si="90"/>
        <v>27.786432639939743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0.15513671650229188</v>
      </c>
      <c r="AD220" s="231">
        <f>(INDEX(Models!$BJ220:$BT220,,AH220)*(1-AF220)+INDEX(Models!$BJ220:$BT220,,AH220+1)*AF220-ERP_i)*AE220*Ramure*Pc/MaxiM</f>
        <v>4.7670084860240462E-3</v>
      </c>
      <c r="AE220" s="305">
        <f t="shared" si="92"/>
        <v>0.7</v>
      </c>
      <c r="AF220" s="177">
        <f t="shared" si="93"/>
        <v>0.93210923787578448</v>
      </c>
      <c r="AG220" s="921">
        <f t="shared" si="99"/>
        <v>0</v>
      </c>
      <c r="AH220" s="176">
        <f t="shared" si="94"/>
        <v>6</v>
      </c>
      <c r="AI220" s="225">
        <f t="shared" si="95"/>
        <v>0.93210923787578448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44.742027767050693</v>
      </c>
      <c r="C221" s="955"/>
      <c r="D221" s="393">
        <f t="shared" si="77"/>
        <v>46.633053034794777</v>
      </c>
      <c r="E221" s="385">
        <f t="shared" si="75"/>
        <v>52.835770711657645</v>
      </c>
      <c r="F221" s="385">
        <f t="shared" si="78"/>
        <v>53.069182204911023</v>
      </c>
      <c r="G221" s="110">
        <f t="shared" si="76"/>
        <v>0.96415498265082744</v>
      </c>
      <c r="H221" s="414" t="b">
        <f>Wh_hp&gt;='2022'!Maxi_hp</f>
        <v>0</v>
      </c>
      <c r="I221" s="390">
        <f>IF(H221,Wh_hp,'2022'!Maxi_hp)</f>
        <v>54.739727703954557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4.055117871723124E-2</v>
      </c>
      <c r="M221" s="959"/>
      <c r="N221" s="959"/>
      <c r="O221" s="48">
        <f>IF(t&lt;Tnet,'2022'!Resal+('2022'!Salim-'2022'!Resal)*(1-EXP(('2022'!Tnet-t)/('2022'!Tau_j))),Resal+(Salim-Resal)*(1-EXP((Tnet-t)/(Tau_j))))*Salcycl</f>
        <v>0.11739618052915626</v>
      </c>
      <c r="P221" s="169">
        <f>(INDEX(Models!$BJ221:$BT221,,T221)*(1-R221)+INDEX(Models!$BJ221:$BT221,,T221+1)*R221-ERP_i)*Q221*Ramure*Pc/MaxiM</f>
        <v>4.6340330472069797E-3</v>
      </c>
      <c r="Q221" s="305">
        <f t="shared" si="80"/>
        <v>0.7</v>
      </c>
      <c r="R221" s="177">
        <f t="shared" si="81"/>
        <v>0.93449119465364339</v>
      </c>
      <c r="S221" s="921">
        <f t="shared" si="82"/>
        <v>0</v>
      </c>
      <c r="T221" s="176">
        <f t="shared" si="83"/>
        <v>6</v>
      </c>
      <c r="U221" s="251">
        <f t="shared" si="84"/>
        <v>0.93449119465364339</v>
      </c>
      <c r="V221" s="383">
        <f t="shared" si="85"/>
        <v>46.394441272139218</v>
      </c>
      <c r="W221" s="402">
        <f t="shared" si="86"/>
        <v>44.742027767050693</v>
      </c>
      <c r="X221" s="157">
        <f t="shared" si="87"/>
        <v>45133</v>
      </c>
      <c r="Y221" s="385">
        <f t="shared" si="88"/>
        <v>42.828164392837593</v>
      </c>
      <c r="Z221" s="385">
        <f t="shared" si="89"/>
        <v>44.63830007688891</v>
      </c>
      <c r="AA221" s="386">
        <f t="shared" si="90"/>
        <v>52.835770711657645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0.15515001530885306</v>
      </c>
      <c r="AD221" s="231">
        <f>(INDEX(Models!$BJ221:$BT221,,AH221)*(1-AF221)+INDEX(Models!$BJ221:$BT221,,AH221+1)*AF221-ERP_i)*AE221*Ramure*Pc/MaxiM</f>
        <v>4.6340330472069797E-3</v>
      </c>
      <c r="AE221" s="305">
        <f t="shared" si="92"/>
        <v>0.7</v>
      </c>
      <c r="AF221" s="177">
        <f t="shared" si="93"/>
        <v>0.93449119465364339</v>
      </c>
      <c r="AG221" s="921">
        <f t="shared" si="99"/>
        <v>0</v>
      </c>
      <c r="AH221" s="176">
        <f t="shared" si="94"/>
        <v>6</v>
      </c>
      <c r="AI221" s="225">
        <f t="shared" si="95"/>
        <v>0.93449119465364339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48.451216540299299</v>
      </c>
      <c r="C222" s="955"/>
      <c r="D222" s="393">
        <f t="shared" si="77"/>
        <v>50.500117040898523</v>
      </c>
      <c r="E222" s="385">
        <f t="shared" si="75"/>
        <v>57.220236783693693</v>
      </c>
      <c r="F222" s="385">
        <f t="shared" si="78"/>
        <v>57.478883622167707</v>
      </c>
      <c r="G222" s="110">
        <f t="shared" si="76"/>
        <v>1.0462551840388288</v>
      </c>
      <c r="H222" s="414" t="b">
        <f>Wh_hp&gt;='2022'!Maxi_hp</f>
        <v>1</v>
      </c>
      <c r="I222" s="390">
        <f>IF(H222,Wh_hp,'2022'!Maxi_hp)</f>
        <v>57.478883622167707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4.057219310877791E-2</v>
      </c>
      <c r="M222" s="959"/>
      <c r="N222" s="959"/>
      <c r="O222" s="48">
        <f>IF(t&lt;Tnet,'2022'!Resal+('2022'!Salim-'2022'!Resal)*(1-EXP(('2022'!Tnet-t)/('2022'!Tau_j))),Resal+(Salim-Resal)*(1-EXP((Tnet-t)/(Tau_j))))*Salcycl</f>
        <v>0.1174430607164183</v>
      </c>
      <c r="P222" s="169">
        <f>(INDEX(Models!$BJ222:$BT222,,T222)*(1-R222)+INDEX(Models!$BJ222:$BT222,,T222+1)*R222-ERP_i)*Q222*Ramure*Pc/MaxiM</f>
        <v>4.4998584206019532E-3</v>
      </c>
      <c r="Q222" s="305">
        <f t="shared" si="80"/>
        <v>0.7</v>
      </c>
      <c r="R222" s="177">
        <f t="shared" si="81"/>
        <v>0.93680203615860935</v>
      </c>
      <c r="S222" s="921">
        <f t="shared" si="82"/>
        <v>0</v>
      </c>
      <c r="T222" s="176">
        <f t="shared" si="83"/>
        <v>6</v>
      </c>
      <c r="U222" s="251">
        <f t="shared" si="84"/>
        <v>0.93680203615860935</v>
      </c>
      <c r="V222" s="383">
        <f t="shared" si="85"/>
        <v>46.309177033909137</v>
      </c>
      <c r="W222" s="402">
        <f t="shared" si="86"/>
        <v>48.451216540299299</v>
      </c>
      <c r="X222" s="157">
        <f t="shared" si="87"/>
        <v>45134</v>
      </c>
      <c r="Y222" s="385">
        <f t="shared" si="88"/>
        <v>46.380460368645139</v>
      </c>
      <c r="Z222" s="385">
        <f t="shared" si="89"/>
        <v>48.34179292648296</v>
      </c>
      <c r="AA222" s="386">
        <f t="shared" si="90"/>
        <v>57.220236783693693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0.15516265496721712</v>
      </c>
      <c r="AD222" s="231">
        <f>(INDEX(Models!$BJ222:$BT222,,AH222)*(1-AF222)+INDEX(Models!$BJ222:$BT222,,AH222+1)*AF222-ERP_i)*AE222*Ramure*Pc/MaxiM</f>
        <v>4.4998584206019532E-3</v>
      </c>
      <c r="AE222" s="305">
        <f t="shared" si="92"/>
        <v>0.7</v>
      </c>
      <c r="AF222" s="177">
        <f t="shared" si="93"/>
        <v>0.93680203615860935</v>
      </c>
      <c r="AG222" s="921">
        <f t="shared" si="99"/>
        <v>0</v>
      </c>
      <c r="AH222" s="176">
        <f t="shared" si="94"/>
        <v>6</v>
      </c>
      <c r="AI222" s="225">
        <f t="shared" si="95"/>
        <v>0.93680203615860935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38.498796577990326</v>
      </c>
      <c r="C223" s="955"/>
      <c r="D223" s="393">
        <f t="shared" si="77"/>
        <v>40.127708976517177</v>
      </c>
      <c r="E223" s="385">
        <f t="shared" si="75"/>
        <v>45.469947780400304</v>
      </c>
      <c r="F223" s="385">
        <f t="shared" si="78"/>
        <v>45.621524411170974</v>
      </c>
      <c r="G223" s="110">
        <f t="shared" si="76"/>
        <v>0.83200308334366047</v>
      </c>
      <c r="H223" s="414" t="b">
        <f>Wh_hp&gt;='2022'!Maxi_hp</f>
        <v>0</v>
      </c>
      <c r="I223" s="390">
        <f>IF(H223,Wh_hp,'2022'!Maxi_hp)</f>
        <v>52.534108463708804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4.0593207040055312E-2</v>
      </c>
      <c r="M223" s="959"/>
      <c r="N223" s="959"/>
      <c r="O223" s="48">
        <f>IF(t&lt;Tnet,'2022'!Resal+('2022'!Salim-'2022'!Resal)*(1-EXP(('2022'!Tnet-t)/('2022'!Tau_j))),Resal+(Salim-Resal)*(1-EXP((Tnet-t)/(Tau_j))))*Salcycl</f>
        <v>0.11748944225059978</v>
      </c>
      <c r="P223" s="169">
        <f>(INDEX(Models!$BJ223:$BT223,,T223)*(1-R223)+INDEX(Models!$BJ223:$BT223,,T223+1)*R223-ERP_i)*Q223*Ramure*Pc/MaxiM</f>
        <v>4.3645158969796271E-3</v>
      </c>
      <c r="Q223" s="305">
        <f t="shared" si="80"/>
        <v>0.7</v>
      </c>
      <c r="R223" s="177">
        <f t="shared" si="81"/>
        <v>0.93904303554519086</v>
      </c>
      <c r="S223" s="921">
        <f t="shared" si="82"/>
        <v>0</v>
      </c>
      <c r="T223" s="176">
        <f t="shared" si="83"/>
        <v>6</v>
      </c>
      <c r="U223" s="251">
        <f t="shared" si="84"/>
        <v>0.93904303554519086</v>
      </c>
      <c r="V223" s="383">
        <f t="shared" si="85"/>
        <v>46.224042327707068</v>
      </c>
      <c r="W223" s="402">
        <f t="shared" si="86"/>
        <v>38.498796577990326</v>
      </c>
      <c r="X223" s="157">
        <f t="shared" si="87"/>
        <v>45135</v>
      </c>
      <c r="Y223" s="385">
        <f t="shared" si="88"/>
        <v>36.854809085821508</v>
      </c>
      <c r="Z223" s="385">
        <f t="shared" si="89"/>
        <v>38.414163164425496</v>
      </c>
      <c r="AA223" s="386">
        <f t="shared" si="90"/>
        <v>45.469947780400304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0.15517468042961308</v>
      </c>
      <c r="AD223" s="231">
        <f>(INDEX(Models!$BJ223:$BT223,,AH223)*(1-AF223)+INDEX(Models!$BJ223:$BT223,,AH223+1)*AF223-ERP_i)*AE223*Ramure*Pc/MaxiM</f>
        <v>4.3645158969796271E-3</v>
      </c>
      <c r="AE223" s="305">
        <f t="shared" si="92"/>
        <v>0.7</v>
      </c>
      <c r="AF223" s="177">
        <f t="shared" si="93"/>
        <v>0.93904303554519086</v>
      </c>
      <c r="AG223" s="921">
        <f t="shared" si="99"/>
        <v>0</v>
      </c>
      <c r="AH223" s="176">
        <f t="shared" si="94"/>
        <v>6</v>
      </c>
      <c r="AI223" s="225">
        <f t="shared" si="95"/>
        <v>0.93904303554519086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25.648004861442224</v>
      </c>
      <c r="C224" s="955"/>
      <c r="D224" s="393">
        <f t="shared" si="77"/>
        <v>26.733776349181614</v>
      </c>
      <c r="E224" s="385">
        <f t="shared" si="75"/>
        <v>30.294444686347145</v>
      </c>
      <c r="F224" s="385">
        <f t="shared" si="78"/>
        <v>30.341339210694905</v>
      </c>
      <c r="G224" s="110">
        <f t="shared" si="76"/>
        <v>0.55439281301388332</v>
      </c>
      <c r="H224" s="414" t="b">
        <f>Wh_hp&gt;='2022'!Maxi_hp</f>
        <v>0</v>
      </c>
      <c r="I224" s="390">
        <f>IF(H224,Wh_hp,'2022'!Maxi_hp)</f>
        <v>55.721551124095164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4.0614220511073773E-2</v>
      </c>
      <c r="M224" s="959"/>
      <c r="N224" s="959"/>
      <c r="O224" s="48">
        <f>IF(t&lt;Tnet,'2022'!Resal+('2022'!Salim-'2022'!Resal)*(1-EXP(('2022'!Tnet-t)/('2022'!Tau_j))),Resal+(Salim-Resal)*(1-EXP((Tnet-t)/(Tau_j))))*Salcycl</f>
        <v>0.11753535587236645</v>
      </c>
      <c r="P224" s="169">
        <f>(INDEX(Models!$BJ224:$BT224,,T224)*(1-R224)+INDEX(Models!$BJ224:$BT224,,T224+1)*R224-ERP_i)*Q224*Ramure*Pc/MaxiM</f>
        <v>4.2280337758417753E-3</v>
      </c>
      <c r="Q224" s="305">
        <f t="shared" si="80"/>
        <v>0.7</v>
      </c>
      <c r="R224" s="177">
        <f t="shared" si="81"/>
        <v>0.9412155045492242</v>
      </c>
      <c r="S224" s="921">
        <f t="shared" si="82"/>
        <v>0</v>
      </c>
      <c r="T224" s="176">
        <f t="shared" si="83"/>
        <v>6</v>
      </c>
      <c r="U224" s="251">
        <f t="shared" si="84"/>
        <v>0.9412155045492242</v>
      </c>
      <c r="V224" s="383">
        <f t="shared" si="85"/>
        <v>46.138943001857136</v>
      </c>
      <c r="W224" s="402">
        <f t="shared" si="86"/>
        <v>25.648004861442224</v>
      </c>
      <c r="X224" s="157">
        <f t="shared" si="87"/>
        <v>45136</v>
      </c>
      <c r="Y224" s="385">
        <f t="shared" si="88"/>
        <v>24.553720442735724</v>
      </c>
      <c r="Z224" s="385">
        <f t="shared" si="89"/>
        <v>25.593166969616455</v>
      </c>
      <c r="AA224" s="386">
        <f t="shared" si="90"/>
        <v>30.294444686347145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0.155186132817593</v>
      </c>
      <c r="AD224" s="231">
        <f>(INDEX(Models!$BJ224:$BT224,,AH224)*(1-AF224)+INDEX(Models!$BJ224:$BT224,,AH224+1)*AF224-ERP_i)*AE224*Ramure*Pc/MaxiM</f>
        <v>4.2280337758417753E-3</v>
      </c>
      <c r="AE224" s="305">
        <f t="shared" si="92"/>
        <v>0.7</v>
      </c>
      <c r="AF224" s="177">
        <f t="shared" si="93"/>
        <v>0.9412155045492242</v>
      </c>
      <c r="AG224" s="921">
        <f t="shared" si="99"/>
        <v>0</v>
      </c>
      <c r="AH224" s="176">
        <f t="shared" si="94"/>
        <v>6</v>
      </c>
      <c r="AI224" s="225">
        <f t="shared" si="95"/>
        <v>0.9412155045492242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38.656904261922143</v>
      </c>
      <c r="C225" s="955"/>
      <c r="D225" s="393">
        <f t="shared" si="77"/>
        <v>40.294271389423912</v>
      </c>
      <c r="E225" s="385">
        <f t="shared" si="75"/>
        <v>45.663413413841937</v>
      </c>
      <c r="F225" s="385">
        <f t="shared" si="78"/>
        <v>45.807794664183568</v>
      </c>
      <c r="G225" s="110">
        <f t="shared" si="76"/>
        <v>0.83859574518047963</v>
      </c>
      <c r="H225" s="414" t="b">
        <f>Wh_hp&gt;='2022'!Maxi_hp</f>
        <v>0</v>
      </c>
      <c r="I225" s="390">
        <f>IF(H225,Wh_hp,'2022'!Maxi_hp)</f>
        <v>53.533900381500366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4.0635233521843284E-2</v>
      </c>
      <c r="M225" s="959"/>
      <c r="N225" s="959"/>
      <c r="O225" s="48">
        <f>IF(t&lt;Tnet,'2022'!Resal+('2022'!Salim-'2022'!Resal)*(1-EXP(('2022'!Tnet-t)/('2022'!Tau_j))),Resal+(Salim-Resal)*(1-EXP((Tnet-t)/(Tau_j))))*Salcycl</f>
        <v>0.11758082944343531</v>
      </c>
      <c r="P225" s="169">
        <f>(INDEX(Models!$BJ225:$BT225,,T225)*(1-R225)+INDEX(Models!$BJ225:$BT225,,T225+1)*R225-ERP_i)*Q225*Ramure*Pc/MaxiM</f>
        <v>4.0904374357573952E-3</v>
      </c>
      <c r="Q225" s="305">
        <f t="shared" si="80"/>
        <v>0.7</v>
      </c>
      <c r="R225" s="177">
        <f t="shared" si="81"/>
        <v>0.94332078809610664</v>
      </c>
      <c r="S225" s="921">
        <f t="shared" si="82"/>
        <v>0</v>
      </c>
      <c r="T225" s="176">
        <f t="shared" si="83"/>
        <v>6</v>
      </c>
      <c r="U225" s="251">
        <f t="shared" si="84"/>
        <v>0.94332078809610664</v>
      </c>
      <c r="V225" s="383">
        <f t="shared" si="85"/>
        <v>46.053785189102051</v>
      </c>
      <c r="W225" s="402">
        <f t="shared" si="86"/>
        <v>38.656904261922143</v>
      </c>
      <c r="X225" s="157">
        <f t="shared" si="87"/>
        <v>45137</v>
      </c>
      <c r="Y225" s="385">
        <f t="shared" si="88"/>
        <v>37.009017790212354</v>
      </c>
      <c r="Z225" s="385">
        <f t="shared" si="89"/>
        <v>38.576586386503486</v>
      </c>
      <c r="AA225" s="386">
        <f t="shared" si="90"/>
        <v>45.663413413841937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0.15519704939951379</v>
      </c>
      <c r="AD225" s="231">
        <f>(INDEX(Models!$BJ225:$BT225,,AH225)*(1-AF225)+INDEX(Models!$BJ225:$BT225,,AH225+1)*AF225-ERP_i)*AE225*Ramure*Pc/MaxiM</f>
        <v>4.0904374357573952E-3</v>
      </c>
      <c r="AE225" s="305">
        <f t="shared" si="92"/>
        <v>0.7</v>
      </c>
      <c r="AF225" s="177">
        <f t="shared" si="93"/>
        <v>0.94332078809610664</v>
      </c>
      <c r="AG225" s="921">
        <f t="shared" si="99"/>
        <v>0</v>
      </c>
      <c r="AH225" s="176">
        <f t="shared" si="94"/>
        <v>6</v>
      </c>
      <c r="AI225" s="225">
        <f t="shared" si="95"/>
        <v>0.94332078809610664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46.475981467416212</v>
      </c>
      <c r="C226" s="955"/>
      <c r="D226" s="393">
        <f t="shared" si="77"/>
        <v>48.445597604758483</v>
      </c>
      <c r="E226" s="385">
        <f t="shared" si="75"/>
        <v>54.903693278129744</v>
      </c>
      <c r="F226" s="385">
        <f t="shared" si="78"/>
        <v>55.121608463369604</v>
      </c>
      <c r="G226" s="110">
        <f t="shared" si="76"/>
        <v>1.011041936819332</v>
      </c>
      <c r="H226" s="414" t="b">
        <f>Wh_hp&gt;='2022'!Maxi_hp</f>
        <v>1</v>
      </c>
      <c r="I226" s="390">
        <f>IF(H226,Wh_hp,'2022'!Maxi_hp)</f>
        <v>55.121608463369604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4.0656246072373947E-2</v>
      </c>
      <c r="M226" s="959"/>
      <c r="N226" s="959"/>
      <c r="O226" s="48">
        <f>IF(t&lt;Tnet,'2022'!Resal+('2022'!Salim-'2022'!Resal)*(1-EXP(('2022'!Tnet-t)/('2022'!Tau_j))),Resal+(Salim-Resal)*(1-EXP((Tnet-t)/(Tau_j))))*Salcycl</f>
        <v>0.11762588794629904</v>
      </c>
      <c r="P226" s="169">
        <f>(INDEX(Models!$BJ226:$BT226,,T226)*(1-R226)+INDEX(Models!$BJ226:$BT226,,T226+1)*R226-ERP_i)*Q226*Ramure*Pc/MaxiM</f>
        <v>3.9533531642980072E-3</v>
      </c>
      <c r="Q226" s="305">
        <f t="shared" si="80"/>
        <v>0.7</v>
      </c>
      <c r="R226" s="177">
        <f t="shared" si="81"/>
        <v>0.94536025916157973</v>
      </c>
      <c r="S226" s="921">
        <f t="shared" si="82"/>
        <v>0</v>
      </c>
      <c r="T226" s="176">
        <f t="shared" si="83"/>
        <v>6</v>
      </c>
      <c r="U226" s="251">
        <f t="shared" si="84"/>
        <v>0.94536025916157973</v>
      </c>
      <c r="V226" s="383">
        <f t="shared" si="85"/>
        <v>45.968401284744374</v>
      </c>
      <c r="W226" s="402">
        <f t="shared" si="86"/>
        <v>46.475981467416212</v>
      </c>
      <c r="X226" s="157">
        <f t="shared" si="87"/>
        <v>45138</v>
      </c>
      <c r="Y226" s="385">
        <f t="shared" si="88"/>
        <v>44.496502933798276</v>
      </c>
      <c r="Z226" s="385">
        <f t="shared" si="89"/>
        <v>46.382230302356398</v>
      </c>
      <c r="AA226" s="386">
        <f t="shared" si="90"/>
        <v>54.903693278129744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0.15520746359640203</v>
      </c>
      <c r="AD226" s="231">
        <f>(INDEX(Models!$BJ226:$BT226,,AH226)*(1-AF226)+INDEX(Models!$BJ226:$BT226,,AH226+1)*AF226-ERP_i)*AE226*Ramure*Pc/MaxiM</f>
        <v>3.9533531642980072E-3</v>
      </c>
      <c r="AE226" s="305">
        <f t="shared" si="92"/>
        <v>0.7</v>
      </c>
      <c r="AF226" s="177">
        <f t="shared" si="93"/>
        <v>0.94536025916157973</v>
      </c>
      <c r="AG226" s="921">
        <f t="shared" si="99"/>
        <v>0</v>
      </c>
      <c r="AH226" s="176">
        <f t="shared" si="94"/>
        <v>6</v>
      </c>
      <c r="AI226" s="225">
        <f t="shared" si="95"/>
        <v>0.94536025916157973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46.414988075368271</v>
      </c>
      <c r="C227" s="955"/>
      <c r="D227" s="393">
        <f t="shared" si="77"/>
        <v>48.383079073548146</v>
      </c>
      <c r="E227" s="385">
        <f t="shared" si="75"/>
        <v>54.835616408033538</v>
      </c>
      <c r="F227" s="385">
        <f t="shared" si="78"/>
        <v>55.045740208106061</v>
      </c>
      <c r="G227" s="110">
        <f t="shared" si="76"/>
        <v>1.0116015621368712</v>
      </c>
      <c r="H227" s="414" t="b">
        <f>Wh_hp&gt;='2022'!Maxi_hp</f>
        <v>1</v>
      </c>
      <c r="I227" s="390">
        <f>IF(H227,Wh_hp,'2022'!Maxi_hp)</f>
        <v>55.045740208106061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4.0677258162675756E-2</v>
      </c>
      <c r="M227" s="959"/>
      <c r="N227" s="959"/>
      <c r="O227" s="48">
        <f>IF(t&lt;Tnet,'2022'!Resal+('2022'!Salim-'2022'!Resal)*(1-EXP(('2022'!Tnet-t)/('2022'!Tau_j))),Resal+(Salim-Resal)*(1-EXP((Tnet-t)/(Tau_j))))*Salcycl</f>
        <v>0.1176705535043476</v>
      </c>
      <c r="P227" s="169">
        <f>(INDEX(Models!$BJ227:$BT227,,T227)*(1-R227)+INDEX(Models!$BJ227:$BT227,,T227+1)*R227-ERP_i)*Q227*Ramure*Pc/MaxiM</f>
        <v>3.8172581434663868E-3</v>
      </c>
      <c r="Q227" s="305">
        <f t="shared" si="80"/>
        <v>0.7</v>
      </c>
      <c r="R227" s="177">
        <f t="shared" si="81"/>
        <v>0.94733531389024894</v>
      </c>
      <c r="S227" s="921">
        <f t="shared" si="82"/>
        <v>0</v>
      </c>
      <c r="T227" s="176">
        <f t="shared" si="83"/>
        <v>6</v>
      </c>
      <c r="U227" s="251">
        <f t="shared" si="84"/>
        <v>0.94733531389024894</v>
      </c>
      <c r="V227" s="383">
        <f t="shared" si="85"/>
        <v>45.882677343165518</v>
      </c>
      <c r="W227" s="402">
        <f t="shared" si="86"/>
        <v>46.414988075368271</v>
      </c>
      <c r="X227" s="157">
        <f t="shared" si="87"/>
        <v>45139</v>
      </c>
      <c r="Y227" s="385">
        <f t="shared" si="88"/>
        <v>44.439833928533474</v>
      </c>
      <c r="Z227" s="385">
        <f t="shared" si="89"/>
        <v>46.324174326797412</v>
      </c>
      <c r="AA227" s="386">
        <f t="shared" si="90"/>
        <v>54.835616408033538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0.15521740501469378</v>
      </c>
      <c r="AD227" s="231">
        <f>(INDEX(Models!$BJ227:$BT227,,AH227)*(1-AF227)+INDEX(Models!$BJ227:$BT227,,AH227+1)*AF227-ERP_i)*AE227*Ramure*Pc/MaxiM</f>
        <v>3.8172581434663868E-3</v>
      </c>
      <c r="AE227" s="305">
        <f t="shared" si="92"/>
        <v>0.7</v>
      </c>
      <c r="AF227" s="177">
        <f t="shared" si="93"/>
        <v>0.94733531389024894</v>
      </c>
      <c r="AG227" s="921">
        <f t="shared" si="99"/>
        <v>0</v>
      </c>
      <c r="AH227" s="176">
        <f t="shared" si="94"/>
        <v>6</v>
      </c>
      <c r="AI227" s="225">
        <f t="shared" si="95"/>
        <v>0.94733531389024894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46.465089287818913</v>
      </c>
      <c r="C228" s="955"/>
      <c r="D228" s="393">
        <f t="shared" si="77"/>
        <v>48.436365561209726</v>
      </c>
      <c r="E228" s="385">
        <f t="shared" si="75"/>
        <v>54.898765223277934</v>
      </c>
      <c r="F228" s="385">
        <f t="shared" si="78"/>
        <v>55.101659633239549</v>
      </c>
      <c r="G228" s="110">
        <f t="shared" si="76"/>
        <v>1.0145986866280077</v>
      </c>
      <c r="H228" s="414" t="b">
        <f>Wh_hp&gt;='2022'!Maxi_hp</f>
        <v>0</v>
      </c>
      <c r="I228" s="390">
        <f>IF(H228,Wh_hp,'2022'!Maxi_hp)</f>
        <v>55.101659633239557</v>
      </c>
      <c r="J228" s="85">
        <f>IF(H228,An,'2022'!An_max)</f>
        <v>2022</v>
      </c>
      <c r="K228" s="197">
        <f t="shared" si="79"/>
        <v>45140</v>
      </c>
      <c r="L228" s="147">
        <f>IF(t&lt;Tvie,1-EXP((T0-t)*PertePVj)+'2022'!Pspv,1-EXP((T0-t)*PertePVj)+Pspv)</f>
        <v>4.0698269792758923E-2</v>
      </c>
      <c r="M228" s="959"/>
      <c r="N228" s="959"/>
      <c r="O228" s="48">
        <f>IF(t&lt;Tnet,'2022'!Resal+('2022'!Salim-'2022'!Resal)*(1-EXP(('2022'!Tnet-t)/('2022'!Tau_j))),Resal+(Salim-Resal)*(1-EXP((Tnet-t)/(Tau_j))))*Salcycl</f>
        <v>0.11771484542111432</v>
      </c>
      <c r="P228" s="169">
        <f>(INDEX(Models!$BJ228:$BT228,,T228)*(1-R228)+INDEX(Models!$BJ228:$BT228,,T228+1)*R228-ERP_i)*Q228*Ramure*Pc/MaxiM</f>
        <v>3.6821832829010631E-3</v>
      </c>
      <c r="Q228" s="305">
        <f t="shared" si="80"/>
        <v>0.7</v>
      </c>
      <c r="R228" s="177">
        <f t="shared" si="81"/>
        <v>0.94924736697488576</v>
      </c>
      <c r="S228" s="921">
        <f t="shared" si="82"/>
        <v>0</v>
      </c>
      <c r="T228" s="176">
        <f t="shared" si="83"/>
        <v>6</v>
      </c>
      <c r="U228" s="251">
        <f t="shared" si="84"/>
        <v>0.94924736697488576</v>
      </c>
      <c r="V228" s="383">
        <f t="shared" si="85"/>
        <v>45.796520240179326</v>
      </c>
      <c r="W228" s="402">
        <f t="shared" si="86"/>
        <v>46.465089287818913</v>
      </c>
      <c r="X228" s="157">
        <f t="shared" si="87"/>
        <v>45140</v>
      </c>
      <c r="Y228" s="385">
        <f t="shared" si="88"/>
        <v>44.489536448365463</v>
      </c>
      <c r="Z228" s="385">
        <f t="shared" si="89"/>
        <v>46.377000111064369</v>
      </c>
      <c r="AA228" s="386">
        <f t="shared" si="90"/>
        <v>54.898765223277934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0.15522689950411123</v>
      </c>
      <c r="AD228" s="231">
        <f>(INDEX(Models!$BJ228:$BT228,,AH228)*(1-AF228)+INDEX(Models!$BJ228:$BT228,,AH228+1)*AF228-ERP_i)*AE228*Ramure*Pc/MaxiM</f>
        <v>3.6821832829010631E-3</v>
      </c>
      <c r="AE228" s="305">
        <f t="shared" si="92"/>
        <v>0.7</v>
      </c>
      <c r="AF228" s="177">
        <f t="shared" si="93"/>
        <v>0.94924736697488576</v>
      </c>
      <c r="AG228" s="921">
        <f t="shared" si="99"/>
        <v>0</v>
      </c>
      <c r="AH228" s="176">
        <f t="shared" si="94"/>
        <v>6</v>
      </c>
      <c r="AI228" s="225">
        <f t="shared" si="95"/>
        <v>0.94924736697488576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45.000948475897019</v>
      </c>
      <c r="C229" s="955"/>
      <c r="D229" s="393">
        <f t="shared" si="77"/>
        <v>46.911136211572405</v>
      </c>
      <c r="E229" s="385">
        <f t="shared" si="75"/>
        <v>53.172686971240864</v>
      </c>
      <c r="F229" s="385">
        <f t="shared" si="78"/>
        <v>53.357814453995921</v>
      </c>
      <c r="G229" s="110">
        <f t="shared" si="76"/>
        <v>0.98441389240975874</v>
      </c>
      <c r="H229" s="414" t="b">
        <f>Wh_hp&gt;='2022'!Maxi_hp</f>
        <v>0</v>
      </c>
      <c r="I229" s="390">
        <f>IF(H229,Wh_hp,'2022'!Maxi_hp)</f>
        <v>53.74274506897126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4.0719280962633442E-2</v>
      </c>
      <c r="M229" s="959"/>
      <c r="N229" s="959"/>
      <c r="O229" s="48">
        <f>IF(t&lt;Tnet,'2022'!Resal+('2022'!Salim-'2022'!Resal)*(1-EXP(('2022'!Tnet-t)/('2022'!Tau_j))),Resal+(Salim-Resal)*(1-EXP((Tnet-t)/(Tau_j))))*Salcycl</f>
        <v>0.11775878023721277</v>
      </c>
      <c r="P229" s="169">
        <f>(INDEX(Models!$BJ229:$BT229,,T229)*(1-R229)+INDEX(Models!$BJ229:$BT229,,T229+1)*R229-ERP_i)*Q229*Ramure*Pc/MaxiM</f>
        <v>3.5481568584897175E-3</v>
      </c>
      <c r="Q229" s="305">
        <f t="shared" si="80"/>
        <v>0.7</v>
      </c>
      <c r="R229" s="177">
        <f t="shared" si="81"/>
        <v>0.95109784729760871</v>
      </c>
      <c r="S229" s="921">
        <f t="shared" si="82"/>
        <v>0</v>
      </c>
      <c r="T229" s="176">
        <f t="shared" si="83"/>
        <v>6</v>
      </c>
      <c r="U229" s="251">
        <f t="shared" si="84"/>
        <v>0.95109784729760871</v>
      </c>
      <c r="V229" s="383">
        <f t="shared" si="85"/>
        <v>45.709837112449662</v>
      </c>
      <c r="W229" s="402">
        <f t="shared" si="86"/>
        <v>45.000948475897019</v>
      </c>
      <c r="X229" s="157">
        <f t="shared" si="87"/>
        <v>45141</v>
      </c>
      <c r="Y229" s="385">
        <f t="shared" si="88"/>
        <v>43.089329506504171</v>
      </c>
      <c r="Z229" s="385">
        <f t="shared" si="89"/>
        <v>44.91837337223258</v>
      </c>
      <c r="AA229" s="386">
        <f t="shared" si="90"/>
        <v>53.172686971240864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0.15523596923873212</v>
      </c>
      <c r="AD229" s="231">
        <f>(INDEX(Models!$BJ229:$BT229,,AH229)*(1-AF229)+INDEX(Models!$BJ229:$BT229,,AH229+1)*AF229-ERP_i)*AE229*Ramure*Pc/MaxiM</f>
        <v>3.5481568584897175E-3</v>
      </c>
      <c r="AE229" s="305">
        <f t="shared" si="92"/>
        <v>0.7</v>
      </c>
      <c r="AF229" s="177">
        <f t="shared" si="93"/>
        <v>0.95109784729760871</v>
      </c>
      <c r="AG229" s="921">
        <f t="shared" si="99"/>
        <v>0</v>
      </c>
      <c r="AH229" s="176">
        <f t="shared" si="94"/>
        <v>6</v>
      </c>
      <c r="AI229" s="225">
        <f t="shared" si="95"/>
        <v>0.95109784729760871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44.520616601320732</v>
      </c>
      <c r="C230" s="955"/>
      <c r="D230" s="393">
        <f t="shared" si="77"/>
        <v>46.411431872745922</v>
      </c>
      <c r="E230" s="385">
        <f t="shared" si="75"/>
        <v>52.608883077162844</v>
      </c>
      <c r="F230" s="385">
        <f t="shared" si="78"/>
        <v>52.782927694580252</v>
      </c>
      <c r="G230" s="110">
        <f t="shared" si="76"/>
        <v>0.97573167836396935</v>
      </c>
      <c r="H230" s="414" t="b">
        <f>Wh_hp&gt;='2022'!Maxi_hp</f>
        <v>0</v>
      </c>
      <c r="I230" s="390">
        <f>IF(H230,Wh_hp,'2022'!Maxi_hp)</f>
        <v>52.784026753635928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4.0740291672309414E-2</v>
      </c>
      <c r="M230" s="959"/>
      <c r="N230" s="959"/>
      <c r="O230" s="48">
        <f>IF(t&lt;Tnet,'2022'!Resal+('2022'!Salim-'2022'!Resal)*(1-EXP(('2022'!Tnet-t)/('2022'!Tau_j))),Resal+(Salim-Resal)*(1-EXP((Tnet-t)/(Tau_j))))*Salcycl</f>
        <v>0.11780237180338834</v>
      </c>
      <c r="P230" s="169">
        <f>(INDEX(Models!$BJ230:$BT230,,T230)*(1-R230)+INDEX(Models!$BJ230:$BT230,,T230+1)*R230-ERP_i)*Q230*Ramure*Pc/MaxiM</f>
        <v>3.4152046862424086E-3</v>
      </c>
      <c r="Q230" s="305">
        <f t="shared" si="80"/>
        <v>0.7</v>
      </c>
      <c r="R230" s="177">
        <f t="shared" si="81"/>
        <v>0.95288819383228551</v>
      </c>
      <c r="S230" s="921">
        <f t="shared" si="82"/>
        <v>0</v>
      </c>
      <c r="T230" s="176">
        <f t="shared" si="83"/>
        <v>6</v>
      </c>
      <c r="U230" s="251">
        <f t="shared" si="84"/>
        <v>0.95288819383228551</v>
      </c>
      <c r="V230" s="383">
        <f t="shared" si="85"/>
        <v>45.622535344267945</v>
      </c>
      <c r="W230" s="402">
        <f t="shared" si="86"/>
        <v>44.520616601320732</v>
      </c>
      <c r="X230" s="157">
        <f t="shared" si="87"/>
        <v>45142</v>
      </c>
      <c r="Y230" s="385">
        <f t="shared" si="88"/>
        <v>42.631071113904596</v>
      </c>
      <c r="Z230" s="385">
        <f t="shared" si="89"/>
        <v>44.441636340824495</v>
      </c>
      <c r="AA230" s="386">
        <f t="shared" si="90"/>
        <v>52.608883077162844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0.15524463281912357</v>
      </c>
      <c r="AD230" s="231">
        <f>(INDEX(Models!$BJ230:$BT230,,AH230)*(1-AF230)+INDEX(Models!$BJ230:$BT230,,AH230+1)*AF230-ERP_i)*AE230*Ramure*Pc/MaxiM</f>
        <v>3.4152046862424086E-3</v>
      </c>
      <c r="AE230" s="305">
        <f t="shared" si="92"/>
        <v>0.7</v>
      </c>
      <c r="AF230" s="177">
        <f t="shared" si="93"/>
        <v>0.95288819383228551</v>
      </c>
      <c r="AG230" s="921">
        <f t="shared" si="99"/>
        <v>0</v>
      </c>
      <c r="AH230" s="176">
        <f t="shared" si="94"/>
        <v>6</v>
      </c>
      <c r="AI230" s="225">
        <f t="shared" si="95"/>
        <v>0.95288819383228551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40.146692375123358</v>
      </c>
      <c r="C231" s="955"/>
      <c r="D231" s="393">
        <f t="shared" si="77"/>
        <v>41.852661340243749</v>
      </c>
      <c r="E231" s="385">
        <f t="shared" si="75"/>
        <v>47.443693335834205</v>
      </c>
      <c r="F231" s="385">
        <f t="shared" si="78"/>
        <v>47.57349052481289</v>
      </c>
      <c r="G231" s="110">
        <f t="shared" si="76"/>
        <v>0.88118525877295362</v>
      </c>
      <c r="H231" s="414" t="b">
        <f>Wh_hp&gt;='2022'!Maxi_hp</f>
        <v>0</v>
      </c>
      <c r="I231" s="390">
        <f>IF(H231,Wh_hp,'2022'!Maxi_hp)</f>
        <v>53.36011340472448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4.0761301921796944E-2</v>
      </c>
      <c r="M231" s="959"/>
      <c r="N231" s="959"/>
      <c r="O231" s="48">
        <f>IF(t&lt;Tnet,'2022'!Resal+('2022'!Salim-'2022'!Resal)*(1-EXP(('2022'!Tnet-t)/('2022'!Tau_j))),Resal+(Salim-Resal)*(1-EXP((Tnet-t)/(Tau_j))))*Salcycl</f>
        <v>0.11784563136798518</v>
      </c>
      <c r="P231" s="169">
        <f>(INDEX(Models!$BJ231:$BT231,,T231)*(1-R231)+INDEX(Models!$BJ231:$BT231,,T231+1)*R231-ERP_i)*Q231*Ramure*Pc/MaxiM</f>
        <v>3.283350294194051E-3</v>
      </c>
      <c r="Q231" s="305">
        <f t="shared" si="80"/>
        <v>0.7</v>
      </c>
      <c r="R231" s="177">
        <f t="shared" si="81"/>
        <v>0.9546198518059279</v>
      </c>
      <c r="S231" s="921">
        <f t="shared" si="82"/>
        <v>0</v>
      </c>
      <c r="T231" s="176">
        <f t="shared" si="83"/>
        <v>6</v>
      </c>
      <c r="U231" s="251">
        <f t="shared" si="84"/>
        <v>0.9546198518059279</v>
      </c>
      <c r="V231" s="383">
        <f t="shared" si="85"/>
        <v>45.534522552639778</v>
      </c>
      <c r="W231" s="402">
        <f t="shared" si="86"/>
        <v>40.146692375123358</v>
      </c>
      <c r="X231" s="157">
        <f t="shared" si="87"/>
        <v>45143</v>
      </c>
      <c r="Y231" s="385">
        <f t="shared" si="88"/>
        <v>38.444293819626381</v>
      </c>
      <c r="Z231" s="385">
        <f t="shared" si="89"/>
        <v>40.07792210285929</v>
      </c>
      <c r="AA231" s="386">
        <f t="shared" si="90"/>
        <v>47.443693335834205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0.15525290539325595</v>
      </c>
      <c r="AD231" s="231">
        <f>(INDEX(Models!$BJ231:$BT231,,AH231)*(1-AF231)+INDEX(Models!$BJ231:$BT231,,AH231+1)*AF231-ERP_i)*AE231*Ramure*Pc/MaxiM</f>
        <v>3.283350294194051E-3</v>
      </c>
      <c r="AE231" s="305">
        <f t="shared" si="92"/>
        <v>0.7</v>
      </c>
      <c r="AF231" s="177">
        <f t="shared" si="93"/>
        <v>0.9546198518059279</v>
      </c>
      <c r="AG231" s="921">
        <f t="shared" si="99"/>
        <v>0</v>
      </c>
      <c r="AH231" s="176">
        <f t="shared" si="94"/>
        <v>6</v>
      </c>
      <c r="AI231" s="225">
        <f t="shared" si="95"/>
        <v>0.9546198518059279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42.447347772501324</v>
      </c>
      <c r="C232" s="955"/>
      <c r="D232" s="393">
        <f t="shared" si="77"/>
        <v>44.252048612887108</v>
      </c>
      <c r="E232" s="385">
        <f t="shared" si="75"/>
        <v>50.166052713264008</v>
      </c>
      <c r="F232" s="385">
        <f t="shared" si="78"/>
        <v>50.309710751949076</v>
      </c>
      <c r="G232" s="110">
        <f t="shared" si="76"/>
        <v>0.93374494477571235</v>
      </c>
      <c r="H232" s="414" t="b">
        <f>Wh_hp&gt;='2022'!Maxi_hp</f>
        <v>0</v>
      </c>
      <c r="I232" s="390">
        <f>IF(H232,Wh_hp,'2022'!Maxi_hp)</f>
        <v>54.203152791652954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4.0782311711106134E-2</v>
      </c>
      <c r="M232" s="959"/>
      <c r="N232" s="959"/>
      <c r="O232" s="48">
        <f>IF(t&lt;Tnet,'2022'!Resal+('2022'!Salim-'2022'!Resal)*(1-EXP(('2022'!Tnet-t)/('2022'!Tau_j))),Resal+(Salim-Resal)*(1-EXP((Tnet-t)/(Tau_j))))*Salcycl</f>
        <v>0.11788856767702652</v>
      </c>
      <c r="P232" s="169">
        <f>(INDEX(Models!$BJ232:$BT232,,T232)*(1-R232)+INDEX(Models!$BJ232:$BT232,,T232+1)*R232-ERP_i)*Q232*Ramure*Pc/MaxiM</f>
        <v>3.1526150906325814E-3</v>
      </c>
      <c r="Q232" s="305">
        <f t="shared" si="80"/>
        <v>0.7</v>
      </c>
      <c r="R232" s="177">
        <f t="shared" si="81"/>
        <v>0.95629426911545945</v>
      </c>
      <c r="S232" s="921">
        <f t="shared" si="82"/>
        <v>0</v>
      </c>
      <c r="T232" s="176">
        <f t="shared" si="83"/>
        <v>6</v>
      </c>
      <c r="U232" s="251">
        <f t="shared" si="84"/>
        <v>0.95629426911545945</v>
      </c>
      <c r="V232" s="383">
        <f t="shared" si="85"/>
        <v>45.445706573911551</v>
      </c>
      <c r="W232" s="402">
        <f t="shared" si="86"/>
        <v>42.447347772501324</v>
      </c>
      <c r="X232" s="157">
        <f t="shared" si="87"/>
        <v>45144</v>
      </c>
      <c r="Y232" s="385">
        <f t="shared" si="88"/>
        <v>40.648989840477071</v>
      </c>
      <c r="Z232" s="385">
        <f t="shared" si="89"/>
        <v>42.377231296671575</v>
      </c>
      <c r="AA232" s="386">
        <f t="shared" si="90"/>
        <v>50.166052713264008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0.15526079879378377</v>
      </c>
      <c r="AD232" s="231">
        <f>(INDEX(Models!$BJ232:$BT232,,AH232)*(1-AF232)+INDEX(Models!$BJ232:$BT232,,AH232+1)*AF232-ERP_i)*AE232*Ramure*Pc/MaxiM</f>
        <v>3.1526150906325814E-3</v>
      </c>
      <c r="AE232" s="305">
        <f t="shared" si="92"/>
        <v>0.7</v>
      </c>
      <c r="AF232" s="177">
        <f t="shared" si="93"/>
        <v>0.95629426911545945</v>
      </c>
      <c r="AG232" s="921">
        <f t="shared" si="99"/>
        <v>0</v>
      </c>
      <c r="AH232" s="176">
        <f t="shared" si="94"/>
        <v>6</v>
      </c>
      <c r="AI232" s="225">
        <f t="shared" si="95"/>
        <v>0.95629426911545945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45.287828251196473</v>
      </c>
      <c r="C233" s="955"/>
      <c r="D233" s="393">
        <f t="shared" si="77"/>
        <v>47.214329703800722</v>
      </c>
      <c r="E233" s="385">
        <f t="shared" ref="E233:E296" si="100">Wh_pvt/(1-Psa)</f>
        <v>53.5268099410197</v>
      </c>
      <c r="F233" s="385">
        <f t="shared" si="78"/>
        <v>53.688763034181896</v>
      </c>
      <c r="G233" s="110">
        <f t="shared" ref="G233:G296" si="101">+Wh_hp/MaxiM</f>
        <v>0.99848913112804283</v>
      </c>
      <c r="H233" s="414" t="b">
        <f>Wh_hp&gt;='2022'!Maxi_hp</f>
        <v>0</v>
      </c>
      <c r="I233" s="390">
        <f>IF(H233,Wh_hp,'2022'!Maxi_hp)</f>
        <v>53.68882696502358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4.0803321040246976E-2</v>
      </c>
      <c r="M233" s="959"/>
      <c r="N233" s="959"/>
      <c r="O233" s="48">
        <f>IF(t&lt;Tnet,'2022'!Resal+('2022'!Salim-'2022'!Resal)*(1-EXP(('2022'!Tnet-t)/('2022'!Tau_j))),Resal+(Salim-Resal)*(1-EXP((Tnet-t)/(Tau_j))))*Salcycl</f>
        <v>0.1179311870850251</v>
      </c>
      <c r="P233" s="169">
        <f>(INDEX(Models!$BJ233:$BT233,,T233)*(1-R233)+INDEX(Models!$BJ233:$BT233,,T233+1)*R233-ERP_i)*Q233*Ramure*Pc/MaxiM</f>
        <v>3.0230142250212808E-3</v>
      </c>
      <c r="Q233" s="305">
        <f t="shared" si="80"/>
        <v>0.7</v>
      </c>
      <c r="R233" s="177">
        <f t="shared" si="81"/>
        <v>0.95791289299502291</v>
      </c>
      <c r="S233" s="921">
        <f t="shared" si="82"/>
        <v>0</v>
      </c>
      <c r="T233" s="176">
        <f t="shared" si="83"/>
        <v>6</v>
      </c>
      <c r="U233" s="251">
        <f t="shared" si="84"/>
        <v>0.95791289299502291</v>
      </c>
      <c r="V233" s="383">
        <f t="shared" si="85"/>
        <v>45.356060197853324</v>
      </c>
      <c r="W233" s="402">
        <f t="shared" si="86"/>
        <v>45.287828251196473</v>
      </c>
      <c r="X233" s="157">
        <f t="shared" si="87"/>
        <v>45145</v>
      </c>
      <c r="Y233" s="385">
        <f t="shared" si="88"/>
        <v>43.370837519195959</v>
      </c>
      <c r="Z233" s="385">
        <f t="shared" si="89"/>
        <v>45.215791996101935</v>
      </c>
      <c r="AA233" s="386">
        <f t="shared" si="90"/>
        <v>53.5268099410197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0.15526832168917845</v>
      </c>
      <c r="AD233" s="231">
        <f>(INDEX(Models!$BJ233:$BT233,,AH233)*(1-AF233)+INDEX(Models!$BJ233:$BT233,,AH233+1)*AF233-ERP_i)*AE233*Ramure*Pc/MaxiM</f>
        <v>3.0230142250212808E-3</v>
      </c>
      <c r="AE233" s="305">
        <f t="shared" si="92"/>
        <v>0.7</v>
      </c>
      <c r="AF233" s="177">
        <f t="shared" si="93"/>
        <v>0.95791289299502291</v>
      </c>
      <c r="AG233" s="921">
        <f t="shared" si="99"/>
        <v>0</v>
      </c>
      <c r="AH233" s="176">
        <f t="shared" si="94"/>
        <v>6</v>
      </c>
      <c r="AI233" s="225">
        <f t="shared" si="95"/>
        <v>0.95791289299502291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45.846388439621521</v>
      </c>
      <c r="C234" s="955"/>
      <c r="D234" s="393">
        <f t="shared" si="77"/>
        <v>47.797697407486268</v>
      </c>
      <c r="E234" s="385">
        <f t="shared" si="100"/>
        <v>54.190772119326382</v>
      </c>
      <c r="F234" s="385">
        <f t="shared" si="78"/>
        <v>54.348181539187031</v>
      </c>
      <c r="G234" s="110">
        <f t="shared" si="101"/>
        <v>1.0128309621752032</v>
      </c>
      <c r="H234" s="414" t="b">
        <f>Wh_hp&gt;='2022'!Maxi_hp</f>
        <v>1</v>
      </c>
      <c r="I234" s="390">
        <f>IF(H234,Wh_hp,'2022'!Maxi_hp)</f>
        <v>54.348181539187031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4.0824329909229573E-2</v>
      </c>
      <c r="M234" s="959"/>
      <c r="N234" s="959"/>
      <c r="O234" s="48">
        <f>IF(t&lt;Tnet,'2022'!Resal+('2022'!Salim-'2022'!Resal)*(1-EXP(('2022'!Tnet-t)/('2022'!Tau_j))),Resal+(Salim-Resal)*(1-EXP((Tnet-t)/(Tau_j))))*Salcycl</f>
        <v>0.11797349367458289</v>
      </c>
      <c r="P234" s="169">
        <f>(INDEX(Models!$BJ234:$BT234,,T234)*(1-R234)+INDEX(Models!$BJ234:$BT234,,T234+1)*R234-ERP_i)*Q234*Ramure*Pc/MaxiM</f>
        <v>2.8963143826100739E-3</v>
      </c>
      <c r="Q234" s="305">
        <f t="shared" si="80"/>
        <v>0.7</v>
      </c>
      <c r="R234" s="177">
        <f t="shared" si="81"/>
        <v>0.95947716692794449</v>
      </c>
      <c r="S234" s="921">
        <f t="shared" si="82"/>
        <v>0</v>
      </c>
      <c r="T234" s="176">
        <f t="shared" si="83"/>
        <v>6</v>
      </c>
      <c r="U234" s="251">
        <f t="shared" si="84"/>
        <v>0.95947716692794449</v>
      </c>
      <c r="V234" s="383">
        <f t="shared" si="85"/>
        <v>45.265587399855612</v>
      </c>
      <c r="W234" s="402">
        <f t="shared" si="86"/>
        <v>45.846388439621521</v>
      </c>
      <c r="X234" s="157">
        <f t="shared" si="87"/>
        <v>45146</v>
      </c>
      <c r="Y234" s="385">
        <f t="shared" si="88"/>
        <v>43.907488269682048</v>
      </c>
      <c r="Z234" s="385">
        <f t="shared" si="89"/>
        <v>45.776273980684806</v>
      </c>
      <c r="AA234" s="386">
        <f t="shared" si="90"/>
        <v>54.190772119326382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0.15527547974612926</v>
      </c>
      <c r="AD234" s="231">
        <f>(INDEX(Models!$BJ234:$BT234,,AH234)*(1-AF234)+INDEX(Models!$BJ234:$BT234,,AH234+1)*AF234-ERP_i)*AE234*Ramure*Pc/MaxiM</f>
        <v>2.8963143826100739E-3</v>
      </c>
      <c r="AE234" s="305">
        <f t="shared" si="92"/>
        <v>0.7</v>
      </c>
      <c r="AF234" s="177">
        <f t="shared" si="93"/>
        <v>0.95947716692794449</v>
      </c>
      <c r="AG234" s="921">
        <f t="shared" si="99"/>
        <v>0</v>
      </c>
      <c r="AH234" s="176">
        <f t="shared" si="94"/>
        <v>6</v>
      </c>
      <c r="AI234" s="225">
        <f t="shared" si="95"/>
        <v>0.95947716692794449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44.17792104019275</v>
      </c>
      <c r="C235" s="955"/>
      <c r="D235" s="393">
        <f t="shared" si="77"/>
        <v>46.059225696431568</v>
      </c>
      <c r="E235" s="385">
        <f t="shared" si="100"/>
        <v>52.222261436541665</v>
      </c>
      <c r="F235" s="385">
        <f t="shared" si="78"/>
        <v>52.362859092596302</v>
      </c>
      <c r="G235" s="110">
        <f t="shared" si="101"/>
        <v>0.97785654468774474</v>
      </c>
      <c r="H235" s="414" t="b">
        <f>Wh_hp&gt;='2022'!Maxi_hp</f>
        <v>0</v>
      </c>
      <c r="I235" s="390">
        <f>IF(H235,Wh_hp,'2022'!Maxi_hp)</f>
        <v>54.505372378920782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4.0845338318064028E-2</v>
      </c>
      <c r="M235" s="959"/>
      <c r="N235" s="959"/>
      <c r="O235" s="48">
        <f>IF(t&lt;Tnet,'2022'!Resal+('2022'!Salim-'2022'!Resal)*(1-EXP(('2022'!Tnet-t)/('2022'!Tau_j))),Resal+(Salim-Resal)*(1-EXP((Tnet-t)/(Tau_j))))*Salcycl</f>
        <v>0.1180154893828021</v>
      </c>
      <c r="P235" s="169">
        <f>(INDEX(Models!$BJ235:$BT235,,T235)*(1-R235)+INDEX(Models!$BJ235:$BT235,,T235+1)*R235-ERP_i)*Q235*Ramure*Pc/MaxiM</f>
        <v>2.7724268365027045E-3</v>
      </c>
      <c r="Q235" s="305">
        <f t="shared" si="80"/>
        <v>0.7</v>
      </c>
      <c r="R235" s="177">
        <f t="shared" si="81"/>
        <v>0.96098852779657284</v>
      </c>
      <c r="S235" s="921">
        <f t="shared" si="82"/>
        <v>0</v>
      </c>
      <c r="T235" s="176">
        <f t="shared" si="83"/>
        <v>6</v>
      </c>
      <c r="U235" s="251">
        <f t="shared" si="84"/>
        <v>0.96098852779657284</v>
      </c>
      <c r="V235" s="383">
        <f t="shared" si="85"/>
        <v>45.17436775831483</v>
      </c>
      <c r="W235" s="402">
        <f t="shared" si="86"/>
        <v>44.17792104019275</v>
      </c>
      <c r="X235" s="157">
        <f t="shared" si="87"/>
        <v>45147</v>
      </c>
      <c r="Y235" s="385">
        <f t="shared" si="88"/>
        <v>42.311256571635901</v>
      </c>
      <c r="Z235" s="385">
        <f t="shared" si="89"/>
        <v>44.113069833222248</v>
      </c>
      <c r="AA235" s="386">
        <f t="shared" si="90"/>
        <v>52.222261436541665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0.15528227580058687</v>
      </c>
      <c r="AD235" s="231">
        <f>(INDEX(Models!$BJ235:$BT235,,AH235)*(1-AF235)+INDEX(Models!$BJ235:$BT235,,AH235+1)*AF235-ERP_i)*AE235*Ramure*Pc/MaxiM</f>
        <v>2.7724268365027045E-3</v>
      </c>
      <c r="AE235" s="305">
        <f t="shared" si="92"/>
        <v>0.7</v>
      </c>
      <c r="AF235" s="177">
        <f t="shared" si="93"/>
        <v>0.96098852779657284</v>
      </c>
      <c r="AG235" s="921">
        <f t="shared" si="99"/>
        <v>0</v>
      </c>
      <c r="AH235" s="176">
        <f t="shared" si="94"/>
        <v>6</v>
      </c>
      <c r="AI235" s="225">
        <f t="shared" si="95"/>
        <v>0.96098852779657284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42.915933911955008</v>
      </c>
      <c r="C236" s="955"/>
      <c r="D236" s="393">
        <f t="shared" si="77"/>
        <v>44.74447721119278</v>
      </c>
      <c r="E236" s="385">
        <f t="shared" si="100"/>
        <v>50.733988529451487</v>
      </c>
      <c r="F236" s="385">
        <f t="shared" si="78"/>
        <v>50.8595783846662</v>
      </c>
      <c r="G236" s="110">
        <f t="shared" si="101"/>
        <v>0.95176899135787363</v>
      </c>
      <c r="H236" s="414" t="b">
        <f>Wh_hp&gt;='2022'!Maxi_hp</f>
        <v>0</v>
      </c>
      <c r="I236" s="390">
        <f>IF(H236,Wh_hp,'2022'!Maxi_hp)</f>
        <v>52.854099421104479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4.0866346266760334E-2</v>
      </c>
      <c r="M236" s="959"/>
      <c r="N236" s="959"/>
      <c r="O236" s="48">
        <f>IF(t&lt;Tnet,'2022'!Resal+('2022'!Salim-'2022'!Resal)*(1-EXP(('2022'!Tnet-t)/('2022'!Tau_j))),Resal+(Salim-Resal)*(1-EXP((Tnet-t)/(Tau_j))))*Salcycl</f>
        <v>0.11805717413251958</v>
      </c>
      <c r="P236" s="169">
        <f>(INDEX(Models!$BJ236:$BT236,,T236)*(1-R236)+INDEX(Models!$BJ236:$BT236,,T236+1)*R236-ERP_i)*Q236*Ramure*Pc/MaxiM</f>
        <v>2.6513704930409554E-3</v>
      </c>
      <c r="Q236" s="305">
        <f t="shared" si="80"/>
        <v>0.7</v>
      </c>
      <c r="R236" s="177">
        <f t="shared" si="81"/>
        <v>0.96244840326246994</v>
      </c>
      <c r="S236" s="921">
        <f t="shared" si="82"/>
        <v>0</v>
      </c>
      <c r="T236" s="176">
        <f t="shared" si="83"/>
        <v>6</v>
      </c>
      <c r="U236" s="251">
        <f t="shared" si="84"/>
        <v>0.96244840326246994</v>
      </c>
      <c r="V236" s="383">
        <f t="shared" si="85"/>
        <v>45.082476081812807</v>
      </c>
      <c r="W236" s="402">
        <f t="shared" si="86"/>
        <v>42.915933911955008</v>
      </c>
      <c r="X236" s="157">
        <f t="shared" si="87"/>
        <v>45148</v>
      </c>
      <c r="Y236" s="385">
        <f t="shared" si="88"/>
        <v>41.104222214371994</v>
      </c>
      <c r="Z236" s="385">
        <f t="shared" si="89"/>
        <v>42.855572895791809</v>
      </c>
      <c r="AA236" s="386">
        <f t="shared" si="90"/>
        <v>50.733988529451487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0.15528871003481604</v>
      </c>
      <c r="AD236" s="231">
        <f>(INDEX(Models!$BJ236:$BT236,,AH236)*(1-AF236)+INDEX(Models!$BJ236:$BT236,,AH236+1)*AF236-ERP_i)*AE236*Ramure*Pc/MaxiM</f>
        <v>2.6513704930409554E-3</v>
      </c>
      <c r="AE236" s="305">
        <f t="shared" si="92"/>
        <v>0.7</v>
      </c>
      <c r="AF236" s="177">
        <f t="shared" si="93"/>
        <v>0.96244840326246994</v>
      </c>
      <c r="AG236" s="921">
        <f t="shared" si="99"/>
        <v>0</v>
      </c>
      <c r="AH236" s="176">
        <f t="shared" si="94"/>
        <v>6</v>
      </c>
      <c r="AI236" s="225">
        <f t="shared" si="95"/>
        <v>0.96244840326246994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40.611786194612733</v>
      </c>
      <c r="C237" s="955"/>
      <c r="D237" s="393">
        <f t="shared" si="77"/>
        <v>42.343082800153802</v>
      </c>
      <c r="E237" s="385">
        <f t="shared" si="100"/>
        <v>48.013394928068486</v>
      </c>
      <c r="F237" s="385">
        <f t="shared" si="78"/>
        <v>48.118341046743112</v>
      </c>
      <c r="G237" s="110">
        <f t="shared" si="101"/>
        <v>0.9023664010560507</v>
      </c>
      <c r="H237" s="414" t="b">
        <f>Wh_hp&gt;='2022'!Maxi_hp</f>
        <v>0</v>
      </c>
      <c r="I237" s="390">
        <f>IF(H237,Wh_hp,'2022'!Maxi_hp)</f>
        <v>52.879735063277003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4.0887353755328815E-2</v>
      </c>
      <c r="M237" s="959"/>
      <c r="N237" s="959"/>
      <c r="O237" s="48">
        <f>IF(t&lt;Tnet,'2022'!Resal+('2022'!Salim-'2022'!Resal)*(1-EXP(('2022'!Tnet-t)/('2022'!Tau_j))),Resal+(Salim-Resal)*(1-EXP((Tnet-t)/(Tau_j))))*Salcycl</f>
        <v>0.11809854596638479</v>
      </c>
      <c r="P237" s="169">
        <f>(INDEX(Models!$BJ237:$BT237,,T237)*(1-R237)+INDEX(Models!$BJ237:$BT237,,T237+1)*R237-ERP_i)*Q237*Ramure*Pc/MaxiM</f>
        <v>2.5331645427349855E-3</v>
      </c>
      <c r="Q237" s="305">
        <f t="shared" si="80"/>
        <v>0.7</v>
      </c>
      <c r="R237" s="177">
        <f t="shared" si="81"/>
        <v>0.96385820936881239</v>
      </c>
      <c r="S237" s="921">
        <f t="shared" si="82"/>
        <v>0</v>
      </c>
      <c r="T237" s="176">
        <f t="shared" si="83"/>
        <v>6</v>
      </c>
      <c r="U237" s="251">
        <f t="shared" si="84"/>
        <v>0.96385820936881239</v>
      </c>
      <c r="V237" s="383">
        <f t="shared" si="85"/>
        <v>44.989987292661922</v>
      </c>
      <c r="W237" s="402">
        <f t="shared" si="86"/>
        <v>40.611786194612733</v>
      </c>
      <c r="X237" s="157">
        <f t="shared" si="87"/>
        <v>45149</v>
      </c>
      <c r="Y237" s="385">
        <f t="shared" si="88"/>
        <v>38.898890152408597</v>
      </c>
      <c r="Z237" s="385">
        <f t="shared" si="89"/>
        <v>40.557165318082383</v>
      </c>
      <c r="AA237" s="386">
        <f t="shared" si="90"/>
        <v>48.013394928068486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0.15529478015784329</v>
      </c>
      <c r="AD237" s="231">
        <f>(INDEX(Models!$BJ237:$BT237,,AH237)*(1-AF237)+INDEX(Models!$BJ237:$BT237,,AH237+1)*AF237-ERP_i)*AE237*Ramure*Pc/MaxiM</f>
        <v>2.5331645427349855E-3</v>
      </c>
      <c r="AE237" s="305">
        <f t="shared" si="92"/>
        <v>0.7</v>
      </c>
      <c r="AF237" s="177">
        <f t="shared" si="93"/>
        <v>0.96385820936881239</v>
      </c>
      <c r="AG237" s="921">
        <f t="shared" si="99"/>
        <v>0</v>
      </c>
      <c r="AH237" s="176">
        <f t="shared" si="94"/>
        <v>6</v>
      </c>
      <c r="AI237" s="225">
        <f t="shared" si="95"/>
        <v>0.96385820936881239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41.887247509383094</v>
      </c>
      <c r="C238" s="955"/>
      <c r="D238" s="393">
        <f t="shared" si="77"/>
        <v>43.673874108227835</v>
      </c>
      <c r="E238" s="385">
        <f t="shared" si="100"/>
        <v>49.524702738390374</v>
      </c>
      <c r="F238" s="385">
        <f t="shared" si="78"/>
        <v>49.633214956855198</v>
      </c>
      <c r="G238" s="110">
        <f t="shared" si="101"/>
        <v>0.9327471640131344</v>
      </c>
      <c r="H238" s="414" t="b">
        <f>Wh_hp&gt;='2022'!Maxi_hp</f>
        <v>0</v>
      </c>
      <c r="I238" s="390">
        <f>IF(H238,Wh_hp,'2022'!Maxi_hp)</f>
        <v>51.227825043986797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4.0908360783779241E-2</v>
      </c>
      <c r="M238" s="959"/>
      <c r="N238" s="959"/>
      <c r="O238" s="48">
        <f>IF(t&lt;Tnet,'2022'!Resal+('2022'!Salim-'2022'!Resal)*(1-EXP(('2022'!Tnet-t)/('2022'!Tau_j))),Resal+(Salim-Resal)*(1-EXP((Tnet-t)/(Tau_j))))*Salcycl</f>
        <v>0.11813960118183842</v>
      </c>
      <c r="P238" s="169">
        <f>(INDEX(Models!$BJ238:$BT238,,T238)*(1-R238)+INDEX(Models!$BJ238:$BT238,,T238+1)*R238-ERP_i)*Q238*Ramure*Pc/MaxiM</f>
        <v>2.4178285269759723E-3</v>
      </c>
      <c r="Q238" s="305">
        <f t="shared" si="80"/>
        <v>0.7</v>
      </c>
      <c r="R238" s="177">
        <f t="shared" si="81"/>
        <v>0.96521934835637846</v>
      </c>
      <c r="S238" s="921">
        <f t="shared" si="82"/>
        <v>0</v>
      </c>
      <c r="T238" s="176">
        <f t="shared" si="83"/>
        <v>6</v>
      </c>
      <c r="U238" s="251">
        <f t="shared" si="84"/>
        <v>0.96521934835637846</v>
      </c>
      <c r="V238" s="383">
        <f t="shared" si="85"/>
        <v>44.896976414794075</v>
      </c>
      <c r="W238" s="402">
        <f t="shared" si="86"/>
        <v>41.887247509383094</v>
      </c>
      <c r="X238" s="157">
        <f t="shared" si="87"/>
        <v>45150</v>
      </c>
      <c r="Y238" s="385">
        <f t="shared" si="88"/>
        <v>40.122152946487773</v>
      </c>
      <c r="Z238" s="385">
        <f t="shared" si="89"/>
        <v>41.83349255267828</v>
      </c>
      <c r="AA238" s="386">
        <f t="shared" si="90"/>
        <v>49.524702738390374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0.15530048158673859</v>
      </c>
      <c r="AD238" s="231">
        <f>(INDEX(Models!$BJ238:$BT238,,AH238)*(1-AF238)+INDEX(Models!$BJ238:$BT238,,AH238+1)*AF238-ERP_i)*AE238*Ramure*Pc/MaxiM</f>
        <v>2.4178285269759723E-3</v>
      </c>
      <c r="AE238" s="305">
        <f t="shared" si="92"/>
        <v>0.7</v>
      </c>
      <c r="AF238" s="177">
        <f t="shared" si="93"/>
        <v>0.96521934835637846</v>
      </c>
      <c r="AG238" s="921">
        <f t="shared" si="99"/>
        <v>0</v>
      </c>
      <c r="AH238" s="176">
        <f t="shared" si="94"/>
        <v>6</v>
      </c>
      <c r="AI238" s="225">
        <f t="shared" si="95"/>
        <v>0.96521934835637846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32.883388341605368</v>
      </c>
      <c r="C239" s="955"/>
      <c r="D239" s="393">
        <f t="shared" si="77"/>
        <v>34.286722189395277</v>
      </c>
      <c r="E239" s="385">
        <f t="shared" si="100"/>
        <v>38.881784484356601</v>
      </c>
      <c r="F239" s="385">
        <f t="shared" si="78"/>
        <v>38.937432347393681</v>
      </c>
      <c r="G239" s="110">
        <f t="shared" si="101"/>
        <v>0.73330254034986242</v>
      </c>
      <c r="H239" s="414" t="b">
        <f>Wh_hp&gt;='2022'!Maxi_hp</f>
        <v>0</v>
      </c>
      <c r="I239" s="390">
        <f>IF(H239,Wh_hp,'2022'!Maxi_hp)</f>
        <v>48.536022746732414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4.0929367352121937E-2</v>
      </c>
      <c r="M239" s="959"/>
      <c r="N239" s="959"/>
      <c r="O239" s="48">
        <f>IF(t&lt;Tnet,'2022'!Resal+('2022'!Salim-'2022'!Resal)*(1-EXP(('2022'!Tnet-t)/('2022'!Tau_j))),Resal+(Salim-Resal)*(1-EXP((Tnet-t)/(Tau_j))))*Salcycl</f>
        <v>0.1181803344651032</v>
      </c>
      <c r="P239" s="169">
        <f>(INDEX(Models!$BJ239:$BT239,,T239)*(1-R239)+INDEX(Models!$BJ239:$BT239,,T239+1)*R239-ERP_i)*Q239*Ramure*Pc/MaxiM</f>
        <v>2.3053823913621162E-3</v>
      </c>
      <c r="Q239" s="305">
        <f t="shared" si="80"/>
        <v>0.7</v>
      </c>
      <c r="R239" s="177">
        <f t="shared" si="81"/>
        <v>0.96653320668412213</v>
      </c>
      <c r="S239" s="921">
        <f t="shared" si="82"/>
        <v>0</v>
      </c>
      <c r="T239" s="176">
        <f t="shared" si="83"/>
        <v>6</v>
      </c>
      <c r="U239" s="251">
        <f t="shared" si="84"/>
        <v>0.96653320668412213</v>
      </c>
      <c r="V239" s="383">
        <f t="shared" si="85"/>
        <v>44.803518562593915</v>
      </c>
      <c r="W239" s="402">
        <f t="shared" si="86"/>
        <v>32.883388341605368</v>
      </c>
      <c r="X239" s="157">
        <f t="shared" si="87"/>
        <v>45151</v>
      </c>
      <c r="Y239" s="385">
        <f t="shared" si="88"/>
        <v>31.498965427218128</v>
      </c>
      <c r="Z239" s="385">
        <f t="shared" si="89"/>
        <v>32.843217543063844</v>
      </c>
      <c r="AA239" s="386">
        <f t="shared" si="90"/>
        <v>38.881784484356601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0.15530580762624902</v>
      </c>
      <c r="AD239" s="231">
        <f>(INDEX(Models!$BJ239:$BT239,,AH239)*(1-AF239)+INDEX(Models!$BJ239:$BT239,,AH239+1)*AF239-ERP_i)*AE239*Ramure*Pc/MaxiM</f>
        <v>2.3053823913621162E-3</v>
      </c>
      <c r="AE239" s="305">
        <f t="shared" si="92"/>
        <v>0.7</v>
      </c>
      <c r="AF239" s="177">
        <f t="shared" si="93"/>
        <v>0.96653320668412213</v>
      </c>
      <c r="AG239" s="921">
        <f t="shared" si="99"/>
        <v>0</v>
      </c>
      <c r="AH239" s="176">
        <f t="shared" si="94"/>
        <v>6</v>
      </c>
      <c r="AI239" s="225">
        <f t="shared" si="95"/>
        <v>0.96653320668412213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30.12313414031701</v>
      </c>
      <c r="C240" s="955"/>
      <c r="D240" s="393">
        <f t="shared" si="77"/>
        <v>31.409359126706416</v>
      </c>
      <c r="E240" s="385">
        <f t="shared" si="100"/>
        <v>35.620433045661692</v>
      </c>
      <c r="F240" s="385">
        <f t="shared" si="78"/>
        <v>35.662303895986838</v>
      </c>
      <c r="G240" s="110">
        <f t="shared" si="101"/>
        <v>0.67306036463640784</v>
      </c>
      <c r="H240" s="414" t="b">
        <f>Wh_hp&gt;='2022'!Maxi_hp</f>
        <v>0</v>
      </c>
      <c r="I240" s="390">
        <f>IF(H240,Wh_hp,'2022'!Maxi_hp)</f>
        <v>53.538915966622881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4.0950373460366785E-2</v>
      </c>
      <c r="M240" s="959"/>
      <c r="N240" s="959"/>
      <c r="O240" s="48">
        <f>IF(t&lt;Tnet,'2022'!Resal+('2022'!Salim-'2022'!Resal)*(1-EXP(('2022'!Tnet-t)/('2022'!Tau_j))),Resal+(Salim-Resal)*(1-EXP((Tnet-t)/(Tau_j))))*Salcycl</f>
        <v>0.11822073902237851</v>
      </c>
      <c r="P240" s="169">
        <f>(INDEX(Models!$BJ240:$BT240,,T240)*(1-R240)+INDEX(Models!$BJ240:$BT240,,T240+1)*R240-ERP_i)*Q240*Ramure*Pc/MaxiM</f>
        <v>2.1989596901999444E-3</v>
      </c>
      <c r="Q240" s="305">
        <f t="shared" si="80"/>
        <v>0.7</v>
      </c>
      <c r="R240" s="177">
        <f t="shared" si="81"/>
        <v>0.96780115324507099</v>
      </c>
      <c r="S240" s="921">
        <f t="shared" si="82"/>
        <v>0</v>
      </c>
      <c r="T240" s="176">
        <f t="shared" si="83"/>
        <v>6</v>
      </c>
      <c r="U240" s="251">
        <f t="shared" si="84"/>
        <v>0.96780115324507099</v>
      </c>
      <c r="V240" s="383">
        <f t="shared" si="85"/>
        <v>44.709549433982403</v>
      </c>
      <c r="W240" s="402">
        <f t="shared" si="86"/>
        <v>30.12313414031701</v>
      </c>
      <c r="X240" s="157">
        <f t="shared" si="87"/>
        <v>45152</v>
      </c>
      <c r="Y240" s="385">
        <f t="shared" si="88"/>
        <v>28.856073987422683</v>
      </c>
      <c r="Z240" s="385">
        <f t="shared" si="89"/>
        <v>30.088196886681327</v>
      </c>
      <c r="AA240" s="386">
        <f t="shared" si="90"/>
        <v>35.620433045661692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0.15531074964441369</v>
      </c>
      <c r="AD240" s="231">
        <f>(INDEX(Models!$BJ240:$BT240,,AH240)*(1-AF240)+INDEX(Models!$BJ240:$BT240,,AH240+1)*AF240-ERP_i)*AE240*Ramure*Pc/MaxiM</f>
        <v>2.1989596901999444E-3</v>
      </c>
      <c r="AE240" s="305">
        <f t="shared" si="92"/>
        <v>0.7</v>
      </c>
      <c r="AF240" s="177">
        <f t="shared" si="93"/>
        <v>0.96780115324507099</v>
      </c>
      <c r="AG240" s="921">
        <f t="shared" si="99"/>
        <v>0</v>
      </c>
      <c r="AH240" s="176">
        <f t="shared" si="94"/>
        <v>6</v>
      </c>
      <c r="AI240" s="225">
        <f t="shared" si="95"/>
        <v>0.96780115324507099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34.165722740576257</v>
      </c>
      <c r="C241" s="955"/>
      <c r="D241" s="393">
        <f t="shared" si="77"/>
        <v>35.625342139233673</v>
      </c>
      <c r="E241" s="385">
        <f t="shared" si="100"/>
        <v>40.403491656263938</v>
      </c>
      <c r="F241" s="385">
        <f t="shared" si="78"/>
        <v>40.459946422227993</v>
      </c>
      <c r="G241" s="110">
        <f t="shared" si="101"/>
        <v>0.76524825225952253</v>
      </c>
      <c r="H241" s="414" t="b">
        <f>Wh_hp&gt;='2022'!Maxi_hp</f>
        <v>0</v>
      </c>
      <c r="I241" s="390">
        <f>IF(H241,Wh_hp,'2022'!Maxi_hp)</f>
        <v>53.803189402990363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4.0971379108523998E-2</v>
      </c>
      <c r="M241" s="959"/>
      <c r="N241" s="959"/>
      <c r="O241" s="48">
        <f>IF(t&lt;Tnet,'2022'!Resal+('2022'!Salim-'2022'!Resal)*(1-EXP(('2022'!Tnet-t)/('2022'!Tau_j))),Resal+(Salim-Resal)*(1-EXP((Tnet-t)/(Tau_j))))*Salcycl</f>
        <v>0.11826080670652843</v>
      </c>
      <c r="P241" s="169">
        <f>(INDEX(Models!$BJ241:$BT241,,T241)*(1-R241)+INDEX(Models!$BJ241:$BT241,,T241+1)*R241-ERP_i)*Q241*Ramure*Pc/MaxiM</f>
        <v>2.0969430906018619E-3</v>
      </c>
      <c r="Q241" s="305">
        <f t="shared" si="80"/>
        <v>0.7</v>
      </c>
      <c r="R241" s="177">
        <f t="shared" si="81"/>
        <v>0.96902453776811126</v>
      </c>
      <c r="S241" s="921">
        <f t="shared" si="82"/>
        <v>0</v>
      </c>
      <c r="T241" s="176">
        <f t="shared" si="83"/>
        <v>6</v>
      </c>
      <c r="U241" s="251">
        <f t="shared" si="84"/>
        <v>0.96902453776811126</v>
      </c>
      <c r="V241" s="383">
        <f t="shared" si="85"/>
        <v>44.615218458483234</v>
      </c>
      <c r="W241" s="402">
        <f t="shared" si="86"/>
        <v>34.165722740576257</v>
      </c>
      <c r="X241" s="157">
        <f t="shared" si="87"/>
        <v>45153</v>
      </c>
      <c r="Y241" s="385">
        <f t="shared" si="88"/>
        <v>32.729931454950311</v>
      </c>
      <c r="Z241" s="385">
        <f t="shared" si="89"/>
        <v>34.128211340059728</v>
      </c>
      <c r="AA241" s="386">
        <f t="shared" si="90"/>
        <v>40.403491656263938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0.1553152972419235</v>
      </c>
      <c r="AD241" s="231">
        <f>(INDEX(Models!$BJ241:$BT241,,AH241)*(1-AF241)+INDEX(Models!$BJ241:$BT241,,AH241+1)*AF241-ERP_i)*AE241*Ramure*Pc/MaxiM</f>
        <v>2.0969430906018619E-3</v>
      </c>
      <c r="AE241" s="305">
        <f t="shared" si="92"/>
        <v>0.7</v>
      </c>
      <c r="AF241" s="177">
        <f t="shared" si="93"/>
        <v>0.96902453776811126</v>
      </c>
      <c r="AG241" s="921">
        <f t="shared" si="99"/>
        <v>0</v>
      </c>
      <c r="AH241" s="176">
        <f t="shared" si="94"/>
        <v>6</v>
      </c>
      <c r="AI241" s="225">
        <f t="shared" si="95"/>
        <v>0.96902453776811126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31.644630015847667</v>
      </c>
      <c r="C242" s="955"/>
      <c r="D242" s="393">
        <f t="shared" si="77"/>
        <v>32.997266651149069</v>
      </c>
      <c r="E242" s="385">
        <f t="shared" si="100"/>
        <v>37.424618823296129</v>
      </c>
      <c r="F242" s="385">
        <f t="shared" si="78"/>
        <v>37.468580745876523</v>
      </c>
      <c r="G242" s="110">
        <f t="shared" si="101"/>
        <v>0.71019838405103231</v>
      </c>
      <c r="H242" s="414" t="b">
        <f>Wh_hp&gt;='2022'!Maxi_hp</f>
        <v>0</v>
      </c>
      <c r="I242" s="390">
        <f>IF(H242,Wh_hp,'2022'!Maxi_hp)</f>
        <v>53.769916943030935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4.0992384296603568E-2</v>
      </c>
      <c r="M242" s="959"/>
      <c r="N242" s="959"/>
      <c r="O242" s="48">
        <f>IF(t&lt;Tnet,'2022'!Resal+('2022'!Salim-'2022'!Resal)*(1-EXP(('2022'!Tnet-t)/('2022'!Tau_j))),Resal+(Salim-Resal)*(1-EXP((Tnet-t)/(Tau_j))))*Salcycl</f>
        <v>0.11830052813767376</v>
      </c>
      <c r="P242" s="169">
        <f>(INDEX(Models!$BJ242:$BT242,,T242)*(1-R242)+INDEX(Models!$BJ242:$BT242,,T242+1)*R242-ERP_i)*Q242*Ramure*Pc/MaxiM</f>
        <v>1.9993627662018309E-3</v>
      </c>
      <c r="Q242" s="305">
        <f t="shared" si="80"/>
        <v>0.7</v>
      </c>
      <c r="R242" s="177">
        <f t="shared" si="81"/>
        <v>0.97020468939613003</v>
      </c>
      <c r="S242" s="921">
        <f t="shared" si="82"/>
        <v>0</v>
      </c>
      <c r="T242" s="176">
        <f t="shared" si="83"/>
        <v>6</v>
      </c>
      <c r="U242" s="251">
        <f t="shared" si="84"/>
        <v>0.97020468939613003</v>
      </c>
      <c r="V242" s="383">
        <f t="shared" si="85"/>
        <v>44.520601003555562</v>
      </c>
      <c r="W242" s="402">
        <f t="shared" si="86"/>
        <v>31.644630015847667</v>
      </c>
      <c r="X242" s="157">
        <f t="shared" si="87"/>
        <v>45154</v>
      </c>
      <c r="Y242" s="385">
        <f t="shared" si="88"/>
        <v>30.3160030214557</v>
      </c>
      <c r="Z242" s="385">
        <f t="shared" si="89"/>
        <v>31.61184804483543</v>
      </c>
      <c r="AA242" s="386">
        <f t="shared" si="90"/>
        <v>37.424618823296129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0.15531943841315377</v>
      </c>
      <c r="AD242" s="231">
        <f>(INDEX(Models!$BJ242:$BT242,,AH242)*(1-AF242)+INDEX(Models!$BJ242:$BT242,,AH242+1)*AF242-ERP_i)*AE242*Ramure*Pc/MaxiM</f>
        <v>1.9993627662018309E-3</v>
      </c>
      <c r="AE242" s="305">
        <f t="shared" si="92"/>
        <v>0.7</v>
      </c>
      <c r="AF242" s="177">
        <f t="shared" si="93"/>
        <v>0.97020468939613003</v>
      </c>
      <c r="AG242" s="921">
        <f t="shared" si="99"/>
        <v>0</v>
      </c>
      <c r="AH242" s="176">
        <f t="shared" si="94"/>
        <v>6</v>
      </c>
      <c r="AI242" s="225">
        <f t="shared" si="95"/>
        <v>0.97020468939613003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23.10213055727597</v>
      </c>
      <c r="C243" s="955"/>
      <c r="D243" s="393">
        <f t="shared" si="77"/>
        <v>24.090149218849692</v>
      </c>
      <c r="E243" s="385">
        <f t="shared" si="100"/>
        <v>27.323623948234889</v>
      </c>
      <c r="F243" s="385">
        <f t="shared" si="78"/>
        <v>27.34000475505983</v>
      </c>
      <c r="G243" s="110">
        <f t="shared" si="101"/>
        <v>0.51933628648860952</v>
      </c>
      <c r="H243" s="414" t="b">
        <f>Wh_hp&gt;='2022'!Maxi_hp</f>
        <v>0</v>
      </c>
      <c r="I243" s="390">
        <f>IF(H243,Wh_hp,'2022'!Maxi_hp)</f>
        <v>51.890414604753857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4.1013389024615599E-2</v>
      </c>
      <c r="M243" s="959"/>
      <c r="N243" s="959"/>
      <c r="O243" s="48">
        <f>IF(t&lt;Tnet,'2022'!Resal+('2022'!Salim-'2022'!Resal)*(1-EXP(('2022'!Tnet-t)/('2022'!Tau_j))),Resal+(Salim-Resal)*(1-EXP((Tnet-t)/(Tau_j))))*Salcycl</f>
        <v>0.11833989281623386</v>
      </c>
      <c r="P243" s="169">
        <f>(INDEX(Models!$BJ243:$BT243,,T243)*(1-R243)+INDEX(Models!$BJ243:$BT243,,T243+1)*R243-ERP_i)*Q243*Ramure*Pc/MaxiM</f>
        <v>1.9062492092293258E-3</v>
      </c>
      <c r="Q243" s="305">
        <f t="shared" si="80"/>
        <v>0.7</v>
      </c>
      <c r="R243" s="177">
        <f t="shared" si="81"/>
        <v>0.97134291543098272</v>
      </c>
      <c r="S243" s="921">
        <f t="shared" si="82"/>
        <v>0</v>
      </c>
      <c r="T243" s="176">
        <f t="shared" si="83"/>
        <v>6</v>
      </c>
      <c r="U243" s="251">
        <f t="shared" si="84"/>
        <v>0.97134291543098272</v>
      </c>
      <c r="V243" s="383">
        <f t="shared" si="85"/>
        <v>44.425772498456979</v>
      </c>
      <c r="W243" s="402">
        <f t="shared" si="86"/>
        <v>23.10213055727597</v>
      </c>
      <c r="X243" s="157">
        <f t="shared" si="87"/>
        <v>45155</v>
      </c>
      <c r="Y243" s="385">
        <f t="shared" si="88"/>
        <v>22.133058402426286</v>
      </c>
      <c r="Z243" s="385">
        <f t="shared" si="89"/>
        <v>23.079632342222975</v>
      </c>
      <c r="AA243" s="386">
        <f t="shared" si="90"/>
        <v>27.323623948234889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0.15532315969697993</v>
      </c>
      <c r="AD243" s="231">
        <f>(INDEX(Models!$BJ243:$BT243,,AH243)*(1-AF243)+INDEX(Models!$BJ243:$BT243,,AH243+1)*AF243-ERP_i)*AE243*Ramure*Pc/MaxiM</f>
        <v>1.9062492092293258E-3</v>
      </c>
      <c r="AE243" s="305">
        <f t="shared" si="92"/>
        <v>0.7</v>
      </c>
      <c r="AF243" s="177">
        <f t="shared" si="93"/>
        <v>0.97134291543098272</v>
      </c>
      <c r="AG243" s="921">
        <f t="shared" si="99"/>
        <v>0</v>
      </c>
      <c r="AH243" s="176">
        <f t="shared" si="94"/>
        <v>6</v>
      </c>
      <c r="AI243" s="225">
        <f t="shared" si="95"/>
        <v>0.97134291543098272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30.740183104994419</v>
      </c>
      <c r="C244" s="955"/>
      <c r="D244" s="393">
        <f t="shared" si="77"/>
        <v>32.055563713634754</v>
      </c>
      <c r="E244" s="385">
        <f t="shared" si="100"/>
        <v>36.359795973502742</v>
      </c>
      <c r="F244" s="385">
        <f t="shared" si="78"/>
        <v>36.396978404830705</v>
      </c>
      <c r="G244" s="110">
        <f t="shared" si="101"/>
        <v>0.69287451221351515</v>
      </c>
      <c r="H244" s="414" t="b">
        <f>Wh_hp&gt;='2022'!Maxi_hp</f>
        <v>0</v>
      </c>
      <c r="I244" s="390">
        <f>IF(H244,Wh_hp,'2022'!Maxi_hp)</f>
        <v>49.183966953911138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4.1034393292570304E-2</v>
      </c>
      <c r="M244" s="959"/>
      <c r="N244" s="959"/>
      <c r="O244" s="48">
        <f>IF(t&lt;Tnet,'2022'!Resal+('2022'!Salim-'2022'!Resal)*(1-EXP(('2022'!Tnet-t)/('2022'!Tau_j))),Resal+(Salim-Resal)*(1-EXP((Tnet-t)/(Tau_j))))*Salcycl</f>
        <v>0.11837888922712062</v>
      </c>
      <c r="P244" s="169">
        <f>(INDEX(Models!$BJ244:$BT244,,T244)*(1-R244)+INDEX(Models!$BJ244:$BT244,,T244+1)*R244-ERP_i)*Q244*Ramure*Pc/MaxiM</f>
        <v>1.8176331819556211E-3</v>
      </c>
      <c r="Q244" s="305">
        <f t="shared" si="80"/>
        <v>0.7</v>
      </c>
      <c r="R244" s="177">
        <f t="shared" si="81"/>
        <v>0.97244050023579631</v>
      </c>
      <c r="S244" s="921">
        <f t="shared" si="82"/>
        <v>0</v>
      </c>
      <c r="T244" s="176">
        <f t="shared" si="83"/>
        <v>6</v>
      </c>
      <c r="U244" s="251">
        <f t="shared" si="84"/>
        <v>0.97244050023579631</v>
      </c>
      <c r="V244" s="383">
        <f t="shared" si="85"/>
        <v>44.330808427351776</v>
      </c>
      <c r="W244" s="402">
        <f t="shared" si="86"/>
        <v>30.740183104994419</v>
      </c>
      <c r="X244" s="157">
        <f t="shared" si="87"/>
        <v>45156</v>
      </c>
      <c r="Y244" s="385">
        <f t="shared" si="88"/>
        <v>29.45190330281341</v>
      </c>
      <c r="Z244" s="385">
        <f t="shared" si="89"/>
        <v>30.712158076174752</v>
      </c>
      <c r="AA244" s="386">
        <f t="shared" si="90"/>
        <v>36.359795973502742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0.15532644631569756</v>
      </c>
      <c r="AD244" s="231">
        <f>(INDEX(Models!$BJ244:$BT244,,AH244)*(1-AF244)+INDEX(Models!$BJ244:$BT244,,AH244+1)*AF244-ERP_i)*AE244*Ramure*Pc/MaxiM</f>
        <v>1.8176331819556211E-3</v>
      </c>
      <c r="AE244" s="305">
        <f t="shared" si="92"/>
        <v>0.7</v>
      </c>
      <c r="AF244" s="177">
        <f t="shared" si="93"/>
        <v>0.97244050023579631</v>
      </c>
      <c r="AG244" s="921">
        <f t="shared" si="99"/>
        <v>0</v>
      </c>
      <c r="AH244" s="176">
        <f t="shared" si="94"/>
        <v>6</v>
      </c>
      <c r="AI244" s="225">
        <f t="shared" si="95"/>
        <v>0.97244050023579631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31.371320999124389</v>
      </c>
      <c r="C245" s="955"/>
      <c r="D245" s="393">
        <f t="shared" si="77"/>
        <v>32.714424695929438</v>
      </c>
      <c r="E245" s="385">
        <f t="shared" si="100"/>
        <v>37.108750320046397</v>
      </c>
      <c r="F245" s="385">
        <f t="shared" si="78"/>
        <v>37.146392327923174</v>
      </c>
      <c r="G245" s="110">
        <f t="shared" si="101"/>
        <v>0.70867296300255023</v>
      </c>
      <c r="H245" s="414" t="b">
        <f>Wh_hp&gt;='2022'!Maxi_hp</f>
        <v>0</v>
      </c>
      <c r="I245" s="390">
        <f>IF(H245,Wh_hp,'2022'!Maxi_hp)</f>
        <v>49.967163493960541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4.1055397100477453E-2</v>
      </c>
      <c r="M245" s="959"/>
      <c r="N245" s="959"/>
      <c r="O245" s="48">
        <f>IF(t&lt;Tnet,'2022'!Resal+('2022'!Salim-'2022'!Resal)*(1-EXP(('2022'!Tnet-t)/('2022'!Tau_j))),Resal+(Salim-Resal)*(1-EXP((Tnet-t)/(Tau_j))))*Salcycl</f>
        <v>0.11841750493395393</v>
      </c>
      <c r="P245" s="169">
        <f>(INDEX(Models!$BJ245:$BT245,,T245)*(1-R245)+INDEX(Models!$BJ245:$BT245,,T245+1)*R245-ERP_i)*Q245*Ramure*Pc/MaxiM</f>
        <v>1.7335456551175192E-3</v>
      </c>
      <c r="Q245" s="305">
        <f t="shared" si="80"/>
        <v>0.7</v>
      </c>
      <c r="R245" s="177">
        <f t="shared" si="81"/>
        <v>0.97349870428523566</v>
      </c>
      <c r="S245" s="921">
        <f t="shared" si="82"/>
        <v>0</v>
      </c>
      <c r="T245" s="176">
        <f t="shared" si="83"/>
        <v>6</v>
      </c>
      <c r="U245" s="251">
        <f t="shared" si="84"/>
        <v>0.97349870428523566</v>
      </c>
      <c r="V245" s="383">
        <f t="shared" si="85"/>
        <v>44.23578432416295</v>
      </c>
      <c r="W245" s="402">
        <f t="shared" si="86"/>
        <v>31.371320999124389</v>
      </c>
      <c r="X245" s="157">
        <f t="shared" si="87"/>
        <v>45157</v>
      </c>
      <c r="Y245" s="385">
        <f t="shared" si="88"/>
        <v>30.057806696268152</v>
      </c>
      <c r="Z245" s="385">
        <f t="shared" si="89"/>
        <v>31.34467476576182</v>
      </c>
      <c r="AA245" s="386">
        <f t="shared" si="90"/>
        <v>37.108750320046397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0.15532928230058954</v>
      </c>
      <c r="AD245" s="231">
        <f>(INDEX(Models!$BJ245:$BT245,,AH245)*(1-AF245)+INDEX(Models!$BJ245:$BT245,,AH245+1)*AF245-ERP_i)*AE245*Ramure*Pc/MaxiM</f>
        <v>1.7335456551175192E-3</v>
      </c>
      <c r="AE245" s="305">
        <f t="shared" si="92"/>
        <v>0.7</v>
      </c>
      <c r="AF245" s="177">
        <f t="shared" si="93"/>
        <v>0.97349870428523566</v>
      </c>
      <c r="AG245" s="921">
        <f t="shared" si="99"/>
        <v>0</v>
      </c>
      <c r="AH245" s="176">
        <f t="shared" si="94"/>
        <v>6</v>
      </c>
      <c r="AI245" s="225">
        <f t="shared" si="95"/>
        <v>0.97349870428523566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44.252804970848587</v>
      </c>
      <c r="C246" s="955"/>
      <c r="D246" s="393">
        <f t="shared" si="77"/>
        <v>46.148415777376961</v>
      </c>
      <c r="E246" s="385">
        <f t="shared" si="100"/>
        <v>52.349515700048372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Wh_hp&gt;='2022'!Maxi_hp</f>
        <v>0</v>
      </c>
      <c r="I246" s="390">
        <f>IF(H246,Wh_hp,'2022'!Maxi_hp)</f>
        <v>52.544338316202321</v>
      </c>
      <c r="J246" s="85">
        <f>IF(H246,An,'2022'!An_max)</f>
        <v>2021</v>
      </c>
      <c r="K246" s="197">
        <f t="shared" si="79"/>
        <v>45158</v>
      </c>
      <c r="L246" s="147">
        <f>IF(t&lt;Tvie,1-EXP((T0-t)*PertePVj)+'2022'!Pspv,1-EXP((T0-t)*PertePVj)+Pspv)</f>
        <v>4.1076400448347483E-2</v>
      </c>
      <c r="M246" s="959"/>
      <c r="N246" s="959"/>
      <c r="O246" s="48">
        <f>IF(t&lt;Tnet,'2022'!Resal+('2022'!Salim-'2022'!Resal)*(1-EXP(('2022'!Tnet-t)/('2022'!Tau_j))),Resal+(Salim-Resal)*(1-EXP((Tnet-t)/(Tau_j))))*Salcycl</f>
        <v>0.11845572666235156</v>
      </c>
      <c r="P246" s="169">
        <f>(INDEX(Models!$BJ246:$BT246,,T246)*(1-R246)+INDEX(Models!$BJ246:$BT246,,T246+1)*R246-ERP_i)*Q246*Ramure*Pc/MaxiM</f>
        <v>1.6540177341579272E-3</v>
      </c>
      <c r="Q246" s="305">
        <f t="shared" si="80"/>
        <v>0.7</v>
      </c>
      <c r="R246" s="177">
        <f t="shared" si="81"/>
        <v>0.97451876335452092</v>
      </c>
      <c r="S246" s="921">
        <f t="shared" si="82"/>
        <v>0</v>
      </c>
      <c r="T246" s="176">
        <f t="shared" si="83"/>
        <v>6</v>
      </c>
      <c r="U246" s="251">
        <f t="shared" si="84"/>
        <v>0.97451876335452092</v>
      </c>
      <c r="V246" s="383">
        <f t="shared" si="85"/>
        <v>44.140775767921532</v>
      </c>
      <c r="W246" s="402">
        <f t="shared" si="86"/>
        <v>44.252804970848587</v>
      </c>
      <c r="X246" s="157">
        <f t="shared" si="87"/>
        <v>45158</v>
      </c>
      <c r="Y246" s="385">
        <f t="shared" si="88"/>
        <v>42.401663604932011</v>
      </c>
      <c r="Z246" s="385">
        <f t="shared" si="89"/>
        <v>44.217979018095946</v>
      </c>
      <c r="AA246" s="386">
        <f t="shared" si="90"/>
        <v>52.349515700048372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0.15533165060292839</v>
      </c>
      <c r="AD246" s="231">
        <f>(INDEX(Models!$BJ246:$BT246,,AH246)*(1-AF246)+INDEX(Models!$BJ246:$BT246,,AH246+1)*AF246-ERP_i)*AE246*Ramure*Pc/MaxiM</f>
        <v>1.6540177341579272E-3</v>
      </c>
      <c r="AE246" s="305">
        <f t="shared" si="92"/>
        <v>0.7</v>
      </c>
      <c r="AF246" s="177">
        <f t="shared" si="93"/>
        <v>0.97451876335452092</v>
      </c>
      <c r="AG246" s="921">
        <f t="shared" si="99"/>
        <v>0</v>
      </c>
      <c r="AH246" s="176">
        <f t="shared" si="94"/>
        <v>6</v>
      </c>
      <c r="AI246" s="225">
        <f t="shared" si="95"/>
        <v>0.97451876335452092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29.411260927081049</v>
      </c>
      <c r="C247" s="955"/>
      <c r="D247" s="393">
        <f t="shared" si="77"/>
        <v>30.671791931117905</v>
      </c>
      <c r="E247" s="385">
        <f t="shared" si="100"/>
        <v>34.79474437889597</v>
      </c>
      <c r="F247" s="385">
        <f t="shared" si="78"/>
        <v>34.82363142277012</v>
      </c>
      <c r="G247" s="110">
        <f t="shared" si="101"/>
        <v>0.66722986270842999</v>
      </c>
      <c r="H247" s="414" t="b">
        <f>Wh_hp&gt;='2022'!Maxi_hp</f>
        <v>0</v>
      </c>
      <c r="I247" s="390">
        <f>IF(H247,Wh_hp,'2022'!Maxi_hp)</f>
        <v>51.773522913939907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4.1097403336190164E-2</v>
      </c>
      <c r="M247" s="959"/>
      <c r="N247" s="959"/>
      <c r="O247" s="48">
        <f>IF(t&lt;Tnet,'2022'!Resal+('2022'!Salim-'2022'!Resal)*(1-EXP(('2022'!Tnet-t)/('2022'!Tau_j))),Resal+(Salim-Resal)*(1-EXP((Tnet-t)/(Tau_j))))*Salcycl</f>
        <v>0.11849354037153823</v>
      </c>
      <c r="P247" s="169">
        <f>(INDEX(Models!$BJ247:$BT247,,T247)*(1-R247)+INDEX(Models!$BJ247:$BT247,,T247+1)*R247-ERP_i)*Q247*Ramure*Pc/MaxiM</f>
        <v>1.5790545049721592E-3</v>
      </c>
      <c r="Q247" s="305">
        <f t="shared" si="80"/>
        <v>0.7</v>
      </c>
      <c r="R247" s="177">
        <f t="shared" si="81"/>
        <v>0.97550188783818514</v>
      </c>
      <c r="S247" s="921">
        <f t="shared" si="82"/>
        <v>0</v>
      </c>
      <c r="T247" s="176">
        <f t="shared" si="83"/>
        <v>6</v>
      </c>
      <c r="U247" s="251">
        <f t="shared" si="84"/>
        <v>0.97550188783818514</v>
      </c>
      <c r="V247" s="383">
        <f t="shared" si="85"/>
        <v>44.046586694615648</v>
      </c>
      <c r="W247" s="402">
        <f t="shared" si="86"/>
        <v>29.411260927081049</v>
      </c>
      <c r="X247" s="157">
        <f t="shared" si="87"/>
        <v>45159</v>
      </c>
      <c r="Y247" s="385">
        <f t="shared" si="88"/>
        <v>28.182103012825653</v>
      </c>
      <c r="Z247" s="385">
        <f t="shared" si="89"/>
        <v>29.389953798098084</v>
      </c>
      <c r="AA247" s="386">
        <f t="shared" si="90"/>
        <v>34.79474437889597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0.15533353318945636</v>
      </c>
      <c r="AD247" s="231">
        <f>(INDEX(Models!$BJ247:$BT247,,AH247)*(1-AF247)+INDEX(Models!$BJ247:$BT247,,AH247+1)*AF247-ERP_i)*AE247*Ramure*Pc/MaxiM</f>
        <v>1.5790545049721592E-3</v>
      </c>
      <c r="AE247" s="305">
        <f t="shared" si="92"/>
        <v>0.7</v>
      </c>
      <c r="AF247" s="177">
        <f t="shared" si="93"/>
        <v>0.97550188783818514</v>
      </c>
      <c r="AG247" s="921">
        <f t="shared" si="99"/>
        <v>0</v>
      </c>
      <c r="AH247" s="176">
        <f t="shared" si="94"/>
        <v>6</v>
      </c>
      <c r="AI247" s="225">
        <f t="shared" si="95"/>
        <v>0.97550188783818514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21.057332662832721</v>
      </c>
      <c r="C248" s="955"/>
      <c r="D248" s="393">
        <f t="shared" si="77"/>
        <v>21.960305411442107</v>
      </c>
      <c r="E248" s="385">
        <f t="shared" si="100"/>
        <v>24.913302339889505</v>
      </c>
      <c r="F248" s="385">
        <f t="shared" si="78"/>
        <v>24.922943269977569</v>
      </c>
      <c r="G248" s="110">
        <f t="shared" si="101"/>
        <v>0.47854232373389399</v>
      </c>
      <c r="H248" s="414" t="b">
        <f>Wh_hp&gt;='2022'!Maxi_hp</f>
        <v>0</v>
      </c>
      <c r="I248" s="390">
        <f>IF(H248,Wh_hp,'2022'!Maxi_hp)</f>
        <v>53.717329476513434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4.1118405764015709E-2</v>
      </c>
      <c r="M248" s="959"/>
      <c r="N248" s="959"/>
      <c r="O248" s="48">
        <f>IF(t&lt;Tnet,'2022'!Resal+('2022'!Salim-'2022'!Resal)*(1-EXP(('2022'!Tnet-t)/('2022'!Tau_j))),Resal+(Salim-Resal)*(1-EXP((Tnet-t)/(Tau_j))))*Salcycl</f>
        <v>0.11853093131372057</v>
      </c>
      <c r="P248" s="169">
        <f>(INDEX(Models!$BJ248:$BT248,,T248)*(1-R248)+INDEX(Models!$BJ248:$BT248,,T248+1)*R248-ERP_i)*Q248*Ramure*Pc/MaxiM</f>
        <v>1.5120517844275294E-3</v>
      </c>
      <c r="Q248" s="305">
        <f t="shared" si="80"/>
        <v>0.7</v>
      </c>
      <c r="R248" s="177">
        <f t="shared" si="81"/>
        <v>0.97644926218980355</v>
      </c>
      <c r="S248" s="921">
        <f t="shared" si="82"/>
        <v>0</v>
      </c>
      <c r="T248" s="176">
        <f t="shared" si="83"/>
        <v>6</v>
      </c>
      <c r="U248" s="251">
        <f t="shared" si="84"/>
        <v>0.97644926218980355</v>
      </c>
      <c r="V248" s="383">
        <f t="shared" si="85"/>
        <v>43.953540305356448</v>
      </c>
      <c r="W248" s="402">
        <f t="shared" si="86"/>
        <v>21.057332662832721</v>
      </c>
      <c r="X248" s="157">
        <f t="shared" si="87"/>
        <v>45160</v>
      </c>
      <c r="Y248" s="385">
        <f t="shared" si="88"/>
        <v>20.178125809565806</v>
      </c>
      <c r="Z248" s="385">
        <f t="shared" si="89"/>
        <v>21.043396735175932</v>
      </c>
      <c r="AA248" s="386">
        <f t="shared" si="90"/>
        <v>24.913302339889505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0.15533491112165168</v>
      </c>
      <c r="AD248" s="231">
        <f>(INDEX(Models!$BJ248:$BT248,,AH248)*(1-AF248)+INDEX(Models!$BJ248:$BT248,,AH248+1)*AF248-ERP_i)*AE248*Ramure*Pc/MaxiM</f>
        <v>1.5120517844275294E-3</v>
      </c>
      <c r="AE248" s="305">
        <f t="shared" si="92"/>
        <v>0.7</v>
      </c>
      <c r="AF248" s="177">
        <f t="shared" si="93"/>
        <v>0.97644926218980355</v>
      </c>
      <c r="AG248" s="921">
        <f t="shared" si="99"/>
        <v>0</v>
      </c>
      <c r="AH248" s="176">
        <f t="shared" si="94"/>
        <v>6</v>
      </c>
      <c r="AI248" s="225">
        <f t="shared" si="95"/>
        <v>0.97644926218980355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40.861483557404021</v>
      </c>
      <c r="C249" s="955"/>
      <c r="D249" s="393">
        <f t="shared" si="77"/>
        <v>42.614623947311244</v>
      </c>
      <c r="E249" s="385">
        <f t="shared" si="100"/>
        <v>48.347028860951625</v>
      </c>
      <c r="F249" s="385">
        <f t="shared" si="78"/>
        <v>48.410420837409909</v>
      </c>
      <c r="G249" s="110">
        <f t="shared" si="101"/>
        <v>0.93147461703360146</v>
      </c>
      <c r="H249" s="414" t="b">
        <f>Wh_hp&gt;='2022'!Maxi_hp</f>
        <v>0</v>
      </c>
      <c r="I249" s="390">
        <f>IF(H249,Wh_hp,'2022'!Maxi_hp)</f>
        <v>51.339633290441888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4.1139407731834221E-2</v>
      </c>
      <c r="M249" s="959"/>
      <c r="N249" s="959"/>
      <c r="O249" s="48">
        <f>IF(t&lt;Tnet,'2022'!Resal+('2022'!Salim-'2022'!Resal)*(1-EXP(('2022'!Tnet-t)/('2022'!Tau_j))),Resal+(Salim-Resal)*(1-EXP((Tnet-t)/(Tau_j))))*Salcycl</f>
        <v>0.11856788408088222</v>
      </c>
      <c r="P249" s="169">
        <f>(INDEX(Models!$BJ249:$BT249,,T249)*(1-R249)+INDEX(Models!$BJ249:$BT249,,T249+1)*R249-ERP_i)*Q249*Ramure*Pc/MaxiM</f>
        <v>1.4512646518599825E-3</v>
      </c>
      <c r="Q249" s="305">
        <f t="shared" si="80"/>
        <v>0.7</v>
      </c>
      <c r="R249" s="177">
        <f t="shared" si="81"/>
        <v>0.97736204447418973</v>
      </c>
      <c r="S249" s="921">
        <f t="shared" si="82"/>
        <v>0</v>
      </c>
      <c r="T249" s="176">
        <f t="shared" si="83"/>
        <v>6</v>
      </c>
      <c r="U249" s="251">
        <f t="shared" si="84"/>
        <v>0.97736204447418973</v>
      </c>
      <c r="V249" s="383">
        <f t="shared" si="85"/>
        <v>43.861293972891723</v>
      </c>
      <c r="W249" s="402">
        <f t="shared" si="86"/>
        <v>40.861483557404021</v>
      </c>
      <c r="X249" s="157">
        <f t="shared" si="87"/>
        <v>45161</v>
      </c>
      <c r="Y249" s="385">
        <f t="shared" si="88"/>
        <v>39.156995918606938</v>
      </c>
      <c r="Z249" s="385">
        <f t="shared" si="89"/>
        <v>40.837006165809605</v>
      </c>
      <c r="AA249" s="386">
        <f t="shared" si="90"/>
        <v>48.347028860951625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0.15533576461836376</v>
      </c>
      <c r="AD249" s="231">
        <f>(INDEX(Models!$BJ249:$BT249,,AH249)*(1-AF249)+INDEX(Models!$BJ249:$BT249,,AH249+1)*AF249-ERP_i)*AE249*Ramure*Pc/MaxiM</f>
        <v>1.4512646518599825E-3</v>
      </c>
      <c r="AE249" s="305">
        <f t="shared" si="92"/>
        <v>0.7</v>
      </c>
      <c r="AF249" s="177">
        <f t="shared" si="93"/>
        <v>0.97736204447418973</v>
      </c>
      <c r="AG249" s="921">
        <f t="shared" si="99"/>
        <v>0</v>
      </c>
      <c r="AH249" s="176">
        <f t="shared" si="94"/>
        <v>6</v>
      </c>
      <c r="AI249" s="225">
        <f t="shared" si="95"/>
        <v>0.97736204447418973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42.185949110796379</v>
      </c>
      <c r="C250" s="955"/>
      <c r="D250" s="393">
        <f t="shared" si="77"/>
        <v>43.996878640924294</v>
      </c>
      <c r="E250" s="385">
        <f t="shared" si="100"/>
        <v>49.917287735840198</v>
      </c>
      <c r="F250" s="385">
        <f t="shared" si="78"/>
        <v>49.983494036436326</v>
      </c>
      <c r="G250" s="110">
        <f t="shared" si="101"/>
        <v>0.96375265170026891</v>
      </c>
      <c r="H250" s="414" t="b">
        <f>Wh_hp&gt;='2022'!Maxi_hp</f>
        <v>0</v>
      </c>
      <c r="I250" s="390">
        <f>IF(H250,Wh_hp,'2022'!Maxi_hp)</f>
        <v>51.228164501997107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4.1160409239655804E-2</v>
      </c>
      <c r="M250" s="959"/>
      <c r="N250" s="959"/>
      <c r="O250" s="48">
        <f>IF(t&lt;Tnet,'2022'!Resal+('2022'!Salim-'2022'!Resal)*(1-EXP(('2022'!Tnet-t)/('2022'!Tau_j))),Resal+(Salim-Resal)*(1-EXP((Tnet-t)/(Tau_j))))*Salcycl</f>
        <v>0.11860438263886476</v>
      </c>
      <c r="P250" s="169">
        <f>(INDEX(Models!$BJ250:$BT250,,T250)*(1-R250)+INDEX(Models!$BJ250:$BT250,,T250+1)*R250-ERP_i)*Q250*Ramure*Pc/MaxiM</f>
        <v>1.3967507047368966E-3</v>
      </c>
      <c r="Q250" s="305">
        <f t="shared" si="80"/>
        <v>0.7</v>
      </c>
      <c r="R250" s="177">
        <f t="shared" si="81"/>
        <v>0.97824136602385403</v>
      </c>
      <c r="S250" s="921">
        <f t="shared" si="82"/>
        <v>0</v>
      </c>
      <c r="T250" s="176">
        <f t="shared" si="83"/>
        <v>6</v>
      </c>
      <c r="U250" s="251">
        <f t="shared" si="84"/>
        <v>0.97824136602385403</v>
      </c>
      <c r="V250" s="383">
        <f t="shared" si="85"/>
        <v>43.769425383303769</v>
      </c>
      <c r="W250" s="402">
        <f t="shared" si="86"/>
        <v>42.185949110796379</v>
      </c>
      <c r="X250" s="157">
        <f t="shared" si="87"/>
        <v>45162</v>
      </c>
      <c r="Y250" s="385">
        <f t="shared" si="88"/>
        <v>40.427872267554228</v>
      </c>
      <c r="Z250" s="385">
        <f t="shared" si="89"/>
        <v>42.163332279068264</v>
      </c>
      <c r="AA250" s="386">
        <f t="shared" si="90"/>
        <v>49.917287735840198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0.15533607310167732</v>
      </c>
      <c r="AD250" s="231">
        <f>(INDEX(Models!$BJ250:$BT250,,AH250)*(1-AF250)+INDEX(Models!$BJ250:$BT250,,AH250+1)*AF250-ERP_i)*AE250*Ramure*Pc/MaxiM</f>
        <v>1.3967507047368966E-3</v>
      </c>
      <c r="AE250" s="305">
        <f t="shared" si="92"/>
        <v>0.7</v>
      </c>
      <c r="AF250" s="177">
        <f t="shared" si="93"/>
        <v>0.97824136602385403</v>
      </c>
      <c r="AG250" s="921">
        <f t="shared" si="99"/>
        <v>0</v>
      </c>
      <c r="AH250" s="176">
        <f t="shared" si="94"/>
        <v>6</v>
      </c>
      <c r="AI250" s="225">
        <f t="shared" si="95"/>
        <v>0.97824136602385403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27.245277188637797</v>
      </c>
      <c r="C251" s="955"/>
      <c r="D251" s="393">
        <f t="shared" si="77"/>
        <v>28.415466159043671</v>
      </c>
      <c r="E251" s="385">
        <f t="shared" si="100"/>
        <v>32.24049127358969</v>
      </c>
      <c r="F251" s="385">
        <f t="shared" si="78"/>
        <v>32.260614608066241</v>
      </c>
      <c r="G251" s="110">
        <f t="shared" si="101"/>
        <v>0.62333031939080363</v>
      </c>
      <c r="H251" s="414" t="b">
        <f>Wh_hp&gt;='2022'!Maxi_hp</f>
        <v>0</v>
      </c>
      <c r="I251" s="390">
        <f>IF(H251,Wh_hp,'2022'!Maxi_hp)</f>
        <v>50.680972332086561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4.1181410287490339E-2</v>
      </c>
      <c r="M251" s="959"/>
      <c r="N251" s="959"/>
      <c r="O251" s="48">
        <f>IF(t&lt;Tnet,'2022'!Resal+('2022'!Salim-'2022'!Resal)*(1-EXP(('2022'!Tnet-t)/('2022'!Tau_j))),Resal+(Salim-Resal)*(1-EXP((Tnet-t)/(Tau_j))))*Salcycl</f>
        <v>0.1186404103488134</v>
      </c>
      <c r="P251" s="169">
        <f>(INDEX(Models!$BJ251:$BT251,,T251)*(1-R251)+INDEX(Models!$BJ251:$BT251,,T251+1)*R251-ERP_i)*Q251*Ramure*Pc/MaxiM</f>
        <v>1.3485643997221165E-3</v>
      </c>
      <c r="Q251" s="305">
        <f t="shared" si="80"/>
        <v>0.7</v>
      </c>
      <c r="R251" s="177">
        <f t="shared" si="81"/>
        <v>0.97908833119181859</v>
      </c>
      <c r="S251" s="921">
        <f t="shared" si="82"/>
        <v>0</v>
      </c>
      <c r="T251" s="176">
        <f t="shared" si="83"/>
        <v>6</v>
      </c>
      <c r="U251" s="251">
        <f t="shared" si="84"/>
        <v>0.97908833119181859</v>
      </c>
      <c r="V251" s="383">
        <f t="shared" si="85"/>
        <v>43.677512391900294</v>
      </c>
      <c r="W251" s="402">
        <f t="shared" si="86"/>
        <v>27.245277188637797</v>
      </c>
      <c r="X251" s="157">
        <f t="shared" si="87"/>
        <v>45163</v>
      </c>
      <c r="Y251" s="385">
        <f t="shared" si="88"/>
        <v>26.110920123517669</v>
      </c>
      <c r="Z251" s="385">
        <f t="shared" si="89"/>
        <v>27.232388278315209</v>
      </c>
      <c r="AA251" s="386">
        <f t="shared" si="90"/>
        <v>32.24049127358969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0.15533581522614537</v>
      </c>
      <c r="AD251" s="231">
        <f>(INDEX(Models!$BJ251:$BT251,,AH251)*(1-AF251)+INDEX(Models!$BJ251:$BT251,,AH251+1)*AF251-ERP_i)*AE251*Ramure*Pc/MaxiM</f>
        <v>1.3485643997221165E-3</v>
      </c>
      <c r="AE251" s="305">
        <f t="shared" si="92"/>
        <v>0.7</v>
      </c>
      <c r="AF251" s="177">
        <f t="shared" si="93"/>
        <v>0.97908833119181859</v>
      </c>
      <c r="AG251" s="921">
        <f t="shared" si="99"/>
        <v>0</v>
      </c>
      <c r="AH251" s="176">
        <f t="shared" si="94"/>
        <v>6</v>
      </c>
      <c r="AI251" s="225">
        <f t="shared" si="95"/>
        <v>0.97908833119181859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37.417763150937667</v>
      </c>
      <c r="C252" s="955"/>
      <c r="D252" s="393">
        <f t="shared" si="77"/>
        <v>39.025716767914233</v>
      </c>
      <c r="E252" s="385">
        <f t="shared" si="100"/>
        <v>44.280780453981443</v>
      </c>
      <c r="F252" s="385">
        <f t="shared" si="78"/>
        <v>44.326995854190884</v>
      </c>
      <c r="G252" s="110">
        <f t="shared" si="101"/>
        <v>0.85827129845289041</v>
      </c>
      <c r="H252" s="414" t="b">
        <f>Wh_hp&gt;='2022'!Maxi_hp</f>
        <v>0</v>
      </c>
      <c r="I252" s="390">
        <f>IF(H252,Wh_hp,'2022'!Maxi_hp)</f>
        <v>53.637175533284911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4.120241087534815E-2</v>
      </c>
      <c r="M252" s="959"/>
      <c r="N252" s="959"/>
      <c r="O252" s="48">
        <f>IF(t&lt;Tnet,'2022'!Resal+('2022'!Salim-'2022'!Resal)*(1-EXP(('2022'!Tnet-t)/('2022'!Tau_j))),Resal+(Salim-Resal)*(1-EXP((Tnet-t)/(Tau_j))))*Salcycl</f>
        <v>0.11867594997627709</v>
      </c>
      <c r="P252" s="169">
        <f>(INDEX(Models!$BJ252:$BT252,,T252)*(1-R252)+INDEX(Models!$BJ252:$BT252,,T252+1)*R252-ERP_i)*Q252*Ramure*Pc/MaxiM</f>
        <v>1.3067562764515759E-3</v>
      </c>
      <c r="Q252" s="305">
        <f t="shared" si="80"/>
        <v>0.7</v>
      </c>
      <c r="R252" s="177">
        <f t="shared" si="81"/>
        <v>0.97990401719322229</v>
      </c>
      <c r="S252" s="921">
        <f t="shared" si="82"/>
        <v>0</v>
      </c>
      <c r="T252" s="176">
        <f t="shared" si="83"/>
        <v>6</v>
      </c>
      <c r="U252" s="251">
        <f t="shared" si="84"/>
        <v>0.97990401719322229</v>
      </c>
      <c r="V252" s="383">
        <f t="shared" si="85"/>
        <v>43.585133078805697</v>
      </c>
      <c r="W252" s="402">
        <f t="shared" si="86"/>
        <v>37.417763150937667</v>
      </c>
      <c r="X252" s="157">
        <f t="shared" si="87"/>
        <v>45164</v>
      </c>
      <c r="Y252" s="385">
        <f t="shared" si="88"/>
        <v>35.861356642922729</v>
      </c>
      <c r="Z252" s="385">
        <f t="shared" si="89"/>
        <v>37.402426799657341</v>
      </c>
      <c r="AA252" s="386">
        <f t="shared" si="90"/>
        <v>44.280780453981443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0.15533496889180606</v>
      </c>
      <c r="AD252" s="231">
        <f>(INDEX(Models!$BJ252:$BT252,,AH252)*(1-AF252)+INDEX(Models!$BJ252:$BT252,,AH252+1)*AF252-ERP_i)*AE252*Ramure*Pc/MaxiM</f>
        <v>1.3067562764515759E-3</v>
      </c>
      <c r="AE252" s="305">
        <f t="shared" si="92"/>
        <v>0.7</v>
      </c>
      <c r="AF252" s="177">
        <f t="shared" si="93"/>
        <v>0.97990401719322229</v>
      </c>
      <c r="AG252" s="921">
        <f t="shared" si="99"/>
        <v>0</v>
      </c>
      <c r="AH252" s="176">
        <f t="shared" si="94"/>
        <v>6</v>
      </c>
      <c r="AI252" s="225">
        <f t="shared" si="95"/>
        <v>0.97990401719322229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42.037971825776317</v>
      </c>
      <c r="C253" s="955"/>
      <c r="D253" s="393">
        <f t="shared" si="77"/>
        <v>43.84543000759308</v>
      </c>
      <c r="E253" s="385">
        <f t="shared" si="100"/>
        <v>49.75147675288131</v>
      </c>
      <c r="F253" s="385">
        <f t="shared" si="78"/>
        <v>49.811781830149933</v>
      </c>
      <c r="G253" s="110">
        <f t="shared" si="101"/>
        <v>0.9665121440405734</v>
      </c>
      <c r="H253" s="414" t="b">
        <f>Wh_hp&gt;='2022'!Maxi_hp</f>
        <v>0</v>
      </c>
      <c r="I253" s="390">
        <f>IF(H253,Wh_hp,'2022'!Maxi_hp)</f>
        <v>51.403994258295555</v>
      </c>
      <c r="J253" s="85">
        <f>IF(H253,An,'2022'!An_max)</f>
        <v>2018</v>
      </c>
      <c r="K253" s="197">
        <f t="shared" si="79"/>
        <v>45165</v>
      </c>
      <c r="L253" s="147">
        <f>IF(t&lt;Tvie,1-EXP((T0-t)*PertePVj)+'2022'!Pspv,1-EXP((T0-t)*PertePVj)+Pspv)</f>
        <v>4.1223411003239119E-2</v>
      </c>
      <c r="M253" s="959"/>
      <c r="N253" s="959"/>
      <c r="O253" s="48">
        <f>IF(t&lt;Tnet,'2022'!Resal+('2022'!Salim-'2022'!Resal)*(1-EXP(('2022'!Tnet-t)/('2022'!Tau_j))),Resal+(Salim-Resal)*(1-EXP((Tnet-t)/(Tau_j))))*Salcycl</f>
        <v>0.11871098368846281</v>
      </c>
      <c r="P253" s="169">
        <f>(INDEX(Models!$BJ253:$BT253,,T253)*(1-R253)+INDEX(Models!$BJ253:$BT253,,T253+1)*R253-ERP_i)*Q253*Ramure*Pc/MaxiM</f>
        <v>1.2713744815906398E-3</v>
      </c>
      <c r="Q253" s="305">
        <f t="shared" si="80"/>
        <v>0.7</v>
      </c>
      <c r="R253" s="177">
        <f t="shared" si="81"/>
        <v>0.98068947402846951</v>
      </c>
      <c r="S253" s="921">
        <f t="shared" si="82"/>
        <v>0</v>
      </c>
      <c r="T253" s="176">
        <f t="shared" si="83"/>
        <v>6</v>
      </c>
      <c r="U253" s="251">
        <f t="shared" si="84"/>
        <v>0.98068947402846951</v>
      </c>
      <c r="V253" s="383">
        <f t="shared" si="85"/>
        <v>43.491865706500327</v>
      </c>
      <c r="W253" s="402">
        <f t="shared" si="86"/>
        <v>42.037971825776317</v>
      </c>
      <c r="X253" s="157">
        <f t="shared" si="87"/>
        <v>45165</v>
      </c>
      <c r="Y253" s="385">
        <f t="shared" si="88"/>
        <v>40.29105707593191</v>
      </c>
      <c r="Z253" s="385">
        <f t="shared" si="89"/>
        <v>42.023405179397876</v>
      </c>
      <c r="AA253" s="386">
        <f t="shared" si="90"/>
        <v>49.75147675288131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0.15533351124167127</v>
      </c>
      <c r="AD253" s="231">
        <f>(INDEX(Models!$BJ253:$BT253,,AH253)*(1-AF253)+INDEX(Models!$BJ253:$BT253,,AH253+1)*AF253-ERP_i)*AE253*Ramure*Pc/MaxiM</f>
        <v>1.2713744815906398E-3</v>
      </c>
      <c r="AE253" s="305">
        <f t="shared" si="92"/>
        <v>0.7</v>
      </c>
      <c r="AF253" s="177">
        <f t="shared" si="93"/>
        <v>0.98068947402846951</v>
      </c>
      <c r="AG253" s="921">
        <f t="shared" si="99"/>
        <v>0</v>
      </c>
      <c r="AH253" s="176">
        <f t="shared" si="94"/>
        <v>6</v>
      </c>
      <c r="AI253" s="225">
        <f t="shared" si="95"/>
        <v>0.98068947402846951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42.142122193097457</v>
      </c>
      <c r="C254" s="955"/>
      <c r="D254" s="393">
        <f t="shared" si="77"/>
        <v>43.955021135886042</v>
      </c>
      <c r="E254" s="385">
        <f t="shared" si="100"/>
        <v>49.877783079409845</v>
      </c>
      <c r="F254" s="385">
        <f t="shared" si="78"/>
        <v>49.937355726903093</v>
      </c>
      <c r="G254" s="110">
        <f t="shared" si="101"/>
        <v>0.9710291624876054</v>
      </c>
      <c r="H254" s="414" t="b">
        <f>Wh_hp&gt;='2022'!Maxi_hp</f>
        <v>0</v>
      </c>
      <c r="I254" s="390">
        <f>IF(H254,Wh_hp,'2022'!Maxi_hp)</f>
        <v>53.343274555388398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4.1244410671173348E-2</v>
      </c>
      <c r="M254" s="959"/>
      <c r="N254" s="959"/>
      <c r="O254" s="48">
        <f>IF(t&lt;Tnet,'2022'!Resal+('2022'!Salim-'2022'!Resal)*(1-EXP(('2022'!Tnet-t)/('2022'!Tau_j))),Resal+(Salim-Resal)*(1-EXP((Tnet-t)/(Tau_j))))*Salcycl</f>
        <v>0.11874549304034314</v>
      </c>
      <c r="P254" s="169">
        <f>(INDEX(Models!$BJ254:$BT254,,T254)*(1-R254)+INDEX(Models!$BJ254:$BT254,,T254+1)*R254-ERP_i)*Q254*Ramure*Pc/MaxiM</f>
        <v>1.2443588924540582E-3</v>
      </c>
      <c r="Q254" s="305">
        <f t="shared" si="80"/>
        <v>0.7</v>
      </c>
      <c r="R254" s="177">
        <f t="shared" si="81"/>
        <v>0.98144572448102929</v>
      </c>
      <c r="S254" s="921">
        <f t="shared" si="82"/>
        <v>0</v>
      </c>
      <c r="T254" s="176">
        <f t="shared" si="83"/>
        <v>6</v>
      </c>
      <c r="U254" s="251">
        <f t="shared" si="84"/>
        <v>0.98144572448102929</v>
      </c>
      <c r="V254" s="383">
        <f t="shared" si="85"/>
        <v>43.397206439690535</v>
      </c>
      <c r="W254" s="402">
        <f t="shared" si="86"/>
        <v>42.142122193097457</v>
      </c>
      <c r="X254" s="157">
        <f t="shared" si="87"/>
        <v>45166</v>
      </c>
      <c r="Y254" s="385">
        <f t="shared" si="88"/>
        <v>40.39256115801922</v>
      </c>
      <c r="Z254" s="385">
        <f t="shared" si="89"/>
        <v>42.130196274835683</v>
      </c>
      <c r="AA254" s="386">
        <f t="shared" si="90"/>
        <v>49.877783079409845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0.1553314186446362</v>
      </c>
      <c r="AD254" s="231">
        <f>(INDEX(Models!$BJ254:$BT254,,AH254)*(1-AF254)+INDEX(Models!$BJ254:$BT254,,AH254+1)*AF254-ERP_i)*AE254*Ramure*Pc/MaxiM</f>
        <v>1.2443588924540582E-3</v>
      </c>
      <c r="AE254" s="305">
        <f t="shared" si="92"/>
        <v>0.7</v>
      </c>
      <c r="AF254" s="177">
        <f t="shared" si="93"/>
        <v>0.98144572448102929</v>
      </c>
      <c r="AG254" s="921">
        <f t="shared" si="99"/>
        <v>0</v>
      </c>
      <c r="AH254" s="176">
        <f t="shared" si="94"/>
        <v>6</v>
      </c>
      <c r="AI254" s="225">
        <f t="shared" si="95"/>
        <v>0.98144572448102929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29.616186027058195</v>
      </c>
      <c r="C255" s="955"/>
      <c r="D255" s="393">
        <f t="shared" si="77"/>
        <v>30.890912179694453</v>
      </c>
      <c r="E255" s="385">
        <f t="shared" si="100"/>
        <v>35.054689196083658</v>
      </c>
      <c r="F255" s="385">
        <f t="shared" si="78"/>
        <v>35.078212575328607</v>
      </c>
      <c r="G255" s="110">
        <f t="shared" si="101"/>
        <v>0.68358501872958921</v>
      </c>
      <c r="H255" s="414" t="b">
        <f>Wh_hp&gt;='2022'!Maxi_hp</f>
        <v>0</v>
      </c>
      <c r="I255" s="390">
        <f>IF(H255,Wh_hp,'2022'!Maxi_hp)</f>
        <v>52.809812213553279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4.1265409879161052E-2</v>
      </c>
      <c r="M255" s="959"/>
      <c r="N255" s="959"/>
      <c r="O255" s="48">
        <f>IF(t&lt;Tnet,'2022'!Resal+('2022'!Salim-'2022'!Resal)*(1-EXP(('2022'!Tnet-t)/('2022'!Tau_j))),Resal+(Salim-Resal)*(1-EXP((Tnet-t)/(Tau_j))))*Salcycl</f>
        <v>0.11877945895051284</v>
      </c>
      <c r="P255" s="169">
        <f>(INDEX(Models!$BJ255:$BT255,,T255)*(1-R255)+INDEX(Models!$BJ255:$BT255,,T255+1)*R255-ERP_i)*Q255*Ramure*Pc/MaxiM</f>
        <v>1.2225627237544667E-3</v>
      </c>
      <c r="Q255" s="305">
        <f t="shared" si="80"/>
        <v>0.7</v>
      </c>
      <c r="R255" s="177">
        <f t="shared" si="81"/>
        <v>0.98217376418332392</v>
      </c>
      <c r="S255" s="921">
        <f t="shared" si="82"/>
        <v>0</v>
      </c>
      <c r="T255" s="176">
        <f t="shared" si="83"/>
        <v>6</v>
      </c>
      <c r="U255" s="251">
        <f t="shared" si="84"/>
        <v>0.98217376418332392</v>
      </c>
      <c r="V255" s="383">
        <f t="shared" si="85"/>
        <v>43.300872834351708</v>
      </c>
      <c r="W255" s="402">
        <f t="shared" si="86"/>
        <v>29.616186027058195</v>
      </c>
      <c r="X255" s="157">
        <f t="shared" si="87"/>
        <v>45167</v>
      </c>
      <c r="Y255" s="385">
        <f t="shared" si="88"/>
        <v>28.387835024793755</v>
      </c>
      <c r="Z255" s="385">
        <f t="shared" si="89"/>
        <v>29.609691062899643</v>
      </c>
      <c r="AA255" s="386">
        <f t="shared" si="90"/>
        <v>35.054689196083658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0.15532866666501022</v>
      </c>
      <c r="AD255" s="231">
        <f>(INDEX(Models!$BJ255:$BT255,,AH255)*(1-AF255)+INDEX(Models!$BJ255:$BT255,,AH255+1)*AF255-ERP_i)*AE255*Ramure*Pc/MaxiM</f>
        <v>1.2225627237544667E-3</v>
      </c>
      <c r="AE255" s="305">
        <f t="shared" si="92"/>
        <v>0.7</v>
      </c>
      <c r="AF255" s="177">
        <f t="shared" si="93"/>
        <v>0.98217376418332392</v>
      </c>
      <c r="AG255" s="921">
        <f t="shared" si="99"/>
        <v>0</v>
      </c>
      <c r="AH255" s="176">
        <f t="shared" si="94"/>
        <v>6</v>
      </c>
      <c r="AI255" s="225">
        <f t="shared" si="95"/>
        <v>0.98217376418332392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41.866539012101491</v>
      </c>
      <c r="C256" s="955"/>
      <c r="D256" s="393">
        <f t="shared" si="77"/>
        <v>43.669495654226132</v>
      </c>
      <c r="E256" s="385">
        <f t="shared" si="100"/>
        <v>49.557572681872919</v>
      </c>
      <c r="F256" s="385">
        <f t="shared" si="78"/>
        <v>49.614766060046151</v>
      </c>
      <c r="G256" s="110">
        <f t="shared" si="101"/>
        <v>0.96902634480464445</v>
      </c>
      <c r="H256" s="414" t="b">
        <f>Wh_hp&gt;='2022'!Maxi_hp</f>
        <v>0</v>
      </c>
      <c r="I256" s="390">
        <f>IF(H256,Wh_hp,'2022'!Maxi_hp)</f>
        <v>51.020688029577649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4.1286408627212112E-2</v>
      </c>
      <c r="M256" s="959"/>
      <c r="N256" s="959"/>
      <c r="O256" s="48">
        <f>IF(t&lt;Tnet,'2022'!Resal+('2022'!Salim-'2022'!Resal)*(1-EXP(('2022'!Tnet-t)/('2022'!Tau_j))),Resal+(Salim-Resal)*(1-EXP((Tnet-t)/(Tau_j))))*Salcycl</f>
        <v>0.1188128616678701</v>
      </c>
      <c r="P256" s="169">
        <f>(INDEX(Models!$BJ256:$BT256,,T256)*(1-R256)+INDEX(Models!$BJ256:$BT256,,T256+1)*R256-ERP_i)*Q256*Ramure*Pc/MaxiM</f>
        <v>1.2060243331689015E-3</v>
      </c>
      <c r="Q256" s="305">
        <f t="shared" si="80"/>
        <v>0.7</v>
      </c>
      <c r="R256" s="177">
        <f t="shared" si="81"/>
        <v>0.98287456174449872</v>
      </c>
      <c r="S256" s="921">
        <f t="shared" si="82"/>
        <v>0</v>
      </c>
      <c r="T256" s="176">
        <f t="shared" si="83"/>
        <v>6</v>
      </c>
      <c r="U256" s="251">
        <f t="shared" si="84"/>
        <v>0.98287456174449872</v>
      </c>
      <c r="V256" s="383">
        <f t="shared" si="85"/>
        <v>43.202443580472526</v>
      </c>
      <c r="W256" s="402">
        <f t="shared" si="86"/>
        <v>41.866539012101491</v>
      </c>
      <c r="X256" s="157">
        <f t="shared" si="87"/>
        <v>45168</v>
      </c>
      <c r="Y256" s="385">
        <f t="shared" si="88"/>
        <v>40.131780948182815</v>
      </c>
      <c r="Z256" s="385">
        <f t="shared" si="89"/>
        <v>41.860031305822908</v>
      </c>
      <c r="AA256" s="386">
        <f t="shared" si="90"/>
        <v>49.557572681872919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0.15532523002010551</v>
      </c>
      <c r="AD256" s="231">
        <f>(INDEX(Models!$BJ256:$BT256,,AH256)*(1-AF256)+INDEX(Models!$BJ256:$BT256,,AH256+1)*AF256-ERP_i)*AE256*Ramure*Pc/MaxiM</f>
        <v>1.2060243331689015E-3</v>
      </c>
      <c r="AE256" s="305">
        <f t="shared" si="92"/>
        <v>0.7</v>
      </c>
      <c r="AF256" s="177">
        <f t="shared" si="93"/>
        <v>0.98287456174449872</v>
      </c>
      <c r="AG256" s="921">
        <f t="shared" si="99"/>
        <v>0</v>
      </c>
      <c r="AH256" s="176">
        <f t="shared" si="94"/>
        <v>6</v>
      </c>
      <c r="AI256" s="225">
        <f t="shared" si="95"/>
        <v>0.98287456174449872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19.037106199038025</v>
      </c>
      <c r="C257" s="955"/>
      <c r="D257" s="393">
        <f t="shared" si="77"/>
        <v>19.857362345717878</v>
      </c>
      <c r="E257" s="385">
        <f t="shared" si="100"/>
        <v>22.535623909983467</v>
      </c>
      <c r="F257" s="385">
        <f t="shared" si="78"/>
        <v>22.541074912137415</v>
      </c>
      <c r="G257" s="110">
        <f t="shared" si="101"/>
        <v>0.44125984853379779</v>
      </c>
      <c r="H257" s="414" t="b">
        <f>Wh_hp&gt;='2022'!Maxi_hp</f>
        <v>0</v>
      </c>
      <c r="I257" s="390">
        <f>IF(H257,Wh_hp,'2022'!Maxi_hp)</f>
        <v>51.639133296774915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4.1307406915336742E-2</v>
      </c>
      <c r="M257" s="959"/>
      <c r="N257" s="959"/>
      <c r="O257" s="48">
        <f>IF(t&lt;Tnet,'2022'!Resal+('2022'!Salim-'2022'!Resal)*(1-EXP(('2022'!Tnet-t)/('2022'!Tau_j))),Resal+(Salim-Resal)*(1-EXP((Tnet-t)/(Tau_j))))*Salcycl</f>
        <v>0.11884568073037011</v>
      </c>
      <c r="P257" s="169">
        <f>(INDEX(Models!$BJ257:$BT257,,T257)*(1-R257)+INDEX(Models!$BJ257:$BT257,,T257+1)*R257-ERP_i)*Q257*Ramure*Pc/MaxiM</f>
        <v>1.1947818275955644E-3</v>
      </c>
      <c r="Q257" s="305">
        <f t="shared" si="80"/>
        <v>0.7</v>
      </c>
      <c r="R257" s="177">
        <f t="shared" si="81"/>
        <v>0.98354905893419886</v>
      </c>
      <c r="S257" s="921">
        <f t="shared" si="82"/>
        <v>0</v>
      </c>
      <c r="T257" s="176">
        <f t="shared" si="83"/>
        <v>6</v>
      </c>
      <c r="U257" s="251">
        <f t="shared" si="84"/>
        <v>0.98354905893419886</v>
      </c>
      <c r="V257" s="383">
        <f t="shared" si="85"/>
        <v>43.101497540349648</v>
      </c>
      <c r="W257" s="402">
        <f t="shared" si="86"/>
        <v>19.037106199038025</v>
      </c>
      <c r="X257" s="157">
        <f t="shared" si="87"/>
        <v>45169</v>
      </c>
      <c r="Y257" s="385">
        <f t="shared" si="88"/>
        <v>18.249064782818415</v>
      </c>
      <c r="Z257" s="385">
        <f t="shared" si="89"/>
        <v>19.03536640885137</v>
      </c>
      <c r="AA257" s="386">
        <f t="shared" si="90"/>
        <v>22.535623909983467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0.15532108252753782</v>
      </c>
      <c r="AD257" s="231">
        <f>(INDEX(Models!$BJ257:$BT257,,AH257)*(1-AF257)+INDEX(Models!$BJ257:$BT257,,AH257+1)*AF257-ERP_i)*AE257*Ramure*Pc/MaxiM</f>
        <v>1.1947818275955644E-3</v>
      </c>
      <c r="AE257" s="305">
        <f t="shared" si="92"/>
        <v>0.7</v>
      </c>
      <c r="AF257" s="177">
        <f t="shared" si="93"/>
        <v>0.98354905893419886</v>
      </c>
      <c r="AG257" s="921">
        <f t="shared" si="99"/>
        <v>0</v>
      </c>
      <c r="AH257" s="176">
        <f t="shared" si="94"/>
        <v>6</v>
      </c>
      <c r="AI257" s="225">
        <f t="shared" si="95"/>
        <v>0.98354905893419886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38.69508012616329</v>
      </c>
      <c r="C258" s="955"/>
      <c r="D258" s="393">
        <f t="shared" si="77"/>
        <v>40.363227947534988</v>
      </c>
      <c r="E258" s="385">
        <f t="shared" si="100"/>
        <v>45.808892677530089</v>
      </c>
      <c r="F258" s="385">
        <f t="shared" si="78"/>
        <v>45.85561610961534</v>
      </c>
      <c r="G258" s="110">
        <f t="shared" si="101"/>
        <v>0.89978242673498399</v>
      </c>
      <c r="H258" s="414" t="b">
        <f>Wh_hp&gt;='2022'!Maxi_hp</f>
        <v>0</v>
      </c>
      <c r="I258" s="390">
        <f>IF(H258,Wh_hp,'2022'!Maxi_hp)</f>
        <v>52.083506608695828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4.1328404743545044E-2</v>
      </c>
      <c r="M258" s="959"/>
      <c r="N258" s="959"/>
      <c r="O258" s="48">
        <f>IF(t&lt;Tnet,'2022'!Resal+('2022'!Salim-'2022'!Resal)*(1-EXP(('2022'!Tnet-t)/('2022'!Tau_j))),Resal+(Salim-Resal)*(1-EXP((Tnet-t)/(Tau_j))))*Salcycl</f>
        <v>0.11887789491725212</v>
      </c>
      <c r="P258" s="169">
        <f>(INDEX(Models!$BJ258:$BT258,,T258)*(1-R258)+INDEX(Models!$BJ258:$BT258,,T258+1)*R258-ERP_i)*Q258*Ramure*Pc/MaxiM</f>
        <v>1.1888735470485781E-3</v>
      </c>
      <c r="Q258" s="305">
        <f t="shared" si="80"/>
        <v>0.7</v>
      </c>
      <c r="R258" s="177">
        <f t="shared" si="81"/>
        <v>0.98419817091682038</v>
      </c>
      <c r="S258" s="921">
        <f t="shared" si="82"/>
        <v>0</v>
      </c>
      <c r="T258" s="176">
        <f t="shared" si="83"/>
        <v>6</v>
      </c>
      <c r="U258" s="251">
        <f t="shared" si="84"/>
        <v>0.98419817091682038</v>
      </c>
      <c r="V258" s="383">
        <f t="shared" si="85"/>
        <v>42.997613751057401</v>
      </c>
      <c r="W258" s="402">
        <f t="shared" si="86"/>
        <v>38.69508012616329</v>
      </c>
      <c r="X258" s="157">
        <f t="shared" si="87"/>
        <v>45170</v>
      </c>
      <c r="Y258" s="385">
        <f t="shared" si="88"/>
        <v>37.094867156444408</v>
      </c>
      <c r="Z258" s="385">
        <f t="shared" si="89"/>
        <v>38.694029676055159</v>
      </c>
      <c r="AA258" s="386">
        <f t="shared" si="90"/>
        <v>45.808892677530089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0.15531619704409205</v>
      </c>
      <c r="AD258" s="231">
        <f>(INDEX(Models!$BJ258:$BT258,,AH258)*(1-AF258)+INDEX(Models!$BJ258:$BT258,,AH258+1)*AF258-ERP_i)*AE258*Ramure*Pc/MaxiM</f>
        <v>1.1888735470485781E-3</v>
      </c>
      <c r="AE258" s="305">
        <f t="shared" si="92"/>
        <v>0.7</v>
      </c>
      <c r="AF258" s="177">
        <f t="shared" si="93"/>
        <v>0.98419817091682038</v>
      </c>
      <c r="AG258" s="921">
        <f t="shared" si="99"/>
        <v>0</v>
      </c>
      <c r="AH258" s="176">
        <f t="shared" si="94"/>
        <v>6</v>
      </c>
      <c r="AI258" s="225">
        <f t="shared" si="95"/>
        <v>0.98419817091682038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36.088780956990476</v>
      </c>
      <c r="C259" s="955"/>
      <c r="D259" s="393">
        <f t="shared" si="77"/>
        <v>37.645395555473272</v>
      </c>
      <c r="E259" s="385">
        <f t="shared" si="100"/>
        <v>42.725911577520215</v>
      </c>
      <c r="F259" s="385">
        <f t="shared" si="78"/>
        <v>42.765218267633088</v>
      </c>
      <c r="G259" s="110">
        <f t="shared" si="101"/>
        <v>0.84119244773826685</v>
      </c>
      <c r="H259" s="414" t="b">
        <f>Wh_hp&gt;='2022'!Maxi_hp</f>
        <v>0</v>
      </c>
      <c r="I259" s="390">
        <f>IF(H259,Wh_hp,'2022'!Maxi_hp)</f>
        <v>50.502495754224739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4.13494021118469E-2</v>
      </c>
      <c r="M259" s="959"/>
      <c r="N259" s="959"/>
      <c r="O259" s="48">
        <f>IF(t&lt;Tnet,'2022'!Resal+('2022'!Salim-'2022'!Resal)*(1-EXP(('2022'!Tnet-t)/('2022'!Tau_j))),Resal+(Salim-Resal)*(1-EXP((Tnet-t)/(Tau_j))))*Salcycl</f>
        <v>0.11890948219627927</v>
      </c>
      <c r="P259" s="169">
        <f>(INDEX(Models!$BJ259:$BT259,,T259)*(1-R259)+INDEX(Models!$BJ259:$BT259,,T259+1)*R259-ERP_i)*Q259*Ramure*Pc/MaxiM</f>
        <v>1.1883385577456948E-3</v>
      </c>
      <c r="Q259" s="305">
        <f t="shared" si="80"/>
        <v>0.7</v>
      </c>
      <c r="R259" s="177">
        <f t="shared" si="81"/>
        <v>0.98482278653102695</v>
      </c>
      <c r="S259" s="921">
        <f t="shared" si="82"/>
        <v>0</v>
      </c>
      <c r="T259" s="176">
        <f t="shared" si="83"/>
        <v>6</v>
      </c>
      <c r="U259" s="251">
        <f t="shared" si="84"/>
        <v>0.98482278653102695</v>
      </c>
      <c r="V259" s="383">
        <f t="shared" si="85"/>
        <v>42.890371423043838</v>
      </c>
      <c r="W259" s="402">
        <f t="shared" si="86"/>
        <v>36.088780956990476</v>
      </c>
      <c r="X259" s="157">
        <f t="shared" si="87"/>
        <v>45171</v>
      </c>
      <c r="Y259" s="385">
        <f t="shared" si="88"/>
        <v>34.597821776349711</v>
      </c>
      <c r="Z259" s="385">
        <f t="shared" si="89"/>
        <v>36.090126947781116</v>
      </c>
      <c r="AA259" s="386">
        <f t="shared" si="90"/>
        <v>42.725911577520215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0.15531054539818046</v>
      </c>
      <c r="AD259" s="231">
        <f>(INDEX(Models!$BJ259:$BT259,,AH259)*(1-AF259)+INDEX(Models!$BJ259:$BT259,,AH259+1)*AF259-ERP_i)*AE259*Ramure*Pc/MaxiM</f>
        <v>1.1883385577456948E-3</v>
      </c>
      <c r="AE259" s="305">
        <f t="shared" si="92"/>
        <v>0.7</v>
      </c>
      <c r="AF259" s="177">
        <f t="shared" si="93"/>
        <v>0.98482278653102695</v>
      </c>
      <c r="AG259" s="921">
        <f t="shared" si="99"/>
        <v>0</v>
      </c>
      <c r="AH259" s="176">
        <f t="shared" si="94"/>
        <v>6</v>
      </c>
      <c r="AI259" s="225">
        <f t="shared" si="95"/>
        <v>0.98482278653102695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34.300999786869788</v>
      </c>
      <c r="C260" s="955"/>
      <c r="D260" s="393">
        <f t="shared" si="77"/>
        <v>35.781285860371057</v>
      </c>
      <c r="E260" s="385">
        <f t="shared" si="100"/>
        <v>40.61165289965264</v>
      </c>
      <c r="F260" s="385">
        <f t="shared" si="78"/>
        <v>40.646421313577854</v>
      </c>
      <c r="G260" s="110">
        <f t="shared" si="101"/>
        <v>0.80154097698985993</v>
      </c>
      <c r="H260" s="414" t="b">
        <f>Wh_hp&gt;='2022'!Maxi_hp</f>
        <v>0</v>
      </c>
      <c r="I260" s="390">
        <f>IF(H260,Wh_hp,'2022'!Maxi_hp)</f>
        <v>52.236523625300045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4.1370399020252524E-2</v>
      </c>
      <c r="M260" s="959"/>
      <c r="N260" s="959"/>
      <c r="O260" s="48">
        <f>IF(t&lt;Tnet,'2022'!Resal+('2022'!Salim-'2022'!Resal)*(1-EXP(('2022'!Tnet-t)/('2022'!Tau_j))),Resal+(Salim-Resal)*(1-EXP((Tnet-t)/(Tau_j))))*Salcycl</f>
        <v>0.11894041966764914</v>
      </c>
      <c r="P260" s="169">
        <f>(INDEX(Models!$BJ260:$BT260,,T260)*(1-R260)+INDEX(Models!$BJ260:$BT260,,T260+1)*R260-ERP_i)*Q260*Ramure*Pc/MaxiM</f>
        <v>1.1932171548128981E-3</v>
      </c>
      <c r="Q260" s="305">
        <f t="shared" si="80"/>
        <v>0.7</v>
      </c>
      <c r="R260" s="177">
        <f t="shared" si="81"/>
        <v>0.98542376860965242</v>
      </c>
      <c r="S260" s="921">
        <f t="shared" si="82"/>
        <v>0</v>
      </c>
      <c r="T260" s="176">
        <f t="shared" si="83"/>
        <v>6</v>
      </c>
      <c r="U260" s="251">
        <f t="shared" si="84"/>
        <v>0.98542376860965242</v>
      </c>
      <c r="V260" s="383">
        <f t="shared" si="85"/>
        <v>42.779349943506617</v>
      </c>
      <c r="W260" s="402">
        <f t="shared" si="86"/>
        <v>34.300999786869788</v>
      </c>
      <c r="X260" s="157">
        <f t="shared" si="87"/>
        <v>45172</v>
      </c>
      <c r="Y260" s="385">
        <f t="shared" si="88"/>
        <v>32.885306045514135</v>
      </c>
      <c r="Z260" s="385">
        <f t="shared" si="89"/>
        <v>34.304496764865583</v>
      </c>
      <c r="AA260" s="386">
        <f t="shared" si="90"/>
        <v>40.61165289965264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0.15530409831807179</v>
      </c>
      <c r="AD260" s="231">
        <f>(INDEX(Models!$BJ260:$BT260,,AH260)*(1-AF260)+INDEX(Models!$BJ260:$BT260,,AH260+1)*AF260-ERP_i)*AE260*Ramure*Pc/MaxiM</f>
        <v>1.1932171548128981E-3</v>
      </c>
      <c r="AE260" s="305">
        <f t="shared" si="92"/>
        <v>0.7</v>
      </c>
      <c r="AF260" s="177">
        <f t="shared" si="93"/>
        <v>0.98542376860965242</v>
      </c>
      <c r="AG260" s="921">
        <f t="shared" si="99"/>
        <v>0</v>
      </c>
      <c r="AH260" s="176">
        <f t="shared" si="94"/>
        <v>6</v>
      </c>
      <c r="AI260" s="225">
        <f t="shared" si="95"/>
        <v>0.98542376860965242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40.993226093397936</v>
      </c>
      <c r="C261" s="955"/>
      <c r="D261" s="393">
        <f t="shared" si="77"/>
        <v>42.763256974356239</v>
      </c>
      <c r="E261" s="385">
        <f t="shared" si="100"/>
        <v>48.53783656660373</v>
      </c>
      <c r="F261" s="385">
        <f t="shared" si="78"/>
        <v>48.593043432213683</v>
      </c>
      <c r="G261" s="110">
        <f t="shared" si="101"/>
        <v>0.96073387457274251</v>
      </c>
      <c r="H261" s="414" t="b">
        <f>Wh_hp&gt;='2022'!Maxi_hp</f>
        <v>0</v>
      </c>
      <c r="I261" s="390">
        <f>IF(H261,Wh_hp,'2022'!Maxi_hp)</f>
        <v>51.364733019215166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4.1391395468772019E-2</v>
      </c>
      <c r="M261" s="959"/>
      <c r="N261" s="959"/>
      <c r="O261" s="48">
        <f>IF(t&lt;Tnet,'2022'!Resal+('2022'!Salim-'2022'!Resal)*(1-EXP(('2022'!Tnet-t)/('2022'!Tau_j))),Resal+(Salim-Resal)*(1-EXP((Tnet-t)/(Tau_j))))*Salcycl</f>
        <v>0.11897068350633225</v>
      </c>
      <c r="P261" s="169">
        <f>(INDEX(Models!$BJ261:$BT261,,T261)*(1-R261)+INDEX(Models!$BJ261:$BT261,,T261+1)*R261-ERP_i)*Q261*Ramure*Pc/MaxiM</f>
        <v>1.2035048574045681E-3</v>
      </c>
      <c r="Q261" s="305">
        <f t="shared" si="80"/>
        <v>0.7</v>
      </c>
      <c r="R261" s="177">
        <f t="shared" si="81"/>
        <v>0.9860019543354166</v>
      </c>
      <c r="S261" s="921">
        <f t="shared" si="82"/>
        <v>0</v>
      </c>
      <c r="T261" s="176">
        <f t="shared" si="83"/>
        <v>6</v>
      </c>
      <c r="U261" s="251">
        <f t="shared" si="84"/>
        <v>0.9860019543354166</v>
      </c>
      <c r="V261" s="383">
        <f t="shared" si="85"/>
        <v>42.665779935380122</v>
      </c>
      <c r="W261" s="402">
        <f t="shared" si="86"/>
        <v>40.993226093397936</v>
      </c>
      <c r="X261" s="157">
        <f t="shared" si="87"/>
        <v>45173</v>
      </c>
      <c r="Y261" s="385">
        <f t="shared" si="88"/>
        <v>39.303014748376391</v>
      </c>
      <c r="Z261" s="385">
        <f t="shared" si="89"/>
        <v>41.000064638055356</v>
      </c>
      <c r="AA261" s="386">
        <f t="shared" si="90"/>
        <v>48.53783656660373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0.15529682535819306</v>
      </c>
      <c r="AD261" s="231">
        <f>(INDEX(Models!$BJ261:$BT261,,AH261)*(1-AF261)+INDEX(Models!$BJ261:$BT261,,AH261+1)*AF261-ERP_i)*AE261*Ramure*Pc/MaxiM</f>
        <v>1.2035048574045681E-3</v>
      </c>
      <c r="AE261" s="305">
        <f t="shared" si="92"/>
        <v>0.7</v>
      </c>
      <c r="AF261" s="177">
        <f t="shared" si="93"/>
        <v>0.9860019543354166</v>
      </c>
      <c r="AG261" s="921">
        <f t="shared" si="99"/>
        <v>0</v>
      </c>
      <c r="AH261" s="176">
        <f t="shared" si="94"/>
        <v>6</v>
      </c>
      <c r="AI261" s="225">
        <f t="shared" si="95"/>
        <v>0.9860019543354166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37.637012643745216</v>
      </c>
      <c r="C262" s="955"/>
      <c r="D262" s="393">
        <f t="shared" si="77"/>
        <v>39.26298682388321</v>
      </c>
      <c r="E262" s="385">
        <f t="shared" si="100"/>
        <v>44.566399451382793</v>
      </c>
      <c r="F262" s="385">
        <f t="shared" si="78"/>
        <v>44.611843602044424</v>
      </c>
      <c r="G262" s="110">
        <f t="shared" si="101"/>
        <v>0.88433798779148798</v>
      </c>
      <c r="H262" s="414" t="b">
        <f>Wh_hp&gt;='2022'!Maxi_hp</f>
        <v>0</v>
      </c>
      <c r="I262" s="390">
        <f>IF(H262,Wh_hp,'2022'!Maxi_hp)</f>
        <v>50.98450100113412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4.1412391457415376E-2</v>
      </c>
      <c r="M262" s="959"/>
      <c r="N262" s="959"/>
      <c r="O262" s="48">
        <f>IF(t&lt;Tnet,'2022'!Resal+('2022'!Salim-'2022'!Resal)*(1-EXP(('2022'!Tnet-t)/('2022'!Tau_j))),Resal+(Salim-Resal)*(1-EXP((Tnet-t)/(Tau_j))))*Salcycl</f>
        <v>0.1190002489046719</v>
      </c>
      <c r="P262" s="169">
        <f>(INDEX(Models!$BJ262:$BT262,,T262)*(1-R262)+INDEX(Models!$BJ262:$BT262,,T262+1)*R262-ERP_i)*Q262*Ramure*Pc/MaxiM</f>
        <v>1.219914290857321E-3</v>
      </c>
      <c r="Q262" s="305">
        <f t="shared" si="80"/>
        <v>0.7</v>
      </c>
      <c r="R262" s="177">
        <f t="shared" si="81"/>
        <v>0.9865581556281886</v>
      </c>
      <c r="S262" s="921">
        <f t="shared" si="82"/>
        <v>0</v>
      </c>
      <c r="T262" s="176">
        <f t="shared" si="83"/>
        <v>6</v>
      </c>
      <c r="U262" s="251">
        <f t="shared" si="84"/>
        <v>0.9865581556281886</v>
      </c>
      <c r="V262" s="383">
        <f t="shared" si="85"/>
        <v>42.550959816853059</v>
      </c>
      <c r="W262" s="402">
        <f t="shared" si="86"/>
        <v>37.637012643745216</v>
      </c>
      <c r="X262" s="157">
        <f t="shared" si="87"/>
        <v>45174</v>
      </c>
      <c r="Y262" s="385">
        <f t="shared" si="88"/>
        <v>36.086741265959816</v>
      </c>
      <c r="Z262" s="385">
        <f t="shared" si="89"/>
        <v>37.645741447487829</v>
      </c>
      <c r="AA262" s="386">
        <f t="shared" si="90"/>
        <v>44.566399451382793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0.15528869482590044</v>
      </c>
      <c r="AD262" s="231">
        <f>(INDEX(Models!$BJ262:$BT262,,AH262)*(1-AF262)+INDEX(Models!$BJ262:$BT262,,AH262+1)*AF262-ERP_i)*AE262*Ramure*Pc/MaxiM</f>
        <v>1.219914290857321E-3</v>
      </c>
      <c r="AE262" s="305">
        <f t="shared" si="92"/>
        <v>0.7</v>
      </c>
      <c r="AF262" s="177">
        <f t="shared" si="93"/>
        <v>0.9865581556281886</v>
      </c>
      <c r="AG262" s="921">
        <f t="shared" si="99"/>
        <v>0</v>
      </c>
      <c r="AH262" s="176">
        <f t="shared" si="94"/>
        <v>6</v>
      </c>
      <c r="AI262" s="225">
        <f t="shared" si="95"/>
        <v>0.9865581556281886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40.524406845757596</v>
      </c>
      <c r="C263" s="955"/>
      <c r="D263" s="393">
        <f t="shared" si="77"/>
        <v>42.276046646717369</v>
      </c>
      <c r="E263" s="385">
        <f t="shared" si="100"/>
        <v>47.988016593578074</v>
      </c>
      <c r="F263" s="385">
        <f t="shared" si="78"/>
        <v>48.04371530864465</v>
      </c>
      <c r="G263" s="110">
        <f t="shared" si="101"/>
        <v>0.95490512412871908</v>
      </c>
      <c r="H263" s="414" t="b">
        <f>Wh_hp&gt;='2022'!Maxi_hp</f>
        <v>0</v>
      </c>
      <c r="I263" s="390">
        <f>IF(H263,Wh_hp,'2022'!Maxi_hp)</f>
        <v>50.093779259666192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4.14333869861927E-2</v>
      </c>
      <c r="M263" s="959"/>
      <c r="N263" s="959"/>
      <c r="O263" s="48">
        <f>IF(t&lt;Tnet,'2022'!Resal+('2022'!Salim-'2022'!Resal)*(1-EXP(('2022'!Tnet-t)/('2022'!Tau_j))),Resal+(Salim-Resal)*(1-EXP((Tnet-t)/(Tau_j))))*Salcycl</f>
        <v>0.11902909001713359</v>
      </c>
      <c r="P263" s="169">
        <f>(INDEX(Models!$BJ263:$BT263,,T263)*(1-R263)+INDEX(Models!$BJ263:$BT263,,T263+1)*R263-ERP_i)*Q263*Ramure*Pc/MaxiM</f>
        <v>1.2390183103187301E-3</v>
      </c>
      <c r="Q263" s="305">
        <f t="shared" si="80"/>
        <v>0.7</v>
      </c>
      <c r="R263" s="177">
        <f t="shared" si="81"/>
        <v>0.98709315955982024</v>
      </c>
      <c r="S263" s="921">
        <f t="shared" si="82"/>
        <v>0</v>
      </c>
      <c r="T263" s="176">
        <f t="shared" si="83"/>
        <v>6</v>
      </c>
      <c r="U263" s="251">
        <f t="shared" si="84"/>
        <v>0.98709315955982024</v>
      </c>
      <c r="V263" s="383">
        <f t="shared" si="85"/>
        <v>42.434764372372655</v>
      </c>
      <c r="W263" s="402">
        <f t="shared" si="86"/>
        <v>40.524406845757596</v>
      </c>
      <c r="X263" s="157">
        <f t="shared" si="87"/>
        <v>45175</v>
      </c>
      <c r="Y263" s="385">
        <f t="shared" si="88"/>
        <v>38.856890489238694</v>
      </c>
      <c r="Z263" s="385">
        <f t="shared" si="89"/>
        <v>40.536453034880523</v>
      </c>
      <c r="AA263" s="386">
        <f t="shared" si="90"/>
        <v>47.988016593578074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0.15527967371118112</v>
      </c>
      <c r="AD263" s="231">
        <f>(INDEX(Models!$BJ263:$BT263,,AH263)*(1-AF263)+INDEX(Models!$BJ263:$BT263,,AH263+1)*AF263-ERP_i)*AE263*Ramure*Pc/MaxiM</f>
        <v>1.2390183103187301E-3</v>
      </c>
      <c r="AE263" s="305">
        <f t="shared" si="92"/>
        <v>0.7</v>
      </c>
      <c r="AF263" s="177">
        <f t="shared" si="93"/>
        <v>0.98709315955982024</v>
      </c>
      <c r="AG263" s="921">
        <f t="shared" si="99"/>
        <v>0</v>
      </c>
      <c r="AH263" s="176">
        <f t="shared" si="94"/>
        <v>6</v>
      </c>
      <c r="AI263" s="225">
        <f t="shared" si="95"/>
        <v>0.98709315955982024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32.422620446473083</v>
      </c>
      <c r="C264" s="955"/>
      <c r="D264" s="393">
        <f t="shared" si="77"/>
        <v>33.824806915279545</v>
      </c>
      <c r="E264" s="385">
        <f t="shared" si="100"/>
        <v>38.396143477042258</v>
      </c>
      <c r="F264" s="385">
        <f t="shared" si="78"/>
        <v>38.42841151875075</v>
      </c>
      <c r="G264" s="110">
        <f t="shared" si="101"/>
        <v>0.76586277267932512</v>
      </c>
      <c r="H264" s="414" t="b">
        <f>Wh_hp&gt;='2022'!Maxi_hp</f>
        <v>0</v>
      </c>
      <c r="I264" s="390">
        <f>IF(H264,Wh_hp,'2022'!Maxi_hp)</f>
        <v>51.37719632099251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4.1454382055114092E-2</v>
      </c>
      <c r="M264" s="959"/>
      <c r="N264" s="959"/>
      <c r="O264" s="48">
        <f>IF(t&lt;Tnet,'2022'!Resal+('2022'!Salim-'2022'!Resal)*(1-EXP(('2022'!Tnet-t)/('2022'!Tau_j))),Resal+(Salim-Resal)*(1-EXP((Tnet-t)/(Tau_j))))*Salcycl</f>
        <v>0.11905717990912294</v>
      </c>
      <c r="P264" s="169">
        <f>(INDEX(Models!$BJ264:$BT264,,T264)*(1-R264)+INDEX(Models!$BJ264:$BT264,,T264+1)*R264-ERP_i)*Q264*Ramure*Pc/MaxiM</f>
        <v>1.2608378884161301E-3</v>
      </c>
      <c r="Q264" s="305">
        <f t="shared" si="80"/>
        <v>0.7</v>
      </c>
      <c r="R264" s="177">
        <f t="shared" si="81"/>
        <v>0.98760772879285774</v>
      </c>
      <c r="S264" s="921">
        <f t="shared" si="82"/>
        <v>0</v>
      </c>
      <c r="T264" s="176">
        <f t="shared" si="83"/>
        <v>6</v>
      </c>
      <c r="U264" s="251">
        <f t="shared" si="84"/>
        <v>0.98760772879285774</v>
      </c>
      <c r="V264" s="383">
        <f t="shared" si="85"/>
        <v>42.316920842849662</v>
      </c>
      <c r="W264" s="402">
        <f t="shared" si="86"/>
        <v>32.422620446473083</v>
      </c>
      <c r="X264" s="157">
        <f t="shared" si="87"/>
        <v>45176</v>
      </c>
      <c r="Y264" s="385">
        <f t="shared" si="88"/>
        <v>31.08983736099858</v>
      </c>
      <c r="Z264" s="385">
        <f t="shared" si="89"/>
        <v>32.434384737635064</v>
      </c>
      <c r="AA264" s="386">
        <f t="shared" si="90"/>
        <v>38.396143477042258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0.15526972762178162</v>
      </c>
      <c r="AD264" s="231">
        <f>(INDEX(Models!$BJ264:$BT264,,AH264)*(1-AF264)+INDEX(Models!$BJ264:$BT264,,AH264+1)*AF264-ERP_i)*AE264*Ramure*Pc/MaxiM</f>
        <v>1.2608378884161301E-3</v>
      </c>
      <c r="AE264" s="305">
        <f t="shared" si="92"/>
        <v>0.7</v>
      </c>
      <c r="AF264" s="177">
        <f t="shared" si="93"/>
        <v>0.98760772879285774</v>
      </c>
      <c r="AG264" s="921">
        <f t="shared" si="99"/>
        <v>0</v>
      </c>
      <c r="AH264" s="176">
        <f t="shared" si="94"/>
        <v>6</v>
      </c>
      <c r="AI264" s="225">
        <f t="shared" si="95"/>
        <v>0.98760772879285774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35.569067583122255</v>
      </c>
      <c r="C265" s="955"/>
      <c r="D265" s="393">
        <f t="shared" si="77"/>
        <v>37.108141739057814</v>
      </c>
      <c r="E265" s="385">
        <f t="shared" si="100"/>
        <v>42.12451857115903</v>
      </c>
      <c r="F265" s="385">
        <f t="shared" si="78"/>
        <v>42.166557039894556</v>
      </c>
      <c r="G265" s="110">
        <f t="shared" si="101"/>
        <v>0.84268232620307393</v>
      </c>
      <c r="H265" s="414" t="b">
        <f>Wh_hp&gt;='2022'!Maxi_hp</f>
        <v>0</v>
      </c>
      <c r="I265" s="390">
        <f>IF(H265,Wh_hp,'2022'!Maxi_hp)</f>
        <v>49.21838095853591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4.1475376664189545E-2</v>
      </c>
      <c r="M265" s="959"/>
      <c r="N265" s="959"/>
      <c r="O265" s="48">
        <f>IF(t&lt;Tnet,'2022'!Resal+('2022'!Salim-'2022'!Resal)*(1-EXP(('2022'!Tnet-t)/('2022'!Tau_j))),Resal+(Salim-Resal)*(1-EXP((Tnet-t)/(Tau_j))))*Salcycl</f>
        <v>0.11908449051179726</v>
      </c>
      <c r="P265" s="169">
        <f>(INDEX(Models!$BJ265:$BT265,,T265)*(1-R265)+INDEX(Models!$BJ265:$BT265,,T265+1)*R265-ERP_i)*Q265*Ramure*Pc/MaxiM</f>
        <v>1.2853943606087573E-3</v>
      </c>
      <c r="Q265" s="305">
        <f t="shared" si="80"/>
        <v>0.7</v>
      </c>
      <c r="R265" s="177">
        <f t="shared" si="81"/>
        <v>0.98810260203970368</v>
      </c>
      <c r="S265" s="921">
        <f t="shared" si="82"/>
        <v>0</v>
      </c>
      <c r="T265" s="176">
        <f t="shared" si="83"/>
        <v>6</v>
      </c>
      <c r="U265" s="251">
        <f t="shared" si="84"/>
        <v>0.98810260203970368</v>
      </c>
      <c r="V265" s="383">
        <f t="shared" si="85"/>
        <v>42.197156604038</v>
      </c>
      <c r="W265" s="402">
        <f t="shared" si="86"/>
        <v>35.569067583122255</v>
      </c>
      <c r="X265" s="157">
        <f t="shared" si="87"/>
        <v>45177</v>
      </c>
      <c r="Y265" s="385">
        <f t="shared" si="88"/>
        <v>34.108442605682598</v>
      </c>
      <c r="Z265" s="385">
        <f t="shared" si="89"/>
        <v>35.584315494139382</v>
      </c>
      <c r="AA265" s="386">
        <f t="shared" si="90"/>
        <v>42.12451857115903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0.15525882072626135</v>
      </c>
      <c r="AD265" s="231">
        <f>(INDEX(Models!$BJ265:$BT265,,AH265)*(1-AF265)+INDEX(Models!$BJ265:$BT265,,AH265+1)*AF265-ERP_i)*AE265*Ramure*Pc/MaxiM</f>
        <v>1.2853943606087573E-3</v>
      </c>
      <c r="AE265" s="305">
        <f t="shared" si="92"/>
        <v>0.7</v>
      </c>
      <c r="AF265" s="177">
        <f t="shared" si="93"/>
        <v>0.98810260203970368</v>
      </c>
      <c r="AG265" s="921">
        <f t="shared" si="99"/>
        <v>0</v>
      </c>
      <c r="AH265" s="176">
        <f t="shared" si="94"/>
        <v>6</v>
      </c>
      <c r="AI265" s="225">
        <f t="shared" si="95"/>
        <v>0.98810260203970368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18.406188699259889</v>
      </c>
      <c r="C266" s="955"/>
      <c r="D266" s="393">
        <f t="shared" si="77"/>
        <v>19.203045391575834</v>
      </c>
      <c r="E266" s="385">
        <f t="shared" si="100"/>
        <v>21.799619736342272</v>
      </c>
      <c r="F266" s="385">
        <f t="shared" si="78"/>
        <v>21.805240634736183</v>
      </c>
      <c r="G266" s="110">
        <f t="shared" si="101"/>
        <v>0.43699772735312137</v>
      </c>
      <c r="H266" s="414" t="b">
        <f>Wh_hp&gt;='2022'!Maxi_hp</f>
        <v>0</v>
      </c>
      <c r="I266" s="390">
        <f>IF(H266,Wh_hp,'2022'!Maxi_hp)</f>
        <v>48.849649959056784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4.1496370813429273E-2</v>
      </c>
      <c r="M266" s="959"/>
      <c r="N266" s="959"/>
      <c r="O266" s="48">
        <f>IF(t&lt;Tnet,'2022'!Resal+('2022'!Salim-'2022'!Resal)*(1-EXP(('2022'!Tnet-t)/('2022'!Tau_j))),Resal+(Salim-Resal)*(1-EXP((Tnet-t)/(Tau_j))))*Salcycl</f>
        <v>0.11911099258477775</v>
      </c>
      <c r="P266" s="169">
        <f>(INDEX(Models!$BJ266:$BT266,,T266)*(1-R266)+INDEX(Models!$BJ266:$BT266,,T266+1)*R266-ERP_i)*Q266*Ramure*Pc/MaxiM</f>
        <v>1.3127095614835205E-3</v>
      </c>
      <c r="Q266" s="305">
        <f t="shared" si="80"/>
        <v>0.7</v>
      </c>
      <c r="R266" s="177">
        <f t="shared" si="81"/>
        <v>0.98857849453905877</v>
      </c>
      <c r="S266" s="921">
        <f t="shared" si="82"/>
        <v>0</v>
      </c>
      <c r="T266" s="176">
        <f t="shared" si="83"/>
        <v>6</v>
      </c>
      <c r="U266" s="251">
        <f t="shared" si="84"/>
        <v>0.98857849453905877</v>
      </c>
      <c r="V266" s="383">
        <f t="shared" si="85"/>
        <v>42.075199163401074</v>
      </c>
      <c r="W266" s="402">
        <f t="shared" si="86"/>
        <v>18.406188699259889</v>
      </c>
      <c r="X266" s="157">
        <f t="shared" si="87"/>
        <v>45178</v>
      </c>
      <c r="Y266" s="385">
        <f t="shared" si="88"/>
        <v>17.651128056864859</v>
      </c>
      <c r="Z266" s="385">
        <f t="shared" si="89"/>
        <v>18.415296008680112</v>
      </c>
      <c r="AA266" s="386">
        <f t="shared" si="90"/>
        <v>21.799619736342272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0.1552469157074394</v>
      </c>
      <c r="AD266" s="231">
        <f>(INDEX(Models!$BJ266:$BT266,,AH266)*(1-AF266)+INDEX(Models!$BJ266:$BT266,,AH266+1)*AF266-ERP_i)*AE266*Ramure*Pc/MaxiM</f>
        <v>1.3127095614835205E-3</v>
      </c>
      <c r="AE266" s="305">
        <f t="shared" si="92"/>
        <v>0.7</v>
      </c>
      <c r="AF266" s="177">
        <f t="shared" si="93"/>
        <v>0.98857849453905877</v>
      </c>
      <c r="AG266" s="921">
        <f t="shared" si="99"/>
        <v>0</v>
      </c>
      <c r="AH266" s="176">
        <f t="shared" si="94"/>
        <v>6</v>
      </c>
      <c r="AI266" s="225">
        <f t="shared" si="95"/>
        <v>0.98857849453905877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40.184138785767452</v>
      </c>
      <c r="C267" s="955"/>
      <c r="D267" s="393">
        <f t="shared" si="77"/>
        <v>41.924743649554252</v>
      </c>
      <c r="E267" s="385">
        <f t="shared" si="100"/>
        <v>47.595059915144397</v>
      </c>
      <c r="F267" s="385">
        <f t="shared" si="78"/>
        <v>47.655201850618731</v>
      </c>
      <c r="G267" s="110">
        <f t="shared" si="101"/>
        <v>0.95781037068868546</v>
      </c>
      <c r="H267" s="414" t="b">
        <f>Wh_hp&gt;='2022'!Maxi_hp</f>
        <v>0</v>
      </c>
      <c r="I267" s="390">
        <f>IF(H267,Wh_hp,'2022'!Maxi_hp)</f>
        <v>47.65643970170953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4.1517364502843157E-2</v>
      </c>
      <c r="M267" s="959"/>
      <c r="N267" s="959"/>
      <c r="O267" s="48">
        <f>IF(t&lt;Tnet,'2022'!Resal+('2022'!Salim-'2022'!Resal)*(1-EXP(('2022'!Tnet-t)/('2022'!Tau_j))),Resal+(Salim-Resal)*(1-EXP((Tnet-t)/(Tau_j))))*Salcycl</f>
        <v>0.11913665568862736</v>
      </c>
      <c r="P267" s="169">
        <f>(INDEX(Models!$BJ267:$BT267,,T267)*(1-R267)+INDEX(Models!$BJ267:$BT267,,T267+1)*R267-ERP_i)*Q267*Ramure*Pc/MaxiM</f>
        <v>1.3428059629368545E-3</v>
      </c>
      <c r="Q267" s="305">
        <f t="shared" si="80"/>
        <v>0.7</v>
      </c>
      <c r="R267" s="177">
        <f t="shared" si="81"/>
        <v>0.9890360985467237</v>
      </c>
      <c r="S267" s="921">
        <f t="shared" si="82"/>
        <v>0</v>
      </c>
      <c r="T267" s="176">
        <f t="shared" si="83"/>
        <v>6</v>
      </c>
      <c r="U267" s="251">
        <f t="shared" si="84"/>
        <v>0.9890360985467237</v>
      </c>
      <c r="V267" s="383">
        <f t="shared" si="85"/>
        <v>41.950776164335672</v>
      </c>
      <c r="W267" s="402">
        <f t="shared" si="86"/>
        <v>40.184138785767452</v>
      </c>
      <c r="X267" s="157">
        <f t="shared" si="87"/>
        <v>45179</v>
      </c>
      <c r="Y267" s="385">
        <f t="shared" si="88"/>
        <v>38.537413845648672</v>
      </c>
      <c r="Z267" s="385">
        <f t="shared" si="89"/>
        <v>40.20668963466369</v>
      </c>
      <c r="AA267" s="386">
        <f t="shared" si="90"/>
        <v>47.595059915144397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0.15523397372864289</v>
      </c>
      <c r="AD267" s="231">
        <f>(INDEX(Models!$BJ267:$BT267,,AH267)*(1-AF267)+INDEX(Models!$BJ267:$BT267,,AH267+1)*AF267-ERP_i)*AE267*Ramure*Pc/MaxiM</f>
        <v>1.3428059629368545E-3</v>
      </c>
      <c r="AE267" s="305">
        <f t="shared" si="92"/>
        <v>0.7</v>
      </c>
      <c r="AF267" s="177">
        <f t="shared" si="93"/>
        <v>0.9890360985467237</v>
      </c>
      <c r="AG267" s="921">
        <f t="shared" si="99"/>
        <v>0</v>
      </c>
      <c r="AH267" s="176">
        <f t="shared" si="94"/>
        <v>6</v>
      </c>
      <c r="AI267" s="225">
        <f t="shared" si="95"/>
        <v>0.9890360985467237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40.937037729343523</v>
      </c>
      <c r="C268" s="955"/>
      <c r="D268" s="393">
        <f t="shared" si="77"/>
        <v>42.71119043688946</v>
      </c>
      <c r="E268" s="385">
        <f t="shared" si="100"/>
        <v>48.489238292420779</v>
      </c>
      <c r="F268" s="385">
        <f t="shared" si="78"/>
        <v>48.554025399263679</v>
      </c>
      <c r="G268" s="110">
        <f t="shared" si="101"/>
        <v>0.97876143081552613</v>
      </c>
      <c r="H268" s="414" t="b">
        <f>Wh_hp&gt;='2022'!Maxi_hp</f>
        <v>0</v>
      </c>
      <c r="I268" s="390">
        <f>IF(H268,Wh_hp,'2022'!Maxi_hp)</f>
        <v>48.554675543280503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4.15383577324413E-2</v>
      </c>
      <c r="M268" s="959"/>
      <c r="N268" s="959"/>
      <c r="O268" s="48">
        <f>IF(t&lt;Tnet,'2022'!Resal+('2022'!Salim-'2022'!Resal)*(1-EXP(('2022'!Tnet-t)/('2022'!Tau_j))),Resal+(Salim-Resal)*(1-EXP((Tnet-t)/(Tau_j))))*Salcycl</f>
        <v>0.11916144816889125</v>
      </c>
      <c r="P268" s="169">
        <f>(INDEX(Models!$BJ268:$BT268,,T268)*(1-R268)+INDEX(Models!$BJ268:$BT268,,T268+1)*R268-ERP_i)*Q268*Ramure*Pc/MaxiM</f>
        <v>1.3759989382601532E-3</v>
      </c>
      <c r="Q268" s="305">
        <f t="shared" si="80"/>
        <v>0.7</v>
      </c>
      <c r="R268" s="177">
        <f t="shared" si="81"/>
        <v>0.98947608383806041</v>
      </c>
      <c r="S268" s="921">
        <f t="shared" si="82"/>
        <v>0</v>
      </c>
      <c r="T268" s="176">
        <f t="shared" si="83"/>
        <v>6</v>
      </c>
      <c r="U268" s="251">
        <f t="shared" si="84"/>
        <v>0.98947608383806041</v>
      </c>
      <c r="V268" s="383">
        <f t="shared" si="85"/>
        <v>41.823603148238917</v>
      </c>
      <c r="W268" s="402">
        <f t="shared" si="86"/>
        <v>40.937037729343523</v>
      </c>
      <c r="X268" s="157">
        <f t="shared" si="87"/>
        <v>45180</v>
      </c>
      <c r="Y268" s="385">
        <f t="shared" si="88"/>
        <v>39.26121594838834</v>
      </c>
      <c r="Z268" s="385">
        <f t="shared" si="89"/>
        <v>40.962740935049752</v>
      </c>
      <c r="AA268" s="386">
        <f t="shared" si="90"/>
        <v>48.489238292420779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0.15521995441507022</v>
      </c>
      <c r="AD268" s="231">
        <f>(INDEX(Models!$BJ268:$BT268,,AH268)*(1-AF268)+INDEX(Models!$BJ268:$BT268,,AH268+1)*AF268-ERP_i)*AE268*Ramure*Pc/MaxiM</f>
        <v>1.3759989382601532E-3</v>
      </c>
      <c r="AE268" s="305">
        <f t="shared" si="92"/>
        <v>0.7</v>
      </c>
      <c r="AF268" s="177">
        <f t="shared" si="93"/>
        <v>0.98947608383806041</v>
      </c>
      <c r="AG268" s="921">
        <f t="shared" si="99"/>
        <v>0</v>
      </c>
      <c r="AH268" s="176">
        <f t="shared" si="94"/>
        <v>6</v>
      </c>
      <c r="AI268" s="225">
        <f t="shared" si="95"/>
        <v>0.98947608383806041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28.797248324625421</v>
      </c>
      <c r="C269" s="955"/>
      <c r="D269" s="393">
        <f t="shared" si="77"/>
        <v>30.045937992838173</v>
      </c>
      <c r="E269" s="385">
        <f t="shared" si="100"/>
        <v>34.111532493948843</v>
      </c>
      <c r="F269" s="385">
        <f t="shared" si="78"/>
        <v>34.138405016162551</v>
      </c>
      <c r="G269" s="110">
        <f t="shared" si="101"/>
        <v>0.69025855330420605</v>
      </c>
      <c r="H269" s="414" t="b">
        <f>Wh_hp&gt;='2022'!Maxi_hp</f>
        <v>0</v>
      </c>
      <c r="I269" s="390">
        <f>IF(H269,Wh_hp,'2022'!Maxi_hp)</f>
        <v>49.547587041399964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4.1559350502234027E-2</v>
      </c>
      <c r="M269" s="959"/>
      <c r="N269" s="959"/>
      <c r="O269" s="48">
        <f>IF(t&lt;Tnet,'2022'!Resal+('2022'!Salim-'2022'!Resal)*(1-EXP(('2022'!Tnet-t)/('2022'!Tau_j))),Resal+(Salim-Resal)*(1-EXP((Tnet-t)/(Tau_j))))*Salcycl</f>
        <v>0.11918533715340635</v>
      </c>
      <c r="P269" s="169">
        <f>(INDEX(Models!$BJ269:$BT269,,T269)*(1-R269)+INDEX(Models!$BJ269:$BT269,,T269+1)*R269-ERP_i)*Q269*Ramure*Pc/MaxiM</f>
        <v>1.4103655536160582E-3</v>
      </c>
      <c r="Q269" s="305">
        <f t="shared" si="80"/>
        <v>0.7</v>
      </c>
      <c r="R269" s="177">
        <f t="shared" si="81"/>
        <v>0.98989909821964739</v>
      </c>
      <c r="S269" s="921">
        <f t="shared" si="82"/>
        <v>0</v>
      </c>
      <c r="T269" s="176">
        <f t="shared" si="83"/>
        <v>6</v>
      </c>
      <c r="U269" s="251">
        <f t="shared" si="84"/>
        <v>0.98989909821964739</v>
      </c>
      <c r="V269" s="383">
        <f t="shared" si="85"/>
        <v>41.693489429383121</v>
      </c>
      <c r="W269" s="402">
        <f t="shared" si="86"/>
        <v>28.797248324625421</v>
      </c>
      <c r="X269" s="157">
        <f t="shared" si="87"/>
        <v>45181</v>
      </c>
      <c r="Y269" s="385">
        <f t="shared" si="88"/>
        <v>27.619631833469366</v>
      </c>
      <c r="Z269" s="385">
        <f t="shared" si="89"/>
        <v>28.817258374780298</v>
      </c>
      <c r="AA269" s="386">
        <f t="shared" si="90"/>
        <v>34.111532493948843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0.15520481585246024</v>
      </c>
      <c r="AD269" s="231">
        <f>(INDEX(Models!$BJ269:$BT269,,AH269)*(1-AF269)+INDEX(Models!$BJ269:$BT269,,AH269+1)*AF269-ERP_i)*AE269*Ramure*Pc/MaxiM</f>
        <v>1.4103655536160582E-3</v>
      </c>
      <c r="AE269" s="305">
        <f t="shared" si="92"/>
        <v>0.7</v>
      </c>
      <c r="AF269" s="177">
        <f t="shared" si="93"/>
        <v>0.98989909821964739</v>
      </c>
      <c r="AG269" s="921">
        <f t="shared" si="99"/>
        <v>0</v>
      </c>
      <c r="AH269" s="176">
        <f t="shared" si="94"/>
        <v>6</v>
      </c>
      <c r="AI269" s="225">
        <f t="shared" si="95"/>
        <v>0.98989909821964739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10.405245523456335</v>
      </c>
      <c r="C270" s="955"/>
      <c r="D270" s="393">
        <f t="shared" si="77"/>
        <v>10.856669565801477</v>
      </c>
      <c r="E270" s="385">
        <f t="shared" si="100"/>
        <v>12.326035116869015</v>
      </c>
      <c r="F270" s="385">
        <f t="shared" si="78"/>
        <v>12.326035116869015</v>
      </c>
      <c r="G270" s="110">
        <f t="shared" si="101"/>
        <v>0.25000384161534178</v>
      </c>
      <c r="H270" s="414" t="b">
        <f>Wh_hp&gt;='2022'!Maxi_hp</f>
        <v>0</v>
      </c>
      <c r="I270" s="390">
        <f>IF(H270,Wh_hp,'2022'!Maxi_hp)</f>
        <v>47.552887947991515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4.1580342812231108E-2</v>
      </c>
      <c r="M270" s="959"/>
      <c r="N270" s="959"/>
      <c r="O270" s="48">
        <f>IF(t&lt;Tnet,'2022'!Resal+('2022'!Salim-'2022'!Resal)*(1-EXP(('2022'!Tnet-t)/('2022'!Tau_j))),Resal+(Salim-Resal)*(1-EXP((Tnet-t)/(Tau_j))))*Salcycl</f>
        <v>0.1192082885644721</v>
      </c>
      <c r="P270" s="169">
        <f>(INDEX(Models!$BJ270:$BT270,,T270)*(1-R270)+INDEX(Models!$BJ270:$BT270,,T270+1)*R270-ERP_i)*Q270*Ramure*Pc/MaxiM</f>
        <v>1.4459208559102817E-3</v>
      </c>
      <c r="Q270" s="305">
        <f t="shared" si="80"/>
        <v>0.7</v>
      </c>
      <c r="R270" s="177">
        <f t="shared" si="81"/>
        <v>0.99030576804785753</v>
      </c>
      <c r="S270" s="921">
        <f t="shared" si="82"/>
        <v>0</v>
      </c>
      <c r="T270" s="176">
        <f t="shared" si="83"/>
        <v>6</v>
      </c>
      <c r="U270" s="251">
        <f t="shared" si="84"/>
        <v>0.99030576804785753</v>
      </c>
      <c r="V270" s="383">
        <f t="shared" si="85"/>
        <v>41.560162815136103</v>
      </c>
      <c r="W270" s="402">
        <f t="shared" si="86"/>
        <v>10.405245523456335</v>
      </c>
      <c r="X270" s="157">
        <f t="shared" si="87"/>
        <v>45182</v>
      </c>
      <c r="Y270" s="385">
        <f t="shared" si="88"/>
        <v>9.9801926067661348</v>
      </c>
      <c r="Z270" s="385">
        <f t="shared" si="89"/>
        <v>10.413176036111773</v>
      </c>
      <c r="AA270" s="386">
        <f t="shared" si="90"/>
        <v>12.326035116869015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0.15518851460510322</v>
      </c>
      <c r="AD270" s="231">
        <f>(INDEX(Models!$BJ270:$BT270,,AH270)*(1-AF270)+INDEX(Models!$BJ270:$BT270,,AH270+1)*AF270-ERP_i)*AE270*Ramure*Pc/MaxiM</f>
        <v>1.4459208559102817E-3</v>
      </c>
      <c r="AE270" s="305">
        <f t="shared" si="92"/>
        <v>0.7</v>
      </c>
      <c r="AF270" s="177">
        <f t="shared" si="93"/>
        <v>0.99030576804785753</v>
      </c>
      <c r="AG270" s="921">
        <f t="shared" si="99"/>
        <v>0</v>
      </c>
      <c r="AH270" s="176">
        <f t="shared" si="94"/>
        <v>6</v>
      </c>
      <c r="AI270" s="225">
        <f t="shared" si="95"/>
        <v>0.99030576804785753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31.455834250671241</v>
      </c>
      <c r="C271" s="955"/>
      <c r="D271" s="393">
        <f t="shared" ref="D271:D334" si="102">Wh/(1-Ppv)</f>
        <v>32.821241711133005</v>
      </c>
      <c r="E271" s="385">
        <f t="shared" si="100"/>
        <v>37.26427065656609</v>
      </c>
      <c r="F271" s="385">
        <f t="shared" ref="F271:F334" si="103">Wh_sa/(1-Pvg*MEDIAN((-Sdif+Wh/Env_an)/Csdif,0,1))</f>
        <v>37.300564408131677</v>
      </c>
      <c r="G271" s="110">
        <f t="shared" si="101"/>
        <v>0.75898703355173525</v>
      </c>
      <c r="H271" s="414" t="b">
        <f>Wh_hp&gt;='2022'!Maxi_hp</f>
        <v>0</v>
      </c>
      <c r="I271" s="390">
        <f>IF(H271,Wh_hp,'2022'!Maxi_hp)</f>
        <v>47.223329847400791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4.1601334662442646E-2</v>
      </c>
      <c r="M271" s="959"/>
      <c r="N271" s="959"/>
      <c r="O271" s="48">
        <f>IF(t&lt;Tnet,'2022'!Resal+('2022'!Salim-'2022'!Resal)*(1-EXP(('2022'!Tnet-t)/('2022'!Tau_j))),Resal+(Salim-Resal)*(1-EXP((Tnet-t)/(Tau_j))))*Salcycl</f>
        <v>0.11923026714733811</v>
      </c>
      <c r="P271" s="169">
        <f>(INDEX(Models!$BJ271:$BT271,,T271)*(1-R271)+INDEX(Models!$BJ271:$BT271,,T271+1)*R271-ERP_i)*Q271*Ramure*Pc/MaxiM</f>
        <v>1.4826808182076027E-3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0.99069669875229305</v>
      </c>
      <c r="S271" s="92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0.99069669875229305</v>
      </c>
      <c r="V271" s="383">
        <f t="shared" ref="V271:V334" si="110">MaxiM*(1-Ppv)*(1-Pvg)*(1-Psa)</f>
        <v>41.423351211399101</v>
      </c>
      <c r="W271" s="402">
        <f t="shared" ref="W271:W334" si="111">Wh*(A271&gt;Tmaj)</f>
        <v>31.455834250671241</v>
      </c>
      <c r="X271" s="157">
        <f t="shared" ref="X271:X334" si="112">t</f>
        <v>45183</v>
      </c>
      <c r="Y271" s="385">
        <f t="shared" ref="Y271:Y334" si="113">Wh_pvt_s*(1-Ppv)</f>
        <v>30.172245732217963</v>
      </c>
      <c r="Z271" s="385">
        <f t="shared" ref="Z271:Z334" si="114">Wh_sa_s*(1-Psa_s)</f>
        <v>31.481936300058393</v>
      </c>
      <c r="AA271" s="386">
        <f t="shared" ref="AA271:AA334" si="115">Wh_hp*(1-Pvg_s*MEDIAN((-Sdif+Wh/Env_an)/Csdif,0,1))</f>
        <v>37.26427065656609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0.15517100575504833</v>
      </c>
      <c r="AD271" s="231">
        <f>(INDEX(Models!$BJ271:$BT271,,AH271)*(1-AF271)+INDEX(Models!$BJ271:$BT271,,AH271+1)*AF271-ERP_i)*AE271*Ramure*Pc/MaxiM</f>
        <v>1.4826808182076027E-3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0.99069669875229305</v>
      </c>
      <c r="AG271" s="92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0.99069669875229305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36.101818071030117</v>
      </c>
      <c r="C272" s="955"/>
      <c r="D272" s="393">
        <f t="shared" si="102"/>
        <v>37.66971941483483</v>
      </c>
      <c r="E272" s="385">
        <f t="shared" si="100"/>
        <v>42.77010763641254</v>
      </c>
      <c r="F272" s="385">
        <f t="shared" si="103"/>
        <v>42.823552743324058</v>
      </c>
      <c r="G272" s="110">
        <f t="shared" si="101"/>
        <v>0.87426188317360887</v>
      </c>
      <c r="H272" s="414" t="b">
        <f>Wh_hp&gt;='2022'!Maxi_hp</f>
        <v>0</v>
      </c>
      <c r="I272" s="390">
        <f>IF(H272,Wh_hp,'2022'!Maxi_hp)</f>
        <v>48.01660304214726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4.1622326052878855E-2</v>
      </c>
      <c r="M272" s="959"/>
      <c r="N272" s="959"/>
      <c r="O272" s="48">
        <f>IF(t&lt;Tnet,'2022'!Resal+('2022'!Salim-'2022'!Resal)*(1-EXP(('2022'!Tnet-t)/('2022'!Tau_j))),Resal+(Salim-Resal)*(1-EXP((Tnet-t)/(Tau_j))))*Salcycl</f>
        <v>0.11925123651630637</v>
      </c>
      <c r="P272" s="169">
        <f>(INDEX(Models!$BJ272:$BT272,,T272)*(1-R272)+INDEX(Models!$BJ272:$BT272,,T272+1)*R272-ERP_i)*Q272*Ramure*Pc/MaxiM</f>
        <v>1.5206624107728789E-3</v>
      </c>
      <c r="Q272" s="305">
        <f t="shared" si="105"/>
        <v>0.7</v>
      </c>
      <c r="R272" s="177">
        <f t="shared" si="106"/>
        <v>0.99107247536219112</v>
      </c>
      <c r="S272" s="921">
        <f t="shared" si="107"/>
        <v>0</v>
      </c>
      <c r="T272" s="176">
        <f t="shared" si="108"/>
        <v>6</v>
      </c>
      <c r="U272" s="251">
        <f t="shared" si="109"/>
        <v>0.99107247536219112</v>
      </c>
      <c r="V272" s="383">
        <f t="shared" si="110"/>
        <v>41.282782613321217</v>
      </c>
      <c r="W272" s="402">
        <f t="shared" si="111"/>
        <v>36.101818071030117</v>
      </c>
      <c r="X272" s="157">
        <f t="shared" si="112"/>
        <v>45184</v>
      </c>
      <c r="Y272" s="385">
        <f t="shared" si="113"/>
        <v>34.63023882268638</v>
      </c>
      <c r="Z272" s="385">
        <f t="shared" si="114"/>
        <v>36.134229504804928</v>
      </c>
      <c r="AA272" s="386">
        <f t="shared" si="115"/>
        <v>42.77010763641254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0.15515224296415209</v>
      </c>
      <c r="AD272" s="231">
        <f>(INDEX(Models!$BJ272:$BT272,,AH272)*(1-AF272)+INDEX(Models!$BJ272:$BT272,,AH272+1)*AF272-ERP_i)*AE272*Ramure*Pc/MaxiM</f>
        <v>1.5206624107728789E-3</v>
      </c>
      <c r="AE272" s="305">
        <f t="shared" si="117"/>
        <v>0.7</v>
      </c>
      <c r="AF272" s="177">
        <f t="shared" si="118"/>
        <v>0.99107247536219112</v>
      </c>
      <c r="AG272" s="921">
        <f t="shared" ref="AG272:AG335" si="124">INDEX(Echel_vg,AH272)</f>
        <v>0</v>
      </c>
      <c r="AH272" s="176">
        <f t="shared" si="119"/>
        <v>6</v>
      </c>
      <c r="AI272" s="225">
        <f t="shared" si="120"/>
        <v>0.99107247536219112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24.044770687842263</v>
      </c>
      <c r="C273" s="955"/>
      <c r="D273" s="393">
        <f t="shared" si="102"/>
        <v>25.089584195480104</v>
      </c>
      <c r="E273" s="385">
        <f t="shared" si="100"/>
        <v>28.487297149537813</v>
      </c>
      <c r="F273" s="385">
        <f t="shared" si="103"/>
        <v>28.505368250067878</v>
      </c>
      <c r="G273" s="110">
        <f t="shared" si="101"/>
        <v>0.58394634434490089</v>
      </c>
      <c r="H273" s="414" t="b">
        <f>Wh_hp&gt;='2022'!Maxi_hp</f>
        <v>0</v>
      </c>
      <c r="I273" s="390">
        <f>IF(H273,Wh_hp,'2022'!Maxi_hp)</f>
        <v>47.259197332077989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4.1643316983549838E-2</v>
      </c>
      <c r="M273" s="959"/>
      <c r="N273" s="959"/>
      <c r="O273" s="48">
        <f>IF(t&lt;Tnet,'2022'!Resal+('2022'!Salim-'2022'!Resal)*(1-EXP(('2022'!Tnet-t)/('2022'!Tau_j))),Resal+(Salim-Resal)*(1-EXP((Tnet-t)/(Tau_j))))*Salcycl</f>
        <v>0.11927115921956948</v>
      </c>
      <c r="P273" s="169">
        <f>(INDEX(Models!$BJ273:$BT273,,T273)*(1-R273)+INDEX(Models!$BJ273:$BT273,,T273+1)*R273-ERP_i)*Q273*Ramure*Pc/MaxiM</f>
        <v>1.5598836780270037E-3</v>
      </c>
      <c r="Q273" s="305">
        <f t="shared" si="105"/>
        <v>0.7</v>
      </c>
      <c r="R273" s="177">
        <f t="shared" si="106"/>
        <v>0.99143366303408675</v>
      </c>
      <c r="S273" s="921">
        <f t="shared" si="107"/>
        <v>0</v>
      </c>
      <c r="T273" s="176">
        <f t="shared" si="108"/>
        <v>6</v>
      </c>
      <c r="U273" s="251">
        <f t="shared" si="109"/>
        <v>0.99143366303408675</v>
      </c>
      <c r="V273" s="383">
        <f t="shared" si="110"/>
        <v>41.138185104759543</v>
      </c>
      <c r="W273" s="402">
        <f t="shared" si="111"/>
        <v>24.044770687842263</v>
      </c>
      <c r="X273" s="157">
        <f t="shared" si="112"/>
        <v>45185</v>
      </c>
      <c r="Y273" s="385">
        <f t="shared" si="113"/>
        <v>23.065729299895931</v>
      </c>
      <c r="Z273" s="385">
        <f t="shared" si="114"/>
        <v>24.068000681433144</v>
      </c>
      <c r="AA273" s="386">
        <f t="shared" si="115"/>
        <v>28.487297149537813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0.15513217856037881</v>
      </c>
      <c r="AD273" s="231">
        <f>(INDEX(Models!$BJ273:$BT273,,AH273)*(1-AF273)+INDEX(Models!$BJ273:$BT273,,AH273+1)*AF273-ERP_i)*AE273*Ramure*Pc/MaxiM</f>
        <v>1.5598836780270037E-3</v>
      </c>
      <c r="AE273" s="305">
        <f t="shared" si="117"/>
        <v>0.7</v>
      </c>
      <c r="AF273" s="177">
        <f t="shared" si="118"/>
        <v>0.99143366303408675</v>
      </c>
      <c r="AG273" s="921">
        <f t="shared" si="124"/>
        <v>0</v>
      </c>
      <c r="AH273" s="176">
        <f t="shared" si="119"/>
        <v>6</v>
      </c>
      <c r="AI273" s="225">
        <f t="shared" si="120"/>
        <v>0.99143366303408675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42.411144722570683</v>
      </c>
      <c r="C274" s="955"/>
      <c r="D274" s="393">
        <f t="shared" si="102"/>
        <v>44.254998590231004</v>
      </c>
      <c r="E274" s="385">
        <f t="shared" si="100"/>
        <v>50.249228952350862</v>
      </c>
      <c r="F274" s="385">
        <f t="shared" si="103"/>
        <v>50.329774903342717</v>
      </c>
      <c r="G274" s="110">
        <f t="shared" si="101"/>
        <v>1.0346885244795196</v>
      </c>
      <c r="H274" s="414" t="b">
        <f>Wh_hp&gt;='2022'!Maxi_hp</f>
        <v>1</v>
      </c>
      <c r="I274" s="390">
        <f>IF(H274,Wh_hp,'2022'!Maxi_hp)</f>
        <v>50.329774903342717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4.1664307454465477E-2</v>
      </c>
      <c r="M274" s="959"/>
      <c r="N274" s="959"/>
      <c r="O274" s="48">
        <f>IF(t&lt;Tnet,'2022'!Resal+('2022'!Salim-'2022'!Resal)*(1-EXP(('2022'!Tnet-t)/('2022'!Tau_j))),Resal+(Salim-Resal)*(1-EXP((Tnet-t)/(Tau_j))))*Salcycl</f>
        <v>0.1192899968237109</v>
      </c>
      <c r="P274" s="169">
        <f>(INDEX(Models!$BJ274:$BT274,,T274)*(1-R274)+INDEX(Models!$BJ274:$BT274,,T274+1)*R274-ERP_i)*Q274*Ramure*Pc/MaxiM</f>
        <v>1.6003638233340854E-3</v>
      </c>
      <c r="Q274" s="305">
        <f t="shared" si="105"/>
        <v>0.7</v>
      </c>
      <c r="R274" s="177">
        <f t="shared" si="106"/>
        <v>0.99178080757918508</v>
      </c>
      <c r="S274" s="921">
        <f t="shared" si="107"/>
        <v>0</v>
      </c>
      <c r="T274" s="176">
        <f t="shared" si="108"/>
        <v>6</v>
      </c>
      <c r="U274" s="251">
        <f t="shared" si="109"/>
        <v>0.99178080757918508</v>
      </c>
      <c r="V274" s="383">
        <f t="shared" si="110"/>
        <v>40.98928684253535</v>
      </c>
      <c r="W274" s="402">
        <f t="shared" si="111"/>
        <v>42.411144722570683</v>
      </c>
      <c r="X274" s="157">
        <f t="shared" si="112"/>
        <v>45186</v>
      </c>
      <c r="Y274" s="385">
        <f t="shared" si="113"/>
        <v>40.686173142319142</v>
      </c>
      <c r="Z274" s="385">
        <f t="shared" si="114"/>
        <v>42.455032676752744</v>
      </c>
      <c r="AA274" s="386">
        <f t="shared" si="115"/>
        <v>50.249228952350862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0.15511076364950813</v>
      </c>
      <c r="AD274" s="231">
        <f>(INDEX(Models!$BJ274:$BT274,,AH274)*(1-AF274)+INDEX(Models!$BJ274:$BT274,,AH274+1)*AF274-ERP_i)*AE274*Ramure*Pc/MaxiM</f>
        <v>1.6003638233340854E-3</v>
      </c>
      <c r="AE274" s="305">
        <f t="shared" si="117"/>
        <v>0.7</v>
      </c>
      <c r="AF274" s="177">
        <f t="shared" si="118"/>
        <v>0.99178080757918508</v>
      </c>
      <c r="AG274" s="921">
        <f t="shared" si="124"/>
        <v>0</v>
      </c>
      <c r="AH274" s="176">
        <f t="shared" si="119"/>
        <v>6</v>
      </c>
      <c r="AI274" s="225">
        <f t="shared" si="120"/>
        <v>0.99178080757918508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41.020155924222756</v>
      </c>
      <c r="C275" s="955"/>
      <c r="D275" s="393">
        <f t="shared" si="102"/>
        <v>42.804473119050179</v>
      </c>
      <c r="E275" s="385">
        <f t="shared" si="100"/>
        <v>48.603210912580352</v>
      </c>
      <c r="F275" s="385">
        <f t="shared" si="103"/>
        <v>48.683153570955014</v>
      </c>
      <c r="G275" s="110">
        <f t="shared" si="101"/>
        <v>1.0045005470226371</v>
      </c>
      <c r="H275" s="414" t="b">
        <f>Wh_hp&gt;='2022'!Maxi_hp</f>
        <v>1</v>
      </c>
      <c r="I275" s="390">
        <f>IF(H275,Wh_hp,'2022'!Maxi_hp)</f>
        <v>48.683153570955014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4.1685297465635873E-2</v>
      </c>
      <c r="M275" s="959"/>
      <c r="N275" s="959"/>
      <c r="O275" s="48">
        <f>IF(t&lt;Tnet,'2022'!Resal+('2022'!Salim-'2022'!Resal)*(1-EXP(('2022'!Tnet-t)/('2022'!Tau_j))),Resal+(Salim-Resal)*(1-EXP((Tnet-t)/(Tau_j))))*Salcycl</f>
        <v>0.11930771001858313</v>
      </c>
      <c r="P275" s="169">
        <f>(INDEX(Models!$BJ275:$BT275,,T275)*(1-R275)+INDEX(Models!$BJ275:$BT275,,T275+1)*R275-ERP_i)*Q275*Ramure*Pc/MaxiM</f>
        <v>1.6421010659908046E-3</v>
      </c>
      <c r="Q275" s="305">
        <f t="shared" si="105"/>
        <v>0.7</v>
      </c>
      <c r="R275" s="177">
        <f t="shared" si="106"/>
        <v>0.99211443598904292</v>
      </c>
      <c r="S275" s="921">
        <f t="shared" si="107"/>
        <v>0</v>
      </c>
      <c r="T275" s="176">
        <f t="shared" si="108"/>
        <v>6</v>
      </c>
      <c r="U275" s="251">
        <f t="shared" si="109"/>
        <v>0.99211443598904292</v>
      </c>
      <c r="V275" s="383">
        <f t="shared" si="110"/>
        <v>40.836369921158777</v>
      </c>
      <c r="W275" s="402">
        <f t="shared" si="111"/>
        <v>41.020155924222756</v>
      </c>
      <c r="X275" s="157">
        <f t="shared" si="112"/>
        <v>45187</v>
      </c>
      <c r="Y275" s="385">
        <f t="shared" si="113"/>
        <v>39.353613627800698</v>
      </c>
      <c r="Z275" s="385">
        <f t="shared" si="114"/>
        <v>41.06543865363426</v>
      </c>
      <c r="AA275" s="386">
        <f t="shared" si="115"/>
        <v>48.603210912580352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0.15508794825312733</v>
      </c>
      <c r="AD275" s="231">
        <f>(INDEX(Models!$BJ275:$BT275,,AH275)*(1-AF275)+INDEX(Models!$BJ275:$BT275,,AH275+1)*AF275-ERP_i)*AE275*Ramure*Pc/MaxiM</f>
        <v>1.6421010659908046E-3</v>
      </c>
      <c r="AE275" s="305">
        <f t="shared" si="117"/>
        <v>0.7</v>
      </c>
      <c r="AF275" s="177">
        <f t="shared" si="118"/>
        <v>0.99211443598904292</v>
      </c>
      <c r="AG275" s="921">
        <f t="shared" si="124"/>
        <v>0</v>
      </c>
      <c r="AH275" s="176">
        <f t="shared" si="119"/>
        <v>6</v>
      </c>
      <c r="AI275" s="225">
        <f t="shared" si="120"/>
        <v>0.99211443598904292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40.51427706765481</v>
      </c>
      <c r="C276" s="955"/>
      <c r="D276" s="393">
        <f t="shared" si="102"/>
        <v>42.277515253172218</v>
      </c>
      <c r="E276" s="385">
        <f t="shared" si="100"/>
        <v>48.005767926378439</v>
      </c>
      <c r="F276" s="385">
        <f t="shared" si="103"/>
        <v>48.086368816607568</v>
      </c>
      <c r="G276" s="110">
        <f t="shared" si="101"/>
        <v>0.99591876184743588</v>
      </c>
      <c r="H276" s="414" t="b">
        <f>Wh_hp&gt;='2022'!Maxi_hp</f>
        <v>0</v>
      </c>
      <c r="I276" s="390">
        <f>IF(H276,Wh_hp,'2022'!Maxi_hp)</f>
        <v>48.086516498197845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4.1706287017071242E-2</v>
      </c>
      <c r="M276" s="959"/>
      <c r="N276" s="959"/>
      <c r="O276" s="48">
        <f>IF(t&lt;Tnet,'2022'!Resal+('2022'!Salim-'2022'!Resal)*(1-EXP(('2022'!Tnet-t)/('2022'!Tau_j))),Resal+(Salim-Resal)*(1-EXP((Tnet-t)/(Tau_j))))*Salcycl</f>
        <v>0.11932425874305476</v>
      </c>
      <c r="P276" s="169">
        <f>(INDEX(Models!$BJ276:$BT276,,T276)*(1-R276)+INDEX(Models!$BJ276:$BT276,,T276+1)*R276-ERP_i)*Q276*Ramure*Pc/MaxiM</f>
        <v>1.6859754458929167E-3</v>
      </c>
      <c r="Q276" s="305">
        <f t="shared" si="105"/>
        <v>0.7</v>
      </c>
      <c r="R276" s="177">
        <f t="shared" si="106"/>
        <v>0.99243505695830447</v>
      </c>
      <c r="S276" s="921">
        <f t="shared" si="107"/>
        <v>0</v>
      </c>
      <c r="T276" s="176">
        <f t="shared" si="108"/>
        <v>6</v>
      </c>
      <c r="U276" s="251">
        <f t="shared" si="109"/>
        <v>0.99243505695830447</v>
      </c>
      <c r="V276" s="383">
        <f t="shared" si="110"/>
        <v>40.679903481673215</v>
      </c>
      <c r="W276" s="402">
        <f t="shared" si="111"/>
        <v>40.51427706765481</v>
      </c>
      <c r="X276" s="157">
        <f t="shared" si="112"/>
        <v>45188</v>
      </c>
      <c r="Y276" s="385">
        <f t="shared" si="113"/>
        <v>38.870134045533582</v>
      </c>
      <c r="Z276" s="385">
        <f t="shared" si="114"/>
        <v>40.561816819752032</v>
      </c>
      <c r="AA276" s="386">
        <f t="shared" si="115"/>
        <v>48.005767926378439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0.1550636814734937</v>
      </c>
      <c r="AD276" s="231">
        <f>(INDEX(Models!$BJ276:$BT276,,AH276)*(1-AF276)+INDEX(Models!$BJ276:$BT276,,AH276+1)*AF276-ERP_i)*AE276*Ramure*Pc/MaxiM</f>
        <v>1.6859754458929167E-3</v>
      </c>
      <c r="AE276" s="305">
        <f t="shared" si="117"/>
        <v>0.7</v>
      </c>
      <c r="AF276" s="177">
        <f t="shared" si="118"/>
        <v>0.99243505695830447</v>
      </c>
      <c r="AG276" s="921">
        <f t="shared" si="124"/>
        <v>0</v>
      </c>
      <c r="AH276" s="176">
        <f t="shared" si="119"/>
        <v>6</v>
      </c>
      <c r="AI276" s="225">
        <f t="shared" si="120"/>
        <v>0.99243505695830447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41.735543918978436</v>
      </c>
      <c r="C277" s="955"/>
      <c r="D277" s="393">
        <f t="shared" si="102"/>
        <v>43.552887271490562</v>
      </c>
      <c r="E277" s="385">
        <f t="shared" si="100"/>
        <v>49.454803902631859</v>
      </c>
      <c r="F277" s="385">
        <f t="shared" si="103"/>
        <v>49.540571226766822</v>
      </c>
      <c r="G277" s="110">
        <f t="shared" si="101"/>
        <v>1.029999094564813</v>
      </c>
      <c r="H277" s="414" t="b">
        <f>Wh_hp&gt;='2022'!Maxi_hp</f>
        <v>1</v>
      </c>
      <c r="I277" s="390">
        <f>IF(H277,Wh_hp,'2022'!Maxi_hp)</f>
        <v>49.540571226766822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4.1727276108781575E-2</v>
      </c>
      <c r="M277" s="959"/>
      <c r="N277" s="959"/>
      <c r="O277" s="48">
        <f>IF(t&lt;Tnet,'2022'!Resal+('2022'!Salim-'2022'!Resal)*(1-EXP(('2022'!Tnet-t)/('2022'!Tau_j))),Resal+(Salim-Resal)*(1-EXP((Tnet-t)/(Tau_j))))*Salcycl</f>
        <v>0.11933960233188211</v>
      </c>
      <c r="P277" s="169">
        <f>(INDEX(Models!$BJ277:$BT277,,T277)*(1-R277)+INDEX(Models!$BJ277:$BT277,,T277+1)*R277-ERP_i)*Q277*Ramure*Pc/MaxiM</f>
        <v>1.7312542429593126E-3</v>
      </c>
      <c r="Q277" s="305">
        <f t="shared" si="105"/>
        <v>0.7</v>
      </c>
      <c r="R277" s="177">
        <f t="shared" si="106"/>
        <v>0.99274316140336327</v>
      </c>
      <c r="S277" s="921">
        <f t="shared" si="107"/>
        <v>0</v>
      </c>
      <c r="T277" s="176">
        <f t="shared" si="108"/>
        <v>6</v>
      </c>
      <c r="U277" s="251">
        <f t="shared" si="109"/>
        <v>0.99274316140336327</v>
      </c>
      <c r="V277" s="383">
        <f t="shared" si="110"/>
        <v>40.519981172034143</v>
      </c>
      <c r="W277" s="402">
        <f t="shared" si="111"/>
        <v>41.735543918978436</v>
      </c>
      <c r="X277" s="157">
        <f t="shared" si="112"/>
        <v>45189</v>
      </c>
      <c r="Y277" s="385">
        <f t="shared" si="113"/>
        <v>40.04375857038314</v>
      </c>
      <c r="Z277" s="385">
        <f t="shared" si="114"/>
        <v>41.78743438274973</v>
      </c>
      <c r="AA277" s="386">
        <f t="shared" si="115"/>
        <v>49.454803902631859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0.15503791168554396</v>
      </c>
      <c r="AD277" s="231">
        <f>(INDEX(Models!$BJ277:$BT277,,AH277)*(1-AF277)+INDEX(Models!$BJ277:$BT277,,AH277+1)*AF277-ERP_i)*AE277*Ramure*Pc/MaxiM</f>
        <v>1.7312542429593126E-3</v>
      </c>
      <c r="AE277" s="305">
        <f t="shared" si="117"/>
        <v>0.7</v>
      </c>
      <c r="AF277" s="177">
        <f t="shared" si="118"/>
        <v>0.99274316140336327</v>
      </c>
      <c r="AG277" s="921">
        <f t="shared" si="124"/>
        <v>0</v>
      </c>
      <c r="AH277" s="176">
        <f t="shared" si="119"/>
        <v>6</v>
      </c>
      <c r="AI277" s="225">
        <f t="shared" si="120"/>
        <v>0.99274316140336327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40.818817160141677</v>
      </c>
      <c r="C278" s="955"/>
      <c r="D278" s="393">
        <f t="shared" si="102"/>
        <v>42.597175312288378</v>
      </c>
      <c r="E278" s="385">
        <f t="shared" si="100"/>
        <v>48.370356290589747</v>
      </c>
      <c r="F278" s="385">
        <f t="shared" si="103"/>
        <v>48.456509135701552</v>
      </c>
      <c r="G278" s="110">
        <f t="shared" si="101"/>
        <v>1.0114516593581053</v>
      </c>
      <c r="H278" s="414" t="b">
        <f>Wh_hp&gt;='2022'!Maxi_hp</f>
        <v>1</v>
      </c>
      <c r="I278" s="390">
        <f>IF(H278,Wh_hp,'2022'!Maxi_hp)</f>
        <v>48.456509135701552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4.1748264740776975E-2</v>
      </c>
      <c r="M278" s="959"/>
      <c r="N278" s="959"/>
      <c r="O278" s="48">
        <f>IF(t&lt;Tnet,'2022'!Resal+('2022'!Salim-'2022'!Resal)*(1-EXP(('2022'!Tnet-t)/('2022'!Tau_j))),Resal+(Salim-Resal)*(1-EXP((Tnet-t)/(Tau_j))))*Salcycl</f>
        <v>0.11935369968371552</v>
      </c>
      <c r="P278" s="169">
        <f>(INDEX(Models!$BJ278:$BT278,,T278)*(1-R278)+INDEX(Models!$BJ278:$BT278,,T278+1)*R278-ERP_i)*Q278*Ramure*Pc/MaxiM</f>
        <v>1.7779416356745064E-3</v>
      </c>
      <c r="Q278" s="305">
        <f t="shared" si="105"/>
        <v>0.7</v>
      </c>
      <c r="R278" s="177">
        <f t="shared" si="106"/>
        <v>0.99303922297595093</v>
      </c>
      <c r="S278" s="921">
        <f t="shared" si="107"/>
        <v>0</v>
      </c>
      <c r="T278" s="176">
        <f t="shared" si="108"/>
        <v>6</v>
      </c>
      <c r="U278" s="251">
        <f t="shared" si="109"/>
        <v>0.99303922297595093</v>
      </c>
      <c r="V278" s="383">
        <f t="shared" si="110"/>
        <v>40.356666364111163</v>
      </c>
      <c r="W278" s="402">
        <f t="shared" si="111"/>
        <v>40.818817160141677</v>
      </c>
      <c r="X278" s="157">
        <f t="shared" si="112"/>
        <v>45190</v>
      </c>
      <c r="Y278" s="385">
        <f t="shared" si="113"/>
        <v>39.166085577233687</v>
      </c>
      <c r="Z278" s="385">
        <f t="shared" si="114"/>
        <v>40.872438980388189</v>
      </c>
      <c r="AA278" s="386">
        <f t="shared" si="115"/>
        <v>48.370356290589747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0.15501058675600965</v>
      </c>
      <c r="AD278" s="231">
        <f>(INDEX(Models!$BJ278:$BT278,,AH278)*(1-AF278)+INDEX(Models!$BJ278:$BT278,,AH278+1)*AF278-ERP_i)*AE278*Ramure*Pc/MaxiM</f>
        <v>1.7779416356745064E-3</v>
      </c>
      <c r="AE278" s="305">
        <f t="shared" si="117"/>
        <v>0.7</v>
      </c>
      <c r="AF278" s="177">
        <f t="shared" si="118"/>
        <v>0.99303922297595093</v>
      </c>
      <c r="AG278" s="921">
        <f t="shared" si="124"/>
        <v>0</v>
      </c>
      <c r="AH278" s="176">
        <f t="shared" si="119"/>
        <v>6</v>
      </c>
      <c r="AI278" s="225">
        <f t="shared" si="120"/>
        <v>0.99303922297595093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39.696854448163968</v>
      </c>
      <c r="C279" s="955"/>
      <c r="D279" s="393">
        <f t="shared" si="102"/>
        <v>41.427239283277338</v>
      </c>
      <c r="E279" s="385">
        <f t="shared" si="100"/>
        <v>47.042543496050705</v>
      </c>
      <c r="F279" s="385">
        <f t="shared" si="103"/>
        <v>47.127090962374417</v>
      </c>
      <c r="G279" s="110">
        <f t="shared" si="101"/>
        <v>0.9876974203436093</v>
      </c>
      <c r="H279" s="414" t="b">
        <f>Wh_hp&gt;='2022'!Maxi_hp</f>
        <v>0</v>
      </c>
      <c r="I279" s="390">
        <f>IF(H279,Wh_hp,'2022'!Maxi_hp)</f>
        <v>47.127554108694312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4.1769252913067323E-2</v>
      </c>
      <c r="M279" s="959"/>
      <c r="N279" s="959"/>
      <c r="O279" s="48">
        <f>IF(t&lt;Tnet,'2022'!Resal+('2022'!Salim-'2022'!Resal)*(1-EXP(('2022'!Tnet-t)/('2022'!Tau_j))),Resal+(Salim-Resal)*(1-EXP((Tnet-t)/(Tau_j))))*Salcycl</f>
        <v>0.11936650944999996</v>
      </c>
      <c r="P279" s="169">
        <f>(INDEX(Models!$BJ279:$BT279,,T279)*(1-R279)+INDEX(Models!$BJ279:$BT279,,T279+1)*R279-ERP_i)*Q279*Ramure*Pc/MaxiM</f>
        <v>1.8260413470204218E-3</v>
      </c>
      <c r="Q279" s="305">
        <f t="shared" si="105"/>
        <v>0.7</v>
      </c>
      <c r="R279" s="177">
        <f t="shared" si="106"/>
        <v>0.99332369857076108</v>
      </c>
      <c r="S279" s="921">
        <f t="shared" si="107"/>
        <v>0</v>
      </c>
      <c r="T279" s="176">
        <f t="shared" si="108"/>
        <v>6</v>
      </c>
      <c r="U279" s="251">
        <f t="shared" si="109"/>
        <v>0.99332369857076108</v>
      </c>
      <c r="V279" s="383">
        <f t="shared" si="110"/>
        <v>40.190022409918996</v>
      </c>
      <c r="W279" s="402">
        <f t="shared" si="111"/>
        <v>39.696854448163968</v>
      </c>
      <c r="X279" s="157">
        <f t="shared" si="112"/>
        <v>45191</v>
      </c>
      <c r="Y279" s="385">
        <f t="shared" si="113"/>
        <v>38.091408782053954</v>
      </c>
      <c r="Z279" s="385">
        <f t="shared" si="114"/>
        <v>39.751812283057767</v>
      </c>
      <c r="AA279" s="386">
        <f t="shared" si="115"/>
        <v>47.042543496050705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0.15498165428927119</v>
      </c>
      <c r="AD279" s="231">
        <f>(INDEX(Models!$BJ279:$BT279,,AH279)*(1-AF279)+INDEX(Models!$BJ279:$BT279,,AH279+1)*AF279-ERP_i)*AE279*Ramure*Pc/MaxiM</f>
        <v>1.8260413470204218E-3</v>
      </c>
      <c r="AE279" s="305">
        <f t="shared" si="117"/>
        <v>0.7</v>
      </c>
      <c r="AF279" s="177">
        <f t="shared" si="118"/>
        <v>0.99332369857076108</v>
      </c>
      <c r="AG279" s="921">
        <f t="shared" si="124"/>
        <v>0</v>
      </c>
      <c r="AH279" s="176">
        <f t="shared" si="119"/>
        <v>6</v>
      </c>
      <c r="AI279" s="225">
        <f t="shared" si="120"/>
        <v>0.99332369857076108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26.171383227808668</v>
      </c>
      <c r="C280" s="955"/>
      <c r="D280" s="393">
        <f t="shared" si="102"/>
        <v>27.312791350504789</v>
      </c>
      <c r="E280" s="385">
        <f t="shared" si="100"/>
        <v>31.015340347989948</v>
      </c>
      <c r="F280" s="385">
        <f t="shared" si="103"/>
        <v>31.044782670235278</v>
      </c>
      <c r="G280" s="110">
        <f t="shared" si="101"/>
        <v>0.65334885489233729</v>
      </c>
      <c r="H280" s="414" t="b">
        <f>Wh_hp&gt;='2022'!Maxi_hp</f>
        <v>0</v>
      </c>
      <c r="I280" s="390">
        <f>IF(H280,Wh_hp,'2022'!Maxi_hp)</f>
        <v>46.242324699542912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4.1790240625662944E-2</v>
      </c>
      <c r="M280" s="959"/>
      <c r="N280" s="959"/>
      <c r="O280" s="48">
        <f>IF(t&lt;Tnet,'2022'!Resal+('2022'!Salim-'2022'!Resal)*(1-EXP(('2022'!Tnet-t)/('2022'!Tau_j))),Resal+(Salim-Resal)*(1-EXP((Tnet-t)/(Tau_j))))*Salcycl</f>
        <v>0.11937799024427327</v>
      </c>
      <c r="P280" s="169">
        <f>(INDEX(Models!$BJ280:$BT280,,T280)*(1-R280)+INDEX(Models!$BJ280:$BT280,,T280+1)*R280-ERP_i)*Q280*Ramure*Pc/MaxiM</f>
        <v>1.8755665728463131E-3</v>
      </c>
      <c r="Q280" s="305">
        <f t="shared" si="105"/>
        <v>0.7</v>
      </c>
      <c r="R280" s="177">
        <f t="shared" si="106"/>
        <v>0.99359702882632628</v>
      </c>
      <c r="S280" s="921">
        <f t="shared" si="107"/>
        <v>0</v>
      </c>
      <c r="T280" s="176">
        <f t="shared" si="108"/>
        <v>6</v>
      </c>
      <c r="U280" s="251">
        <f t="shared" si="109"/>
        <v>0.99359702882632628</v>
      </c>
      <c r="V280" s="383">
        <f t="shared" si="110"/>
        <v>40.02011222942275</v>
      </c>
      <c r="W280" s="402">
        <f t="shared" si="111"/>
        <v>26.171383227808668</v>
      </c>
      <c r="X280" s="157">
        <f t="shared" si="112"/>
        <v>45192</v>
      </c>
      <c r="Y280" s="385">
        <f t="shared" si="113"/>
        <v>25.114179932230105</v>
      </c>
      <c r="Z280" s="385">
        <f t="shared" si="114"/>
        <v>26.209480425902157</v>
      </c>
      <c r="AA280" s="386">
        <f t="shared" si="115"/>
        <v>31.015340347989948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0.15495106189925301</v>
      </c>
      <c r="AD280" s="231">
        <f>(INDEX(Models!$BJ280:$BT280,,AH280)*(1-AF280)+INDEX(Models!$BJ280:$BT280,,AH280+1)*AF280-ERP_i)*AE280*Ramure*Pc/MaxiM</f>
        <v>1.8755665728463131E-3</v>
      </c>
      <c r="AE280" s="305">
        <f t="shared" si="117"/>
        <v>0.7</v>
      </c>
      <c r="AF280" s="177">
        <f t="shared" si="118"/>
        <v>0.99359702882632628</v>
      </c>
      <c r="AG280" s="921">
        <f t="shared" si="124"/>
        <v>0</v>
      </c>
      <c r="AH280" s="176">
        <f t="shared" si="119"/>
        <v>6</v>
      </c>
      <c r="AI280" s="225">
        <f t="shared" si="120"/>
        <v>0.99359702882632628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19.129786379858295</v>
      </c>
      <c r="C281" s="955"/>
      <c r="D281" s="393">
        <f t="shared" si="102"/>
        <v>19.964527801244238</v>
      </c>
      <c r="E281" s="385">
        <f t="shared" si="100"/>
        <v>22.671199220670708</v>
      </c>
      <c r="F281" s="385">
        <f t="shared" si="103"/>
        <v>22.682440984505842</v>
      </c>
      <c r="G281" s="110">
        <f t="shared" si="101"/>
        <v>0.47939368910829455</v>
      </c>
      <c r="H281" s="414" t="b">
        <f>Wh_hp&gt;='2022'!Maxi_hp</f>
        <v>0</v>
      </c>
      <c r="I281" s="390">
        <f>IF(H281,Wh_hp,'2022'!Maxi_hp)</f>
        <v>42.341790799167022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4.181122787857372E-2</v>
      </c>
      <c r="M281" s="959"/>
      <c r="N281" s="959"/>
      <c r="O281" s="48">
        <f>IF(t&lt;Tnet,'2022'!Resal+('2022'!Salim-'2022'!Resal)*(1-EXP(('2022'!Tnet-t)/('2022'!Tau_j))),Resal+(Salim-Resal)*(1-EXP((Tnet-t)/(Tau_j))))*Salcycl</f>
        <v>0.11938810087111017</v>
      </c>
      <c r="P281" s="169">
        <f>(INDEX(Models!$BJ281:$BT281,,T281)*(1-R281)+INDEX(Models!$BJ281:$BT281,,T281+1)*R281-ERP_i)*Q281*Ramure*Pc/MaxiM</f>
        <v>1.9265259171629507E-3</v>
      </c>
      <c r="Q281" s="305">
        <f t="shared" si="105"/>
        <v>0.7</v>
      </c>
      <c r="R281" s="177">
        <f t="shared" si="106"/>
        <v>0.99385963861846238</v>
      </c>
      <c r="S281" s="921">
        <f t="shared" si="107"/>
        <v>0</v>
      </c>
      <c r="T281" s="176">
        <f t="shared" si="108"/>
        <v>6</v>
      </c>
      <c r="U281" s="251">
        <f t="shared" si="109"/>
        <v>0.99385963861846238</v>
      </c>
      <c r="V281" s="383">
        <f t="shared" si="110"/>
        <v>39.846998876718473</v>
      </c>
      <c r="W281" s="402">
        <f t="shared" si="111"/>
        <v>19.129786379858295</v>
      </c>
      <c r="X281" s="157">
        <f t="shared" si="112"/>
        <v>45193</v>
      </c>
      <c r="Y281" s="385">
        <f t="shared" si="113"/>
        <v>18.357943673621591</v>
      </c>
      <c r="Z281" s="385">
        <f t="shared" si="114"/>
        <v>19.159005206225881</v>
      </c>
      <c r="AA281" s="386">
        <f t="shared" si="115"/>
        <v>22.671199220670708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0.15491875750633194</v>
      </c>
      <c r="AD281" s="231">
        <f>(INDEX(Models!$BJ281:$BT281,,AH281)*(1-AF281)+INDEX(Models!$BJ281:$BT281,,AH281+1)*AF281-ERP_i)*AE281*Ramure*Pc/MaxiM</f>
        <v>1.9265259171629507E-3</v>
      </c>
      <c r="AE281" s="305">
        <f t="shared" si="117"/>
        <v>0.7</v>
      </c>
      <c r="AF281" s="177">
        <f t="shared" si="118"/>
        <v>0.99385963861846238</v>
      </c>
      <c r="AG281" s="921">
        <f t="shared" si="124"/>
        <v>0</v>
      </c>
      <c r="AH281" s="176">
        <f t="shared" si="119"/>
        <v>6</v>
      </c>
      <c r="AI281" s="225">
        <f t="shared" si="120"/>
        <v>0.99385963861846238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28.214758408828462</v>
      </c>
      <c r="C282" s="955"/>
      <c r="D282" s="393">
        <f t="shared" si="102"/>
        <v>29.446573805614211</v>
      </c>
      <c r="E282" s="385">
        <f t="shared" si="100"/>
        <v>33.439094730519216</v>
      </c>
      <c r="F282" s="385">
        <f t="shared" si="103"/>
        <v>33.477992466292896</v>
      </c>
      <c r="G282" s="110">
        <f t="shared" si="101"/>
        <v>0.71064152737300423</v>
      </c>
      <c r="H282" s="414" t="b">
        <f>Wh_hp&gt;='2022'!Maxi_hp</f>
        <v>0</v>
      </c>
      <c r="I282" s="390">
        <f>IF(H282,Wh_hp,'2022'!Maxi_hp)</f>
        <v>48.914209724554347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4.1832214671809864E-2</v>
      </c>
      <c r="M282" s="959"/>
      <c r="N282" s="959"/>
      <c r="O282" s="48">
        <f>IF(t&lt;Tnet,'2022'!Resal+('2022'!Salim-'2022'!Resal)*(1-EXP(('2022'!Tnet-t)/('2022'!Tau_j))),Resal+(Salim-Resal)*(1-EXP((Tnet-t)/(Tau_j))))*Salcycl</f>
        <v>0.11939680057370418</v>
      </c>
      <c r="P282" s="169">
        <f>(INDEX(Models!$BJ282:$BT282,,T282)*(1-R282)+INDEX(Models!$BJ282:$BT282,,T282+1)*R282-ERP_i)*Q282*Ramure*Pc/MaxiM</f>
        <v>1.9778168702586653E-3</v>
      </c>
      <c r="Q282" s="305">
        <f t="shared" si="105"/>
        <v>0.7</v>
      </c>
      <c r="R282" s="177">
        <f t="shared" si="106"/>
        <v>0.99411193754568061</v>
      </c>
      <c r="S282" s="921">
        <f t="shared" si="107"/>
        <v>0</v>
      </c>
      <c r="T282" s="176">
        <f t="shared" si="108"/>
        <v>6</v>
      </c>
      <c r="U282" s="251">
        <f t="shared" si="109"/>
        <v>0.99411193754568061</v>
      </c>
      <c r="V282" s="383">
        <f t="shared" si="110"/>
        <v>39.670789500340099</v>
      </c>
      <c r="W282" s="402">
        <f t="shared" si="111"/>
        <v>28.214758408828462</v>
      </c>
      <c r="X282" s="157">
        <f t="shared" si="112"/>
        <v>45194</v>
      </c>
      <c r="Y282" s="385">
        <f t="shared" si="113"/>
        <v>27.077717097143157</v>
      </c>
      <c r="Z282" s="385">
        <f t="shared" si="114"/>
        <v>28.259890920741547</v>
      </c>
      <c r="AA282" s="386">
        <f t="shared" si="115"/>
        <v>33.439094730519216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0.15488468965790234</v>
      </c>
      <c r="AD282" s="231">
        <f>(INDEX(Models!$BJ282:$BT282,,AH282)*(1-AF282)+INDEX(Models!$BJ282:$BT282,,AH282+1)*AF282-ERP_i)*AE282*Ramure*Pc/MaxiM</f>
        <v>1.9778168702586653E-3</v>
      </c>
      <c r="AE282" s="305">
        <f t="shared" si="117"/>
        <v>0.7</v>
      </c>
      <c r="AF282" s="177">
        <f t="shared" si="118"/>
        <v>0.99411193754568061</v>
      </c>
      <c r="AG282" s="921">
        <f t="shared" si="124"/>
        <v>0</v>
      </c>
      <c r="AH282" s="176">
        <f t="shared" si="119"/>
        <v>6</v>
      </c>
      <c r="AI282" s="225">
        <f t="shared" si="120"/>
        <v>0.99411193754568061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29.483244967202356</v>
      </c>
      <c r="C283" s="955"/>
      <c r="D283" s="393">
        <f t="shared" si="102"/>
        <v>30.771114612227542</v>
      </c>
      <c r="E283" s="385">
        <f t="shared" si="100"/>
        <v>34.943511366054118</v>
      </c>
      <c r="F283" s="385">
        <f t="shared" si="103"/>
        <v>34.988804411311307</v>
      </c>
      <c r="G283" s="110">
        <f t="shared" si="101"/>
        <v>0.74602164106784064</v>
      </c>
      <c r="H283" s="414" t="b">
        <f>Wh_hp&gt;='2022'!Maxi_hp</f>
        <v>0</v>
      </c>
      <c r="I283" s="390">
        <f>IF(H283,Wh_hp,'2022'!Maxi_hp)</f>
        <v>47.979649608380406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4.1853201005381369E-2</v>
      </c>
      <c r="M283" s="959"/>
      <c r="N283" s="959"/>
      <c r="O283" s="48">
        <f>IF(t&lt;Tnet,'2022'!Resal+('2022'!Salim-'2022'!Resal)*(1-EXP(('2022'!Tnet-t)/('2022'!Tau_j))),Resal+(Salim-Resal)*(1-EXP((Tnet-t)/(Tau_j))))*Salcycl</f>
        <v>0.11940404929883065</v>
      </c>
      <c r="P283" s="169">
        <f>(INDEX(Models!$BJ283:$BT283,,T283)*(1-R283)+INDEX(Models!$BJ283:$BT283,,T283+1)*R283-ERP_i)*Q283*Ramure*Pc/MaxiM</f>
        <v>2.0291312111933974E-3</v>
      </c>
      <c r="Q283" s="305">
        <f t="shared" si="105"/>
        <v>0.7</v>
      </c>
      <c r="R283" s="177">
        <f t="shared" si="106"/>
        <v>0.99435432040605853</v>
      </c>
      <c r="S283" s="921">
        <f t="shared" si="107"/>
        <v>0</v>
      </c>
      <c r="T283" s="176">
        <f t="shared" si="108"/>
        <v>6</v>
      </c>
      <c r="U283" s="251">
        <f t="shared" si="109"/>
        <v>0.99435432040605853</v>
      </c>
      <c r="V283" s="383">
        <f t="shared" si="110"/>
        <v>39.491558945587151</v>
      </c>
      <c r="W283" s="402">
        <f t="shared" si="111"/>
        <v>29.483244967202356</v>
      </c>
      <c r="X283" s="157">
        <f t="shared" si="112"/>
        <v>45195</v>
      </c>
      <c r="Y283" s="385">
        <f t="shared" si="113"/>
        <v>28.296518524783234</v>
      </c>
      <c r="Z283" s="385">
        <f t="shared" si="114"/>
        <v>29.532550288196664</v>
      </c>
      <c r="AA283" s="386">
        <f t="shared" si="115"/>
        <v>34.943511366054118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0.15484880787092098</v>
      </c>
      <c r="AD283" s="231">
        <f>(INDEX(Models!$BJ283:$BT283,,AH283)*(1-AF283)+INDEX(Models!$BJ283:$BT283,,AH283+1)*AF283-ERP_i)*AE283*Ramure*Pc/MaxiM</f>
        <v>2.0291312111933974E-3</v>
      </c>
      <c r="AE283" s="305">
        <f t="shared" si="117"/>
        <v>0.7</v>
      </c>
      <c r="AF283" s="177">
        <f t="shared" si="118"/>
        <v>0.99435432040605853</v>
      </c>
      <c r="AG283" s="921">
        <f t="shared" si="124"/>
        <v>0</v>
      </c>
      <c r="AH283" s="176">
        <f t="shared" si="119"/>
        <v>6</v>
      </c>
      <c r="AI283" s="225">
        <f t="shared" si="120"/>
        <v>0.99435432040605853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14.164983472705606</v>
      </c>
      <c r="C284" s="955"/>
      <c r="D284" s="393">
        <f t="shared" si="102"/>
        <v>14.784053700180548</v>
      </c>
      <c r="E284" s="385">
        <f t="shared" si="100"/>
        <v>16.788801231397315</v>
      </c>
      <c r="F284" s="385">
        <f t="shared" si="103"/>
        <v>16.791812910668106</v>
      </c>
      <c r="G284" s="110">
        <f t="shared" si="101"/>
        <v>0.35966105621556793</v>
      </c>
      <c r="H284" s="414" t="b">
        <f>Wh_hp&gt;='2022'!Maxi_hp</f>
        <v>0</v>
      </c>
      <c r="I284" s="390">
        <f>IF(H284,Wh_hp,'2022'!Maxi_hp)</f>
        <v>46.988763169188566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4.1874186879298336E-2</v>
      </c>
      <c r="M284" s="959"/>
      <c r="N284" s="959"/>
      <c r="O284" s="48">
        <f>IF(t&lt;Tnet,'2022'!Resal+('2022'!Salim-'2022'!Resal)*(1-EXP(('2022'!Tnet-t)/('2022'!Tau_j))),Resal+(Salim-Resal)*(1-EXP((Tnet-t)/(Tau_j))))*Salcycl</f>
        <v>0.11940980797769035</v>
      </c>
      <c r="P284" s="169">
        <f>(INDEX(Models!$BJ284:$BT284,,T284)*(1-R284)+INDEX(Models!$BJ284:$BT284,,T284+1)*R284-ERP_i)*Q284*Ramure*Pc/MaxiM</f>
        <v>2.0804581998345043E-3</v>
      </c>
      <c r="Q284" s="305">
        <f t="shared" si="105"/>
        <v>0.7</v>
      </c>
      <c r="R284" s="177">
        <f t="shared" si="106"/>
        <v>0.99458716766512789</v>
      </c>
      <c r="S284" s="921">
        <f t="shared" si="107"/>
        <v>0</v>
      </c>
      <c r="T284" s="176">
        <f t="shared" si="108"/>
        <v>6</v>
      </c>
      <c r="U284" s="251">
        <f t="shared" si="109"/>
        <v>0.99458716766512789</v>
      </c>
      <c r="V284" s="383">
        <f t="shared" si="110"/>
        <v>39.309369998449291</v>
      </c>
      <c r="W284" s="402">
        <f t="shared" si="111"/>
        <v>14.164983472705606</v>
      </c>
      <c r="X284" s="157">
        <f t="shared" si="112"/>
        <v>45196</v>
      </c>
      <c r="Y284" s="385">
        <f t="shared" si="113"/>
        <v>13.595526537154537</v>
      </c>
      <c r="Z284" s="385">
        <f t="shared" si="114"/>
        <v>14.189709066362266</v>
      </c>
      <c r="AA284" s="386">
        <f t="shared" si="115"/>
        <v>16.788801231397315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0.154811062994444</v>
      </c>
      <c r="AD284" s="231">
        <f>(INDEX(Models!$BJ284:$BT284,,AH284)*(1-AF284)+INDEX(Models!$BJ284:$BT284,,AH284+1)*AF284-ERP_i)*AE284*Ramure*Pc/MaxiM</f>
        <v>2.0804581998345043E-3</v>
      </c>
      <c r="AE284" s="305">
        <f t="shared" si="117"/>
        <v>0.7</v>
      </c>
      <c r="AF284" s="177">
        <f t="shared" si="118"/>
        <v>0.99458716766512789</v>
      </c>
      <c r="AG284" s="921">
        <f t="shared" si="124"/>
        <v>0</v>
      </c>
      <c r="AH284" s="176">
        <f t="shared" si="119"/>
        <v>6</v>
      </c>
      <c r="AI284" s="225">
        <f t="shared" si="120"/>
        <v>0.99458716766512789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13.85276363687842</v>
      </c>
      <c r="C285" s="955"/>
      <c r="D285" s="393">
        <f t="shared" si="102"/>
        <v>14.458505203485952</v>
      </c>
      <c r="E285" s="385">
        <f t="shared" si="100"/>
        <v>16.419186588128291</v>
      </c>
      <c r="F285" s="385">
        <f t="shared" si="103"/>
        <v>16.421890738649676</v>
      </c>
      <c r="G285" s="110">
        <f t="shared" si="101"/>
        <v>0.35337410000435338</v>
      </c>
      <c r="H285" s="414" t="b">
        <f>Wh_hp&gt;='2022'!Maxi_hp</f>
        <v>0</v>
      </c>
      <c r="I285" s="390">
        <f>IF(H285,Wh_hp,'2022'!Maxi_hp)</f>
        <v>44.138858996476266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4.1895172293570648E-2</v>
      </c>
      <c r="M285" s="959"/>
      <c r="N285" s="959"/>
      <c r="O285" s="48">
        <f>IF(t&lt;Tnet,'2022'!Resal+('2022'!Salim-'2022'!Resal)*(1-EXP(('2022'!Tnet-t)/('2022'!Tau_j))),Resal+(Salim-Resal)*(1-EXP((Tnet-t)/(Tau_j))))*Salcycl</f>
        <v>0.11941403882089907</v>
      </c>
      <c r="P285" s="169">
        <f>(INDEX(Models!$BJ285:$BT285,,T285)*(1-R285)+INDEX(Models!$BJ285:$BT285,,T285+1)*R285-ERP_i)*Q285*Ramure*Pc/MaxiM</f>
        <v>2.1317861711015801E-3</v>
      </c>
      <c r="Q285" s="305">
        <f t="shared" si="105"/>
        <v>0.7</v>
      </c>
      <c r="R285" s="177">
        <f t="shared" si="106"/>
        <v>0.99481084591441449</v>
      </c>
      <c r="S285" s="921">
        <f t="shared" si="107"/>
        <v>0</v>
      </c>
      <c r="T285" s="176">
        <f t="shared" si="108"/>
        <v>6</v>
      </c>
      <c r="U285" s="251">
        <f t="shared" si="109"/>
        <v>0.99481084591441449</v>
      </c>
      <c r="V285" s="383">
        <f t="shared" si="110"/>
        <v>39.124285333281627</v>
      </c>
      <c r="W285" s="402">
        <f t="shared" si="111"/>
        <v>13.85276363687842</v>
      </c>
      <c r="X285" s="157">
        <f t="shared" si="112"/>
        <v>45197</v>
      </c>
      <c r="Y285" s="385">
        <f t="shared" si="113"/>
        <v>13.296546193072427</v>
      </c>
      <c r="Z285" s="385">
        <f t="shared" si="114"/>
        <v>13.877965968402979</v>
      </c>
      <c r="AA285" s="386">
        <f t="shared" si="115"/>
        <v>16.419186588128291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0.15477140758986888</v>
      </c>
      <c r="AD285" s="231">
        <f>(INDEX(Models!$BJ285:$BT285,,AH285)*(1-AF285)+INDEX(Models!$BJ285:$BT285,,AH285+1)*AF285-ERP_i)*AE285*Ramure*Pc/MaxiM</f>
        <v>2.1317861711015801E-3</v>
      </c>
      <c r="AE285" s="305">
        <f t="shared" si="117"/>
        <v>0.7</v>
      </c>
      <c r="AF285" s="177">
        <f t="shared" si="118"/>
        <v>0.99481084591441449</v>
      </c>
      <c r="AG285" s="921">
        <f t="shared" si="124"/>
        <v>0</v>
      </c>
      <c r="AH285" s="176">
        <f t="shared" si="119"/>
        <v>6</v>
      </c>
      <c r="AI285" s="225">
        <f t="shared" si="120"/>
        <v>0.99481084591441449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19.961668961048684</v>
      </c>
      <c r="C286" s="955"/>
      <c r="D286" s="393">
        <f t="shared" si="102"/>
        <v>20.834991751572737</v>
      </c>
      <c r="E286" s="385">
        <f t="shared" si="100"/>
        <v>23.660444031448904</v>
      </c>
      <c r="F286" s="385">
        <f t="shared" si="103"/>
        <v>23.676147726120085</v>
      </c>
      <c r="G286" s="110">
        <f t="shared" si="101"/>
        <v>0.5118944504903572</v>
      </c>
      <c r="H286" s="414" t="b">
        <f>Wh_hp&gt;='2022'!Maxi_hp</f>
        <v>0</v>
      </c>
      <c r="I286" s="390">
        <f>IF(H286,Wh_hp,'2022'!Maxi_hp)</f>
        <v>45.467806820564945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4.1916157248208741E-2</v>
      </c>
      <c r="M286" s="959"/>
      <c r="N286" s="959"/>
      <c r="O286" s="48">
        <f>IF(t&lt;Tnet,'2022'!Resal+('2022'!Salim-'2022'!Resal)*(1-EXP(('2022'!Tnet-t)/('2022'!Tau_j))),Resal+(Salim-Resal)*(1-EXP((Tnet-t)/(Tau_j))))*Salcycl</f>
        <v>0.11941670562566958</v>
      </c>
      <c r="P286" s="169">
        <f>(INDEX(Models!$BJ286:$BT286,,T286)*(1-R286)+INDEX(Models!$BJ286:$BT286,,T286+1)*R286-ERP_i)*Q286*Ramure*Pc/MaxiM</f>
        <v>2.1831025840327819E-3</v>
      </c>
      <c r="Q286" s="305">
        <f t="shared" si="105"/>
        <v>0.7</v>
      </c>
      <c r="R286" s="177">
        <f t="shared" si="106"/>
        <v>0.99502570832032466</v>
      </c>
      <c r="S286" s="921">
        <f t="shared" si="107"/>
        <v>0</v>
      </c>
      <c r="T286" s="176">
        <f t="shared" si="108"/>
        <v>6</v>
      </c>
      <c r="U286" s="251">
        <f t="shared" si="109"/>
        <v>0.99502570832032466</v>
      </c>
      <c r="V286" s="383">
        <f t="shared" si="110"/>
        <v>38.936367496766245</v>
      </c>
      <c r="W286" s="402">
        <f t="shared" si="111"/>
        <v>19.961668961048684</v>
      </c>
      <c r="X286" s="157">
        <f t="shared" si="112"/>
        <v>45198</v>
      </c>
      <c r="Y286" s="385">
        <f t="shared" si="113"/>
        <v>19.161167485423199</v>
      </c>
      <c r="Z286" s="385">
        <f t="shared" si="114"/>
        <v>19.999468345472604</v>
      </c>
      <c r="AA286" s="386">
        <f t="shared" si="115"/>
        <v>23.660444031448904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0.1547297963263165</v>
      </c>
      <c r="AD286" s="231">
        <f>(INDEX(Models!$BJ286:$BT286,,AH286)*(1-AF286)+INDEX(Models!$BJ286:$BT286,,AH286+1)*AF286-ERP_i)*AE286*Ramure*Pc/MaxiM</f>
        <v>2.1831025840327819E-3</v>
      </c>
      <c r="AE286" s="305">
        <f t="shared" si="117"/>
        <v>0.7</v>
      </c>
      <c r="AF286" s="177">
        <f t="shared" si="118"/>
        <v>0.99502570832032466</v>
      </c>
      <c r="AG286" s="921">
        <f t="shared" si="124"/>
        <v>0</v>
      </c>
      <c r="AH286" s="176">
        <f t="shared" si="119"/>
        <v>6</v>
      </c>
      <c r="AI286" s="225">
        <f t="shared" si="120"/>
        <v>0.99502570832032466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28.777771380912458</v>
      </c>
      <c r="C287" s="955"/>
      <c r="D287" s="393">
        <f t="shared" si="102"/>
        <v>30.037456449647177</v>
      </c>
      <c r="E287" s="385">
        <f t="shared" si="100"/>
        <v>34.11090476952274</v>
      </c>
      <c r="F287" s="385">
        <f t="shared" si="103"/>
        <v>34.159178737476481</v>
      </c>
      <c r="G287" s="110">
        <f t="shared" si="101"/>
        <v>0.74212420075230967</v>
      </c>
      <c r="H287" s="414" t="b">
        <f>Wh_hp&gt;='2022'!Maxi_hp</f>
        <v>0</v>
      </c>
      <c r="I287" s="390">
        <f>IF(H287,Wh_hp,'2022'!Maxi_hp)</f>
        <v>41.385817820684117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4.1937141743222273E-2</v>
      </c>
      <c r="M287" s="959"/>
      <c r="N287" s="959"/>
      <c r="O287" s="48">
        <f>IF(t&lt;Tnet,'2022'!Resal+('2022'!Salim-'2022'!Resal)*(1-EXP(('2022'!Tnet-t)/('2022'!Tau_j))),Resal+(Salim-Resal)*(1-EXP((Tnet-t)/(Tau_j))))*Salcycl</f>
        <v>0.11941777409302526</v>
      </c>
      <c r="P287" s="169">
        <f>(INDEX(Models!$BJ287:$BT287,,T287)*(1-R287)+INDEX(Models!$BJ287:$BT287,,T287+1)*R287-ERP_i)*Q287*Ramure*Pc/MaxiM</f>
        <v>2.2343940797586444E-3</v>
      </c>
      <c r="Q287" s="305">
        <f t="shared" si="105"/>
        <v>0.7</v>
      </c>
      <c r="R287" s="177">
        <f t="shared" si="106"/>
        <v>0.9952320950631337</v>
      </c>
      <c r="S287" s="921">
        <f t="shared" si="107"/>
        <v>0</v>
      </c>
      <c r="T287" s="176">
        <f t="shared" si="108"/>
        <v>6</v>
      </c>
      <c r="U287" s="251">
        <f t="shared" si="109"/>
        <v>0.9952320950631337</v>
      </c>
      <c r="V287" s="383">
        <f t="shared" si="110"/>
        <v>38.745678896649309</v>
      </c>
      <c r="W287" s="402">
        <f t="shared" si="111"/>
        <v>28.777771380912458</v>
      </c>
      <c r="X287" s="157">
        <f t="shared" si="112"/>
        <v>45199</v>
      </c>
      <c r="Y287" s="385">
        <f t="shared" si="113"/>
        <v>27.62518587993149</v>
      </c>
      <c r="Z287" s="385">
        <f t="shared" si="114"/>
        <v>28.83441899646991</v>
      </c>
      <c r="AA287" s="386">
        <f t="shared" si="115"/>
        <v>34.11090476952274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0.15468618638832587</v>
      </c>
      <c r="AD287" s="231">
        <f>(INDEX(Models!$BJ287:$BT287,,AH287)*(1-AF287)+INDEX(Models!$BJ287:$BT287,,AH287+1)*AF287-ERP_i)*AE287*Ramure*Pc/MaxiM</f>
        <v>2.2343940797586444E-3</v>
      </c>
      <c r="AE287" s="305">
        <f t="shared" si="117"/>
        <v>0.7</v>
      </c>
      <c r="AF287" s="177">
        <f t="shared" si="118"/>
        <v>0.9952320950631337</v>
      </c>
      <c r="AG287" s="921">
        <f t="shared" si="124"/>
        <v>0</v>
      </c>
      <c r="AH287" s="176">
        <f t="shared" si="119"/>
        <v>6</v>
      </c>
      <c r="AI287" s="225">
        <f t="shared" si="120"/>
        <v>0.9952320950631337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34.83920207654473</v>
      </c>
      <c r="C288" s="955"/>
      <c r="D288" s="393">
        <f t="shared" si="102"/>
        <v>36.365009728681549</v>
      </c>
      <c r="E288" s="385">
        <f t="shared" si="100"/>
        <v>41.296525699282014</v>
      </c>
      <c r="F288" s="385">
        <f t="shared" si="103"/>
        <v>41.378088738178128</v>
      </c>
      <c r="G288" s="110">
        <f t="shared" si="101"/>
        <v>0.90340240678929262</v>
      </c>
      <c r="H288" s="414" t="b">
        <f>Wh_hp&gt;='2022'!Maxi_hp</f>
        <v>0</v>
      </c>
      <c r="I288" s="390">
        <f>IF(H288,Wh_hp,'2022'!Maxi_hp)</f>
        <v>43.981299080889379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4.195812577862168E-2</v>
      </c>
      <c r="M288" s="959"/>
      <c r="N288" s="959"/>
      <c r="O288" s="48">
        <f>IF(t&lt;Tnet,'2022'!Resal+('2022'!Salim-'2022'!Resal)*(1-EXP(('2022'!Tnet-t)/('2022'!Tau_j))),Resal+(Salim-Resal)*(1-EXP((Tnet-t)/(Tau_j))))*Salcycl</f>
        <v>0.11941721215269697</v>
      </c>
      <c r="P288" s="169">
        <f>(INDEX(Models!$BJ288:$BT288,,T288)*(1-R288)+INDEX(Models!$BJ288:$BT288,,T288+1)*R288-ERP_i)*Q288*Ramure*Pc/MaxiM</f>
        <v>2.2856465491948091E-3</v>
      </c>
      <c r="Q288" s="305">
        <f t="shared" si="105"/>
        <v>0.7</v>
      </c>
      <c r="R288" s="177">
        <f t="shared" si="106"/>
        <v>0.99543033376588197</v>
      </c>
      <c r="S288" s="921">
        <f t="shared" si="107"/>
        <v>0</v>
      </c>
      <c r="T288" s="176">
        <f t="shared" si="108"/>
        <v>6</v>
      </c>
      <c r="U288" s="251">
        <f t="shared" si="109"/>
        <v>0.99543033376588197</v>
      </c>
      <c r="V288" s="383">
        <f t="shared" si="110"/>
        <v>38.552281782829148</v>
      </c>
      <c r="W288" s="402">
        <f t="shared" si="111"/>
        <v>34.83920207654473</v>
      </c>
      <c r="X288" s="157">
        <f t="shared" si="112"/>
        <v>45200</v>
      </c>
      <c r="Y288" s="385">
        <f t="shared" si="113"/>
        <v>33.445633430640051</v>
      </c>
      <c r="Z288" s="385">
        <f t="shared" si="114"/>
        <v>34.910408752041292</v>
      </c>
      <c r="AA288" s="386">
        <f t="shared" si="115"/>
        <v>41.296525699282014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0.15464053789279802</v>
      </c>
      <c r="AD288" s="231">
        <f>(INDEX(Models!$BJ288:$BT288,,AH288)*(1-AF288)+INDEX(Models!$BJ288:$BT288,,AH288+1)*AF288-ERP_i)*AE288*Ramure*Pc/MaxiM</f>
        <v>2.2856465491948091E-3</v>
      </c>
      <c r="AE288" s="305">
        <f t="shared" si="117"/>
        <v>0.7</v>
      </c>
      <c r="AF288" s="177">
        <f t="shared" si="118"/>
        <v>0.99543033376588197</v>
      </c>
      <c r="AG288" s="921">
        <f t="shared" si="124"/>
        <v>0</v>
      </c>
      <c r="AH288" s="176">
        <f t="shared" si="119"/>
        <v>6</v>
      </c>
      <c r="AI288" s="225">
        <f t="shared" si="120"/>
        <v>0.99543033376588197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34.309473196848387</v>
      </c>
      <c r="C289" s="955"/>
      <c r="D289" s="393">
        <f t="shared" si="102"/>
        <v>35.812865389321729</v>
      </c>
      <c r="E289" s="385">
        <f t="shared" si="100"/>
        <v>40.669401584800354</v>
      </c>
      <c r="F289" s="385">
        <f t="shared" si="103"/>
        <v>40.750279004852928</v>
      </c>
      <c r="G289" s="110">
        <f t="shared" si="101"/>
        <v>0.8941931106988833</v>
      </c>
      <c r="H289" s="414" t="b">
        <f>Wh_hp&gt;='2022'!Maxi_hp</f>
        <v>0</v>
      </c>
      <c r="I289" s="390">
        <f>IF(H289,Wh_hp,'2022'!Maxi_hp)</f>
        <v>47.647904130278036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4.1979109354416733E-2</v>
      </c>
      <c r="M289" s="959"/>
      <c r="N289" s="959"/>
      <c r="O289" s="48">
        <f>IF(t&lt;Tnet,'2022'!Resal+('2022'!Salim-'2022'!Resal)*(1-EXP(('2022'!Tnet-t)/('2022'!Tau_j))),Resal+(Salim-Resal)*(1-EXP((Tnet-t)/(Tau_j))))*Salcycl</f>
        <v>0.11941499029318629</v>
      </c>
      <c r="P289" s="169">
        <f>(INDEX(Models!$BJ289:$BT289,,T289)*(1-R289)+INDEX(Models!$BJ289:$BT289,,T289+1)*R289-ERP_i)*Q289*Ramure*Pc/MaxiM</f>
        <v>2.3368803974630776E-3</v>
      </c>
      <c r="Q289" s="305">
        <f t="shared" si="105"/>
        <v>0.7</v>
      </c>
      <c r="R289" s="177">
        <f t="shared" si="106"/>
        <v>0.99562073991303834</v>
      </c>
      <c r="S289" s="921">
        <f t="shared" si="107"/>
        <v>0</v>
      </c>
      <c r="T289" s="176">
        <f t="shared" si="108"/>
        <v>6</v>
      </c>
      <c r="U289" s="251">
        <f t="shared" si="109"/>
        <v>0.99562073991303834</v>
      </c>
      <c r="V289" s="383">
        <f t="shared" si="110"/>
        <v>38.355659332807711</v>
      </c>
      <c r="W289" s="402">
        <f t="shared" si="111"/>
        <v>34.309473196848387</v>
      </c>
      <c r="X289" s="157">
        <f t="shared" si="112"/>
        <v>45201</v>
      </c>
      <c r="Y289" s="385">
        <f t="shared" si="113"/>
        <v>32.938870021697973</v>
      </c>
      <c r="Z289" s="385">
        <f t="shared" si="114"/>
        <v>34.382204337424625</v>
      </c>
      <c r="AA289" s="386">
        <f t="shared" si="115"/>
        <v>40.669401584800354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0.1545928143119146</v>
      </c>
      <c r="AD289" s="231">
        <f>(INDEX(Models!$BJ289:$BT289,,AH289)*(1-AF289)+INDEX(Models!$BJ289:$BT289,,AH289+1)*AF289-ERP_i)*AE289*Ramure*Pc/MaxiM</f>
        <v>2.3368803974630776E-3</v>
      </c>
      <c r="AE289" s="305">
        <f t="shared" si="117"/>
        <v>0.7</v>
      </c>
      <c r="AF289" s="177">
        <f t="shared" si="118"/>
        <v>0.99562073991303834</v>
      </c>
      <c r="AG289" s="921">
        <f t="shared" si="124"/>
        <v>0</v>
      </c>
      <c r="AH289" s="176">
        <f t="shared" si="119"/>
        <v>6</v>
      </c>
      <c r="AI289" s="225">
        <f t="shared" si="120"/>
        <v>0.99562073991303834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32.077577471214433</v>
      </c>
      <c r="C290" s="955"/>
      <c r="D290" s="393">
        <f t="shared" si="102"/>
        <v>33.48390455896844</v>
      </c>
      <c r="E290" s="385">
        <f t="shared" si="100"/>
        <v>38.024444630758396</v>
      </c>
      <c r="F290" s="385">
        <f t="shared" si="103"/>
        <v>38.094641519986716</v>
      </c>
      <c r="G290" s="110">
        <f t="shared" si="101"/>
        <v>0.84024965968228349</v>
      </c>
      <c r="H290" s="414" t="b">
        <f>Wh_hp&gt;='2022'!Maxi_hp</f>
        <v>0</v>
      </c>
      <c r="I290" s="390">
        <f>IF(H290,Wh_hp,'2022'!Maxi_hp)</f>
        <v>43.351504842538631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4.2000092470617645E-2</v>
      </c>
      <c r="M290" s="959"/>
      <c r="N290" s="959"/>
      <c r="O290" s="48">
        <f>IF(t&lt;Tnet,'2022'!Resal+('2022'!Salim-'2022'!Resal)*(1-EXP(('2022'!Tnet-t)/('2022'!Tau_j))),Resal+(Salim-Resal)*(1-EXP((Tnet-t)/(Tau_j))))*Salcycl</f>
        <v>0.11941108189433124</v>
      </c>
      <c r="P290" s="169">
        <f>(INDEX(Models!$BJ290:$BT290,,T290)*(1-R290)+INDEX(Models!$BJ290:$BT290,,T290+1)*R290-ERP_i)*Q290*Ramure*Pc/MaxiM</f>
        <v>2.3855587270076744E-3</v>
      </c>
      <c r="Q290" s="305">
        <f t="shared" si="105"/>
        <v>0.7</v>
      </c>
      <c r="R290" s="177">
        <f t="shared" si="106"/>
        <v>0.99580361725882649</v>
      </c>
      <c r="S290" s="921">
        <f t="shared" si="107"/>
        <v>0</v>
      </c>
      <c r="T290" s="176">
        <f t="shared" si="108"/>
        <v>6</v>
      </c>
      <c r="U290" s="251">
        <f t="shared" si="109"/>
        <v>0.99580361725882649</v>
      </c>
      <c r="V290" s="383">
        <f t="shared" si="110"/>
        <v>38.155483042071239</v>
      </c>
      <c r="W290" s="402">
        <f t="shared" si="111"/>
        <v>32.077577471214433</v>
      </c>
      <c r="X290" s="157">
        <f t="shared" si="112"/>
        <v>45202</v>
      </c>
      <c r="Y290" s="385">
        <f t="shared" si="113"/>
        <v>30.797813153263515</v>
      </c>
      <c r="Z290" s="385">
        <f t="shared" si="114"/>
        <v>32.148033534459323</v>
      </c>
      <c r="AA290" s="386">
        <f t="shared" si="115"/>
        <v>38.024444630758396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0.15454298289857407</v>
      </c>
      <c r="AD290" s="231">
        <f>(INDEX(Models!$BJ290:$BT290,,AH290)*(1-AF290)+INDEX(Models!$BJ290:$BT290,,AH290+1)*AF290-ERP_i)*AE290*Ramure*Pc/MaxiM</f>
        <v>2.3855587270076744E-3</v>
      </c>
      <c r="AE290" s="305">
        <f t="shared" si="117"/>
        <v>0.7</v>
      </c>
      <c r="AF290" s="177">
        <f t="shared" si="118"/>
        <v>0.99580361725882649</v>
      </c>
      <c r="AG290" s="921">
        <f t="shared" si="124"/>
        <v>0</v>
      </c>
      <c r="AH290" s="176">
        <f t="shared" si="119"/>
        <v>6</v>
      </c>
      <c r="AI290" s="225">
        <f t="shared" si="120"/>
        <v>0.99580361725882649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37.57060669190556</v>
      </c>
      <c r="C291" s="955"/>
      <c r="D291" s="393">
        <f t="shared" si="102"/>
        <v>39.218615061803703</v>
      </c>
      <c r="E291" s="385">
        <f t="shared" si="100"/>
        <v>44.536518725559354</v>
      </c>
      <c r="F291" s="385">
        <f t="shared" si="103"/>
        <v>44.643476903942947</v>
      </c>
      <c r="G291" s="110">
        <f t="shared" si="101"/>
        <v>0.98991640749901444</v>
      </c>
      <c r="H291" s="414" t="b">
        <f>Wh_hp&gt;='2022'!Maxi_hp</f>
        <v>0</v>
      </c>
      <c r="I291" s="390">
        <f>IF(H291,Wh_hp,'2022'!Maxi_hp)</f>
        <v>44.844605022343991</v>
      </c>
      <c r="J291" s="85">
        <f>IF(H291,An,'2022'!An_max)</f>
        <v>2018</v>
      </c>
      <c r="K291" s="197">
        <f t="shared" si="104"/>
        <v>45203</v>
      </c>
      <c r="L291" s="147">
        <f>IF(t&lt;Tvie,1-EXP((T0-t)*PertePVj)+'2022'!Pspv,1-EXP((T0-t)*PertePVj)+Pspv)</f>
        <v>4.202107512723452E-2</v>
      </c>
      <c r="M291" s="959"/>
      <c r="N291" s="959"/>
      <c r="O291" s="48">
        <f>IF(t&lt;Tnet,'2022'!Resal+('2022'!Salim-'2022'!Resal)*(1-EXP(('2022'!Tnet-t)/('2022'!Tau_j))),Resal+(Salim-Resal)*(1-EXP((Tnet-t)/(Tau_j))))*Salcycl</f>
        <v>0.11940546355958727</v>
      </c>
      <c r="P291" s="169">
        <f>(INDEX(Models!$BJ291:$BT291,,T291)*(1-R291)+INDEX(Models!$BJ291:$BT291,,T291+1)*R291-ERP_i)*Q291*Ramure*Pc/MaxiM</f>
        <v>2.4307246035401133E-3</v>
      </c>
      <c r="Q291" s="305">
        <f t="shared" si="105"/>
        <v>0.7</v>
      </c>
      <c r="R291" s="177">
        <f t="shared" si="106"/>
        <v>0.99597925822515687</v>
      </c>
      <c r="S291" s="921">
        <f t="shared" si="107"/>
        <v>0</v>
      </c>
      <c r="T291" s="176">
        <f t="shared" si="108"/>
        <v>6</v>
      </c>
      <c r="U291" s="251">
        <f t="shared" si="109"/>
        <v>0.99597925822515687</v>
      </c>
      <c r="V291" s="383">
        <f t="shared" si="110"/>
        <v>37.951984879671159</v>
      </c>
      <c r="W291" s="402">
        <f t="shared" si="111"/>
        <v>37.57060669190556</v>
      </c>
      <c r="X291" s="157">
        <f t="shared" si="112"/>
        <v>45203</v>
      </c>
      <c r="Y291" s="385">
        <f t="shared" si="113"/>
        <v>36.073680009592429</v>
      </c>
      <c r="Z291" s="385">
        <f t="shared" si="114"/>
        <v>37.656026738149357</v>
      </c>
      <c r="AA291" s="386">
        <f t="shared" si="115"/>
        <v>44.536518725559354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0.15449101511073668</v>
      </c>
      <c r="AD291" s="231">
        <f>(INDEX(Models!$BJ291:$BT291,,AH291)*(1-AF291)+INDEX(Models!$BJ291:$BT291,,AH291+1)*AF291-ERP_i)*AE291*Ramure*Pc/MaxiM</f>
        <v>2.4307246035401133E-3</v>
      </c>
      <c r="AE291" s="305">
        <f t="shared" si="117"/>
        <v>0.7</v>
      </c>
      <c r="AF291" s="177">
        <f t="shared" si="118"/>
        <v>0.99597925822515687</v>
      </c>
      <c r="AG291" s="921">
        <f t="shared" si="124"/>
        <v>0</v>
      </c>
      <c r="AH291" s="176">
        <f t="shared" si="119"/>
        <v>6</v>
      </c>
      <c r="AI291" s="225">
        <f t="shared" si="120"/>
        <v>0.99597925822515687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37.523906171113687</v>
      </c>
      <c r="C292" s="955"/>
      <c r="D292" s="393">
        <f t="shared" si="102"/>
        <v>39.170723994733727</v>
      </c>
      <c r="E292" s="385">
        <f t="shared" si="100"/>
        <v>44.481762623679053</v>
      </c>
      <c r="F292" s="385">
        <f t="shared" si="103"/>
        <v>44.591082725455713</v>
      </c>
      <c r="G292" s="110">
        <f t="shared" si="101"/>
        <v>0.99411227198711338</v>
      </c>
      <c r="H292" s="414" t="b">
        <f>Wh_hp&gt;='2022'!Maxi_hp</f>
        <v>0</v>
      </c>
      <c r="I292" s="390">
        <f>IF(H292,Wh_hp,'2022'!Maxi_hp)</f>
        <v>44.683643039833356</v>
      </c>
      <c r="J292" s="85">
        <f>IF(H292,An,'2022'!An_max)</f>
        <v>2018</v>
      </c>
      <c r="K292" s="197">
        <f t="shared" si="104"/>
        <v>45204</v>
      </c>
      <c r="L292" s="147">
        <f>IF(t&lt;Tvie,1-EXP((T0-t)*PertePVj)+'2022'!Pspv,1-EXP((T0-t)*PertePVj)+Pspv)</f>
        <v>4.2042057324277349E-2</v>
      </c>
      <c r="M292" s="959"/>
      <c r="N292" s="959"/>
      <c r="O292" s="48">
        <f>IF(t&lt;Tnet,'2022'!Resal+('2022'!Salim-'2022'!Resal)*(1-EXP(('2022'!Tnet-t)/('2022'!Tau_j))),Resal+(Salim-Resal)*(1-EXP((Tnet-t)/(Tau_j))))*Salcycl</f>
        <v>0.11939811544513956</v>
      </c>
      <c r="P292" s="169">
        <f>(INDEX(Models!$BJ292:$BT292,,T292)*(1-R292)+INDEX(Models!$BJ292:$BT292,,T292+1)*R292-ERP_i)*Q292*Ramure*Pc/MaxiM</f>
        <v>2.4723355064737631E-3</v>
      </c>
      <c r="Q292" s="305">
        <f t="shared" si="105"/>
        <v>0.7</v>
      </c>
      <c r="R292" s="177">
        <f t="shared" si="106"/>
        <v>0.99614794428913855</v>
      </c>
      <c r="S292" s="921">
        <f t="shared" si="107"/>
        <v>0</v>
      </c>
      <c r="T292" s="176">
        <f t="shared" si="108"/>
        <v>6</v>
      </c>
      <c r="U292" s="251">
        <f t="shared" si="109"/>
        <v>0.99614794428913855</v>
      </c>
      <c r="V292" s="383">
        <f t="shared" si="110"/>
        <v>37.745361110637354</v>
      </c>
      <c r="W292" s="402">
        <f t="shared" si="111"/>
        <v>37.523906171113687</v>
      </c>
      <c r="X292" s="157">
        <f t="shared" si="112"/>
        <v>45204</v>
      </c>
      <c r="Y292" s="385">
        <f t="shared" si="113"/>
        <v>36.03084602623133</v>
      </c>
      <c r="Z292" s="385">
        <f t="shared" si="114"/>
        <v>37.612137674428254</v>
      </c>
      <c r="AA292" s="386">
        <f t="shared" si="115"/>
        <v>44.481762623679053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0.15443688703095312</v>
      </c>
      <c r="AD292" s="231">
        <f>(INDEX(Models!$BJ292:$BT292,,AH292)*(1-AF292)+INDEX(Models!$BJ292:$BT292,,AH292+1)*AF292-ERP_i)*AE292*Ramure*Pc/MaxiM</f>
        <v>2.4723355064737631E-3</v>
      </c>
      <c r="AE292" s="305">
        <f t="shared" si="117"/>
        <v>0.7</v>
      </c>
      <c r="AF292" s="177">
        <f t="shared" si="118"/>
        <v>0.99614794428913855</v>
      </c>
      <c r="AG292" s="921">
        <f t="shared" si="124"/>
        <v>0</v>
      </c>
      <c r="AH292" s="176">
        <f t="shared" si="119"/>
        <v>6</v>
      </c>
      <c r="AI292" s="225">
        <f t="shared" si="120"/>
        <v>0.99614794428913855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13.914654062858467</v>
      </c>
      <c r="C293" s="955"/>
      <c r="D293" s="393">
        <f t="shared" si="102"/>
        <v>14.525646916504684</v>
      </c>
      <c r="E293" s="385">
        <f t="shared" si="100"/>
        <v>16.494964601298054</v>
      </c>
      <c r="F293" s="385">
        <f t="shared" si="103"/>
        <v>16.499148085910271</v>
      </c>
      <c r="G293" s="110">
        <f t="shared" si="101"/>
        <v>0.36986665552444981</v>
      </c>
      <c r="H293" s="414" t="b">
        <f>Wh_hp&gt;='2022'!Maxi_hp</f>
        <v>0</v>
      </c>
      <c r="I293" s="390">
        <f>IF(H293,Wh_hp,'2022'!Maxi_hp)</f>
        <v>42.282942542755286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4.2063039061756236E-2</v>
      </c>
      <c r="M293" s="959"/>
      <c r="N293" s="959"/>
      <c r="O293" s="48">
        <f>IF(t&lt;Tnet,'2022'!Resal+('2022'!Salim-'2022'!Resal)*(1-EXP(('2022'!Tnet-t)/('2022'!Tau_j))),Resal+(Salim-Resal)*(1-EXP((Tnet-t)/(Tau_j))))*Salcycl</f>
        <v>0.11938902158288943</v>
      </c>
      <c r="P293" s="169">
        <f>(INDEX(Models!$BJ293:$BT293,,T293)*(1-R293)+INDEX(Models!$BJ293:$BT293,,T293+1)*R293-ERP_i)*Q293*Ramure*Pc/MaxiM</f>
        <v>2.5103482875191104E-3</v>
      </c>
      <c r="Q293" s="305">
        <f t="shared" si="105"/>
        <v>0.7</v>
      </c>
      <c r="R293" s="177">
        <f t="shared" si="106"/>
        <v>0.99630994636017767</v>
      </c>
      <c r="S293" s="921">
        <f t="shared" si="107"/>
        <v>0</v>
      </c>
      <c r="T293" s="176">
        <f t="shared" si="108"/>
        <v>6</v>
      </c>
      <c r="U293" s="251">
        <f t="shared" si="109"/>
        <v>0.99630994636017767</v>
      </c>
      <c r="V293" s="383">
        <f t="shared" si="110"/>
        <v>37.535807647482855</v>
      </c>
      <c r="W293" s="402">
        <f t="shared" si="111"/>
        <v>13.914654062858467</v>
      </c>
      <c r="X293" s="157">
        <f t="shared" si="112"/>
        <v>45205</v>
      </c>
      <c r="Y293" s="385">
        <f t="shared" si="113"/>
        <v>13.361747683846128</v>
      </c>
      <c r="Z293" s="385">
        <f t="shared" si="114"/>
        <v>13.948462402744195</v>
      </c>
      <c r="AA293" s="386">
        <f t="shared" si="115"/>
        <v>16.494964601298054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0.15438057977726516</v>
      </c>
      <c r="AD293" s="231">
        <f>(INDEX(Models!$BJ293:$BT293,,AH293)*(1-AF293)+INDEX(Models!$BJ293:$BT293,,AH293+1)*AF293-ERP_i)*AE293*Ramure*Pc/MaxiM</f>
        <v>2.5103482875191104E-3</v>
      </c>
      <c r="AE293" s="305">
        <f t="shared" si="117"/>
        <v>0.7</v>
      </c>
      <c r="AF293" s="177">
        <f t="shared" si="118"/>
        <v>0.99630994636017767</v>
      </c>
      <c r="AG293" s="921">
        <f t="shared" si="124"/>
        <v>0</v>
      </c>
      <c r="AH293" s="176">
        <f t="shared" si="119"/>
        <v>6</v>
      </c>
      <c r="AI293" s="225">
        <f t="shared" si="120"/>
        <v>0.99630994636017767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27.747462018752763</v>
      </c>
      <c r="C294" s="955"/>
      <c r="D294" s="393">
        <f t="shared" si="102"/>
        <v>28.966488301606717</v>
      </c>
      <c r="E294" s="385">
        <f t="shared" si="100"/>
        <v>32.893220814204</v>
      </c>
      <c r="F294" s="385">
        <f t="shared" si="103"/>
        <v>32.946330653682672</v>
      </c>
      <c r="G294" s="110">
        <f t="shared" si="101"/>
        <v>0.74273648091285394</v>
      </c>
      <c r="H294" s="414" t="b">
        <f>Wh_hp&gt;='2022'!Maxi_hp</f>
        <v>0</v>
      </c>
      <c r="I294" s="390">
        <f>IF(H294,Wh_hp,'2022'!Maxi_hp)</f>
        <v>44.5855001708373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4.2084020339681172E-2</v>
      </c>
      <c r="M294" s="959"/>
      <c r="N294" s="959"/>
      <c r="O294" s="48">
        <f>IF(t&lt;Tnet,'2022'!Resal+('2022'!Salim-'2022'!Resal)*(1-EXP(('2022'!Tnet-t)/('2022'!Tau_j))),Resal+(Salim-Resal)*(1-EXP((Tnet-t)/(Tau_j))))*Salcycl</f>
        <v>0.11937817019431667</v>
      </c>
      <c r="P294" s="169">
        <f>(INDEX(Models!$BJ294:$BT294,,T294)*(1-R294)+INDEX(Models!$BJ294:$BT294,,T294+1)*R294-ERP_i)*Q294*Ramure*Pc/MaxiM</f>
        <v>2.5447195126736132E-3</v>
      </c>
      <c r="Q294" s="305">
        <f t="shared" si="105"/>
        <v>0.7</v>
      </c>
      <c r="R294" s="177">
        <f t="shared" si="106"/>
        <v>0.9964655251467005</v>
      </c>
      <c r="S294" s="921">
        <f t="shared" si="107"/>
        <v>0</v>
      </c>
      <c r="T294" s="176">
        <f t="shared" si="108"/>
        <v>6</v>
      </c>
      <c r="U294" s="251">
        <f t="shared" si="109"/>
        <v>0.9964655251467005</v>
      </c>
      <c r="V294" s="383">
        <f t="shared" si="110"/>
        <v>37.323520042097613</v>
      </c>
      <c r="W294" s="402">
        <f t="shared" si="111"/>
        <v>27.747462018752763</v>
      </c>
      <c r="X294" s="157">
        <f t="shared" si="112"/>
        <v>45206</v>
      </c>
      <c r="Y294" s="385">
        <f t="shared" si="113"/>
        <v>26.646416400108325</v>
      </c>
      <c r="Z294" s="385">
        <f t="shared" si="114"/>
        <v>27.817070563492699</v>
      </c>
      <c r="AA294" s="386">
        <f t="shared" si="115"/>
        <v>32.893220814204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0.1543220799016225</v>
      </c>
      <c r="AD294" s="231">
        <f>(INDEX(Models!$BJ294:$BT294,,AH294)*(1-AF294)+INDEX(Models!$BJ294:$BT294,,AH294+1)*AF294-ERP_i)*AE294*Ramure*Pc/MaxiM</f>
        <v>2.5447195126736132E-3</v>
      </c>
      <c r="AE294" s="305">
        <f t="shared" si="117"/>
        <v>0.7</v>
      </c>
      <c r="AF294" s="177">
        <f t="shared" si="118"/>
        <v>0.9964655251467005</v>
      </c>
      <c r="AG294" s="921">
        <f t="shared" si="124"/>
        <v>0</v>
      </c>
      <c r="AH294" s="176">
        <f t="shared" si="119"/>
        <v>6</v>
      </c>
      <c r="AI294" s="225">
        <f t="shared" si="120"/>
        <v>0.9964655251467005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16.050895600376446</v>
      </c>
      <c r="C295" s="955"/>
      <c r="D295" s="393">
        <f t="shared" si="102"/>
        <v>16.756424889764983</v>
      </c>
      <c r="E295" s="385">
        <f t="shared" si="100"/>
        <v>19.02767370243955</v>
      </c>
      <c r="F295" s="385">
        <f t="shared" si="103"/>
        <v>19.036956596695141</v>
      </c>
      <c r="G295" s="110">
        <f t="shared" si="101"/>
        <v>0.43163385720131153</v>
      </c>
      <c r="H295" s="414" t="b">
        <f>Wh_hp&gt;='2022'!Maxi_hp</f>
        <v>0</v>
      </c>
      <c r="I295" s="390">
        <f>IF(H295,Wh_hp,'2022'!Maxi_hp)</f>
        <v>41.761638375375632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4.2105001158062261E-2</v>
      </c>
      <c r="M295" s="959"/>
      <c r="N295" s="959"/>
      <c r="O295" s="48">
        <f>IF(t&lt;Tnet,'2022'!Resal+('2022'!Salim-'2022'!Resal)*(1-EXP(('2022'!Tnet-t)/('2022'!Tau_j))),Resal+(Salim-Resal)*(1-EXP((Tnet-t)/(Tau_j))))*Salcycl</f>
        <v>0.11936555399220292</v>
      </c>
      <c r="P295" s="169">
        <f>(INDEX(Models!$BJ295:$BT295,,T295)*(1-R295)+INDEX(Models!$BJ295:$BT295,,T295+1)*R295-ERP_i)*Q295*Ramure*Pc/MaxiM</f>
        <v>2.5754058051902624E-3</v>
      </c>
      <c r="Q295" s="305">
        <f t="shared" si="105"/>
        <v>0.7</v>
      </c>
      <c r="R295" s="177">
        <f t="shared" si="106"/>
        <v>0.99661493151256175</v>
      </c>
      <c r="S295" s="921">
        <f t="shared" si="107"/>
        <v>0</v>
      </c>
      <c r="T295" s="176">
        <f t="shared" si="108"/>
        <v>6</v>
      </c>
      <c r="U295" s="251">
        <f t="shared" si="109"/>
        <v>0.99661493151256175</v>
      </c>
      <c r="V295" s="383">
        <f t="shared" si="110"/>
        <v>37.108693470906239</v>
      </c>
      <c r="W295" s="402">
        <f t="shared" si="111"/>
        <v>16.050895600376446</v>
      </c>
      <c r="X295" s="157">
        <f t="shared" si="112"/>
        <v>45207</v>
      </c>
      <c r="Y295" s="385">
        <f t="shared" si="113"/>
        <v>15.414866361435408</v>
      </c>
      <c r="Z295" s="385">
        <f t="shared" si="114"/>
        <v>16.092438503250829</v>
      </c>
      <c r="AA295" s="386">
        <f t="shared" si="115"/>
        <v>19.02767370243955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0.1542613797719472</v>
      </c>
      <c r="AD295" s="231">
        <f>(INDEX(Models!$BJ295:$BT295,,AH295)*(1-AF295)+INDEX(Models!$BJ295:$BT295,,AH295+1)*AF295-ERP_i)*AE295*Ramure*Pc/MaxiM</f>
        <v>2.5754058051902624E-3</v>
      </c>
      <c r="AE295" s="305">
        <f t="shared" si="117"/>
        <v>0.7</v>
      </c>
      <c r="AF295" s="177">
        <f t="shared" si="118"/>
        <v>0.99661493151256175</v>
      </c>
      <c r="AG295" s="921">
        <f t="shared" si="124"/>
        <v>0</v>
      </c>
      <c r="AH295" s="176">
        <f t="shared" si="119"/>
        <v>6</v>
      </c>
      <c r="AI295" s="225">
        <f t="shared" si="120"/>
        <v>0.99661493151256175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35.016080356748091</v>
      </c>
      <c r="C296" s="955"/>
      <c r="D296" s="393">
        <f t="shared" si="102"/>
        <v>36.55603939670511</v>
      </c>
      <c r="E296" s="385">
        <f t="shared" si="100"/>
        <v>41.510348019311472</v>
      </c>
      <c r="F296" s="385">
        <f t="shared" si="103"/>
        <v>41.610724355637899</v>
      </c>
      <c r="G296" s="110">
        <f t="shared" si="101"/>
        <v>0.9489824585556299</v>
      </c>
      <c r="H296" s="414" t="b">
        <f>Wh_hp&gt;='2022'!Maxi_hp</f>
        <v>0</v>
      </c>
      <c r="I296" s="390">
        <f>IF(H296,Wh_hp,'2022'!Maxi_hp)</f>
        <v>41.612826498189825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4.2125981516909605E-2</v>
      </c>
      <c r="M296" s="959"/>
      <c r="N296" s="959"/>
      <c r="O296" s="48">
        <f>IF(t&lt;Tnet,'2022'!Resal+('2022'!Salim-'2022'!Resal)*(1-EXP(('2022'!Tnet-t)/('2022'!Tau_j))),Resal+(Salim-Resal)*(1-EXP((Tnet-t)/(Tau_j))))*Salcycl</f>
        <v>0.11935117046721749</v>
      </c>
      <c r="P296" s="169">
        <f>(INDEX(Models!$BJ296:$BT296,,T296)*(1-R296)+INDEX(Models!$BJ296:$BT296,,T296+1)*R296-ERP_i)*Q296*Ramure*Pc/MaxiM</f>
        <v>2.6011828415380129E-3</v>
      </c>
      <c r="Q296" s="305">
        <f t="shared" si="105"/>
        <v>0.7</v>
      </c>
      <c r="R296" s="177">
        <f t="shared" si="106"/>
        <v>0.99675840682322425</v>
      </c>
      <c r="S296" s="921">
        <f t="shared" si="107"/>
        <v>0</v>
      </c>
      <c r="T296" s="176">
        <f t="shared" si="108"/>
        <v>6</v>
      </c>
      <c r="U296" s="251">
        <f t="shared" si="109"/>
        <v>0.99675840682322425</v>
      </c>
      <c r="V296" s="383">
        <f t="shared" si="110"/>
        <v>36.891566421562608</v>
      </c>
      <c r="W296" s="402">
        <f t="shared" si="111"/>
        <v>35.016080356748091</v>
      </c>
      <c r="X296" s="157">
        <f t="shared" si="112"/>
        <v>45208</v>
      </c>
      <c r="Y296" s="385">
        <f t="shared" si="113"/>
        <v>33.630492733676149</v>
      </c>
      <c r="Z296" s="385">
        <f t="shared" si="114"/>
        <v>35.109515536222716</v>
      </c>
      <c r="AA296" s="386">
        <f t="shared" si="115"/>
        <v>41.510348019311472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0.15419847793400715</v>
      </c>
      <c r="AD296" s="231">
        <f>(INDEX(Models!$BJ296:$BT296,,AH296)*(1-AF296)+INDEX(Models!$BJ296:$BT296,,AH296+1)*AF296-ERP_i)*AE296*Ramure*Pc/MaxiM</f>
        <v>2.6011828415380129E-3</v>
      </c>
      <c r="AE296" s="305">
        <f t="shared" si="117"/>
        <v>0.7</v>
      </c>
      <c r="AF296" s="177">
        <f t="shared" si="118"/>
        <v>0.99675840682322425</v>
      </c>
      <c r="AG296" s="921">
        <f t="shared" si="124"/>
        <v>0</v>
      </c>
      <c r="AH296" s="176">
        <f t="shared" si="119"/>
        <v>6</v>
      </c>
      <c r="AI296" s="225">
        <f t="shared" si="120"/>
        <v>0.99675840682322425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28.585402058114067</v>
      </c>
      <c r="C297" s="955"/>
      <c r="D297" s="393">
        <f t="shared" si="102"/>
        <v>29.84320235636461</v>
      </c>
      <c r="E297" s="385">
        <f t="shared" ref="E297:E360" si="125">Wh_pvt/(1-Psa)</f>
        <v>33.887122920953587</v>
      </c>
      <c r="F297" s="385">
        <f t="shared" si="103"/>
        <v>33.948120411002193</v>
      </c>
      <c r="G297" s="110">
        <f t="shared" ref="G297:G360" si="126">+Wh_hp/MaxiM</f>
        <v>0.77883702253379794</v>
      </c>
      <c r="H297" s="414" t="b">
        <f>Wh_hp&gt;='2022'!Maxi_hp</f>
        <v>0</v>
      </c>
      <c r="I297" s="390">
        <f>IF(H297,Wh_hp,'2022'!Maxi_hp)</f>
        <v>33.955585399712518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4.2146961416233308E-2</v>
      </c>
      <c r="M297" s="959"/>
      <c r="N297" s="959"/>
      <c r="O297" s="48">
        <f>IF(t&lt;Tnet,'2022'!Resal+('2022'!Salim-'2022'!Resal)*(1-EXP(('2022'!Tnet-t)/('2022'!Tau_j))),Resal+(Salim-Resal)*(1-EXP((Tnet-t)/(Tau_j))))*Salcycl</f>
        <v>0.11933502215640969</v>
      </c>
      <c r="P297" s="169">
        <f>(INDEX(Models!$BJ297:$BT297,,T297)*(1-R297)+INDEX(Models!$BJ297:$BT297,,T297+1)*R297-ERP_i)*Q297*Ramure*Pc/MaxiM</f>
        <v>2.6231412710539313E-3</v>
      </c>
      <c r="Q297" s="305">
        <f t="shared" si="105"/>
        <v>0.7</v>
      </c>
      <c r="R297" s="177">
        <f t="shared" si="106"/>
        <v>0.9968961832818154</v>
      </c>
      <c r="S297" s="921">
        <f t="shared" si="107"/>
        <v>0</v>
      </c>
      <c r="T297" s="176">
        <f t="shared" si="108"/>
        <v>6</v>
      </c>
      <c r="U297" s="251">
        <f t="shared" si="109"/>
        <v>0.9968961832818154</v>
      </c>
      <c r="V297" s="383">
        <f t="shared" si="110"/>
        <v>36.672290864269776</v>
      </c>
      <c r="W297" s="402">
        <f t="shared" si="111"/>
        <v>28.585402058114067</v>
      </c>
      <c r="X297" s="157">
        <f t="shared" si="112"/>
        <v>45209</v>
      </c>
      <c r="Y297" s="385">
        <f t="shared" si="113"/>
        <v>27.455886227229612</v>
      </c>
      <c r="Z297" s="385">
        <f t="shared" si="114"/>
        <v>28.663986145332384</v>
      </c>
      <c r="AA297" s="386">
        <f t="shared" si="115"/>
        <v>33.887122920953587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0.15413337944932334</v>
      </c>
      <c r="AD297" s="231">
        <f>(INDEX(Models!$BJ297:$BT297,,AH297)*(1-AF297)+INDEX(Models!$BJ297:$BT297,,AH297+1)*AF297-ERP_i)*AE297*Ramure*Pc/MaxiM</f>
        <v>2.6231412710539313E-3</v>
      </c>
      <c r="AE297" s="305">
        <f t="shared" si="117"/>
        <v>0.7</v>
      </c>
      <c r="AF297" s="177">
        <f t="shared" si="118"/>
        <v>0.9968961832818154</v>
      </c>
      <c r="AG297" s="921">
        <f t="shared" si="124"/>
        <v>0</v>
      </c>
      <c r="AH297" s="176">
        <f t="shared" si="119"/>
        <v>6</v>
      </c>
      <c r="AI297" s="225">
        <f t="shared" si="120"/>
        <v>0.9968961832818154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20.385884396958318</v>
      </c>
      <c r="C298" s="955"/>
      <c r="D298" s="393">
        <f t="shared" si="102"/>
        <v>21.283359856609721</v>
      </c>
      <c r="E298" s="385">
        <f t="shared" si="125"/>
        <v>24.166882614396098</v>
      </c>
      <c r="F298" s="385">
        <f t="shared" si="103"/>
        <v>24.190547432107412</v>
      </c>
      <c r="G298" s="110">
        <f t="shared" si="126"/>
        <v>0.55833628986239092</v>
      </c>
      <c r="H298" s="414" t="b">
        <f>Wh_hp&gt;='2022'!Maxi_hp</f>
        <v>0</v>
      </c>
      <c r="I298" s="390">
        <f>IF(H298,Wh_hp,'2022'!Maxi_hp)</f>
        <v>43.516621662814977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4.2167940856043251E-2</v>
      </c>
      <c r="M298" s="959"/>
      <c r="N298" s="959"/>
      <c r="O298" s="48">
        <f>IF(t&lt;Tnet,'2022'!Resal+('2022'!Salim-'2022'!Resal)*(1-EXP(('2022'!Tnet-t)/('2022'!Tau_j))),Resal+(Salim-Resal)*(1-EXP((Tnet-t)/(Tau_j))))*Salcycl</f>
        <v>0.11931711689072699</v>
      </c>
      <c r="P298" s="169">
        <f>(INDEX(Models!$BJ298:$BT298,,T298)*(1-R298)+INDEX(Models!$BJ298:$BT298,,T298+1)*R298-ERP_i)*Q298*Ramure*Pc/MaxiM</f>
        <v>2.6412399106132451E-3</v>
      </c>
      <c r="Q298" s="305">
        <f t="shared" si="105"/>
        <v>0.7</v>
      </c>
      <c r="R298" s="177">
        <f t="shared" si="106"/>
        <v>0.99702848425518176</v>
      </c>
      <c r="S298" s="921">
        <f t="shared" si="107"/>
        <v>0</v>
      </c>
      <c r="T298" s="176">
        <f t="shared" si="108"/>
        <v>6</v>
      </c>
      <c r="U298" s="251">
        <f t="shared" si="109"/>
        <v>0.99702848425518176</v>
      </c>
      <c r="V298" s="383">
        <f t="shared" si="110"/>
        <v>36.45106076570994</v>
      </c>
      <c r="W298" s="402">
        <f t="shared" si="111"/>
        <v>20.385884396958318</v>
      </c>
      <c r="X298" s="157">
        <f t="shared" si="112"/>
        <v>45210</v>
      </c>
      <c r="Y298" s="385">
        <f t="shared" si="113"/>
        <v>19.58152145450951</v>
      </c>
      <c r="Z298" s="385">
        <f t="shared" si="114"/>
        <v>20.443585352540929</v>
      </c>
      <c r="AA298" s="386">
        <f t="shared" si="115"/>
        <v>24.166882614396098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0.1540660962054419</v>
      </c>
      <c r="AD298" s="231">
        <f>(INDEX(Models!$BJ298:$BT298,,AH298)*(1-AF298)+INDEX(Models!$BJ298:$BT298,,AH298+1)*AF298-ERP_i)*AE298*Ramure*Pc/MaxiM</f>
        <v>2.6412399106132451E-3</v>
      </c>
      <c r="AE298" s="305">
        <f t="shared" si="117"/>
        <v>0.7</v>
      </c>
      <c r="AF298" s="177">
        <f t="shared" si="118"/>
        <v>0.99702848425518176</v>
      </c>
      <c r="AG298" s="921">
        <f t="shared" si="124"/>
        <v>0</v>
      </c>
      <c r="AH298" s="176">
        <f t="shared" si="119"/>
        <v>6</v>
      </c>
      <c r="AI298" s="225">
        <f t="shared" si="120"/>
        <v>0.99702848425518176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28.507573967445651</v>
      </c>
      <c r="C299" s="955"/>
      <c r="D299" s="393">
        <f t="shared" si="102"/>
        <v>29.763253482696069</v>
      </c>
      <c r="E299" s="385">
        <f t="shared" si="125"/>
        <v>33.794899414835292</v>
      </c>
      <c r="F299" s="385">
        <f t="shared" si="103"/>
        <v>33.85743466238511</v>
      </c>
      <c r="G299" s="110">
        <f t="shared" si="126"/>
        <v>0.78625456465872368</v>
      </c>
      <c r="H299" s="414" t="b">
        <f>Wh_hp&gt;='2022'!Maxi_hp</f>
        <v>0</v>
      </c>
      <c r="I299" s="390">
        <f>IF(H299,Wh_hp,'2022'!Maxi_hp)</f>
        <v>42.807452061099632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4.2188919836349648E-2</v>
      </c>
      <c r="M299" s="959"/>
      <c r="N299" s="959"/>
      <c r="O299" s="48">
        <f>IF(t&lt;Tnet,'2022'!Resal+('2022'!Salim-'2022'!Resal)*(1-EXP(('2022'!Tnet-t)/('2022'!Tau_j))),Resal+(Salim-Resal)*(1-EXP((Tnet-t)/(Tau_j))))*Salcycl</f>
        <v>0.11929746801878065</v>
      </c>
      <c r="P299" s="169">
        <f>(INDEX(Models!$BJ299:$BT299,,T299)*(1-R299)+INDEX(Models!$BJ299:$BT299,,T299+1)*R299-ERP_i)*Q299*Ramure*Pc/MaxiM</f>
        <v>2.6554390044933244E-3</v>
      </c>
      <c r="Q299" s="305">
        <f t="shared" si="105"/>
        <v>0.7</v>
      </c>
      <c r="R299" s="177">
        <f t="shared" si="106"/>
        <v>0.99715552459008316</v>
      </c>
      <c r="S299" s="921">
        <f t="shared" si="107"/>
        <v>0</v>
      </c>
      <c r="T299" s="176">
        <f t="shared" si="108"/>
        <v>6</v>
      </c>
      <c r="U299" s="251">
        <f t="shared" si="109"/>
        <v>0.99715552459008316</v>
      </c>
      <c r="V299" s="383">
        <f t="shared" si="110"/>
        <v>36.228069691425119</v>
      </c>
      <c r="W299" s="402">
        <f t="shared" si="111"/>
        <v>28.507573967445651</v>
      </c>
      <c r="X299" s="157">
        <f t="shared" si="112"/>
        <v>45211</v>
      </c>
      <c r="Y299" s="385">
        <f t="shared" si="113"/>
        <v>27.384391756589928</v>
      </c>
      <c r="Z299" s="385">
        <f t="shared" si="114"/>
        <v>28.590598212656996</v>
      </c>
      <c r="AA299" s="386">
        <f t="shared" si="115"/>
        <v>33.794899414835292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0.15399664719504122</v>
      </c>
      <c r="AD299" s="231">
        <f>(INDEX(Models!$BJ299:$BT299,,AH299)*(1-AF299)+INDEX(Models!$BJ299:$BT299,,AH299+1)*AF299-ERP_i)*AE299*Ramure*Pc/MaxiM</f>
        <v>2.6554390044933244E-3</v>
      </c>
      <c r="AE299" s="305">
        <f t="shared" si="117"/>
        <v>0.7</v>
      </c>
      <c r="AF299" s="177">
        <f t="shared" si="118"/>
        <v>0.99715552459008316</v>
      </c>
      <c r="AG299" s="921">
        <f t="shared" si="124"/>
        <v>0</v>
      </c>
      <c r="AH299" s="176">
        <f t="shared" si="119"/>
        <v>6</v>
      </c>
      <c r="AI299" s="225">
        <f t="shared" si="120"/>
        <v>0.99715552459008316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20.633026756826908</v>
      </c>
      <c r="C300" s="955"/>
      <c r="D300" s="393">
        <f t="shared" si="102"/>
        <v>21.542326154171324</v>
      </c>
      <c r="E300" s="385">
        <f t="shared" si="125"/>
        <v>24.459794973420678</v>
      </c>
      <c r="F300" s="385">
        <f t="shared" si="103"/>
        <v>24.485258224682905</v>
      </c>
      <c r="G300" s="110">
        <f t="shared" si="126"/>
        <v>0.57215107797370013</v>
      </c>
      <c r="H300" s="414" t="b">
        <f>Wh_hp&gt;='2022'!Maxi_hp</f>
        <v>0</v>
      </c>
      <c r="I300" s="390">
        <f>IF(H300,Wh_hp,'2022'!Maxi_hp)</f>
        <v>41.038729599738197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4.2209898357162601E-2</v>
      </c>
      <c r="M300" s="959"/>
      <c r="N300" s="959"/>
      <c r="O300" s="48">
        <f>IF(t&lt;Tnet,'2022'!Resal+('2022'!Salim-'2022'!Resal)*(1-EXP(('2022'!Tnet-t)/('2022'!Tau_j))),Resal+(Salim-Resal)*(1-EXP((Tnet-t)/(Tau_j))))*Salcycl</f>
        <v>0.11927609460421203</v>
      </c>
      <c r="P300" s="169">
        <f>(INDEX(Models!$BJ300:$BT300,,T300)*(1-R300)+INDEX(Models!$BJ300:$BT300,,T300+1)*R300-ERP_i)*Q300*Ramure*Pc/MaxiM</f>
        <v>2.665700535475561E-3</v>
      </c>
      <c r="Q300" s="305">
        <f t="shared" si="105"/>
        <v>0.7</v>
      </c>
      <c r="R300" s="177">
        <f t="shared" si="106"/>
        <v>0.99727751091967731</v>
      </c>
      <c r="S300" s="921">
        <f t="shared" si="107"/>
        <v>0</v>
      </c>
      <c r="T300" s="176">
        <f t="shared" si="108"/>
        <v>6</v>
      </c>
      <c r="U300" s="251">
        <f t="shared" si="109"/>
        <v>0.99727751091967731</v>
      </c>
      <c r="V300" s="383">
        <f t="shared" si="110"/>
        <v>36.00351080759922</v>
      </c>
      <c r="W300" s="402">
        <f t="shared" si="111"/>
        <v>20.633026756826908</v>
      </c>
      <c r="X300" s="157">
        <f t="shared" si="112"/>
        <v>45212</v>
      </c>
      <c r="Y300" s="385">
        <f t="shared" si="113"/>
        <v>19.821293363247399</v>
      </c>
      <c r="Z300" s="385">
        <f t="shared" si="114"/>
        <v>20.694819594866534</v>
      </c>
      <c r="AA300" s="386">
        <f t="shared" si="115"/>
        <v>24.459794973420678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0.15392505876052381</v>
      </c>
      <c r="AD300" s="231">
        <f>(INDEX(Models!$BJ300:$BT300,,AH300)*(1-AF300)+INDEX(Models!$BJ300:$BT300,,AH300+1)*AF300-ERP_i)*AE300*Ramure*Pc/MaxiM</f>
        <v>2.665700535475561E-3</v>
      </c>
      <c r="AE300" s="305">
        <f t="shared" si="117"/>
        <v>0.7</v>
      </c>
      <c r="AF300" s="177">
        <f t="shared" si="118"/>
        <v>0.99727751091967731</v>
      </c>
      <c r="AG300" s="921">
        <f t="shared" si="124"/>
        <v>0</v>
      </c>
      <c r="AH300" s="176">
        <f t="shared" si="119"/>
        <v>6</v>
      </c>
      <c r="AI300" s="225">
        <f t="shared" si="120"/>
        <v>0.99727751091967731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15.414446704158804</v>
      </c>
      <c r="C301" s="955"/>
      <c r="D301" s="393">
        <f t="shared" si="102"/>
        <v>16.094115298390079</v>
      </c>
      <c r="E301" s="385">
        <f t="shared" si="125"/>
        <v>18.273256330121981</v>
      </c>
      <c r="F301" s="385">
        <f t="shared" si="103"/>
        <v>18.282387223642349</v>
      </c>
      <c r="G301" s="110">
        <f t="shared" si="126"/>
        <v>0.42990449952374415</v>
      </c>
      <c r="H301" s="414" t="b">
        <f>Wh_hp&gt;='2022'!Maxi_hp</f>
        <v>0</v>
      </c>
      <c r="I301" s="390">
        <f>IF(H301,Wh_hp,'2022'!Maxi_hp)</f>
        <v>44.446308487241133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4.2230876418492103E-2</v>
      </c>
      <c r="M301" s="959"/>
      <c r="N301" s="959"/>
      <c r="O301" s="48">
        <f>IF(t&lt;Tnet,'2022'!Resal+('2022'!Salim-'2022'!Resal)*(1-EXP(('2022'!Tnet-t)/('2022'!Tau_j))),Resal+(Salim-Resal)*(1-EXP((Tnet-t)/(Tau_j))))*Salcycl</f>
        <v>0.11925302159417341</v>
      </c>
      <c r="P301" s="169">
        <f>(INDEX(Models!$BJ301:$BT301,,T301)*(1-R301)+INDEX(Models!$BJ301:$BT301,,T301+1)*R301-ERP_i)*Q301*Ramure*Pc/MaxiM</f>
        <v>2.671988521552844E-3</v>
      </c>
      <c r="Q301" s="305">
        <f t="shared" si="105"/>
        <v>0.7</v>
      </c>
      <c r="R301" s="177">
        <f t="shared" si="106"/>
        <v>0.99739464196045813</v>
      </c>
      <c r="S301" s="921">
        <f t="shared" si="107"/>
        <v>0</v>
      </c>
      <c r="T301" s="176">
        <f t="shared" si="108"/>
        <v>6</v>
      </c>
      <c r="U301" s="251">
        <f t="shared" si="109"/>
        <v>0.99739464196045813</v>
      </c>
      <c r="V301" s="383">
        <f t="shared" si="110"/>
        <v>35.777576884474122</v>
      </c>
      <c r="W301" s="402">
        <f t="shared" si="111"/>
        <v>15.414446704158804</v>
      </c>
      <c r="X301" s="157">
        <f t="shared" si="112"/>
        <v>45213</v>
      </c>
      <c r="Y301" s="385">
        <f t="shared" si="113"/>
        <v>14.808921700396157</v>
      </c>
      <c r="Z301" s="385">
        <f t="shared" si="114"/>
        <v>15.461890904375025</v>
      </c>
      <c r="AA301" s="386">
        <f t="shared" si="115"/>
        <v>18.273256330121981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0.15385136480095493</v>
      </c>
      <c r="AD301" s="231">
        <f>(INDEX(Models!$BJ301:$BT301,,AH301)*(1-AF301)+INDEX(Models!$BJ301:$BT301,,AH301+1)*AF301-ERP_i)*AE301*Ramure*Pc/MaxiM</f>
        <v>2.671988521552844E-3</v>
      </c>
      <c r="AE301" s="305">
        <f t="shared" si="117"/>
        <v>0.7</v>
      </c>
      <c r="AF301" s="177">
        <f t="shared" si="118"/>
        <v>0.99739464196045813</v>
      </c>
      <c r="AG301" s="921">
        <f t="shared" si="124"/>
        <v>0</v>
      </c>
      <c r="AH301" s="176">
        <f t="shared" si="119"/>
        <v>6</v>
      </c>
      <c r="AI301" s="225">
        <f t="shared" si="120"/>
        <v>0.99739464196045813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34.426711396747578</v>
      </c>
      <c r="C302" s="955"/>
      <c r="D302" s="393">
        <f t="shared" si="102"/>
        <v>35.945474330867569</v>
      </c>
      <c r="E302" s="385">
        <f t="shared" si="125"/>
        <v>40.811340229108723</v>
      </c>
      <c r="F302" s="385">
        <f t="shared" si="103"/>
        <v>40.915819061872739</v>
      </c>
      <c r="G302" s="110">
        <f t="shared" si="126"/>
        <v>0.96827278789636817</v>
      </c>
      <c r="H302" s="414" t="b">
        <f>Wh_hp&gt;='2022'!Maxi_hp</f>
        <v>0</v>
      </c>
      <c r="I302" s="390">
        <f>IF(H302,Wh_hp,'2022'!Maxi_hp)</f>
        <v>40.917116605876139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4.2251854020348145E-2</v>
      </c>
      <c r="M302" s="959"/>
      <c r="N302" s="959"/>
      <c r="O302" s="48">
        <f>IF(t&lt;Tnet,'2022'!Resal+('2022'!Salim-'2022'!Resal)*(1-EXP(('2022'!Tnet-t)/('2022'!Tau_j))),Resal+(Salim-Resal)*(1-EXP((Tnet-t)/(Tau_j))))*Salcycl</f>
        <v>0.11922827995662261</v>
      </c>
      <c r="P302" s="169">
        <f>(INDEX(Models!$BJ302:$BT302,,T302)*(1-R302)+INDEX(Models!$BJ302:$BT302,,T302+1)*R302-ERP_i)*Q302*Ramure*Pc/MaxiM</f>
        <v>2.6742692956382586E-3</v>
      </c>
      <c r="Q302" s="305">
        <f t="shared" si="105"/>
        <v>0.7</v>
      </c>
      <c r="R302" s="177">
        <f t="shared" si="106"/>
        <v>0.99750710879982418</v>
      </c>
      <c r="S302" s="921">
        <f t="shared" si="107"/>
        <v>0</v>
      </c>
      <c r="T302" s="176">
        <f t="shared" si="108"/>
        <v>6</v>
      </c>
      <c r="U302" s="251">
        <f t="shared" si="109"/>
        <v>0.99750710879982418</v>
      </c>
      <c r="V302" s="383">
        <f t="shared" si="110"/>
        <v>35.550460301159077</v>
      </c>
      <c r="W302" s="402">
        <f t="shared" si="111"/>
        <v>34.426711396747578</v>
      </c>
      <c r="X302" s="157">
        <f t="shared" si="112"/>
        <v>45214</v>
      </c>
      <c r="Y302" s="385">
        <f t="shared" si="113"/>
        <v>33.076360530039317</v>
      </c>
      <c r="Z302" s="385">
        <f t="shared" si="114"/>
        <v>34.535551615405637</v>
      </c>
      <c r="AA302" s="386">
        <f t="shared" si="115"/>
        <v>40.811340229108723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0.15377560693845763</v>
      </c>
      <c r="AD302" s="231">
        <f>(INDEX(Models!$BJ302:$BT302,,AH302)*(1-AF302)+INDEX(Models!$BJ302:$BT302,,AH302+1)*AF302-ERP_i)*AE302*Ramure*Pc/MaxiM</f>
        <v>2.6742692956382586E-3</v>
      </c>
      <c r="AE302" s="305">
        <f t="shared" si="117"/>
        <v>0.7</v>
      </c>
      <c r="AF302" s="177">
        <f t="shared" si="118"/>
        <v>0.99750710879982418</v>
      </c>
      <c r="AG302" s="921">
        <f t="shared" si="124"/>
        <v>0</v>
      </c>
      <c r="AH302" s="176">
        <f t="shared" si="119"/>
        <v>6</v>
      </c>
      <c r="AI302" s="225">
        <f t="shared" si="120"/>
        <v>0.99750710879982418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31.085612625733297</v>
      </c>
      <c r="C303" s="955"/>
      <c r="D303" s="393">
        <f t="shared" si="102"/>
        <v>32.457691122486565</v>
      </c>
      <c r="E303" s="385">
        <f t="shared" si="125"/>
        <v>36.850319468776952</v>
      </c>
      <c r="F303" s="385">
        <f t="shared" si="103"/>
        <v>36.932110183701276</v>
      </c>
      <c r="G303" s="110">
        <f t="shared" si="126"/>
        <v>0.8796584573650077</v>
      </c>
      <c r="H303" s="414" t="b">
        <f>Wh_hp&gt;='2022'!Maxi_hp</f>
        <v>0</v>
      </c>
      <c r="I303" s="390">
        <f>IF(H303,Wh_hp,'2022'!Maxi_hp)</f>
        <v>39.359495276629886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4.2272831162740943E-2</v>
      </c>
      <c r="M303" s="959"/>
      <c r="N303" s="959"/>
      <c r="O303" s="48">
        <f>IF(t&lt;Tnet,'2022'!Resal+('2022'!Salim-'2022'!Resal)*(1-EXP(('2022'!Tnet-t)/('2022'!Tau_j))),Resal+(Salim-Resal)*(1-EXP((Tnet-t)/(Tau_j))))*Salcycl</f>
        <v>0.11920190678434231</v>
      </c>
      <c r="P303" s="169">
        <f>(INDEX(Models!$BJ303:$BT303,,T303)*(1-R303)+INDEX(Models!$BJ303:$BT303,,T303+1)*R303-ERP_i)*Q303*Ramure*Pc/MaxiM</f>
        <v>2.67253406902757E-3</v>
      </c>
      <c r="Q303" s="305">
        <f t="shared" si="105"/>
        <v>0.7</v>
      </c>
      <c r="R303" s="177">
        <f t="shared" si="106"/>
        <v>0.99761509517445712</v>
      </c>
      <c r="S303" s="921">
        <f t="shared" si="107"/>
        <v>0</v>
      </c>
      <c r="T303" s="176">
        <f t="shared" si="108"/>
        <v>6</v>
      </c>
      <c r="U303" s="251">
        <f t="shared" si="109"/>
        <v>0.99761509517445712</v>
      </c>
      <c r="V303" s="383">
        <f t="shared" si="110"/>
        <v>35.322057484483395</v>
      </c>
      <c r="W303" s="402">
        <f t="shared" si="111"/>
        <v>31.085612625733297</v>
      </c>
      <c r="X303" s="157">
        <f t="shared" si="112"/>
        <v>45215</v>
      </c>
      <c r="Y303" s="385">
        <f t="shared" si="113"/>
        <v>29.868163293371005</v>
      </c>
      <c r="Z303" s="385">
        <f t="shared" si="114"/>
        <v>31.186505160580158</v>
      </c>
      <c r="AA303" s="386">
        <f t="shared" si="115"/>
        <v>36.850319468776952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0.1536978346414529</v>
      </c>
      <c r="AD303" s="231">
        <f>(INDEX(Models!$BJ303:$BT303,,AH303)*(1-AF303)+INDEX(Models!$BJ303:$BT303,,AH303+1)*AF303-ERP_i)*AE303*Ramure*Pc/MaxiM</f>
        <v>2.67253406902757E-3</v>
      </c>
      <c r="AE303" s="305">
        <f t="shared" si="117"/>
        <v>0.7</v>
      </c>
      <c r="AF303" s="177">
        <f t="shared" si="118"/>
        <v>0.99761509517445712</v>
      </c>
      <c r="AG303" s="921">
        <f t="shared" si="124"/>
        <v>0</v>
      </c>
      <c r="AH303" s="176">
        <f t="shared" si="119"/>
        <v>6</v>
      </c>
      <c r="AI303" s="225">
        <f t="shared" si="120"/>
        <v>0.99761509517445712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20.937609318018339</v>
      </c>
      <c r="C304" s="955"/>
      <c r="D304" s="393">
        <f t="shared" si="102"/>
        <v>21.862246991345096</v>
      </c>
      <c r="E304" s="385">
        <f t="shared" si="125"/>
        <v>24.820163840833963</v>
      </c>
      <c r="F304" s="385">
        <f t="shared" si="103"/>
        <v>24.848241949362784</v>
      </c>
      <c r="G304" s="110">
        <f t="shared" si="126"/>
        <v>0.59572986930088423</v>
      </c>
      <c r="H304" s="414" t="b">
        <f>Wh_hp&gt;='2022'!Maxi_hp</f>
        <v>0</v>
      </c>
      <c r="I304" s="390">
        <f>IF(H304,Wh_hp,'2022'!Maxi_hp)</f>
        <v>39.909622414686694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4.2293807845680487E-2</v>
      </c>
      <c r="M304" s="959"/>
      <c r="N304" s="959"/>
      <c r="O304" s="48">
        <f>IF(t&lt;Tnet,'2022'!Resal+('2022'!Salim-'2022'!Resal)*(1-EXP(('2022'!Tnet-t)/('2022'!Tau_j))),Resal+(Salim-Resal)*(1-EXP((Tnet-t)/(Tau_j))))*Salcycl</f>
        <v>0.11917394536383057</v>
      </c>
      <c r="P304" s="169">
        <f>(INDEX(Models!$BJ304:$BT304,,T304)*(1-R304)+INDEX(Models!$BJ304:$BT304,,T304+1)*R304-ERP_i)*Q304*Ramure*Pc/MaxiM</f>
        <v>2.6664248762878358E-3</v>
      </c>
      <c r="Q304" s="305">
        <f t="shared" si="105"/>
        <v>0.7</v>
      </c>
      <c r="R304" s="177">
        <f t="shared" si="106"/>
        <v>0.99771877773970197</v>
      </c>
      <c r="S304" s="921">
        <f t="shared" si="107"/>
        <v>0</v>
      </c>
      <c r="T304" s="176">
        <f t="shared" si="108"/>
        <v>6</v>
      </c>
      <c r="U304" s="251">
        <f t="shared" si="109"/>
        <v>0.99771877773970197</v>
      </c>
      <c r="V304" s="383">
        <f t="shared" si="110"/>
        <v>35.092085521186142</v>
      </c>
      <c r="W304" s="402">
        <f t="shared" si="111"/>
        <v>20.937609318018339</v>
      </c>
      <c r="X304" s="157">
        <f t="shared" si="112"/>
        <v>45216</v>
      </c>
      <c r="Y304" s="385">
        <f t="shared" si="113"/>
        <v>20.118857011264801</v>
      </c>
      <c r="Z304" s="385">
        <f t="shared" si="114"/>
        <v>21.007337298308872</v>
      </c>
      <c r="AA304" s="386">
        <f t="shared" si="115"/>
        <v>24.820163840833963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0.15361810530244183</v>
      </c>
      <c r="AD304" s="231">
        <f>(INDEX(Models!$BJ304:$BT304,,AH304)*(1-AF304)+INDEX(Models!$BJ304:$BT304,,AH304+1)*AF304-ERP_i)*AE304*Ramure*Pc/MaxiM</f>
        <v>2.6664248762878358E-3</v>
      </c>
      <c r="AE304" s="305">
        <f t="shared" si="117"/>
        <v>0.7</v>
      </c>
      <c r="AF304" s="177">
        <f t="shared" si="118"/>
        <v>0.99771877773970197</v>
      </c>
      <c r="AG304" s="921">
        <f t="shared" si="124"/>
        <v>0</v>
      </c>
      <c r="AH304" s="176">
        <f t="shared" si="119"/>
        <v>6</v>
      </c>
      <c r="AI304" s="225">
        <f t="shared" si="120"/>
        <v>0.99771877773970197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32.046674136749274</v>
      </c>
      <c r="C305" s="955"/>
      <c r="D305" s="393">
        <f t="shared" si="102"/>
        <v>33.462638457461694</v>
      </c>
      <c r="E305" s="385">
        <f t="shared" si="125"/>
        <v>37.988792004999063</v>
      </c>
      <c r="F305" s="385">
        <f t="shared" si="103"/>
        <v>38.078353072255275</v>
      </c>
      <c r="G305" s="110">
        <f t="shared" si="126"/>
        <v>0.91900459755258723</v>
      </c>
      <c r="H305" s="414" t="b">
        <f>Wh_hp&gt;='2022'!Maxi_hp</f>
        <v>0</v>
      </c>
      <c r="I305" s="390">
        <f>IF(H305,Wh_hp,'2022'!Maxi_hp)</f>
        <v>40.636688636439388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4.231478406917677E-2</v>
      </c>
      <c r="M305" s="959"/>
      <c r="N305" s="959"/>
      <c r="O305" s="48">
        <f>IF(t&lt;Tnet,'2022'!Resal+('2022'!Salim-'2022'!Resal)*(1-EXP(('2022'!Tnet-t)/('2022'!Tau_j))),Resal+(Salim-Resal)*(1-EXP((Tnet-t)/(Tau_j))))*Salcycl</f>
        <v>0.11914444520746426</v>
      </c>
      <c r="P305" s="169">
        <f>(INDEX(Models!$BJ305:$BT305,,T305)*(1-R305)+INDEX(Models!$BJ305:$BT305,,T305+1)*R305-ERP_i)*Q305*Ramure*Pc/MaxiM</f>
        <v>2.6585640992915428E-3</v>
      </c>
      <c r="Q305" s="305">
        <f t="shared" si="105"/>
        <v>0.7</v>
      </c>
      <c r="R305" s="177">
        <f t="shared" si="106"/>
        <v>0.99781832633014245</v>
      </c>
      <c r="S305" s="921">
        <f t="shared" si="107"/>
        <v>0</v>
      </c>
      <c r="T305" s="176">
        <f t="shared" si="108"/>
        <v>6</v>
      </c>
      <c r="U305" s="251">
        <f t="shared" si="109"/>
        <v>0.99781832633014245</v>
      </c>
      <c r="V305" s="383">
        <f t="shared" si="110"/>
        <v>34.860355823460928</v>
      </c>
      <c r="W305" s="402">
        <f t="shared" si="111"/>
        <v>32.046674136749274</v>
      </c>
      <c r="X305" s="157">
        <f t="shared" si="112"/>
        <v>45217</v>
      </c>
      <c r="Y305" s="385">
        <f t="shared" si="113"/>
        <v>30.795446892184163</v>
      </c>
      <c r="Z305" s="385">
        <f t="shared" si="114"/>
        <v>32.156126438949457</v>
      </c>
      <c r="AA305" s="386">
        <f t="shared" si="115"/>
        <v>37.988792004999063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0.15353648426836181</v>
      </c>
      <c r="AD305" s="231">
        <f>(INDEX(Models!$BJ305:$BT305,,AH305)*(1-AF305)+INDEX(Models!$BJ305:$BT305,,AH305+1)*AF305-ERP_i)*AE305*Ramure*Pc/MaxiM</f>
        <v>2.6585640992915428E-3</v>
      </c>
      <c r="AE305" s="305">
        <f t="shared" si="117"/>
        <v>0.7</v>
      </c>
      <c r="AF305" s="177">
        <f t="shared" si="118"/>
        <v>0.99781832633014245</v>
      </c>
      <c r="AG305" s="921">
        <f t="shared" si="124"/>
        <v>0</v>
      </c>
      <c r="AH305" s="176">
        <f t="shared" si="119"/>
        <v>6</v>
      </c>
      <c r="AI305" s="225">
        <f t="shared" si="120"/>
        <v>0.99781832633014245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13.645148315448512</v>
      </c>
      <c r="C306" s="955"/>
      <c r="D306" s="393">
        <f t="shared" si="102"/>
        <v>14.248363615490598</v>
      </c>
      <c r="E306" s="385">
        <f t="shared" si="125"/>
        <v>16.175027091015409</v>
      </c>
      <c r="F306" s="385">
        <f t="shared" si="103"/>
        <v>16.180786771896464</v>
      </c>
      <c r="G306" s="110">
        <f t="shared" si="126"/>
        <v>0.39315962010044181</v>
      </c>
      <c r="H306" s="414" t="b">
        <f>Wh_hp&gt;='2022'!Maxi_hp</f>
        <v>0</v>
      </c>
      <c r="I306" s="390">
        <f>IF(H306,Wh_hp,'2022'!Maxi_hp)</f>
        <v>39.555235344496339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4.2335759833240005E-2</v>
      </c>
      <c r="M306" s="959"/>
      <c r="N306" s="959"/>
      <c r="O306" s="48">
        <f>IF(t&lt;Tnet,'2022'!Resal+('2022'!Salim-'2022'!Resal)*(1-EXP(('2022'!Tnet-t)/('2022'!Tau_j))),Resal+(Salim-Resal)*(1-EXP((Tnet-t)/(Tau_j))))*Salcycl</f>
        <v>0.11911346204761511</v>
      </c>
      <c r="P306" s="169">
        <f>(INDEX(Models!$BJ306:$BT306,,T306)*(1-R306)+INDEX(Models!$BJ306:$BT306,,T306+1)*R306-ERP_i)*Q306*Ramure*Pc/MaxiM</f>
        <v>2.6489609182693986E-3</v>
      </c>
      <c r="Q306" s="305">
        <f t="shared" si="105"/>
        <v>0.7</v>
      </c>
      <c r="R306" s="177">
        <f t="shared" si="106"/>
        <v>0.99791390421157256</v>
      </c>
      <c r="S306" s="921">
        <f t="shared" si="107"/>
        <v>0</v>
      </c>
      <c r="T306" s="176">
        <f t="shared" si="108"/>
        <v>6</v>
      </c>
      <c r="U306" s="251">
        <f t="shared" si="109"/>
        <v>0.99791390421157256</v>
      </c>
      <c r="V306" s="383">
        <f t="shared" si="110"/>
        <v>34.626772724207974</v>
      </c>
      <c r="W306" s="402">
        <f t="shared" si="111"/>
        <v>13.645148315448512</v>
      </c>
      <c r="X306" s="157">
        <f t="shared" si="112"/>
        <v>45218</v>
      </c>
      <c r="Y306" s="385">
        <f t="shared" si="113"/>
        <v>13.113219764088134</v>
      </c>
      <c r="Z306" s="385">
        <f t="shared" si="114"/>
        <v>13.692919933822216</v>
      </c>
      <c r="AA306" s="386">
        <f t="shared" si="115"/>
        <v>16.175027091015409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0.1534530448219098</v>
      </c>
      <c r="AD306" s="231">
        <f>(INDEX(Models!$BJ306:$BT306,,AH306)*(1-AF306)+INDEX(Models!$BJ306:$BT306,,AH306+1)*AF306-ERP_i)*AE306*Ramure*Pc/MaxiM</f>
        <v>2.6489609182693986E-3</v>
      </c>
      <c r="AE306" s="305">
        <f t="shared" si="117"/>
        <v>0.7</v>
      </c>
      <c r="AF306" s="177">
        <f t="shared" si="118"/>
        <v>0.99791390421157256</v>
      </c>
      <c r="AG306" s="921">
        <f t="shared" si="124"/>
        <v>0</v>
      </c>
      <c r="AH306" s="176">
        <f t="shared" si="119"/>
        <v>6</v>
      </c>
      <c r="AI306" s="225">
        <f t="shared" si="120"/>
        <v>0.99791390421157256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7.8273148701618469</v>
      </c>
      <c r="C307" s="955"/>
      <c r="D307" s="393">
        <f t="shared" si="102"/>
        <v>8.173518425244513</v>
      </c>
      <c r="E307" s="385">
        <f t="shared" si="125"/>
        <v>9.2784001269798004</v>
      </c>
      <c r="F307" s="385">
        <f t="shared" si="103"/>
        <v>9.2784001269798004</v>
      </c>
      <c r="G307" s="110">
        <f t="shared" si="126"/>
        <v>0.22699586512052147</v>
      </c>
      <c r="H307" s="414" t="b">
        <f>Wh_hp&gt;='2022'!Maxi_hp</f>
        <v>0</v>
      </c>
      <c r="I307" s="390">
        <f>IF(H307,Wh_hp,'2022'!Maxi_hp)</f>
        <v>32.753589060137877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4.2356735137880186E-2</v>
      </c>
      <c r="M307" s="959"/>
      <c r="N307" s="959"/>
      <c r="O307" s="48">
        <f>IF(t&lt;Tnet,'2022'!Resal+('2022'!Salim-'2022'!Resal)*(1-EXP(('2022'!Tnet-t)/('2022'!Tau_j))),Resal+(Salim-Resal)*(1-EXP((Tnet-t)/(Tau_j))))*Salcycl</f>
        <v>0.11908105779168807</v>
      </c>
      <c r="P307" s="169">
        <f>(INDEX(Models!$BJ307:$BT307,,T307)*(1-R307)+INDEX(Models!$BJ307:$BT307,,T307+1)*R307-ERP_i)*Q307*Ramure*Pc/MaxiM</f>
        <v>2.6376265149285986E-3</v>
      </c>
      <c r="Q307" s="305">
        <f t="shared" si="105"/>
        <v>0.7</v>
      </c>
      <c r="R307" s="177">
        <f t="shared" si="106"/>
        <v>0.99800566832456594</v>
      </c>
      <c r="S307" s="921">
        <f t="shared" si="107"/>
        <v>0</v>
      </c>
      <c r="T307" s="176">
        <f t="shared" si="108"/>
        <v>6</v>
      </c>
      <c r="U307" s="251">
        <f t="shared" si="109"/>
        <v>0.99800566832456594</v>
      </c>
      <c r="V307" s="383">
        <f t="shared" si="110"/>
        <v>34.39124026675433</v>
      </c>
      <c r="W307" s="402">
        <f t="shared" si="111"/>
        <v>7.8273148701618469</v>
      </c>
      <c r="X307" s="157">
        <f t="shared" si="112"/>
        <v>45219</v>
      </c>
      <c r="Y307" s="385">
        <f t="shared" si="113"/>
        <v>7.5226629352147425</v>
      </c>
      <c r="Z307" s="385">
        <f t="shared" si="114"/>
        <v>7.8553916800092001</v>
      </c>
      <c r="AA307" s="386">
        <f t="shared" si="115"/>
        <v>9.2784001269798004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0.15336786811260342</v>
      </c>
      <c r="AD307" s="231">
        <f>(INDEX(Models!$BJ307:$BT307,,AH307)*(1-AF307)+INDEX(Models!$BJ307:$BT307,,AH307+1)*AF307-ERP_i)*AE307*Ramure*Pc/MaxiM</f>
        <v>2.6376265149285986E-3</v>
      </c>
      <c r="AE307" s="305">
        <f t="shared" si="117"/>
        <v>0.7</v>
      </c>
      <c r="AF307" s="177">
        <f t="shared" si="118"/>
        <v>0.99800566832456594</v>
      </c>
      <c r="AG307" s="921">
        <f t="shared" si="124"/>
        <v>0</v>
      </c>
      <c r="AH307" s="176">
        <f t="shared" si="119"/>
        <v>6</v>
      </c>
      <c r="AI307" s="225">
        <f t="shared" si="120"/>
        <v>0.99800566832456594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14.308157381563241</v>
      </c>
      <c r="C308" s="955"/>
      <c r="D308" s="393">
        <f t="shared" si="102"/>
        <v>14.941337028935324</v>
      </c>
      <c r="E308" s="385">
        <f t="shared" si="125"/>
        <v>16.960430493434167</v>
      </c>
      <c r="F308" s="385">
        <f t="shared" si="103"/>
        <v>16.967997084765813</v>
      </c>
      <c r="G308" s="110">
        <f t="shared" si="126"/>
        <v>0.41802167643324506</v>
      </c>
      <c r="H308" s="414" t="b">
        <f>Wh_hp&gt;='2022'!Maxi_hp</f>
        <v>0</v>
      </c>
      <c r="I308" s="390">
        <f>IF(H308,Wh_hp,'2022'!Maxi_hp)</f>
        <v>25.301063614108177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4.2377709983107303E-2</v>
      </c>
      <c r="M308" s="959"/>
      <c r="N308" s="959"/>
      <c r="O308" s="48">
        <f>IF(t&lt;Tnet,'2022'!Resal+('2022'!Salim-'2022'!Resal)*(1-EXP(('2022'!Tnet-t)/('2022'!Tau_j))),Resal+(Salim-Resal)*(1-EXP((Tnet-t)/(Tau_j))))*Salcycl</f>
        <v>0.11904730043736148</v>
      </c>
      <c r="P308" s="169">
        <f>(INDEX(Models!$BJ308:$BT308,,T308)*(1-R308)+INDEX(Models!$BJ308:$BT308,,T308+1)*R308-ERP_i)*Q308*Ramure*Pc/MaxiM</f>
        <v>2.6245739861037246E-3</v>
      </c>
      <c r="Q308" s="305">
        <f t="shared" si="105"/>
        <v>0.7</v>
      </c>
      <c r="R308" s="177">
        <f t="shared" si="106"/>
        <v>0.99809376951985129</v>
      </c>
      <c r="S308" s="921">
        <f t="shared" si="107"/>
        <v>0</v>
      </c>
      <c r="T308" s="176">
        <f t="shared" si="108"/>
        <v>6</v>
      </c>
      <c r="U308" s="251">
        <f t="shared" si="109"/>
        <v>0.99809376951985129</v>
      </c>
      <c r="V308" s="383">
        <f t="shared" si="110"/>
        <v>34.15366222046265</v>
      </c>
      <c r="W308" s="402">
        <f t="shared" si="111"/>
        <v>14.308157381563241</v>
      </c>
      <c r="X308" s="157">
        <f t="shared" si="112"/>
        <v>45220</v>
      </c>
      <c r="Y308" s="385">
        <f t="shared" si="113"/>
        <v>13.752143673772608</v>
      </c>
      <c r="Z308" s="385">
        <f t="shared" si="114"/>
        <v>14.360718017048264</v>
      </c>
      <c r="AA308" s="386">
        <f t="shared" si="115"/>
        <v>16.960430493434167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0.15328104303675083</v>
      </c>
      <c r="AD308" s="231">
        <f>(INDEX(Models!$BJ308:$BT308,,AH308)*(1-AF308)+INDEX(Models!$BJ308:$BT308,,AH308+1)*AF308-ERP_i)*AE308*Ramure*Pc/MaxiM</f>
        <v>2.6245739861037246E-3</v>
      </c>
      <c r="AE308" s="305">
        <f t="shared" si="117"/>
        <v>0.7</v>
      </c>
      <c r="AF308" s="177">
        <f t="shared" si="118"/>
        <v>0.99809376951985129</v>
      </c>
      <c r="AG308" s="921">
        <f t="shared" si="124"/>
        <v>0</v>
      </c>
      <c r="AH308" s="176">
        <f t="shared" si="119"/>
        <v>6</v>
      </c>
      <c r="AI308" s="225">
        <f t="shared" si="120"/>
        <v>0.99809376951985129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30.86976294477045</v>
      </c>
      <c r="C309" s="955"/>
      <c r="D309" s="393">
        <f t="shared" si="102"/>
        <v>32.236550264581638</v>
      </c>
      <c r="E309" s="385">
        <f t="shared" si="125"/>
        <v>36.59137232605606</v>
      </c>
      <c r="F309" s="385">
        <f t="shared" si="103"/>
        <v>36.674813319772923</v>
      </c>
      <c r="G309" s="110">
        <f t="shared" si="126"/>
        <v>0.90993280624627615</v>
      </c>
      <c r="H309" s="414" t="b">
        <f>Wh_hp&gt;='2022'!Maxi_hp</f>
        <v>0</v>
      </c>
      <c r="I309" s="390">
        <f>IF(H309,Wh_hp,'2022'!Maxi_hp)</f>
        <v>36.678022887150242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4.2398684368931461E-2</v>
      </c>
      <c r="M309" s="959"/>
      <c r="N309" s="959"/>
      <c r="O309" s="48">
        <f>IF(t&lt;Tnet,'2022'!Resal+('2022'!Salim-'2022'!Resal)*(1-EXP(('2022'!Tnet-t)/('2022'!Tau_j))),Resal+(Salim-Resal)*(1-EXP((Tnet-t)/(Tau_j))))*Salcycl</f>
        <v>0.11901226394762549</v>
      </c>
      <c r="P309" s="169">
        <f>(INDEX(Models!$BJ309:$BT309,,T309)*(1-R309)+INDEX(Models!$BJ309:$BT309,,T309+1)*R309-ERP_i)*Q309*Ramure*Pc/MaxiM</f>
        <v>2.6098182350079596E-3</v>
      </c>
      <c r="Q309" s="305">
        <f t="shared" si="105"/>
        <v>0.7</v>
      </c>
      <c r="R309" s="177">
        <f t="shared" si="106"/>
        <v>0.99817835278569711</v>
      </c>
      <c r="S309" s="921">
        <f t="shared" si="107"/>
        <v>0</v>
      </c>
      <c r="T309" s="176">
        <f t="shared" si="108"/>
        <v>6</v>
      </c>
      <c r="U309" s="251">
        <f t="shared" si="109"/>
        <v>0.99817835278569711</v>
      </c>
      <c r="V309" s="383">
        <f t="shared" si="110"/>
        <v>33.913942097491621</v>
      </c>
      <c r="W309" s="402">
        <f t="shared" si="111"/>
        <v>30.86976294477045</v>
      </c>
      <c r="X309" s="157">
        <f t="shared" si="112"/>
        <v>45221</v>
      </c>
      <c r="Y309" s="385">
        <f t="shared" si="113"/>
        <v>29.672083490710847</v>
      </c>
      <c r="Z309" s="385">
        <f t="shared" si="114"/>
        <v>30.985842444417127</v>
      </c>
      <c r="AA309" s="386">
        <f t="shared" si="115"/>
        <v>36.59137232605606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0.15319266606591136</v>
      </c>
      <c r="AD309" s="231">
        <f>(INDEX(Models!$BJ309:$BT309,,AH309)*(1-AF309)+INDEX(Models!$BJ309:$BT309,,AH309+1)*AF309-ERP_i)*AE309*Ramure*Pc/MaxiM</f>
        <v>2.6098182350079596E-3</v>
      </c>
      <c r="AE309" s="305">
        <f t="shared" si="117"/>
        <v>0.7</v>
      </c>
      <c r="AF309" s="177">
        <f t="shared" si="118"/>
        <v>0.99817835278569711</v>
      </c>
      <c r="AG309" s="921">
        <f t="shared" si="124"/>
        <v>0</v>
      </c>
      <c r="AH309" s="176">
        <f t="shared" si="119"/>
        <v>6</v>
      </c>
      <c r="AI309" s="225">
        <f t="shared" si="120"/>
        <v>0.99817835278569711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17.585336720950789</v>
      </c>
      <c r="C310" s="955"/>
      <c r="D310" s="393">
        <f t="shared" si="102"/>
        <v>18.364346003225421</v>
      </c>
      <c r="E310" s="385">
        <f t="shared" si="125"/>
        <v>20.844320459657723</v>
      </c>
      <c r="F310" s="385">
        <f t="shared" si="103"/>
        <v>20.861500737757218</v>
      </c>
      <c r="G310" s="110">
        <f t="shared" si="126"/>
        <v>0.52132919575786785</v>
      </c>
      <c r="H310" s="414" t="b">
        <f>Wh_hp&gt;='2022'!Maxi_hp</f>
        <v>0</v>
      </c>
      <c r="I310" s="390">
        <f>IF(H310,Wh_hp,'2022'!Maxi_hp)</f>
        <v>40.417600881584974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4.2419658295362761E-2</v>
      </c>
      <c r="M310" s="959"/>
      <c r="N310" s="959"/>
      <c r="O310" s="48">
        <f>IF(t&lt;Tnet,'2022'!Resal+('2022'!Salim-'2022'!Resal)*(1-EXP(('2022'!Tnet-t)/('2022'!Tau_j))),Resal+(Salim-Resal)*(1-EXP((Tnet-t)/(Tau_j))))*Salcycl</f>
        <v>0.11897602808554335</v>
      </c>
      <c r="P310" s="169">
        <f>(INDEX(Models!$BJ310:$BT310,,T310)*(1-R310)+INDEX(Models!$BJ310:$BT310,,T310+1)*R310-ERP_i)*Q310*Ramure*Pc/MaxiM</f>
        <v>2.5937742628529474E-3</v>
      </c>
      <c r="Q310" s="305">
        <f t="shared" si="105"/>
        <v>0.7</v>
      </c>
      <c r="R310" s="177">
        <f t="shared" si="106"/>
        <v>0.99825955746751893</v>
      </c>
      <c r="S310" s="921">
        <f t="shared" si="107"/>
        <v>0</v>
      </c>
      <c r="T310" s="176">
        <f t="shared" si="108"/>
        <v>6</v>
      </c>
      <c r="U310" s="251">
        <f t="shared" si="109"/>
        <v>0.99825955746751893</v>
      </c>
      <c r="V310" s="383">
        <f t="shared" si="110"/>
        <v>33.671969723294843</v>
      </c>
      <c r="W310" s="402">
        <f t="shared" si="111"/>
        <v>17.585336720950789</v>
      </c>
      <c r="X310" s="157">
        <f t="shared" si="112"/>
        <v>45222</v>
      </c>
      <c r="Y310" s="385">
        <f t="shared" si="113"/>
        <v>16.904161729277249</v>
      </c>
      <c r="Z310" s="385">
        <f t="shared" si="114"/>
        <v>17.652995778072569</v>
      </c>
      <c r="AA310" s="386">
        <f t="shared" si="115"/>
        <v>20.844320459657723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0.15310284102384969</v>
      </c>
      <c r="AD310" s="231">
        <f>(INDEX(Models!$BJ310:$BT310,,AH310)*(1-AF310)+INDEX(Models!$BJ310:$BT310,,AH310+1)*AF310-ERP_i)*AE310*Ramure*Pc/MaxiM</f>
        <v>2.5937742628529474E-3</v>
      </c>
      <c r="AE310" s="305">
        <f t="shared" si="117"/>
        <v>0.7</v>
      </c>
      <c r="AF310" s="177">
        <f t="shared" si="118"/>
        <v>0.99825955746751893</v>
      </c>
      <c r="AG310" s="921">
        <f t="shared" si="124"/>
        <v>0</v>
      </c>
      <c r="AH310" s="176">
        <f t="shared" si="119"/>
        <v>6</v>
      </c>
      <c r="AI310" s="225">
        <f t="shared" si="120"/>
        <v>0.99825955746751893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23.462784017012677</v>
      </c>
      <c r="C311" s="955"/>
      <c r="D311" s="393">
        <f t="shared" si="102"/>
        <v>24.502693822730283</v>
      </c>
      <c r="E311" s="385">
        <f t="shared" si="125"/>
        <v>27.810429554348858</v>
      </c>
      <c r="F311" s="385">
        <f t="shared" si="103"/>
        <v>27.851648970620317</v>
      </c>
      <c r="G311" s="110">
        <f t="shared" si="126"/>
        <v>0.70112676481714709</v>
      </c>
      <c r="H311" s="414" t="b">
        <f>Wh_hp&gt;='2022'!Maxi_hp</f>
        <v>0</v>
      </c>
      <c r="I311" s="390">
        <f>IF(H311,Wh_hp,'2022'!Maxi_hp)</f>
        <v>41.588960428568228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4.2440631762411307E-2</v>
      </c>
      <c r="M311" s="959"/>
      <c r="N311" s="959"/>
      <c r="O311" s="48">
        <f>IF(t&lt;Tnet,'2022'!Resal+('2022'!Salim-'2022'!Resal)*(1-EXP(('2022'!Tnet-t)/('2022'!Tau_j))),Resal+(Salim-Resal)*(1-EXP((Tnet-t)/(Tau_j))))*Salcycl</f>
        <v>0.11893867820899325</v>
      </c>
      <c r="P311" s="169">
        <f>(INDEX(Models!$BJ311:$BT311,,T311)*(1-R311)+INDEX(Models!$BJ311:$BT311,,T311+1)*R311-ERP_i)*Q311*Ramure*Pc/MaxiM</f>
        <v>2.5777018231447997E-3</v>
      </c>
      <c r="Q311" s="305">
        <f t="shared" si="105"/>
        <v>0.7</v>
      </c>
      <c r="R311" s="177">
        <f t="shared" si="106"/>
        <v>0.99833751747991162</v>
      </c>
      <c r="S311" s="921">
        <f t="shared" si="107"/>
        <v>0</v>
      </c>
      <c r="T311" s="176">
        <f t="shared" si="108"/>
        <v>6</v>
      </c>
      <c r="U311" s="251">
        <f t="shared" si="109"/>
        <v>0.99833751747991162</v>
      </c>
      <c r="V311" s="383">
        <f t="shared" si="110"/>
        <v>33.427606839524643</v>
      </c>
      <c r="W311" s="402">
        <f t="shared" si="111"/>
        <v>23.462784017012677</v>
      </c>
      <c r="X311" s="157">
        <f t="shared" si="112"/>
        <v>45223</v>
      </c>
      <c r="Y311" s="385">
        <f t="shared" si="113"/>
        <v>22.555415330864314</v>
      </c>
      <c r="Z311" s="385">
        <f t="shared" si="114"/>
        <v>23.555109039743513</v>
      </c>
      <c r="AA311" s="386">
        <f t="shared" si="115"/>
        <v>27.810429554348858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0.15301167881241579</v>
      </c>
      <c r="AD311" s="231">
        <f>(INDEX(Models!$BJ311:$BT311,,AH311)*(1-AF311)+INDEX(Models!$BJ311:$BT311,,AH311+1)*AF311-ERP_i)*AE311*Ramure*Pc/MaxiM</f>
        <v>2.5777018231447997E-3</v>
      </c>
      <c r="AE311" s="305">
        <f t="shared" si="117"/>
        <v>0.7</v>
      </c>
      <c r="AF311" s="177">
        <f t="shared" si="118"/>
        <v>0.99833751747991162</v>
      </c>
      <c r="AG311" s="921">
        <f t="shared" si="124"/>
        <v>0</v>
      </c>
      <c r="AH311" s="176">
        <f t="shared" si="119"/>
        <v>6</v>
      </c>
      <c r="AI311" s="225">
        <f t="shared" si="120"/>
        <v>0.99833751747991162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20.724215111544687</v>
      </c>
      <c r="C312" s="955"/>
      <c r="D312" s="393">
        <f t="shared" si="102"/>
        <v>21.643221007935278</v>
      </c>
      <c r="E312" s="385">
        <f t="shared" si="125"/>
        <v>24.563873000289195</v>
      </c>
      <c r="F312" s="385">
        <f t="shared" si="103"/>
        <v>24.593085130225315</v>
      </c>
      <c r="G312" s="110">
        <f t="shared" si="126"/>
        <v>0.62372627472012065</v>
      </c>
      <c r="H312" s="414" t="b">
        <f>Wh_hp&gt;='2022'!Maxi_hp</f>
        <v>0</v>
      </c>
      <c r="I312" s="390">
        <f>IF(H312,Wh_hp,'2022'!Maxi_hp)</f>
        <v>39.380465592356508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4.246160477008698E-2</v>
      </c>
      <c r="M312" s="959"/>
      <c r="N312" s="959"/>
      <c r="O312" s="48">
        <f>IF(t&lt;Tnet,'2022'!Resal+('2022'!Salim-'2022'!Resal)*(1-EXP(('2022'!Tnet-t)/('2022'!Tau_j))),Resal+(Salim-Resal)*(1-EXP((Tnet-t)/(Tau_j))))*Salcycl</f>
        <v>0.11890030502598389</v>
      </c>
      <c r="P312" s="169">
        <f>(INDEX(Models!$BJ312:$BT312,,T312)*(1-R312)+INDEX(Models!$BJ312:$BT312,,T312+1)*R312-ERP_i)*Q312*Ramure*Pc/MaxiM</f>
        <v>2.5616471713453496E-3</v>
      </c>
      <c r="Q312" s="305">
        <f t="shared" si="105"/>
        <v>0.7</v>
      </c>
      <c r="R312" s="177">
        <f t="shared" si="106"/>
        <v>0.99841236151131985</v>
      </c>
      <c r="S312" s="921">
        <f t="shared" si="107"/>
        <v>0</v>
      </c>
      <c r="T312" s="176">
        <f t="shared" si="108"/>
        <v>6</v>
      </c>
      <c r="U312" s="251">
        <f t="shared" si="109"/>
        <v>0.99841236151131985</v>
      </c>
      <c r="V312" s="383">
        <f t="shared" si="110"/>
        <v>33.180756651334505</v>
      </c>
      <c r="W312" s="402">
        <f t="shared" si="111"/>
        <v>20.724215111544687</v>
      </c>
      <c r="X312" s="157">
        <f t="shared" si="112"/>
        <v>45224</v>
      </c>
      <c r="Y312" s="385">
        <f t="shared" si="113"/>
        <v>19.924059449959042</v>
      </c>
      <c r="Z312" s="385">
        <f t="shared" si="114"/>
        <v>20.807582807345401</v>
      </c>
      <c r="AA312" s="386">
        <f t="shared" si="115"/>
        <v>24.563873000289195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0.15291929708721311</v>
      </c>
      <c r="AD312" s="231">
        <f>(INDEX(Models!$BJ312:$BT312,,AH312)*(1-AF312)+INDEX(Models!$BJ312:$BT312,,AH312+1)*AF312-ERP_i)*AE312*Ramure*Pc/MaxiM</f>
        <v>2.5616471713453496E-3</v>
      </c>
      <c r="AE312" s="305">
        <f t="shared" si="117"/>
        <v>0.7</v>
      </c>
      <c r="AF312" s="177">
        <f t="shared" si="118"/>
        <v>0.99841236151131985</v>
      </c>
      <c r="AG312" s="921">
        <f t="shared" si="124"/>
        <v>0</v>
      </c>
      <c r="AH312" s="176">
        <f t="shared" si="119"/>
        <v>6</v>
      </c>
      <c r="AI312" s="225">
        <f t="shared" si="120"/>
        <v>0.99841236151131985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11.586212027499514</v>
      </c>
      <c r="C313" s="955"/>
      <c r="D313" s="393">
        <f t="shared" si="102"/>
        <v>12.100262358727063</v>
      </c>
      <c r="E313" s="385">
        <f t="shared" si="125"/>
        <v>13.732523946771694</v>
      </c>
      <c r="F313" s="385">
        <f t="shared" si="103"/>
        <v>13.735112802384419</v>
      </c>
      <c r="G313" s="110">
        <f t="shared" si="126"/>
        <v>0.35100006256031901</v>
      </c>
      <c r="H313" s="414" t="b">
        <f>Wh_hp&gt;='2022'!Maxi_hp</f>
        <v>0</v>
      </c>
      <c r="I313" s="390">
        <f>IF(H313,Wh_hp,'2022'!Maxi_hp)</f>
        <v>38.95254653773808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4.2482577318400105E-2</v>
      </c>
      <c r="M313" s="959"/>
      <c r="N313" s="959"/>
      <c r="O313" s="48">
        <f>IF(t&lt;Tnet,'2022'!Resal+('2022'!Salim-'2022'!Resal)*(1-EXP(('2022'!Tnet-t)/('2022'!Tau_j))),Resal+(Salim-Resal)*(1-EXP((Tnet-t)/(Tau_j))))*Salcycl</f>
        <v>0.11886100431147258</v>
      </c>
      <c r="P313" s="169">
        <f>(INDEX(Models!$BJ313:$BT313,,T313)*(1-R313)+INDEX(Models!$BJ313:$BT313,,T313+1)*R313-ERP_i)*Q313*Ramure*Pc/MaxiM</f>
        <v>2.5456361563783486E-3</v>
      </c>
      <c r="Q313" s="305">
        <f t="shared" si="105"/>
        <v>0.7</v>
      </c>
      <c r="R313" s="177">
        <f t="shared" si="106"/>
        <v>0.99848421322154934</v>
      </c>
      <c r="S313" s="921">
        <f t="shared" si="107"/>
        <v>0</v>
      </c>
      <c r="T313" s="176">
        <f t="shared" si="108"/>
        <v>6</v>
      </c>
      <c r="U313" s="251">
        <f t="shared" si="109"/>
        <v>0.99848421322154934</v>
      </c>
      <c r="V313" s="383">
        <f t="shared" si="110"/>
        <v>32.931322961963957</v>
      </c>
      <c r="W313" s="402">
        <f t="shared" si="111"/>
        <v>11.586212027499514</v>
      </c>
      <c r="X313" s="157">
        <f t="shared" si="112"/>
        <v>45225</v>
      </c>
      <c r="Y313" s="385">
        <f t="shared" si="113"/>
        <v>11.139604220300244</v>
      </c>
      <c r="Z313" s="385">
        <f t="shared" si="114"/>
        <v>11.633839715524905</v>
      </c>
      <c r="AA313" s="386">
        <f t="shared" si="115"/>
        <v>13.732523946771694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0.15282581988434535</v>
      </c>
      <c r="AD313" s="231">
        <f>(INDEX(Models!$BJ313:$BT313,,AH313)*(1-AF313)+INDEX(Models!$BJ313:$BT313,,AH313+1)*AF313-ERP_i)*AE313*Ramure*Pc/MaxiM</f>
        <v>2.5456361563783486E-3</v>
      </c>
      <c r="AE313" s="305">
        <f t="shared" si="117"/>
        <v>0.7</v>
      </c>
      <c r="AF313" s="177">
        <f t="shared" si="118"/>
        <v>0.99848421322154934</v>
      </c>
      <c r="AG313" s="921">
        <f t="shared" si="124"/>
        <v>0</v>
      </c>
      <c r="AH313" s="176">
        <f t="shared" si="119"/>
        <v>6</v>
      </c>
      <c r="AI313" s="225">
        <f t="shared" si="120"/>
        <v>0.99848421322154934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12.696103838541296</v>
      </c>
      <c r="C314" s="955"/>
      <c r="D314" s="393">
        <f t="shared" si="102"/>
        <v>13.259687626709301</v>
      </c>
      <c r="E314" s="385">
        <f t="shared" si="125"/>
        <v>15.047664287994944</v>
      </c>
      <c r="F314" s="385">
        <f t="shared" si="103"/>
        <v>15.052478843885872</v>
      </c>
      <c r="G314" s="110">
        <f t="shared" si="126"/>
        <v>0.38764825262636465</v>
      </c>
      <c r="H314" s="414" t="b">
        <f>Wh_hp&gt;='2022'!Maxi_hp</f>
        <v>0</v>
      </c>
      <c r="I314" s="390">
        <f>IF(H314,Wh_hp,'2022'!Maxi_hp)</f>
        <v>33.191570367929572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4.2503549407360453E-2</v>
      </c>
      <c r="M314" s="959"/>
      <c r="N314" s="959"/>
      <c r="O314" s="48">
        <f>IF(t&lt;Tnet,'2022'!Resal+('2022'!Salim-'2022'!Resal)*(1-EXP(('2022'!Tnet-t)/('2022'!Tau_j))),Resal+(Salim-Resal)*(1-EXP((Tnet-t)/(Tau_j))))*Salcycl</f>
        <v>0.11882087658694601</v>
      </c>
      <c r="P314" s="169">
        <f>(INDEX(Models!$BJ314:$BT314,,T314)*(1-R314)+INDEX(Models!$BJ314:$BT314,,T314+1)*R314-ERP_i)*Q314*Ramure*Pc/MaxiM</f>
        <v>2.5296957768154832E-3</v>
      </c>
      <c r="Q314" s="305">
        <f t="shared" si="105"/>
        <v>0.7</v>
      </c>
      <c r="R314" s="177">
        <f t="shared" si="106"/>
        <v>0.99855319143232668</v>
      </c>
      <c r="S314" s="921">
        <f t="shared" si="107"/>
        <v>0</v>
      </c>
      <c r="T314" s="176">
        <f t="shared" si="108"/>
        <v>6</v>
      </c>
      <c r="U314" s="251">
        <f t="shared" si="109"/>
        <v>0.99855319143232668</v>
      </c>
      <c r="V314" s="383">
        <f t="shared" si="110"/>
        <v>32.679209468452505</v>
      </c>
      <c r="W314" s="402">
        <f t="shared" si="111"/>
        <v>12.696103838541296</v>
      </c>
      <c r="X314" s="157">
        <f t="shared" si="112"/>
        <v>45226</v>
      </c>
      <c r="Y314" s="385">
        <f t="shared" si="113"/>
        <v>12.207518458383714</v>
      </c>
      <c r="Z314" s="385">
        <f t="shared" si="114"/>
        <v>12.749413797646881</v>
      </c>
      <c r="AA314" s="386">
        <f t="shared" si="115"/>
        <v>15.047664287994944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0.152731377199956</v>
      </c>
      <c r="AD314" s="231">
        <f>(INDEX(Models!$BJ314:$BT314,,AH314)*(1-AF314)+INDEX(Models!$BJ314:$BT314,,AH314+1)*AF314-ERP_i)*AE314*Ramure*Pc/MaxiM</f>
        <v>2.5296957768154832E-3</v>
      </c>
      <c r="AE314" s="305">
        <f t="shared" si="117"/>
        <v>0.7</v>
      </c>
      <c r="AF314" s="177">
        <f t="shared" si="118"/>
        <v>0.99855319143232668</v>
      </c>
      <c r="AG314" s="921">
        <f t="shared" si="124"/>
        <v>0</v>
      </c>
      <c r="AH314" s="176">
        <f t="shared" si="119"/>
        <v>6</v>
      </c>
      <c r="AI314" s="225">
        <f t="shared" si="120"/>
        <v>0.99855319143232668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15.995515459126072</v>
      </c>
      <c r="C315" s="955"/>
      <c r="D315" s="393">
        <f t="shared" si="102"/>
        <v>16.705927003425462</v>
      </c>
      <c r="E315" s="385">
        <f t="shared" si="125"/>
        <v>18.957726232741727</v>
      </c>
      <c r="F315" s="385">
        <f t="shared" si="103"/>
        <v>18.970896761750112</v>
      </c>
      <c r="G315" s="110">
        <f t="shared" si="126"/>
        <v>0.49242019033255346</v>
      </c>
      <c r="H315" s="414" t="b">
        <f>Wh_hp&gt;='2022'!Maxi_hp</f>
        <v>0</v>
      </c>
      <c r="I315" s="390">
        <f>IF(H315,Wh_hp,'2022'!Maxi_hp)</f>
        <v>38.41572407667438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4.2524521036978347E-2</v>
      </c>
      <c r="M315" s="959"/>
      <c r="N315" s="959"/>
      <c r="O315" s="48">
        <f>IF(t&lt;Tnet,'2022'!Resal+('2022'!Salim-'2022'!Resal)*(1-EXP(('2022'!Tnet-t)/('2022'!Tau_j))),Resal+(Salim-Resal)*(1-EXP((Tnet-t)/(Tau_j))))*Salcycl</f>
        <v>0.11878002676434901</v>
      </c>
      <c r="P315" s="169">
        <f>(INDEX(Models!$BJ315:$BT315,,T315)*(1-R315)+INDEX(Models!$BJ315:$BT315,,T315+1)*R315-ERP_i)*Q315*Ramure*Pc/MaxiM</f>
        <v>2.513854136912198E-3</v>
      </c>
      <c r="Q315" s="305">
        <f t="shared" si="105"/>
        <v>0.7</v>
      </c>
      <c r="R315" s="177">
        <f t="shared" si="106"/>
        <v>0.99861941031110879</v>
      </c>
      <c r="S315" s="921">
        <f t="shared" si="107"/>
        <v>0</v>
      </c>
      <c r="T315" s="176">
        <f t="shared" si="108"/>
        <v>6</v>
      </c>
      <c r="U315" s="251">
        <f t="shared" si="109"/>
        <v>0.99861941031110879</v>
      </c>
      <c r="V315" s="383">
        <f t="shared" si="110"/>
        <v>32.424319783015079</v>
      </c>
      <c r="W315" s="402">
        <f t="shared" si="111"/>
        <v>15.995515459126072</v>
      </c>
      <c r="X315" s="157">
        <f t="shared" si="112"/>
        <v>45227</v>
      </c>
      <c r="Y315" s="385">
        <f t="shared" si="113"/>
        <v>15.380974899846148</v>
      </c>
      <c r="Z315" s="385">
        <f t="shared" si="114"/>
        <v>16.064092749930541</v>
      </c>
      <c r="AA315" s="386">
        <f t="shared" si="115"/>
        <v>18.957726232741727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0.15263610452468798</v>
      </c>
      <c r="AD315" s="231">
        <f>(INDEX(Models!$BJ315:$BT315,,AH315)*(1-AF315)+INDEX(Models!$BJ315:$BT315,,AH315+1)*AF315-ERP_i)*AE315*Ramure*Pc/MaxiM</f>
        <v>2.513854136912198E-3</v>
      </c>
      <c r="AE315" s="305">
        <f t="shared" si="117"/>
        <v>0.7</v>
      </c>
      <c r="AF315" s="177">
        <f t="shared" si="118"/>
        <v>0.99861941031110879</v>
      </c>
      <c r="AG315" s="921">
        <f t="shared" si="124"/>
        <v>0</v>
      </c>
      <c r="AH315" s="176">
        <f t="shared" si="119"/>
        <v>6</v>
      </c>
      <c r="AI315" s="225">
        <f t="shared" si="120"/>
        <v>0.99861941031110879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23.89194139492022</v>
      </c>
      <c r="C316" s="955"/>
      <c r="D316" s="393">
        <f t="shared" si="102"/>
        <v>24.953604793192113</v>
      </c>
      <c r="E316" s="385">
        <f t="shared" si="125"/>
        <v>28.315779820746009</v>
      </c>
      <c r="F316" s="385">
        <f t="shared" si="103"/>
        <v>28.360592376120241</v>
      </c>
      <c r="G316" s="110">
        <f t="shared" si="126"/>
        <v>0.74207421573529986</v>
      </c>
      <c r="H316" s="414" t="b">
        <f>Wh_hp&gt;='2022'!Maxi_hp</f>
        <v>0</v>
      </c>
      <c r="I316" s="390">
        <f>IF(H316,Wh_hp,'2022'!Maxi_hp)</f>
        <v>30.720187323726929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4.2545492207263669E-2</v>
      </c>
      <c r="M316" s="959"/>
      <c r="N316" s="959"/>
      <c r="O316" s="48">
        <f>IF(t&lt;Tnet,'2022'!Resal+('2022'!Salim-'2022'!Resal)*(1-EXP(('2022'!Tnet-t)/('2022'!Tau_j))),Resal+(Salim-Resal)*(1-EXP((Tnet-t)/(Tau_j))))*Salcycl</f>
        <v>0.11873856375626088</v>
      </c>
      <c r="P316" s="169">
        <f>(INDEX(Models!$BJ316:$BT316,,T316)*(1-R316)+INDEX(Models!$BJ316:$BT316,,T316+1)*R316-ERP_i)*Q316*Ramure*Pc/MaxiM</f>
        <v>2.4981403989249216E-3</v>
      </c>
      <c r="Q316" s="305">
        <f t="shared" si="105"/>
        <v>0.7</v>
      </c>
      <c r="R316" s="177">
        <f t="shared" si="106"/>
        <v>0.99868297954834495</v>
      </c>
      <c r="S316" s="921">
        <f t="shared" si="107"/>
        <v>0</v>
      </c>
      <c r="T316" s="176">
        <f t="shared" si="108"/>
        <v>6</v>
      </c>
      <c r="U316" s="251">
        <f t="shared" si="109"/>
        <v>0.99868297954834495</v>
      </c>
      <c r="V316" s="383">
        <f t="shared" si="110"/>
        <v>32.166557461422052</v>
      </c>
      <c r="W316" s="402">
        <f t="shared" si="111"/>
        <v>23.89194139492022</v>
      </c>
      <c r="X316" s="157">
        <f t="shared" si="112"/>
        <v>45228</v>
      </c>
      <c r="Y316" s="385">
        <f t="shared" si="113"/>
        <v>22.975544397094779</v>
      </c>
      <c r="Z316" s="385">
        <f t="shared" si="114"/>
        <v>23.996486736546213</v>
      </c>
      <c r="AA316" s="386">
        <f t="shared" si="115"/>
        <v>28.315779820746009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0.15254014233558899</v>
      </c>
      <c r="AD316" s="231">
        <f>(INDEX(Models!$BJ316:$BT316,,AH316)*(1-AF316)+INDEX(Models!$BJ316:$BT316,,AH316+1)*AF316-ERP_i)*AE316*Ramure*Pc/MaxiM</f>
        <v>2.4981403989249216E-3</v>
      </c>
      <c r="AE316" s="305">
        <f t="shared" si="117"/>
        <v>0.7</v>
      </c>
      <c r="AF316" s="177">
        <f t="shared" si="118"/>
        <v>0.99868297954834495</v>
      </c>
      <c r="AG316" s="921">
        <f t="shared" si="124"/>
        <v>0</v>
      </c>
      <c r="AH316" s="176">
        <f t="shared" si="119"/>
        <v>6</v>
      </c>
      <c r="AI316" s="225">
        <f t="shared" si="120"/>
        <v>0.99868297954834495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19.567397215327627</v>
      </c>
      <c r="C317" s="955"/>
      <c r="D317" s="393">
        <f t="shared" si="102"/>
        <v>20.437342601313532</v>
      </c>
      <c r="E317" s="385">
        <f t="shared" si="125"/>
        <v>23.189905545102739</v>
      </c>
      <c r="F317" s="385">
        <f t="shared" si="103"/>
        <v>23.21570619796551</v>
      </c>
      <c r="G317" s="110">
        <f t="shared" si="126"/>
        <v>0.61249255790262114</v>
      </c>
      <c r="H317" s="414" t="b">
        <f>Wh_hp&gt;='2022'!Maxi_hp</f>
        <v>0</v>
      </c>
      <c r="I317" s="390">
        <f>IF(H317,Wh_hp,'2022'!Maxi_hp)</f>
        <v>35.207799824990232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4.2566462918226522E-2</v>
      </c>
      <c r="M317" s="959"/>
      <c r="N317" s="959"/>
      <c r="O317" s="48">
        <f>IF(t&lt;Tnet,'2022'!Resal+('2022'!Salim-'2022'!Resal)*(1-EXP(('2022'!Tnet-t)/('2022'!Tau_j))),Resal+(Salim-Resal)*(1-EXP((Tnet-t)/(Tau_j))))*Salcycl</f>
        <v>0.11869660005452222</v>
      </c>
      <c r="P317" s="169">
        <f>(INDEX(Models!$BJ317:$BT317,,T317)*(1-R317)+INDEX(Models!$BJ317:$BT317,,T317+1)*R317-ERP_i)*Q317*Ramure*Pc/MaxiM</f>
        <v>2.4827810515416866E-3</v>
      </c>
      <c r="Q317" s="305">
        <f t="shared" si="105"/>
        <v>0.7</v>
      </c>
      <c r="R317" s="177">
        <f t="shared" si="106"/>
        <v>0.99874400452838752</v>
      </c>
      <c r="S317" s="921">
        <f t="shared" si="107"/>
        <v>0</v>
      </c>
      <c r="T317" s="176">
        <f t="shared" si="108"/>
        <v>6</v>
      </c>
      <c r="U317" s="251">
        <f t="shared" si="109"/>
        <v>0.99874400452838752</v>
      </c>
      <c r="V317" s="383">
        <f t="shared" si="110"/>
        <v>31.903296893081205</v>
      </c>
      <c r="W317" s="402">
        <f t="shared" si="111"/>
        <v>19.567397215327627</v>
      </c>
      <c r="X317" s="157">
        <f t="shared" si="112"/>
        <v>45229</v>
      </c>
      <c r="Y317" s="385">
        <f t="shared" si="113"/>
        <v>18.818118762085778</v>
      </c>
      <c r="Z317" s="385">
        <f t="shared" si="114"/>
        <v>19.654752035783911</v>
      </c>
      <c r="AA317" s="386">
        <f t="shared" si="115"/>
        <v>23.189905545102739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0.15244363554837265</v>
      </c>
      <c r="AD317" s="231">
        <f>(INDEX(Models!$BJ317:$BT317,,AH317)*(1-AF317)+INDEX(Models!$BJ317:$BT317,,AH317+1)*AF317-ERP_i)*AE317*Ramure*Pc/MaxiM</f>
        <v>2.4827810515416866E-3</v>
      </c>
      <c r="AE317" s="305">
        <f t="shared" si="117"/>
        <v>0.7</v>
      </c>
      <c r="AF317" s="177">
        <f t="shared" si="118"/>
        <v>0.99874400452838752</v>
      </c>
      <c r="AG317" s="921">
        <f t="shared" si="124"/>
        <v>0</v>
      </c>
      <c r="AH317" s="176">
        <f t="shared" si="119"/>
        <v>6</v>
      </c>
      <c r="AI317" s="225">
        <f t="shared" si="120"/>
        <v>0.99874400452838752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20.233000521746405</v>
      </c>
      <c r="C318" s="955"/>
      <c r="D318" s="393">
        <f t="shared" si="102"/>
        <v>21.133000780150002</v>
      </c>
      <c r="E318" s="385">
        <f t="shared" si="125"/>
        <v>23.978104859343997</v>
      </c>
      <c r="F318" s="385">
        <f t="shared" si="103"/>
        <v>24.006960516113462</v>
      </c>
      <c r="G318" s="110">
        <f t="shared" si="126"/>
        <v>0.63880978264063892</v>
      </c>
      <c r="H318" s="414" t="b">
        <f>Wh_hp&gt;='2022'!Maxi_hp</f>
        <v>0</v>
      </c>
      <c r="I318" s="390">
        <f>IF(H318,Wh_hp,'2022'!Maxi_hp)</f>
        <v>35.869115091380415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4.2587433169877009E-2</v>
      </c>
      <c r="M318" s="959"/>
      <c r="N318" s="959"/>
      <c r="O318" s="48">
        <f>IF(t&lt;Tnet,'2022'!Resal+('2022'!Salim-'2022'!Resal)*(1-EXP(('2022'!Tnet-t)/('2022'!Tau_j))),Resal+(Salim-Resal)*(1-EXP((Tnet-t)/(Tau_j))))*Salcycl</f>
        <v>0.11865425127979994</v>
      </c>
      <c r="P318" s="169">
        <f>(INDEX(Models!$BJ318:$BT318,,T318)*(1-R318)+INDEX(Models!$BJ318:$BT318,,T318+1)*R318-ERP_i)*Q318*Ramure*Pc/MaxiM</f>
        <v>2.4773661712962098E-3</v>
      </c>
      <c r="Q318" s="305">
        <f t="shared" si="105"/>
        <v>0.7</v>
      </c>
      <c r="R318" s="177">
        <f t="shared" si="106"/>
        <v>0.99880258649424847</v>
      </c>
      <c r="S318" s="921">
        <f t="shared" si="107"/>
        <v>0</v>
      </c>
      <c r="T318" s="176">
        <f t="shared" si="108"/>
        <v>6</v>
      </c>
      <c r="U318" s="251">
        <f t="shared" si="109"/>
        <v>0.99880258649424847</v>
      </c>
      <c r="V318" s="383">
        <f t="shared" si="110"/>
        <v>31.632521814774719</v>
      </c>
      <c r="W318" s="402">
        <f t="shared" si="111"/>
        <v>20.233000521746405</v>
      </c>
      <c r="X318" s="157">
        <f t="shared" si="112"/>
        <v>45230</v>
      </c>
      <c r="Y318" s="385">
        <f t="shared" si="113"/>
        <v>19.459524278326434</v>
      </c>
      <c r="Z318" s="385">
        <f t="shared" si="114"/>
        <v>20.325118922090777</v>
      </c>
      <c r="AA318" s="386">
        <f t="shared" si="115"/>
        <v>23.978104859343997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0.1523467329333032</v>
      </c>
      <c r="AD318" s="231">
        <f>(INDEX(Models!$BJ318:$BT318,,AH318)*(1-AF318)+INDEX(Models!$BJ318:$BT318,,AH318+1)*AF318-ERP_i)*AE318*Ramure*Pc/MaxiM</f>
        <v>2.4773661712962098E-3</v>
      </c>
      <c r="AE318" s="305">
        <f t="shared" si="117"/>
        <v>0.7</v>
      </c>
      <c r="AF318" s="177">
        <f t="shared" si="118"/>
        <v>0.99880258649424847</v>
      </c>
      <c r="AG318" s="921">
        <f t="shared" si="124"/>
        <v>0</v>
      </c>
      <c r="AH318" s="176">
        <f t="shared" si="119"/>
        <v>6</v>
      </c>
      <c r="AI318" s="225">
        <f t="shared" si="120"/>
        <v>0.99880258649424847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21.804092260908018</v>
      </c>
      <c r="C319" s="955"/>
      <c r="D319" s="393">
        <f t="shared" si="102"/>
        <v>22.774476325435845</v>
      </c>
      <c r="E319" s="385">
        <f t="shared" si="125"/>
        <v>25.83932038137198</v>
      </c>
      <c r="F319" s="385">
        <f t="shared" si="103"/>
        <v>25.875599561329885</v>
      </c>
      <c r="G319" s="110">
        <f t="shared" si="126"/>
        <v>0.69463129347485375</v>
      </c>
      <c r="H319" s="414" t="b">
        <f>Wh_hp&gt;='2022'!Maxi_hp</f>
        <v>0</v>
      </c>
      <c r="I319" s="390">
        <f>IF(H319,Wh_hp,'2022'!Maxi_hp)</f>
        <v>32.156200585342432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4.2608402962225123E-2</v>
      </c>
      <c r="M319" s="959"/>
      <c r="N319" s="959"/>
      <c r="O319" s="48">
        <f>IF(t&lt;Tnet,'2022'!Resal+('2022'!Salim-'2022'!Resal)*(1-EXP(('2022'!Tnet-t)/('2022'!Tau_j))),Resal+(Salim-Resal)*(1-EXP((Tnet-t)/(Tau_j))))*Salcycl</f>
        <v>0.11861163570484751</v>
      </c>
      <c r="P319" s="169">
        <f>(INDEX(Models!$BJ319:$BT319,,T319)*(1-R319)+INDEX(Models!$BJ319:$BT319,,T319+1)*R319-ERP_i)*Q319*Ramure*Pc/MaxiM</f>
        <v>2.4822558421830386E-3</v>
      </c>
      <c r="Q319" s="305">
        <f t="shared" si="105"/>
        <v>0.7</v>
      </c>
      <c r="R319" s="177">
        <f t="shared" si="106"/>
        <v>0.99885882270639015</v>
      </c>
      <c r="S319" s="921">
        <f t="shared" si="107"/>
        <v>0</v>
      </c>
      <c r="T319" s="176">
        <f t="shared" si="108"/>
        <v>6</v>
      </c>
      <c r="U319" s="251">
        <f t="shared" si="109"/>
        <v>0.99885882270639015</v>
      </c>
      <c r="V319" s="383">
        <f t="shared" si="110"/>
        <v>31.355492817709958</v>
      </c>
      <c r="W319" s="402">
        <f t="shared" si="111"/>
        <v>21.804092260908018</v>
      </c>
      <c r="X319" s="157">
        <f t="shared" si="112"/>
        <v>45231</v>
      </c>
      <c r="Y319" s="385">
        <f t="shared" si="113"/>
        <v>20.971944921233202</v>
      </c>
      <c r="Z319" s="385">
        <f t="shared" si="114"/>
        <v>21.905294537910731</v>
      </c>
      <c r="AA319" s="386">
        <f t="shared" si="115"/>
        <v>25.83932038137198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0.15224958649831039</v>
      </c>
      <c r="AD319" s="231">
        <f>(INDEX(Models!$BJ319:$BT319,,AH319)*(1-AF319)+INDEX(Models!$BJ319:$BT319,,AH319+1)*AF319-ERP_i)*AE319*Ramure*Pc/MaxiM</f>
        <v>2.4822558421830386E-3</v>
      </c>
      <c r="AE319" s="305">
        <f t="shared" si="117"/>
        <v>0.7</v>
      </c>
      <c r="AF319" s="177">
        <f t="shared" si="118"/>
        <v>0.99885882270639015</v>
      </c>
      <c r="AG319" s="921">
        <f t="shared" si="124"/>
        <v>0</v>
      </c>
      <c r="AH319" s="176">
        <f t="shared" si="119"/>
        <v>6</v>
      </c>
      <c r="AI319" s="225">
        <f t="shared" si="120"/>
        <v>0.99885882270639015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27.327440924304014</v>
      </c>
      <c r="C320" s="955"/>
      <c r="D320" s="393">
        <f t="shared" si="102"/>
        <v>28.544265024947681</v>
      </c>
      <c r="E320" s="385">
        <f t="shared" si="125"/>
        <v>32.38399935628798</v>
      </c>
      <c r="F320" s="385">
        <f t="shared" si="103"/>
        <v>32.451086658635049</v>
      </c>
      <c r="G320" s="110">
        <f t="shared" si="126"/>
        <v>0.87906666115712173</v>
      </c>
      <c r="H320" s="414" t="b">
        <f>Wh_hp&gt;='2022'!Maxi_hp</f>
        <v>0</v>
      </c>
      <c r="I320" s="390">
        <f>IF(H320,Wh_hp,'2022'!Maxi_hp)</f>
        <v>32.454794639205154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4.2629372295281076E-2</v>
      </c>
      <c r="M320" s="959"/>
      <c r="N320" s="959"/>
      <c r="O320" s="48">
        <f>IF(t&lt;Tnet,'2022'!Resal+('2022'!Salim-'2022'!Resal)*(1-EXP(('2022'!Tnet-t)/('2022'!Tau_j))),Resal+(Salim-Resal)*(1-EXP((Tnet-t)/(Tau_j))))*Salcycl</f>
        <v>0.11856887375446232</v>
      </c>
      <c r="P320" s="169">
        <f>(INDEX(Models!$BJ320:$BT320,,T320)*(1-R320)+INDEX(Models!$BJ320:$BT320,,T320+1)*R320-ERP_i)*Q320*Ramure*Pc/MaxiM</f>
        <v>2.4974475541446623E-3</v>
      </c>
      <c r="Q320" s="305">
        <f t="shared" si="105"/>
        <v>0.7</v>
      </c>
      <c r="R320" s="177">
        <f t="shared" si="106"/>
        <v>0.99891280659574422</v>
      </c>
      <c r="S320" s="921">
        <f t="shared" si="107"/>
        <v>0</v>
      </c>
      <c r="T320" s="176">
        <f t="shared" si="108"/>
        <v>6</v>
      </c>
      <c r="U320" s="251">
        <f t="shared" si="109"/>
        <v>0.99891280659574422</v>
      </c>
      <c r="V320" s="383">
        <f t="shared" si="110"/>
        <v>31.073482747044533</v>
      </c>
      <c r="W320" s="402">
        <f t="shared" si="111"/>
        <v>27.327440924304014</v>
      </c>
      <c r="X320" s="157">
        <f t="shared" si="112"/>
        <v>45232</v>
      </c>
      <c r="Y320" s="385">
        <f t="shared" si="113"/>
        <v>26.286235935224887</v>
      </c>
      <c r="Z320" s="385">
        <f t="shared" si="114"/>
        <v>27.456697724522556</v>
      </c>
      <c r="AA320" s="386">
        <f t="shared" si="115"/>
        <v>32.38399935628798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0.1521523508432473</v>
      </c>
      <c r="AD320" s="231">
        <f>(INDEX(Models!$BJ320:$BT320,,AH320)*(1-AF320)+INDEX(Models!$BJ320:$BT320,,AH320+1)*AF320-ERP_i)*AE320*Ramure*Pc/MaxiM</f>
        <v>2.4974475541446623E-3</v>
      </c>
      <c r="AE320" s="305">
        <f t="shared" si="117"/>
        <v>0.7</v>
      </c>
      <c r="AF320" s="177">
        <f t="shared" si="118"/>
        <v>0.99891280659574422</v>
      </c>
      <c r="AG320" s="921">
        <f t="shared" si="124"/>
        <v>0</v>
      </c>
      <c r="AH320" s="176">
        <f t="shared" si="119"/>
        <v>6</v>
      </c>
      <c r="AI320" s="225">
        <f t="shared" si="120"/>
        <v>0.99891280659574422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9.50502534951349</v>
      </c>
      <c r="C321" s="955"/>
      <c r="D321" s="393">
        <f t="shared" si="102"/>
        <v>9.9284783379151396</v>
      </c>
      <c r="E321" s="385">
        <f t="shared" si="125"/>
        <v>11.263496510737992</v>
      </c>
      <c r="F321" s="385">
        <f t="shared" si="103"/>
        <v>11.263850817778971</v>
      </c>
      <c r="G321" s="110">
        <f t="shared" si="126"/>
        <v>0.30795814566420171</v>
      </c>
      <c r="H321" s="414" t="b">
        <f>Wh_hp&gt;='2022'!Maxi_hp</f>
        <v>0</v>
      </c>
      <c r="I321" s="390">
        <f>IF(H321,Wh_hp,'2022'!Maxi_hp)</f>
        <v>31.18806335046073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4.2650341169054751E-2</v>
      </c>
      <c r="M321" s="959"/>
      <c r="N321" s="959"/>
      <c r="O321" s="48">
        <f>IF(t&lt;Tnet,'2022'!Resal+('2022'!Salim-'2022'!Resal)*(1-EXP(('2022'!Tnet-t)/('2022'!Tau_j))),Resal+(Salim-Resal)*(1-EXP((Tnet-t)/(Tau_j))))*Salcycl</f>
        <v>0.11852608748536661</v>
      </c>
      <c r="P321" s="169">
        <f>(INDEX(Models!$BJ321:$BT321,,T321)*(1-R321)+INDEX(Models!$BJ321:$BT321,,T321+1)*R321-ERP_i)*Q321*Ramure*Pc/MaxiM</f>
        <v>2.5229461379226736E-3</v>
      </c>
      <c r="Q321" s="305">
        <f t="shared" si="105"/>
        <v>0.7</v>
      </c>
      <c r="R321" s="177">
        <f t="shared" si="106"/>
        <v>0.99896462791113749</v>
      </c>
      <c r="S321" s="921">
        <f t="shared" si="107"/>
        <v>0</v>
      </c>
      <c r="T321" s="176">
        <f t="shared" si="108"/>
        <v>6</v>
      </c>
      <c r="U321" s="251">
        <f t="shared" si="109"/>
        <v>0.99896462791113749</v>
      </c>
      <c r="V321" s="383">
        <f t="shared" si="110"/>
        <v>30.787764681168827</v>
      </c>
      <c r="W321" s="402">
        <f t="shared" si="111"/>
        <v>9.50502534951349</v>
      </c>
      <c r="X321" s="157">
        <f t="shared" si="112"/>
        <v>45233</v>
      </c>
      <c r="Y321" s="385">
        <f t="shared" si="113"/>
        <v>9.1434776128922213</v>
      </c>
      <c r="Z321" s="385">
        <f t="shared" si="114"/>
        <v>9.5508234933280871</v>
      </c>
      <c r="AA321" s="386">
        <f t="shared" si="115"/>
        <v>11.263496510737992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0.15205518248948158</v>
      </c>
      <c r="AD321" s="231">
        <f>(INDEX(Models!$BJ321:$BT321,,AH321)*(1-AF321)+INDEX(Models!$BJ321:$BT321,,AH321+1)*AF321-ERP_i)*AE321*Ramure*Pc/MaxiM</f>
        <v>2.5229461379226736E-3</v>
      </c>
      <c r="AE321" s="305">
        <f t="shared" si="117"/>
        <v>0.7</v>
      </c>
      <c r="AF321" s="177">
        <f t="shared" si="118"/>
        <v>0.99896462791113749</v>
      </c>
      <c r="AG321" s="921">
        <f t="shared" si="124"/>
        <v>0</v>
      </c>
      <c r="AH321" s="176">
        <f t="shared" si="119"/>
        <v>6</v>
      </c>
      <c r="AI321" s="225">
        <f t="shared" si="120"/>
        <v>0.99896462791113749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11.098080533531233</v>
      </c>
      <c r="C322" s="955"/>
      <c r="D322" s="393">
        <f t="shared" si="102"/>
        <v>11.592758730236636</v>
      </c>
      <c r="E322" s="385">
        <f t="shared" si="125"/>
        <v>13.150925043143538</v>
      </c>
      <c r="F322" s="385">
        <f t="shared" si="103"/>
        <v>13.153996383163639</v>
      </c>
      <c r="G322" s="110">
        <f t="shared" si="126"/>
        <v>0.36302981492574005</v>
      </c>
      <c r="H322" s="414" t="b">
        <f>Wh_hp&gt;='2022'!Maxi_hp</f>
        <v>0</v>
      </c>
      <c r="I322" s="390">
        <f>IF(H322,Wh_hp,'2022'!Maxi_hp)</f>
        <v>29.822160701304174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4.2671309583556249E-2</v>
      </c>
      <c r="M322" s="959"/>
      <c r="N322" s="959"/>
      <c r="O322" s="48">
        <f>IF(t&lt;Tnet,'2022'!Resal+('2022'!Salim-'2022'!Resal)*(1-EXP(('2022'!Tnet-t)/('2022'!Tau_j))),Resal+(Salim-Resal)*(1-EXP((Tnet-t)/(Tau_j))))*Salcycl</f>
        <v>0.11848340004943446</v>
      </c>
      <c r="P322" s="169">
        <f>(INDEX(Models!$BJ322:$BT322,,T322)*(1-R322)+INDEX(Models!$BJ322:$BT322,,T322+1)*R322-ERP_i)*Q322*Ramure*Pc/MaxiM</f>
        <v>2.5587607160371816E-3</v>
      </c>
      <c r="Q322" s="305">
        <f t="shared" si="105"/>
        <v>0.7</v>
      </c>
      <c r="R322" s="177">
        <f t="shared" si="106"/>
        <v>0.9990143728613099</v>
      </c>
      <c r="S322" s="921">
        <f t="shared" si="107"/>
        <v>0</v>
      </c>
      <c r="T322" s="176">
        <f t="shared" si="108"/>
        <v>6</v>
      </c>
      <c r="U322" s="251">
        <f t="shared" si="109"/>
        <v>0.9990143728613099</v>
      </c>
      <c r="V322" s="383">
        <f t="shared" si="110"/>
        <v>30.499611935601639</v>
      </c>
      <c r="W322" s="402">
        <f t="shared" si="111"/>
        <v>11.098080533531233</v>
      </c>
      <c r="X322" s="157">
        <f t="shared" si="112"/>
        <v>45234</v>
      </c>
      <c r="Y322" s="385">
        <f t="shared" si="113"/>
        <v>10.676640414716044</v>
      </c>
      <c r="Z322" s="385">
        <f t="shared" si="114"/>
        <v>11.152533629877572</v>
      </c>
      <c r="AA322" s="386">
        <f t="shared" si="115"/>
        <v>13.150925043143538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0.15195823918925461</v>
      </c>
      <c r="AD322" s="231">
        <f>(INDEX(Models!$BJ322:$BT322,,AH322)*(1-AF322)+INDEX(Models!$BJ322:$BT322,,AH322+1)*AF322-ERP_i)*AE322*Ramure*Pc/MaxiM</f>
        <v>2.5587607160371816E-3</v>
      </c>
      <c r="AE322" s="305">
        <f t="shared" si="117"/>
        <v>0.7</v>
      </c>
      <c r="AF322" s="177">
        <f t="shared" si="118"/>
        <v>0.9990143728613099</v>
      </c>
      <c r="AG322" s="921">
        <f t="shared" si="124"/>
        <v>0</v>
      </c>
      <c r="AH322" s="176">
        <f t="shared" si="119"/>
        <v>6</v>
      </c>
      <c r="AI322" s="225">
        <f t="shared" si="120"/>
        <v>0.9990143728613099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29.16208598451939</v>
      </c>
      <c r="C323" s="955"/>
      <c r="D323" s="393">
        <f t="shared" si="102"/>
        <v>30.462603925877353</v>
      </c>
      <c r="E323" s="385">
        <f t="shared" si="125"/>
        <v>34.555374835659322</v>
      </c>
      <c r="F323" s="385">
        <f t="shared" si="103"/>
        <v>34.641138788937269</v>
      </c>
      <c r="G323" s="110">
        <f t="shared" si="126"/>
        <v>0.96517787504392916</v>
      </c>
      <c r="H323" s="414" t="b">
        <f>Wh_hp&gt;='2022'!Maxi_hp</f>
        <v>0</v>
      </c>
      <c r="I323" s="390">
        <f>IF(H323,Wh_hp,'2022'!Maxi_hp)</f>
        <v>34.642381012250276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4.2692277538795675E-2</v>
      </c>
      <c r="M323" s="959"/>
      <c r="N323" s="959"/>
      <c r="O323" s="48">
        <f>IF(t&lt;Tnet,'2022'!Resal+('2022'!Salim-'2022'!Resal)*(1-EXP(('2022'!Tnet-t)/('2022'!Tau_j))),Resal+(Salim-Resal)*(1-EXP((Tnet-t)/(Tau_j))))*Salcycl</f>
        <v>0.1184409351438563</v>
      </c>
      <c r="P323" s="169">
        <f>(INDEX(Models!$BJ323:$BT323,,T323)*(1-R323)+INDEX(Models!$BJ323:$BT323,,T323+1)*R323-ERP_i)*Q323*Ramure*Pc/MaxiM</f>
        <v>2.604901495681696E-3</v>
      </c>
      <c r="Q323" s="305">
        <f t="shared" si="105"/>
        <v>0.7</v>
      </c>
      <c r="R323" s="177">
        <f t="shared" si="106"/>
        <v>0.99906212425169927</v>
      </c>
      <c r="S323" s="921">
        <f t="shared" si="107"/>
        <v>0</v>
      </c>
      <c r="T323" s="176">
        <f t="shared" si="108"/>
        <v>6</v>
      </c>
      <c r="U323" s="251">
        <f t="shared" si="109"/>
        <v>0.99906212425169927</v>
      </c>
      <c r="V323" s="383">
        <f t="shared" si="110"/>
        <v>30.210298057483541</v>
      </c>
      <c r="W323" s="402">
        <f t="shared" si="111"/>
        <v>29.16208598451939</v>
      </c>
      <c r="X323" s="157">
        <f t="shared" si="112"/>
        <v>45235</v>
      </c>
      <c r="Y323" s="385">
        <f t="shared" si="113"/>
        <v>28.056523519957747</v>
      </c>
      <c r="Z323" s="385">
        <f t="shared" si="114"/>
        <v>29.307737587058647</v>
      </c>
      <c r="AA323" s="386">
        <f t="shared" si="115"/>
        <v>34.555374835659322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0.15186167921944776</v>
      </c>
      <c r="AD323" s="231">
        <f>(INDEX(Models!$BJ323:$BT323,,AH323)*(1-AF323)+INDEX(Models!$BJ323:$BT323,,AH323+1)*AF323-ERP_i)*AE323*Ramure*Pc/MaxiM</f>
        <v>2.604901495681696E-3</v>
      </c>
      <c r="AE323" s="305">
        <f t="shared" si="117"/>
        <v>0.7</v>
      </c>
      <c r="AF323" s="177">
        <f t="shared" si="118"/>
        <v>0.99906212425169927</v>
      </c>
      <c r="AG323" s="921">
        <f t="shared" si="124"/>
        <v>0</v>
      </c>
      <c r="AH323" s="176">
        <f t="shared" si="119"/>
        <v>6</v>
      </c>
      <c r="AI323" s="225">
        <f t="shared" si="120"/>
        <v>0.99906212425169927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28.82538308126955</v>
      </c>
      <c r="C324" s="955"/>
      <c r="D324" s="393">
        <f t="shared" si="102"/>
        <v>30.111544875931063</v>
      </c>
      <c r="E324" s="385">
        <f t="shared" si="125"/>
        <v>34.155517753216245</v>
      </c>
      <c r="F324" s="385">
        <f t="shared" si="103"/>
        <v>34.242179209366874</v>
      </c>
      <c r="G324" s="110">
        <f t="shared" si="126"/>
        <v>0.96325381818046385</v>
      </c>
      <c r="H324" s="414" t="b">
        <f>Wh_hp&gt;='2022'!Maxi_hp</f>
        <v>0</v>
      </c>
      <c r="I324" s="390">
        <f>IF(H324,Wh_hp,'2022'!Maxi_hp)</f>
        <v>34.243535630219014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4.2713245034783132E-2</v>
      </c>
      <c r="M324" s="959"/>
      <c r="N324" s="959"/>
      <c r="O324" s="48">
        <f>IF(t&lt;Tnet,'2022'!Resal+('2022'!Salim-'2022'!Resal)*(1-EXP(('2022'!Tnet-t)/('2022'!Tau_j))),Resal+(Salim-Resal)*(1-EXP((Tnet-t)/(Tau_j))))*Salcycl</f>
        <v>0.11839881645197367</v>
      </c>
      <c r="P324" s="169">
        <f>(INDEX(Models!$BJ324:$BT324,,T324)*(1-R324)+INDEX(Models!$BJ324:$BT324,,T324+1)*R324-ERP_i)*Q324*Ramure*Pc/MaxiM</f>
        <v>2.6705120654107509E-3</v>
      </c>
      <c r="Q324" s="305">
        <f t="shared" si="105"/>
        <v>0.7</v>
      </c>
      <c r="R324" s="177">
        <f t="shared" si="106"/>
        <v>0.99910796161616844</v>
      </c>
      <c r="S324" s="921">
        <f t="shared" si="107"/>
        <v>0</v>
      </c>
      <c r="T324" s="176">
        <f t="shared" si="108"/>
        <v>6</v>
      </c>
      <c r="U324" s="251">
        <f t="shared" si="109"/>
        <v>0.99910796161616844</v>
      </c>
      <c r="V324" s="383">
        <f t="shared" si="110"/>
        <v>29.920822740365779</v>
      </c>
      <c r="W324" s="402">
        <f t="shared" si="111"/>
        <v>28.82538308126955</v>
      </c>
      <c r="X324" s="157">
        <f t="shared" si="112"/>
        <v>45236</v>
      </c>
      <c r="Y324" s="385">
        <f t="shared" si="113"/>
        <v>27.734399896820776</v>
      </c>
      <c r="Z324" s="385">
        <f t="shared" si="114"/>
        <v>28.971883036059044</v>
      </c>
      <c r="AA324" s="386">
        <f t="shared" si="115"/>
        <v>34.155517753216245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0.15176566066456679</v>
      </c>
      <c r="AD324" s="231">
        <f>(INDEX(Models!$BJ324:$BT324,,AH324)*(1-AF324)+INDEX(Models!$BJ324:$BT324,,AH324+1)*AF324-ERP_i)*AE324*Ramure*Pc/MaxiM</f>
        <v>2.6705120654107509E-3</v>
      </c>
      <c r="AE324" s="305">
        <f t="shared" si="117"/>
        <v>0.7</v>
      </c>
      <c r="AF324" s="177">
        <f t="shared" si="118"/>
        <v>0.99910796161616844</v>
      </c>
      <c r="AG324" s="921">
        <f t="shared" si="124"/>
        <v>0</v>
      </c>
      <c r="AH324" s="176">
        <f t="shared" si="119"/>
        <v>6</v>
      </c>
      <c r="AI324" s="225">
        <f t="shared" si="120"/>
        <v>0.99910796161616844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27.557077705759404</v>
      </c>
      <c r="C325" s="955"/>
      <c r="D325" s="393">
        <f t="shared" si="102"/>
        <v>28.787279408985327</v>
      </c>
      <c r="E325" s="385">
        <f t="shared" si="125"/>
        <v>32.651861200523726</v>
      </c>
      <c r="F325" s="385">
        <f t="shared" si="103"/>
        <v>32.733025375232273</v>
      </c>
      <c r="G325" s="110">
        <f t="shared" si="126"/>
        <v>0.92970497188311896</v>
      </c>
      <c r="H325" s="414" t="b">
        <f>Wh_hp&gt;='2022'!Maxi_hp</f>
        <v>0</v>
      </c>
      <c r="I325" s="390">
        <f>IF(H325,Wh_hp,'2022'!Maxi_hp)</f>
        <v>32.735646206906857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4.2734212071528499E-2</v>
      </c>
      <c r="M325" s="959"/>
      <c r="N325" s="959"/>
      <c r="O325" s="48">
        <f>IF(t&lt;Tnet,'2022'!Resal+('2022'!Salim-'2022'!Resal)*(1-EXP(('2022'!Tnet-t)/('2022'!Tau_j))),Resal+(Salim-Resal)*(1-EXP((Tnet-t)/(Tau_j))))*Salcycl</f>
        <v>0.11835716707862326</v>
      </c>
      <c r="P325" s="169">
        <f>(INDEX(Models!$BJ325:$BT325,,T325)*(1-R325)+INDEX(Models!$BJ325:$BT325,,T325+1)*R325-ERP_i)*Q325*Ramure*Pc/MaxiM</f>
        <v>2.7552558480293098E-3</v>
      </c>
      <c r="Q325" s="305">
        <f t="shared" si="105"/>
        <v>0.7</v>
      </c>
      <c r="R325" s="177">
        <f t="shared" si="106"/>
        <v>0.99915196134383955</v>
      </c>
      <c r="S325" s="921">
        <f t="shared" si="107"/>
        <v>0</v>
      </c>
      <c r="T325" s="176">
        <f t="shared" si="108"/>
        <v>6</v>
      </c>
      <c r="U325" s="251">
        <f t="shared" si="109"/>
        <v>0.99915196134383955</v>
      </c>
      <c r="V325" s="383">
        <f t="shared" si="110"/>
        <v>29.6324778838407</v>
      </c>
      <c r="W325" s="402">
        <f t="shared" si="111"/>
        <v>27.557077705759404</v>
      </c>
      <c r="X325" s="157">
        <f t="shared" si="112"/>
        <v>45237</v>
      </c>
      <c r="Y325" s="385">
        <f t="shared" si="113"/>
        <v>26.515824173533428</v>
      </c>
      <c r="Z325" s="385">
        <f t="shared" si="114"/>
        <v>27.699542287950997</v>
      </c>
      <c r="AA325" s="386">
        <f t="shared" si="115"/>
        <v>32.651861200523726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0.15167034069388041</v>
      </c>
      <c r="AD325" s="231">
        <f>(INDEX(Models!$BJ325:$BT325,,AH325)*(1-AF325)+INDEX(Models!$BJ325:$BT325,,AH325+1)*AF325-ERP_i)*AE325*Ramure*Pc/MaxiM</f>
        <v>2.7552558480293098E-3</v>
      </c>
      <c r="AE325" s="305">
        <f t="shared" si="117"/>
        <v>0.7</v>
      </c>
      <c r="AF325" s="177">
        <f t="shared" si="118"/>
        <v>0.99915196134383955</v>
      </c>
      <c r="AG325" s="921">
        <f t="shared" si="124"/>
        <v>0</v>
      </c>
      <c r="AH325" s="176">
        <f t="shared" si="119"/>
        <v>6</v>
      </c>
      <c r="AI325" s="225">
        <f t="shared" si="120"/>
        <v>0.99915196134383955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18.853811165245567</v>
      </c>
      <c r="C326" s="955"/>
      <c r="D326" s="393">
        <f t="shared" si="102"/>
        <v>19.695913464057416</v>
      </c>
      <c r="E326" s="385">
        <f t="shared" si="125"/>
        <v>22.338973939241377</v>
      </c>
      <c r="F326" s="385">
        <f t="shared" si="103"/>
        <v>22.370264910720458</v>
      </c>
      <c r="G326" s="110">
        <f t="shared" si="126"/>
        <v>0.6415146788179189</v>
      </c>
      <c r="H326" s="414" t="b">
        <f>Wh_hp&gt;='2022'!Maxi_hp</f>
        <v>0</v>
      </c>
      <c r="I326" s="390">
        <f>IF(H326,Wh_hp,'2022'!Maxi_hp)</f>
        <v>27.419796880522092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4.2755178649042103E-2</v>
      </c>
      <c r="M326" s="959"/>
      <c r="N326" s="959"/>
      <c r="O326" s="48">
        <f>IF(t&lt;Tnet,'2022'!Resal+('2022'!Salim-'2022'!Resal)*(1-EXP(('2022'!Tnet-t)/('2022'!Tau_j))),Resal+(Salim-Resal)*(1-EXP((Tnet-t)/(Tau_j))))*Salcycl</f>
        <v>0.11831610898390803</v>
      </c>
      <c r="P326" s="169">
        <f>(INDEX(Models!$BJ326:$BT326,,T326)*(1-R326)+INDEX(Models!$BJ326:$BT326,,T326+1)*R326-ERP_i)*Q326*Ramure*Pc/MaxiM</f>
        <v>2.8591925687961521E-3</v>
      </c>
      <c r="Q326" s="305">
        <f t="shared" si="105"/>
        <v>0.7</v>
      </c>
      <c r="R326" s="177">
        <f t="shared" si="106"/>
        <v>0.99919419680120558</v>
      </c>
      <c r="S326" s="921">
        <f t="shared" si="107"/>
        <v>0</v>
      </c>
      <c r="T326" s="176">
        <f t="shared" si="108"/>
        <v>6</v>
      </c>
      <c r="U326" s="251">
        <f t="shared" si="109"/>
        <v>0.99919419680120558</v>
      </c>
      <c r="V326" s="383">
        <f t="shared" si="110"/>
        <v>29.346543087621665</v>
      </c>
      <c r="W326" s="402">
        <f t="shared" si="111"/>
        <v>18.853811165245567</v>
      </c>
      <c r="X326" s="157">
        <f t="shared" si="112"/>
        <v>45238</v>
      </c>
      <c r="Y326" s="385">
        <f t="shared" si="113"/>
        <v>18.142588751863666</v>
      </c>
      <c r="Z326" s="385">
        <f t="shared" si="114"/>
        <v>18.952924421423418</v>
      </c>
      <c r="AA326" s="386">
        <f t="shared" si="115"/>
        <v>22.338973939241377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0.15157587483773871</v>
      </c>
      <c r="AD326" s="231">
        <f>(INDEX(Models!$BJ326:$BT326,,AH326)*(1-AF326)+INDEX(Models!$BJ326:$BT326,,AH326+1)*AF326-ERP_i)*AE326*Ramure*Pc/MaxiM</f>
        <v>2.8591925687961521E-3</v>
      </c>
      <c r="AE326" s="305">
        <f t="shared" si="117"/>
        <v>0.7</v>
      </c>
      <c r="AF326" s="177">
        <f t="shared" si="118"/>
        <v>0.99919419680120558</v>
      </c>
      <c r="AG326" s="921">
        <f t="shared" si="124"/>
        <v>0</v>
      </c>
      <c r="AH326" s="176">
        <f t="shared" si="119"/>
        <v>6</v>
      </c>
      <c r="AI326" s="225">
        <f t="shared" si="120"/>
        <v>0.99919419680120558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9.9737381245770305</v>
      </c>
      <c r="C327" s="955"/>
      <c r="D327" s="393">
        <f t="shared" si="102"/>
        <v>10.419441669840936</v>
      </c>
      <c r="E327" s="385">
        <f t="shared" si="125"/>
        <v>11.817120620876594</v>
      </c>
      <c r="F327" s="385">
        <f t="shared" si="103"/>
        <v>11.819294059359752</v>
      </c>
      <c r="G327" s="110">
        <f t="shared" si="126"/>
        <v>0.342200651641138</v>
      </c>
      <c r="H327" s="414" t="b">
        <f>Wh_hp&gt;='2022'!Maxi_hp</f>
        <v>0</v>
      </c>
      <c r="I327" s="390">
        <f>IF(H327,Wh_hp,'2022'!Maxi_hp)</f>
        <v>26.175340990445164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4.2776144767333713E-2</v>
      </c>
      <c r="M327" s="959"/>
      <c r="N327" s="959"/>
      <c r="O327" s="48">
        <f>IF(t&lt;Tnet,'2022'!Resal+('2022'!Salim-'2022'!Resal)*(1-EXP(('2022'!Tnet-t)/('2022'!Tau_j))),Resal+(Salim-Resal)*(1-EXP((Tnet-t)/(Tau_j))))*Salcycl</f>
        <v>0.11827576241935479</v>
      </c>
      <c r="P327" s="169">
        <f>(INDEX(Models!$BJ327:$BT327,,T327)*(1-R327)+INDEX(Models!$BJ327:$BT327,,T327+1)*R327-ERP_i)*Q327*Ramure*Pc/MaxiM</f>
        <v>2.9823649154724825E-3</v>
      </c>
      <c r="Q327" s="305">
        <f t="shared" si="105"/>
        <v>0.7</v>
      </c>
      <c r="R327" s="177">
        <f t="shared" si="106"/>
        <v>0.99923473844967514</v>
      </c>
      <c r="S327" s="921">
        <f t="shared" si="107"/>
        <v>0</v>
      </c>
      <c r="T327" s="176">
        <f t="shared" si="108"/>
        <v>6</v>
      </c>
      <c r="U327" s="251">
        <f t="shared" si="109"/>
        <v>0.99923473844967514</v>
      </c>
      <c r="V327" s="383">
        <f t="shared" si="110"/>
        <v>29.064298030113061</v>
      </c>
      <c r="W327" s="402">
        <f t="shared" si="111"/>
        <v>9.9737381245770305</v>
      </c>
      <c r="X327" s="157">
        <f t="shared" si="112"/>
        <v>45239</v>
      </c>
      <c r="Y327" s="385">
        <f t="shared" si="113"/>
        <v>9.5981167507220615</v>
      </c>
      <c r="Z327" s="385">
        <f t="shared" si="114"/>
        <v>10.027034635894138</v>
      </c>
      <c r="AA327" s="386">
        <f t="shared" si="115"/>
        <v>11.817120620876594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0.15148241626814066</v>
      </c>
      <c r="AD327" s="231">
        <f>(INDEX(Models!$BJ327:$BT327,,AH327)*(1-AF327)+INDEX(Models!$BJ327:$BT327,,AH327+1)*AF327-ERP_i)*AE327*Ramure*Pc/MaxiM</f>
        <v>2.9823649154724825E-3</v>
      </c>
      <c r="AE327" s="305">
        <f t="shared" si="117"/>
        <v>0.7</v>
      </c>
      <c r="AF327" s="177">
        <f t="shared" si="118"/>
        <v>0.99923473844967514</v>
      </c>
      <c r="AG327" s="921">
        <f t="shared" si="124"/>
        <v>0</v>
      </c>
      <c r="AH327" s="176">
        <f t="shared" si="119"/>
        <v>6</v>
      </c>
      <c r="AI327" s="225">
        <f t="shared" si="120"/>
        <v>0.99923473844967514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22.246859071022719</v>
      </c>
      <c r="C328" s="955"/>
      <c r="D328" s="393">
        <f t="shared" si="102"/>
        <v>23.241529369947077</v>
      </c>
      <c r="E328" s="385">
        <f t="shared" si="125"/>
        <v>26.358000369056704</v>
      </c>
      <c r="F328" s="385">
        <f t="shared" si="103"/>
        <v>26.413749534466408</v>
      </c>
      <c r="G328" s="110">
        <f t="shared" si="126"/>
        <v>0.77202319588515878</v>
      </c>
      <c r="H328" s="414" t="b">
        <f>Wh_hp&gt;='2022'!Maxi_hp</f>
        <v>0</v>
      </c>
      <c r="I328" s="390">
        <f>IF(H328,Wh_hp,'2022'!Maxi_hp)</f>
        <v>26.422176031713878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4.2797110426413543E-2</v>
      </c>
      <c r="M328" s="959"/>
      <c r="N328" s="959"/>
      <c r="O328" s="48">
        <f>IF(t&lt;Tnet,'2022'!Resal+('2022'!Salim-'2022'!Resal)*(1-EXP(('2022'!Tnet-t)/('2022'!Tau_j))),Resal+(Salim-Resal)*(1-EXP((Tnet-t)/(Tau_j))))*Salcycl</f>
        <v>0.11823624537042819</v>
      </c>
      <c r="P328" s="169">
        <f>(INDEX(Models!$BJ328:$BT328,,T328)*(1-R328)+INDEX(Models!$BJ328:$BT328,,T328+1)*R328-ERP_i)*Q328*Ramure*Pc/MaxiM</f>
        <v>3.1247909553051849E-3</v>
      </c>
      <c r="Q328" s="305">
        <f t="shared" si="105"/>
        <v>0.7</v>
      </c>
      <c r="R328" s="177">
        <f t="shared" si="106"/>
        <v>0.99927365395871026</v>
      </c>
      <c r="S328" s="921">
        <f t="shared" si="107"/>
        <v>0</v>
      </c>
      <c r="T328" s="176">
        <f t="shared" si="108"/>
        <v>6</v>
      </c>
      <c r="U328" s="251">
        <f t="shared" si="109"/>
        <v>0.99927365395871026</v>
      </c>
      <c r="V328" s="383">
        <f t="shared" si="110"/>
        <v>28.78702241417685</v>
      </c>
      <c r="W328" s="402">
        <f t="shared" si="111"/>
        <v>22.246859071022719</v>
      </c>
      <c r="X328" s="157">
        <f t="shared" si="112"/>
        <v>45240</v>
      </c>
      <c r="Y328" s="385">
        <f t="shared" si="113"/>
        <v>21.410388459243595</v>
      </c>
      <c r="Z328" s="385">
        <f t="shared" si="114"/>
        <v>22.367659659679326</v>
      </c>
      <c r="AA328" s="386">
        <f t="shared" si="115"/>
        <v>26.358000369056704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0.15139011508861977</v>
      </c>
      <c r="AD328" s="231">
        <f>(INDEX(Models!$BJ328:$BT328,,AH328)*(1-AF328)+INDEX(Models!$BJ328:$BT328,,AH328+1)*AF328-ERP_i)*AE328*Ramure*Pc/MaxiM</f>
        <v>3.1247909553051849E-3</v>
      </c>
      <c r="AE328" s="305">
        <f t="shared" si="117"/>
        <v>0.7</v>
      </c>
      <c r="AF328" s="177">
        <f t="shared" si="118"/>
        <v>0.99927365395871026</v>
      </c>
      <c r="AG328" s="921">
        <f t="shared" si="124"/>
        <v>0</v>
      </c>
      <c r="AH328" s="176">
        <f t="shared" si="119"/>
        <v>6</v>
      </c>
      <c r="AI328" s="225">
        <f t="shared" si="120"/>
        <v>0.99927365395871026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27.731323755288809</v>
      </c>
      <c r="C329" s="955"/>
      <c r="D329" s="393">
        <f t="shared" si="102"/>
        <v>28.971842289472434</v>
      </c>
      <c r="E329" s="385">
        <f t="shared" si="125"/>
        <v>32.855257241546759</v>
      </c>
      <c r="F329" s="385">
        <f t="shared" si="103"/>
        <v>32.959318573189023</v>
      </c>
      <c r="G329" s="110">
        <f t="shared" si="126"/>
        <v>0.97235705428655372</v>
      </c>
      <c r="H329" s="414" t="b">
        <f>Wh_hp&gt;='2022'!Maxi_hp</f>
        <v>0</v>
      </c>
      <c r="I329" s="390">
        <f>IF(H329,Wh_hp,'2022'!Maxi_hp)</f>
        <v>32.960695638273201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4.2818075626291696E-2</v>
      </c>
      <c r="M329" s="959"/>
      <c r="N329" s="959"/>
      <c r="O329" s="48">
        <f>IF(t&lt;Tnet,'2022'!Resal+('2022'!Salim-'2022'!Resal)*(1-EXP(('2022'!Tnet-t)/('2022'!Tau_j))),Resal+(Salim-Resal)*(1-EXP((Tnet-t)/(Tau_j))))*Salcycl</f>
        <v>0.11819767300934698</v>
      </c>
      <c r="P329" s="169">
        <f>(INDEX(Models!$BJ329:$BT329,,T329)*(1-R329)+INDEX(Models!$BJ329:$BT329,,T329+1)*R329-ERP_i)*Q329*Ramure*Pc/MaxiM</f>
        <v>3.286456046929865E-3</v>
      </c>
      <c r="Q329" s="305">
        <f t="shared" si="105"/>
        <v>0.7</v>
      </c>
      <c r="R329" s="177">
        <f t="shared" si="106"/>
        <v>0.99931100831470743</v>
      </c>
      <c r="S329" s="921">
        <f t="shared" si="107"/>
        <v>0</v>
      </c>
      <c r="T329" s="176">
        <f t="shared" si="108"/>
        <v>6</v>
      </c>
      <c r="U329" s="251">
        <f t="shared" si="109"/>
        <v>0.99931100831470743</v>
      </c>
      <c r="V329" s="383">
        <f t="shared" si="110"/>
        <v>28.515995920787589</v>
      </c>
      <c r="W329" s="402">
        <f t="shared" si="111"/>
        <v>27.731323755288809</v>
      </c>
      <c r="X329" s="157">
        <f t="shared" si="112"/>
        <v>45241</v>
      </c>
      <c r="Y329" s="385">
        <f t="shared" si="113"/>
        <v>26.690334352470039</v>
      </c>
      <c r="Z329" s="385">
        <f t="shared" si="114"/>
        <v>27.884285811115515</v>
      </c>
      <c r="AA329" s="386">
        <f t="shared" si="115"/>
        <v>32.855257241546759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0.15129911763847817</v>
      </c>
      <c r="AD329" s="231">
        <f>(INDEX(Models!$BJ329:$BT329,,AH329)*(1-AF329)+INDEX(Models!$BJ329:$BT329,,AH329+1)*AF329-ERP_i)*AE329*Ramure*Pc/MaxiM</f>
        <v>3.286456046929865E-3</v>
      </c>
      <c r="AE329" s="305">
        <f t="shared" si="117"/>
        <v>0.7</v>
      </c>
      <c r="AF329" s="177">
        <f t="shared" si="118"/>
        <v>0.99931100831470743</v>
      </c>
      <c r="AG329" s="921">
        <f t="shared" si="124"/>
        <v>0</v>
      </c>
      <c r="AH329" s="176">
        <f t="shared" si="119"/>
        <v>6</v>
      </c>
      <c r="AI329" s="225">
        <f t="shared" si="120"/>
        <v>0.99931100831470743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26.481215570179366</v>
      </c>
      <c r="C330" s="955"/>
      <c r="D330" s="393">
        <f t="shared" si="102"/>
        <v>27.666418384147569</v>
      </c>
      <c r="E330" s="385">
        <f t="shared" si="125"/>
        <v>31.373518228788964</v>
      </c>
      <c r="F330" s="385">
        <f t="shared" si="103"/>
        <v>31.472870496144839</v>
      </c>
      <c r="G330" s="110">
        <f t="shared" si="126"/>
        <v>0.93701327826602687</v>
      </c>
      <c r="H330" s="414" t="b">
        <f>Wh_hp&gt;='2022'!Maxi_hp</f>
        <v>0</v>
      </c>
      <c r="I330" s="390">
        <f>IF(H330,Wh_hp,'2022'!Maxi_hp)</f>
        <v>32.840746587016881</v>
      </c>
      <c r="J330" s="85">
        <f>IF(H330,An,'2022'!An_max)</f>
        <v>2020</v>
      </c>
      <c r="K330" s="197">
        <f t="shared" si="104"/>
        <v>45242</v>
      </c>
      <c r="L330" s="147">
        <f>IF(t&lt;Tvie,1-EXP((T0-t)*PertePVj)+'2022'!Pspv,1-EXP((T0-t)*PertePVj)+Pspv)</f>
        <v>4.2839040366978165E-2</v>
      </c>
      <c r="M330" s="959"/>
      <c r="N330" s="959"/>
      <c r="O330" s="48">
        <f>IF(t&lt;Tnet,'2022'!Resal+('2022'!Salim-'2022'!Resal)*(1-EXP(('2022'!Tnet-t)/('2022'!Tau_j))),Resal+(Salim-Resal)*(1-EXP((Tnet-t)/(Tau_j))))*Salcycl</f>
        <v>0.11816015716208984</v>
      </c>
      <c r="P330" s="169">
        <f>(INDEX(Models!$BJ330:$BT330,,T330)*(1-R330)+INDEX(Models!$BJ330:$BT330,,T330+1)*R330-ERP_i)*Q330*Ramure*Pc/MaxiM</f>
        <v>3.4673042695283576E-3</v>
      </c>
      <c r="Q330" s="305">
        <f t="shared" si="105"/>
        <v>0.7</v>
      </c>
      <c r="R330" s="177">
        <f t="shared" si="106"/>
        <v>0.99934686392577055</v>
      </c>
      <c r="S330" s="921">
        <f t="shared" si="107"/>
        <v>0</v>
      </c>
      <c r="T330" s="176">
        <f t="shared" si="108"/>
        <v>6</v>
      </c>
      <c r="U330" s="251">
        <f t="shared" si="109"/>
        <v>0.99934686392577055</v>
      </c>
      <c r="V330" s="383">
        <f t="shared" si="110"/>
        <v>28.252498151247611</v>
      </c>
      <c r="W330" s="402">
        <f t="shared" si="111"/>
        <v>26.481215570179366</v>
      </c>
      <c r="X330" s="157">
        <f t="shared" si="112"/>
        <v>45242</v>
      </c>
      <c r="Y330" s="385">
        <f t="shared" si="113"/>
        <v>25.488758127767991</v>
      </c>
      <c r="Z330" s="385">
        <f t="shared" si="114"/>
        <v>26.629542159283691</v>
      </c>
      <c r="AA330" s="386">
        <f t="shared" si="115"/>
        <v>31.373518228788964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0.15120956581631023</v>
      </c>
      <c r="AD330" s="231">
        <f>(INDEX(Models!$BJ330:$BT330,,AH330)*(1-AF330)+INDEX(Models!$BJ330:$BT330,,AH330+1)*AF330-ERP_i)*AE330*Ramure*Pc/MaxiM</f>
        <v>3.4673042695283576E-3</v>
      </c>
      <c r="AE330" s="305">
        <f t="shared" si="117"/>
        <v>0.7</v>
      </c>
      <c r="AF330" s="177">
        <f t="shared" si="118"/>
        <v>0.99934686392577055</v>
      </c>
      <c r="AG330" s="921">
        <f t="shared" si="124"/>
        <v>0</v>
      </c>
      <c r="AH330" s="176">
        <f t="shared" si="119"/>
        <v>6</v>
      </c>
      <c r="AI330" s="225">
        <f t="shared" si="120"/>
        <v>0.99934686392577055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26.656777925781427</v>
      </c>
      <c r="C331" s="955"/>
      <c r="D331" s="393">
        <f t="shared" si="102"/>
        <v>27.850448268010698</v>
      </c>
      <c r="E331" s="385">
        <f t="shared" si="125"/>
        <v>31.580904951251782</v>
      </c>
      <c r="F331" s="385">
        <f t="shared" si="103"/>
        <v>31.689202425042204</v>
      </c>
      <c r="G331" s="110">
        <f t="shared" si="126"/>
        <v>0.95199817410117316</v>
      </c>
      <c r="H331" s="414" t="b">
        <f>Wh_hp&gt;='2022'!Maxi_hp</f>
        <v>0</v>
      </c>
      <c r="I331" s="390">
        <f>IF(H331,Wh_hp,'2022'!Maxi_hp)</f>
        <v>31.691903081077836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4.2860004648482941E-2</v>
      </c>
      <c r="M331" s="959"/>
      <c r="N331" s="959"/>
      <c r="O331" s="48">
        <f>IF(t&lt;Tnet,'2022'!Resal+('2022'!Salim-'2022'!Resal)*(1-EXP(('2022'!Tnet-t)/('2022'!Tau_j))),Resal+(Salim-Resal)*(1-EXP((Tnet-t)/(Tau_j))))*Salcycl</f>
        <v>0.11812380579338716</v>
      </c>
      <c r="P331" s="169">
        <f>(INDEX(Models!$BJ331:$BT331,,T331)*(1-R331)+INDEX(Models!$BJ331:$BT331,,T331+1)*R331-ERP_i)*Q331*Ramure*Pc/MaxiM</f>
        <v>3.667747481393683E-3</v>
      </c>
      <c r="Q331" s="305">
        <f t="shared" si="105"/>
        <v>0.7</v>
      </c>
      <c r="R331" s="177">
        <f t="shared" si="106"/>
        <v>0.9993812807225213</v>
      </c>
      <c r="S331" s="921">
        <f t="shared" si="107"/>
        <v>0</v>
      </c>
      <c r="T331" s="176">
        <f t="shared" si="108"/>
        <v>6</v>
      </c>
      <c r="U331" s="251">
        <f t="shared" si="109"/>
        <v>0.9993812807225213</v>
      </c>
      <c r="V331" s="383">
        <f t="shared" si="110"/>
        <v>27.993839344206627</v>
      </c>
      <c r="W331" s="402">
        <f t="shared" si="111"/>
        <v>26.656777925781427</v>
      </c>
      <c r="X331" s="157">
        <f t="shared" si="112"/>
        <v>45243</v>
      </c>
      <c r="Y331" s="385">
        <f t="shared" si="113"/>
        <v>25.659342250845366</v>
      </c>
      <c r="Z331" s="385">
        <f t="shared" si="114"/>
        <v>26.808348178389281</v>
      </c>
      <c r="AA331" s="386">
        <f t="shared" si="115"/>
        <v>31.580904951251782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0.15112159642763279</v>
      </c>
      <c r="AD331" s="231">
        <f>(INDEX(Models!$BJ331:$BT331,,AH331)*(1-AF331)+INDEX(Models!$BJ331:$BT331,,AH331+1)*AF331-ERP_i)*AE331*Ramure*Pc/MaxiM</f>
        <v>3.667747481393683E-3</v>
      </c>
      <c r="AE331" s="305">
        <f t="shared" si="117"/>
        <v>0.7</v>
      </c>
      <c r="AF331" s="177">
        <f t="shared" si="118"/>
        <v>0.9993812807225213</v>
      </c>
      <c r="AG331" s="921">
        <f t="shared" si="124"/>
        <v>0</v>
      </c>
      <c r="AH331" s="176">
        <f t="shared" si="119"/>
        <v>6</v>
      </c>
      <c r="AI331" s="225">
        <f t="shared" si="120"/>
        <v>0.9993812807225213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9.9640749196315657</v>
      </c>
      <c r="C332" s="955"/>
      <c r="D332" s="393">
        <f t="shared" si="102"/>
        <v>10.410486670306847</v>
      </c>
      <c r="E332" s="385">
        <f t="shared" si="125"/>
        <v>11.804460308043494</v>
      </c>
      <c r="F332" s="385">
        <f t="shared" si="103"/>
        <v>11.808341632681636</v>
      </c>
      <c r="G332" s="110">
        <f t="shared" si="126"/>
        <v>0.35795844803492632</v>
      </c>
      <c r="H332" s="414" t="b">
        <f>Wh_hp&gt;='2022'!Maxi_hp</f>
        <v>0</v>
      </c>
      <c r="I332" s="390">
        <f>IF(H332,Wh_hp,'2022'!Maxi_hp)</f>
        <v>20.754830581758107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4.2880968470816239E-2</v>
      </c>
      <c r="M332" s="959"/>
      <c r="N332" s="959"/>
      <c r="O332" s="48">
        <f>IF(t&lt;Tnet,'2022'!Resal+('2022'!Salim-'2022'!Resal)*(1-EXP(('2022'!Tnet-t)/('2022'!Tau_j))),Resal+(Salim-Resal)*(1-EXP((Tnet-t)/(Tau_j))))*Salcycl</f>
        <v>0.11808872251337071</v>
      </c>
      <c r="P332" s="169">
        <f>(INDEX(Models!$BJ332:$BT332,,T332)*(1-R332)+INDEX(Models!$BJ332:$BT332,,T332+1)*R332-ERP_i)*Q332*Ramure*Pc/MaxiM</f>
        <v>3.8842070398856891E-3</v>
      </c>
      <c r="Q332" s="305">
        <f t="shared" si="105"/>
        <v>0.7</v>
      </c>
      <c r="R332" s="177">
        <f t="shared" si="106"/>
        <v>0.99941431625508304</v>
      </c>
      <c r="S332" s="921">
        <f t="shared" si="107"/>
        <v>0</v>
      </c>
      <c r="T332" s="176">
        <f t="shared" si="108"/>
        <v>6</v>
      </c>
      <c r="U332" s="251">
        <f t="shared" si="109"/>
        <v>0.99941431625508304</v>
      </c>
      <c r="V332" s="383">
        <f t="shared" si="110"/>
        <v>27.736839071235323</v>
      </c>
      <c r="W332" s="402">
        <f t="shared" si="111"/>
        <v>9.9640749196315657</v>
      </c>
      <c r="X332" s="157">
        <f t="shared" si="112"/>
        <v>45244</v>
      </c>
      <c r="Y332" s="385">
        <f t="shared" si="113"/>
        <v>9.5918350141466249</v>
      </c>
      <c r="Z332" s="385">
        <f t="shared" si="114"/>
        <v>10.021569625276182</v>
      </c>
      <c r="AA332" s="386">
        <f t="shared" si="115"/>
        <v>11.804460308043494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0.15103534056126733</v>
      </c>
      <c r="AD332" s="231">
        <f>(INDEX(Models!$BJ332:$BT332,,AH332)*(1-AF332)+INDEX(Models!$BJ332:$BT332,,AH332+1)*AF332-ERP_i)*AE332*Ramure*Pc/MaxiM</f>
        <v>3.8842070398856891E-3</v>
      </c>
      <c r="AE332" s="305">
        <f t="shared" si="117"/>
        <v>0.7</v>
      </c>
      <c r="AF332" s="177">
        <f t="shared" si="118"/>
        <v>0.99941431625508304</v>
      </c>
      <c r="AG332" s="921">
        <f t="shared" si="124"/>
        <v>0</v>
      </c>
      <c r="AH332" s="176">
        <f t="shared" si="119"/>
        <v>6</v>
      </c>
      <c r="AI332" s="225">
        <f t="shared" si="120"/>
        <v>0.99941431625508304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11.899870635849243</v>
      </c>
      <c r="C333" s="955"/>
      <c r="D333" s="393">
        <f t="shared" si="102"/>
        <v>12.433282472977648</v>
      </c>
      <c r="E333" s="385">
        <f t="shared" si="125"/>
        <v>14.09757134413746</v>
      </c>
      <c r="F333" s="385">
        <f t="shared" si="103"/>
        <v>14.108581142967411</v>
      </c>
      <c r="G333" s="110">
        <f t="shared" si="126"/>
        <v>0.43156228265814039</v>
      </c>
      <c r="H333" s="414" t="b">
        <f>Wh_hp&gt;='2022'!Maxi_hp</f>
        <v>0</v>
      </c>
      <c r="I333" s="390">
        <f>IF(H333,Wh_hp,'2022'!Maxi_hp)</f>
        <v>29.501536808911666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4.2901931833987939E-2</v>
      </c>
      <c r="M333" s="959"/>
      <c r="N333" s="959"/>
      <c r="O333" s="48">
        <f>IF(t&lt;Tnet,'2022'!Resal+('2022'!Salim-'2022'!Resal)*(1-EXP(('2022'!Tnet-t)/('2022'!Tau_j))),Resal+(Salim-Resal)*(1-EXP((Tnet-t)/(Tau_j))))*Salcycl</f>
        <v>0.11805500610939722</v>
      </c>
      <c r="P333" s="169">
        <f>(INDEX(Models!$BJ333:$BT333,,T333)*(1-R333)+INDEX(Models!$BJ333:$BT333,,T333+1)*R333-ERP_i)*Q333*Ramure*Pc/MaxiM</f>
        <v>4.1070480814413045E-3</v>
      </c>
      <c r="Q333" s="305">
        <f t="shared" si="105"/>
        <v>0.7</v>
      </c>
      <c r="R333" s="177">
        <f t="shared" si="106"/>
        <v>0.99944602578637809</v>
      </c>
      <c r="S333" s="921">
        <f t="shared" si="107"/>
        <v>0</v>
      </c>
      <c r="T333" s="176">
        <f t="shared" si="108"/>
        <v>6</v>
      </c>
      <c r="U333" s="251">
        <f t="shared" si="109"/>
        <v>0.99944602578637809</v>
      </c>
      <c r="V333" s="383">
        <f t="shared" si="110"/>
        <v>27.48213423766833</v>
      </c>
      <c r="W333" s="402">
        <f t="shared" si="111"/>
        <v>11.899870635849243</v>
      </c>
      <c r="X333" s="157">
        <f t="shared" si="112"/>
        <v>45245</v>
      </c>
      <c r="Y333" s="385">
        <f t="shared" si="113"/>
        <v>11.456013980224958</v>
      </c>
      <c r="Z333" s="385">
        <f t="shared" si="114"/>
        <v>11.969529937696908</v>
      </c>
      <c r="AA333" s="386">
        <f t="shared" si="115"/>
        <v>14.09757134413746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0.15095092299891122</v>
      </c>
      <c r="AD333" s="231">
        <f>(INDEX(Models!$BJ333:$BT333,,AH333)*(1-AF333)+INDEX(Models!$BJ333:$BT333,,AH333+1)*AF333-ERP_i)*AE333*Ramure*Pc/MaxiM</f>
        <v>4.1070480814413045E-3</v>
      </c>
      <c r="AE333" s="305">
        <f t="shared" si="117"/>
        <v>0.7</v>
      </c>
      <c r="AF333" s="177">
        <f t="shared" si="118"/>
        <v>0.99944602578637809</v>
      </c>
      <c r="AG333" s="921">
        <f t="shared" si="124"/>
        <v>0</v>
      </c>
      <c r="AH333" s="176">
        <f t="shared" si="119"/>
        <v>6</v>
      </c>
      <c r="AI333" s="225">
        <f t="shared" si="120"/>
        <v>0.99944602578637809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26.367097375089148</v>
      </c>
      <c r="C334" s="955"/>
      <c r="D334" s="393">
        <f t="shared" si="102"/>
        <v>27.549606223075806</v>
      </c>
      <c r="E334" s="385">
        <f t="shared" si="125"/>
        <v>31.23618690436583</v>
      </c>
      <c r="F334" s="385">
        <f t="shared" si="103"/>
        <v>31.366042647608662</v>
      </c>
      <c r="G334" s="110">
        <f t="shared" si="126"/>
        <v>0.96811661435728669</v>
      </c>
      <c r="H334" s="414" t="b">
        <f>Wh_hp&gt;='2022'!Maxi_hp</f>
        <v>0</v>
      </c>
      <c r="I334" s="390">
        <f>IF(H334,Wh_hp,'2022'!Maxi_hp)</f>
        <v>31.368252603975634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4.2922894738008144E-2</v>
      </c>
      <c r="M334" s="959"/>
      <c r="N334" s="959"/>
      <c r="O334" s="48">
        <f>IF(t&lt;Tnet,'2022'!Resal+('2022'!Salim-'2022'!Resal)*(1-EXP(('2022'!Tnet-t)/('2022'!Tau_j))),Resal+(Salim-Resal)*(1-EXP((Tnet-t)/(Tau_j))))*Salcycl</f>
        <v>0.11802275010637604</v>
      </c>
      <c r="P334" s="169">
        <f>(INDEX(Models!$BJ334:$BT334,,T334)*(1-R334)+INDEX(Models!$BJ334:$BT334,,T334+1)*R334-ERP_i)*Q334*Ramure*Pc/MaxiM</f>
        <v>4.3363380575161675E-3</v>
      </c>
      <c r="Q334" s="305">
        <f t="shared" si="105"/>
        <v>0.7</v>
      </c>
      <c r="R334" s="177">
        <f t="shared" si="106"/>
        <v>0.99947646238186771</v>
      </c>
      <c r="S334" s="921">
        <f t="shared" si="107"/>
        <v>0</v>
      </c>
      <c r="T334" s="176">
        <f t="shared" si="108"/>
        <v>6</v>
      </c>
      <c r="U334" s="251">
        <f t="shared" si="109"/>
        <v>0.99947646238186771</v>
      </c>
      <c r="V334" s="383">
        <f t="shared" si="110"/>
        <v>27.230086617504835</v>
      </c>
      <c r="W334" s="402">
        <f t="shared" si="111"/>
        <v>26.367097375089148</v>
      </c>
      <c r="X334" s="157">
        <f t="shared" si="112"/>
        <v>45246</v>
      </c>
      <c r="Y334" s="385">
        <f t="shared" si="113"/>
        <v>25.385160397635364</v>
      </c>
      <c r="Z334" s="385">
        <f t="shared" si="114"/>
        <v>26.523631437914702</v>
      </c>
      <c r="AA334" s="386">
        <f t="shared" si="115"/>
        <v>31.23618690436583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0.15086846166208784</v>
      </c>
      <c r="AD334" s="231">
        <f>(INDEX(Models!$BJ334:$BT334,,AH334)*(1-AF334)+INDEX(Models!$BJ334:$BT334,,AH334+1)*AF334-ERP_i)*AE334*Ramure*Pc/MaxiM</f>
        <v>4.3363380575161675E-3</v>
      </c>
      <c r="AE334" s="305">
        <f t="shared" si="117"/>
        <v>0.7</v>
      </c>
      <c r="AF334" s="177">
        <f t="shared" si="118"/>
        <v>0.99947646238186771</v>
      </c>
      <c r="AG334" s="921">
        <f t="shared" si="124"/>
        <v>0</v>
      </c>
      <c r="AH334" s="176">
        <f t="shared" si="119"/>
        <v>6</v>
      </c>
      <c r="AI334" s="225">
        <f t="shared" si="120"/>
        <v>0.99947646238186771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14.088786966383841</v>
      </c>
      <c r="C335" s="955"/>
      <c r="D335" s="393">
        <f t="shared" ref="D335:D379" si="127">Wh/(1-Ppv)</f>
        <v>14.720961849649937</v>
      </c>
      <c r="E335" s="385">
        <f t="shared" si="125"/>
        <v>16.690282351893462</v>
      </c>
      <c r="F335" s="385">
        <f t="shared" ref="F335:F379" si="128">Wh_sa/(1-Pvg*MEDIAN((-Sdif+Wh/Env_an)/Csdif,0,1))</f>
        <v>16.714537706670651</v>
      </c>
      <c r="G335" s="110">
        <f t="shared" si="126"/>
        <v>0.52054119383348019</v>
      </c>
      <c r="H335" s="414" t="b">
        <f>Wh_hp&gt;='2022'!Maxi_hp</f>
        <v>0</v>
      </c>
      <c r="I335" s="390">
        <f>IF(H335,Wh_hp,'2022'!Maxi_hp)</f>
        <v>31.482813740825435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4.2943857182887069E-2</v>
      </c>
      <c r="M335" s="959"/>
      <c r="N335" s="959"/>
      <c r="O335" s="48">
        <f>IF(t&lt;Tnet,'2022'!Resal+('2022'!Salim-'2022'!Resal)*(1-EXP(('2022'!Tnet-t)/('2022'!Tau_j))),Resal+(Salim-Resal)*(1-EXP((Tnet-t)/(Tau_j))))*Salcycl</f>
        <v>0.11799204235871487</v>
      </c>
      <c r="P335" s="169">
        <f>(INDEX(Models!$BJ335:$BT335,,T335)*(1-R335)+INDEX(Models!$BJ335:$BT335,,T335+1)*R335-ERP_i)*Q335*Ramure*Pc/MaxiM</f>
        <v>4.5721399804847318E-3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0.9995056769958619</v>
      </c>
      <c r="S335" s="92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0.9995056769958619</v>
      </c>
      <c r="V335" s="383">
        <f t="shared" ref="V335:V379" si="135">MaxiM*(1-Ppv)*(1-Pvg)*(1-Psa)</f>
        <v>26.981058009496785</v>
      </c>
      <c r="W335" s="402">
        <f t="shared" ref="W335:W379" si="136">Wh*(A335&gt;Tmaj)</f>
        <v>14.088786966383841</v>
      </c>
      <c r="X335" s="157">
        <f t="shared" ref="X335:X379" si="137">t</f>
        <v>45247</v>
      </c>
      <c r="Y335" s="385">
        <f t="shared" ref="Y335:Y379" si="138">Wh_pvt_s*(1-Ppv)</f>
        <v>13.564918443513333</v>
      </c>
      <c r="Z335" s="385">
        <f t="shared" ref="Z335:Z379" si="139">Wh_sa_s*(1-Psa_s)</f>
        <v>14.173586936691862</v>
      </c>
      <c r="AA335" s="386">
        <f t="shared" ref="AA335:AA379" si="140">Wh_hp*(1-Pvg_s*MEDIAN((-Sdif+Wh/Env_an)/Csdif,0,1))</f>
        <v>16.690282351893462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0.15078806710038009</v>
      </c>
      <c r="AD335" s="231">
        <f>(INDEX(Models!$BJ335:$BT335,,AH335)*(1-AF335)+INDEX(Models!$BJ335:$BT335,,AH335+1)*AF335-ERP_i)*AE335*Ramure*Pc/MaxiM</f>
        <v>4.5721399804847318E-3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0.9995056769958619</v>
      </c>
      <c r="AG335" s="92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0.9995056769958619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12.863971906085007</v>
      </c>
      <c r="C336" s="955"/>
      <c r="D336" s="393">
        <f t="shared" si="127"/>
        <v>13.441482783224567</v>
      </c>
      <c r="E336" s="385">
        <f t="shared" si="125"/>
        <v>15.239136504397033</v>
      </c>
      <c r="F336" s="385">
        <f t="shared" si="128"/>
        <v>15.258147937322693</v>
      </c>
      <c r="G336" s="110">
        <f t="shared" si="126"/>
        <v>0.47943940673780394</v>
      </c>
      <c r="H336" s="414" t="b">
        <f>Wh_hp&gt;='2022'!Maxi_hp</f>
        <v>0</v>
      </c>
      <c r="I336" s="390">
        <f>IF(H336,Wh_hp,'2022'!Maxi_hp)</f>
        <v>29.94043779612808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4.2964819168634594E-2</v>
      </c>
      <c r="M336" s="959"/>
      <c r="N336" s="959"/>
      <c r="O336" s="48">
        <f>IF(t&lt;Tnet,'2022'!Resal+('2022'!Salim-'2022'!Resal)*(1-EXP(('2022'!Tnet-t)/('2022'!Tau_j))),Resal+(Salim-Resal)*(1-EXP((Tnet-t)/(Tau_j))))*Salcycl</f>
        <v>0.11796296467675708</v>
      </c>
      <c r="P336" s="169">
        <f>(INDEX(Models!$BJ336:$BT336,,T336)*(1-R336)+INDEX(Models!$BJ336:$BT336,,T336+1)*R336-ERP_i)*Q336*Ramure*Pc/MaxiM</f>
        <v>4.8145108933324359E-3</v>
      </c>
      <c r="Q336" s="305">
        <f t="shared" si="130"/>
        <v>0.7</v>
      </c>
      <c r="R336" s="177">
        <f t="shared" si="131"/>
        <v>0.99953371855452522</v>
      </c>
      <c r="S336" s="921">
        <f t="shared" si="132"/>
        <v>0</v>
      </c>
      <c r="T336" s="176">
        <f t="shared" si="133"/>
        <v>6</v>
      </c>
      <c r="U336" s="251">
        <f t="shared" si="134"/>
        <v>0.99953371855452522</v>
      </c>
      <c r="V336" s="383">
        <f t="shared" si="135"/>
        <v>26.735410248419193</v>
      </c>
      <c r="W336" s="402">
        <f t="shared" si="136"/>
        <v>12.863971906085007</v>
      </c>
      <c r="X336" s="157">
        <f t="shared" si="137"/>
        <v>45248</v>
      </c>
      <c r="Y336" s="385">
        <f t="shared" si="138"/>
        <v>12.386378683415538</v>
      </c>
      <c r="Z336" s="385">
        <f t="shared" si="139"/>
        <v>12.942448649229002</v>
      </c>
      <c r="AA336" s="386">
        <f t="shared" si="140"/>
        <v>15.239136504397033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0.15070984202453691</v>
      </c>
      <c r="AD336" s="231">
        <f>(INDEX(Models!$BJ336:$BT336,,AH336)*(1-AF336)+INDEX(Models!$BJ336:$BT336,,AH336+1)*AF336-ERP_i)*AE336*Ramure*Pc/MaxiM</f>
        <v>4.8145108933324359E-3</v>
      </c>
      <c r="AE336" s="305">
        <f t="shared" si="142"/>
        <v>0.7</v>
      </c>
      <c r="AF336" s="177">
        <f t="shared" si="143"/>
        <v>0.99953371855452522</v>
      </c>
      <c r="AG336" s="921">
        <f t="shared" ref="AG336:AG379" si="149">INDEX(Echel_vg,AH336)</f>
        <v>0</v>
      </c>
      <c r="AH336" s="176">
        <f t="shared" si="144"/>
        <v>6</v>
      </c>
      <c r="AI336" s="225">
        <f t="shared" si="145"/>
        <v>0.99953371855452522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5.5480865596075866</v>
      </c>
      <c r="C337" s="955"/>
      <c r="D337" s="393">
        <f t="shared" si="127"/>
        <v>5.797287488202854</v>
      </c>
      <c r="E337" s="385">
        <f t="shared" si="125"/>
        <v>6.5724083625256169</v>
      </c>
      <c r="F337" s="385">
        <f t="shared" si="128"/>
        <v>6.5724083625256169</v>
      </c>
      <c r="G337" s="110">
        <f t="shared" si="126"/>
        <v>0.20835271817446696</v>
      </c>
      <c r="H337" s="414" t="b">
        <f>Wh_hp&gt;='2022'!Maxi_hp</f>
        <v>0</v>
      </c>
      <c r="I337" s="390">
        <f>IF(H337,Wh_hp,'2022'!Maxi_hp)</f>
        <v>31.549585507891482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4.2985780695260822E-2</v>
      </c>
      <c r="M337" s="959"/>
      <c r="N337" s="959"/>
      <c r="O337" s="48">
        <f>IF(t&lt;Tnet,'2022'!Resal+('2022'!Salim-'2022'!Resal)*(1-EXP(('2022'!Tnet-t)/('2022'!Tau_j))),Resal+(Salim-Resal)*(1-EXP((Tnet-t)/(Tau_j))))*Salcycl</f>
        <v>0.11793559249031547</v>
      </c>
      <c r="P337" s="169">
        <f>(INDEX(Models!$BJ337:$BT337,,T337)*(1-R337)+INDEX(Models!$BJ337:$BT337,,T337+1)*R337-ERP_i)*Q337*Ramure*Pc/MaxiM</f>
        <v>5.0635001707745554E-3</v>
      </c>
      <c r="Q337" s="305">
        <f t="shared" si="130"/>
        <v>0.7</v>
      </c>
      <c r="R337" s="177">
        <f t="shared" si="131"/>
        <v>0.99956063403569573</v>
      </c>
      <c r="S337" s="921">
        <f t="shared" si="132"/>
        <v>0</v>
      </c>
      <c r="T337" s="176">
        <f t="shared" si="133"/>
        <v>6</v>
      </c>
      <c r="U337" s="251">
        <f t="shared" si="134"/>
        <v>0.99956063403569573</v>
      </c>
      <c r="V337" s="383">
        <f t="shared" si="135"/>
        <v>26.493505199885611</v>
      </c>
      <c r="W337" s="402">
        <f t="shared" si="136"/>
        <v>5.5480865596075866</v>
      </c>
      <c r="X337" s="157">
        <f t="shared" si="137"/>
        <v>45249</v>
      </c>
      <c r="Y337" s="385">
        <f t="shared" si="138"/>
        <v>5.3424179793597659</v>
      </c>
      <c r="Z337" s="385">
        <f t="shared" si="139"/>
        <v>5.582380984099669</v>
      </c>
      <c r="AA337" s="386">
        <f t="shared" si="140"/>
        <v>6.5724083625256169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0.15063388088769092</v>
      </c>
      <c r="AD337" s="231">
        <f>(INDEX(Models!$BJ337:$BT337,,AH337)*(1-AF337)+INDEX(Models!$BJ337:$BT337,,AH337+1)*AF337-ERP_i)*AE337*Ramure*Pc/MaxiM</f>
        <v>5.0635001707745554E-3</v>
      </c>
      <c r="AE337" s="305">
        <f t="shared" si="142"/>
        <v>0.7</v>
      </c>
      <c r="AF337" s="177">
        <f t="shared" si="143"/>
        <v>0.99956063403569573</v>
      </c>
      <c r="AG337" s="921">
        <f t="shared" si="149"/>
        <v>0</v>
      </c>
      <c r="AH337" s="176">
        <f t="shared" si="144"/>
        <v>6</v>
      </c>
      <c r="AI337" s="225">
        <f t="shared" si="145"/>
        <v>0.99956063403569573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16.431832256685016</v>
      </c>
      <c r="C338" s="955"/>
      <c r="D338" s="393">
        <f t="shared" si="127"/>
        <v>17.170269607700636</v>
      </c>
      <c r="E338" s="385">
        <f t="shared" si="125"/>
        <v>19.465439469493493</v>
      </c>
      <c r="F338" s="385">
        <f t="shared" si="128"/>
        <v>19.513679165193459</v>
      </c>
      <c r="G338" s="110">
        <f t="shared" si="126"/>
        <v>0.62405234184382252</v>
      </c>
      <c r="H338" s="414" t="b">
        <f>Wh_hp&gt;='2022'!Maxi_hp</f>
        <v>0</v>
      </c>
      <c r="I338" s="390">
        <f>IF(H338,Wh_hp,'2022'!Maxi_hp)</f>
        <v>31.724603682982458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4.3006741762775857E-2</v>
      </c>
      <c r="M338" s="959"/>
      <c r="N338" s="959"/>
      <c r="O338" s="48">
        <f>IF(t&lt;Tnet,'2022'!Resal+('2022'!Salim-'2022'!Resal)*(1-EXP(('2022'!Tnet-t)/('2022'!Tau_j))),Resal+(Salim-Resal)*(1-EXP((Tnet-t)/(Tau_j))))*Salcycl</f>
        <v>0.11790999455161939</v>
      </c>
      <c r="P338" s="169">
        <f>(INDEX(Models!$BJ338:$BT338,,T338)*(1-R338)+INDEX(Models!$BJ338:$BT338,,T338+1)*R338-ERP_i)*Q338*Ramure*Pc/MaxiM</f>
        <v>5.3108971524843023E-3</v>
      </c>
      <c r="Q338" s="305">
        <f t="shared" si="130"/>
        <v>0.7</v>
      </c>
      <c r="R338" s="177">
        <f t="shared" si="131"/>
        <v>0.99958646854563482</v>
      </c>
      <c r="S338" s="921">
        <f t="shared" si="132"/>
        <v>0</v>
      </c>
      <c r="T338" s="176">
        <f t="shared" si="133"/>
        <v>6</v>
      </c>
      <c r="U338" s="251">
        <f t="shared" si="134"/>
        <v>0.99958646854563482</v>
      </c>
      <c r="V338" s="383">
        <f t="shared" si="135"/>
        <v>26.255922555026942</v>
      </c>
      <c r="W338" s="402">
        <f t="shared" si="136"/>
        <v>16.431832256685016</v>
      </c>
      <c r="X338" s="157">
        <f t="shared" si="137"/>
        <v>45250</v>
      </c>
      <c r="Y338" s="385">
        <f t="shared" si="138"/>
        <v>15.823613324307322</v>
      </c>
      <c r="Z338" s="385">
        <f t="shared" si="139"/>
        <v>16.534717656688954</v>
      </c>
      <c r="AA338" s="386">
        <f t="shared" si="140"/>
        <v>19.465439469493493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0.15056026951755216</v>
      </c>
      <c r="AD338" s="231">
        <f>(INDEX(Models!$BJ338:$BT338,,AH338)*(1-AF338)+INDEX(Models!$BJ338:$BT338,,AH338+1)*AF338-ERP_i)*AE338*Ramure*Pc/MaxiM</f>
        <v>5.3108971524843023E-3</v>
      </c>
      <c r="AE338" s="305">
        <f t="shared" si="142"/>
        <v>0.7</v>
      </c>
      <c r="AF338" s="177">
        <f t="shared" si="143"/>
        <v>0.99958646854563482</v>
      </c>
      <c r="AG338" s="921">
        <f t="shared" si="149"/>
        <v>0</v>
      </c>
      <c r="AH338" s="176">
        <f t="shared" si="144"/>
        <v>6</v>
      </c>
      <c r="AI338" s="225">
        <f t="shared" si="145"/>
        <v>0.99958646854563482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3.2796475983307687</v>
      </c>
      <c r="C339" s="955"/>
      <c r="D339" s="393">
        <f t="shared" si="127"/>
        <v>3.427108189502551</v>
      </c>
      <c r="E339" s="385">
        <f t="shared" si="125"/>
        <v>3.8851090601537819</v>
      </c>
      <c r="F339" s="385">
        <f t="shared" si="128"/>
        <v>3.8851090601537819</v>
      </c>
      <c r="G339" s="110">
        <f t="shared" si="126"/>
        <v>0.12532840744119331</v>
      </c>
      <c r="H339" s="414" t="b">
        <f>Wh_hp&gt;='2022'!Maxi_hp</f>
        <v>0</v>
      </c>
      <c r="I339" s="390">
        <f>IF(H339,Wh_hp,'2022'!Maxi_hp)</f>
        <v>30.885830486283265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4.3027702371189691E-2</v>
      </c>
      <c r="M339" s="959"/>
      <c r="N339" s="959"/>
      <c r="O339" s="48">
        <f>IF(t&lt;Tnet,'2022'!Resal+('2022'!Salim-'2022'!Resal)*(1-EXP(('2022'!Tnet-t)/('2022'!Tau_j))),Resal+(Salim-Resal)*(1-EXP((Tnet-t)/(Tau_j))))*Salcycl</f>
        <v>0.11788623267968237</v>
      </c>
      <c r="P339" s="169">
        <f>(INDEX(Models!$BJ339:$BT339,,T339)*(1-R339)+INDEX(Models!$BJ339:$BT339,,T339+1)*R339-ERP_i)*Q339*Ramure*Pc/MaxiM</f>
        <v>5.5471956637500857E-3</v>
      </c>
      <c r="Q339" s="305">
        <f t="shared" si="130"/>
        <v>0.7</v>
      </c>
      <c r="R339" s="177">
        <f t="shared" si="131"/>
        <v>0.99961126539281997</v>
      </c>
      <c r="S339" s="921">
        <f t="shared" si="132"/>
        <v>0</v>
      </c>
      <c r="T339" s="176">
        <f t="shared" si="133"/>
        <v>6</v>
      </c>
      <c r="U339" s="251">
        <f t="shared" si="134"/>
        <v>0.99961126539281997</v>
      </c>
      <c r="V339" s="383">
        <f t="shared" si="135"/>
        <v>26.023268131967782</v>
      </c>
      <c r="W339" s="402">
        <f t="shared" si="136"/>
        <v>3.2796475983307687</v>
      </c>
      <c r="X339" s="157">
        <f t="shared" si="137"/>
        <v>45251</v>
      </c>
      <c r="Y339" s="385">
        <f t="shared" si="138"/>
        <v>3.1584320934570127</v>
      </c>
      <c r="Z339" s="385">
        <f t="shared" si="139"/>
        <v>3.300442553335126</v>
      </c>
      <c r="AA339" s="386">
        <f t="shared" si="140"/>
        <v>3.8851090601537819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0.15048908480203982</v>
      </c>
      <c r="AD339" s="231">
        <f>(INDEX(Models!$BJ339:$BT339,,AH339)*(1-AF339)+INDEX(Models!$BJ339:$BT339,,AH339+1)*AF339-ERP_i)*AE339*Ramure*Pc/MaxiM</f>
        <v>5.5471956637500857E-3</v>
      </c>
      <c r="AE339" s="305">
        <f t="shared" si="142"/>
        <v>0.7</v>
      </c>
      <c r="AF339" s="177">
        <f t="shared" si="143"/>
        <v>0.99961126539281997</v>
      </c>
      <c r="AG339" s="921">
        <f t="shared" si="149"/>
        <v>0</v>
      </c>
      <c r="AH339" s="176">
        <f t="shared" si="144"/>
        <v>6</v>
      </c>
      <c r="AI339" s="225">
        <f t="shared" si="145"/>
        <v>0.99961126539281997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7.2650806428032739</v>
      </c>
      <c r="C340" s="955"/>
      <c r="D340" s="393">
        <f t="shared" si="127"/>
        <v>7.5919018640370544</v>
      </c>
      <c r="E340" s="385">
        <f t="shared" si="125"/>
        <v>8.6062749685043851</v>
      </c>
      <c r="F340" s="385">
        <f t="shared" si="128"/>
        <v>8.6062749685043851</v>
      </c>
      <c r="G340" s="110">
        <f t="shared" si="126"/>
        <v>0.28001138980522716</v>
      </c>
      <c r="H340" s="414" t="b">
        <f>Wh_hp&gt;='2022'!Maxi_hp</f>
        <v>0</v>
      </c>
      <c r="I340" s="390">
        <f>IF(H340,Wh_hp,'2022'!Maxi_hp)</f>
        <v>31.571381737013635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4.3048662520512426E-2</v>
      </c>
      <c r="M340" s="959"/>
      <c r="N340" s="959"/>
      <c r="O340" s="48">
        <f>IF(t&lt;Tnet,'2022'!Resal+('2022'!Salim-'2022'!Resal)*(1-EXP(('2022'!Tnet-t)/('2022'!Tau_j))),Resal+(Salim-Resal)*(1-EXP((Tnet-t)/(Tau_j))))*Salcycl</f>
        <v>0.11786436154777075</v>
      </c>
      <c r="P340" s="169">
        <f>(INDEX(Models!$BJ340:$BT340,,T340)*(1-R340)+INDEX(Models!$BJ340:$BT340,,T340+1)*R340-ERP_i)*Q340*Ramure*Pc/MaxiM</f>
        <v>5.7722707512262326E-3</v>
      </c>
      <c r="Q340" s="305">
        <f t="shared" si="130"/>
        <v>0.7</v>
      </c>
      <c r="R340" s="177">
        <f t="shared" si="131"/>
        <v>0.99963506615888853</v>
      </c>
      <c r="S340" s="921">
        <f t="shared" si="132"/>
        <v>0</v>
      </c>
      <c r="T340" s="176">
        <f t="shared" si="133"/>
        <v>6</v>
      </c>
      <c r="U340" s="251">
        <f t="shared" si="134"/>
        <v>0.99963506615888853</v>
      </c>
      <c r="V340" s="383">
        <f t="shared" si="135"/>
        <v>25.795895785981635</v>
      </c>
      <c r="W340" s="402">
        <f t="shared" si="136"/>
        <v>7.2650806428032739</v>
      </c>
      <c r="X340" s="157">
        <f t="shared" si="137"/>
        <v>45252</v>
      </c>
      <c r="Y340" s="385">
        <f t="shared" si="138"/>
        <v>6.9969561118445043</v>
      </c>
      <c r="Z340" s="385">
        <f t="shared" si="139"/>
        <v>7.3117156931655218</v>
      </c>
      <c r="AA340" s="386">
        <f t="shared" si="140"/>
        <v>8.6062749685043851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0.15042039443039484</v>
      </c>
      <c r="AD340" s="231">
        <f>(INDEX(Models!$BJ340:$BT340,,AH340)*(1-AF340)+INDEX(Models!$BJ340:$BT340,,AH340+1)*AF340-ERP_i)*AE340*Ramure*Pc/MaxiM</f>
        <v>5.7722707512262326E-3</v>
      </c>
      <c r="AE340" s="305">
        <f t="shared" si="142"/>
        <v>0.7</v>
      </c>
      <c r="AF340" s="177">
        <f t="shared" si="143"/>
        <v>0.99963506615888853</v>
      </c>
      <c r="AG340" s="921">
        <f t="shared" si="149"/>
        <v>0</v>
      </c>
      <c r="AH340" s="176">
        <f t="shared" si="144"/>
        <v>6</v>
      </c>
      <c r="AI340" s="225">
        <f t="shared" si="145"/>
        <v>0.99963506615888853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11.272519250958164</v>
      </c>
      <c r="C341" s="955"/>
      <c r="D341" s="393">
        <f t="shared" si="127"/>
        <v>11.779873972650517</v>
      </c>
      <c r="E341" s="385">
        <f t="shared" si="125"/>
        <v>13.353510824428332</v>
      </c>
      <c r="F341" s="385">
        <f t="shared" si="128"/>
        <v>13.369605672719002</v>
      </c>
      <c r="G341" s="110">
        <f t="shared" si="126"/>
        <v>0.438667292836246</v>
      </c>
      <c r="H341" s="414" t="b">
        <f>Wh_hp&gt;='2022'!Maxi_hp</f>
        <v>0</v>
      </c>
      <c r="I341" s="390">
        <f>IF(H341,Wh_hp,'2022'!Maxi_hp)</f>
        <v>31.553325364511156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4.3069622210754166E-2</v>
      </c>
      <c r="M341" s="959"/>
      <c r="N341" s="959"/>
      <c r="O341" s="48">
        <f>IF(t&lt;Tnet,'2022'!Resal+('2022'!Salim-'2022'!Resal)*(1-EXP(('2022'!Tnet-t)/('2022'!Tau_j))),Resal+(Salim-Resal)*(1-EXP((Tnet-t)/(Tau_j))))*Salcycl</f>
        <v>0.117844428515314</v>
      </c>
      <c r="P341" s="169">
        <f>(INDEX(Models!$BJ341:$BT341,,T341)*(1-R341)+INDEX(Models!$BJ341:$BT341,,T341+1)*R341-ERP_i)*Q341*Ramure*Pc/MaxiM</f>
        <v>5.9859423743995957E-3</v>
      </c>
      <c r="Q341" s="305">
        <f t="shared" si="130"/>
        <v>0.7</v>
      </c>
      <c r="R341" s="177">
        <f t="shared" si="131"/>
        <v>0.99965791076683819</v>
      </c>
      <c r="S341" s="921">
        <f t="shared" si="132"/>
        <v>0</v>
      </c>
      <c r="T341" s="176">
        <f t="shared" si="133"/>
        <v>6</v>
      </c>
      <c r="U341" s="251">
        <f t="shared" si="134"/>
        <v>0.99965791076683819</v>
      </c>
      <c r="V341" s="383">
        <f t="shared" si="135"/>
        <v>25.574160885270071</v>
      </c>
      <c r="W341" s="402">
        <f t="shared" si="136"/>
        <v>11.272519250958164</v>
      </c>
      <c r="X341" s="157">
        <f t="shared" si="137"/>
        <v>45253</v>
      </c>
      <c r="Y341" s="385">
        <f t="shared" si="138"/>
        <v>10.857096307652117</v>
      </c>
      <c r="Z341" s="385">
        <f t="shared" si="139"/>
        <v>11.345753630201175</v>
      </c>
      <c r="AA341" s="386">
        <f t="shared" si="140"/>
        <v>13.353510824428332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0.15035425669137539</v>
      </c>
      <c r="AD341" s="231">
        <f>(INDEX(Models!$BJ341:$BT341,,AH341)*(1-AF341)+INDEX(Models!$BJ341:$BT341,,AH341+1)*AF341-ERP_i)*AE341*Ramure*Pc/MaxiM</f>
        <v>5.9859423743995957E-3</v>
      </c>
      <c r="AE341" s="305">
        <f t="shared" si="142"/>
        <v>0.7</v>
      </c>
      <c r="AF341" s="177">
        <f t="shared" si="143"/>
        <v>0.99965791076683819</v>
      </c>
      <c r="AG341" s="921">
        <f t="shared" si="149"/>
        <v>0</v>
      </c>
      <c r="AH341" s="176">
        <f t="shared" si="144"/>
        <v>6</v>
      </c>
      <c r="AI341" s="225">
        <f t="shared" si="145"/>
        <v>0.99965791076683819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13.31540060300137</v>
      </c>
      <c r="C342" s="955"/>
      <c r="D342" s="393">
        <f t="shared" si="127"/>
        <v>13.915006315922527</v>
      </c>
      <c r="E342" s="385">
        <f t="shared" si="125"/>
        <v>15.773547831584429</v>
      </c>
      <c r="F342" s="385">
        <f t="shared" si="128"/>
        <v>15.804996427570524</v>
      </c>
      <c r="G342" s="110">
        <f t="shared" si="126"/>
        <v>0.52287912507833101</v>
      </c>
      <c r="H342" s="414" t="b">
        <f>Wh_hp&gt;='2022'!Maxi_hp</f>
        <v>0</v>
      </c>
      <c r="I342" s="390">
        <f>IF(H342,Wh_hp,'2022'!Maxi_hp)</f>
        <v>29.21125181785667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4.3090581441924791E-2</v>
      </c>
      <c r="M342" s="959"/>
      <c r="N342" s="959"/>
      <c r="O342" s="48">
        <f>IF(t&lt;Tnet,'2022'!Resal+('2022'!Salim-'2022'!Resal)*(1-EXP(('2022'!Tnet-t)/('2022'!Tau_j))),Resal+(Salim-Resal)*(1-EXP((Tnet-t)/(Tau_j))))*Salcycl</f>
        <v>0.11782647350524519</v>
      </c>
      <c r="P342" s="169">
        <f>(INDEX(Models!$BJ342:$BT342,,T342)*(1-R342)+INDEX(Models!$BJ342:$BT342,,T342+1)*R342-ERP_i)*Q342*Ramure*Pc/MaxiM</f>
        <v>6.1880329661781917E-3</v>
      </c>
      <c r="Q342" s="305">
        <f t="shared" si="130"/>
        <v>0.7</v>
      </c>
      <c r="R342" s="177">
        <f t="shared" si="131"/>
        <v>0.99967983754658629</v>
      </c>
      <c r="S342" s="921">
        <f t="shared" si="132"/>
        <v>0</v>
      </c>
      <c r="T342" s="176">
        <f t="shared" si="133"/>
        <v>6</v>
      </c>
      <c r="U342" s="251">
        <f t="shared" si="134"/>
        <v>0.99967983754658629</v>
      </c>
      <c r="V342" s="383">
        <f t="shared" si="135"/>
        <v>25.358418806803719</v>
      </c>
      <c r="W342" s="402">
        <f t="shared" si="136"/>
        <v>13.31540060300137</v>
      </c>
      <c r="X342" s="157">
        <f t="shared" si="137"/>
        <v>45254</v>
      </c>
      <c r="Y342" s="385">
        <f t="shared" si="138"/>
        <v>12.825389920568208</v>
      </c>
      <c r="Z342" s="385">
        <f t="shared" si="139"/>
        <v>13.402929965820825</v>
      </c>
      <c r="AA342" s="386">
        <f t="shared" si="140"/>
        <v>15.773547831584429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0.15029072032968754</v>
      </c>
      <c r="AD342" s="231">
        <f>(INDEX(Models!$BJ342:$BT342,,AH342)*(1-AF342)+INDEX(Models!$BJ342:$BT342,,AH342+1)*AF342-ERP_i)*AE342*Ramure*Pc/MaxiM</f>
        <v>6.1880329661781917E-3</v>
      </c>
      <c r="AE342" s="305">
        <f t="shared" si="142"/>
        <v>0.7</v>
      </c>
      <c r="AF342" s="177">
        <f t="shared" si="143"/>
        <v>0.99967983754658629</v>
      </c>
      <c r="AG342" s="921">
        <f t="shared" si="149"/>
        <v>0</v>
      </c>
      <c r="AH342" s="176">
        <f t="shared" si="144"/>
        <v>6</v>
      </c>
      <c r="AI342" s="225">
        <f t="shared" si="145"/>
        <v>0.99967983754658629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4.0955600174857612</v>
      </c>
      <c r="C343" s="955"/>
      <c r="D343" s="393">
        <f t="shared" si="127"/>
        <v>4.2800808972049325</v>
      </c>
      <c r="E343" s="385">
        <f t="shared" si="125"/>
        <v>4.8516571978591472</v>
      </c>
      <c r="F343" s="385">
        <f t="shared" si="128"/>
        <v>4.8516571978591472</v>
      </c>
      <c r="G343" s="110">
        <f t="shared" si="126"/>
        <v>0.16181291456599342</v>
      </c>
      <c r="H343" s="414" t="b">
        <f>Wh_hp&gt;='2022'!Maxi_hp</f>
        <v>0</v>
      </c>
      <c r="I343" s="390">
        <f>IF(H343,Wh_hp,'2022'!Maxi_hp)</f>
        <v>27.276647569608237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4.3111540214034516E-2</v>
      </c>
      <c r="M343" s="959"/>
      <c r="N343" s="959"/>
      <c r="O343" s="48">
        <f>IF(t&lt;Tnet,'2022'!Resal+('2022'!Salim-'2022'!Resal)*(1-EXP(('2022'!Tnet-t)/('2022'!Tau_j))),Resal+(Salim-Resal)*(1-EXP((Tnet-t)/(Tau_j))))*Salcycl</f>
        <v>0.11781052892740032</v>
      </c>
      <c r="P343" s="169">
        <f>(INDEX(Models!$BJ343:$BT343,,T343)*(1-R343)+INDEX(Models!$BJ343:$BT343,,T343+1)*R343-ERP_i)*Q343*Ramure*Pc/MaxiM</f>
        <v>6.3783782792734781E-3</v>
      </c>
      <c r="Q343" s="305">
        <f t="shared" si="130"/>
        <v>0.7</v>
      </c>
      <c r="R343" s="177">
        <f t="shared" si="131"/>
        <v>0.99970088329798357</v>
      </c>
      <c r="S343" s="921">
        <f t="shared" si="132"/>
        <v>0</v>
      </c>
      <c r="T343" s="176">
        <f t="shared" si="133"/>
        <v>6</v>
      </c>
      <c r="U343" s="251">
        <f t="shared" si="134"/>
        <v>0.99970088329798357</v>
      </c>
      <c r="V343" s="383">
        <f t="shared" si="135"/>
        <v>25.149024707598965</v>
      </c>
      <c r="W343" s="402">
        <f t="shared" si="136"/>
        <v>4.0955600174857612</v>
      </c>
      <c r="X343" s="157">
        <f t="shared" si="137"/>
        <v>45255</v>
      </c>
      <c r="Y343" s="385">
        <f t="shared" si="138"/>
        <v>3.9450536070857005</v>
      </c>
      <c r="Z343" s="385">
        <f t="shared" si="139"/>
        <v>4.1227935886781628</v>
      </c>
      <c r="AA343" s="386">
        <f t="shared" si="140"/>
        <v>4.8516571978591472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0.1502298244613417</v>
      </c>
      <c r="AD343" s="231">
        <f>(INDEX(Models!$BJ343:$BT343,,AH343)*(1-AF343)+INDEX(Models!$BJ343:$BT343,,AH343+1)*AF343-ERP_i)*AE343*Ramure*Pc/MaxiM</f>
        <v>6.3783782792734781E-3</v>
      </c>
      <c r="AE343" s="305">
        <f t="shared" si="142"/>
        <v>0.7</v>
      </c>
      <c r="AF343" s="177">
        <f t="shared" si="143"/>
        <v>0.99970088329798357</v>
      </c>
      <c r="AG343" s="921">
        <f t="shared" si="149"/>
        <v>0</v>
      </c>
      <c r="AH343" s="176">
        <f t="shared" si="144"/>
        <v>6</v>
      </c>
      <c r="AI343" s="225">
        <f t="shared" si="145"/>
        <v>0.99970088329798357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12.704699508029655</v>
      </c>
      <c r="C344" s="955"/>
      <c r="D344" s="393">
        <f t="shared" si="127"/>
        <v>13.277386355449741</v>
      </c>
      <c r="E344" s="385">
        <f t="shared" si="125"/>
        <v>15.050255588632735</v>
      </c>
      <c r="F344" s="385">
        <f t="shared" si="128"/>
        <v>15.079816657440725</v>
      </c>
      <c r="G344" s="110">
        <f t="shared" si="126"/>
        <v>0.50693571310985486</v>
      </c>
      <c r="H344" s="414" t="b">
        <f>Wh_hp&gt;='2022'!Maxi_hp</f>
        <v>0</v>
      </c>
      <c r="I344" s="390">
        <f>IF(H344,Wh_hp,'2022'!Maxi_hp)</f>
        <v>27.777098112719983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4.3132498527093333E-2</v>
      </c>
      <c r="M344" s="959"/>
      <c r="N344" s="959"/>
      <c r="O344" s="48">
        <f>IF(t&lt;Tnet,'2022'!Resal+('2022'!Salim-'2022'!Resal)*(1-EXP(('2022'!Tnet-t)/('2022'!Tau_j))),Resal+(Salim-Resal)*(1-EXP((Tnet-t)/(Tau_j))))*Salcycl</f>
        <v>0.11779661964824176</v>
      </c>
      <c r="P344" s="169">
        <f>(INDEX(Models!$BJ344:$BT344,,T344)*(1-R344)+INDEX(Models!$BJ344:$BT344,,T344+1)*R344-ERP_i)*Q344*Ramure*Pc/MaxiM</f>
        <v>6.556798792972455E-3</v>
      </c>
      <c r="Q344" s="305">
        <f t="shared" si="130"/>
        <v>0.7</v>
      </c>
      <c r="R344" s="177">
        <f t="shared" si="131"/>
        <v>0.99972108335138188</v>
      </c>
      <c r="S344" s="921">
        <f t="shared" si="132"/>
        <v>0</v>
      </c>
      <c r="T344" s="176">
        <f t="shared" si="133"/>
        <v>6</v>
      </c>
      <c r="U344" s="251">
        <f t="shared" si="134"/>
        <v>0.99972108335138188</v>
      </c>
      <c r="V344" s="383">
        <f t="shared" si="135"/>
        <v>24.946334282330508</v>
      </c>
      <c r="W344" s="402">
        <f t="shared" si="136"/>
        <v>12.704699508029655</v>
      </c>
      <c r="X344" s="157">
        <f t="shared" si="137"/>
        <v>45256</v>
      </c>
      <c r="Y344" s="385">
        <f t="shared" si="138"/>
        <v>12.238464184448977</v>
      </c>
      <c r="Z344" s="385">
        <f t="shared" si="139"/>
        <v>12.790134648329369</v>
      </c>
      <c r="AA344" s="386">
        <f t="shared" si="140"/>
        <v>15.050255588632735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0.15017159854816062</v>
      </c>
      <c r="AD344" s="231">
        <f>(INDEX(Models!$BJ344:$BT344,,AH344)*(1-AF344)+INDEX(Models!$BJ344:$BT344,,AH344+1)*AF344-ERP_i)*AE344*Ramure*Pc/MaxiM</f>
        <v>6.556798792972455E-3</v>
      </c>
      <c r="AE344" s="305">
        <f t="shared" si="142"/>
        <v>0.7</v>
      </c>
      <c r="AF344" s="177">
        <f t="shared" si="143"/>
        <v>0.99972108335138188</v>
      </c>
      <c r="AG344" s="921">
        <f t="shared" si="149"/>
        <v>0</v>
      </c>
      <c r="AH344" s="176">
        <f t="shared" si="144"/>
        <v>6</v>
      </c>
      <c r="AI344" s="225">
        <f t="shared" si="145"/>
        <v>0.99972108335138188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13.53278954156233</v>
      </c>
      <c r="C345" s="955"/>
      <c r="D345" s="393">
        <f t="shared" si="127"/>
        <v>14.143113785393398</v>
      </c>
      <c r="E345" s="385">
        <f t="shared" si="125"/>
        <v>16.031364220818222</v>
      </c>
      <c r="F345" s="385">
        <f t="shared" si="128"/>
        <v>16.06947030402749</v>
      </c>
      <c r="G345" s="110">
        <f t="shared" si="126"/>
        <v>0.54447180971968945</v>
      </c>
      <c r="H345" s="414" t="b">
        <f>Wh_hp&gt;='2022'!Maxi_hp</f>
        <v>0</v>
      </c>
      <c r="I345" s="390">
        <f>IF(H345,Wh_hp,'2022'!Maxi_hp)</f>
        <v>27.662208875171967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4.3153456381111233E-2</v>
      </c>
      <c r="M345" s="959"/>
      <c r="N345" s="959"/>
      <c r="O345" s="48">
        <f>IF(t&lt;Tnet,'2022'!Resal+('2022'!Salim-'2022'!Resal)*(1-EXP(('2022'!Tnet-t)/('2022'!Tau_j))),Resal+(Salim-Resal)*(1-EXP((Tnet-t)/(Tau_j))))*Salcycl</f>
        <v>0.11778476300680349</v>
      </c>
      <c r="P345" s="169">
        <f>(INDEX(Models!$BJ345:$BT345,,T345)*(1-R345)+INDEX(Models!$BJ345:$BT345,,T345+1)*R345-ERP_i)*Q345*Ramure*Pc/MaxiM</f>
        <v>6.7242487525644304E-3</v>
      </c>
      <c r="Q345" s="305">
        <f t="shared" si="130"/>
        <v>0.7</v>
      </c>
      <c r="R345" s="177">
        <f t="shared" si="131"/>
        <v>0.99974047162584245</v>
      </c>
      <c r="S345" s="921">
        <f t="shared" si="132"/>
        <v>0</v>
      </c>
      <c r="T345" s="176">
        <f t="shared" si="133"/>
        <v>6</v>
      </c>
      <c r="U345" s="251">
        <f t="shared" si="134"/>
        <v>0.99974047162584245</v>
      </c>
      <c r="V345" s="383">
        <f t="shared" si="135"/>
        <v>24.746446377958506</v>
      </c>
      <c r="W345" s="402">
        <f t="shared" si="136"/>
        <v>13.53278954156233</v>
      </c>
      <c r="X345" s="157">
        <f t="shared" si="137"/>
        <v>45257</v>
      </c>
      <c r="Y345" s="385">
        <f t="shared" si="138"/>
        <v>13.036841781459286</v>
      </c>
      <c r="Z345" s="385">
        <f t="shared" si="139"/>
        <v>13.624798948588614</v>
      </c>
      <c r="AA345" s="386">
        <f t="shared" si="140"/>
        <v>16.031364220818222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0.1501160624311971</v>
      </c>
      <c r="AD345" s="231">
        <f>(INDEX(Models!$BJ345:$BT345,,AH345)*(1-AF345)+INDEX(Models!$BJ345:$BT345,,AH345+1)*AF345-ERP_i)*AE345*Ramure*Pc/MaxiM</f>
        <v>6.7242487525644304E-3</v>
      </c>
      <c r="AE345" s="305">
        <f t="shared" si="142"/>
        <v>0.7</v>
      </c>
      <c r="AF345" s="177">
        <f t="shared" si="143"/>
        <v>0.99974047162584245</v>
      </c>
      <c r="AG345" s="921">
        <f t="shared" si="149"/>
        <v>0</v>
      </c>
      <c r="AH345" s="176">
        <f t="shared" si="144"/>
        <v>6</v>
      </c>
      <c r="AI345" s="225">
        <f t="shared" si="145"/>
        <v>0.99974047162584245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8.7366187107488358</v>
      </c>
      <c r="C346" s="955"/>
      <c r="D346" s="393">
        <f t="shared" si="127"/>
        <v>9.1308372565869362</v>
      </c>
      <c r="E346" s="385">
        <f t="shared" si="125"/>
        <v>10.34978257753337</v>
      </c>
      <c r="F346" s="385">
        <f t="shared" si="128"/>
        <v>10.355467874911236</v>
      </c>
      <c r="G346" s="110">
        <f t="shared" si="126"/>
        <v>0.35366964661662614</v>
      </c>
      <c r="H346" s="414" t="b">
        <f>Wh_hp&gt;='2022'!Maxi_hp</f>
        <v>0</v>
      </c>
      <c r="I346" s="390">
        <f>IF(H346,Wh_hp,'2022'!Maxi_hp)</f>
        <v>20.343286490073936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4.317441377609843E-2</v>
      </c>
      <c r="M346" s="959"/>
      <c r="N346" s="959"/>
      <c r="O346" s="48">
        <f>IF(t&lt;Tnet,'2022'!Resal+('2022'!Salim-'2022'!Resal)*(1-EXP(('2022'!Tnet-t)/('2022'!Tau_j))),Resal+(Salim-Resal)*(1-EXP((Tnet-t)/(Tau_j))))*Salcycl</f>
        <v>0.1177749688763936</v>
      </c>
      <c r="P346" s="169">
        <f>(INDEX(Models!$BJ346:$BT346,,T346)*(1-R346)+INDEX(Models!$BJ346:$BT346,,T346+1)*R346-ERP_i)*Q346*Ramure*Pc/MaxiM</f>
        <v>6.872311572827779E-3</v>
      </c>
      <c r="Q346" s="305">
        <f t="shared" si="130"/>
        <v>0.7</v>
      </c>
      <c r="R346" s="177">
        <f t="shared" si="131"/>
        <v>0.99975908068507724</v>
      </c>
      <c r="S346" s="921">
        <f t="shared" si="132"/>
        <v>0</v>
      </c>
      <c r="T346" s="176">
        <f t="shared" si="133"/>
        <v>6</v>
      </c>
      <c r="U346" s="251">
        <f t="shared" si="134"/>
        <v>0.99975908068507724</v>
      </c>
      <c r="V346" s="383">
        <f t="shared" si="135"/>
        <v>24.546477787505452</v>
      </c>
      <c r="W346" s="402">
        <f t="shared" si="136"/>
        <v>8.7366187107488358</v>
      </c>
      <c r="X346" s="157">
        <f t="shared" si="137"/>
        <v>45258</v>
      </c>
      <c r="Y346" s="385">
        <f t="shared" si="138"/>
        <v>8.4168701374689743</v>
      </c>
      <c r="Z346" s="385">
        <f t="shared" si="139"/>
        <v>8.7966608111787981</v>
      </c>
      <c r="AA346" s="386">
        <f t="shared" si="140"/>
        <v>10.34978257753337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0.15006322642235859</v>
      </c>
      <c r="AD346" s="231">
        <f>(INDEX(Models!$BJ346:$BT346,,AH346)*(1-AF346)+INDEX(Models!$BJ346:$BT346,,AH346+1)*AF346-ERP_i)*AE346*Ramure*Pc/MaxiM</f>
        <v>6.872311572827779E-3</v>
      </c>
      <c r="AE346" s="305">
        <f t="shared" si="142"/>
        <v>0.7</v>
      </c>
      <c r="AF346" s="177">
        <f t="shared" si="143"/>
        <v>0.99975908068507724</v>
      </c>
      <c r="AG346" s="921">
        <f t="shared" si="149"/>
        <v>0</v>
      </c>
      <c r="AH346" s="176">
        <f t="shared" si="144"/>
        <v>6</v>
      </c>
      <c r="AI346" s="225">
        <f t="shared" si="145"/>
        <v>0.99975908068507724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12.293154318533031</v>
      </c>
      <c r="C347" s="955"/>
      <c r="D347" s="393">
        <f t="shared" si="127"/>
        <v>12.848134239987672</v>
      </c>
      <c r="E347" s="385">
        <f t="shared" si="125"/>
        <v>14.56320238737908</v>
      </c>
      <c r="F347" s="385">
        <f t="shared" si="128"/>
        <v>14.593123915795411</v>
      </c>
      <c r="G347" s="110">
        <f t="shared" si="126"/>
        <v>0.50239010579245924</v>
      </c>
      <c r="H347" s="414" t="b">
        <f>Wh_hp&gt;='2022'!Maxi_hp</f>
        <v>0</v>
      </c>
      <c r="I347" s="390">
        <f>IF(H347,Wh_hp,'2022'!Maxi_hp)</f>
        <v>29.549892661364552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4.3195370712064918E-2</v>
      </c>
      <c r="M347" s="959"/>
      <c r="N347" s="959"/>
      <c r="O347" s="48">
        <f>IF(t&lt;Tnet,'2022'!Resal+('2022'!Salim-'2022'!Resal)*(1-EXP(('2022'!Tnet-t)/('2022'!Tau_j))),Resal+(Salim-Resal)*(1-EXP((Tnet-t)/(Tau_j))))*Salcycl</f>
        <v>0.1177672397712291</v>
      </c>
      <c r="P347" s="169">
        <f>(INDEX(Models!$BJ347:$BT347,,T347)*(1-R347)+INDEX(Models!$BJ347:$BT347,,T347+1)*R347-ERP_i)*Q347*Ramure*Pc/MaxiM</f>
        <v>7.0048445879226651E-3</v>
      </c>
      <c r="Q347" s="305">
        <f t="shared" si="130"/>
        <v>0.7</v>
      </c>
      <c r="R347" s="177">
        <f t="shared" si="131"/>
        <v>0.99977694179120635</v>
      </c>
      <c r="S347" s="921">
        <f t="shared" si="132"/>
        <v>0</v>
      </c>
      <c r="T347" s="176">
        <f t="shared" si="133"/>
        <v>6</v>
      </c>
      <c r="U347" s="251">
        <f t="shared" si="134"/>
        <v>0.99977694179120635</v>
      </c>
      <c r="V347" s="383">
        <f t="shared" si="135"/>
        <v>24.347858584578468</v>
      </c>
      <c r="W347" s="402">
        <f t="shared" si="136"/>
        <v>12.293154318533031</v>
      </c>
      <c r="X347" s="157">
        <f t="shared" si="137"/>
        <v>45259</v>
      </c>
      <c r="Y347" s="385">
        <f t="shared" si="138"/>
        <v>11.843836124143253</v>
      </c>
      <c r="Z347" s="385">
        <f t="shared" si="139"/>
        <v>12.378531375791495</v>
      </c>
      <c r="AA347" s="386">
        <f t="shared" si="140"/>
        <v>14.56320238737908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0.15001309145307828</v>
      </c>
      <c r="AD347" s="231">
        <f>(INDEX(Models!$BJ347:$BT347,,AH347)*(1-AF347)+INDEX(Models!$BJ347:$BT347,,AH347+1)*AF347-ERP_i)*AE347*Ramure*Pc/MaxiM</f>
        <v>7.0048445879226651E-3</v>
      </c>
      <c r="AE347" s="305">
        <f t="shared" si="142"/>
        <v>0.7</v>
      </c>
      <c r="AF347" s="177">
        <f t="shared" si="143"/>
        <v>0.99977694179120635</v>
      </c>
      <c r="AG347" s="921">
        <f t="shared" si="149"/>
        <v>0</v>
      </c>
      <c r="AH347" s="176">
        <f t="shared" si="144"/>
        <v>6</v>
      </c>
      <c r="AI347" s="225">
        <f t="shared" si="145"/>
        <v>0.99977694179120635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3.9987198164154019</v>
      </c>
      <c r="C348" s="955"/>
      <c r="D348" s="393">
        <f t="shared" si="127"/>
        <v>4.1793353398970288</v>
      </c>
      <c r="E348" s="385">
        <f t="shared" si="125"/>
        <v>4.7371948472242336</v>
      </c>
      <c r="F348" s="385">
        <f t="shared" si="128"/>
        <v>4.7371948472242336</v>
      </c>
      <c r="G348" s="110">
        <f t="shared" si="126"/>
        <v>0.16438483910779086</v>
      </c>
      <c r="H348" s="414" t="b">
        <f>Wh_hp&gt;='2022'!Maxi_hp</f>
        <v>0</v>
      </c>
      <c r="I348" s="390">
        <f>IF(H348,Wh_hp,'2022'!Maxi_hp)</f>
        <v>27.333508248606524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4.3216327189020687E-2</v>
      </c>
      <c r="M348" s="959"/>
      <c r="N348" s="959"/>
      <c r="O348" s="48">
        <f>IF(t&lt;Tnet,'2022'!Resal+('2022'!Salim-'2022'!Resal)*(1-EXP(('2022'!Tnet-t)/('2022'!Tau_j))),Resal+(Salim-Resal)*(1-EXP((Tnet-t)/(Tau_j))))*Salcycl</f>
        <v>0.11776157099682814</v>
      </c>
      <c r="P348" s="169">
        <f>(INDEX(Models!$BJ348:$BT348,,T348)*(1-R348)+INDEX(Models!$BJ348:$BT348,,T348+1)*R348-ERP_i)*Q348*Ramure*Pc/MaxiM</f>
        <v>7.121345499468106E-3</v>
      </c>
      <c r="Q348" s="305">
        <f t="shared" si="130"/>
        <v>0.7</v>
      </c>
      <c r="R348" s="177">
        <f t="shared" si="131"/>
        <v>0.99979408495641553</v>
      </c>
      <c r="S348" s="921">
        <f t="shared" si="132"/>
        <v>0</v>
      </c>
      <c r="T348" s="176">
        <f t="shared" si="133"/>
        <v>6</v>
      </c>
      <c r="U348" s="251">
        <f t="shared" si="134"/>
        <v>0.99979408495641553</v>
      </c>
      <c r="V348" s="383">
        <f t="shared" si="135"/>
        <v>24.152127243582111</v>
      </c>
      <c r="W348" s="402">
        <f t="shared" si="136"/>
        <v>3.9987198164154019</v>
      </c>
      <c r="X348" s="157">
        <f t="shared" si="137"/>
        <v>45260</v>
      </c>
      <c r="Y348" s="385">
        <f t="shared" si="138"/>
        <v>3.8527557756746931</v>
      </c>
      <c r="Z348" s="385">
        <f t="shared" si="139"/>
        <v>4.0267783462018141</v>
      </c>
      <c r="AA348" s="386">
        <f t="shared" si="140"/>
        <v>4.7371948472242336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0.14996564927843095</v>
      </c>
      <c r="AD348" s="231">
        <f>(INDEX(Models!$BJ348:$BT348,,AH348)*(1-AF348)+INDEX(Models!$BJ348:$BT348,,AH348+1)*AF348-ERP_i)*AE348*Ramure*Pc/MaxiM</f>
        <v>7.121345499468106E-3</v>
      </c>
      <c r="AE348" s="305">
        <f t="shared" si="142"/>
        <v>0.7</v>
      </c>
      <c r="AF348" s="177">
        <f t="shared" si="143"/>
        <v>0.99979408495641553</v>
      </c>
      <c r="AG348" s="921">
        <f t="shared" si="149"/>
        <v>0</v>
      </c>
      <c r="AH348" s="176">
        <f t="shared" si="144"/>
        <v>6</v>
      </c>
      <c r="AI348" s="225">
        <f t="shared" si="145"/>
        <v>0.99979408495641553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3.2342863628203822</v>
      </c>
      <c r="C349" s="955"/>
      <c r="D349" s="393">
        <f t="shared" si="127"/>
        <v>3.3804477390814265</v>
      </c>
      <c r="E349" s="385">
        <f t="shared" si="125"/>
        <v>3.8316556576623739</v>
      </c>
      <c r="F349" s="385">
        <f t="shared" si="128"/>
        <v>3.8316556576623739</v>
      </c>
      <c r="G349" s="110">
        <f t="shared" si="126"/>
        <v>0.13400753338762575</v>
      </c>
      <c r="H349" s="414" t="b">
        <f>Wh_hp&gt;='2022'!Maxi_hp</f>
        <v>0</v>
      </c>
      <c r="I349" s="390">
        <f>IF(H349,Wh_hp,'2022'!Maxi_hp)</f>
        <v>28.263329653266126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4.323728320697573E-2</v>
      </c>
      <c r="M349" s="959"/>
      <c r="N349" s="959"/>
      <c r="O349" s="48">
        <f>IF(t&lt;Tnet,'2022'!Resal+('2022'!Salim-'2022'!Resal)*(1-EXP(('2022'!Tnet-t)/('2022'!Tau_j))),Resal+(Salim-Resal)*(1-EXP((Tnet-t)/(Tau_j))))*Salcycl</f>
        <v>0.1177579508426447</v>
      </c>
      <c r="P349" s="169">
        <f>(INDEX(Models!$BJ349:$BT349,,T349)*(1-R349)+INDEX(Models!$BJ349:$BT349,,T349+1)*R349-ERP_i)*Q349*Ramure*Pc/MaxiM</f>
        <v>7.2212465368498248E-3</v>
      </c>
      <c r="Q349" s="305">
        <f t="shared" si="130"/>
        <v>0.7</v>
      </c>
      <c r="R349" s="177">
        <f t="shared" si="131"/>
        <v>0.99981053899259098</v>
      </c>
      <c r="S349" s="921">
        <f t="shared" si="132"/>
        <v>0</v>
      </c>
      <c r="T349" s="176">
        <f t="shared" si="133"/>
        <v>6</v>
      </c>
      <c r="U349" s="251">
        <f t="shared" si="134"/>
        <v>0.99981053899259098</v>
      </c>
      <c r="V349" s="383">
        <f t="shared" si="135"/>
        <v>23.960822966092906</v>
      </c>
      <c r="W349" s="402">
        <f t="shared" si="136"/>
        <v>3.2342863628203822</v>
      </c>
      <c r="X349" s="157">
        <f t="shared" si="137"/>
        <v>45261</v>
      </c>
      <c r="Y349" s="385">
        <f t="shared" si="138"/>
        <v>3.1163775280442292</v>
      </c>
      <c r="Z349" s="385">
        <f t="shared" si="139"/>
        <v>3.2572104591303725</v>
      </c>
      <c r="AA349" s="386">
        <f t="shared" si="140"/>
        <v>3.8316556576623739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0.14992088273466106</v>
      </c>
      <c r="AD349" s="231">
        <f>(INDEX(Models!$BJ349:$BT349,,AH349)*(1-AF349)+INDEX(Models!$BJ349:$BT349,,AH349+1)*AF349-ERP_i)*AE349*Ramure*Pc/MaxiM</f>
        <v>7.2212465368498248E-3</v>
      </c>
      <c r="AE349" s="305">
        <f t="shared" si="142"/>
        <v>0.7</v>
      </c>
      <c r="AF349" s="177">
        <f t="shared" si="143"/>
        <v>0.99981053899259098</v>
      </c>
      <c r="AG349" s="921">
        <f t="shared" si="149"/>
        <v>0</v>
      </c>
      <c r="AH349" s="176">
        <f t="shared" si="144"/>
        <v>6</v>
      </c>
      <c r="AI349" s="225">
        <f t="shared" si="145"/>
        <v>0.99981053899259098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6.1087844656652974</v>
      </c>
      <c r="C350" s="955"/>
      <c r="D350" s="393">
        <f t="shared" si="127"/>
        <v>6.3849877920932823</v>
      </c>
      <c r="E350" s="385">
        <f t="shared" si="125"/>
        <v>7.2372160121124685</v>
      </c>
      <c r="F350" s="385">
        <f t="shared" si="128"/>
        <v>7.2372160121124685</v>
      </c>
      <c r="G350" s="110">
        <f t="shared" si="126"/>
        <v>0.25505962192283055</v>
      </c>
      <c r="H350" s="414" t="b">
        <f>Wh_hp&gt;='2022'!Maxi_hp</f>
        <v>0</v>
      </c>
      <c r="I350" s="390">
        <f>IF(H350,Wh_hp,'2022'!Maxi_hp)</f>
        <v>11.458603807529059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4.325823876594026E-2</v>
      </c>
      <c r="M350" s="959"/>
      <c r="N350" s="959"/>
      <c r="O350" s="48">
        <f>IF(t&lt;Tnet,'2022'!Resal+('2022'!Salim-'2022'!Resal)*(1-EXP(('2022'!Tnet-t)/('2022'!Tau_j))),Resal+(Salim-Resal)*(1-EXP((Tnet-t)/(Tau_j))))*Salcycl</f>
        <v>0.11775636081510714</v>
      </c>
      <c r="P350" s="169">
        <f>(INDEX(Models!$BJ350:$BT350,,T350)*(1-R350)+INDEX(Models!$BJ350:$BT350,,T350+1)*R350-ERP_i)*Q350*Ramure*Pc/MaxiM</f>
        <v>7.3039228132494903E-3</v>
      </c>
      <c r="Q350" s="305">
        <f t="shared" si="130"/>
        <v>0.7</v>
      </c>
      <c r="R350" s="177">
        <f t="shared" si="131"/>
        <v>0.9998263315590129</v>
      </c>
      <c r="S350" s="921">
        <f t="shared" si="132"/>
        <v>0</v>
      </c>
      <c r="T350" s="176">
        <f t="shared" si="133"/>
        <v>6</v>
      </c>
      <c r="U350" s="251">
        <f t="shared" si="134"/>
        <v>0.9998263315590129</v>
      </c>
      <c r="V350" s="383">
        <f t="shared" si="135"/>
        <v>23.775485628532927</v>
      </c>
      <c r="W350" s="402">
        <f t="shared" si="136"/>
        <v>6.1087844656652974</v>
      </c>
      <c r="X350" s="157">
        <f t="shared" si="137"/>
        <v>45262</v>
      </c>
      <c r="Y350" s="385">
        <f t="shared" si="138"/>
        <v>5.8863642164630798</v>
      </c>
      <c r="Z350" s="385">
        <f t="shared" si="139"/>
        <v>6.152511006596507</v>
      </c>
      <c r="AA350" s="386">
        <f t="shared" si="140"/>
        <v>7.2372160121124685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0.14987876604768455</v>
      </c>
      <c r="AD350" s="231">
        <f>(INDEX(Models!$BJ350:$BT350,,AH350)*(1-AF350)+INDEX(Models!$BJ350:$BT350,,AH350+1)*AF350-ERP_i)*AE350*Ramure*Pc/MaxiM</f>
        <v>7.3039228132494903E-3</v>
      </c>
      <c r="AE350" s="305">
        <f t="shared" si="142"/>
        <v>0.7</v>
      </c>
      <c r="AF350" s="177">
        <f t="shared" si="143"/>
        <v>0.9998263315590129</v>
      </c>
      <c r="AG350" s="921">
        <f t="shared" si="149"/>
        <v>0</v>
      </c>
      <c r="AH350" s="176">
        <f t="shared" si="144"/>
        <v>6</v>
      </c>
      <c r="AI350" s="225">
        <f t="shared" si="145"/>
        <v>0.9998263315590129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6.8760594210332648</v>
      </c>
      <c r="C351" s="955"/>
      <c r="D351" s="393">
        <f t="shared" si="127"/>
        <v>7.1871118271359604</v>
      </c>
      <c r="E351" s="385">
        <f t="shared" si="125"/>
        <v>8.1464063773800408</v>
      </c>
      <c r="F351" s="385">
        <f t="shared" si="128"/>
        <v>8.1464063773800408</v>
      </c>
      <c r="G351" s="110">
        <f t="shared" si="126"/>
        <v>0.28924024750793409</v>
      </c>
      <c r="H351" s="414" t="b">
        <f>Wh_hp&gt;='2022'!Maxi_hp</f>
        <v>0</v>
      </c>
      <c r="I351" s="390">
        <f>IF(H351,Wh_hp,'2022'!Maxi_hp)</f>
        <v>16.674095051480148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4.3279193865924381E-2</v>
      </c>
      <c r="M351" s="959"/>
      <c r="N351" s="959"/>
      <c r="O351" s="48">
        <f>IF(t&lt;Tnet,'2022'!Resal+('2022'!Salim-'2022'!Resal)*(1-EXP(('2022'!Tnet-t)/('2022'!Tau_j))),Resal+(Salim-Resal)*(1-EXP((Tnet-t)/(Tau_j))))*Salcycl</f>
        <v>0.11775677590891291</v>
      </c>
      <c r="P351" s="169">
        <f>(INDEX(Models!$BJ351:$BT351,,T351)*(1-R351)+INDEX(Models!$BJ351:$BT351,,T351+1)*R351-ERP_i)*Q351*Ramure*Pc/MaxiM</f>
        <v>7.3687022573261877E-3</v>
      </c>
      <c r="Q351" s="305">
        <f t="shared" si="130"/>
        <v>0.7</v>
      </c>
      <c r="R351" s="177">
        <f t="shared" si="131"/>
        <v>0.9998414892081755</v>
      </c>
      <c r="S351" s="921">
        <f t="shared" si="132"/>
        <v>0</v>
      </c>
      <c r="T351" s="176">
        <f t="shared" si="133"/>
        <v>6</v>
      </c>
      <c r="U351" s="251">
        <f t="shared" si="134"/>
        <v>0.9998414892081755</v>
      </c>
      <c r="V351" s="383">
        <f t="shared" si="135"/>
        <v>23.597655738656368</v>
      </c>
      <c r="W351" s="402">
        <f t="shared" si="136"/>
        <v>6.8760594210332648</v>
      </c>
      <c r="X351" s="157">
        <f t="shared" si="137"/>
        <v>45263</v>
      </c>
      <c r="Y351" s="385">
        <f t="shared" si="138"/>
        <v>6.6260137458206412</v>
      </c>
      <c r="Z351" s="385">
        <f t="shared" si="139"/>
        <v>6.9257548318564179</v>
      </c>
      <c r="AA351" s="386">
        <f t="shared" si="140"/>
        <v>8.1464063773800408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0.14983926518973822</v>
      </c>
      <c r="AD351" s="231">
        <f>(INDEX(Models!$BJ351:$BT351,,AH351)*(1-AF351)+INDEX(Models!$BJ351:$BT351,,AH351+1)*AF351-ERP_i)*AE351*Ramure*Pc/MaxiM</f>
        <v>7.3687022573261877E-3</v>
      </c>
      <c r="AE351" s="305">
        <f t="shared" si="142"/>
        <v>0.7</v>
      </c>
      <c r="AF351" s="177">
        <f t="shared" si="143"/>
        <v>0.9998414892081755</v>
      </c>
      <c r="AG351" s="921">
        <f t="shared" si="149"/>
        <v>0</v>
      </c>
      <c r="AH351" s="176">
        <f t="shared" si="144"/>
        <v>6</v>
      </c>
      <c r="AI351" s="225">
        <f t="shared" si="145"/>
        <v>0.9998414892081755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19.059237120954819</v>
      </c>
      <c r="C352" s="955"/>
      <c r="D352" s="393">
        <f t="shared" si="127"/>
        <v>19.921856464397113</v>
      </c>
      <c r="E352" s="385">
        <f t="shared" si="125"/>
        <v>22.580972986201008</v>
      </c>
      <c r="F352" s="385">
        <f t="shared" si="128"/>
        <v>22.704440723574468</v>
      </c>
      <c r="G352" s="110">
        <f t="shared" si="126"/>
        <v>0.81187657002122826</v>
      </c>
      <c r="H352" s="414" t="b">
        <f>Wh_hp&gt;='2022'!Maxi_hp</f>
        <v>0</v>
      </c>
      <c r="I352" s="390">
        <f>IF(H352,Wh_hp,'2022'!Maxi_hp)</f>
        <v>22.718598960816383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4.3300148506937863E-2</v>
      </c>
      <c r="M352" s="959"/>
      <c r="N352" s="959"/>
      <c r="O352" s="48">
        <f>IF(t&lt;Tnet,'2022'!Resal+('2022'!Salim-'2022'!Resal)*(1-EXP(('2022'!Tnet-t)/('2022'!Tau_j))),Resal+(Salim-Resal)*(1-EXP((Tnet-t)/(Tau_j))))*Salcycl</f>
        <v>0.11775916491414494</v>
      </c>
      <c r="P352" s="169">
        <f>(INDEX(Models!$BJ352:$BT352,,T352)*(1-R352)+INDEX(Models!$BJ352:$BT352,,T352+1)*R352-ERP_i)*Q352*Ramure*Pc/MaxiM</f>
        <v>7.413220453559969E-3</v>
      </c>
      <c r="Q352" s="305">
        <f t="shared" si="130"/>
        <v>0.7</v>
      </c>
      <c r="R352" s="177">
        <f t="shared" si="131"/>
        <v>0.99985603742981044</v>
      </c>
      <c r="S352" s="921">
        <f t="shared" si="132"/>
        <v>0</v>
      </c>
      <c r="T352" s="176">
        <f t="shared" si="133"/>
        <v>6</v>
      </c>
      <c r="U352" s="251">
        <f t="shared" si="134"/>
        <v>0.99985603742981044</v>
      </c>
      <c r="V352" s="383">
        <f t="shared" si="135"/>
        <v>23.428913484921107</v>
      </c>
      <c r="W352" s="402">
        <f t="shared" si="136"/>
        <v>19.059237120954819</v>
      </c>
      <c r="X352" s="157">
        <f t="shared" si="137"/>
        <v>45264</v>
      </c>
      <c r="Y352" s="385">
        <f t="shared" si="138"/>
        <v>18.367001605414263</v>
      </c>
      <c r="Z352" s="385">
        <f t="shared" si="139"/>
        <v>19.198290432208204</v>
      </c>
      <c r="AA352" s="386">
        <f t="shared" si="140"/>
        <v>22.580972986201008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0.14980233828099113</v>
      </c>
      <c r="AD352" s="231">
        <f>(INDEX(Models!$BJ352:$BT352,,AH352)*(1-AF352)+INDEX(Models!$BJ352:$BT352,,AH352+1)*AF352-ERP_i)*AE352*Ramure*Pc/MaxiM</f>
        <v>7.413220453559969E-3</v>
      </c>
      <c r="AE352" s="305">
        <f t="shared" si="142"/>
        <v>0.7</v>
      </c>
      <c r="AF352" s="177">
        <f t="shared" si="143"/>
        <v>0.99985603742981044</v>
      </c>
      <c r="AG352" s="921">
        <f t="shared" si="149"/>
        <v>0</v>
      </c>
      <c r="AH352" s="176">
        <f t="shared" si="144"/>
        <v>6</v>
      </c>
      <c r="AI352" s="225">
        <f t="shared" si="145"/>
        <v>0.99985603742981044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24.202668081595643</v>
      </c>
      <c r="C353" s="955"/>
      <c r="D353" s="393">
        <f t="shared" si="127"/>
        <v>25.298632748797367</v>
      </c>
      <c r="E353" s="385">
        <f t="shared" si="125"/>
        <v>28.675567700650621</v>
      </c>
      <c r="F353" s="385">
        <f t="shared" si="128"/>
        <v>28.890668936148149</v>
      </c>
      <c r="G353" s="110">
        <f t="shared" si="126"/>
        <v>1.0400535542439437</v>
      </c>
      <c r="H353" s="414" t="b">
        <f>Wh_hp&gt;='2022'!Maxi_hp</f>
        <v>1</v>
      </c>
      <c r="I353" s="390">
        <f>IF(H353,Wh_hp,'2022'!Maxi_hp)</f>
        <v>28.890668936148149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4.3321102688991031E-2</v>
      </c>
      <c r="M353" s="959"/>
      <c r="N353" s="959"/>
      <c r="O353" s="48">
        <f>IF(t&lt;Tnet,'2022'!Resal+('2022'!Salim-'2022'!Resal)*(1-EXP(('2022'!Tnet-t)/('2022'!Tau_j))),Resal+(Salim-Resal)*(1-EXP((Tnet-t)/(Tau_j))))*Salcycl</f>
        <v>0.11776349075651028</v>
      </c>
      <c r="P353" s="169">
        <f>(INDEX(Models!$BJ353:$BT353,,T353)*(1-R353)+INDEX(Models!$BJ353:$BT353,,T353+1)*R353-ERP_i)*Q353*Ramure*Pc/MaxiM</f>
        <v>7.4453532375081712E-3</v>
      </c>
      <c r="Q353" s="305">
        <f t="shared" si="130"/>
        <v>0.7</v>
      </c>
      <c r="R353" s="177">
        <f t="shared" si="131"/>
        <v>0.99987000069317944</v>
      </c>
      <c r="S353" s="921">
        <f t="shared" si="132"/>
        <v>0</v>
      </c>
      <c r="T353" s="176">
        <f t="shared" si="133"/>
        <v>6</v>
      </c>
      <c r="U353" s="251">
        <f t="shared" si="134"/>
        <v>0.99987000069317944</v>
      </c>
      <c r="V353" s="383">
        <f t="shared" si="135"/>
        <v>23.270597925305424</v>
      </c>
      <c r="W353" s="402">
        <f t="shared" si="136"/>
        <v>24.202668081595643</v>
      </c>
      <c r="X353" s="157">
        <f t="shared" si="137"/>
        <v>45265</v>
      </c>
      <c r="Y353" s="385">
        <f t="shared" si="138"/>
        <v>23.324680197352347</v>
      </c>
      <c r="Z353" s="385">
        <f t="shared" si="139"/>
        <v>24.380887111560977</v>
      </c>
      <c r="AA353" s="386">
        <f t="shared" si="140"/>
        <v>28.675567700650621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0.1497679360326038</v>
      </c>
      <c r="AD353" s="231">
        <f>(INDEX(Models!$BJ353:$BT353,,AH353)*(1-AF353)+INDEX(Models!$BJ353:$BT353,,AH353+1)*AF353-ERP_i)*AE353*Ramure*Pc/MaxiM</f>
        <v>7.4453532375081712E-3</v>
      </c>
      <c r="AE353" s="305">
        <f t="shared" si="142"/>
        <v>0.7</v>
      </c>
      <c r="AF353" s="177">
        <f t="shared" si="143"/>
        <v>0.99987000069317944</v>
      </c>
      <c r="AG353" s="921">
        <f t="shared" si="149"/>
        <v>0</v>
      </c>
      <c r="AH353" s="176">
        <f t="shared" si="144"/>
        <v>6</v>
      </c>
      <c r="AI353" s="225">
        <f t="shared" si="145"/>
        <v>0.99987000069317944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10.561861243302904</v>
      </c>
      <c r="C354" s="955"/>
      <c r="D354" s="393">
        <f t="shared" si="127"/>
        <v>11.040373744967901</v>
      </c>
      <c r="E354" s="385">
        <f t="shared" si="125"/>
        <v>12.514163117010186</v>
      </c>
      <c r="F354" s="385">
        <f t="shared" si="128"/>
        <v>12.535114715065214</v>
      </c>
      <c r="G354" s="110">
        <f t="shared" si="126"/>
        <v>0.4540935482067186</v>
      </c>
      <c r="H354" s="414" t="b">
        <f>Wh_hp&gt;='2022'!Maxi_hp</f>
        <v>0</v>
      </c>
      <c r="I354" s="390">
        <f>IF(H354,Wh_hp,'2022'!Maxi_hp)</f>
        <v>23.022498392650729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4.3342056412093766E-2</v>
      </c>
      <c r="M354" s="959"/>
      <c r="N354" s="959"/>
      <c r="O354" s="48">
        <f>IF(t&lt;Tnet,'2022'!Resal+('2022'!Salim-'2022'!Resal)*(1-EXP(('2022'!Tnet-t)/('2022'!Tau_j))),Resal+(Salim-Resal)*(1-EXP((Tnet-t)/(Tau_j))))*Salcycl</f>
        <v>0.11776971086776079</v>
      </c>
      <c r="P354" s="169">
        <f>(INDEX(Models!$BJ354:$BT354,,T354)*(1-R354)+INDEX(Models!$BJ354:$BT354,,T354+1)*R354-ERP_i)*Q354*Ramure*Pc/MaxiM</f>
        <v>7.4644232509469572E-3</v>
      </c>
      <c r="Q354" s="305">
        <f t="shared" si="130"/>
        <v>0.7</v>
      </c>
      <c r="R354" s="177">
        <f t="shared" si="131"/>
        <v>0.99988340248770236</v>
      </c>
      <c r="S354" s="921">
        <f t="shared" si="132"/>
        <v>0</v>
      </c>
      <c r="T354" s="176">
        <f t="shared" si="133"/>
        <v>6</v>
      </c>
      <c r="U354" s="251">
        <f t="shared" si="134"/>
        <v>0.99988340248770236</v>
      </c>
      <c r="V354" s="383">
        <f t="shared" si="135"/>
        <v>23.124252883123528</v>
      </c>
      <c r="W354" s="402">
        <f t="shared" si="136"/>
        <v>10.561861243302904</v>
      </c>
      <c r="X354" s="157">
        <f t="shared" si="137"/>
        <v>45266</v>
      </c>
      <c r="Y354" s="385">
        <f t="shared" si="138"/>
        <v>10.179168041808063</v>
      </c>
      <c r="Z354" s="385">
        <f t="shared" si="139"/>
        <v>10.640342360647226</v>
      </c>
      <c r="AA354" s="386">
        <f t="shared" si="140"/>
        <v>12.514163117010186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0.14973600222742203</v>
      </c>
      <c r="AD354" s="231">
        <f>(INDEX(Models!$BJ354:$BT354,,AH354)*(1-AF354)+INDEX(Models!$BJ354:$BT354,,AH354+1)*AF354-ERP_i)*AE354*Ramure*Pc/MaxiM</f>
        <v>7.4644232509469572E-3</v>
      </c>
      <c r="AE354" s="305">
        <f t="shared" si="142"/>
        <v>0.7</v>
      </c>
      <c r="AF354" s="177">
        <f t="shared" si="143"/>
        <v>0.99988340248770236</v>
      </c>
      <c r="AG354" s="921">
        <f t="shared" si="149"/>
        <v>0</v>
      </c>
      <c r="AH354" s="176">
        <f t="shared" si="144"/>
        <v>6</v>
      </c>
      <c r="AI354" s="225">
        <f t="shared" si="145"/>
        <v>0.99988340248770236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18.976074563419811</v>
      </c>
      <c r="C355" s="955"/>
      <c r="D355" s="393">
        <f t="shared" si="127"/>
        <v>19.836233341758984</v>
      </c>
      <c r="E355" s="385">
        <f t="shared" si="125"/>
        <v>22.484395470584946</v>
      </c>
      <c r="F355" s="385">
        <f t="shared" si="128"/>
        <v>22.611155775378606</v>
      </c>
      <c r="G355" s="110">
        <f t="shared" si="126"/>
        <v>0.82380768099103685</v>
      </c>
      <c r="H355" s="414" t="b">
        <f>Wh_hp&gt;='2022'!Maxi_hp</f>
        <v>0</v>
      </c>
      <c r="I355" s="390">
        <f>IF(H355,Wh_hp,'2022'!Maxi_hp)</f>
        <v>23.615013833101326</v>
      </c>
      <c r="J355" s="85">
        <f>IF(H355,An,'2022'!An_max)</f>
        <v>2018</v>
      </c>
      <c r="K355" s="197">
        <f t="shared" si="129"/>
        <v>45267</v>
      </c>
      <c r="L355" s="147">
        <f>IF(t&lt;Tvie,1-EXP((T0-t)*PertePVj)+'2022'!Pspv,1-EXP((T0-t)*PertePVj)+Pspv)</f>
        <v>4.3363009676256281E-2</v>
      </c>
      <c r="M355" s="959"/>
      <c r="N355" s="959"/>
      <c r="O355" s="48">
        <f>IF(t&lt;Tnet,'2022'!Resal+('2022'!Salim-'2022'!Resal)*(1-EXP(('2022'!Tnet-t)/('2022'!Tau_j))),Resal+(Salim-Resal)*(1-EXP((Tnet-t)/(Tau_j))))*Salcycl</f>
        <v>0.11777777758314206</v>
      </c>
      <c r="P355" s="169">
        <f>(INDEX(Models!$BJ355:$BT355,,T355)*(1-R355)+INDEX(Models!$BJ355:$BT355,,T355+1)*R355-ERP_i)*Q355*Ramure*Pc/MaxiM</f>
        <v>7.4697501001983E-3</v>
      </c>
      <c r="Q355" s="305">
        <f t="shared" si="130"/>
        <v>0.7</v>
      </c>
      <c r="R355" s="177">
        <f t="shared" si="131"/>
        <v>0.99989626536198739</v>
      </c>
      <c r="S355" s="921">
        <f t="shared" si="132"/>
        <v>0</v>
      </c>
      <c r="T355" s="176">
        <f t="shared" si="133"/>
        <v>6</v>
      </c>
      <c r="U355" s="251">
        <f t="shared" si="134"/>
        <v>0.99989626536198739</v>
      </c>
      <c r="V355" s="383">
        <f t="shared" si="135"/>
        <v>22.991422367803498</v>
      </c>
      <c r="W355" s="402">
        <f t="shared" si="136"/>
        <v>18.976074563419811</v>
      </c>
      <c r="X355" s="157">
        <f t="shared" si="137"/>
        <v>45267</v>
      </c>
      <c r="Y355" s="385">
        <f t="shared" si="138"/>
        <v>18.289307314796197</v>
      </c>
      <c r="Z355" s="385">
        <f t="shared" si="139"/>
        <v>19.118335899395607</v>
      </c>
      <c r="AA355" s="386">
        <f t="shared" si="140"/>
        <v>22.484395470584946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0.14970647423422903</v>
      </c>
      <c r="AD355" s="231">
        <f>(INDEX(Models!$BJ355:$BT355,,AH355)*(1-AF355)+INDEX(Models!$BJ355:$BT355,,AH355+1)*AF355-ERP_i)*AE355*Ramure*Pc/MaxiM</f>
        <v>7.4697501001983E-3</v>
      </c>
      <c r="AE355" s="305">
        <f t="shared" si="142"/>
        <v>0.7</v>
      </c>
      <c r="AF355" s="177">
        <f t="shared" si="143"/>
        <v>0.99989626536198739</v>
      </c>
      <c r="AG355" s="921">
        <f t="shared" si="149"/>
        <v>0</v>
      </c>
      <c r="AH355" s="176">
        <f t="shared" si="144"/>
        <v>6</v>
      </c>
      <c r="AI355" s="225">
        <f t="shared" si="145"/>
        <v>0.99989626536198739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4.3526589109815648</v>
      </c>
      <c r="C356" s="955"/>
      <c r="D356" s="393">
        <f t="shared" si="127"/>
        <v>4.5500584772470285</v>
      </c>
      <c r="E356" s="385">
        <f t="shared" si="125"/>
        <v>5.1575546615932852</v>
      </c>
      <c r="F356" s="385">
        <f t="shared" si="128"/>
        <v>5.1575546615932852</v>
      </c>
      <c r="G356" s="110">
        <f t="shared" si="126"/>
        <v>0.18887169664773662</v>
      </c>
      <c r="H356" s="414" t="b">
        <f>Wh_hp&gt;='2022'!Maxi_hp</f>
        <v>0</v>
      </c>
      <c r="I356" s="390">
        <f>IF(H356,Wh_hp,'2022'!Maxi_hp)</f>
        <v>18.625313050324355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4.3383962481488458E-2</v>
      </c>
      <c r="M356" s="959"/>
      <c r="N356" s="959"/>
      <c r="O356" s="48">
        <f>IF(t&lt;Tnet,'2022'!Resal+('2022'!Salim-'2022'!Resal)*(1-EXP(('2022'!Tnet-t)/('2022'!Tau_j))),Resal+(Salim-Resal)*(1-EXP((Tnet-t)/(Tau_j))))*Salcycl</f>
        <v>0.11778763856253296</v>
      </c>
      <c r="P356" s="169">
        <f>(INDEX(Models!$BJ356:$BT356,,T356)*(1-R356)+INDEX(Models!$BJ356:$BT356,,T356+1)*R356-ERP_i)*Q356*Ramure*Pc/MaxiM</f>
        <v>7.4606636976717496E-3</v>
      </c>
      <c r="Q356" s="305">
        <f t="shared" si="130"/>
        <v>0.7</v>
      </c>
      <c r="R356" s="177">
        <f t="shared" si="131"/>
        <v>0.99990861096132155</v>
      </c>
      <c r="S356" s="921">
        <f t="shared" si="132"/>
        <v>0</v>
      </c>
      <c r="T356" s="176">
        <f t="shared" si="133"/>
        <v>6</v>
      </c>
      <c r="U356" s="251">
        <f t="shared" si="134"/>
        <v>0.99990861096132155</v>
      </c>
      <c r="V356" s="383">
        <f t="shared" si="135"/>
        <v>22.873650543382404</v>
      </c>
      <c r="W356" s="402">
        <f t="shared" si="136"/>
        <v>4.3526589109815648</v>
      </c>
      <c r="X356" s="157">
        <f t="shared" si="137"/>
        <v>45268</v>
      </c>
      <c r="Y356" s="385">
        <f t="shared" si="138"/>
        <v>4.1953119287653511</v>
      </c>
      <c r="Z356" s="385">
        <f t="shared" si="139"/>
        <v>4.3855755749695629</v>
      </c>
      <c r="AA356" s="386">
        <f t="shared" si="140"/>
        <v>5.1575546615932852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0.14967928355125584</v>
      </c>
      <c r="AD356" s="231">
        <f>(INDEX(Models!$BJ356:$BT356,,AH356)*(1-AF356)+INDEX(Models!$BJ356:$BT356,,AH356+1)*AF356-ERP_i)*AE356*Ramure*Pc/MaxiM</f>
        <v>7.4606636976717496E-3</v>
      </c>
      <c r="AE356" s="305">
        <f t="shared" si="142"/>
        <v>0.7</v>
      </c>
      <c r="AF356" s="177">
        <f t="shared" si="143"/>
        <v>0.99990861096132155</v>
      </c>
      <c r="AG356" s="921">
        <f t="shared" si="149"/>
        <v>0</v>
      </c>
      <c r="AH356" s="176">
        <f t="shared" si="144"/>
        <v>6</v>
      </c>
      <c r="AI356" s="225">
        <f t="shared" si="145"/>
        <v>0.99990861096132155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5.3006035082928111</v>
      </c>
      <c r="C357" s="955"/>
      <c r="D357" s="393">
        <f t="shared" si="127"/>
        <v>5.5411151389499702</v>
      </c>
      <c r="E357" s="385">
        <f t="shared" si="125"/>
        <v>6.2810137701114144</v>
      </c>
      <c r="F357" s="385">
        <f t="shared" si="128"/>
        <v>6.2810137701114144</v>
      </c>
      <c r="G357" s="110">
        <f t="shared" si="126"/>
        <v>0.23103259218942243</v>
      </c>
      <c r="H357" s="414" t="b">
        <f>Wh_hp&gt;='2022'!Maxi_hp</f>
        <v>0</v>
      </c>
      <c r="I357" s="390">
        <f>IF(H357,Wh_hp,'2022'!Maxi_hp)</f>
        <v>9.4747658981708156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4.3404914827800511E-2</v>
      </c>
      <c r="M357" s="959"/>
      <c r="N357" s="959"/>
      <c r="O357" s="48">
        <f>IF(t&lt;Tnet,'2022'!Resal+('2022'!Salim-'2022'!Resal)*(1-EXP(('2022'!Tnet-t)/('2022'!Tau_j))),Resal+(Salim-Resal)*(1-EXP((Tnet-t)/(Tau_j))))*Salcycl</f>
        <v>0.11779923723178198</v>
      </c>
      <c r="P357" s="169">
        <f>(INDEX(Models!$BJ357:$BT357,,T357)*(1-R357)+INDEX(Models!$BJ357:$BT357,,T357+1)*R357-ERP_i)*Q357*Ramure*Pc/MaxiM</f>
        <v>7.4365190158267981E-3</v>
      </c>
      <c r="Q357" s="305">
        <f t="shared" si="130"/>
        <v>0.7</v>
      </c>
      <c r="R357" s="177">
        <f t="shared" si="131"/>
        <v>0.99992046006368152</v>
      </c>
      <c r="S357" s="921">
        <f t="shared" si="132"/>
        <v>0</v>
      </c>
      <c r="T357" s="176">
        <f t="shared" si="133"/>
        <v>6</v>
      </c>
      <c r="U357" s="251">
        <f t="shared" si="134"/>
        <v>0.99992046006368152</v>
      </c>
      <c r="V357" s="383">
        <f t="shared" si="135"/>
        <v>22.772481664380994</v>
      </c>
      <c r="W357" s="402">
        <f t="shared" si="136"/>
        <v>5.3006035082928111</v>
      </c>
      <c r="X357" s="157">
        <f t="shared" si="137"/>
        <v>45269</v>
      </c>
      <c r="Y357" s="385">
        <f t="shared" si="138"/>
        <v>5.1092056276619573</v>
      </c>
      <c r="Z357" s="385">
        <f t="shared" si="139"/>
        <v>5.341032696966276</v>
      </c>
      <c r="AA357" s="386">
        <f t="shared" si="140"/>
        <v>6.2810137701114144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0.14965435637445912</v>
      </c>
      <c r="AD357" s="231">
        <f>(INDEX(Models!$BJ357:$BT357,,AH357)*(1-AF357)+INDEX(Models!$BJ357:$BT357,,AH357+1)*AF357-ERP_i)*AE357*Ramure*Pc/MaxiM</f>
        <v>7.4365190158267981E-3</v>
      </c>
      <c r="AE357" s="305">
        <f t="shared" si="142"/>
        <v>0.7</v>
      </c>
      <c r="AF357" s="177">
        <f t="shared" si="143"/>
        <v>0.99992046006368152</v>
      </c>
      <c r="AG357" s="921">
        <f t="shared" si="149"/>
        <v>0</v>
      </c>
      <c r="AH357" s="176">
        <f t="shared" si="144"/>
        <v>6</v>
      </c>
      <c r="AI357" s="225">
        <f t="shared" si="145"/>
        <v>0.99992046006368152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13.208763444407666</v>
      </c>
      <c r="C358" s="955"/>
      <c r="D358" s="393">
        <f t="shared" si="127"/>
        <v>13.808405417622833</v>
      </c>
      <c r="E358" s="385">
        <f t="shared" si="125"/>
        <v>15.652461211331149</v>
      </c>
      <c r="F358" s="385">
        <f t="shared" si="128"/>
        <v>15.699267749401011</v>
      </c>
      <c r="G358" s="110">
        <f t="shared" si="126"/>
        <v>0.57957610519246927</v>
      </c>
      <c r="H358" s="414" t="b">
        <f>Wh_hp&gt;='2022'!Maxi_hp</f>
        <v>0</v>
      </c>
      <c r="I358" s="390">
        <f>IF(H358,Wh_hp,'2022'!Maxi_hp)</f>
        <v>22.134135091685113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4.3425866715202321E-2</v>
      </c>
      <c r="M358" s="959"/>
      <c r="N358" s="959"/>
      <c r="O358" s="48">
        <f>IF(t&lt;Tnet,'2022'!Resal+('2022'!Salim-'2022'!Resal)*(1-EXP(('2022'!Tnet-t)/('2022'!Tau_j))),Resal+(Salim-Resal)*(1-EXP((Tnet-t)/(Tau_j))))*Salcycl</f>
        <v>0.11781251324062475</v>
      </c>
      <c r="P358" s="169">
        <f>(INDEX(Models!$BJ358:$BT358,,T358)*(1-R358)+INDEX(Models!$BJ358:$BT358,,T358+1)*R358-ERP_i)*Q358*Ramure*Pc/MaxiM</f>
        <v>7.3967120533252164E-3</v>
      </c>
      <c r="Q358" s="305">
        <f t="shared" si="130"/>
        <v>0.7</v>
      </c>
      <c r="R358" s="177">
        <f t="shared" si="131"/>
        <v>0.99993183261432605</v>
      </c>
      <c r="S358" s="921">
        <f t="shared" si="132"/>
        <v>0</v>
      </c>
      <c r="T358" s="176">
        <f t="shared" si="133"/>
        <v>6</v>
      </c>
      <c r="U358" s="251">
        <f t="shared" si="134"/>
        <v>0.99993183261432605</v>
      </c>
      <c r="V358" s="383">
        <f t="shared" si="135"/>
        <v>22.68946000230542</v>
      </c>
      <c r="W358" s="402">
        <f t="shared" si="136"/>
        <v>13.208763444407666</v>
      </c>
      <c r="X358" s="157">
        <f t="shared" si="137"/>
        <v>45270</v>
      </c>
      <c r="Y358" s="385">
        <f t="shared" si="138"/>
        <v>12.732344334288348</v>
      </c>
      <c r="Z358" s="385">
        <f t="shared" si="139"/>
        <v>13.310358174296972</v>
      </c>
      <c r="AA358" s="386">
        <f t="shared" si="140"/>
        <v>15.652461211331149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0.14963161418593252</v>
      </c>
      <c r="AD358" s="231">
        <f>(INDEX(Models!$BJ358:$BT358,,AH358)*(1-AF358)+INDEX(Models!$BJ358:$BT358,,AH358+1)*AF358-ERP_i)*AE358*Ramure*Pc/MaxiM</f>
        <v>7.3967120533252164E-3</v>
      </c>
      <c r="AE358" s="305">
        <f t="shared" si="142"/>
        <v>0.7</v>
      </c>
      <c r="AF358" s="177">
        <f t="shared" si="143"/>
        <v>0.99993183261432605</v>
      </c>
      <c r="AG358" s="921">
        <f t="shared" si="149"/>
        <v>0</v>
      </c>
      <c r="AH358" s="176">
        <f t="shared" si="144"/>
        <v>6</v>
      </c>
      <c r="AI358" s="225">
        <f t="shared" si="145"/>
        <v>0.99993183261432605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16.105948539741981</v>
      </c>
      <c r="C359" s="955"/>
      <c r="D359" s="393">
        <f t="shared" si="127"/>
        <v>16.83748362896732</v>
      </c>
      <c r="E359" s="385">
        <f t="shared" si="125"/>
        <v>19.08638251171794</v>
      </c>
      <c r="F359" s="385">
        <f t="shared" si="128"/>
        <v>19.169198295579672</v>
      </c>
      <c r="G359" s="110">
        <f t="shared" si="126"/>
        <v>0.70976105931683431</v>
      </c>
      <c r="H359" s="414" t="b">
        <f>Wh_hp&gt;='2022'!Maxi_hp</f>
        <v>0</v>
      </c>
      <c r="I359" s="390">
        <f>IF(H359,Wh_hp,'2022'!Maxi_hp)</f>
        <v>23.016717284204159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4.3446818143704102E-2</v>
      </c>
      <c r="M359" s="959"/>
      <c r="N359" s="959"/>
      <c r="O359" s="48">
        <f>IF(t&lt;Tnet,'2022'!Resal+('2022'!Salim-'2022'!Resal)*(1-EXP(('2022'!Tnet-t)/('2022'!Tau_j))),Resal+(Salim-Resal)*(1-EXP((Tnet-t)/(Tau_j))))*Salcycl</f>
        <v>0.11782740293347496</v>
      </c>
      <c r="P359" s="169">
        <f>(INDEX(Models!$BJ359:$BT359,,T359)*(1-R359)+INDEX(Models!$BJ359:$BT359,,T359+1)*R359-ERP_i)*Q359*Ramure*Pc/MaxiM</f>
        <v>7.3416364203099512E-3</v>
      </c>
      <c r="Q359" s="305">
        <f t="shared" si="130"/>
        <v>0.7</v>
      </c>
      <c r="R359" s="177">
        <f t="shared" si="131"/>
        <v>0.99994274775901748</v>
      </c>
      <c r="S359" s="921">
        <f t="shared" si="132"/>
        <v>0</v>
      </c>
      <c r="T359" s="176">
        <f t="shared" si="133"/>
        <v>6</v>
      </c>
      <c r="U359" s="251">
        <f t="shared" si="134"/>
        <v>0.99994274775901748</v>
      </c>
      <c r="V359" s="383">
        <f t="shared" si="135"/>
        <v>22.623212326868384</v>
      </c>
      <c r="W359" s="402">
        <f t="shared" si="136"/>
        <v>16.105948539741981</v>
      </c>
      <c r="X359" s="157">
        <f t="shared" si="137"/>
        <v>45271</v>
      </c>
      <c r="Y359" s="385">
        <f t="shared" si="138"/>
        <v>15.525671429038066</v>
      </c>
      <c r="Z359" s="385">
        <f t="shared" si="139"/>
        <v>16.230850227175875</v>
      </c>
      <c r="AA359" s="386">
        <f t="shared" si="140"/>
        <v>19.08638251171794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0.1496109743577094</v>
      </c>
      <c r="AD359" s="231">
        <f>(INDEX(Models!$BJ359:$BT359,,AH359)*(1-AF359)+INDEX(Models!$BJ359:$BT359,,AH359+1)*AF359-ERP_i)*AE359*Ramure*Pc/MaxiM</f>
        <v>7.3416364203099512E-3</v>
      </c>
      <c r="AE359" s="305">
        <f t="shared" si="142"/>
        <v>0.7</v>
      </c>
      <c r="AF359" s="177">
        <f t="shared" si="143"/>
        <v>0.99994274775901748</v>
      </c>
      <c r="AG359" s="921">
        <f t="shared" si="149"/>
        <v>0</v>
      </c>
      <c r="AH359" s="176">
        <f t="shared" si="144"/>
        <v>6</v>
      </c>
      <c r="AI359" s="225">
        <f t="shared" si="145"/>
        <v>0.99994274775901748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4.756851707904584</v>
      </c>
      <c r="C360" s="955"/>
      <c r="D360" s="393">
        <f t="shared" si="127"/>
        <v>4.9730176927703598</v>
      </c>
      <c r="E360" s="385">
        <f t="shared" si="125"/>
        <v>5.6373439503139648</v>
      </c>
      <c r="F360" s="385">
        <f t="shared" si="128"/>
        <v>5.6373439503139648</v>
      </c>
      <c r="G360" s="110">
        <f t="shared" si="126"/>
        <v>0.20921756536734051</v>
      </c>
      <c r="H360" s="414" t="b">
        <f>Wh_hp&gt;='2022'!Maxi_hp</f>
        <v>0</v>
      </c>
      <c r="I360" s="390">
        <f>IF(H360,Wh_hp,'2022'!Maxi_hp)</f>
        <v>26.632515874966092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4.3467769113315735E-2</v>
      </c>
      <c r="M360" s="959"/>
      <c r="N360" s="959"/>
      <c r="O360" s="48">
        <f>IF(t&lt;Tnet,'2022'!Resal+('2022'!Salim-'2022'!Resal)*(1-EXP(('2022'!Tnet-t)/('2022'!Tau_j))),Resal+(Salim-Resal)*(1-EXP((Tnet-t)/(Tau_j))))*Salcycl</f>
        <v>0.11784383982932359</v>
      </c>
      <c r="P360" s="169">
        <f>(INDEX(Models!$BJ360:$BT360,,T360)*(1-R360)+INDEX(Models!$BJ360:$BT360,,T360+1)*R360-ERP_i)*Q360*Ramure*Pc/MaxiM</f>
        <v>7.2721546795207976E-3</v>
      </c>
      <c r="Q360" s="305">
        <f t="shared" si="130"/>
        <v>0.7</v>
      </c>
      <c r="R360" s="177">
        <f t="shared" si="131"/>
        <v>0.99995322387593211</v>
      </c>
      <c r="S360" s="921">
        <f t="shared" si="132"/>
        <v>0</v>
      </c>
      <c r="T360" s="176">
        <f t="shared" si="133"/>
        <v>6</v>
      </c>
      <c r="U360" s="251">
        <f t="shared" si="134"/>
        <v>0.99995322387593211</v>
      </c>
      <c r="V360" s="383">
        <f t="shared" si="135"/>
        <v>22.571045304947983</v>
      </c>
      <c r="W360" s="402">
        <f t="shared" si="136"/>
        <v>4.756851707904584</v>
      </c>
      <c r="X360" s="157">
        <f t="shared" si="137"/>
        <v>45272</v>
      </c>
      <c r="Y360" s="385">
        <f t="shared" si="138"/>
        <v>4.5856541747557333</v>
      </c>
      <c r="Z360" s="385">
        <f t="shared" si="139"/>
        <v>4.7940404167091506</v>
      </c>
      <c r="AA360" s="386">
        <f t="shared" si="140"/>
        <v>5.6373439503139648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0.1495923507661524</v>
      </c>
      <c r="AD360" s="231">
        <f>(INDEX(Models!$BJ360:$BT360,,AH360)*(1-AF360)+INDEX(Models!$BJ360:$BT360,,AH360+1)*AF360-ERP_i)*AE360*Ramure*Pc/MaxiM</f>
        <v>7.2721546795207976E-3</v>
      </c>
      <c r="AE360" s="305">
        <f t="shared" si="142"/>
        <v>0.7</v>
      </c>
      <c r="AF360" s="177">
        <f t="shared" si="143"/>
        <v>0.99995322387593211</v>
      </c>
      <c r="AG360" s="921">
        <f t="shared" si="149"/>
        <v>0</v>
      </c>
      <c r="AH360" s="176">
        <f t="shared" si="144"/>
        <v>6</v>
      </c>
      <c r="AI360" s="225">
        <f t="shared" si="145"/>
        <v>0.99995322387593211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5.2160909513134781</v>
      </c>
      <c r="C361" s="955"/>
      <c r="D361" s="393">
        <f t="shared" si="127"/>
        <v>5.4532456211737683</v>
      </c>
      <c r="E361" s="385">
        <f t="shared" ref="E361:E379" si="150">Wh_pvt/(1-Psa)</f>
        <v>6.1818492200561543</v>
      </c>
      <c r="F361" s="385">
        <f t="shared" si="128"/>
        <v>6.1818492200561543</v>
      </c>
      <c r="G361" s="110">
        <f t="shared" ref="G361:G379" si="151">+Wh_hp/MaxiM</f>
        <v>0.22982758622758642</v>
      </c>
      <c r="H361" s="414" t="b">
        <f>Wh_hp&gt;='2022'!Maxi_hp</f>
        <v>0</v>
      </c>
      <c r="I361" s="390">
        <f>IF(H361,Wh_hp,'2022'!Maxi_hp)</f>
        <v>27.848923412804474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4.3488719624047434E-2</v>
      </c>
      <c r="M361" s="959"/>
      <c r="N361" s="959"/>
      <c r="O361" s="48">
        <f>IF(t&lt;Tnet,'2022'!Resal+('2022'!Salim-'2022'!Resal)*(1-EXP(('2022'!Tnet-t)/('2022'!Tau_j))),Resal+(Salim-Resal)*(1-EXP((Tnet-t)/(Tau_j))))*Salcycl</f>
        <v>0.11786175510695604</v>
      </c>
      <c r="P361" s="169">
        <f>(INDEX(Models!$BJ361:$BT361,,T361)*(1-R361)+INDEX(Models!$BJ361:$BT361,,T361+1)*R361-ERP_i)*Q361*Ramure*Pc/MaxiM</f>
        <v>7.2032782806026752E-3</v>
      </c>
      <c r="Q361" s="305">
        <f t="shared" si="130"/>
        <v>0.7</v>
      </c>
      <c r="R361" s="177">
        <f t="shared" si="131"/>
        <v>0.99996327860630807</v>
      </c>
      <c r="S361" s="921">
        <f t="shared" si="132"/>
        <v>0</v>
      </c>
      <c r="T361" s="176">
        <f t="shared" si="133"/>
        <v>6</v>
      </c>
      <c r="U361" s="251">
        <f t="shared" si="134"/>
        <v>0.99996327860630807</v>
      </c>
      <c r="V361" s="383">
        <f t="shared" si="135"/>
        <v>22.532186330000499</v>
      </c>
      <c r="W361" s="402">
        <f t="shared" si="136"/>
        <v>5.2160909513134781</v>
      </c>
      <c r="X361" s="157">
        <f t="shared" si="137"/>
        <v>45273</v>
      </c>
      <c r="Y361" s="385">
        <f t="shared" si="138"/>
        <v>5.0285663947554484</v>
      </c>
      <c r="Z361" s="385">
        <f t="shared" si="139"/>
        <v>5.2571950774893033</v>
      </c>
      <c r="AA361" s="386">
        <f t="shared" si="140"/>
        <v>6.1818492200561543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0.14957565441210349</v>
      </c>
      <c r="AD361" s="231">
        <f>(INDEX(Models!$BJ361:$BT361,,AH361)*(1-AF361)+INDEX(Models!$BJ361:$BT361,,AH361+1)*AF361-ERP_i)*AE361*Ramure*Pc/MaxiM</f>
        <v>7.2032782806026752E-3</v>
      </c>
      <c r="AE361" s="305">
        <f t="shared" si="142"/>
        <v>0.7</v>
      </c>
      <c r="AF361" s="177">
        <f t="shared" si="143"/>
        <v>0.99996327860630807</v>
      </c>
      <c r="AG361" s="921">
        <f t="shared" si="149"/>
        <v>0</v>
      </c>
      <c r="AH361" s="176">
        <f t="shared" si="144"/>
        <v>6</v>
      </c>
      <c r="AI361" s="225">
        <f t="shared" si="145"/>
        <v>0.99996327860630807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16.028010031105161</v>
      </c>
      <c r="C362" s="955"/>
      <c r="D362" s="393">
        <f t="shared" si="127"/>
        <v>16.757106185981343</v>
      </c>
      <c r="E362" s="385">
        <f t="shared" si="150"/>
        <v>18.996425277592468</v>
      </c>
      <c r="F362" s="385">
        <f t="shared" si="128"/>
        <v>19.07656946515106</v>
      </c>
      <c r="G362" s="110">
        <f t="shared" si="151"/>
        <v>0.71006141512220278</v>
      </c>
      <c r="H362" s="414" t="b">
        <f>Wh_hp&gt;='2022'!Maxi_hp</f>
        <v>0</v>
      </c>
      <c r="I362" s="390">
        <f>IF(H362,Wh_hp,'2022'!Maxi_hp)</f>
        <v>27.918333223458241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4.3509669675909191E-2</v>
      </c>
      <c r="M362" s="959"/>
      <c r="N362" s="959"/>
      <c r="O362" s="48">
        <f>IF(t&lt;Tnet,'2022'!Resal+('2022'!Salim-'2022'!Resal)*(1-EXP(('2022'!Tnet-t)/('2022'!Tau_j))),Resal+(Salim-Resal)*(1-EXP((Tnet-t)/(Tau_j))))*Salcycl</f>
        <v>0.11788107809170546</v>
      </c>
      <c r="P362" s="169">
        <f>(INDEX(Models!$BJ362:$BT362,,T362)*(1-R362)+INDEX(Models!$BJ362:$BT362,,T362+1)*R362-ERP_i)*Q362*Ramure*Pc/MaxiM</f>
        <v>7.1351691205889323E-3</v>
      </c>
      <c r="Q362" s="305">
        <f t="shared" si="130"/>
        <v>0.7</v>
      </c>
      <c r="R362" s="177">
        <f t="shared" si="131"/>
        <v>0.99997292888387745</v>
      </c>
      <c r="S362" s="921">
        <f t="shared" si="132"/>
        <v>0</v>
      </c>
      <c r="T362" s="176">
        <f t="shared" si="133"/>
        <v>6</v>
      </c>
      <c r="U362" s="251">
        <f t="shared" si="134"/>
        <v>0.99997292888387745</v>
      </c>
      <c r="V362" s="383">
        <f t="shared" si="135"/>
        <v>22.506202079660138</v>
      </c>
      <c r="W362" s="402">
        <f t="shared" si="136"/>
        <v>16.028010031105161</v>
      </c>
      <c r="X362" s="157">
        <f t="shared" si="137"/>
        <v>45274</v>
      </c>
      <c r="Y362" s="385">
        <f t="shared" si="138"/>
        <v>15.452392852487931</v>
      </c>
      <c r="Z362" s="385">
        <f t="shared" si="139"/>
        <v>16.155304829116407</v>
      </c>
      <c r="AA362" s="386">
        <f t="shared" si="140"/>
        <v>18.996425277592468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0.14956079404199016</v>
      </c>
      <c r="AD362" s="231">
        <f>(INDEX(Models!$BJ362:$BT362,,AH362)*(1-AF362)+INDEX(Models!$BJ362:$BT362,,AH362+1)*AF362-ERP_i)*AE362*Ramure*Pc/MaxiM</f>
        <v>7.1351691205889323E-3</v>
      </c>
      <c r="AE362" s="305">
        <f t="shared" si="142"/>
        <v>0.7</v>
      </c>
      <c r="AF362" s="177">
        <f t="shared" si="143"/>
        <v>0.99997292888387745</v>
      </c>
      <c r="AG362" s="921">
        <f t="shared" si="149"/>
        <v>0</v>
      </c>
      <c r="AH362" s="176">
        <f t="shared" si="144"/>
        <v>6</v>
      </c>
      <c r="AI362" s="225">
        <f t="shared" si="145"/>
        <v>0.99997292888387745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6.7137965812155302</v>
      </c>
      <c r="C363" s="955"/>
      <c r="D363" s="393">
        <f t="shared" si="127"/>
        <v>7.019353380746761</v>
      </c>
      <c r="E363" s="385">
        <f t="shared" si="150"/>
        <v>7.9575639961075506</v>
      </c>
      <c r="F363" s="385">
        <f t="shared" si="128"/>
        <v>7.9575639961075506</v>
      </c>
      <c r="G363" s="110">
        <f t="shared" si="151"/>
        <v>0.29637863296555861</v>
      </c>
      <c r="H363" s="414" t="b">
        <f>Wh_hp&gt;='2022'!Maxi_hp</f>
        <v>0</v>
      </c>
      <c r="I363" s="390">
        <f>IF(H363,Wh_hp,'2022'!Maxi_hp)</f>
        <v>27.64680505166011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4.3530619268910997E-2</v>
      </c>
      <c r="M363" s="959"/>
      <c r="N363" s="959"/>
      <c r="O363" s="48">
        <f>IF(t&lt;Tnet,'2022'!Resal+('2022'!Salim-'2022'!Resal)*(1-EXP(('2022'!Tnet-t)/('2022'!Tau_j))),Resal+(Salim-Resal)*(1-EXP((Tnet-t)/(Tau_j))))*Salcycl</f>
        <v>0.11790173674000184</v>
      </c>
      <c r="P363" s="169">
        <f>(INDEX(Models!$BJ363:$BT363,,T363)*(1-R363)+INDEX(Models!$BJ363:$BT363,,T363+1)*R363-ERP_i)*Q363*Ramure*Pc/MaxiM</f>
        <v>7.0679862833915447E-3</v>
      </c>
      <c r="Q363" s="305">
        <f t="shared" si="130"/>
        <v>0.7</v>
      </c>
      <c r="R363" s="177">
        <f t="shared" si="131"/>
        <v>0.9999821909631339</v>
      </c>
      <c r="S363" s="921">
        <f t="shared" si="132"/>
        <v>0</v>
      </c>
      <c r="T363" s="176">
        <f t="shared" si="133"/>
        <v>6</v>
      </c>
      <c r="U363" s="251">
        <f t="shared" si="134"/>
        <v>0.9999821909631339</v>
      </c>
      <c r="V363" s="383">
        <f t="shared" si="135"/>
        <v>22.492659110971395</v>
      </c>
      <c r="W363" s="402">
        <f t="shared" si="136"/>
        <v>6.7137965812155302</v>
      </c>
      <c r="X363" s="157">
        <f t="shared" si="137"/>
        <v>45275</v>
      </c>
      <c r="Y363" s="385">
        <f t="shared" si="138"/>
        <v>6.4729340687274775</v>
      </c>
      <c r="Z363" s="385">
        <f t="shared" si="139"/>
        <v>6.7675287877797112</v>
      </c>
      <c r="AA363" s="386">
        <f t="shared" si="140"/>
        <v>7.9575639961075506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0.14954767676514408</v>
      </c>
      <c r="AD363" s="231">
        <f>(INDEX(Models!$BJ363:$BT363,,AH363)*(1-AF363)+INDEX(Models!$BJ363:$BT363,,AH363+1)*AF363-ERP_i)*AE363*Ramure*Pc/MaxiM</f>
        <v>7.0679862833915447E-3</v>
      </c>
      <c r="AE363" s="305">
        <f t="shared" si="142"/>
        <v>0.7</v>
      </c>
      <c r="AF363" s="177">
        <f t="shared" si="143"/>
        <v>0.9999821909631339</v>
      </c>
      <c r="AG363" s="921">
        <f t="shared" si="149"/>
        <v>0</v>
      </c>
      <c r="AH363" s="176">
        <f t="shared" si="144"/>
        <v>6</v>
      </c>
      <c r="AI363" s="225">
        <f t="shared" si="145"/>
        <v>0.9999821909631339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4.5612906622696254</v>
      </c>
      <c r="C364" s="955"/>
      <c r="D364" s="393">
        <f t="shared" si="127"/>
        <v>4.7689875497561873</v>
      </c>
      <c r="E364" s="385">
        <f t="shared" si="150"/>
        <v>5.4065473965454425</v>
      </c>
      <c r="F364" s="385">
        <f t="shared" si="128"/>
        <v>5.4065473965454425</v>
      </c>
      <c r="G364" s="110">
        <f t="shared" si="151"/>
        <v>0.20138402404549072</v>
      </c>
      <c r="H364" s="414" t="b">
        <f>Wh_hp&gt;='2022'!Maxi_hp</f>
        <v>0</v>
      </c>
      <c r="I364" s="390">
        <f>IF(H364,Wh_hp,'2022'!Maxi_hp)</f>
        <v>27.611155388131891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4.3551568403062957E-2</v>
      </c>
      <c r="M364" s="959"/>
      <c r="N364" s="959"/>
      <c r="O364" s="48">
        <f>IF(t&lt;Tnet,'2022'!Resal+('2022'!Salim-'2022'!Resal)*(1-EXP(('2022'!Tnet-t)/('2022'!Tau_j))),Resal+(Salim-Resal)*(1-EXP((Tnet-t)/(Tau_j))))*Salcycl</f>
        <v>0.11792365811804949</v>
      </c>
      <c r="P364" s="169">
        <f>(INDEX(Models!$BJ364:$BT364,,T364)*(1-R364)+INDEX(Models!$BJ364:$BT364,,T364+1)*R364-ERP_i)*Q364*Ramure*Pc/MaxiM</f>
        <v>7.0018855046242775E-3</v>
      </c>
      <c r="Q364" s="305">
        <f t="shared" si="130"/>
        <v>0.7</v>
      </c>
      <c r="R364" s="177">
        <f t="shared" si="131"/>
        <v>0.99999108044647911</v>
      </c>
      <c r="S364" s="921">
        <f t="shared" si="132"/>
        <v>0</v>
      </c>
      <c r="T364" s="176">
        <f t="shared" si="133"/>
        <v>6</v>
      </c>
      <c r="U364" s="251">
        <f t="shared" si="134"/>
        <v>0.99999108044647911</v>
      </c>
      <c r="V364" s="383">
        <f t="shared" si="135"/>
        <v>22.491123855365824</v>
      </c>
      <c r="W364" s="402">
        <f t="shared" si="136"/>
        <v>4.5612906622696254</v>
      </c>
      <c r="X364" s="157">
        <f t="shared" si="137"/>
        <v>45276</v>
      </c>
      <c r="Y364" s="385">
        <f t="shared" si="138"/>
        <v>4.3978195149739552</v>
      </c>
      <c r="Z364" s="385">
        <f t="shared" si="139"/>
        <v>4.5980727969108823</v>
      </c>
      <c r="AA364" s="386">
        <f t="shared" si="140"/>
        <v>5.4065473965454425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0.14953620866269321</v>
      </c>
      <c r="AD364" s="231">
        <f>(INDEX(Models!$BJ364:$BT364,,AH364)*(1-AF364)+INDEX(Models!$BJ364:$BT364,,AH364+1)*AF364-ERP_i)*AE364*Ramure*Pc/MaxiM</f>
        <v>7.0018855046242775E-3</v>
      </c>
      <c r="AE364" s="305">
        <f t="shared" si="142"/>
        <v>0.7</v>
      </c>
      <c r="AF364" s="177">
        <f t="shared" si="143"/>
        <v>0.99999108044647911</v>
      </c>
      <c r="AG364" s="921">
        <f t="shared" si="149"/>
        <v>0</v>
      </c>
      <c r="AH364" s="176">
        <f t="shared" si="144"/>
        <v>6</v>
      </c>
      <c r="AI364" s="225">
        <f t="shared" si="145"/>
        <v>0.99999108044647911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2.5515985561639556</v>
      </c>
      <c r="C365" s="955"/>
      <c r="D365" s="393">
        <f t="shared" si="127"/>
        <v>2.6678431995382632</v>
      </c>
      <c r="E365" s="385">
        <f t="shared" si="150"/>
        <v>3.0245829904434736</v>
      </c>
      <c r="F365" s="385">
        <f t="shared" si="128"/>
        <v>3.0245829904434736</v>
      </c>
      <c r="G365" s="110">
        <f t="shared" si="151"/>
        <v>0.11261187303361597</v>
      </c>
      <c r="H365" s="414" t="b">
        <f>Wh_hp&gt;='2022'!Maxi_hp</f>
        <v>0</v>
      </c>
      <c r="I365" s="390">
        <f>IF(H365,Wh_hp,'2022'!Maxi_hp)</f>
        <v>27.969819213232515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4.3572517078375061E-2</v>
      </c>
      <c r="M365" s="959"/>
      <c r="N365" s="959"/>
      <c r="O365" s="48">
        <f>IF(t&lt;Tnet,'2022'!Resal+('2022'!Salim-'2022'!Resal)*(1-EXP(('2022'!Tnet-t)/('2022'!Tau_j))),Resal+(Salim-Resal)*(1-EXP((Tnet-t)/(Tau_j))))*Salcycl</f>
        <v>0.11794676887107131</v>
      </c>
      <c r="P365" s="169">
        <f>(INDEX(Models!$BJ365:$BT365,,T365)*(1-R365)+INDEX(Models!$BJ365:$BT365,,T365+1)*R365-ERP_i)*Q365*Ramure*Pc/MaxiM</f>
        <v>6.9370186815999315E-3</v>
      </c>
      <c r="Q365" s="305">
        <f t="shared" si="130"/>
        <v>0.7</v>
      </c>
      <c r="R365" s="177">
        <f t="shared" si="131"/>
        <v>0.99999961231029155</v>
      </c>
      <c r="S365" s="921">
        <f t="shared" si="132"/>
        <v>0</v>
      </c>
      <c r="T365" s="176">
        <f t="shared" si="133"/>
        <v>6</v>
      </c>
      <c r="U365" s="251">
        <f t="shared" si="134"/>
        <v>0.99999961231029155</v>
      </c>
      <c r="V365" s="383">
        <f t="shared" si="135"/>
        <v>22.501162631008761</v>
      </c>
      <c r="W365" s="402">
        <f t="shared" si="136"/>
        <v>2.5515985561639556</v>
      </c>
      <c r="X365" s="157">
        <f t="shared" si="137"/>
        <v>45277</v>
      </c>
      <c r="Y365" s="385">
        <f t="shared" si="138"/>
        <v>2.4602454819845185</v>
      </c>
      <c r="Z365" s="385">
        <f t="shared" si="139"/>
        <v>2.5723283008024196</v>
      </c>
      <c r="AA365" s="386">
        <f t="shared" si="140"/>
        <v>3.0245829904434736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0.1495262953835309</v>
      </c>
      <c r="AD365" s="231">
        <f>(INDEX(Models!$BJ365:$BT365,,AH365)*(1-AF365)+INDEX(Models!$BJ365:$BT365,,AH365+1)*AF365-ERP_i)*AE365*Ramure*Pc/MaxiM</f>
        <v>6.9370186815999315E-3</v>
      </c>
      <c r="AE365" s="305">
        <f t="shared" si="142"/>
        <v>0.7</v>
      </c>
      <c r="AF365" s="177">
        <f t="shared" si="143"/>
        <v>0.99999961231029155</v>
      </c>
      <c r="AG365" s="921">
        <f t="shared" si="149"/>
        <v>0</v>
      </c>
      <c r="AH365" s="176">
        <f t="shared" si="144"/>
        <v>6</v>
      </c>
      <c r="AI365" s="225">
        <f t="shared" si="145"/>
        <v>0.99999961231029155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20.118268174953592</v>
      </c>
      <c r="C366" s="955"/>
      <c r="D366" s="393">
        <f t="shared" si="127"/>
        <v>21.035268418733672</v>
      </c>
      <c r="E366" s="385">
        <f t="shared" si="150"/>
        <v>23.848726420219563</v>
      </c>
      <c r="F366" s="385">
        <f t="shared" si="128"/>
        <v>23.988576939030018</v>
      </c>
      <c r="G366" s="110">
        <f t="shared" si="151"/>
        <v>0.89232056174900432</v>
      </c>
      <c r="H366" s="414" t="b">
        <f>Wh_hp&gt;='2022'!Maxi_hp</f>
        <v>0</v>
      </c>
      <c r="I366" s="390">
        <f>IF(H366,Wh_hp,'2022'!Maxi_hp)</f>
        <v>28.032685021410803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4.3593465294857525E-2</v>
      </c>
      <c r="M366" s="959"/>
      <c r="N366" s="959"/>
      <c r="O366" s="48">
        <f>IF(t&lt;Tnet,'2022'!Resal+('2022'!Salim-'2022'!Resal)*(1-EXP(('2022'!Tnet-t)/('2022'!Tau_j))),Resal+(Salim-Resal)*(1-EXP((Tnet-t)/(Tau_j))))*Salcycl</f>
        <v>0.11797099567969253</v>
      </c>
      <c r="P366" s="169">
        <f>(INDEX(Models!$BJ366:$BT366,,T366)*(1-R366)+INDEX(Models!$BJ366:$BT366,,T366+1)*R366-ERP_i)*Q366*Ramure*Pc/MaxiM</f>
        <v>6.8787635908606707E-3</v>
      </c>
      <c r="Q366" s="305">
        <f t="shared" si="130"/>
        <v>0.7</v>
      </c>
      <c r="R366" s="177">
        <f t="shared" si="131"/>
        <v>7.8009299608883254E-6</v>
      </c>
      <c r="S366" s="921">
        <f t="shared" si="132"/>
        <v>1</v>
      </c>
      <c r="T366" s="176">
        <f t="shared" si="133"/>
        <v>7</v>
      </c>
      <c r="U366" s="251">
        <f t="shared" si="134"/>
        <v>1.0000078009299609</v>
      </c>
      <c r="V366" s="383">
        <f t="shared" si="135"/>
        <v>22.522223030633931</v>
      </c>
      <c r="W366" s="402">
        <f t="shared" si="136"/>
        <v>20.118268174953592</v>
      </c>
      <c r="X366" s="157">
        <f t="shared" si="137"/>
        <v>45278</v>
      </c>
      <c r="Y366" s="385">
        <f t="shared" si="138"/>
        <v>19.398713686627566</v>
      </c>
      <c r="Z366" s="385">
        <f t="shared" si="139"/>
        <v>20.282916294176239</v>
      </c>
      <c r="AA366" s="386">
        <f t="shared" si="140"/>
        <v>23.848726420219563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0.14951784272304539</v>
      </c>
      <c r="AD366" s="231">
        <f>(INDEX(Models!$BJ366:$BT366,,AH366)*(1-AF366)+INDEX(Models!$BJ366:$BT366,,AH366+1)*AF366-ERP_i)*AE366*Ramure*Pc/MaxiM</f>
        <v>6.8787635908606707E-3</v>
      </c>
      <c r="AE366" s="305">
        <f t="shared" si="142"/>
        <v>0.7</v>
      </c>
      <c r="AF366" s="177">
        <f t="shared" si="143"/>
        <v>7.8009299608883254E-6</v>
      </c>
      <c r="AG366" s="921">
        <f t="shared" si="149"/>
        <v>1</v>
      </c>
      <c r="AH366" s="176">
        <f t="shared" si="144"/>
        <v>7</v>
      </c>
      <c r="AI366" s="225">
        <f t="shared" si="145"/>
        <v>1.0000078009299609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17.031567540532947</v>
      </c>
      <c r="C367" s="955"/>
      <c r="D367" s="393">
        <f t="shared" si="127"/>
        <v>17.808264546199442</v>
      </c>
      <c r="E367" s="385">
        <f t="shared" si="150"/>
        <v>20.190690644112728</v>
      </c>
      <c r="F367" s="385">
        <f t="shared" si="128"/>
        <v>20.280742128884604</v>
      </c>
      <c r="G367" s="110">
        <f t="shared" si="151"/>
        <v>0.75333994020945783</v>
      </c>
      <c r="H367" s="414" t="b">
        <f>Wh_hp&gt;='2022'!Maxi_hp</f>
        <v>0</v>
      </c>
      <c r="I367" s="390">
        <f>IF(H367,Wh_hp,'2022'!Maxi_hp)</f>
        <v>27.478360183893841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4.3614413052520229E-2</v>
      </c>
      <c r="M367" s="959"/>
      <c r="N367" s="959"/>
      <c r="O367" s="48">
        <f>IF(t&lt;Tnet,'2022'!Resal+('2022'!Salim-'2022'!Resal)*(1-EXP(('2022'!Tnet-t)/('2022'!Tau_j))),Resal+(Salim-Resal)*(1-EXP((Tnet-t)/(Tau_j))))*Salcycl</f>
        <v>0.11799626570020094</v>
      </c>
      <c r="P367" s="169">
        <f>(INDEX(Models!$BJ367:$BT367,,T367)*(1-R367)+INDEX(Models!$BJ367:$BT367,,T367+1)*R367-ERP_i)*Q367*Ramure*Pc/MaxiM</f>
        <v>6.8288700697573803E-3</v>
      </c>
      <c r="Q367" s="305">
        <f t="shared" si="130"/>
        <v>0.7</v>
      </c>
      <c r="R367" s="177">
        <f t="shared" si="131"/>
        <v>1.5660103926951052E-5</v>
      </c>
      <c r="S367" s="921">
        <f t="shared" si="132"/>
        <v>1</v>
      </c>
      <c r="T367" s="176">
        <f t="shared" si="133"/>
        <v>7</v>
      </c>
      <c r="U367" s="251">
        <f t="shared" si="134"/>
        <v>1.000015660103927</v>
      </c>
      <c r="V367" s="383">
        <f t="shared" si="135"/>
        <v>22.553834169992189</v>
      </c>
      <c r="W367" s="402">
        <f t="shared" si="136"/>
        <v>17.031567540532947</v>
      </c>
      <c r="X367" s="157">
        <f t="shared" si="137"/>
        <v>45279</v>
      </c>
      <c r="Y367" s="385">
        <f t="shared" si="138"/>
        <v>16.423020014848678</v>
      </c>
      <c r="Z367" s="385">
        <f t="shared" si="139"/>
        <v>17.171965197914002</v>
      </c>
      <c r="AA367" s="386">
        <f t="shared" si="140"/>
        <v>20.190690644112728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0.14951075718050968</v>
      </c>
      <c r="AD367" s="231">
        <f>(INDEX(Models!$BJ367:$BT367,,AH367)*(1-AF367)+INDEX(Models!$BJ367:$BT367,,AH367+1)*AF367-ERP_i)*AE367*Ramure*Pc/MaxiM</f>
        <v>6.8288700697573803E-3</v>
      </c>
      <c r="AE367" s="305">
        <f t="shared" si="142"/>
        <v>0.7</v>
      </c>
      <c r="AF367" s="177">
        <f t="shared" si="143"/>
        <v>1.5660103926951052E-5</v>
      </c>
      <c r="AG367" s="921">
        <f t="shared" si="149"/>
        <v>1</v>
      </c>
      <c r="AH367" s="176">
        <f t="shared" si="144"/>
        <v>7</v>
      </c>
      <c r="AI367" s="225">
        <f t="shared" si="145"/>
        <v>1.000015660103927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4.1498766894897097</v>
      </c>
      <c r="C368" s="955"/>
      <c r="D368" s="393">
        <f t="shared" si="127"/>
        <v>4.3392201232099046</v>
      </c>
      <c r="E368" s="385">
        <f t="shared" si="150"/>
        <v>4.9198762526008224</v>
      </c>
      <c r="F368" s="385">
        <f t="shared" si="128"/>
        <v>4.9198762526008224</v>
      </c>
      <c r="G368" s="110">
        <f t="shared" si="151"/>
        <v>0.18241235517815704</v>
      </c>
      <c r="H368" s="414" t="b">
        <f>Wh_hp&gt;='2022'!Maxi_hp</f>
        <v>0</v>
      </c>
      <c r="I368" s="390">
        <f>IF(H368,Wh_hp,'2022'!Maxi_hp)</f>
        <v>28.081044157306998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4.3635360351373276E-2</v>
      </c>
      <c r="M368" s="959"/>
      <c r="N368" s="959"/>
      <c r="O368" s="48">
        <f>IF(t&lt;Tnet,'2022'!Resal+('2022'!Salim-'2022'!Resal)*(1-EXP(('2022'!Tnet-t)/('2022'!Tau_j))),Resal+(Salim-Resal)*(1-EXP((Tnet-t)/(Tau_j))))*Salcycl</f>
        <v>0.11802250698561008</v>
      </c>
      <c r="P368" s="169">
        <f>(INDEX(Models!$BJ368:$BT368,,T368)*(1-R368)+INDEX(Models!$BJ368:$BT368,,T368+1)*R368-ERP_i)*Q368*Ramure*Pc/MaxiM</f>
        <v>6.787408384032142E-3</v>
      </c>
      <c r="Q368" s="305">
        <f t="shared" si="130"/>
        <v>0.7</v>
      </c>
      <c r="R368" s="177">
        <f t="shared" si="131"/>
        <v>2.3203076765287989E-5</v>
      </c>
      <c r="S368" s="921">
        <f t="shared" si="132"/>
        <v>1</v>
      </c>
      <c r="T368" s="176">
        <f t="shared" si="133"/>
        <v>7</v>
      </c>
      <c r="U368" s="251">
        <f t="shared" si="134"/>
        <v>1.0000232030767653</v>
      </c>
      <c r="V368" s="383">
        <f t="shared" si="135"/>
        <v>22.59556255183049</v>
      </c>
      <c r="W368" s="402">
        <f t="shared" si="136"/>
        <v>4.1498766894897097</v>
      </c>
      <c r="X368" s="157">
        <f t="shared" si="137"/>
        <v>45280</v>
      </c>
      <c r="Y368" s="385">
        <f t="shared" si="138"/>
        <v>4.0017456511495659</v>
      </c>
      <c r="Z368" s="385">
        <f t="shared" si="139"/>
        <v>4.1843304167120063</v>
      </c>
      <c r="AA368" s="386">
        <f t="shared" si="140"/>
        <v>4.9198762526008224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0.14950494649128224</v>
      </c>
      <c r="AD368" s="231">
        <f>(INDEX(Models!$BJ368:$BT368,,AH368)*(1-AF368)+INDEX(Models!$BJ368:$BT368,,AH368+1)*AF368-ERP_i)*AE368*Ramure*Pc/MaxiM</f>
        <v>6.787408384032142E-3</v>
      </c>
      <c r="AE368" s="305">
        <f t="shared" si="142"/>
        <v>0.7</v>
      </c>
      <c r="AF368" s="177">
        <f t="shared" si="143"/>
        <v>2.3203076765287989E-5</v>
      </c>
      <c r="AG368" s="921">
        <f t="shared" si="149"/>
        <v>1</v>
      </c>
      <c r="AH368" s="176">
        <f t="shared" si="144"/>
        <v>7</v>
      </c>
      <c r="AI368" s="225">
        <f t="shared" si="145"/>
        <v>1.0000232030767653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20.97474690282251</v>
      </c>
      <c r="C369" s="955"/>
      <c r="D369" s="393">
        <f t="shared" si="127"/>
        <v>21.932226939484742</v>
      </c>
      <c r="E369" s="385">
        <f t="shared" si="150"/>
        <v>24.867870296495536</v>
      </c>
      <c r="F369" s="385">
        <f t="shared" si="128"/>
        <v>25.019033972442035</v>
      </c>
      <c r="G369" s="110">
        <f t="shared" si="151"/>
        <v>0.92549721871605861</v>
      </c>
      <c r="H369" s="414" t="b">
        <f>Wh_hp&gt;='2022'!Maxi_hp</f>
        <v>0</v>
      </c>
      <c r="I369" s="390">
        <f>IF(H369,Wh_hp,'2022'!Maxi_hp)</f>
        <v>25.024200180199902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4.3656307191426769E-2</v>
      </c>
      <c r="M369" s="959"/>
      <c r="N369" s="959"/>
      <c r="O369" s="48">
        <f>IF(t&lt;Tnet,'2022'!Resal+('2022'!Salim-'2022'!Resal)*(1-EXP(('2022'!Tnet-t)/('2022'!Tau_j))),Resal+(Salim-Resal)*(1-EXP((Tnet-t)/(Tau_j))))*Salcycl</f>
        <v>0.11804964888466919</v>
      </c>
      <c r="P369" s="169">
        <f>(INDEX(Models!$BJ369:$BT369,,T369)*(1-R369)+INDEX(Models!$BJ369:$BT369,,T369+1)*R369-ERP_i)*Q369*Ramure*Pc/MaxiM</f>
        <v>6.7544324001468665E-3</v>
      </c>
      <c r="Q369" s="305">
        <f t="shared" si="130"/>
        <v>0.7</v>
      </c>
      <c r="R369" s="177">
        <f t="shared" si="131"/>
        <v>3.0442561352206354E-5</v>
      </c>
      <c r="S369" s="921">
        <f t="shared" si="132"/>
        <v>1</v>
      </c>
      <c r="T369" s="176">
        <f t="shared" si="133"/>
        <v>7</v>
      </c>
      <c r="U369" s="251">
        <f t="shared" si="134"/>
        <v>1.0000304425613522</v>
      </c>
      <c r="V369" s="383">
        <f t="shared" si="135"/>
        <v>22.646974443567586</v>
      </c>
      <c r="W369" s="402">
        <f t="shared" si="136"/>
        <v>20.97474690282251</v>
      </c>
      <c r="X369" s="157">
        <f t="shared" si="137"/>
        <v>45281</v>
      </c>
      <c r="Y369" s="385">
        <f t="shared" si="138"/>
        <v>20.226779776934219</v>
      </c>
      <c r="Z369" s="385">
        <f t="shared" si="139"/>
        <v>21.150115726211954</v>
      </c>
      <c r="AA369" s="386">
        <f t="shared" si="140"/>
        <v>24.867870296495536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0.14950032013024864</v>
      </c>
      <c r="AD369" s="231">
        <f>(INDEX(Models!$BJ369:$BT369,,AH369)*(1-AF369)+INDEX(Models!$BJ369:$BT369,,AH369+1)*AF369-ERP_i)*AE369*Ramure*Pc/MaxiM</f>
        <v>6.7544324001468665E-3</v>
      </c>
      <c r="AE369" s="305">
        <f t="shared" si="142"/>
        <v>0.7</v>
      </c>
      <c r="AF369" s="177">
        <f t="shared" si="143"/>
        <v>3.0442561352206354E-5</v>
      </c>
      <c r="AG369" s="921">
        <f t="shared" si="149"/>
        <v>1</v>
      </c>
      <c r="AH369" s="176">
        <f t="shared" si="144"/>
        <v>7</v>
      </c>
      <c r="AI369" s="225">
        <f t="shared" si="145"/>
        <v>1.0000304425613522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16.221103122881985</v>
      </c>
      <c r="C370" s="955"/>
      <c r="D370" s="393">
        <f t="shared" si="127"/>
        <v>16.961954720288524</v>
      </c>
      <c r="E370" s="385">
        <f t="shared" si="150"/>
        <v>19.232933817553352</v>
      </c>
      <c r="F370" s="385">
        <f t="shared" si="128"/>
        <v>19.309857080601748</v>
      </c>
      <c r="G370" s="110">
        <f t="shared" si="151"/>
        <v>0.71237605446649788</v>
      </c>
      <c r="H370" s="414" t="b">
        <f>Wh_hp&gt;='2022'!Maxi_hp</f>
        <v>0</v>
      </c>
      <c r="I370" s="390">
        <f>IF(H370,Wh_hp,'2022'!Maxi_hp)</f>
        <v>27.058641236912877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4.3677253572690589E-2</v>
      </c>
      <c r="M370" s="959"/>
      <c r="N370" s="959"/>
      <c r="O370" s="48">
        <f>IF(t&lt;Tnet,'2022'!Resal+('2022'!Salim-'2022'!Resal)*(1-EXP(('2022'!Tnet-t)/('2022'!Tau_j))),Resal+(Salim-Resal)*(1-EXP((Tnet-t)/(Tau_j))))*Salcycl</f>
        <v>0.11807762241619985</v>
      </c>
      <c r="P370" s="169">
        <f>(INDEX(Models!$BJ370:$BT370,,T370)*(1-R370)+INDEX(Models!$BJ370:$BT370,,T370+1)*R370-ERP_i)*Q370*Ramure*Pc/MaxiM</f>
        <v>6.72998031151412E-3</v>
      </c>
      <c r="Q370" s="305">
        <f t="shared" si="130"/>
        <v>0.7</v>
      </c>
      <c r="R370" s="177">
        <f t="shared" si="131"/>
        <v>3.7390760149635938E-5</v>
      </c>
      <c r="S370" s="921">
        <f t="shared" si="132"/>
        <v>1</v>
      </c>
      <c r="T370" s="176">
        <f t="shared" si="133"/>
        <v>7</v>
      </c>
      <c r="U370" s="251">
        <f t="shared" si="134"/>
        <v>1.0000373907601496</v>
      </c>
      <c r="V370" s="383">
        <f t="shared" si="135"/>
        <v>22.707635891296224</v>
      </c>
      <c r="W370" s="402">
        <f t="shared" si="136"/>
        <v>16.221103122881985</v>
      </c>
      <c r="X370" s="157">
        <f t="shared" si="137"/>
        <v>45282</v>
      </c>
      <c r="Y370" s="385">
        <f t="shared" si="138"/>
        <v>15.643213767934219</v>
      </c>
      <c r="Z370" s="385">
        <f t="shared" si="139"/>
        <v>16.357671953715542</v>
      </c>
      <c r="AA370" s="386">
        <f t="shared" si="140"/>
        <v>19.232933817553352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0.14949678978324368</v>
      </c>
      <c r="AD370" s="231">
        <f>(INDEX(Models!$BJ370:$BT370,,AH370)*(1-AF370)+INDEX(Models!$BJ370:$BT370,,AH370+1)*AF370-ERP_i)*AE370*Ramure*Pc/MaxiM</f>
        <v>6.72998031151412E-3</v>
      </c>
      <c r="AE370" s="305">
        <f t="shared" si="142"/>
        <v>0.7</v>
      </c>
      <c r="AF370" s="177">
        <f t="shared" si="143"/>
        <v>3.7390760149635938E-5</v>
      </c>
      <c r="AG370" s="921">
        <f t="shared" si="149"/>
        <v>1</v>
      </c>
      <c r="AH370" s="176">
        <f t="shared" si="144"/>
        <v>7</v>
      </c>
      <c r="AI370" s="225">
        <f t="shared" si="145"/>
        <v>1.0000373907601496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16.73405490870805</v>
      </c>
      <c r="C371" s="955"/>
      <c r="D371" s="393">
        <f t="shared" si="127"/>
        <v>17.498717350395307</v>
      </c>
      <c r="E371" s="385">
        <f t="shared" si="150"/>
        <v>19.842208367242581</v>
      </c>
      <c r="F371" s="385">
        <f t="shared" si="128"/>
        <v>19.925282871751126</v>
      </c>
      <c r="G371" s="110">
        <f t="shared" si="151"/>
        <v>0.73280983494030771</v>
      </c>
      <c r="H371" s="414" t="b">
        <f>Wh_hp&gt;='2022'!Maxi_hp</f>
        <v>0</v>
      </c>
      <c r="I371" s="390">
        <f>IF(H371,Wh_hp,'2022'!Maxi_hp)</f>
        <v>22.375250435644084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4.3698199495175061E-2</v>
      </c>
      <c r="M371" s="959"/>
      <c r="N371" s="959"/>
      <c r="O371" s="48">
        <f>IF(t&lt;Tnet,'2022'!Resal+('2022'!Salim-'2022'!Resal)*(1-EXP(('2022'!Tnet-t)/('2022'!Tau_j))),Resal+(Salim-Resal)*(1-EXP((Tnet-t)/(Tau_j))))*Salcycl</f>
        <v>0.11810636061639869</v>
      </c>
      <c r="P371" s="169">
        <f>(INDEX(Models!$BJ371:$BT371,,T371)*(1-R371)+INDEX(Models!$BJ371:$BT371,,T371+1)*R371-ERP_i)*Q371*Ramure*Pc/MaxiM</f>
        <v>6.7140473090833317E-3</v>
      </c>
      <c r="Q371" s="305">
        <f t="shared" si="130"/>
        <v>0.7</v>
      </c>
      <c r="R371" s="177">
        <f t="shared" si="131"/>
        <v>3.7390760149635938E-5</v>
      </c>
      <c r="S371" s="921">
        <f t="shared" si="132"/>
        <v>1</v>
      </c>
      <c r="T371" s="176">
        <f t="shared" si="133"/>
        <v>7</v>
      </c>
      <c r="U371" s="251">
        <f t="shared" si="134"/>
        <v>1.0000373907601496</v>
      </c>
      <c r="V371" s="383">
        <f t="shared" si="135"/>
        <v>22.77711338213911</v>
      </c>
      <c r="W371" s="402">
        <f t="shared" si="136"/>
        <v>16.73405490870805</v>
      </c>
      <c r="X371" s="157">
        <f t="shared" si="137"/>
        <v>45283</v>
      </c>
      <c r="Y371" s="385">
        <f t="shared" si="138"/>
        <v>16.138464950899323</v>
      </c>
      <c r="Z371" s="385">
        <f t="shared" si="139"/>
        <v>16.875911916489063</v>
      </c>
      <c r="AA371" s="386">
        <f t="shared" si="140"/>
        <v>19.842208367242581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0.14949426978352701</v>
      </c>
      <c r="AD371" s="231">
        <f>(INDEX(Models!$BJ371:$BT371,,AH371)*(1-AF371)+INDEX(Models!$BJ371:$BT371,,AH371+1)*AF371-ERP_i)*AE371*Ramure*Pc/MaxiM</f>
        <v>6.7140473090833317E-3</v>
      </c>
      <c r="AE371" s="305">
        <f t="shared" si="142"/>
        <v>0.7</v>
      </c>
      <c r="AF371" s="177">
        <f t="shared" si="143"/>
        <v>3.7390760149635938E-5</v>
      </c>
      <c r="AG371" s="921">
        <f t="shared" si="149"/>
        <v>1</v>
      </c>
      <c r="AH371" s="176">
        <f t="shared" si="144"/>
        <v>7</v>
      </c>
      <c r="AI371" s="225">
        <f t="shared" si="145"/>
        <v>1.0000373907601496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21.935329099065719</v>
      </c>
      <c r="C372" s="955"/>
      <c r="D372" s="393">
        <f t="shared" si="127"/>
        <v>22.938166108243095</v>
      </c>
      <c r="E372" s="385">
        <f t="shared" si="150"/>
        <v>26.010995886342915</v>
      </c>
      <c r="F372" s="385">
        <f t="shared" si="128"/>
        <v>26.17646105982422</v>
      </c>
      <c r="G372" s="110">
        <f t="shared" si="151"/>
        <v>0.95938943575797941</v>
      </c>
      <c r="H372" s="414" t="b">
        <f>Wh_hp&gt;='2022'!Maxi_hp</f>
        <v>0</v>
      </c>
      <c r="I372" s="390">
        <f>IF(H372,Wh_hp,'2022'!Maxi_hp)</f>
        <v>26.179386726313346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4.3719144958889955E-2</v>
      </c>
      <c r="M372" s="959"/>
      <c r="N372" s="959"/>
      <c r="O372" s="48">
        <f>IF(t&lt;Tnet,'2022'!Resal+('2022'!Salim-'2022'!Resal)*(1-EXP(('2022'!Tnet-t)/('2022'!Tau_j))),Resal+(Salim-Resal)*(1-EXP((Tnet-t)/(Tau_j))))*Salcycl</f>
        <v>0.11813579885702158</v>
      </c>
      <c r="P372" s="169">
        <f>(INDEX(Models!$BJ372:$BT372,,T372)*(1-R372)+INDEX(Models!$BJ372:$BT372,,T372+1)*R372-ERP_i)*Q372*Ramure*Pc/MaxiM</f>
        <v>6.7066639078642307E-3</v>
      </c>
      <c r="Q372" s="305">
        <f t="shared" si="130"/>
        <v>0.7</v>
      </c>
      <c r="R372" s="177">
        <f t="shared" si="131"/>
        <v>3.7390760149635938E-5</v>
      </c>
      <c r="S372" s="921">
        <f t="shared" si="132"/>
        <v>1</v>
      </c>
      <c r="T372" s="176">
        <f t="shared" si="133"/>
        <v>7</v>
      </c>
      <c r="U372" s="251">
        <f t="shared" si="134"/>
        <v>1.0000373907601496</v>
      </c>
      <c r="V372" s="383">
        <f t="shared" si="135"/>
        <v>22.854972105827482</v>
      </c>
      <c r="W372" s="402">
        <f t="shared" si="136"/>
        <v>21.935329099065719</v>
      </c>
      <c r="X372" s="157">
        <f t="shared" si="137"/>
        <v>45284</v>
      </c>
      <c r="Y372" s="385">
        <f t="shared" si="138"/>
        <v>21.155363825617378</v>
      </c>
      <c r="Z372" s="385">
        <f t="shared" si="139"/>
        <v>22.122542466572668</v>
      </c>
      <c r="AA372" s="386">
        <f t="shared" si="140"/>
        <v>26.010995886342915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0.14949267751074005</v>
      </c>
      <c r="AD372" s="231">
        <f>(INDEX(Models!$BJ372:$BT372,,AH372)*(1-AF372)+INDEX(Models!$BJ372:$BT372,,AH372+1)*AF372-ERP_i)*AE372*Ramure*Pc/MaxiM</f>
        <v>6.7066639078642307E-3</v>
      </c>
      <c r="AE372" s="305">
        <f t="shared" si="142"/>
        <v>0.7</v>
      </c>
      <c r="AF372" s="177">
        <f t="shared" si="143"/>
        <v>3.7390760149635938E-5</v>
      </c>
      <c r="AG372" s="921">
        <f t="shared" si="149"/>
        <v>1</v>
      </c>
      <c r="AH372" s="176">
        <f t="shared" si="144"/>
        <v>7</v>
      </c>
      <c r="AI372" s="225">
        <f t="shared" si="145"/>
        <v>1.0000373907601496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12.849996116015816</v>
      </c>
      <c r="C373" s="955"/>
      <c r="D373" s="393">
        <f t="shared" si="127"/>
        <v>13.437765173623122</v>
      </c>
      <c r="E373" s="385">
        <f t="shared" si="150"/>
        <v>15.238427267310142</v>
      </c>
      <c r="F373" s="385">
        <f t="shared" si="128"/>
        <v>15.27648653631034</v>
      </c>
      <c r="G373" s="110">
        <f t="shared" si="151"/>
        <v>0.55766939211355648</v>
      </c>
      <c r="H373" s="414" t="b">
        <f>Wh_hp&gt;='2022'!Maxi_hp</f>
        <v>0</v>
      </c>
      <c r="I373" s="390">
        <f>IF(H373,Wh_hp,'2022'!Maxi_hp)</f>
        <v>18.791308820692279</v>
      </c>
      <c r="J373" s="85">
        <f>IF(H373,An,'2022'!An_max)</f>
        <v>2019</v>
      </c>
      <c r="K373" s="197">
        <f t="shared" si="129"/>
        <v>45285</v>
      </c>
      <c r="L373" s="147">
        <f>IF(t&lt;Tvie,1-EXP((T0-t)*PertePVj)+'2022'!Pspv,1-EXP((T0-t)*PertePVj)+Pspv)</f>
        <v>4.3740089963845485E-2</v>
      </c>
      <c r="M373" s="959"/>
      <c r="N373" s="959"/>
      <c r="O373" s="48">
        <f>IF(t&lt;Tnet,'2022'!Resal+('2022'!Salim-'2022'!Resal)*(1-EXP(('2022'!Tnet-t)/('2022'!Tau_j))),Resal+(Salim-Resal)*(1-EXP((Tnet-t)/(Tau_j))))*Salcycl</f>
        <v>0.11816587513265529</v>
      </c>
      <c r="P373" s="169">
        <f>(INDEX(Models!$BJ373:$BT373,,T373)*(1-R373)+INDEX(Models!$BJ373:$BT373,,T373+1)*R373-ERP_i)*Q373*Ramure*Pc/MaxiM</f>
        <v>6.7065872930140253E-3</v>
      </c>
      <c r="Q373" s="305">
        <f t="shared" si="130"/>
        <v>0.7</v>
      </c>
      <c r="R373" s="177">
        <f t="shared" si="131"/>
        <v>3.7390760149635938E-5</v>
      </c>
      <c r="S373" s="921">
        <f t="shared" si="132"/>
        <v>1</v>
      </c>
      <c r="T373" s="176">
        <f t="shared" si="133"/>
        <v>7</v>
      </c>
      <c r="U373" s="251">
        <f t="shared" si="134"/>
        <v>1.0000373907601496</v>
      </c>
      <c r="V373" s="383">
        <f t="shared" si="135"/>
        <v>22.944948018114136</v>
      </c>
      <c r="W373" s="402">
        <f t="shared" si="136"/>
        <v>12.849996116015816</v>
      </c>
      <c r="X373" s="157">
        <f t="shared" si="137"/>
        <v>45285</v>
      </c>
      <c r="Y373" s="385">
        <f t="shared" si="138"/>
        <v>12.393516013677536</v>
      </c>
      <c r="Z373" s="385">
        <f t="shared" si="139"/>
        <v>12.960405307809001</v>
      </c>
      <c r="AA373" s="386">
        <f t="shared" si="140"/>
        <v>15.238427267310142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0.14949193375014574</v>
      </c>
      <c r="AD373" s="231">
        <f>(INDEX(Models!$BJ373:$BT373,,AH373)*(1-AF373)+INDEX(Models!$BJ373:$BT373,,AH373+1)*AF373-ERP_i)*AE373*Ramure*Pc/MaxiM</f>
        <v>6.7065872930140253E-3</v>
      </c>
      <c r="AE373" s="305">
        <f t="shared" si="142"/>
        <v>0.7</v>
      </c>
      <c r="AF373" s="177">
        <f t="shared" si="143"/>
        <v>3.7390760149635938E-5</v>
      </c>
      <c r="AG373" s="921">
        <f t="shared" si="149"/>
        <v>1</v>
      </c>
      <c r="AH373" s="176">
        <f t="shared" si="144"/>
        <v>7</v>
      </c>
      <c r="AI373" s="225">
        <f t="shared" si="145"/>
        <v>1.0000373907601496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21.216003467953687</v>
      </c>
      <c r="C374" s="955"/>
      <c r="D374" s="393">
        <f t="shared" si="127"/>
        <v>22.18692631614655</v>
      </c>
      <c r="E374" s="385">
        <f t="shared" si="150"/>
        <v>25.160851685111822</v>
      </c>
      <c r="F374" s="385">
        <f t="shared" si="128"/>
        <v>25.311446428718597</v>
      </c>
      <c r="G374" s="110">
        <f t="shared" si="151"/>
        <v>0.91971998731997007</v>
      </c>
      <c r="H374" s="414" t="b">
        <f>Wh_hp&gt;='2022'!Maxi_hp</f>
        <v>0</v>
      </c>
      <c r="I374" s="390">
        <f>IF(H374,Wh_hp,'2022'!Maxi_hp)</f>
        <v>26.329619230701343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4.3761034510051644E-2</v>
      </c>
      <c r="M374" s="959"/>
      <c r="N374" s="959"/>
      <c r="O374" s="48">
        <f>IF(t&lt;Tnet,'2022'!Resal+('2022'!Salim-'2022'!Resal)*(1-EXP(('2022'!Tnet-t)/('2022'!Tau_j))),Resal+(Salim-Resal)*(1-EXP((Tnet-t)/(Tau_j))))*Salcycl</f>
        <v>0.11819653031558561</v>
      </c>
      <c r="P374" s="169">
        <f>(INDEX(Models!$BJ374:$BT374,,T374)*(1-R374)+INDEX(Models!$BJ374:$BT374,,T374+1)*R374-ERP_i)*Q374*Ramure*Pc/MaxiM</f>
        <v>6.7127506377805454E-3</v>
      </c>
      <c r="Q374" s="305">
        <f t="shared" si="130"/>
        <v>0.7</v>
      </c>
      <c r="R374" s="177">
        <f t="shared" si="131"/>
        <v>3.7390760149635938E-5</v>
      </c>
      <c r="S374" s="921">
        <f t="shared" si="132"/>
        <v>1</v>
      </c>
      <c r="T374" s="176">
        <f t="shared" si="133"/>
        <v>7</v>
      </c>
      <c r="U374" s="251">
        <f t="shared" si="134"/>
        <v>1.0000373907601496</v>
      </c>
      <c r="V374" s="383">
        <f t="shared" si="135"/>
        <v>23.050186286732547</v>
      </c>
      <c r="W374" s="402">
        <f t="shared" si="136"/>
        <v>21.216003467953687</v>
      </c>
      <c r="X374" s="157">
        <f t="shared" si="137"/>
        <v>45286</v>
      </c>
      <c r="Y374" s="385">
        <f t="shared" si="138"/>
        <v>20.463042029935497</v>
      </c>
      <c r="Z374" s="385">
        <f t="shared" si="139"/>
        <v>21.399506575692453</v>
      </c>
      <c r="AA374" s="386">
        <f t="shared" si="140"/>
        <v>25.160851685111822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0.14949196301033929</v>
      </c>
      <c r="AD374" s="231">
        <f>(INDEX(Models!$BJ374:$BT374,,AH374)*(1-AF374)+INDEX(Models!$BJ374:$BT374,,AH374+1)*AF374-ERP_i)*AE374*Ramure*Pc/MaxiM</f>
        <v>6.7127506377805454E-3</v>
      </c>
      <c r="AE374" s="305">
        <f t="shared" si="142"/>
        <v>0.7</v>
      </c>
      <c r="AF374" s="177">
        <f t="shared" si="143"/>
        <v>3.7390760149635938E-5</v>
      </c>
      <c r="AG374" s="921">
        <f t="shared" si="149"/>
        <v>1</v>
      </c>
      <c r="AH374" s="176">
        <f t="shared" si="144"/>
        <v>7</v>
      </c>
      <c r="AI374" s="225">
        <f t="shared" si="145"/>
        <v>1.0000373907601496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5.762416900803589</v>
      </c>
      <c r="C375" s="955"/>
      <c r="D375" s="393">
        <f t="shared" si="127"/>
        <v>6.0262584178782497</v>
      </c>
      <c r="E375" s="385">
        <f t="shared" si="150"/>
        <v>6.8342569562792921</v>
      </c>
      <c r="F375" s="385">
        <f t="shared" si="128"/>
        <v>6.8342569562792921</v>
      </c>
      <c r="G375" s="110">
        <f t="shared" si="151"/>
        <v>0.24703577407798796</v>
      </c>
      <c r="H375" s="414" t="b">
        <f>Wh_hp&gt;='2022'!Maxi_hp</f>
        <v>0</v>
      </c>
      <c r="I375" s="390">
        <f>IF(H375,Wh_hp,'2022'!Maxi_hp)</f>
        <v>27.615988001355355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4.3781978597518423E-2</v>
      </c>
      <c r="M375" s="959"/>
      <c r="N375" s="959"/>
      <c r="O375" s="48">
        <f>IF(t&lt;Tnet,'2022'!Resal+('2022'!Salim-'2022'!Resal)*(1-EXP(('2022'!Tnet-t)/('2022'!Tau_j))),Resal+(Salim-Resal)*(1-EXP((Tnet-t)/(Tau_j))))*Salcycl</f>
        <v>0.11822770837708353</v>
      </c>
      <c r="P375" s="169">
        <f>(INDEX(Models!$BJ375:$BT375,,T375)*(1-R375)+INDEX(Models!$BJ375:$BT375,,T375+1)*R375-ERP_i)*Q375*Ramure*Pc/MaxiM</f>
        <v>6.7237688766459925E-3</v>
      </c>
      <c r="Q375" s="305">
        <f t="shared" si="130"/>
        <v>0.7</v>
      </c>
      <c r="R375" s="177">
        <f t="shared" si="131"/>
        <v>3.7390760149635938E-5</v>
      </c>
      <c r="S375" s="921">
        <f t="shared" si="132"/>
        <v>1</v>
      </c>
      <c r="T375" s="176">
        <f t="shared" si="133"/>
        <v>7</v>
      </c>
      <c r="U375" s="251">
        <f t="shared" si="134"/>
        <v>1.0000373907601496</v>
      </c>
      <c r="V375" s="383">
        <f t="shared" si="135"/>
        <v>23.169404361591663</v>
      </c>
      <c r="W375" s="402">
        <f t="shared" si="136"/>
        <v>5.762416900803589</v>
      </c>
      <c r="X375" s="157">
        <f t="shared" si="137"/>
        <v>45287</v>
      </c>
      <c r="Y375" s="385">
        <f t="shared" si="138"/>
        <v>5.558098980968099</v>
      </c>
      <c r="Z375" s="385">
        <f t="shared" si="139"/>
        <v>5.8125854737772613</v>
      </c>
      <c r="AA375" s="386">
        <f t="shared" si="140"/>
        <v>6.8342569562792921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0.14949269379801741</v>
      </c>
      <c r="AD375" s="231">
        <f>(INDEX(Models!$BJ375:$BT375,,AH375)*(1-AF375)+INDEX(Models!$BJ375:$BT375,,AH375+1)*AF375-ERP_i)*AE375*Ramure*Pc/MaxiM</f>
        <v>6.7237688766459925E-3</v>
      </c>
      <c r="AE375" s="305">
        <f t="shared" si="142"/>
        <v>0.7</v>
      </c>
      <c r="AF375" s="177">
        <f t="shared" si="143"/>
        <v>3.7390760149635938E-5</v>
      </c>
      <c r="AG375" s="921">
        <f t="shared" si="149"/>
        <v>1</v>
      </c>
      <c r="AH375" s="176">
        <f t="shared" si="144"/>
        <v>7</v>
      </c>
      <c r="AI375" s="225">
        <f t="shared" si="145"/>
        <v>1.0000373907601496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22.466026236254233</v>
      </c>
      <c r="C376" s="955"/>
      <c r="D376" s="393">
        <f t="shared" si="127"/>
        <v>23.495183951576728</v>
      </c>
      <c r="E376" s="385">
        <f t="shared" si="150"/>
        <v>26.646366056455001</v>
      </c>
      <c r="F376" s="385">
        <f t="shared" si="128"/>
        <v>26.817729644048132</v>
      </c>
      <c r="G376" s="110">
        <f t="shared" si="151"/>
        <v>0.96381451339829172</v>
      </c>
      <c r="H376" s="414" t="b">
        <f>Wh_hp&gt;='2022'!Maxi_hp</f>
        <v>0</v>
      </c>
      <c r="I376" s="390">
        <f>IF(H376,Wh_hp,'2022'!Maxi_hp)</f>
        <v>26.820419872906378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4.3802922226256036E-2</v>
      </c>
      <c r="M376" s="959"/>
      <c r="N376" s="959"/>
      <c r="O376" s="48">
        <f>IF(t&lt;Tnet,'2022'!Resal+('2022'!Salim-'2022'!Resal)*(1-EXP(('2022'!Tnet-t)/('2022'!Tau_j))),Resal+(Salim-Resal)*(1-EXP((Tnet-t)/(Tau_j))))*Salcycl</f>
        <v>0.11825935657424888</v>
      </c>
      <c r="P376" s="169">
        <f>(INDEX(Models!$BJ376:$BT376,,T376)*(1-R376)+INDEX(Models!$BJ376:$BT376,,T376+1)*R376-ERP_i)*Q376*Ramure*Pc/MaxiM</f>
        <v>6.7348652969749546E-3</v>
      </c>
      <c r="Q376" s="305">
        <f t="shared" si="130"/>
        <v>0.7</v>
      </c>
      <c r="R376" s="177">
        <f t="shared" si="131"/>
        <v>3.7390760149635938E-5</v>
      </c>
      <c r="S376" s="921">
        <f t="shared" si="132"/>
        <v>1</v>
      </c>
      <c r="T376" s="176">
        <f t="shared" si="133"/>
        <v>7</v>
      </c>
      <c r="U376" s="251">
        <f t="shared" si="134"/>
        <v>1.0000373907601496</v>
      </c>
      <c r="V376" s="383">
        <f t="shared" si="135"/>
        <v>23.301399706933054</v>
      </c>
      <c r="W376" s="402">
        <f t="shared" si="136"/>
        <v>22.466026236254233</v>
      </c>
      <c r="X376" s="157">
        <f t="shared" si="137"/>
        <v>45288</v>
      </c>
      <c r="Y376" s="385">
        <f t="shared" si="138"/>
        <v>21.670191717324418</v>
      </c>
      <c r="Z376" s="385">
        <f t="shared" si="139"/>
        <v>22.662892641104719</v>
      </c>
      <c r="AA376" s="386">
        <f t="shared" si="140"/>
        <v>26.646366056455001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0.14949405884879738</v>
      </c>
      <c r="AD376" s="231">
        <f>(INDEX(Models!$BJ376:$BT376,,AH376)*(1-AF376)+INDEX(Models!$BJ376:$BT376,,AH376+1)*AF376-ERP_i)*AE376*Ramure*Pc/MaxiM</f>
        <v>6.7348652969749546E-3</v>
      </c>
      <c r="AE376" s="305">
        <f t="shared" si="142"/>
        <v>0.7</v>
      </c>
      <c r="AF376" s="177">
        <f t="shared" si="143"/>
        <v>3.7390760149635938E-5</v>
      </c>
      <c r="AG376" s="921">
        <f t="shared" si="149"/>
        <v>1</v>
      </c>
      <c r="AH376" s="176">
        <f t="shared" si="144"/>
        <v>7</v>
      </c>
      <c r="AI376" s="225">
        <f t="shared" si="145"/>
        <v>1.0000373907601496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9.7830615395063543</v>
      </c>
      <c r="C377" s="955"/>
      <c r="D377" s="393">
        <f t="shared" si="127"/>
        <v>10.231442916697365</v>
      </c>
      <c r="E377" s="385">
        <f t="shared" si="150"/>
        <v>11.604109581991478</v>
      </c>
      <c r="F377" s="385">
        <f t="shared" si="128"/>
        <v>11.617240553280098</v>
      </c>
      <c r="G377" s="110">
        <f t="shared" si="151"/>
        <v>0.41493360902386978</v>
      </c>
      <c r="H377" s="414" t="b">
        <f>Wh_hp&gt;='2022'!Maxi_hp</f>
        <v>0</v>
      </c>
      <c r="I377" s="390">
        <f>IF(H377,Wh_hp,'2022'!Maxi_hp)</f>
        <v>27.222037432287717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4.3823865396274364E-2</v>
      </c>
      <c r="M377" s="959"/>
      <c r="N377" s="959"/>
      <c r="O377" s="48">
        <f>IF(t&lt;Tnet,'2022'!Resal+('2022'!Salim-'2022'!Resal)*(1-EXP(('2022'!Tnet-t)/('2022'!Tau_j))),Resal+(Salim-Resal)*(1-EXP((Tnet-t)/(Tau_j))))*Salcycl</f>
        <v>0.11829142560187186</v>
      </c>
      <c r="P377" s="169">
        <f>(INDEX(Models!$BJ377:$BT377,,T377)*(1-R377)+INDEX(Models!$BJ377:$BT377,,T377+1)*R377-ERP_i)*Q377*Ramure*Pc/MaxiM</f>
        <v>6.7463515761197242E-3</v>
      </c>
      <c r="Q377" s="305">
        <f t="shared" si="130"/>
        <v>0.7</v>
      </c>
      <c r="R377" s="177">
        <f t="shared" si="131"/>
        <v>3.7390760149635938E-5</v>
      </c>
      <c r="S377" s="921">
        <f t="shared" si="132"/>
        <v>1</v>
      </c>
      <c r="T377" s="176">
        <f t="shared" si="133"/>
        <v>7</v>
      </c>
      <c r="U377" s="251">
        <f t="shared" si="134"/>
        <v>1.0000373907601496</v>
      </c>
      <c r="V377" s="383">
        <f t="shared" si="135"/>
        <v>23.444852337689618</v>
      </c>
      <c r="W377" s="402">
        <f t="shared" si="136"/>
        <v>9.7830615395063543</v>
      </c>
      <c r="X377" s="157">
        <f t="shared" si="137"/>
        <v>45289</v>
      </c>
      <c r="Y377" s="385">
        <f t="shared" si="138"/>
        <v>9.4368289693956289</v>
      </c>
      <c r="Z377" s="385">
        <f t="shared" si="139"/>
        <v>9.8693416703049124</v>
      </c>
      <c r="AA377" s="386">
        <f t="shared" si="140"/>
        <v>11.604109581991478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0.14949599531348509</v>
      </c>
      <c r="AD377" s="231">
        <f>(INDEX(Models!$BJ377:$BT377,,AH377)*(1-AF377)+INDEX(Models!$BJ377:$BT377,,AH377+1)*AF377-ERP_i)*AE377*Ramure*Pc/MaxiM</f>
        <v>6.7463515761197242E-3</v>
      </c>
      <c r="AE377" s="305">
        <f t="shared" si="142"/>
        <v>0.7</v>
      </c>
      <c r="AF377" s="177">
        <f t="shared" si="143"/>
        <v>3.7390760149635938E-5</v>
      </c>
      <c r="AG377" s="921">
        <f t="shared" si="149"/>
        <v>1</v>
      </c>
      <c r="AH377" s="176">
        <f t="shared" si="144"/>
        <v>7</v>
      </c>
      <c r="AI377" s="225">
        <f t="shared" si="145"/>
        <v>1.0000373907601496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14.05173849562234</v>
      </c>
      <c r="C378" s="955"/>
      <c r="D378" s="393">
        <f t="shared" si="127"/>
        <v>14.696085546333986</v>
      </c>
      <c r="E378" s="385">
        <f t="shared" si="150"/>
        <v>16.668349115320936</v>
      </c>
      <c r="F378" s="385">
        <f t="shared" si="128"/>
        <v>16.716033333833984</v>
      </c>
      <c r="G378" s="110">
        <f t="shared" si="151"/>
        <v>0.59311949887125959</v>
      </c>
      <c r="H378" s="414" t="b">
        <f>Wh_hp&gt;='2022'!Maxi_hp</f>
        <v>0</v>
      </c>
      <c r="I378" s="390">
        <f>IF(H378,Wh_hp,'2022'!Maxi_hp)</f>
        <v>27.784365944966957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4.3844808107583622E-2</v>
      </c>
      <c r="M378" s="959"/>
      <c r="N378" s="959"/>
      <c r="O378" s="48">
        <f>IF(t&lt;Tnet,'2022'!Resal+('2022'!Salim-'2022'!Resal)*(1-EXP(('2022'!Tnet-t)/('2022'!Tau_j))),Resal+(Salim-Resal)*(1-EXP((Tnet-t)/(Tau_j))))*Salcycl</f>
        <v>0.11832386970909547</v>
      </c>
      <c r="P378" s="169">
        <f>(INDEX(Models!$BJ378:$BT378,,T378)*(1-R378)+INDEX(Models!$BJ378:$BT378,,T378+1)*R378-ERP_i)*Q378*Ramure*Pc/MaxiM</f>
        <v>6.7585358867621164E-3</v>
      </c>
      <c r="Q378" s="305">
        <f t="shared" si="130"/>
        <v>0.7</v>
      </c>
      <c r="R378" s="177">
        <f t="shared" si="131"/>
        <v>3.7390760149635938E-5</v>
      </c>
      <c r="S378" s="921">
        <f t="shared" si="132"/>
        <v>1</v>
      </c>
      <c r="T378" s="176">
        <f t="shared" si="133"/>
        <v>7</v>
      </c>
      <c r="U378" s="251">
        <f t="shared" si="134"/>
        <v>1.0000373907601496</v>
      </c>
      <c r="V378" s="383">
        <f t="shared" si="135"/>
        <v>23.598442423701211</v>
      </c>
      <c r="W378" s="402">
        <f t="shared" si="136"/>
        <v>14.05173849562234</v>
      </c>
      <c r="X378" s="157">
        <f t="shared" si="137"/>
        <v>45290</v>
      </c>
      <c r="Y378" s="385">
        <f t="shared" si="138"/>
        <v>13.554892813586527</v>
      </c>
      <c r="Z378" s="385">
        <f t="shared" si="139"/>
        <v>14.17645684353684</v>
      </c>
      <c r="AA378" s="386">
        <f t="shared" si="140"/>
        <v>16.668349115320936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0.14949844489959946</v>
      </c>
      <c r="AD378" s="231">
        <f>(INDEX(Models!$BJ378:$BT378,,AH378)*(1-AF378)+INDEX(Models!$BJ378:$BT378,,AH378+1)*AF378-ERP_i)*AE378*Ramure*Pc/MaxiM</f>
        <v>6.7585358867621164E-3</v>
      </c>
      <c r="AE378" s="305">
        <f t="shared" si="142"/>
        <v>0.7</v>
      </c>
      <c r="AF378" s="177">
        <f t="shared" si="143"/>
        <v>3.7390760149635938E-5</v>
      </c>
      <c r="AG378" s="921">
        <f t="shared" si="149"/>
        <v>1</v>
      </c>
      <c r="AH378" s="176">
        <f t="shared" si="144"/>
        <v>7</v>
      </c>
      <c r="AI378" s="225">
        <f t="shared" si="145"/>
        <v>1.0000373907601496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10.627125881656871</v>
      </c>
      <c r="C379" s="955"/>
      <c r="D379" s="393">
        <f t="shared" si="127"/>
        <v>11.114679644265758</v>
      </c>
      <c r="E379" s="385">
        <f t="shared" si="150"/>
        <v>12.606775294890245</v>
      </c>
      <c r="F379" s="385">
        <f t="shared" si="128"/>
        <v>12.624759452793221</v>
      </c>
      <c r="G379" s="110">
        <f t="shared" si="151"/>
        <v>0.44485863285754257</v>
      </c>
      <c r="H379" s="414" t="b">
        <f>Wh_hp&gt;='2022'!Maxi_hp</f>
        <v>0</v>
      </c>
      <c r="I379" s="390">
        <f>IF(H379,Wh_hp,'2022'!Maxi_hp)</f>
        <v>28.039920073924794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4.3865750360193578E-2</v>
      </c>
      <c r="M379" s="959"/>
      <c r="N379" s="959"/>
      <c r="O379" s="48">
        <f>IF(t&lt;Tnet,'2022'!Resal+('2022'!Salim-'2022'!Resal)*(1-EXP(('2022'!Tnet-t)/('2022'!Tau_j))),Resal+(Salim-Resal)*(1-EXP((Tnet-t)/(Tau_j))))*Salcycl</f>
        <v>0.1183566467809781</v>
      </c>
      <c r="P379" s="169">
        <f>(INDEX(Models!$BJ379:$BT379,,T379)*(1-R379)+INDEX(Models!$BJ379:$BT379,,T379+1)*R379-ERP_i)*Q379*Ramure*Pc/MaxiM</f>
        <v>6.7717218008055153E-3</v>
      </c>
      <c r="Q379" s="306">
        <f t="shared" si="130"/>
        <v>0.7</v>
      </c>
      <c r="R379" s="177">
        <f t="shared" si="131"/>
        <v>3.7390760149635938E-5</v>
      </c>
      <c r="S379" s="921">
        <f t="shared" si="132"/>
        <v>1</v>
      </c>
      <c r="T379" s="176">
        <f t="shared" si="133"/>
        <v>7</v>
      </c>
      <c r="U379" s="307">
        <f t="shared" si="134"/>
        <v>1.0000373907601496</v>
      </c>
      <c r="V379" s="383">
        <f t="shared" si="135"/>
        <v>23.760850292385843</v>
      </c>
      <c r="W379" s="402">
        <f t="shared" si="136"/>
        <v>10.627125881656871</v>
      </c>
      <c r="X379" s="157">
        <f t="shared" si="137"/>
        <v>45291</v>
      </c>
      <c r="Y379" s="385">
        <f t="shared" si="138"/>
        <v>10.251714755809671</v>
      </c>
      <c r="Z379" s="385">
        <f t="shared" si="139"/>
        <v>10.722045319129277</v>
      </c>
      <c r="AA379" s="386">
        <f t="shared" si="140"/>
        <v>12.606775294890245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0.14950135396836042</v>
      </c>
      <c r="AD379" s="231">
        <f>(INDEX(Models!$BJ379:$BT379,,AH379)*(1-AF379)+INDEX(Models!$BJ379:$BT379,,AH379+1)*AF379-ERP_i)*AE379*Ramure*Pc/MaxiM</f>
        <v>6.7717218008055153E-3</v>
      </c>
      <c r="AE379" s="306">
        <f t="shared" si="142"/>
        <v>0.7</v>
      </c>
      <c r="AF379" s="177">
        <f t="shared" si="143"/>
        <v>3.7390760149635938E-5</v>
      </c>
      <c r="AG379" s="921">
        <f t="shared" si="149"/>
        <v>1</v>
      </c>
      <c r="AH379" s="176">
        <f t="shared" si="144"/>
        <v>7</v>
      </c>
      <c r="AI379" s="222">
        <f t="shared" si="145"/>
        <v>1.0000373907601496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15.624559392660943</v>
      </c>
      <c r="J380" s="85">
        <f>IF(H380,An,'2022'!An_max)</f>
        <v>2020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83">
        <f>(V379+V15)/2</f>
        <v>24.192018678707434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3.6212385741528186E-2</v>
      </c>
      <c r="M381" s="961"/>
      <c r="N381" s="961"/>
      <c r="O381" s="47">
        <f t="shared" si="152"/>
        <v>0.10189194932449747</v>
      </c>
      <c r="P381" s="168">
        <f t="shared" si="152"/>
        <v>5.1172337414572325E-4</v>
      </c>
      <c r="Q381" s="310">
        <f t="shared" si="152"/>
        <v>0.7</v>
      </c>
      <c r="R381" s="311">
        <f t="shared" si="152"/>
        <v>7.8009299608883254E-6</v>
      </c>
      <c r="S381" s="921">
        <f t="shared" si="152"/>
        <v>0</v>
      </c>
      <c r="T381" s="176">
        <f t="shared" si="152"/>
        <v>6</v>
      </c>
      <c r="U381" s="252">
        <f>+MIN(U15:U380)</f>
        <v>0.50003866379632067</v>
      </c>
      <c r="V381" s="57">
        <f>MIN(V15:V380)</f>
        <v>22.491123855365824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0.14531636741092741</v>
      </c>
      <c r="AD381" s="168">
        <f t="shared" si="153"/>
        <v>5.1172337414572325E-4</v>
      </c>
      <c r="AE381" s="310">
        <f t="shared" si="153"/>
        <v>0.7</v>
      </c>
      <c r="AF381" s="311">
        <f t="shared" si="153"/>
        <v>7.8009299608883254E-6</v>
      </c>
      <c r="AG381" s="921">
        <f t="shared" si="153"/>
        <v>0</v>
      </c>
      <c r="AH381" s="176">
        <f t="shared" si="153"/>
        <v>6</v>
      </c>
      <c r="AI381" s="226">
        <f>MIN(AI15:AI380)</f>
        <v>0.50003866379632067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27.689714849653896</v>
      </c>
      <c r="C382" s="375"/>
      <c r="D382" s="375">
        <f>AVERAGE(D15:D380)</f>
        <v>28.841706887375931</v>
      </c>
      <c r="E382" s="375">
        <f>AVERAGE(E15:E380)</f>
        <v>32.532194564374443</v>
      </c>
      <c r="F382" s="376">
        <f>AVERAGE(F15:F380)</f>
        <v>32.61104583793302</v>
      </c>
      <c r="G382" s="126">
        <f>AVERAGE(G15:G380)</f>
        <v>0.67871387802408079</v>
      </c>
      <c r="H382" s="94"/>
      <c r="I382" s="376">
        <f>AVERAGE(I15:I380)</f>
        <v>43.982782079235456</v>
      </c>
      <c r="J382" s="59">
        <f>AVERAGE(J15:J380)</f>
        <v>2020.2131147540983</v>
      </c>
      <c r="K382" s="200" t="s">
        <v>8</v>
      </c>
      <c r="L382" s="147">
        <f t="shared" ref="L382:V382" si="154">AVERAGE(L15:L380)</f>
        <v>4.004413885791254E-2</v>
      </c>
      <c r="M382" s="959"/>
      <c r="N382" s="959"/>
      <c r="O382" s="48">
        <f t="shared" si="154"/>
        <v>0.11297933619995826</v>
      </c>
      <c r="P382" s="169">
        <f t="shared" si="154"/>
        <v>3.2979569465412021E-3</v>
      </c>
      <c r="Q382" s="312">
        <f t="shared" si="154"/>
        <v>0.69999999999999529</v>
      </c>
      <c r="R382" s="177">
        <f t="shared" si="154"/>
        <v>0.7415660964119023</v>
      </c>
      <c r="S382" s="921">
        <f t="shared" si="154"/>
        <v>3.8356164383561646E-2</v>
      </c>
      <c r="T382" s="176">
        <f t="shared" si="154"/>
        <v>6.0383561643835613</v>
      </c>
      <c r="U382" s="251">
        <f t="shared" si="154"/>
        <v>0.77992226079546401</v>
      </c>
      <c r="V382" s="59">
        <f t="shared" si="154"/>
        <v>39.604098805080206</v>
      </c>
      <c r="X382" s="112" t="s">
        <v>8</v>
      </c>
      <c r="Y382" s="375">
        <f>AVERAGE(Y15:Y380)</f>
        <v>26.502788958023292</v>
      </c>
      <c r="Z382" s="375">
        <f>AVERAGE(Z15:Z380)</f>
        <v>27.605550362236485</v>
      </c>
      <c r="AA382" s="375">
        <f>AVERAGE(AA15:AA380)</f>
        <v>32.532194564374443</v>
      </c>
      <c r="AB382" s="200" t="s">
        <v>8</v>
      </c>
      <c r="AC382" s="48">
        <f t="shared" ref="AC382:AH382" si="155">AVERAGE(AC15:AC380)</f>
        <v>0.15068407434878861</v>
      </c>
      <c r="AD382" s="169">
        <f t="shared" si="155"/>
        <v>3.2979569465412021E-3</v>
      </c>
      <c r="AE382" s="312">
        <f t="shared" si="155"/>
        <v>0.69999999999999529</v>
      </c>
      <c r="AF382" s="177">
        <f t="shared" si="155"/>
        <v>0.7415660964119023</v>
      </c>
      <c r="AG382" s="921">
        <f t="shared" si="155"/>
        <v>3.8356164383561646E-2</v>
      </c>
      <c r="AH382" s="176">
        <f t="shared" si="155"/>
        <v>6.0383561643835613</v>
      </c>
      <c r="AI382" s="225">
        <f>AVERAGE(AI15:AI380)</f>
        <v>0.77992226079546401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51.141608085997774</v>
      </c>
      <c r="C383" s="377"/>
      <c r="D383" s="377">
        <f>MAX(D15:D380)</f>
        <v>53.235440815163386</v>
      </c>
      <c r="E383" s="377">
        <f>MAX(E15:E380)</f>
        <v>59.981477928545281</v>
      </c>
      <c r="F383" s="378">
        <f>MAX(F15:F380)</f>
        <v>60.251561411651252</v>
      </c>
      <c r="G383" s="127">
        <f>+MAX(G15:G380)</f>
        <v>1.0462551840388288</v>
      </c>
      <c r="H383" s="94"/>
      <c r="I383" s="378">
        <f>MAX(I15:I380)</f>
        <v>61.987907498178245</v>
      </c>
      <c r="J383" s="60">
        <f>MAX(J15:J380)</f>
        <v>2023</v>
      </c>
      <c r="K383" s="200" t="s">
        <v>9</v>
      </c>
      <c r="L383" s="148">
        <f t="shared" ref="L383:T383" si="156">MAX(L15:L380)</f>
        <v>4.3865750360193578E-2</v>
      </c>
      <c r="M383" s="962"/>
      <c r="N383" s="962"/>
      <c r="O383" s="49">
        <f t="shared" si="156"/>
        <v>0.11941777409302526</v>
      </c>
      <c r="P383" s="170">
        <f t="shared" si="156"/>
        <v>7.4697501001983E-3</v>
      </c>
      <c r="Q383" s="313">
        <f t="shared" si="156"/>
        <v>0.7</v>
      </c>
      <c r="R383" s="314">
        <f t="shared" si="156"/>
        <v>0.99999961231029155</v>
      </c>
      <c r="S383" s="922">
        <f t="shared" si="156"/>
        <v>1</v>
      </c>
      <c r="T383" s="233">
        <f t="shared" si="156"/>
        <v>7</v>
      </c>
      <c r="U383" s="253">
        <f>+MAX(U15:U380)</f>
        <v>1.0000373907601496</v>
      </c>
      <c r="V383" s="60">
        <f>MAX(V15:V380)</f>
        <v>50.891872032879718</v>
      </c>
      <c r="X383" s="112" t="s">
        <v>9</v>
      </c>
      <c r="Y383" s="377">
        <f>MAX(Y15:Y380)</f>
        <v>48.89132787697352</v>
      </c>
      <c r="Z383" s="377">
        <f>MAX(Z15:Z380)</f>
        <v>50.89302994134804</v>
      </c>
      <c r="AA383" s="377">
        <f>MAX(AA15:AA380)</f>
        <v>59.981477928545281</v>
      </c>
      <c r="AB383" s="200" t="s">
        <v>9</v>
      </c>
      <c r="AC383" s="49">
        <f t="shared" ref="AC383:AH383" si="157">MAX(AC15:AC380)</f>
        <v>0.15533607310167732</v>
      </c>
      <c r="AD383" s="170">
        <f t="shared" si="157"/>
        <v>7.4697501001983E-3</v>
      </c>
      <c r="AE383" s="313">
        <f t="shared" si="157"/>
        <v>0.7</v>
      </c>
      <c r="AF383" s="314">
        <f t="shared" si="157"/>
        <v>0.99999961231029155</v>
      </c>
      <c r="AG383" s="922">
        <f t="shared" si="157"/>
        <v>1</v>
      </c>
      <c r="AH383" s="233">
        <f t="shared" si="157"/>
        <v>7</v>
      </c>
      <c r="AI383" s="227">
        <f>MAX(AI15:AI380)</f>
        <v>1.0000373907601496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'2023'!An+1</f>
        <v>2024</v>
      </c>
      <c r="K1" s="1217"/>
      <c r="L1" s="113" t="str">
        <f>"Calcul pertes et enveloppes en "&amp;TEXT(An,0)</f>
        <v>Calcul pertes et enveloppes en 2024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2024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90.524210909584554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894.79643649062041</v>
      </c>
      <c r="AK4" s="948">
        <f>AM12-AK12</f>
        <v>-3.033756168705164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985.9256445745408</v>
      </c>
      <c r="AA5" s="237">
        <f>Wh_Pvg_s-Wh_Pvg</f>
        <v>-3.033756168705164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2714.1410665050553</v>
      </c>
      <c r="AK5" s="517">
        <f>SUMIF(AK15:AK380,"VRAI",Wh)</f>
        <v>0</v>
      </c>
      <c r="AL5" s="517">
        <f>SUMIF(AJ15:AJ380,"VRAI",Wh_s)</f>
        <v>2623.6147462438466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8049.5580394885556</v>
      </c>
      <c r="AK6" s="517">
        <f>SUMIF(AK15:AK380,"FAUX",Wh)</f>
        <v>10763.699105993612</v>
      </c>
      <c r="AL6" s="517">
        <f>SUMIF(AJ15:AJ380,"FAUX",Wh_s)</f>
        <v>7154.6895954934125</v>
      </c>
      <c r="AM6" s="517">
        <f>SUMIF(AK15:AK380,"FAUX",Wh_s)</f>
        <v>9778.3043417372555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AND(YEAR(Tnet)=An,Resal_2024="I")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2842.9099723253744</v>
      </c>
      <c r="AK7" s="517">
        <f>SUMIF(AK15:AK380,"VRAI",Wh_sa)</f>
        <v>0</v>
      </c>
      <c r="AL7" s="517">
        <f>SUMIF(AJ15:AJ380,"VRAI",Wh_pvt_s)</f>
        <v>2748.0906253160219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AND(YEAR(Tnet)=An,Resal_2024&lt;&gt;"I")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8459.4578774823603</v>
      </c>
      <c r="AK8" s="517">
        <f>SUMIF(AK15:AK380,"FAUX",Wh_sa)</f>
        <v>11881.388937925141</v>
      </c>
      <c r="AL8" s="517">
        <f>SUMIF(AJ15:AJ380,"FAUX",Wh_pvt_s)</f>
        <v>7519.0867191702964</v>
      </c>
      <c r="AM8" s="517">
        <f>SUMIF(AK15:AK380,"FAUX",Wh_sa_s)</f>
        <v>11881.388937925141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11302.367849807735</v>
      </c>
      <c r="E9" s="184">
        <f>SUM(E$15:E$380)</f>
        <v>11881.388937925141</v>
      </c>
      <c r="F9" s="184">
        <f>SUM(F$15:F$380)</f>
        <v>11917.968426969228</v>
      </c>
      <c r="H9" s="1218">
        <f>+SUM(Wh)</f>
        <v>10763.699105993612</v>
      </c>
      <c r="I9" s="1219"/>
      <c r="J9" s="1220"/>
      <c r="K9" s="191"/>
      <c r="L9" s="232"/>
      <c r="M9" s="232"/>
      <c r="N9" s="232"/>
      <c r="O9" s="223">
        <f>Tnet_2024</f>
        <v>45412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9778.3043417372555</v>
      </c>
      <c r="Y9" s="1213"/>
      <c r="Z9" s="517">
        <f>SUM(Z$15:Z$380)</f>
        <v>10267.177344486325</v>
      </c>
      <c r="AA9" s="517">
        <f>SUM(AA$15:AA$380)</f>
        <v>11881.388937925141</v>
      </c>
      <c r="AB9" s="517">
        <f>F9</f>
        <v>11917.968426969228</v>
      </c>
      <c r="AC9" s="325">
        <f>IF(An_Tnet,Tnet,'2023'!Tnet_s)</f>
        <v>45412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3234.431763216297</v>
      </c>
      <c r="AK9" s="517">
        <f>SUMIF(AK15:AK380,"VRAI",Wh_hp)</f>
        <v>0</v>
      </c>
      <c r="AL9" s="517">
        <f>SUMIF(AJ15:AJ380,"VRAI",Wh_sa_s)</f>
        <v>3234.431763216297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8.0000000000000002E-3</v>
      </c>
      <c r="P10" s="422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0.12264808171281394</v>
      </c>
      <c r="AD10" s="429"/>
      <c r="AE10" s="429"/>
      <c r="AF10" s="260"/>
      <c r="AG10" s="261"/>
      <c r="AH10" s="262"/>
      <c r="AI10" s="474"/>
      <c r="AJ10" s="517">
        <f>SUMIF(AJ15:AJ380,"FAUX",Wh_sa)</f>
        <v>8646.957174708843</v>
      </c>
      <c r="AK10" s="517">
        <f>SUMIF(AK15:AK380,"FAUX",Wh_hp)</f>
        <v>11917.968426969228</v>
      </c>
      <c r="AL10" s="517">
        <f>SUMIF(AJ15:AJ380,"FAUX",Wh_sa_s)</f>
        <v>8646.957174708843</v>
      </c>
      <c r="AM10" s="517">
        <f>SUMIF(AK15:AK380,"FAUX",Wh_hp)</f>
        <v>11917.968426969228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538.66874381412345</v>
      </c>
      <c r="E11" s="51">
        <f>(E$9-D$9)*Prod_an/D$9</f>
        <v>551.42505104598888</v>
      </c>
      <c r="F11" s="186">
        <f>(F$9-E$9)*Prod_an/E$9</f>
        <v>33.13843318980647</v>
      </c>
      <c r="G11" s="185" t="s">
        <v>6</v>
      </c>
      <c r="K11" s="194"/>
      <c r="L11" s="211">
        <f>Tvie_2024</f>
        <v>43243</v>
      </c>
      <c r="M11" s="958"/>
      <c r="N11" s="958"/>
      <c r="O11" s="202">
        <f>IF(An_Tnet,Salim_2024,'2023'!Salim)</f>
        <v>0.16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1.5000373907601496</v>
      </c>
      <c r="V11" s="429"/>
      <c r="W11" s="520"/>
      <c r="X11" s="527" t="s">
        <v>44</v>
      </c>
      <c r="Y11" s="50">
        <f>Z$9-Prod_an_s</f>
        <v>488.8730027490692</v>
      </c>
      <c r="Z11" s="51">
        <f>(AA$9-Z$9)*Prod_an_s/Z$9</f>
        <v>1537.3506956205297</v>
      </c>
      <c r="AA11" s="186">
        <f>(AB$9-AA$9)*Prod_an_s/AA$9</f>
        <v>30.104677021101306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373.78790796511265</v>
      </c>
      <c r="AK11" s="948">
        <f>IF($AK7=0,0,($AK9-$AK7)*$AK5/$AK7)</f>
        <v>0</v>
      </c>
      <c r="AL11" s="947">
        <f>IF($AL7=0,0,($AL9-$AL7)*$AL5/$AL7)</f>
        <v>464.31211887469721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4.6255184038828556E-2</v>
      </c>
      <c r="K12" s="191"/>
      <c r="L12" s="212">
        <f>Pspv_2024</f>
        <v>0</v>
      </c>
      <c r="M12" s="212"/>
      <c r="N12" s="212"/>
      <c r="O12" s="205">
        <f>IF(An_Tnet,Tau_2024*365,'2023'!Tau_j)</f>
        <v>1095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1.0000373907601496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'2023'!Df_s</f>
        <v>0.7</v>
      </c>
      <c r="AF12" s="203"/>
      <c r="AG12" s="203"/>
      <c r="AH12" s="203"/>
      <c r="AI12" s="297">
        <f>'2023'!Hdf_s</f>
        <v>1.0000373907601496</v>
      </c>
      <c r="AJ12" s="947">
        <f>IF($AJ8=0,0,($AJ10-$AJ8)*$AJ6/$AJ8)</f>
        <v>178.41408956067409</v>
      </c>
      <c r="AK12" s="948">
        <f>IF($AK8=0,0,($AK10-$AK8)*$AK6/$AK8)</f>
        <v>33.13843318980647</v>
      </c>
      <c r="AL12" s="947">
        <f>IF($AL8=0,0,($AL10-$AL8)*$AL6/$AL8)</f>
        <v>1073.2105260512944</v>
      </c>
      <c r="AM12" s="948">
        <f>IF($AM8=0,0,($AM10-$AM8)*$AM6/$AM8)</f>
        <v>30.104677021101306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552.20199752578674</v>
      </c>
      <c r="AK13" s="73">
        <f>+AK11+AK12</f>
        <v>33.13843318980647</v>
      </c>
      <c r="AL13" s="73">
        <f>+AL11+AL12</f>
        <v>1537.5226449259917</v>
      </c>
      <c r="AM13" s="73">
        <f>+AM11+AM12</f>
        <v>30.104677021101306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2024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2024</v>
      </c>
      <c r="W14" s="952" t="s">
        <v>119</v>
      </c>
      <c r="X14" s="258" t="s">
        <v>2</v>
      </c>
      <c r="Y14" s="107" t="str">
        <f>"Wh / Jour "&amp; TEXT(An,0)</f>
        <v>Wh / Jour 2024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23.508658891754909</v>
      </c>
      <c r="C15" s="955"/>
      <c r="D15" s="393">
        <f t="shared" ref="D15:D78" si="0">Wh/(1-Ppv)</f>
        <v>24.587733168069487</v>
      </c>
      <c r="E15" s="400">
        <f t="shared" ref="E15:E79" si="1">Wh_pvt/(1-Psa)</f>
        <v>27.889571708531083</v>
      </c>
      <c r="F15" s="400">
        <f t="shared" ref="F15:F78" si="2">Wh_sa/(1-Pvg*MEDIAN((-Sdif+Wh/Env_an)/Csdif,0,1))</f>
        <v>28.075295905706962</v>
      </c>
      <c r="G15" s="123">
        <f>+Wh_hp/MaxiM</f>
        <v>0.98219262079031577</v>
      </c>
      <c r="H15" s="414" t="b">
        <f>Wh_hp&gt;='2023'!Maxi_hp</f>
        <v>0</v>
      </c>
      <c r="I15" s="396">
        <f>IF(H15,Wh_hp,'2023'!Maxi_hp)</f>
        <v>28.078120973122783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4.3886692154114559E-2</v>
      </c>
      <c r="M15" s="959"/>
      <c r="N15" s="959"/>
      <c r="O15" s="48">
        <f>IF(t&lt;Tnet,'2023'!Resal+('2023'!Salim-'2023'!Resal)*(1-EXP(('2023'!Tnet-t)/('2023'!Tau_j))),Resal+(Salim-Resal)*(1-EXP((Tnet-t)/(Tau_j))))*Salcycl</f>
        <v>0.11838971838537062</v>
      </c>
      <c r="P15" s="302">
        <f>(INDEX(Models!$BJ15:$BT15,,T15)*(1-R15)+INDEX(Models!$BJ15:$BT15,,T15+1)*R15-ERP_i)*Q15*Ramure*Pc/MaxiM</f>
        <v>6.7862137167437357E-3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3.8586258378936478E-5</v>
      </c>
      <c r="S15" s="92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1.0000385862583789</v>
      </c>
      <c r="V15" s="382">
        <f t="shared" ref="V15:V78" si="9">MaxiM*(1-Ppv)*(1-Pvg)*(1-Psa)</f>
        <v>23.930756289566848</v>
      </c>
      <c r="W15" s="402">
        <f t="shared" ref="W15:W78" si="10">Wh*(A15&gt;Tmaj)</f>
        <v>23.508658891754909</v>
      </c>
      <c r="X15" s="156">
        <f t="shared" ref="X15:X78" si="11">t</f>
        <v>45292</v>
      </c>
      <c r="Y15" s="385">
        <f t="shared" ref="Y15:Y78" si="12">Wh_pvt_s*(1-Ppv)</f>
        <v>22.678960232903989</v>
      </c>
      <c r="Z15" s="385">
        <f>Wh_sa_s*(1-Psa_s)</f>
        <v>23.719950393745151</v>
      </c>
      <c r="AA15" s="386">
        <f t="shared" ref="AA15:AA78" si="13">Wh_hp*(1-Pvg_s*MEDIAN((-Sdif+Wh/Env_an)/Csdif,0,1))</f>
        <v>27.889571708531083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0.14950467358774441</v>
      </c>
      <c r="AD15" s="231">
        <f>(INDEX(Models!$BJ15:$BT15,,AH15)*(1-AF15)+INDEX(Models!$BJ15:$BT15,,AH15+1)*AF15-ERP_i)*AE15*Ramure*Pc/MaxiM</f>
        <v>6.7862137167437357E-3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3.8586258378936478E-5</v>
      </c>
      <c r="AG15" s="92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1.0000385862583789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16.429431438405224</v>
      </c>
      <c r="C16" s="955"/>
      <c r="D16" s="393">
        <f t="shared" si="0"/>
        <v>17.183937466592386</v>
      </c>
      <c r="E16" s="385">
        <f t="shared" si="1"/>
        <v>19.492271732396798</v>
      </c>
      <c r="F16" s="385">
        <f t="shared" si="2"/>
        <v>19.564662239095231</v>
      </c>
      <c r="G16" s="110">
        <f t="shared" ref="G16:G79" si="21">+Wh_hp/MaxiM</f>
        <v>0.67940357908343718</v>
      </c>
      <c r="H16" s="414" t="b">
        <f>Wh_hp&gt;='2023'!Maxi_hp</f>
        <v>0</v>
      </c>
      <c r="I16" s="390">
        <f>IF(H16,Wh_hp,'2023'!Maxi_hp)</f>
        <v>25.967841110496515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4.3907633489356557E-2</v>
      </c>
      <c r="M16" s="959"/>
      <c r="N16" s="959"/>
      <c r="O16" s="48">
        <f>IF(t&lt;Tnet,'2023'!Resal+('2023'!Salim-'2023'!Resal)*(1-EXP(('2023'!Tnet-t)/('2023'!Tau_j))),Resal+(Salim-Resal)*(1-EXP((Tnet-t)/(Tau_j))))*Salcycl</f>
        <v>0.11842304978582271</v>
      </c>
      <c r="P16" s="169">
        <f>(INDEX(Models!$BJ16:$BT16,,T16)*(1-R16)+INDEX(Models!$BJ16:$BT16,,T16+1)*R16-ERP_i)*Q16*Ramure*Pc/MaxiM</f>
        <v>6.7888162487055245E-3</v>
      </c>
      <c r="Q16" s="305">
        <f t="shared" si="4"/>
        <v>0.7</v>
      </c>
      <c r="R16" s="177">
        <f t="shared" si="5"/>
        <v>6.7800872373346976E-5</v>
      </c>
      <c r="S16" s="921">
        <f t="shared" si="6"/>
        <v>1</v>
      </c>
      <c r="T16" s="176">
        <f t="shared" si="7"/>
        <v>7</v>
      </c>
      <c r="U16" s="251">
        <f t="shared" si="8"/>
        <v>1.0000678008723733</v>
      </c>
      <c r="V16" s="383">
        <f t="shared" si="9"/>
        <v>24.107168464408289</v>
      </c>
      <c r="W16" s="402">
        <f t="shared" si="10"/>
        <v>16.429431438405224</v>
      </c>
      <c r="X16" s="157">
        <f t="shared" si="11"/>
        <v>45293</v>
      </c>
      <c r="Y16" s="385">
        <f t="shared" si="12"/>
        <v>15.850112792124477</v>
      </c>
      <c r="Z16" s="385">
        <f t="shared" ref="Z16:Z78" si="22">Wh_sa_s*(1-Psa_s)</f>
        <v>16.578014161927765</v>
      </c>
      <c r="AA16" s="386">
        <f t="shared" si="13"/>
        <v>19.492271732396798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0.1495083595425894</v>
      </c>
      <c r="AD16" s="231">
        <f>(INDEX(Models!$BJ16:$BT16,,AH16)*(1-AF16)+INDEX(Models!$BJ16:$BT16,,AH16+1)*AF16-ERP_i)*AE16*Ramure*Pc/MaxiM</f>
        <v>6.7888162487055245E-3</v>
      </c>
      <c r="AE16" s="305">
        <f t="shared" si="15"/>
        <v>0.7</v>
      </c>
      <c r="AF16" s="177">
        <f t="shared" ref="AF16:AF78" si="23">(Hp_vg_s-AG16)/(INDEX(Echel_vg,AH16+1)-AG16)</f>
        <v>6.7800872373346976E-5</v>
      </c>
      <c r="AG16" s="921">
        <f t="shared" ref="AG16:AG79" si="24">INDEX(Echel_vg,AH16)</f>
        <v>1</v>
      </c>
      <c r="AH16" s="176">
        <f t="shared" si="16"/>
        <v>7</v>
      </c>
      <c r="AI16" s="225">
        <f t="shared" si="17"/>
        <v>1.0000678008723733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17.404160615466036</v>
      </c>
      <c r="C17" s="955"/>
      <c r="D17" s="393">
        <f t="shared" si="0"/>
        <v>18.203828865530131</v>
      </c>
      <c r="E17" s="385">
        <f t="shared" si="1"/>
        <v>20.649952197939683</v>
      </c>
      <c r="F17" s="385">
        <f t="shared" si="2"/>
        <v>20.733603879018773</v>
      </c>
      <c r="G17" s="110">
        <f t="shared" si="21"/>
        <v>0.71457653763263074</v>
      </c>
      <c r="H17" s="414" t="b">
        <f>Wh_hp&gt;='2023'!Maxi_hp</f>
        <v>0</v>
      </c>
      <c r="I17" s="390">
        <f>IF(H17,Wh_hp,'2023'!Maxi_hp)</f>
        <v>30.270872638205173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4.3928574365929451E-2</v>
      </c>
      <c r="M17" s="959"/>
      <c r="N17" s="959"/>
      <c r="O17" s="48">
        <f>IF(t&lt;Tnet,'2023'!Resal+('2023'!Salim-'2023'!Resal)*(1-EXP(('2023'!Tnet-t)/('2023'!Tau_j))),Resal+(Salim-Resal)*(1-EXP((Tnet-t)/(Tau_j))))*Salcycl</f>
        <v>0.11845660992152859</v>
      </c>
      <c r="P17" s="169">
        <f>(INDEX(Models!$BJ17:$BT17,,T17)*(1-R17)+INDEX(Models!$BJ17:$BT17,,T17+1)*R17-ERP_i)*Q17*Ramure*Pc/MaxiM</f>
        <v>6.7799888551745568E-3</v>
      </c>
      <c r="Q17" s="305">
        <f t="shared" si="4"/>
        <v>0.7</v>
      </c>
      <c r="R17" s="177">
        <f t="shared" si="5"/>
        <v>9.8237467862860584E-5</v>
      </c>
      <c r="S17" s="921">
        <f t="shared" si="6"/>
        <v>1</v>
      </c>
      <c r="T17" s="176">
        <f t="shared" si="7"/>
        <v>7</v>
      </c>
      <c r="U17" s="251">
        <f t="shared" si="8"/>
        <v>1.0000982374678629</v>
      </c>
      <c r="V17" s="383">
        <f t="shared" si="9"/>
        <v>24.288770839040794</v>
      </c>
      <c r="W17" s="402">
        <f t="shared" si="10"/>
        <v>17.404160615466036</v>
      </c>
      <c r="X17" s="157">
        <f t="shared" si="11"/>
        <v>45294</v>
      </c>
      <c r="Y17" s="385">
        <f t="shared" si="12"/>
        <v>16.791032001936838</v>
      </c>
      <c r="Z17" s="385">
        <f t="shared" si="22"/>
        <v>17.562528856880075</v>
      </c>
      <c r="AA17" s="386">
        <f t="shared" si="13"/>
        <v>20.649952197939683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0.14951237230310158</v>
      </c>
      <c r="AD17" s="231">
        <f>(INDEX(Models!$BJ17:$BT17,,AH17)*(1-AF17)+INDEX(Models!$BJ17:$BT17,,AH17+1)*AF17-ERP_i)*AE17*Ramure*Pc/MaxiM</f>
        <v>6.7799888551745568E-3</v>
      </c>
      <c r="AE17" s="305">
        <f t="shared" si="15"/>
        <v>0.7</v>
      </c>
      <c r="AF17" s="177">
        <f>(Hp_vg_s-AG17)/(INDEX(Echel_vg,AH17+1)-AG17)</f>
        <v>9.8237467862860584E-5</v>
      </c>
      <c r="AG17" s="921">
        <f>INDEX(Echel_vg,AH17)</f>
        <v>1</v>
      </c>
      <c r="AH17" s="176">
        <f t="shared" si="16"/>
        <v>7</v>
      </c>
      <c r="AI17" s="225">
        <f t="shared" si="17"/>
        <v>1.0000982374678629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18.197137261420067</v>
      </c>
      <c r="C18" s="955"/>
      <c r="D18" s="393">
        <f t="shared" si="0"/>
        <v>19.033657262676687</v>
      </c>
      <c r="E18" s="385">
        <f t="shared" si="1"/>
        <v>21.592114985683022</v>
      </c>
      <c r="F18" s="385">
        <f t="shared" si="2"/>
        <v>21.68499962558047</v>
      </c>
      <c r="G18" s="110">
        <f t="shared" si="21"/>
        <v>0.74167232344359735</v>
      </c>
      <c r="H18" s="414" t="b">
        <f>Wh_hp&gt;='2023'!Maxi_hp</f>
        <v>0</v>
      </c>
      <c r="I18" s="390">
        <f>IF(H18,Wh_hp,'2023'!Maxi_hp)</f>
        <v>25.910930416910517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4.3949514783843568E-2</v>
      </c>
      <c r="M18" s="959"/>
      <c r="N18" s="959"/>
      <c r="O18" s="48">
        <f>IF(t&lt;Tnet,'2023'!Resal+('2023'!Salim-'2023'!Resal)*(1-EXP(('2023'!Tnet-t)/('2023'!Tau_j))),Resal+(Salim-Resal)*(1-EXP((Tnet-t)/(Tau_j))))*Salcycl</f>
        <v>0.11849037135559699</v>
      </c>
      <c r="P18" s="169">
        <f>(INDEX(Models!$BJ18:$BT18,,T18)*(1-R18)+INDEX(Models!$BJ18:$BT18,,T18+1)*R18-ERP_i)*Q18*Ramure*Pc/MaxiM</f>
        <v>6.7603227651604168E-3</v>
      </c>
      <c r="Q18" s="305">
        <f t="shared" si="4"/>
        <v>0.7</v>
      </c>
      <c r="R18" s="177">
        <f t="shared" si="5"/>
        <v>1.2994699915802599E-4</v>
      </c>
      <c r="S18" s="921">
        <f t="shared" si="6"/>
        <v>1</v>
      </c>
      <c r="T18" s="176">
        <f t="shared" si="7"/>
        <v>7</v>
      </c>
      <c r="U18" s="251">
        <f t="shared" si="8"/>
        <v>1.000129946999158</v>
      </c>
      <c r="V18" s="383">
        <f t="shared" si="9"/>
        <v>24.47424440984129</v>
      </c>
      <c r="W18" s="402">
        <f t="shared" si="10"/>
        <v>18.197137261420067</v>
      </c>
      <c r="X18" s="157">
        <f t="shared" si="11"/>
        <v>45295</v>
      </c>
      <c r="Y18" s="385">
        <f t="shared" si="12"/>
        <v>17.556656518688637</v>
      </c>
      <c r="Z18" s="385">
        <f>Wh_sa_s*(1-Psa_s)</f>
        <v>18.363733704626693</v>
      </c>
      <c r="AA18" s="386">
        <f t="shared" si="13"/>
        <v>21.592114985683022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0.14951667695345991</v>
      </c>
      <c r="AD18" s="231">
        <f>(INDEX(Models!$BJ18:$BT18,,AH18)*(1-AF18)+INDEX(Models!$BJ18:$BT18,,AH18+1)*AF18-ERP_i)*AE18*Ramure*Pc/MaxiM</f>
        <v>6.7603227651604168E-3</v>
      </c>
      <c r="AE18" s="305">
        <f t="shared" si="15"/>
        <v>0.7</v>
      </c>
      <c r="AF18" s="177">
        <f t="shared" si="23"/>
        <v>1.2994699915802599E-4</v>
      </c>
      <c r="AG18" s="921">
        <f t="shared" si="24"/>
        <v>1</v>
      </c>
      <c r="AH18" s="176">
        <f t="shared" si="16"/>
        <v>7</v>
      </c>
      <c r="AI18" s="225">
        <f t="shared" si="17"/>
        <v>1.000129946999158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12.854293401638676</v>
      </c>
      <c r="C19" s="955"/>
      <c r="D19" s="393">
        <f t="shared" si="0"/>
        <v>13.445498065841306</v>
      </c>
      <c r="E19" s="385">
        <f t="shared" si="1"/>
        <v>15.253396345834751</v>
      </c>
      <c r="F19" s="385">
        <f t="shared" si="2"/>
        <v>15.285908400440315</v>
      </c>
      <c r="G19" s="110">
        <f t="shared" si="21"/>
        <v>0.5188083954906384</v>
      </c>
      <c r="H19" s="414" t="b">
        <f>Wh_hp&gt;='2023'!Maxi_hp</f>
        <v>0</v>
      </c>
      <c r="I19" s="390">
        <f>IF(H19,Wh_hp,'2023'!Maxi_hp)</f>
        <v>29.868700088933423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4.3970454743108678E-2</v>
      </c>
      <c r="M19" s="959"/>
      <c r="N19" s="959"/>
      <c r="O19" s="48">
        <f>IF(t&lt;Tnet,'2023'!Resal+('2023'!Salim-'2023'!Resal)*(1-EXP(('2023'!Tnet-t)/('2023'!Tau_j))),Resal+(Salim-Resal)*(1-EXP((Tnet-t)/(Tau_j))))*Salcycl</f>
        <v>0.11852431019319359</v>
      </c>
      <c r="P19" s="169">
        <f>(INDEX(Models!$BJ19:$BT19,,T19)*(1-R19)+INDEX(Models!$BJ19:$BT19,,T19+1)*R19-ERP_i)*Q19*Ramure*Pc/MaxiM</f>
        <v>6.7303982044212458E-3</v>
      </c>
      <c r="Q19" s="305">
        <f t="shared" si="4"/>
        <v>0.7</v>
      </c>
      <c r="R19" s="177">
        <f t="shared" si="5"/>
        <v>1.6298253171953547E-4</v>
      </c>
      <c r="S19" s="921">
        <f t="shared" si="6"/>
        <v>1</v>
      </c>
      <c r="T19" s="176">
        <f t="shared" si="7"/>
        <v>7</v>
      </c>
      <c r="U19" s="251">
        <f t="shared" si="8"/>
        <v>1.0001629825317195</v>
      </c>
      <c r="V19" s="383">
        <f t="shared" si="9"/>
        <v>24.66227041008236</v>
      </c>
      <c r="W19" s="402">
        <f t="shared" si="10"/>
        <v>12.854293401638676</v>
      </c>
      <c r="X19" s="157">
        <f t="shared" si="11"/>
        <v>45296</v>
      </c>
      <c r="Y19" s="385">
        <f t="shared" si="12"/>
        <v>12.402274503649643</v>
      </c>
      <c r="Z19" s="385">
        <f t="shared" si="22"/>
        <v>12.972689562974827</v>
      </c>
      <c r="AA19" s="386">
        <f t="shared" si="13"/>
        <v>15.253396345834751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0.14952124308254261</v>
      </c>
      <c r="AD19" s="231">
        <f>(INDEX(Models!$BJ19:$BT19,,AH19)*(1-AF19)+INDEX(Models!$BJ19:$BT19,,AH19+1)*AF19-ERP_i)*AE19*Ramure*Pc/MaxiM</f>
        <v>6.7303982044212458E-3</v>
      </c>
      <c r="AE19" s="305">
        <f t="shared" si="15"/>
        <v>0.7</v>
      </c>
      <c r="AF19" s="177">
        <f t="shared" si="23"/>
        <v>1.6298253171953547E-4</v>
      </c>
      <c r="AG19" s="921">
        <f t="shared" si="24"/>
        <v>1</v>
      </c>
      <c r="AH19" s="176">
        <f t="shared" si="16"/>
        <v>7</v>
      </c>
      <c r="AI19" s="225">
        <f t="shared" si="17"/>
        <v>1.0001629825317195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23.642307294664988</v>
      </c>
      <c r="C20" s="955"/>
      <c r="D20" s="393">
        <f t="shared" si="0"/>
        <v>24.730224343495717</v>
      </c>
      <c r="E20" s="385">
        <f t="shared" si="1"/>
        <v>28.056566096983808</v>
      </c>
      <c r="F20" s="385">
        <f t="shared" si="2"/>
        <v>28.232331970985658</v>
      </c>
      <c r="G20" s="110">
        <f t="shared" si="21"/>
        <v>0.95089688477921297</v>
      </c>
      <c r="H20" s="414" t="b">
        <f>Wh_hp&gt;='2023'!Maxi_hp</f>
        <v>0</v>
      </c>
      <c r="I20" s="390">
        <f>IF(H20,Wh_hp,'2023'!Maxi_hp)</f>
        <v>28.521480989437787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4.3991394243734883E-2</v>
      </c>
      <c r="M20" s="959"/>
      <c r="N20" s="959"/>
      <c r="O20" s="48">
        <f>IF(t&lt;Tnet,'2023'!Resal+('2023'!Salim-'2023'!Resal)*(1-EXP(('2023'!Tnet-t)/('2023'!Tau_j))),Resal+(Salim-Resal)*(1-EXP((Tnet-t)/(Tau_j))))*Salcycl</f>
        <v>0.11855840597134538</v>
      </c>
      <c r="P20" s="169">
        <f>(INDEX(Models!$BJ20:$BT20,,T20)*(1-R20)+INDEX(Models!$BJ20:$BT20,,T20+1)*R20-ERP_i)*Q20*Ramure*Pc/MaxiM</f>
        <v>6.6907790524340996E-3</v>
      </c>
      <c r="Q20" s="305">
        <f t="shared" si="4"/>
        <v>0.7</v>
      </c>
      <c r="R20" s="177">
        <f t="shared" si="5"/>
        <v>1.9739932847029351E-4</v>
      </c>
      <c r="S20" s="921">
        <f t="shared" si="6"/>
        <v>1</v>
      </c>
      <c r="T20" s="176">
        <f t="shared" si="7"/>
        <v>7</v>
      </c>
      <c r="U20" s="251">
        <f t="shared" si="8"/>
        <v>1.0001973993284703</v>
      </c>
      <c r="V20" s="383">
        <f t="shared" si="9"/>
        <v>24.851530293744418</v>
      </c>
      <c r="W20" s="402">
        <f t="shared" si="10"/>
        <v>23.642307294664988</v>
      </c>
      <c r="X20" s="157">
        <f t="shared" si="11"/>
        <v>45297</v>
      </c>
      <c r="Y20" s="385">
        <f t="shared" si="12"/>
        <v>22.811683422892727</v>
      </c>
      <c r="Z20" s="385">
        <f t="shared" si="22"/>
        <v>23.861378742346361</v>
      </c>
      <c r="AA20" s="386">
        <f t="shared" si="13"/>
        <v>28.056566096983808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0.1495260446390996</v>
      </c>
      <c r="AD20" s="231">
        <f>(INDEX(Models!$BJ20:$BT20,,AH20)*(1-AF20)+INDEX(Models!$BJ20:$BT20,,AH20+1)*AF20-ERP_i)*AE20*Ramure*Pc/MaxiM</f>
        <v>6.6907790524340996E-3</v>
      </c>
      <c r="AE20" s="305">
        <f t="shared" si="15"/>
        <v>0.7</v>
      </c>
      <c r="AF20" s="177">
        <f t="shared" si="23"/>
        <v>1.9739932847029351E-4</v>
      </c>
      <c r="AG20" s="921">
        <f t="shared" si="24"/>
        <v>1</v>
      </c>
      <c r="AH20" s="176">
        <f t="shared" si="16"/>
        <v>7</v>
      </c>
      <c r="AI20" s="225">
        <f t="shared" si="17"/>
        <v>1.0001973993284703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8.593329206759746</v>
      </c>
      <c r="C21" s="955"/>
      <c r="D21" s="393">
        <f t="shared" si="0"/>
        <v>8.988954048220144</v>
      </c>
      <c r="E21" s="385">
        <f t="shared" si="1"/>
        <v>10.19841048723077</v>
      </c>
      <c r="F21" s="385">
        <f t="shared" si="2"/>
        <v>10.202590120136799</v>
      </c>
      <c r="G21" s="110">
        <f t="shared" si="21"/>
        <v>0.34103474407419315</v>
      </c>
      <c r="H21" s="414" t="b">
        <f>Wh_hp&gt;='2023'!Maxi_hp</f>
        <v>0</v>
      </c>
      <c r="I21" s="390">
        <f>IF(H21,Wh_hp,'2023'!Maxi_hp)</f>
        <v>15.334327230197083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4.4012333285732397E-2</v>
      </c>
      <c r="M21" s="959"/>
      <c r="N21" s="959"/>
      <c r="O21" s="48">
        <f>IF(t&lt;Tnet,'2023'!Resal+('2023'!Salim-'2023'!Resal)*(1-EXP(('2023'!Tnet-t)/('2023'!Tau_j))),Resal+(Salim-Resal)*(1-EXP((Tnet-t)/(Tau_j))))*Salcycl</f>
        <v>0.11859264152241791</v>
      </c>
      <c r="P21" s="169">
        <f>(INDEX(Models!$BJ21:$BT21,,T21)*(1-R21)+INDEX(Models!$BJ21:$BT21,,T21+1)*R21-ERP_i)*Q21*Ramure*Pc/MaxiM</f>
        <v>6.6420082776242123E-3</v>
      </c>
      <c r="Q21" s="305">
        <f t="shared" si="4"/>
        <v>0.7</v>
      </c>
      <c r="R21" s="177">
        <f t="shared" si="5"/>
        <v>2.3325493953341159E-4</v>
      </c>
      <c r="S21" s="921">
        <f t="shared" si="6"/>
        <v>1</v>
      </c>
      <c r="T21" s="176">
        <f t="shared" si="7"/>
        <v>7</v>
      </c>
      <c r="U21" s="251">
        <f t="shared" si="8"/>
        <v>1.0002332549395334</v>
      </c>
      <c r="V21" s="383">
        <f t="shared" si="9"/>
        <v>25.040705731679385</v>
      </c>
      <c r="W21" s="402">
        <f t="shared" si="10"/>
        <v>8.593329206759746</v>
      </c>
      <c r="X21" s="157">
        <f t="shared" si="11"/>
        <v>45298</v>
      </c>
      <c r="Y21" s="385">
        <f t="shared" si="12"/>
        <v>8.2916934075540762</v>
      </c>
      <c r="Z21" s="385">
        <f t="shared" si="22"/>
        <v>8.6734313592691539</v>
      </c>
      <c r="AA21" s="386">
        <f t="shared" si="13"/>
        <v>10.19841048723077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0.1495310597539698</v>
      </c>
      <c r="AD21" s="231">
        <f>(INDEX(Models!$BJ21:$BT21,,AH21)*(1-AF21)+INDEX(Models!$BJ21:$BT21,,AH21+1)*AF21-ERP_i)*AE21*Ramure*Pc/MaxiM</f>
        <v>6.6420082776242123E-3</v>
      </c>
      <c r="AE21" s="305">
        <f t="shared" si="15"/>
        <v>0.7</v>
      </c>
      <c r="AF21" s="177">
        <f t="shared" si="23"/>
        <v>2.3325493953341159E-4</v>
      </c>
      <c r="AG21" s="921">
        <f t="shared" si="24"/>
        <v>1</v>
      </c>
      <c r="AH21" s="176">
        <f t="shared" si="16"/>
        <v>7</v>
      </c>
      <c r="AI21" s="225">
        <f t="shared" si="17"/>
        <v>1.0002332549395334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4.9816320202579645</v>
      </c>
      <c r="C22" s="955"/>
      <c r="D22" s="393">
        <f t="shared" si="0"/>
        <v>5.2110935178654989</v>
      </c>
      <c r="E22" s="385">
        <f t="shared" si="1"/>
        <v>5.9124723976115598</v>
      </c>
      <c r="F22" s="385">
        <f t="shared" si="2"/>
        <v>5.9124723976115598</v>
      </c>
      <c r="G22" s="110">
        <f t="shared" si="21"/>
        <v>0.196160459103144</v>
      </c>
      <c r="H22" s="414" t="b">
        <f>Wh_hp&gt;='2023'!Maxi_hp</f>
        <v>0</v>
      </c>
      <c r="I22" s="390">
        <f>IF(H22,Wh_hp,'2023'!Maxi_hp)</f>
        <v>20.926751067686602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4.4033271869111101E-2</v>
      </c>
      <c r="M22" s="959"/>
      <c r="N22" s="959"/>
      <c r="O22" s="48">
        <f>IF(t&lt;Tnet,'2023'!Resal+('2023'!Salim-'2023'!Resal)*(1-EXP(('2023'!Tnet-t)/('2023'!Tau_j))),Resal+(Salim-Resal)*(1-EXP((Tnet-t)/(Tau_j))))*Salcycl</f>
        <v>0.1186270028134752</v>
      </c>
      <c r="P22" s="169">
        <f>(INDEX(Models!$BJ22:$BT22,,T22)*(1-R22)+INDEX(Models!$BJ22:$BT22,,T22+1)*R22-ERP_i)*Q22*Ramure*Pc/MaxiM</f>
        <v>6.5846040910573986E-3</v>
      </c>
      <c r="Q22" s="305">
        <f t="shared" si="4"/>
        <v>0.7</v>
      </c>
      <c r="R22" s="177">
        <f t="shared" si="5"/>
        <v>2.7060929553068824E-4</v>
      </c>
      <c r="S22" s="921">
        <f t="shared" si="6"/>
        <v>1</v>
      </c>
      <c r="T22" s="176">
        <f t="shared" si="7"/>
        <v>7</v>
      </c>
      <c r="U22" s="251">
        <f t="shared" si="8"/>
        <v>1.0002706092955307</v>
      </c>
      <c r="V22" s="383">
        <f t="shared" si="9"/>
        <v>25.228478605237488</v>
      </c>
      <c r="W22" s="402">
        <f t="shared" si="10"/>
        <v>4.9816320202579645</v>
      </c>
      <c r="X22" s="157">
        <f t="shared" si="11"/>
        <v>45299</v>
      </c>
      <c r="Y22" s="385">
        <f t="shared" si="12"/>
        <v>4.8069289169387339</v>
      </c>
      <c r="Z22" s="385">
        <f t="shared" si="22"/>
        <v>5.0283433256482333</v>
      </c>
      <c r="AA22" s="386">
        <f t="shared" si="13"/>
        <v>5.9124723976115598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0.14953627053218638</v>
      </c>
      <c r="AD22" s="231">
        <f>(INDEX(Models!$BJ22:$BT22,,AH22)*(1-AF22)+INDEX(Models!$BJ22:$BT22,,AH22+1)*AF22-ERP_i)*AE22*Ramure*Pc/MaxiM</f>
        <v>6.5846040910573986E-3</v>
      </c>
      <c r="AE22" s="305">
        <f t="shared" si="15"/>
        <v>0.7</v>
      </c>
      <c r="AF22" s="177">
        <f t="shared" si="23"/>
        <v>2.7060929553068824E-4</v>
      </c>
      <c r="AG22" s="921">
        <f t="shared" si="24"/>
        <v>1</v>
      </c>
      <c r="AH22" s="176">
        <f t="shared" si="16"/>
        <v>7</v>
      </c>
      <c r="AI22" s="225">
        <f t="shared" si="17"/>
        <v>1.0002706092955307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1.4812570616550063</v>
      </c>
      <c r="C23" s="955"/>
      <c r="D23" s="393">
        <f t="shared" si="0"/>
        <v>1.5495199384114919</v>
      </c>
      <c r="E23" s="385">
        <f t="shared" si="1"/>
        <v>1.7581438925854056</v>
      </c>
      <c r="F23" s="385">
        <f t="shared" si="2"/>
        <v>1.7581438925854056</v>
      </c>
      <c r="G23" s="110">
        <f t="shared" si="21"/>
        <v>5.7899726176579493E-2</v>
      </c>
      <c r="H23" s="414" t="b">
        <f>Wh_hp&gt;='2023'!Maxi_hp</f>
        <v>0</v>
      </c>
      <c r="I23" s="390">
        <f>IF(H23,Wh_hp,'2023'!Maxi_hp)</f>
        <v>27.858667670277544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4.4054209993881099E-2</v>
      </c>
      <c r="M23" s="959"/>
      <c r="N23" s="959"/>
      <c r="O23" s="48">
        <f>IF(t&lt;Tnet,'2023'!Resal+('2023'!Salim-'2023'!Resal)*(1-EXP(('2023'!Tnet-t)/('2023'!Tau_j))),Resal+(Salim-Resal)*(1-EXP((Tnet-t)/(Tau_j))))*Salcycl</f>
        <v>0.1186614787639057</v>
      </c>
      <c r="P23" s="169">
        <f>(INDEX(Models!$BJ23:$BT23,,T23)*(1-R23)+INDEX(Models!$BJ23:$BT23,,T23+1)*R23-ERP_i)*Q23*Ramure*Pc/MaxiM</f>
        <v>6.518329458067542E-3</v>
      </c>
      <c r="Q23" s="305">
        <f t="shared" si="4"/>
        <v>0.7</v>
      </c>
      <c r="R23" s="177">
        <f t="shared" si="5"/>
        <v>3.0952480456569731E-4</v>
      </c>
      <c r="S23" s="921">
        <f t="shared" si="6"/>
        <v>1</v>
      </c>
      <c r="T23" s="176">
        <f t="shared" si="7"/>
        <v>7</v>
      </c>
      <c r="U23" s="251">
        <f t="shared" si="8"/>
        <v>1.0003095248045657</v>
      </c>
      <c r="V23" s="383">
        <f t="shared" si="9"/>
        <v>25.416385141909608</v>
      </c>
      <c r="W23" s="402">
        <f t="shared" si="10"/>
        <v>1.4812570616550063</v>
      </c>
      <c r="X23" s="157">
        <f t="shared" si="11"/>
        <v>45300</v>
      </c>
      <c r="Y23" s="385">
        <f t="shared" si="12"/>
        <v>1.4293570373247193</v>
      </c>
      <c r="Z23" s="385">
        <f t="shared" si="22"/>
        <v>1.4952281314148266</v>
      </c>
      <c r="AA23" s="386">
        <f t="shared" si="13"/>
        <v>1.7581438925854056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0.14954166281802639</v>
      </c>
      <c r="AD23" s="231">
        <f>(INDEX(Models!$BJ23:$BT23,,AH23)*(1-AF23)+INDEX(Models!$BJ23:$BT23,,AH23+1)*AF23-ERP_i)*AE23*Ramure*Pc/MaxiM</f>
        <v>6.518329458067542E-3</v>
      </c>
      <c r="AE23" s="305">
        <f t="shared" si="15"/>
        <v>0.7</v>
      </c>
      <c r="AF23" s="177">
        <f t="shared" si="23"/>
        <v>3.0952480456569731E-4</v>
      </c>
      <c r="AG23" s="921">
        <f t="shared" si="24"/>
        <v>1</v>
      </c>
      <c r="AH23" s="176">
        <f t="shared" si="16"/>
        <v>7</v>
      </c>
      <c r="AI23" s="225">
        <f t="shared" si="17"/>
        <v>1.0003095248045657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1.3707257359247205</v>
      </c>
      <c r="C24" s="955"/>
      <c r="D24" s="393">
        <f t="shared" si="0"/>
        <v>1.4339262469946337</v>
      </c>
      <c r="E24" s="385">
        <f t="shared" si="1"/>
        <v>1.627050763772854</v>
      </c>
      <c r="F24" s="385">
        <f t="shared" si="2"/>
        <v>1.627050763772854</v>
      </c>
      <c r="G24" s="110">
        <f t="shared" si="21"/>
        <v>5.318437122628894E-2</v>
      </c>
      <c r="H24" s="414" t="b">
        <f>Wh_hp&gt;='2023'!Maxi_hp</f>
        <v>0</v>
      </c>
      <c r="I24" s="390">
        <f>IF(H24,Wh_hp,'2023'!Maxi_hp)</f>
        <v>10.822941868477683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4.4075147660052383E-2</v>
      </c>
      <c r="M24" s="959"/>
      <c r="N24" s="959"/>
      <c r="O24" s="48">
        <f>IF(t&lt;Tnet,'2023'!Resal+('2023'!Salim-'2023'!Resal)*(1-EXP(('2023'!Tnet-t)/('2023'!Tau_j))),Resal+(Salim-Resal)*(1-EXP((Tnet-t)/(Tau_j))))*Salcycl</f>
        <v>0.11869606104384674</v>
      </c>
      <c r="P24" s="169">
        <f>(INDEX(Models!$BJ24:$BT24,,T24)*(1-R24)+INDEX(Models!$BJ24:$BT24,,T24+1)*R24-ERP_i)*Q24*Ramure*Pc/MaxiM</f>
        <v>6.4351788526326162E-3</v>
      </c>
      <c r="Q24" s="305">
        <f t="shared" si="4"/>
        <v>0.7</v>
      </c>
      <c r="R24" s="177">
        <f t="shared" si="5"/>
        <v>3.5006645303536921E-4</v>
      </c>
      <c r="S24" s="921">
        <f t="shared" si="6"/>
        <v>1</v>
      </c>
      <c r="T24" s="176">
        <f t="shared" si="7"/>
        <v>7</v>
      </c>
      <c r="U24" s="251">
        <f t="shared" si="8"/>
        <v>1.0003500664530354</v>
      </c>
      <c r="V24" s="383">
        <f t="shared" si="9"/>
        <v>25.607238353190333</v>
      </c>
      <c r="W24" s="402">
        <f t="shared" si="10"/>
        <v>1.3707257359247205</v>
      </c>
      <c r="X24" s="157">
        <f t="shared" si="11"/>
        <v>45301</v>
      </c>
      <c r="Y24" s="385">
        <f t="shared" si="12"/>
        <v>1.3227417387677904</v>
      </c>
      <c r="Z24" s="385">
        <f t="shared" si="22"/>
        <v>1.3837298355931797</v>
      </c>
      <c r="AA24" s="386">
        <f t="shared" si="13"/>
        <v>1.627050763772854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0.14954722593624209</v>
      </c>
      <c r="AD24" s="231">
        <f>(INDEX(Models!$BJ24:$BT24,,AH24)*(1-AF24)+INDEX(Models!$BJ24:$BT24,,AH24+1)*AF24-ERP_i)*AE24*Ramure*Pc/MaxiM</f>
        <v>6.4351788526326162E-3</v>
      </c>
      <c r="AE24" s="305">
        <f t="shared" si="15"/>
        <v>0.7</v>
      </c>
      <c r="AF24" s="177">
        <f t="shared" si="23"/>
        <v>3.5006645303536921E-4</v>
      </c>
      <c r="AG24" s="921">
        <f t="shared" si="24"/>
        <v>1</v>
      </c>
      <c r="AH24" s="176">
        <f t="shared" si="16"/>
        <v>7</v>
      </c>
      <c r="AI24" s="225">
        <f t="shared" si="17"/>
        <v>1.0003500664530354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25.43216782308463</v>
      </c>
      <c r="C25" s="955"/>
      <c r="D25" s="393">
        <f t="shared" si="0"/>
        <v>26.605360037219867</v>
      </c>
      <c r="E25" s="385">
        <f t="shared" si="1"/>
        <v>30.189819798813446</v>
      </c>
      <c r="F25" s="385">
        <f t="shared" si="2"/>
        <v>30.378389767096451</v>
      </c>
      <c r="G25" s="110">
        <f t="shared" si="21"/>
        <v>0.98556453435557956</v>
      </c>
      <c r="H25" s="414" t="b">
        <f>Wh_hp&gt;='2023'!Maxi_hp</f>
        <v>0</v>
      </c>
      <c r="I25" s="390">
        <f>IF(H25,Wh_hp,'2023'!Maxi_hp)</f>
        <v>30.380982956889898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4.4096084867635166E-2</v>
      </c>
      <c r="M25" s="959"/>
      <c r="N25" s="959"/>
      <c r="O25" s="48">
        <f>IF(t&lt;Tnet,'2023'!Resal+('2023'!Salim-'2023'!Resal)*(1-EXP(('2023'!Tnet-t)/('2023'!Tau_j))),Resal+(Salim-Resal)*(1-EXP((Tnet-t)/(Tau_j))))*Salcycl</f>
        <v>0.11873074385606161</v>
      </c>
      <c r="P25" s="169">
        <f>(INDEX(Models!$BJ25:$BT25,,T25)*(1-R25)+INDEX(Models!$BJ25:$BT25,,T25+1)*R25-ERP_i)*Q25*Ramure*Pc/MaxiM</f>
        <v>6.3368890719621923E-3</v>
      </c>
      <c r="Q25" s="305">
        <f t="shared" si="4"/>
        <v>0.7</v>
      </c>
      <c r="R25" s="177">
        <f t="shared" si="5"/>
        <v>3.923019104012937E-4</v>
      </c>
      <c r="S25" s="921">
        <f t="shared" si="6"/>
        <v>1</v>
      </c>
      <c r="T25" s="176">
        <f t="shared" si="7"/>
        <v>7</v>
      </c>
      <c r="U25" s="251">
        <f t="shared" si="8"/>
        <v>1.0003923019104013</v>
      </c>
      <c r="V25" s="383">
        <f t="shared" si="9"/>
        <v>25.801307235058502</v>
      </c>
      <c r="W25" s="402">
        <f t="shared" si="10"/>
        <v>25.43216782308463</v>
      </c>
      <c r="X25" s="157">
        <f t="shared" si="11"/>
        <v>45302</v>
      </c>
      <c r="Y25" s="385">
        <f t="shared" si="12"/>
        <v>24.542683054122556</v>
      </c>
      <c r="Z25" s="385">
        <f t="shared" si="22"/>
        <v>25.674843115088727</v>
      </c>
      <c r="AA25" s="386">
        <f t="shared" si="13"/>
        <v>30.189819798813446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0.14955295241285849</v>
      </c>
      <c r="AD25" s="231">
        <f>(INDEX(Models!$BJ25:$BT25,,AH25)*(1-AF25)+INDEX(Models!$BJ25:$BT25,,AH25+1)*AF25-ERP_i)*AE25*Ramure*Pc/MaxiM</f>
        <v>6.3368890719621923E-3</v>
      </c>
      <c r="AE25" s="305">
        <f t="shared" si="15"/>
        <v>0.7</v>
      </c>
      <c r="AF25" s="177">
        <f t="shared" si="23"/>
        <v>3.923019104012937E-4</v>
      </c>
      <c r="AG25" s="921">
        <f t="shared" si="24"/>
        <v>1</v>
      </c>
      <c r="AH25" s="176">
        <f t="shared" si="16"/>
        <v>7</v>
      </c>
      <c r="AI25" s="225">
        <f t="shared" si="17"/>
        <v>1.0003923019104013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20.628104097332333</v>
      </c>
      <c r="C26" s="955"/>
      <c r="D26" s="393">
        <f t="shared" si="0"/>
        <v>21.580156320201098</v>
      </c>
      <c r="E26" s="385">
        <f t="shared" si="1"/>
        <v>24.488552026365451</v>
      </c>
      <c r="F26" s="385">
        <f t="shared" si="2"/>
        <v>24.596457715224854</v>
      </c>
      <c r="G26" s="110">
        <f t="shared" si="21"/>
        <v>0.79195855576206964</v>
      </c>
      <c r="H26" s="414" t="b">
        <f>Wh_hp&gt;='2023'!Maxi_hp</f>
        <v>0</v>
      </c>
      <c r="I26" s="390">
        <f>IF(H26,Wh_hp,'2023'!Maxi_hp)</f>
        <v>30.267889314428743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4.4117021616639218E-2</v>
      </c>
      <c r="M26" s="959"/>
      <c r="N26" s="959"/>
      <c r="O26" s="48">
        <f>IF(t&lt;Tnet,'2023'!Resal+('2023'!Salim-'2023'!Resal)*(1-EXP(('2023'!Tnet-t)/('2023'!Tau_j))),Resal+(Salim-Resal)*(1-EXP((Tnet-t)/(Tau_j))))*Salcycl</f>
        <v>0.11876552370401669</v>
      </c>
      <c r="P26" s="169">
        <f>(INDEX(Models!$BJ26:$BT26,,T26)*(1-R26)+INDEX(Models!$BJ26:$BT26,,T26+1)*R26-ERP_i)*Q26*Ramure*Pc/MaxiM</f>
        <v>6.2237349035998805E-3</v>
      </c>
      <c r="Q26" s="305">
        <f t="shared" si="4"/>
        <v>0.7</v>
      </c>
      <c r="R26" s="177">
        <f t="shared" si="5"/>
        <v>4.3630163807240052E-4</v>
      </c>
      <c r="S26" s="921">
        <f t="shared" si="6"/>
        <v>1</v>
      </c>
      <c r="T26" s="176">
        <f t="shared" si="7"/>
        <v>7</v>
      </c>
      <c r="U26" s="251">
        <f t="shared" si="8"/>
        <v>1.0004363016380724</v>
      </c>
      <c r="V26" s="383">
        <f t="shared" si="9"/>
        <v>25.998897928649715</v>
      </c>
      <c r="W26" s="402">
        <f t="shared" si="10"/>
        <v>20.628104097332333</v>
      </c>
      <c r="X26" s="157">
        <f t="shared" si="11"/>
        <v>45303</v>
      </c>
      <c r="Y26" s="385">
        <f t="shared" si="12"/>
        <v>19.907288351620299</v>
      </c>
      <c r="Z26" s="385">
        <f t="shared" si="22"/>
        <v>20.826072648859743</v>
      </c>
      <c r="AA26" s="386">
        <f t="shared" si="13"/>
        <v>24.488552026365451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0.14955883767903144</v>
      </c>
      <c r="AD26" s="231">
        <f>(INDEX(Models!$BJ26:$BT26,,AH26)*(1-AF26)+INDEX(Models!$BJ26:$BT26,,AH26+1)*AF26-ERP_i)*AE26*Ramure*Pc/MaxiM</f>
        <v>6.2237349035998805E-3</v>
      </c>
      <c r="AE26" s="305">
        <f t="shared" si="15"/>
        <v>0.7</v>
      </c>
      <c r="AF26" s="177">
        <f t="shared" si="23"/>
        <v>4.3630163807240052E-4</v>
      </c>
      <c r="AG26" s="921">
        <f t="shared" si="24"/>
        <v>1</v>
      </c>
      <c r="AH26" s="176">
        <f t="shared" si="16"/>
        <v>7</v>
      </c>
      <c r="AI26" s="225">
        <f t="shared" si="17"/>
        <v>1.0004363016380724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4.8201684487394534</v>
      </c>
      <c r="C27" s="955"/>
      <c r="D27" s="393">
        <f t="shared" si="0"/>
        <v>5.0427449113737852</v>
      </c>
      <c r="E27" s="385">
        <f t="shared" si="1"/>
        <v>5.722591007194862</v>
      </c>
      <c r="F27" s="385">
        <f t="shared" si="2"/>
        <v>5.722591007194862</v>
      </c>
      <c r="G27" s="110">
        <f t="shared" si="21"/>
        <v>0.18285216977088967</v>
      </c>
      <c r="H27" s="414" t="b">
        <f>Wh_hp&gt;='2023'!Maxi_hp</f>
        <v>0</v>
      </c>
      <c r="I27" s="390">
        <f>IF(H27,Wh_hp,'2023'!Maxi_hp)</f>
        <v>17.075177344016367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4.4137957907074865E-2</v>
      </c>
      <c r="M27" s="959"/>
      <c r="N27" s="959"/>
      <c r="O27" s="48">
        <f>IF(t&lt;Tnet,'2023'!Resal+('2023'!Salim-'2023'!Resal)*(1-EXP(('2023'!Tnet-t)/('2023'!Tau_j))),Resal+(Salim-Resal)*(1-EXP((Tnet-t)/(Tau_j))))*Salcycl</f>
        <v>0.11880039914897363</v>
      </c>
      <c r="P27" s="169">
        <f>(INDEX(Models!$BJ27:$BT27,,T27)*(1-R27)+INDEX(Models!$BJ27:$BT27,,T27+1)*R27-ERP_i)*Q27*Ramure*Pc/MaxiM</f>
        <v>6.0960008291829097E-3</v>
      </c>
      <c r="Q27" s="305">
        <f t="shared" si="4"/>
        <v>0.7</v>
      </c>
      <c r="R27" s="177">
        <f t="shared" si="5"/>
        <v>4.821390025415706E-4</v>
      </c>
      <c r="S27" s="921">
        <f t="shared" si="6"/>
        <v>1</v>
      </c>
      <c r="T27" s="176">
        <f t="shared" si="7"/>
        <v>7</v>
      </c>
      <c r="U27" s="251">
        <f t="shared" si="8"/>
        <v>1.0004821390025416</v>
      </c>
      <c r="V27" s="383">
        <f t="shared" si="9"/>
        <v>26.200316375145555</v>
      </c>
      <c r="W27" s="402">
        <f t="shared" si="10"/>
        <v>4.8201684487394534</v>
      </c>
      <c r="X27" s="157">
        <f t="shared" si="11"/>
        <v>45304</v>
      </c>
      <c r="Y27" s="385">
        <f t="shared" si="12"/>
        <v>4.651886508249091</v>
      </c>
      <c r="Z27" s="385">
        <f t="shared" si="22"/>
        <v>4.8666923712792993</v>
      </c>
      <c r="AA27" s="386">
        <f t="shared" si="13"/>
        <v>5.722591007194862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0.14956487976153876</v>
      </c>
      <c r="AD27" s="231">
        <f>(INDEX(Models!$BJ27:$BT27,,AH27)*(1-AF27)+INDEX(Models!$BJ27:$BT27,,AH27+1)*AF27-ERP_i)*AE27*Ramure*Pc/MaxiM</f>
        <v>6.0960008291829097E-3</v>
      </c>
      <c r="AE27" s="305">
        <f t="shared" si="15"/>
        <v>0.7</v>
      </c>
      <c r="AF27" s="177">
        <f t="shared" si="23"/>
        <v>4.821390025415706E-4</v>
      </c>
      <c r="AG27" s="921">
        <f t="shared" si="24"/>
        <v>1</v>
      </c>
      <c r="AH27" s="176">
        <f t="shared" si="16"/>
        <v>7</v>
      </c>
      <c r="AI27" s="225">
        <f t="shared" si="17"/>
        <v>1.0004821390025416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26.403830223520472</v>
      </c>
      <c r="C28" s="955"/>
      <c r="D28" s="393">
        <f t="shared" si="0"/>
        <v>27.623660512785449</v>
      </c>
      <c r="E28" s="385">
        <f t="shared" si="1"/>
        <v>31.349034663713116</v>
      </c>
      <c r="F28" s="385">
        <f t="shared" si="2"/>
        <v>31.536783406092525</v>
      </c>
      <c r="G28" s="110">
        <f t="shared" si="21"/>
        <v>0.99992215610467616</v>
      </c>
      <c r="H28" s="414" t="b">
        <f>Wh_hp&gt;='2023'!Maxi_hp</f>
        <v>0</v>
      </c>
      <c r="I28" s="390">
        <f>IF(H28,Wh_hp,'2023'!Maxi_hp)</f>
        <v>31.536797669864139</v>
      </c>
      <c r="J28" s="85">
        <f>IF(H28,An,'2023'!An_max)</f>
        <v>2022</v>
      </c>
      <c r="K28" s="197">
        <f t="shared" si="3"/>
        <v>45305</v>
      </c>
      <c r="L28" s="147">
        <f>IF(t&lt;Tvie,1-EXP((T0-t)*PertePVj)+'2023'!Pspv,1-EXP((T0-t)*PertePVj)+Pspv)</f>
        <v>4.4158893738951988E-2</v>
      </c>
      <c r="M28" s="959"/>
      <c r="N28" s="959"/>
      <c r="O28" s="48">
        <f>IF(t&lt;Tnet,'2023'!Resal+('2023'!Salim-'2023'!Resal)*(1-EXP(('2023'!Tnet-t)/('2023'!Tau_j))),Resal+(Salim-Resal)*(1-EXP((Tnet-t)/(Tau_j))))*Salcycl</f>
        <v>0.11883537055894844</v>
      </c>
      <c r="P28" s="169">
        <f>(INDEX(Models!$BJ28:$BT28,,T28)*(1-R28)+INDEX(Models!$BJ28:$BT28,,T28+1)*R28-ERP_i)*Q28*Ramure*Pc/MaxiM</f>
        <v>5.9539821746315289E-3</v>
      </c>
      <c r="Q28" s="305">
        <f t="shared" si="4"/>
        <v>0.7</v>
      </c>
      <c r="R28" s="177">
        <f t="shared" si="5"/>
        <v>5.2989039293116491E-4</v>
      </c>
      <c r="S28" s="921">
        <f t="shared" si="6"/>
        <v>1</v>
      </c>
      <c r="T28" s="176">
        <f t="shared" si="7"/>
        <v>7</v>
      </c>
      <c r="U28" s="251">
        <f t="shared" si="8"/>
        <v>1.0005298903929312</v>
      </c>
      <c r="V28" s="383">
        <f t="shared" si="9"/>
        <v>26.405868321269278</v>
      </c>
      <c r="W28" s="402">
        <f t="shared" si="10"/>
        <v>26.403830223520472</v>
      </c>
      <c r="X28" s="157">
        <f t="shared" si="11"/>
        <v>45305</v>
      </c>
      <c r="Y28" s="385">
        <f t="shared" si="12"/>
        <v>25.482844065657325</v>
      </c>
      <c r="Z28" s="385">
        <f t="shared" si="22"/>
        <v>26.660125724596899</v>
      </c>
      <c r="AA28" s="386">
        <f t="shared" si="13"/>
        <v>31.349034663713116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0.14957107896351543</v>
      </c>
      <c r="AD28" s="231">
        <f>(INDEX(Models!$BJ28:$BT28,,AH28)*(1-AF28)+INDEX(Models!$BJ28:$BT28,,AH28+1)*AF28-ERP_i)*AE28*Ramure*Pc/MaxiM</f>
        <v>5.9539821746315289E-3</v>
      </c>
      <c r="AE28" s="305">
        <f t="shared" si="15"/>
        <v>0.7</v>
      </c>
      <c r="AF28" s="177">
        <f t="shared" si="23"/>
        <v>5.2989039293116491E-4</v>
      </c>
      <c r="AG28" s="921">
        <f t="shared" si="24"/>
        <v>1</v>
      </c>
      <c r="AH28" s="176">
        <f t="shared" si="16"/>
        <v>7</v>
      </c>
      <c r="AI28" s="225">
        <f t="shared" si="17"/>
        <v>1.0005298903929312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26.25894816959039</v>
      </c>
      <c r="C29" s="955"/>
      <c r="D29" s="393">
        <f t="shared" si="0"/>
        <v>27.472686776637442</v>
      </c>
      <c r="E29" s="385">
        <f t="shared" si="1"/>
        <v>31.178941235424443</v>
      </c>
      <c r="F29" s="385">
        <f t="shared" si="2"/>
        <v>31.35726736772688</v>
      </c>
      <c r="G29" s="110">
        <f t="shared" si="21"/>
        <v>0.98648007485029243</v>
      </c>
      <c r="H29" s="414" t="b">
        <f>Wh_hp&gt;='2023'!Maxi_hp</f>
        <v>0</v>
      </c>
      <c r="I29" s="390">
        <f>IF(H29,Wh_hp,'2023'!Maxi_hp)</f>
        <v>31.359702932617143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4.4179829112280578E-2</v>
      </c>
      <c r="M29" s="959"/>
      <c r="N29" s="959"/>
      <c r="O29" s="48">
        <f>IF(t&lt;Tnet,'2023'!Resal+('2023'!Salim-'2023'!Resal)*(1-EXP(('2023'!Tnet-t)/('2023'!Tau_j))),Resal+(Salim-Resal)*(1-EXP((Tnet-t)/(Tau_j))))*Salcycl</f>
        <v>0.11887043985239883</v>
      </c>
      <c r="P29" s="169">
        <f>(INDEX(Models!$BJ29:$BT29,,T29)*(1-R29)+INDEX(Models!$BJ29:$BT29,,T29+1)*R29-ERP_i)*Q29*Ramure*Pc/MaxiM</f>
        <v>5.7979860851751289E-3</v>
      </c>
      <c r="Q29" s="305">
        <f t="shared" si="4"/>
        <v>0.7</v>
      </c>
      <c r="R29" s="177">
        <f t="shared" si="5"/>
        <v>5.796353431033463E-4</v>
      </c>
      <c r="S29" s="921">
        <f t="shared" si="6"/>
        <v>1</v>
      </c>
      <c r="T29" s="176">
        <f t="shared" si="7"/>
        <v>7</v>
      </c>
      <c r="U29" s="251">
        <f t="shared" si="8"/>
        <v>1.0005796353431033</v>
      </c>
      <c r="V29" s="383">
        <f t="shared" si="9"/>
        <v>26.615859319421535</v>
      </c>
      <c r="W29" s="402">
        <f t="shared" si="10"/>
        <v>26.25894816959039</v>
      </c>
      <c r="X29" s="157">
        <f t="shared" si="11"/>
        <v>45306</v>
      </c>
      <c r="Y29" s="385">
        <f t="shared" si="12"/>
        <v>25.34383477745493</v>
      </c>
      <c r="Z29" s="385">
        <f t="shared" si="22"/>
        <v>26.515275100249042</v>
      </c>
      <c r="AA29" s="386">
        <f t="shared" si="13"/>
        <v>31.178941235424443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0.14957743753904978</v>
      </c>
      <c r="AD29" s="231">
        <f>(INDEX(Models!$BJ29:$BT29,,AH29)*(1-AF29)+INDEX(Models!$BJ29:$BT29,,AH29+1)*AF29-ERP_i)*AE29*Ramure*Pc/MaxiM</f>
        <v>5.7979860851751289E-3</v>
      </c>
      <c r="AE29" s="305">
        <f t="shared" si="15"/>
        <v>0.7</v>
      </c>
      <c r="AF29" s="177">
        <f t="shared" si="23"/>
        <v>5.796353431033463E-4</v>
      </c>
      <c r="AG29" s="921">
        <f t="shared" si="24"/>
        <v>1</v>
      </c>
      <c r="AH29" s="176">
        <f t="shared" si="16"/>
        <v>7</v>
      </c>
      <c r="AI29" s="225">
        <f t="shared" si="17"/>
        <v>1.0005796353431033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25.976701031627762</v>
      </c>
      <c r="C30" s="955"/>
      <c r="D30" s="393">
        <f t="shared" si="0"/>
        <v>27.177988905991857</v>
      </c>
      <c r="E30" s="385">
        <f t="shared" si="1"/>
        <v>30.845717804852807</v>
      </c>
      <c r="F30" s="385">
        <f t="shared" si="2"/>
        <v>31.012219210638062</v>
      </c>
      <c r="G30" s="110">
        <f t="shared" si="21"/>
        <v>0.96792209187003453</v>
      </c>
      <c r="H30" s="414" t="b">
        <f>Wh_hp&gt;='2023'!Maxi_hp</f>
        <v>0</v>
      </c>
      <c r="I30" s="390">
        <f>IF(H30,Wh_hp,'2023'!Maxi_hp)</f>
        <v>32.204114318448951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4.4200764027070849E-2</v>
      </c>
      <c r="M30" s="959"/>
      <c r="N30" s="959"/>
      <c r="O30" s="48">
        <f>IF(t&lt;Tnet,'2023'!Resal+('2023'!Salim-'2023'!Resal)*(1-EXP(('2023'!Tnet-t)/('2023'!Tau_j))),Resal+(Salim-Resal)*(1-EXP((Tnet-t)/(Tau_j))))*Salcycl</f>
        <v>0.11890561023948432</v>
      </c>
      <c r="P30" s="169">
        <f>(INDEX(Models!$BJ30:$BT30,,T30)*(1-R30)+INDEX(Models!$BJ30:$BT30,,T30+1)*R30-ERP_i)*Q30*Ramure*Pc/MaxiM</f>
        <v>5.6246493204868617E-3</v>
      </c>
      <c r="Q30" s="305">
        <f t="shared" si="4"/>
        <v>0.7</v>
      </c>
      <c r="R30" s="177">
        <f t="shared" si="5"/>
        <v>6.314566584966208E-4</v>
      </c>
      <c r="S30" s="921">
        <f t="shared" si="6"/>
        <v>1</v>
      </c>
      <c r="T30" s="176">
        <f t="shared" si="7"/>
        <v>7</v>
      </c>
      <c r="U30" s="251">
        <f t="shared" si="8"/>
        <v>1.0006314566584966</v>
      </c>
      <c r="V30" s="383">
        <f t="shared" si="9"/>
        <v>26.830694105156478</v>
      </c>
      <c r="W30" s="402">
        <f t="shared" si="10"/>
        <v>25.976701031627762</v>
      </c>
      <c r="X30" s="157">
        <f t="shared" si="11"/>
        <v>45307</v>
      </c>
      <c r="Y30" s="385">
        <f t="shared" si="12"/>
        <v>25.072232324705308</v>
      </c>
      <c r="Z30" s="385">
        <f t="shared" si="22"/>
        <v>26.231693206140438</v>
      </c>
      <c r="AA30" s="386">
        <f t="shared" si="13"/>
        <v>30.845717804852807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0.14958395936522731</v>
      </c>
      <c r="AD30" s="231">
        <f>(INDEX(Models!$BJ30:$BT30,,AH30)*(1-AF30)+INDEX(Models!$BJ30:$BT30,,AH30+1)*AF30-ERP_i)*AE30*Ramure*Pc/MaxiM</f>
        <v>5.6246493204868617E-3</v>
      </c>
      <c r="AE30" s="305">
        <f t="shared" si="15"/>
        <v>0.7</v>
      </c>
      <c r="AF30" s="177">
        <f t="shared" si="23"/>
        <v>6.314566584966208E-4</v>
      </c>
      <c r="AG30" s="921">
        <f t="shared" si="24"/>
        <v>1</v>
      </c>
      <c r="AH30" s="176">
        <f t="shared" si="16"/>
        <v>7</v>
      </c>
      <c r="AI30" s="225">
        <f t="shared" si="17"/>
        <v>1.0006314566584966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18.006638991112908</v>
      </c>
      <c r="C31" s="955"/>
      <c r="D31" s="393">
        <f t="shared" si="0"/>
        <v>18.839765416874659</v>
      </c>
      <c r="E31" s="385">
        <f t="shared" si="1"/>
        <v>21.383088962743969</v>
      </c>
      <c r="F31" s="385">
        <f t="shared" si="2"/>
        <v>21.44405302443532</v>
      </c>
      <c r="G31" s="110">
        <f t="shared" si="21"/>
        <v>0.66393317825257292</v>
      </c>
      <c r="H31" s="414" t="b">
        <f>Wh_hp&gt;='2023'!Maxi_hp</f>
        <v>0</v>
      </c>
      <c r="I31" s="390">
        <f>IF(H31,Wh_hp,'2023'!Maxi_hp)</f>
        <v>21.48400633043217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4.4221698483332683E-2</v>
      </c>
      <c r="M31" s="959"/>
      <c r="N31" s="959"/>
      <c r="O31" s="48">
        <f>IF(t&lt;Tnet,'2023'!Resal+('2023'!Salim-'2023'!Resal)*(1-EXP(('2023'!Tnet-t)/('2023'!Tau_j))),Resal+(Salim-Resal)*(1-EXP((Tnet-t)/(Tau_j))))*Salcycl</f>
        <v>0.11894088596369659</v>
      </c>
      <c r="P31" s="169">
        <f>(INDEX(Models!$BJ31:$BT31,,T31)*(1-R31)+INDEX(Models!$BJ31:$BT31,,T31+1)*R31-ERP_i)*Q31*Ramure*Pc/MaxiM</f>
        <v>5.4422394596690231E-3</v>
      </c>
      <c r="Q31" s="305">
        <f t="shared" si="4"/>
        <v>0.7</v>
      </c>
      <c r="R31" s="177">
        <f t="shared" si="5"/>
        <v>6.8544054785069086E-4</v>
      </c>
      <c r="S31" s="921">
        <f t="shared" si="6"/>
        <v>1</v>
      </c>
      <c r="T31" s="176">
        <f t="shared" si="7"/>
        <v>7</v>
      </c>
      <c r="U31" s="251">
        <f t="shared" si="8"/>
        <v>1.0006854405478507</v>
      </c>
      <c r="V31" s="383">
        <f t="shared" si="9"/>
        <v>27.050464430640261</v>
      </c>
      <c r="W31" s="402">
        <f t="shared" si="10"/>
        <v>18.006638991112908</v>
      </c>
      <c r="X31" s="157">
        <f t="shared" si="11"/>
        <v>45308</v>
      </c>
      <c r="Y31" s="385">
        <f t="shared" si="12"/>
        <v>17.380234677892457</v>
      </c>
      <c r="Z31" s="385">
        <f t="shared" si="22"/>
        <v>18.184378794028703</v>
      </c>
      <c r="AA31" s="386">
        <f t="shared" si="13"/>
        <v>21.383088962743969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0.1495906496151431</v>
      </c>
      <c r="AD31" s="231">
        <f>(INDEX(Models!$BJ31:$BT31,,AH31)*(1-AF31)+INDEX(Models!$BJ31:$BT31,,AH31+1)*AF31-ERP_i)*AE31*Ramure*Pc/MaxiM</f>
        <v>5.4422394596690231E-3</v>
      </c>
      <c r="AE31" s="305">
        <f t="shared" si="15"/>
        <v>0.7</v>
      </c>
      <c r="AF31" s="177">
        <f t="shared" si="23"/>
        <v>6.8544054785069086E-4</v>
      </c>
      <c r="AG31" s="921">
        <f t="shared" si="24"/>
        <v>1</v>
      </c>
      <c r="AH31" s="176">
        <f t="shared" si="16"/>
        <v>7</v>
      </c>
      <c r="AI31" s="225">
        <f t="shared" si="17"/>
        <v>1.0006854405478507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3.853230597354782</v>
      </c>
      <c r="C32" s="955"/>
      <c r="D32" s="393">
        <f t="shared" si="0"/>
        <v>4.0315991571767711</v>
      </c>
      <c r="E32" s="385">
        <f t="shared" si="1"/>
        <v>4.576039247594422</v>
      </c>
      <c r="F32" s="385">
        <f t="shared" si="2"/>
        <v>4.576039247594422</v>
      </c>
      <c r="G32" s="110">
        <f t="shared" si="21"/>
        <v>0.14052907360014913</v>
      </c>
      <c r="H32" s="414" t="b">
        <f>Wh_hp&gt;='2023'!Maxi_hp</f>
        <v>0</v>
      </c>
      <c r="I32" s="390">
        <f>IF(H32,Wh_hp,'2023'!Maxi_hp)</f>
        <v>30.961638796552403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4.4242632481076294E-2</v>
      </c>
      <c r="M32" s="959"/>
      <c r="N32" s="959"/>
      <c r="O32" s="48">
        <f>IF(t&lt;Tnet,'2023'!Resal+('2023'!Salim-'2023'!Resal)*(1-EXP(('2023'!Tnet-t)/('2023'!Tau_j))),Resal+(Salim-Resal)*(1-EXP((Tnet-t)/(Tau_j))))*Salcycl</f>
        <v>0.11897627204658649</v>
      </c>
      <c r="P32" s="169">
        <f>(INDEX(Models!$BJ32:$BT32,,T32)*(1-R32)+INDEX(Models!$BJ32:$BT32,,T32+1)*R32-ERP_i)*Q32*Ramure*Pc/MaxiM</f>
        <v>5.2510008561403605E-3</v>
      </c>
      <c r="Q32" s="305">
        <f t="shared" si="4"/>
        <v>0.7</v>
      </c>
      <c r="R32" s="177">
        <f t="shared" si="5"/>
        <v>7.4167675999237126E-4</v>
      </c>
      <c r="S32" s="921">
        <f t="shared" si="6"/>
        <v>1</v>
      </c>
      <c r="T32" s="176">
        <f t="shared" si="7"/>
        <v>7</v>
      </c>
      <c r="U32" s="251">
        <f t="shared" si="8"/>
        <v>1.0007416767599924</v>
      </c>
      <c r="V32" s="383">
        <f t="shared" si="9"/>
        <v>27.275475330430833</v>
      </c>
      <c r="W32" s="402">
        <f t="shared" si="10"/>
        <v>3.853230597354782</v>
      </c>
      <c r="X32" s="157">
        <f t="shared" si="11"/>
        <v>45309</v>
      </c>
      <c r="Y32" s="385">
        <f t="shared" si="12"/>
        <v>3.7193060453165194</v>
      </c>
      <c r="Z32" s="385">
        <f t="shared" si="22"/>
        <v>3.8914751501958769</v>
      </c>
      <c r="AA32" s="386">
        <f t="shared" si="13"/>
        <v>4.576039247594422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0.14959751443530853</v>
      </c>
      <c r="AD32" s="231">
        <f>(INDEX(Models!$BJ32:$BT32,,AH32)*(1-AF32)+INDEX(Models!$BJ32:$BT32,,AH32+1)*AF32-ERP_i)*AE32*Ramure*Pc/MaxiM</f>
        <v>5.2510008561403605E-3</v>
      </c>
      <c r="AE32" s="305">
        <f t="shared" si="15"/>
        <v>0.7</v>
      </c>
      <c r="AF32" s="177">
        <f t="shared" si="23"/>
        <v>7.4167675999237126E-4</v>
      </c>
      <c r="AG32" s="921">
        <f t="shared" si="24"/>
        <v>1</v>
      </c>
      <c r="AH32" s="176">
        <f t="shared" si="16"/>
        <v>7</v>
      </c>
      <c r="AI32" s="225">
        <f t="shared" si="17"/>
        <v>1.0007416767599924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9.3360319412231068</v>
      </c>
      <c r="C33" s="955"/>
      <c r="D33" s="393">
        <f t="shared" si="0"/>
        <v>9.7684169079417131</v>
      </c>
      <c r="E33" s="385">
        <f t="shared" si="1"/>
        <v>11.088022087102747</v>
      </c>
      <c r="F33" s="385">
        <f t="shared" si="2"/>
        <v>11.091176828498307</v>
      </c>
      <c r="G33" s="110">
        <f t="shared" si="21"/>
        <v>0.33779924452198612</v>
      </c>
      <c r="H33" s="414" t="b">
        <f>Wh_hp&gt;='2023'!Maxi_hp</f>
        <v>0</v>
      </c>
      <c r="I33" s="390">
        <f>IF(H33,Wh_hp,'2023'!Maxi_hp)</f>
        <v>32.578902251016416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4.4263566020311562E-2</v>
      </c>
      <c r="M33" s="959"/>
      <c r="N33" s="959"/>
      <c r="O33" s="48">
        <f>IF(t&lt;Tnet,'2023'!Resal+('2023'!Salim-'2023'!Resal)*(1-EXP(('2023'!Tnet-t)/('2023'!Tau_j))),Resal+(Salim-Resal)*(1-EXP((Tnet-t)/(Tau_j))))*Salcycl</f>
        <v>0.11901177403821731</v>
      </c>
      <c r="P33" s="169">
        <f>(INDEX(Models!$BJ33:$BT33,,T33)*(1-R33)+INDEX(Models!$BJ33:$BT33,,T33+1)*R33-ERP_i)*Q33*Ramure*Pc/MaxiM</f>
        <v>5.0511902099187262E-3</v>
      </c>
      <c r="Q33" s="305">
        <f t="shared" si="4"/>
        <v>0.7</v>
      </c>
      <c r="R33" s="177">
        <f t="shared" si="5"/>
        <v>8.0025872585332003E-4</v>
      </c>
      <c r="S33" s="921">
        <f t="shared" si="6"/>
        <v>1</v>
      </c>
      <c r="T33" s="176">
        <f t="shared" si="7"/>
        <v>7</v>
      </c>
      <c r="U33" s="251">
        <f t="shared" si="8"/>
        <v>1.0008002587258533</v>
      </c>
      <c r="V33" s="383">
        <f t="shared" si="9"/>
        <v>27.506031674670098</v>
      </c>
      <c r="W33" s="402">
        <f t="shared" si="10"/>
        <v>9.3360319412231068</v>
      </c>
      <c r="X33" s="157">
        <f t="shared" si="11"/>
        <v>45310</v>
      </c>
      <c r="Y33" s="385">
        <f t="shared" si="12"/>
        <v>9.0118332466411566</v>
      </c>
      <c r="Z33" s="385">
        <f t="shared" si="22"/>
        <v>9.4292034144977244</v>
      </c>
      <c r="AA33" s="386">
        <f t="shared" si="13"/>
        <v>11.088022087102747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0.14960456063074679</v>
      </c>
      <c r="AD33" s="231">
        <f>(INDEX(Models!$BJ33:$BT33,,AH33)*(1-AF33)+INDEX(Models!$BJ33:$BT33,,AH33+1)*AF33-ERP_i)*AE33*Ramure*Pc/MaxiM</f>
        <v>5.0511902099187262E-3</v>
      </c>
      <c r="AE33" s="305">
        <f t="shared" si="15"/>
        <v>0.7</v>
      </c>
      <c r="AF33" s="177">
        <f t="shared" si="23"/>
        <v>8.0025872585332003E-4</v>
      </c>
      <c r="AG33" s="921">
        <f t="shared" si="24"/>
        <v>1</v>
      </c>
      <c r="AH33" s="176">
        <f t="shared" si="16"/>
        <v>7</v>
      </c>
      <c r="AI33" s="225">
        <f t="shared" si="17"/>
        <v>1.0008002587258533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5.1546182392389674</v>
      </c>
      <c r="C34" s="955"/>
      <c r="D34" s="393">
        <f t="shared" si="0"/>
        <v>5.3934651414469101</v>
      </c>
      <c r="E34" s="385">
        <f t="shared" si="1"/>
        <v>6.1223102444217643</v>
      </c>
      <c r="F34" s="385">
        <f t="shared" si="2"/>
        <v>6.1223102444217643</v>
      </c>
      <c r="G34" s="110">
        <f t="shared" si="21"/>
        <v>0.18490278311578226</v>
      </c>
      <c r="H34" s="414" t="b">
        <f>Wh_hp&gt;='2023'!Maxi_hp</f>
        <v>0</v>
      </c>
      <c r="I34" s="390">
        <f>IF(H34,Wh_hp,'2023'!Maxi_hp)</f>
        <v>11.984563264269097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4.4284499101048591E-2</v>
      </c>
      <c r="M34" s="959"/>
      <c r="N34" s="959"/>
      <c r="O34" s="48">
        <f>IF(t&lt;Tnet,'2023'!Resal+('2023'!Salim-'2023'!Resal)*(1-EXP(('2023'!Tnet-t)/('2023'!Tau_j))),Resal+(Salim-Resal)*(1-EXP((Tnet-t)/(Tau_j))))*Salcycl</f>
        <v>0.11904739777585245</v>
      </c>
      <c r="P34" s="169">
        <f>(INDEX(Models!$BJ34:$BT34,,T34)*(1-R34)+INDEX(Models!$BJ34:$BT34,,T34+1)*R34-ERP_i)*Q34*Ramure*Pc/MaxiM</f>
        <v>4.8431035886779498E-3</v>
      </c>
      <c r="Q34" s="305">
        <f t="shared" si="4"/>
        <v>0.7</v>
      </c>
      <c r="R34" s="177">
        <f t="shared" si="5"/>
        <v>8.6128370589610981E-4</v>
      </c>
      <c r="S34" s="921">
        <f t="shared" si="6"/>
        <v>1</v>
      </c>
      <c r="T34" s="176">
        <f t="shared" si="7"/>
        <v>7</v>
      </c>
      <c r="U34" s="251">
        <f t="shared" si="8"/>
        <v>1.0008612837058961</v>
      </c>
      <c r="V34" s="383">
        <f t="shared" si="9"/>
        <v>27.742437418771367</v>
      </c>
      <c r="W34" s="402">
        <f t="shared" si="10"/>
        <v>5.1546182392389674</v>
      </c>
      <c r="X34" s="157">
        <f t="shared" si="11"/>
        <v>45311</v>
      </c>
      <c r="Y34" s="385">
        <f t="shared" si="12"/>
        <v>4.9757802394810318</v>
      </c>
      <c r="Z34" s="385">
        <f t="shared" si="22"/>
        <v>5.2063404169973015</v>
      </c>
      <c r="AA34" s="386">
        <f t="shared" si="13"/>
        <v>6.1223102444217643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0.14961179536091512</v>
      </c>
      <c r="AD34" s="231">
        <f>(INDEX(Models!$BJ34:$BT34,,AH34)*(1-AF34)+INDEX(Models!$BJ34:$BT34,,AH34+1)*AF34-ERP_i)*AE34*Ramure*Pc/MaxiM</f>
        <v>4.8431035886779498E-3</v>
      </c>
      <c r="AE34" s="305">
        <f t="shared" si="15"/>
        <v>0.7</v>
      </c>
      <c r="AF34" s="177">
        <f t="shared" si="23"/>
        <v>8.6128370589610981E-4</v>
      </c>
      <c r="AG34" s="921">
        <f t="shared" si="24"/>
        <v>1</v>
      </c>
      <c r="AH34" s="176">
        <f t="shared" si="16"/>
        <v>7</v>
      </c>
      <c r="AI34" s="225">
        <f t="shared" si="17"/>
        <v>1.0008612837058961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15.167989340623144</v>
      </c>
      <c r="C35" s="955"/>
      <c r="D35" s="393">
        <f t="shared" si="0"/>
        <v>15.871168304298191</v>
      </c>
      <c r="E35" s="385">
        <f t="shared" si="1"/>
        <v>18.01664741574924</v>
      </c>
      <c r="F35" s="385">
        <f t="shared" si="2"/>
        <v>18.045514249375774</v>
      </c>
      <c r="G35" s="110">
        <f t="shared" si="21"/>
        <v>0.54036085260259925</v>
      </c>
      <c r="H35" s="414" t="b">
        <f>Wh_hp&gt;='2023'!Maxi_hp</f>
        <v>0</v>
      </c>
      <c r="I35" s="390">
        <f>IF(H35,Wh_hp,'2023'!Maxi_hp)</f>
        <v>18.085651439803524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4.4305431723297484E-2</v>
      </c>
      <c r="M35" s="959"/>
      <c r="N35" s="959"/>
      <c r="O35" s="48">
        <f>IF(t&lt;Tnet,'2023'!Resal+('2023'!Salim-'2023'!Resal)*(1-EXP(('2023'!Tnet-t)/('2023'!Tau_j))),Resal+(Salim-Resal)*(1-EXP((Tnet-t)/(Tau_j))))*Salcycl</f>
        <v>0.11908314915324254</v>
      </c>
      <c r="P35" s="169">
        <f>(INDEX(Models!$BJ35:$BT35,,T35)*(1-R35)+INDEX(Models!$BJ35:$BT35,,T35+1)*R35-ERP_i)*Q35*Ramure*Pc/MaxiM</f>
        <v>4.6270561895476294E-3</v>
      </c>
      <c r="Q35" s="305">
        <f t="shared" si="4"/>
        <v>0.7</v>
      </c>
      <c r="R35" s="177">
        <f t="shared" si="5"/>
        <v>9.2485294313227051E-4</v>
      </c>
      <c r="S35" s="921">
        <f t="shared" si="6"/>
        <v>1</v>
      </c>
      <c r="T35" s="176">
        <f t="shared" si="7"/>
        <v>7</v>
      </c>
      <c r="U35" s="251">
        <f t="shared" si="8"/>
        <v>1.0009248529431323</v>
      </c>
      <c r="V35" s="383">
        <f t="shared" si="9"/>
        <v>27.984996144988155</v>
      </c>
      <c r="W35" s="402">
        <f t="shared" si="10"/>
        <v>15.167989340623144</v>
      </c>
      <c r="X35" s="157">
        <f t="shared" si="11"/>
        <v>45312</v>
      </c>
      <c r="Y35" s="385">
        <f t="shared" si="12"/>
        <v>14.642206588951838</v>
      </c>
      <c r="Z35" s="385">
        <f t="shared" si="22"/>
        <v>15.32101057700317</v>
      </c>
      <c r="AA35" s="386">
        <f t="shared" si="13"/>
        <v>18.01664741574924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0.14961922584940429</v>
      </c>
      <c r="AD35" s="231">
        <f>(INDEX(Models!$BJ35:$BT35,,AH35)*(1-AF35)+INDEX(Models!$BJ35:$BT35,,AH35+1)*AF35-ERP_i)*AE35*Ramure*Pc/MaxiM</f>
        <v>4.6270561895476294E-3</v>
      </c>
      <c r="AE35" s="305">
        <f t="shared" si="15"/>
        <v>0.7</v>
      </c>
      <c r="AF35" s="177">
        <f t="shared" si="23"/>
        <v>9.2485294313227051E-4</v>
      </c>
      <c r="AG35" s="921">
        <f t="shared" si="24"/>
        <v>1</v>
      </c>
      <c r="AH35" s="176">
        <f t="shared" si="16"/>
        <v>7</v>
      </c>
      <c r="AI35" s="225">
        <f t="shared" si="17"/>
        <v>1.0009248529431323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27.406337308960119</v>
      </c>
      <c r="C36" s="955"/>
      <c r="D36" s="393">
        <f t="shared" si="0"/>
        <v>28.677506915887673</v>
      </c>
      <c r="E36" s="385">
        <f t="shared" si="1"/>
        <v>32.55548481532346</v>
      </c>
      <c r="F36" s="385">
        <f t="shared" si="2"/>
        <v>32.693416511879228</v>
      </c>
      <c r="G36" s="110">
        <f t="shared" si="21"/>
        <v>0.97050543272299505</v>
      </c>
      <c r="H36" s="414" t="b">
        <f>Wh_hp&gt;='2023'!Maxi_hp</f>
        <v>0</v>
      </c>
      <c r="I36" s="390">
        <f>IF(H36,Wh_hp,'2023'!Maxi_hp)</f>
        <v>32.697849500824447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4.4326363887068232E-2</v>
      </c>
      <c r="M36" s="959"/>
      <c r="N36" s="959"/>
      <c r="O36" s="48">
        <f>IF(t&lt;Tnet,'2023'!Resal+('2023'!Salim-'2023'!Resal)*(1-EXP(('2023'!Tnet-t)/('2023'!Tau_j))),Resal+(Salim-Resal)*(1-EXP((Tnet-t)/(Tau_j))))*Salcycl</f>
        <v>0.11911903390271349</v>
      </c>
      <c r="P36" s="169">
        <f>(INDEX(Models!$BJ36:$BT36,,T36)*(1-R36)+INDEX(Models!$BJ36:$BT36,,T36+1)*R36-ERP_i)*Q36*Ramure*Pc/MaxiM</f>
        <v>4.4033488595638173E-3</v>
      </c>
      <c r="Q36" s="305">
        <f t="shared" si="4"/>
        <v>0.7</v>
      </c>
      <c r="R36" s="177">
        <f t="shared" si="5"/>
        <v>9.9107182191437992E-4</v>
      </c>
      <c r="S36" s="921">
        <f t="shared" si="6"/>
        <v>1</v>
      </c>
      <c r="T36" s="176">
        <f t="shared" si="7"/>
        <v>7</v>
      </c>
      <c r="U36" s="251">
        <f t="shared" si="8"/>
        <v>1.0009910718219144</v>
      </c>
      <c r="V36" s="383">
        <f t="shared" si="9"/>
        <v>28.234012004062933</v>
      </c>
      <c r="W36" s="402">
        <f t="shared" si="10"/>
        <v>27.406337308960119</v>
      </c>
      <c r="X36" s="157">
        <f t="shared" si="11"/>
        <v>45313</v>
      </c>
      <c r="Y36" s="385">
        <f t="shared" si="12"/>
        <v>26.457165082090167</v>
      </c>
      <c r="Z36" s="385">
        <f t="shared" si="22"/>
        <v>27.684309875598295</v>
      </c>
      <c r="AA36" s="386">
        <f t="shared" si="13"/>
        <v>32.55548481532346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0.14962685911015411</v>
      </c>
      <c r="AD36" s="231">
        <f>(INDEX(Models!$BJ36:$BT36,,AH36)*(1-AF36)+INDEX(Models!$BJ36:$BT36,,AH36+1)*AF36-ERP_i)*AE36*Ramure*Pc/MaxiM</f>
        <v>4.4033488595638173E-3</v>
      </c>
      <c r="AE36" s="305">
        <f t="shared" si="15"/>
        <v>0.7</v>
      </c>
      <c r="AF36" s="177">
        <f t="shared" si="23"/>
        <v>9.9107182191437992E-4</v>
      </c>
      <c r="AG36" s="921">
        <f t="shared" si="24"/>
        <v>1</v>
      </c>
      <c r="AH36" s="176">
        <f t="shared" si="16"/>
        <v>7</v>
      </c>
      <c r="AI36" s="225">
        <f t="shared" si="17"/>
        <v>1.0009910718219144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27.467537668149671</v>
      </c>
      <c r="C37" s="955"/>
      <c r="D37" s="393">
        <f t="shared" si="0"/>
        <v>28.742175417350698</v>
      </c>
      <c r="E37" s="385">
        <f t="shared" si="1"/>
        <v>32.630232663030874</v>
      </c>
      <c r="F37" s="385">
        <f t="shared" si="2"/>
        <v>32.759894627476015</v>
      </c>
      <c r="G37" s="110">
        <f t="shared" si="21"/>
        <v>0.96386417802007551</v>
      </c>
      <c r="H37" s="414" t="b">
        <f>Wh_hp&gt;='2023'!Maxi_hp</f>
        <v>0</v>
      </c>
      <c r="I37" s="390">
        <f>IF(H37,Wh_hp,'2023'!Maxi_hp)</f>
        <v>32.765037654429378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4.4347295592370828E-2</v>
      </c>
      <c r="M37" s="959"/>
      <c r="N37" s="959"/>
      <c r="O37" s="48">
        <f>IF(t&lt;Tnet,'2023'!Resal+('2023'!Salim-'2023'!Resal)*(1-EXP(('2023'!Tnet-t)/('2023'!Tau_j))),Resal+(Salim-Resal)*(1-EXP((Tnet-t)/(Tau_j))))*Salcycl</f>
        <v>0.11915505739207405</v>
      </c>
      <c r="P37" s="169">
        <f>(INDEX(Models!$BJ37:$BT37,,T37)*(1-R37)+INDEX(Models!$BJ37:$BT37,,T37+1)*R37-ERP_i)*Q37*Ramure*Pc/MaxiM</f>
        <v>4.1720868066199221E-3</v>
      </c>
      <c r="Q37" s="305">
        <f t="shared" si="4"/>
        <v>0.7</v>
      </c>
      <c r="R37" s="177">
        <f t="shared" si="5"/>
        <v>1.0600500326916062E-3</v>
      </c>
      <c r="S37" s="921">
        <f t="shared" si="6"/>
        <v>1</v>
      </c>
      <c r="T37" s="176">
        <f t="shared" si="7"/>
        <v>7</v>
      </c>
      <c r="U37" s="251">
        <f t="shared" si="8"/>
        <v>1.0010600500326916</v>
      </c>
      <c r="V37" s="383">
        <f t="shared" si="9"/>
        <v>28.491184816542255</v>
      </c>
      <c r="W37" s="402">
        <f t="shared" si="10"/>
        <v>27.467537668149671</v>
      </c>
      <c r="X37" s="157">
        <f t="shared" si="11"/>
        <v>45314</v>
      </c>
      <c r="Y37" s="385">
        <f t="shared" si="12"/>
        <v>26.517085735644635</v>
      </c>
      <c r="Z37" s="385">
        <f t="shared" si="22"/>
        <v>27.747617532335152</v>
      </c>
      <c r="AA37" s="386">
        <f t="shared" si="13"/>
        <v>32.630232663030874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0.14963470169269094</v>
      </c>
      <c r="AD37" s="231">
        <f>(INDEX(Models!$BJ37:$BT37,,AH37)*(1-AF37)+INDEX(Models!$BJ37:$BT37,,AH37+1)*AF37-ERP_i)*AE37*Ramure*Pc/MaxiM</f>
        <v>4.1720868066199221E-3</v>
      </c>
      <c r="AE37" s="305">
        <f t="shared" si="15"/>
        <v>0.7</v>
      </c>
      <c r="AF37" s="177">
        <f t="shared" si="23"/>
        <v>1.0600500326916062E-3</v>
      </c>
      <c r="AG37" s="921">
        <f t="shared" si="24"/>
        <v>1</v>
      </c>
      <c r="AH37" s="176">
        <f t="shared" si="16"/>
        <v>7</v>
      </c>
      <c r="AI37" s="225">
        <f t="shared" si="17"/>
        <v>1.0010600500326916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27.732620834302619</v>
      </c>
      <c r="C38" s="955"/>
      <c r="D38" s="393">
        <f t="shared" si="0"/>
        <v>29.020195448897677</v>
      </c>
      <c r="E38" s="385">
        <f t="shared" si="1"/>
        <v>32.947214258153537</v>
      </c>
      <c r="F38" s="385">
        <f t="shared" si="2"/>
        <v>33.070920476241781</v>
      </c>
      <c r="G38" s="110">
        <f t="shared" si="21"/>
        <v>0.96417976745375544</v>
      </c>
      <c r="H38" s="414" t="b">
        <f>Wh_hp&gt;='2023'!Maxi_hp</f>
        <v>0</v>
      </c>
      <c r="I38" s="390">
        <f>IF(H38,Wh_hp,'2023'!Maxi_hp)</f>
        <v>33.075754899751203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4.4368226839215374E-2</v>
      </c>
      <c r="M38" s="959"/>
      <c r="N38" s="959"/>
      <c r="O38" s="48">
        <f>IF(t&lt;Tnet,'2023'!Resal+('2023'!Salim-'2023'!Resal)*(1-EXP(('2023'!Tnet-t)/('2023'!Tau_j))),Resal+(Salim-Resal)*(1-EXP((Tnet-t)/(Tau_j))))*Salcycl</f>
        <v>0.11919122443816424</v>
      </c>
      <c r="P38" s="169">
        <f>(INDEX(Models!$BJ38:$BT38,,T38)*(1-R38)+INDEX(Models!$BJ38:$BT38,,T38+1)*R38-ERP_i)*Q38*Ramure*Pc/MaxiM</f>
        <v>3.941220219953627E-3</v>
      </c>
      <c r="Q38" s="305">
        <f t="shared" si="4"/>
        <v>0.7</v>
      </c>
      <c r="R38" s="177">
        <f t="shared" si="5"/>
        <v>1.1319017429209932E-3</v>
      </c>
      <c r="S38" s="921">
        <f t="shared" si="6"/>
        <v>1</v>
      </c>
      <c r="T38" s="176">
        <f t="shared" si="7"/>
        <v>7</v>
      </c>
      <c r="U38" s="251">
        <f t="shared" si="8"/>
        <v>1.001131901742921</v>
      </c>
      <c r="V38" s="383">
        <f t="shared" si="9"/>
        <v>28.757124044071247</v>
      </c>
      <c r="W38" s="402">
        <f t="shared" si="10"/>
        <v>27.732620834302619</v>
      </c>
      <c r="X38" s="157">
        <f t="shared" si="11"/>
        <v>45315</v>
      </c>
      <c r="Y38" s="385">
        <f t="shared" si="12"/>
        <v>26.773841928257696</v>
      </c>
      <c r="Z38" s="385">
        <f t="shared" si="22"/>
        <v>28.016902200417952</v>
      </c>
      <c r="AA38" s="386">
        <f t="shared" si="13"/>
        <v>32.947214258153537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0.14964275944863734</v>
      </c>
      <c r="AD38" s="231">
        <f>(INDEX(Models!$BJ38:$BT38,,AH38)*(1-AF38)+INDEX(Models!$BJ38:$BT38,,AH38+1)*AF38-ERP_i)*AE38*Ramure*Pc/MaxiM</f>
        <v>3.941220219953627E-3</v>
      </c>
      <c r="AE38" s="305">
        <f t="shared" si="15"/>
        <v>0.7</v>
      </c>
      <c r="AF38" s="177">
        <f t="shared" si="23"/>
        <v>1.1319017429209932E-3</v>
      </c>
      <c r="AG38" s="921">
        <f t="shared" si="24"/>
        <v>1</v>
      </c>
      <c r="AH38" s="176">
        <f t="shared" si="16"/>
        <v>7</v>
      </c>
      <c r="AI38" s="225">
        <f t="shared" si="17"/>
        <v>1.001131901742921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27.322064327205123</v>
      </c>
      <c r="C39" s="955"/>
      <c r="D39" s="393">
        <f t="shared" si="0"/>
        <v>28.591203778491767</v>
      </c>
      <c r="E39" s="385">
        <f t="shared" si="1"/>
        <v>32.461509696308021</v>
      </c>
      <c r="F39" s="385">
        <f t="shared" si="2"/>
        <v>32.572423615680776</v>
      </c>
      <c r="G39" s="110">
        <f t="shared" si="21"/>
        <v>0.94085069509812669</v>
      </c>
      <c r="H39" s="414" t="b">
        <f>Wh_hp&gt;='2023'!Maxi_hp</f>
        <v>0</v>
      </c>
      <c r="I39" s="390">
        <f>IF(H39,Wh_hp,'2023'!Maxi_hp)</f>
        <v>32.57978354288494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4.4389157627611864E-2</v>
      </c>
      <c r="M39" s="959"/>
      <c r="N39" s="959"/>
      <c r="O39" s="48">
        <f>IF(t&lt;Tnet,'2023'!Resal+('2023'!Salim-'2023'!Resal)*(1-EXP(('2023'!Tnet-t)/('2023'!Tau_j))),Resal+(Salim-Resal)*(1-EXP((Tnet-t)/(Tau_j))))*Salcycl</f>
        <v>0.11922753913865071</v>
      </c>
      <c r="P39" s="169">
        <f>(INDEX(Models!$BJ39:$BT39,,T39)*(1-R39)+INDEX(Models!$BJ39:$BT39,,T39+1)*R39-ERP_i)*Q39*Ramure*Pc/MaxiM</f>
        <v>3.7177241454869905E-3</v>
      </c>
      <c r="Q39" s="305">
        <f t="shared" si="4"/>
        <v>0.7</v>
      </c>
      <c r="R39" s="177">
        <f t="shared" si="5"/>
        <v>1.2067457743292209E-3</v>
      </c>
      <c r="S39" s="921">
        <f t="shared" si="6"/>
        <v>1</v>
      </c>
      <c r="T39" s="176">
        <f t="shared" si="7"/>
        <v>7</v>
      </c>
      <c r="U39" s="251">
        <f t="shared" si="8"/>
        <v>1.0012067457743292</v>
      </c>
      <c r="V39" s="383">
        <f t="shared" si="9"/>
        <v>29.030636912636098</v>
      </c>
      <c r="W39" s="402">
        <f t="shared" si="10"/>
        <v>27.322064327205123</v>
      </c>
      <c r="X39" s="157">
        <f t="shared" si="11"/>
        <v>45316</v>
      </c>
      <c r="Y39" s="385">
        <f t="shared" si="12"/>
        <v>26.378310053148045</v>
      </c>
      <c r="Z39" s="385">
        <f t="shared" si="22"/>
        <v>27.603611097234481</v>
      </c>
      <c r="AA39" s="386">
        <f t="shared" si="13"/>
        <v>32.461509696308021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0.1496510373214727</v>
      </c>
      <c r="AD39" s="231">
        <f>(INDEX(Models!$BJ39:$BT39,,AH39)*(1-AF39)+INDEX(Models!$BJ39:$BT39,,AH39+1)*AF39-ERP_i)*AE39*Ramure*Pc/MaxiM</f>
        <v>3.7177241454869905E-3</v>
      </c>
      <c r="AE39" s="305">
        <f t="shared" si="15"/>
        <v>0.7</v>
      </c>
      <c r="AF39" s="177">
        <f t="shared" si="23"/>
        <v>1.2067457743292209E-3</v>
      </c>
      <c r="AG39" s="921">
        <f t="shared" si="24"/>
        <v>1</v>
      </c>
      <c r="AH39" s="176">
        <f t="shared" si="16"/>
        <v>7</v>
      </c>
      <c r="AI39" s="225">
        <f t="shared" si="17"/>
        <v>1.0012067457743292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28.032477180380265</v>
      </c>
      <c r="C40" s="955"/>
      <c r="D40" s="393">
        <f t="shared" si="0"/>
        <v>29.335258594834958</v>
      </c>
      <c r="E40" s="385">
        <f t="shared" si="1"/>
        <v>33.307663990301464</v>
      </c>
      <c r="F40" s="385">
        <f t="shared" si="2"/>
        <v>33.417391154300219</v>
      </c>
      <c r="G40" s="110">
        <f t="shared" si="21"/>
        <v>0.95618043586924439</v>
      </c>
      <c r="H40" s="414" t="b">
        <f>Wh_hp&gt;='2023'!Maxi_hp</f>
        <v>0</v>
      </c>
      <c r="I40" s="390">
        <f>IF(H40,Wh_hp,'2023'!Maxi_hp)</f>
        <v>33.422605659814721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4.4410087957570399E-2</v>
      </c>
      <c r="M40" s="959"/>
      <c r="N40" s="959"/>
      <c r="O40" s="48">
        <f>IF(t&lt;Tnet,'2023'!Resal+('2023'!Salim-'2023'!Resal)*(1-EXP(('2023'!Tnet-t)/('2023'!Tau_j))),Resal+(Salim-Resal)*(1-EXP((Tnet-t)/(Tau_j))))*Salcycl</f>
        <v>0.11926400472345312</v>
      </c>
      <c r="P40" s="169">
        <f>(INDEX(Models!$BJ40:$BT40,,T40)*(1-R40)+INDEX(Models!$BJ40:$BT40,,T40+1)*R40-ERP_i)*Q40*Ramure*Pc/MaxiM</f>
        <v>3.5016912529343184E-3</v>
      </c>
      <c r="Q40" s="305">
        <f t="shared" si="4"/>
        <v>0.7</v>
      </c>
      <c r="R40" s="177">
        <f t="shared" si="5"/>
        <v>1.284705786722018E-3</v>
      </c>
      <c r="S40" s="921">
        <f t="shared" si="6"/>
        <v>1</v>
      </c>
      <c r="T40" s="176">
        <f t="shared" si="7"/>
        <v>7</v>
      </c>
      <c r="U40" s="251">
        <f t="shared" si="8"/>
        <v>1.001284705786722</v>
      </c>
      <c r="V40" s="383">
        <f t="shared" si="9"/>
        <v>29.310724748594598</v>
      </c>
      <c r="W40" s="402">
        <f t="shared" si="10"/>
        <v>28.032477180380265</v>
      </c>
      <c r="X40" s="157">
        <f t="shared" si="11"/>
        <v>45317</v>
      </c>
      <c r="Y40" s="385">
        <f t="shared" si="12"/>
        <v>27.06503389421691</v>
      </c>
      <c r="Z40" s="385">
        <f t="shared" si="22"/>
        <v>28.32285434697555</v>
      </c>
      <c r="AA40" s="386">
        <f t="shared" si="13"/>
        <v>33.307663990301464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0.14965953916123911</v>
      </c>
      <c r="AD40" s="231">
        <f>(INDEX(Models!$BJ40:$BT40,,AH40)*(1-AF40)+INDEX(Models!$BJ40:$BT40,,AH40+1)*AF40-ERP_i)*AE40*Ramure*Pc/MaxiM</f>
        <v>3.5016912529343184E-3</v>
      </c>
      <c r="AE40" s="305">
        <f t="shared" si="15"/>
        <v>0.7</v>
      </c>
      <c r="AF40" s="177">
        <f t="shared" si="23"/>
        <v>1.284705786722018E-3</v>
      </c>
      <c r="AG40" s="921">
        <f t="shared" si="24"/>
        <v>1</v>
      </c>
      <c r="AH40" s="176">
        <f t="shared" si="16"/>
        <v>7</v>
      </c>
      <c r="AI40" s="225">
        <f t="shared" si="17"/>
        <v>1.001284705786722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27.781466382008198</v>
      </c>
      <c r="C41" s="955"/>
      <c r="D41" s="393">
        <f t="shared" si="0"/>
        <v>29.073219098105483</v>
      </c>
      <c r="E41" s="385">
        <f t="shared" si="1"/>
        <v>33.011513203556795</v>
      </c>
      <c r="F41" s="385">
        <f t="shared" si="2"/>
        <v>33.111001036537324</v>
      </c>
      <c r="G41" s="110">
        <f t="shared" si="21"/>
        <v>0.93840594105147868</v>
      </c>
      <c r="H41" s="414" t="b">
        <f>Wh_hp&gt;='2023'!Maxi_hp</f>
        <v>0</v>
      </c>
      <c r="I41" s="390">
        <f>IF(H41,Wh_hp,'2023'!Maxi_hp)</f>
        <v>33.117741356998614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4.4431017829100972E-2</v>
      </c>
      <c r="M41" s="959"/>
      <c r="N41" s="959"/>
      <c r="O41" s="48">
        <f>IF(t&lt;Tnet,'2023'!Resal+('2023'!Salim-'2023'!Resal)*(1-EXP(('2023'!Tnet-t)/('2023'!Tau_j))),Resal+(Salim-Resal)*(1-EXP((Tnet-t)/(Tau_j))))*Salcycl</f>
        <v>0.11930062342694975</v>
      </c>
      <c r="P41" s="169">
        <f>(INDEX(Models!$BJ41:$BT41,,T41)*(1-R41)+INDEX(Models!$BJ41:$BT41,,T41+1)*R41-ERP_i)*Q41*Ramure*Pc/MaxiM</f>
        <v>3.2931691893725453E-3</v>
      </c>
      <c r="Q41" s="305">
        <f t="shared" si="4"/>
        <v>0.7</v>
      </c>
      <c r="R41" s="177">
        <f t="shared" si="5"/>
        <v>1.3659104685437296E-3</v>
      </c>
      <c r="S41" s="921">
        <f t="shared" si="6"/>
        <v>1</v>
      </c>
      <c r="T41" s="176">
        <f t="shared" si="7"/>
        <v>7</v>
      </c>
      <c r="U41" s="251">
        <f t="shared" si="8"/>
        <v>1.0013659104685437</v>
      </c>
      <c r="V41" s="383">
        <f t="shared" si="9"/>
        <v>29.596389207726787</v>
      </c>
      <c r="W41" s="402">
        <f t="shared" si="10"/>
        <v>27.781466382008198</v>
      </c>
      <c r="X41" s="157">
        <f t="shared" si="11"/>
        <v>45318</v>
      </c>
      <c r="Y41" s="385">
        <f t="shared" si="12"/>
        <v>26.823525787090105</v>
      </c>
      <c r="Z41" s="385">
        <f t="shared" si="22"/>
        <v>28.070737212661893</v>
      </c>
      <c r="AA41" s="386">
        <f t="shared" si="13"/>
        <v>33.011513203556795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0.14966826756558874</v>
      </c>
      <c r="AD41" s="231">
        <f>(INDEX(Models!$BJ41:$BT41,,AH41)*(1-AF41)+INDEX(Models!$BJ41:$BT41,,AH41+1)*AF41-ERP_i)*AE41*Ramure*Pc/MaxiM</f>
        <v>3.2931691893725453E-3</v>
      </c>
      <c r="AE41" s="305">
        <f t="shared" si="15"/>
        <v>0.7</v>
      </c>
      <c r="AF41" s="177">
        <f t="shared" si="23"/>
        <v>1.3659104685437296E-3</v>
      </c>
      <c r="AG41" s="921">
        <f t="shared" si="24"/>
        <v>1</v>
      </c>
      <c r="AH41" s="176">
        <f t="shared" si="16"/>
        <v>7</v>
      </c>
      <c r="AI41" s="225">
        <f t="shared" si="17"/>
        <v>1.0013659104685437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3.764491522229227</v>
      </c>
      <c r="C42" s="955"/>
      <c r="D42" s="393">
        <f t="shared" si="0"/>
        <v>3.9396150841023752</v>
      </c>
      <c r="E42" s="385">
        <f t="shared" si="1"/>
        <v>4.4734669871489867</v>
      </c>
      <c r="F42" s="385">
        <f t="shared" si="2"/>
        <v>4.4734669871489867</v>
      </c>
      <c r="G42" s="110">
        <f t="shared" si="21"/>
        <v>0.12556955419600133</v>
      </c>
      <c r="H42" s="414" t="b">
        <f>Wh_hp&gt;='2023'!Maxi_hp</f>
        <v>0</v>
      </c>
      <c r="I42" s="390">
        <f>IF(H42,Wh_hp,'2023'!Maxi_hp)</f>
        <v>17.427879917759782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4.4451947242213685E-2</v>
      </c>
      <c r="M42" s="959"/>
      <c r="N42" s="959"/>
      <c r="O42" s="48">
        <f>IF(t&lt;Tnet,'2023'!Resal+('2023'!Salim-'2023'!Resal)*(1-EXP(('2023'!Tnet-t)/('2023'!Tau_j))),Resal+(Salim-Resal)*(1-EXP((Tnet-t)/(Tau_j))))*Salcycl</f>
        <v>0.11933739638187067</v>
      </c>
      <c r="P42" s="169">
        <f>(INDEX(Models!$BJ42:$BT42,,T42)*(1-R42)+INDEX(Models!$BJ42:$BT42,,T42+1)*R42-ERP_i)*Q42*Ramure*Pc/MaxiM</f>
        <v>3.0921651339755373E-3</v>
      </c>
      <c r="Q42" s="305">
        <f t="shared" si="4"/>
        <v>0.7</v>
      </c>
      <c r="R42" s="177">
        <f t="shared" si="5"/>
        <v>1.4504937343897684E-3</v>
      </c>
      <c r="S42" s="921">
        <f t="shared" si="6"/>
        <v>1</v>
      </c>
      <c r="T42" s="176">
        <f t="shared" si="7"/>
        <v>7</v>
      </c>
      <c r="U42" s="251">
        <f t="shared" si="8"/>
        <v>1.0014504937343898</v>
      </c>
      <c r="V42" s="383">
        <f t="shared" si="9"/>
        <v>29.886632287785485</v>
      </c>
      <c r="W42" s="402">
        <f t="shared" si="10"/>
        <v>3.764491522229227</v>
      </c>
      <c r="X42" s="157">
        <f t="shared" si="11"/>
        <v>45319</v>
      </c>
      <c r="Y42" s="385">
        <f t="shared" si="12"/>
        <v>3.6348005118042921</v>
      </c>
      <c r="Z42" s="385">
        <f t="shared" si="22"/>
        <v>3.8038908679830112</v>
      </c>
      <c r="AA42" s="386">
        <f t="shared" si="13"/>
        <v>4.4734669871489867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0.14967722374826498</v>
      </c>
      <c r="AD42" s="231">
        <f>(INDEX(Models!$BJ42:$BT42,,AH42)*(1-AF42)+INDEX(Models!$BJ42:$BT42,,AH42+1)*AF42-ERP_i)*AE42*Ramure*Pc/MaxiM</f>
        <v>3.0921651339755373E-3</v>
      </c>
      <c r="AE42" s="305">
        <f t="shared" si="15"/>
        <v>0.7</v>
      </c>
      <c r="AF42" s="177">
        <f t="shared" si="23"/>
        <v>1.4504937343897684E-3</v>
      </c>
      <c r="AG42" s="921">
        <f t="shared" si="24"/>
        <v>1</v>
      </c>
      <c r="AH42" s="176">
        <f t="shared" si="16"/>
        <v>7</v>
      </c>
      <c r="AI42" s="225">
        <f t="shared" si="17"/>
        <v>1.0014504937343898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5.5975636099055492</v>
      </c>
      <c r="C43" s="955"/>
      <c r="D43" s="393">
        <f t="shared" si="0"/>
        <v>5.8580897082510406</v>
      </c>
      <c r="E43" s="385">
        <f t="shared" si="1"/>
        <v>6.6521904423342963</v>
      </c>
      <c r="F43" s="385">
        <f t="shared" si="2"/>
        <v>6.6521904423342963</v>
      </c>
      <c r="G43" s="110">
        <f t="shared" si="21"/>
        <v>0.18493220153841361</v>
      </c>
      <c r="H43" s="414" t="b">
        <f>Wh_hp&gt;='2023'!Maxi_hp</f>
        <v>0</v>
      </c>
      <c r="I43" s="390">
        <f>IF(H43,Wh_hp,'2023'!Maxi_hp)</f>
        <v>22.511927090396647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4.4472876196918532E-2</v>
      </c>
      <c r="M43" s="959"/>
      <c r="N43" s="959"/>
      <c r="O43" s="48">
        <f>IF(t&lt;Tnet,'2023'!Resal+('2023'!Salim-'2023'!Resal)*(1-EXP(('2023'!Tnet-t)/('2023'!Tau_j))),Resal+(Salim-Resal)*(1-EXP((Tnet-t)/(Tau_j))))*Salcycl</f>
        <v>0.11937432353554218</v>
      </c>
      <c r="P43" s="169">
        <f>(INDEX(Models!$BJ43:$BT43,,T43)*(1-R43)+INDEX(Models!$BJ43:$BT43,,T43+1)*R43-ERP_i)*Q43*Ramure*Pc/MaxiM</f>
        <v>2.898650246920066E-3</v>
      </c>
      <c r="Q43" s="305">
        <f t="shared" si="4"/>
        <v>0.7</v>
      </c>
      <c r="R43" s="177">
        <f t="shared" si="5"/>
        <v>1.5385949296748969E-3</v>
      </c>
      <c r="S43" s="921">
        <f t="shared" si="6"/>
        <v>1</v>
      </c>
      <c r="T43" s="176">
        <f t="shared" si="7"/>
        <v>7</v>
      </c>
      <c r="U43" s="251">
        <f t="shared" si="8"/>
        <v>1.0015385949296749</v>
      </c>
      <c r="V43" s="383">
        <f t="shared" si="9"/>
        <v>30.180456320400236</v>
      </c>
      <c r="W43" s="402">
        <f t="shared" si="10"/>
        <v>5.5975636099055492</v>
      </c>
      <c r="X43" s="157">
        <f t="shared" si="11"/>
        <v>45320</v>
      </c>
      <c r="Y43" s="385">
        <f t="shared" si="12"/>
        <v>5.4048894438947404</v>
      </c>
      <c r="Z43" s="385">
        <f t="shared" si="22"/>
        <v>5.6564479534425018</v>
      </c>
      <c r="AA43" s="386">
        <f t="shared" si="13"/>
        <v>6.6521904423342963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0.14968640743580125</v>
      </c>
      <c r="AD43" s="231">
        <f>(INDEX(Models!$BJ43:$BT43,,AH43)*(1-AF43)+INDEX(Models!$BJ43:$BT43,,AH43+1)*AF43-ERP_i)*AE43*Ramure*Pc/MaxiM</f>
        <v>2.898650246920066E-3</v>
      </c>
      <c r="AE43" s="305">
        <f t="shared" si="15"/>
        <v>0.7</v>
      </c>
      <c r="AF43" s="177">
        <f t="shared" si="23"/>
        <v>1.5385949296748969E-3</v>
      </c>
      <c r="AG43" s="921">
        <f t="shared" si="24"/>
        <v>1</v>
      </c>
      <c r="AH43" s="176">
        <f t="shared" si="16"/>
        <v>7</v>
      </c>
      <c r="AI43" s="225">
        <f t="shared" si="17"/>
        <v>1.0015385949296749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4.5907657261748342</v>
      </c>
      <c r="C44" s="955"/>
      <c r="D44" s="393">
        <f t="shared" si="0"/>
        <v>4.8045378970053925</v>
      </c>
      <c r="E44" s="385">
        <f t="shared" si="1"/>
        <v>5.4560528226082097</v>
      </c>
      <c r="F44" s="385">
        <f t="shared" si="2"/>
        <v>5.4560528226082097</v>
      </c>
      <c r="G44" s="110">
        <f t="shared" si="21"/>
        <v>0.15022257484379356</v>
      </c>
      <c r="H44" s="414" t="b">
        <f>Wh_hp&gt;='2023'!Maxi_hp</f>
        <v>0</v>
      </c>
      <c r="I44" s="390">
        <f>IF(H44,Wh_hp,'2023'!Maxi_hp)</f>
        <v>10.423685229998675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4.4493804693225503E-2</v>
      </c>
      <c r="M44" s="959"/>
      <c r="N44" s="959"/>
      <c r="O44" s="48">
        <f>IF(t&lt;Tnet,'2023'!Resal+('2023'!Salim-'2023'!Resal)*(1-EXP(('2023'!Tnet-t)/('2023'!Tau_j))),Resal+(Salim-Resal)*(1-EXP((Tnet-t)/(Tau_j))))*Salcycl</f>
        <v>0.11941140358889839</v>
      </c>
      <c r="P44" s="169">
        <f>(INDEX(Models!$BJ44:$BT44,,T44)*(1-R44)+INDEX(Models!$BJ44:$BT44,,T44+1)*R44-ERP_i)*Q44*Ramure*Pc/MaxiM</f>
        <v>2.7201677094868476E-3</v>
      </c>
      <c r="Q44" s="305">
        <f t="shared" si="4"/>
        <v>0.7</v>
      </c>
      <c r="R44" s="177">
        <f t="shared" si="5"/>
        <v>1.6303590426685055E-3</v>
      </c>
      <c r="S44" s="921">
        <f t="shared" si="6"/>
        <v>1</v>
      </c>
      <c r="T44" s="176">
        <f t="shared" si="7"/>
        <v>7</v>
      </c>
      <c r="U44" s="251">
        <f t="shared" si="8"/>
        <v>1.0016303590426685</v>
      </c>
      <c r="V44" s="383">
        <f t="shared" si="9"/>
        <v>30.476631613093581</v>
      </c>
      <c r="W44" s="402">
        <f t="shared" si="10"/>
        <v>4.5907657261748342</v>
      </c>
      <c r="X44" s="157">
        <f t="shared" si="11"/>
        <v>45321</v>
      </c>
      <c r="Y44" s="385">
        <f t="shared" si="12"/>
        <v>4.4328842287980672</v>
      </c>
      <c r="Z44" s="385">
        <f t="shared" si="22"/>
        <v>4.6393045388626151</v>
      </c>
      <c r="AA44" s="386">
        <f t="shared" si="13"/>
        <v>5.4560528226082097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0.1496958167929093</v>
      </c>
      <c r="AD44" s="231">
        <f>(INDEX(Models!$BJ44:$BT44,,AH44)*(1-AF44)+INDEX(Models!$BJ44:$BT44,,AH44+1)*AF44-ERP_i)*AE44*Ramure*Pc/MaxiM</f>
        <v>2.7201677094868476E-3</v>
      </c>
      <c r="AE44" s="305">
        <f t="shared" si="15"/>
        <v>0.7</v>
      </c>
      <c r="AF44" s="177">
        <f t="shared" si="23"/>
        <v>1.6303590426685055E-3</v>
      </c>
      <c r="AG44" s="921">
        <f t="shared" si="24"/>
        <v>1</v>
      </c>
      <c r="AH44" s="176">
        <f t="shared" si="16"/>
        <v>7</v>
      </c>
      <c r="AI44" s="225">
        <f t="shared" si="17"/>
        <v>1.0016303590426685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6.3002665342445399</v>
      </c>
      <c r="C45" s="955"/>
      <c r="D45" s="393">
        <f t="shared" si="0"/>
        <v>6.5937872095643364</v>
      </c>
      <c r="E45" s="385">
        <f t="shared" si="1"/>
        <v>7.488248231566609</v>
      </c>
      <c r="F45" s="385">
        <f t="shared" si="2"/>
        <v>7.488248231566609</v>
      </c>
      <c r="G45" s="110">
        <f t="shared" si="21"/>
        <v>0.20420249365960058</v>
      </c>
      <c r="H45" s="414" t="b">
        <f>Wh_hp&gt;='2023'!Maxi_hp</f>
        <v>0</v>
      </c>
      <c r="I45" s="390">
        <f>IF(H45,Wh_hp,'2023'!Maxi_hp)</f>
        <v>26.210661022055326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4.4514732731144702E-2</v>
      </c>
      <c r="M45" s="959"/>
      <c r="N45" s="959"/>
      <c r="O45" s="48">
        <f>IF(t&lt;Tnet,'2023'!Resal+('2023'!Salim-'2023'!Resal)*(1-EXP(('2023'!Tnet-t)/('2023'!Tau_j))),Resal+(Salim-Resal)*(1-EXP((Tnet-t)/(Tau_j))))*Salcycl</f>
        <v>0.11944863395843162</v>
      </c>
      <c r="P45" s="169">
        <f>(INDEX(Models!$BJ45:$BT45,,T45)*(1-R45)+INDEX(Models!$BJ45:$BT45,,T45+1)*R45-ERP_i)*Q45*Ramure*Pc/MaxiM</f>
        <v>2.5596387971334104E-3</v>
      </c>
      <c r="Q45" s="305">
        <f t="shared" si="4"/>
        <v>0.7</v>
      </c>
      <c r="R45" s="177">
        <f t="shared" si="5"/>
        <v>1.7259369240985034E-3</v>
      </c>
      <c r="S45" s="921">
        <f t="shared" si="6"/>
        <v>1</v>
      </c>
      <c r="T45" s="176">
        <f t="shared" si="7"/>
        <v>7</v>
      </c>
      <c r="U45" s="251">
        <f t="shared" si="8"/>
        <v>1.0017259369240985</v>
      </c>
      <c r="V45" s="383">
        <f t="shared" si="9"/>
        <v>30.774061643275907</v>
      </c>
      <c r="W45" s="402">
        <f t="shared" si="10"/>
        <v>6.3002665342445399</v>
      </c>
      <c r="X45" s="157">
        <f t="shared" si="11"/>
        <v>45322</v>
      </c>
      <c r="Y45" s="385">
        <f t="shared" si="12"/>
        <v>6.0837817240859442</v>
      </c>
      <c r="Z45" s="385">
        <f t="shared" si="22"/>
        <v>6.3672166725037362</v>
      </c>
      <c r="AA45" s="386">
        <f t="shared" si="13"/>
        <v>7.488248231566609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0.14970544837672167</v>
      </c>
      <c r="AD45" s="231">
        <f>(INDEX(Models!$BJ45:$BT45,,AH45)*(1-AF45)+INDEX(Models!$BJ45:$BT45,,AH45+1)*AF45-ERP_i)*AE45*Ramure*Pc/MaxiM</f>
        <v>2.5596387971334104E-3</v>
      </c>
      <c r="AE45" s="305">
        <f t="shared" si="15"/>
        <v>0.7</v>
      </c>
      <c r="AF45" s="177">
        <f t="shared" si="23"/>
        <v>1.7259369240985034E-3</v>
      </c>
      <c r="AG45" s="921">
        <f t="shared" si="24"/>
        <v>1</v>
      </c>
      <c r="AH45" s="176">
        <f t="shared" si="16"/>
        <v>7</v>
      </c>
      <c r="AI45" s="225">
        <f t="shared" si="17"/>
        <v>1.0017259369240985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13.036421458910292</v>
      </c>
      <c r="C46" s="955"/>
      <c r="D46" s="393">
        <f t="shared" si="0"/>
        <v>13.644069084932376</v>
      </c>
      <c r="E46" s="385">
        <f t="shared" si="1"/>
        <v>15.495573326125864</v>
      </c>
      <c r="F46" s="385">
        <f t="shared" si="2"/>
        <v>15.50197191431206</v>
      </c>
      <c r="G46" s="110">
        <f t="shared" si="21"/>
        <v>0.41871755537276995</v>
      </c>
      <c r="H46" s="414" t="b">
        <f>Wh_hp&gt;='2023'!Maxi_hp</f>
        <v>0</v>
      </c>
      <c r="I46" s="390">
        <f>IF(H46,Wh_hp,'2023'!Maxi_hp)</f>
        <v>29.47119267155292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4.4535660310686231E-2</v>
      </c>
      <c r="M46" s="959"/>
      <c r="N46" s="959"/>
      <c r="O46" s="48">
        <f>IF(t&lt;Tnet,'2023'!Resal+('2023'!Salim-'2023'!Resal)*(1-EXP(('2023'!Tnet-t)/('2023'!Tau_j))),Resal+(Salim-Resal)*(1-EXP((Tnet-t)/(Tau_j))))*Salcycl</f>
        <v>0.11948601076100966</v>
      </c>
      <c r="P46" s="169">
        <f>(INDEX(Models!$BJ46:$BT46,,T46)*(1-R46)+INDEX(Models!$BJ46:$BT46,,T46+1)*R46-ERP_i)*Q46*Ramure*Pc/MaxiM</f>
        <v>2.4166526887052205E-3</v>
      </c>
      <c r="Q46" s="305">
        <f t="shared" si="4"/>
        <v>0.7</v>
      </c>
      <c r="R46" s="177">
        <f t="shared" si="5"/>
        <v>1.8254855145389826E-3</v>
      </c>
      <c r="S46" s="921">
        <f t="shared" si="6"/>
        <v>1</v>
      </c>
      <c r="T46" s="176">
        <f t="shared" si="7"/>
        <v>7</v>
      </c>
      <c r="U46" s="251">
        <f t="shared" si="8"/>
        <v>1.001825485514539</v>
      </c>
      <c r="V46" s="383">
        <f t="shared" si="9"/>
        <v>31.071749704006415</v>
      </c>
      <c r="W46" s="402">
        <f t="shared" si="10"/>
        <v>13.036421458910292</v>
      </c>
      <c r="X46" s="157">
        <f t="shared" si="11"/>
        <v>45323</v>
      </c>
      <c r="Y46" s="385">
        <f t="shared" si="12"/>
        <v>12.588862735039022</v>
      </c>
      <c r="Z46" s="385">
        <f t="shared" si="22"/>
        <v>13.175648961564086</v>
      </c>
      <c r="AA46" s="386">
        <f t="shared" si="13"/>
        <v>15.495573326125864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0.14971529711974813</v>
      </c>
      <c r="AD46" s="231">
        <f>(INDEX(Models!$BJ46:$BT46,,AH46)*(1-AF46)+INDEX(Models!$BJ46:$BT46,,AH46+1)*AF46-ERP_i)*AE46*Ramure*Pc/MaxiM</f>
        <v>2.4166526887052205E-3</v>
      </c>
      <c r="AE46" s="305">
        <f t="shared" si="15"/>
        <v>0.7</v>
      </c>
      <c r="AF46" s="177">
        <f t="shared" si="23"/>
        <v>1.8254855145389826E-3</v>
      </c>
      <c r="AG46" s="921">
        <f t="shared" si="24"/>
        <v>1</v>
      </c>
      <c r="AH46" s="176">
        <f t="shared" si="16"/>
        <v>7</v>
      </c>
      <c r="AI46" s="225">
        <f t="shared" si="17"/>
        <v>1.001825485514539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4.9065702976485008</v>
      </c>
      <c r="C47" s="955"/>
      <c r="D47" s="393">
        <f t="shared" si="0"/>
        <v>5.135385553038784</v>
      </c>
      <c r="E47" s="385">
        <f t="shared" si="1"/>
        <v>5.8325074219913304</v>
      </c>
      <c r="F47" s="385">
        <f t="shared" si="2"/>
        <v>5.8325074219913304</v>
      </c>
      <c r="G47" s="110">
        <f t="shared" si="21"/>
        <v>0.15605780471917513</v>
      </c>
      <c r="H47" s="414" t="b">
        <f>Wh_hp&gt;='2023'!Maxi_hp</f>
        <v>0</v>
      </c>
      <c r="I47" s="390">
        <f>IF(H47,Wh_hp,'2023'!Maxi_hp)</f>
        <v>31.55257955620117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4.4556587431859973E-2</v>
      </c>
      <c r="M47" s="959"/>
      <c r="N47" s="959"/>
      <c r="O47" s="48">
        <f>IF(t&lt;Tnet,'2023'!Resal+('2023'!Salim-'2023'!Resal)*(1-EXP(('2023'!Tnet-t)/('2023'!Tau_j))),Resal+(Salim-Resal)*(1-EXP((Tnet-t)/(Tau_j))))*Salcycl</f>
        <v>0.11952352882125195</v>
      </c>
      <c r="P47" s="169">
        <f>(INDEX(Models!$BJ47:$BT47,,T47)*(1-R47)+INDEX(Models!$BJ47:$BT47,,T47+1)*R47-ERP_i)*Q47*Ramure*Pc/MaxiM</f>
        <v>2.2907918899703738E-3</v>
      </c>
      <c r="Q47" s="305">
        <f t="shared" si="4"/>
        <v>0.7</v>
      </c>
      <c r="R47" s="177">
        <f t="shared" si="5"/>
        <v>1.9291680797837163E-3</v>
      </c>
      <c r="S47" s="921">
        <f t="shared" si="6"/>
        <v>1</v>
      </c>
      <c r="T47" s="176">
        <f t="shared" si="7"/>
        <v>7</v>
      </c>
      <c r="U47" s="251">
        <f t="shared" si="8"/>
        <v>1.0019291680797837</v>
      </c>
      <c r="V47" s="383">
        <f t="shared" si="9"/>
        <v>31.368699406045017</v>
      </c>
      <c r="W47" s="402">
        <f t="shared" si="10"/>
        <v>4.9065702976485008</v>
      </c>
      <c r="X47" s="157">
        <f t="shared" si="11"/>
        <v>45324</v>
      </c>
      <c r="Y47" s="385">
        <f t="shared" si="12"/>
        <v>4.7382666635431487</v>
      </c>
      <c r="Z47" s="385">
        <f t="shared" si="22"/>
        <v>4.9592331698715091</v>
      </c>
      <c r="AA47" s="386">
        <f t="shared" si="13"/>
        <v>5.8325074219913304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0.14972535634111014</v>
      </c>
      <c r="AD47" s="231">
        <f>(INDEX(Models!$BJ47:$BT47,,AH47)*(1-AF47)+INDEX(Models!$BJ47:$BT47,,AH47+1)*AF47-ERP_i)*AE47*Ramure*Pc/MaxiM</f>
        <v>2.2907918899703738E-3</v>
      </c>
      <c r="AE47" s="305">
        <f t="shared" si="15"/>
        <v>0.7</v>
      </c>
      <c r="AF47" s="177">
        <f t="shared" si="23"/>
        <v>1.9291680797837163E-3</v>
      </c>
      <c r="AG47" s="921">
        <f t="shared" si="24"/>
        <v>1</v>
      </c>
      <c r="AH47" s="176">
        <f t="shared" si="16"/>
        <v>7</v>
      </c>
      <c r="AI47" s="225">
        <f t="shared" si="17"/>
        <v>1.0019291680797837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10.733294050023966</v>
      </c>
      <c r="C48" s="955"/>
      <c r="D48" s="393">
        <f t="shared" si="0"/>
        <v>11.234081475331287</v>
      </c>
      <c r="E48" s="385">
        <f t="shared" si="1"/>
        <v>12.759638991195908</v>
      </c>
      <c r="F48" s="385">
        <f t="shared" si="2"/>
        <v>12.76118912251806</v>
      </c>
      <c r="G48" s="110">
        <f t="shared" si="21"/>
        <v>0.33827715580182166</v>
      </c>
      <c r="H48" s="414" t="b">
        <f>Wh_hp&gt;='2023'!Maxi_hp</f>
        <v>0</v>
      </c>
      <c r="I48" s="390">
        <f>IF(H48,Wh_hp,'2023'!Maxi_hp)</f>
        <v>28.70079034414249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4.4577514094676141E-2</v>
      </c>
      <c r="M48" s="959"/>
      <c r="N48" s="959"/>
      <c r="O48" s="48">
        <f>IF(t&lt;Tnet,'2023'!Resal+('2023'!Salim-'2023'!Resal)*(1-EXP(('2023'!Tnet-t)/('2023'!Tau_j))),Resal+(Salim-Resal)*(1-EXP((Tnet-t)/(Tau_j))))*Salcycl</f>
        <v>0.11956118170092807</v>
      </c>
      <c r="P48" s="169">
        <f>(INDEX(Models!$BJ48:$BT48,,T48)*(1-R48)+INDEX(Models!$BJ48:$BT48,,T48+1)*R48-ERP_i)*Q48*Ramure*Pc/MaxiM</f>
        <v>2.1816381870522808E-3</v>
      </c>
      <c r="Q48" s="305">
        <f t="shared" si="4"/>
        <v>0.7</v>
      </c>
      <c r="R48" s="177">
        <f t="shared" si="5"/>
        <v>2.0371544544168785E-3</v>
      </c>
      <c r="S48" s="921">
        <f t="shared" si="6"/>
        <v>1</v>
      </c>
      <c r="T48" s="176">
        <f t="shared" si="7"/>
        <v>7</v>
      </c>
      <c r="U48" s="251">
        <f t="shared" si="8"/>
        <v>1.0020371544544169</v>
      </c>
      <c r="V48" s="383">
        <f t="shared" si="9"/>
        <v>31.663914674602303</v>
      </c>
      <c r="W48" s="402">
        <f t="shared" si="10"/>
        <v>10.733294050023966</v>
      </c>
      <c r="X48" s="157">
        <f t="shared" si="11"/>
        <v>45325</v>
      </c>
      <c r="Y48" s="385">
        <f t="shared" si="12"/>
        <v>10.365442146454717</v>
      </c>
      <c r="Z48" s="385">
        <f t="shared" si="22"/>
        <v>10.849066564131363</v>
      </c>
      <c r="AA48" s="386">
        <f t="shared" si="13"/>
        <v>12.759638991195908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0.14973561778533323</v>
      </c>
      <c r="AD48" s="231">
        <f>(INDEX(Models!$BJ48:$BT48,,AH48)*(1-AF48)+INDEX(Models!$BJ48:$BT48,,AH48+1)*AF48-ERP_i)*AE48*Ramure*Pc/MaxiM</f>
        <v>2.1816381870522808E-3</v>
      </c>
      <c r="AE48" s="305">
        <f t="shared" si="15"/>
        <v>0.7</v>
      </c>
      <c r="AF48" s="177">
        <f t="shared" si="23"/>
        <v>2.0371544544168785E-3</v>
      </c>
      <c r="AG48" s="921">
        <f t="shared" si="24"/>
        <v>1</v>
      </c>
      <c r="AH48" s="176">
        <f t="shared" si="16"/>
        <v>7</v>
      </c>
      <c r="AI48" s="225">
        <f t="shared" si="17"/>
        <v>1.0020371544544169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10.294999038064772</v>
      </c>
      <c r="C49" s="955"/>
      <c r="D49" s="393">
        <f t="shared" si="0"/>
        <v>10.775572777260512</v>
      </c>
      <c r="E49" s="385">
        <f t="shared" si="1"/>
        <v>12.239391265002185</v>
      </c>
      <c r="F49" s="385">
        <f t="shared" si="2"/>
        <v>12.240200559735165</v>
      </c>
      <c r="G49" s="110">
        <f t="shared" si="21"/>
        <v>0.32150600372235971</v>
      </c>
      <c r="H49" s="414" t="b">
        <f>Wh_hp&gt;='2023'!Maxi_hp</f>
        <v>0</v>
      </c>
      <c r="I49" s="390">
        <f>IF(H49,Wh_hp,'2023'!Maxi_hp)</f>
        <v>29.923583051666235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4.4598440299144615E-2</v>
      </c>
      <c r="M49" s="959"/>
      <c r="N49" s="959"/>
      <c r="O49" s="48">
        <f>IF(t&lt;Tnet,'2023'!Resal+('2023'!Salim-'2023'!Resal)*(1-EXP(('2023'!Tnet-t)/('2023'!Tau_j))),Resal+(Salim-Resal)*(1-EXP((Tnet-t)/(Tau_j))))*Salcycl</f>
        <v>0.11959896174962348</v>
      </c>
      <c r="P49" s="169">
        <f>(INDEX(Models!$BJ49:$BT49,,T49)*(1-R49)+INDEX(Models!$BJ49:$BT49,,T49+1)*R49-ERP_i)*Q49*Ramure*Pc/MaxiM</f>
        <v>2.0887779826072369E-3</v>
      </c>
      <c r="Q49" s="305">
        <f t="shared" si="4"/>
        <v>0.7</v>
      </c>
      <c r="R49" s="177">
        <f t="shared" si="5"/>
        <v>2.1496212937828219E-3</v>
      </c>
      <c r="S49" s="921">
        <f t="shared" si="6"/>
        <v>1</v>
      </c>
      <c r="T49" s="176">
        <f t="shared" si="7"/>
        <v>7</v>
      </c>
      <c r="U49" s="251">
        <f t="shared" si="8"/>
        <v>1.0021496212937828</v>
      </c>
      <c r="V49" s="383">
        <f t="shared" si="9"/>
        <v>31.956399747628502</v>
      </c>
      <c r="W49" s="402">
        <f t="shared" si="10"/>
        <v>10.294999038064772</v>
      </c>
      <c r="X49" s="157">
        <f t="shared" si="11"/>
        <v>45326</v>
      </c>
      <c r="Y49" s="385">
        <f t="shared" si="12"/>
        <v>9.9424727979438465</v>
      </c>
      <c r="Z49" s="385">
        <f t="shared" si="22"/>
        <v>10.406590503219318</v>
      </c>
      <c r="AA49" s="386">
        <f t="shared" si="13"/>
        <v>12.239391265002185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0.14974607168770332</v>
      </c>
      <c r="AD49" s="231">
        <f>(INDEX(Models!$BJ49:$BT49,,AH49)*(1-AF49)+INDEX(Models!$BJ49:$BT49,,AH49+1)*AF49-ERP_i)*AE49*Ramure*Pc/MaxiM</f>
        <v>2.0887779826072369E-3</v>
      </c>
      <c r="AE49" s="305">
        <f t="shared" si="15"/>
        <v>0.7</v>
      </c>
      <c r="AF49" s="177">
        <f t="shared" si="23"/>
        <v>2.1496212937828219E-3</v>
      </c>
      <c r="AG49" s="921">
        <f t="shared" si="24"/>
        <v>1</v>
      </c>
      <c r="AH49" s="176">
        <f t="shared" si="16"/>
        <v>7</v>
      </c>
      <c r="AI49" s="225">
        <f t="shared" si="17"/>
        <v>1.0021496212937828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9.7275166746315822</v>
      </c>
      <c r="C50" s="955"/>
      <c r="D50" s="393">
        <f t="shared" si="0"/>
        <v>10.181823169646298</v>
      </c>
      <c r="E50" s="385">
        <f t="shared" si="1"/>
        <v>11.565481003303354</v>
      </c>
      <c r="F50" s="385">
        <f t="shared" si="2"/>
        <v>11.565536636408616</v>
      </c>
      <c r="G50" s="110">
        <f t="shared" si="21"/>
        <v>0.30106824512293118</v>
      </c>
      <c r="H50" s="414" t="b">
        <f>Wh_hp&gt;='2023'!Maxi_hp</f>
        <v>0</v>
      </c>
      <c r="I50" s="390">
        <f>IF(H50,Wh_hp,'2023'!Maxi_hp)</f>
        <v>37.591562892350396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4.4619366045275499E-2</v>
      </c>
      <c r="M50" s="959"/>
      <c r="N50" s="959"/>
      <c r="O50" s="48">
        <f>IF(t&lt;Tnet,'2023'!Resal+('2023'!Salim-'2023'!Resal)*(1-EXP(('2023'!Tnet-t)/('2023'!Tau_j))),Resal+(Salim-Resal)*(1-EXP((Tnet-t)/(Tau_j))))*Salcycl</f>
        <v>0.11963686017571194</v>
      </c>
      <c r="P50" s="169">
        <f>(INDEX(Models!$BJ50:$BT50,,T50)*(1-R50)+INDEX(Models!$BJ50:$BT50,,T50+1)*R50-ERP_i)*Q50*Ramure*Pc/MaxiM</f>
        <v>2.0118070587738491E-3</v>
      </c>
      <c r="Q50" s="305">
        <f t="shared" si="4"/>
        <v>0.7</v>
      </c>
      <c r="R50" s="177">
        <f t="shared" si="5"/>
        <v>2.2667523345636376E-3</v>
      </c>
      <c r="S50" s="921">
        <f t="shared" si="6"/>
        <v>1</v>
      </c>
      <c r="T50" s="176">
        <f t="shared" si="7"/>
        <v>7</v>
      </c>
      <c r="U50" s="251">
        <f t="shared" si="8"/>
        <v>1.0022667523345636</v>
      </c>
      <c r="V50" s="383">
        <f t="shared" si="9"/>
        <v>32.245159172527117</v>
      </c>
      <c r="W50" s="402">
        <f t="shared" si="10"/>
        <v>9.7275166746315822</v>
      </c>
      <c r="X50" s="157">
        <f t="shared" si="11"/>
        <v>45327</v>
      </c>
      <c r="Y50" s="385">
        <f t="shared" si="12"/>
        <v>9.3947093390526604</v>
      </c>
      <c r="Z50" s="385">
        <f t="shared" si="22"/>
        <v>9.8334726549396176</v>
      </c>
      <c r="AA50" s="386">
        <f t="shared" si="13"/>
        <v>11.565481003303354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0.14975670686494041</v>
      </c>
      <c r="AD50" s="231">
        <f>(INDEX(Models!$BJ50:$BT50,,AH50)*(1-AF50)+INDEX(Models!$BJ50:$BT50,,AH50+1)*AF50-ERP_i)*AE50*Ramure*Pc/MaxiM</f>
        <v>2.0118070587738491E-3</v>
      </c>
      <c r="AE50" s="305">
        <f t="shared" si="15"/>
        <v>0.7</v>
      </c>
      <c r="AF50" s="177">
        <f t="shared" si="23"/>
        <v>2.2667523345636376E-3</v>
      </c>
      <c r="AG50" s="921">
        <f t="shared" si="24"/>
        <v>1</v>
      </c>
      <c r="AH50" s="176">
        <f t="shared" si="16"/>
        <v>7</v>
      </c>
      <c r="AI50" s="225">
        <f t="shared" si="17"/>
        <v>1.0022667523345636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21.467916122165946</v>
      </c>
      <c r="C51" s="955"/>
      <c r="D51" s="393">
        <f t="shared" si="0"/>
        <v>22.471029422123738</v>
      </c>
      <c r="E51" s="385">
        <f t="shared" si="1"/>
        <v>25.525829700022385</v>
      </c>
      <c r="F51" s="385">
        <f t="shared" si="2"/>
        <v>25.551447844644859</v>
      </c>
      <c r="G51" s="110">
        <f t="shared" si="21"/>
        <v>0.6592620504213752</v>
      </c>
      <c r="H51" s="414" t="b">
        <f>Wh_hp&gt;='2023'!Maxi_hp</f>
        <v>0</v>
      </c>
      <c r="I51" s="390">
        <f>IF(H51,Wh_hp,'2023'!Maxi_hp)</f>
        <v>39.747861870771352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4.4640291333078896E-2</v>
      </c>
      <c r="M51" s="959"/>
      <c r="N51" s="959"/>
      <c r="O51" s="48">
        <f>IF(t&lt;Tnet,'2023'!Resal+('2023'!Salim-'2023'!Resal)*(1-EXP(('2023'!Tnet-t)/('2023'!Tau_j))),Resal+(Salim-Resal)*(1-EXP((Tnet-t)/(Tau_j))))*Salcycl</f>
        <v>0.11967486713648207</v>
      </c>
      <c r="P51" s="169">
        <f>(INDEX(Models!$BJ51:$BT51,,T51)*(1-R51)+INDEX(Models!$BJ51:$BT51,,T51+1)*R51-ERP_i)*Q51*Ramure*Pc/MaxiM</f>
        <v>1.950127085149763E-3</v>
      </c>
      <c r="Q51" s="305">
        <f t="shared" si="4"/>
        <v>0.7</v>
      </c>
      <c r="R51" s="177">
        <f t="shared" si="5"/>
        <v>2.3887386641576747E-3</v>
      </c>
      <c r="S51" s="921">
        <f t="shared" si="6"/>
        <v>1</v>
      </c>
      <c r="T51" s="176">
        <f t="shared" si="7"/>
        <v>7</v>
      </c>
      <c r="U51" s="251">
        <f t="shared" si="8"/>
        <v>1.0023887386641577</v>
      </c>
      <c r="V51" s="383">
        <f t="shared" si="9"/>
        <v>32.532669645816966</v>
      </c>
      <c r="W51" s="402">
        <f t="shared" si="10"/>
        <v>21.467916122165946</v>
      </c>
      <c r="X51" s="157">
        <f t="shared" si="11"/>
        <v>45328</v>
      </c>
      <c r="Y51" s="385">
        <f t="shared" si="12"/>
        <v>20.734066403938659</v>
      </c>
      <c r="Z51" s="385">
        <f t="shared" si="22"/>
        <v>21.702889723987127</v>
      </c>
      <c r="AA51" s="386">
        <f t="shared" si="13"/>
        <v>25.525829700022385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0.14976751082970305</v>
      </c>
      <c r="AD51" s="231">
        <f>(INDEX(Models!$BJ51:$BT51,,AH51)*(1-AF51)+INDEX(Models!$BJ51:$BT51,,AH51+1)*AF51-ERP_i)*AE51*Ramure*Pc/MaxiM</f>
        <v>1.950127085149763E-3</v>
      </c>
      <c r="AE51" s="305">
        <f t="shared" si="15"/>
        <v>0.7</v>
      </c>
      <c r="AF51" s="177">
        <f t="shared" si="23"/>
        <v>2.3887386641576747E-3</v>
      </c>
      <c r="AG51" s="921">
        <f t="shared" si="24"/>
        <v>1</v>
      </c>
      <c r="AH51" s="176">
        <f t="shared" si="16"/>
        <v>7</v>
      </c>
      <c r="AI51" s="225">
        <f t="shared" si="17"/>
        <v>1.0023887386641577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8.4552307969023115</v>
      </c>
      <c r="C52" s="955"/>
      <c r="D52" s="393">
        <f t="shared" si="0"/>
        <v>8.8505051191777966</v>
      </c>
      <c r="E52" s="385">
        <f t="shared" si="1"/>
        <v>10.05411284741818</v>
      </c>
      <c r="F52" s="385">
        <f t="shared" si="2"/>
        <v>10.05411284741818</v>
      </c>
      <c r="G52" s="110">
        <f t="shared" si="21"/>
        <v>0.25712017475447974</v>
      </c>
      <c r="H52" s="414" t="b">
        <f>Wh_hp&gt;='2023'!Maxi_hp</f>
        <v>0</v>
      </c>
      <c r="I52" s="390">
        <f>IF(H52,Wh_hp,'2023'!Maxi_hp)</f>
        <v>25.290736794333089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4.4661216162564799E-2</v>
      </c>
      <c r="M52" s="959"/>
      <c r="N52" s="959"/>
      <c r="O52" s="48">
        <f>IF(t&lt;Tnet,'2023'!Resal+('2023'!Salim-'2023'!Resal)*(1-EXP(('2023'!Tnet-t)/('2023'!Tau_j))),Resal+(Salim-Resal)*(1-EXP((Tnet-t)/(Tau_j))))*Salcycl</f>
        <v>0.11971297184608991</v>
      </c>
      <c r="P52" s="169">
        <f>(INDEX(Models!$BJ52:$BT52,,T52)*(1-R52)+INDEX(Models!$BJ52:$BT52,,T52+1)*R52-ERP_i)*Q52*Ramure*Pc/MaxiM</f>
        <v>1.9034911488221328E-3</v>
      </c>
      <c r="Q52" s="305">
        <f t="shared" si="4"/>
        <v>0.7</v>
      </c>
      <c r="R52" s="177">
        <f t="shared" si="5"/>
        <v>2.5157789990593038E-3</v>
      </c>
      <c r="S52" s="921">
        <f t="shared" si="6"/>
        <v>1</v>
      </c>
      <c r="T52" s="176">
        <f t="shared" si="7"/>
        <v>7</v>
      </c>
      <c r="U52" s="251">
        <f t="shared" si="8"/>
        <v>1.0025157789990593</v>
      </c>
      <c r="V52" s="383">
        <f t="shared" si="9"/>
        <v>32.821758728102793</v>
      </c>
      <c r="W52" s="402">
        <f t="shared" si="10"/>
        <v>8.4552307969023115</v>
      </c>
      <c r="X52" s="157">
        <f t="shared" si="11"/>
        <v>45329</v>
      </c>
      <c r="Y52" s="385">
        <f t="shared" si="12"/>
        <v>8.1664491641286059</v>
      </c>
      <c r="Z52" s="385">
        <f t="shared" si="22"/>
        <v>8.5482232086562568</v>
      </c>
      <c r="AA52" s="386">
        <f t="shared" si="13"/>
        <v>10.05411284741818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0.14977846992722227</v>
      </c>
      <c r="AD52" s="231">
        <f>(INDEX(Models!$BJ52:$BT52,,AH52)*(1-AF52)+INDEX(Models!$BJ52:$BT52,,AH52+1)*AF52-ERP_i)*AE52*Ramure*Pc/MaxiM</f>
        <v>1.9034911488221328E-3</v>
      </c>
      <c r="AE52" s="305">
        <f t="shared" si="15"/>
        <v>0.7</v>
      </c>
      <c r="AF52" s="177">
        <f t="shared" si="23"/>
        <v>2.5157789990593038E-3</v>
      </c>
      <c r="AG52" s="921">
        <f t="shared" si="24"/>
        <v>1</v>
      </c>
      <c r="AH52" s="176">
        <f t="shared" si="16"/>
        <v>7</v>
      </c>
      <c r="AI52" s="225">
        <f t="shared" si="17"/>
        <v>1.0025157789990593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32.65940563779008</v>
      </c>
      <c r="C53" s="955"/>
      <c r="D53" s="393">
        <f t="shared" si="0"/>
        <v>34.186951823592132</v>
      </c>
      <c r="E53" s="385">
        <f t="shared" si="1"/>
        <v>38.83782673141436</v>
      </c>
      <c r="F53" s="385">
        <f t="shared" si="2"/>
        <v>38.908970316506093</v>
      </c>
      <c r="G53" s="110">
        <f t="shared" si="21"/>
        <v>0.98628962894299732</v>
      </c>
      <c r="H53" s="414" t="b">
        <f>Wh_hp&gt;='2023'!Maxi_hp</f>
        <v>0</v>
      </c>
      <c r="I53" s="390">
        <f>IF(H53,Wh_hp,'2023'!Maxi_hp)</f>
        <v>38.909731663461848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4.4682140533743198E-2</v>
      </c>
      <c r="M53" s="959"/>
      <c r="N53" s="959"/>
      <c r="O53" s="48">
        <f>IF(t&lt;Tnet,'2023'!Resal+('2023'!Salim-'2023'!Resal)*(1-EXP(('2023'!Tnet-t)/('2023'!Tau_j))),Resal+(Salim-Resal)*(1-EXP((Tnet-t)/(Tau_j))))*Salcycl</f>
        <v>0.1197511626998512</v>
      </c>
      <c r="P53" s="169">
        <f>(INDEX(Models!$BJ53:$BT53,,T53)*(1-R53)+INDEX(Models!$BJ53:$BT53,,T53+1)*R53-ERP_i)*Q53*Ramure*Pc/MaxiM</f>
        <v>1.864892632609138E-3</v>
      </c>
      <c r="Q53" s="305">
        <f t="shared" si="4"/>
        <v>0.7</v>
      </c>
      <c r="R53" s="177">
        <f t="shared" si="5"/>
        <v>2.6480799724255544E-3</v>
      </c>
      <c r="S53" s="921">
        <f t="shared" si="6"/>
        <v>1</v>
      </c>
      <c r="T53" s="176">
        <f t="shared" si="7"/>
        <v>7</v>
      </c>
      <c r="U53" s="251">
        <f t="shared" si="8"/>
        <v>1.0026480799724256</v>
      </c>
      <c r="V53" s="383">
        <f t="shared" si="9"/>
        <v>33.11219413315839</v>
      </c>
      <c r="W53" s="402">
        <f t="shared" si="10"/>
        <v>32.65940563779008</v>
      </c>
      <c r="X53" s="157">
        <f t="shared" si="11"/>
        <v>45330</v>
      </c>
      <c r="Y53" s="385">
        <f t="shared" si="12"/>
        <v>31.54490656596829</v>
      </c>
      <c r="Z53" s="385">
        <f t="shared" si="22"/>
        <v>33.020325385304389</v>
      </c>
      <c r="AA53" s="386">
        <f t="shared" si="13"/>
        <v>38.83782673141436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0.14978956949216798</v>
      </c>
      <c r="AD53" s="231">
        <f>(INDEX(Models!$BJ53:$BT53,,AH53)*(1-AF53)+INDEX(Models!$BJ53:$BT53,,AH53+1)*AF53-ERP_i)*AE53*Ramure*Pc/MaxiM</f>
        <v>1.864892632609138E-3</v>
      </c>
      <c r="AE53" s="305">
        <f t="shared" si="15"/>
        <v>0.7</v>
      </c>
      <c r="AF53" s="177">
        <f t="shared" si="23"/>
        <v>2.6480799724255544E-3</v>
      </c>
      <c r="AG53" s="921">
        <f t="shared" si="24"/>
        <v>1</v>
      </c>
      <c r="AH53" s="176">
        <f t="shared" si="16"/>
        <v>7</v>
      </c>
      <c r="AI53" s="225">
        <f t="shared" si="17"/>
        <v>1.0026480799724256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32.734008193880349</v>
      </c>
      <c r="C54" s="955"/>
      <c r="D54" s="393">
        <f t="shared" si="0"/>
        <v>34.265794200332572</v>
      </c>
      <c r="E54" s="385">
        <f t="shared" si="1"/>
        <v>38.929087274687753</v>
      </c>
      <c r="F54" s="385">
        <f t="shared" si="2"/>
        <v>38.998568622163525</v>
      </c>
      <c r="G54" s="110">
        <f t="shared" si="21"/>
        <v>0.97990520183623475</v>
      </c>
      <c r="H54" s="414" t="b">
        <f>Wh_hp&gt;='2023'!Maxi_hp</f>
        <v>0</v>
      </c>
      <c r="I54" s="390">
        <f>IF(H54,Wh_hp,'2023'!Maxi_hp)</f>
        <v>38.999655191950957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4.4703064446624086E-2</v>
      </c>
      <c r="M54" s="959"/>
      <c r="N54" s="959"/>
      <c r="O54" s="48">
        <f>IF(t&lt;Tnet,'2023'!Resal+('2023'!Salim-'2023'!Resal)*(1-EXP(('2023'!Tnet-t)/('2023'!Tau_j))),Resal+(Salim-Resal)*(1-EXP((Tnet-t)/(Tau_j))))*Salcycl</f>
        <v>0.11978942741324737</v>
      </c>
      <c r="P54" s="169">
        <f>(INDEX(Models!$BJ54:$BT54,,T54)*(1-R54)+INDEX(Models!$BJ54:$BT54,,T54+1)*R54-ERP_i)*Q54*Ramure*Pc/MaxiM</f>
        <v>1.8341561652630968E-3</v>
      </c>
      <c r="Q54" s="305">
        <f t="shared" si="4"/>
        <v>0.7</v>
      </c>
      <c r="R54" s="177">
        <f t="shared" si="5"/>
        <v>2.7858564310165868E-3</v>
      </c>
      <c r="S54" s="921">
        <f t="shared" si="6"/>
        <v>1</v>
      </c>
      <c r="T54" s="176">
        <f t="shared" si="7"/>
        <v>7</v>
      </c>
      <c r="U54" s="251">
        <f t="shared" si="8"/>
        <v>1.0027858564310166</v>
      </c>
      <c r="V54" s="383">
        <f t="shared" si="9"/>
        <v>33.403523062573377</v>
      </c>
      <c r="W54" s="402">
        <f t="shared" si="10"/>
        <v>32.734008193880349</v>
      </c>
      <c r="X54" s="157">
        <f t="shared" si="11"/>
        <v>45331</v>
      </c>
      <c r="Y54" s="385">
        <f t="shared" si="12"/>
        <v>31.617920349526873</v>
      </c>
      <c r="Z54" s="385">
        <f t="shared" si="22"/>
        <v>33.097479090322345</v>
      </c>
      <c r="AA54" s="386">
        <f t="shared" si="13"/>
        <v>38.929087274687753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0.14980079402368121</v>
      </c>
      <c r="AD54" s="231">
        <f>(INDEX(Models!$BJ54:$BT54,,AH54)*(1-AF54)+INDEX(Models!$BJ54:$BT54,,AH54+1)*AF54-ERP_i)*AE54*Ramure*Pc/MaxiM</f>
        <v>1.8341561652630968E-3</v>
      </c>
      <c r="AE54" s="305">
        <f t="shared" si="15"/>
        <v>0.7</v>
      </c>
      <c r="AF54" s="177">
        <f t="shared" si="23"/>
        <v>2.7858564310165868E-3</v>
      </c>
      <c r="AG54" s="921">
        <f t="shared" si="24"/>
        <v>1</v>
      </c>
      <c r="AH54" s="176">
        <f t="shared" si="16"/>
        <v>7</v>
      </c>
      <c r="AI54" s="225">
        <f t="shared" si="17"/>
        <v>1.0027858564310166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30.416182394684494</v>
      </c>
      <c r="C55" s="955"/>
      <c r="D55" s="393">
        <f t="shared" si="0"/>
        <v>31.840203260059717</v>
      </c>
      <c r="E55" s="385">
        <f t="shared" si="1"/>
        <v>36.174968450636186</v>
      </c>
      <c r="F55" s="385">
        <f t="shared" si="2"/>
        <v>36.231464989873736</v>
      </c>
      <c r="G55" s="110">
        <f t="shared" si="21"/>
        <v>0.9024557871333091</v>
      </c>
      <c r="H55" s="414" t="b">
        <f>Wh_hp&gt;='2023'!Maxi_hp</f>
        <v>0</v>
      </c>
      <c r="I55" s="390">
        <f>IF(H55,Wh_hp,'2023'!Maxi_hp)</f>
        <v>36.23625864148525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4.4723987901217677E-2</v>
      </c>
      <c r="M55" s="959"/>
      <c r="N55" s="959"/>
      <c r="O55" s="48">
        <f>IF(t&lt;Tnet,'2023'!Resal+('2023'!Salim-'2023'!Resal)*(1-EXP(('2023'!Tnet-t)/('2023'!Tau_j))),Resal+(Salim-Resal)*(1-EXP((Tnet-t)/(Tau_j))))*Salcycl</f>
        <v>0.11982775317390053</v>
      </c>
      <c r="P55" s="169">
        <f>(INDEX(Models!$BJ55:$BT55,,T55)*(1-R55)+INDEX(Models!$BJ55:$BT55,,T55+1)*R55-ERP_i)*Q55*Ramure*Pc/MaxiM</f>
        <v>1.8111096399660949E-3</v>
      </c>
      <c r="Q55" s="305">
        <f t="shared" si="4"/>
        <v>0.7</v>
      </c>
      <c r="R55" s="177">
        <f t="shared" si="5"/>
        <v>2.9293317416791975E-3</v>
      </c>
      <c r="S55" s="921">
        <f t="shared" si="6"/>
        <v>1</v>
      </c>
      <c r="T55" s="176">
        <f t="shared" si="7"/>
        <v>7</v>
      </c>
      <c r="U55" s="251">
        <f t="shared" si="8"/>
        <v>1.0029293317416792</v>
      </c>
      <c r="V55" s="383">
        <f t="shared" si="9"/>
        <v>33.695292849411693</v>
      </c>
      <c r="W55" s="402">
        <f t="shared" si="10"/>
        <v>30.416182394684494</v>
      </c>
      <c r="X55" s="157">
        <f t="shared" si="11"/>
        <v>45332</v>
      </c>
      <c r="Y55" s="385">
        <f t="shared" si="12"/>
        <v>29.380009988634214</v>
      </c>
      <c r="Z55" s="385">
        <f t="shared" si="22"/>
        <v>30.755519469273676</v>
      </c>
      <c r="AA55" s="386">
        <f t="shared" si="13"/>
        <v>36.174968450636186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0.14981212737635999</v>
      </c>
      <c r="AD55" s="231">
        <f>(INDEX(Models!$BJ55:$BT55,,AH55)*(1-AF55)+INDEX(Models!$BJ55:$BT55,,AH55+1)*AF55-ERP_i)*AE55*Ramure*Pc/MaxiM</f>
        <v>1.8111096399660949E-3</v>
      </c>
      <c r="AE55" s="305">
        <f t="shared" si="15"/>
        <v>0.7</v>
      </c>
      <c r="AF55" s="177">
        <f t="shared" si="23"/>
        <v>2.9293317416791975E-3</v>
      </c>
      <c r="AG55" s="921">
        <f t="shared" si="24"/>
        <v>1</v>
      </c>
      <c r="AH55" s="176">
        <f t="shared" si="16"/>
        <v>7</v>
      </c>
      <c r="AI55" s="225">
        <f t="shared" si="17"/>
        <v>1.0029293317416792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15.312131250929058</v>
      </c>
      <c r="C56" s="955"/>
      <c r="D56" s="393">
        <f t="shared" si="0"/>
        <v>16.029363701496692</v>
      </c>
      <c r="E56" s="385">
        <f t="shared" si="1"/>
        <v>18.212415394605891</v>
      </c>
      <c r="F56" s="385">
        <f t="shared" si="2"/>
        <v>18.21945035502846</v>
      </c>
      <c r="G56" s="110">
        <f t="shared" si="21"/>
        <v>0.44989313948767418</v>
      </c>
      <c r="H56" s="414" t="b">
        <f>Wh_hp&gt;='2023'!Maxi_hp</f>
        <v>0</v>
      </c>
      <c r="I56" s="390">
        <f>IF(H56,Wh_hp,'2023'!Maxi_hp)</f>
        <v>32.069160070810902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4.4744910897533963E-2</v>
      </c>
      <c r="M56" s="959"/>
      <c r="N56" s="959"/>
      <c r="O56" s="48">
        <f>IF(t&lt;Tnet,'2023'!Resal+('2023'!Salim-'2023'!Resal)*(1-EXP(('2023'!Tnet-t)/('2023'!Tau_j))),Resal+(Salim-Resal)*(1-EXP((Tnet-t)/(Tau_j))))*Salcycl</f>
        <v>0.11986612680467246</v>
      </c>
      <c r="P56" s="169">
        <f>(INDEX(Models!$BJ56:$BT56,,T56)*(1-R56)+INDEX(Models!$BJ56:$BT56,,T56+1)*R56-ERP_i)*Q56*Ramure*Pc/MaxiM</f>
        <v>1.7955852075799926E-3</v>
      </c>
      <c r="Q56" s="305">
        <f t="shared" si="4"/>
        <v>0.7</v>
      </c>
      <c r="R56" s="177">
        <f t="shared" si="5"/>
        <v>3.0787381075403353E-3</v>
      </c>
      <c r="S56" s="921">
        <f t="shared" si="6"/>
        <v>1</v>
      </c>
      <c r="T56" s="176">
        <f t="shared" si="7"/>
        <v>7</v>
      </c>
      <c r="U56" s="251">
        <f t="shared" si="8"/>
        <v>1.0030787381075403</v>
      </c>
      <c r="V56" s="383">
        <f t="shared" si="9"/>
        <v>33.987050950106969</v>
      </c>
      <c r="W56" s="402">
        <f t="shared" si="10"/>
        <v>15.312131250929058</v>
      </c>
      <c r="X56" s="157">
        <f t="shared" si="11"/>
        <v>45333</v>
      </c>
      <c r="Y56" s="385">
        <f t="shared" si="12"/>
        <v>14.790946854696744</v>
      </c>
      <c r="Z56" s="385">
        <f t="shared" si="22"/>
        <v>15.483766612113996</v>
      </c>
      <c r="AA56" s="386">
        <f t="shared" si="13"/>
        <v>18.212415394605891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0.14982355296486699</v>
      </c>
      <c r="AD56" s="231">
        <f>(INDEX(Models!$BJ56:$BT56,,AH56)*(1-AF56)+INDEX(Models!$BJ56:$BT56,,AH56+1)*AF56-ERP_i)*AE56*Ramure*Pc/MaxiM</f>
        <v>1.7955852075799926E-3</v>
      </c>
      <c r="AE56" s="305">
        <f t="shared" si="15"/>
        <v>0.7</v>
      </c>
      <c r="AF56" s="177">
        <f t="shared" si="23"/>
        <v>3.0787381075403353E-3</v>
      </c>
      <c r="AG56" s="921">
        <f t="shared" si="24"/>
        <v>1</v>
      </c>
      <c r="AH56" s="176">
        <f t="shared" si="16"/>
        <v>7</v>
      </c>
      <c r="AI56" s="225">
        <f t="shared" si="17"/>
        <v>1.0030787381075403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25.468591678668879</v>
      </c>
      <c r="C57" s="955"/>
      <c r="D57" s="393">
        <f t="shared" si="0"/>
        <v>26.66214481237505</v>
      </c>
      <c r="E57" s="385">
        <f t="shared" si="1"/>
        <v>30.294605381741384</v>
      </c>
      <c r="F57" s="385">
        <f t="shared" si="2"/>
        <v>30.328912396179451</v>
      </c>
      <c r="G57" s="110">
        <f t="shared" si="21"/>
        <v>0.74250547716440041</v>
      </c>
      <c r="H57" s="414" t="b">
        <f>Wh_hp&gt;='2023'!Maxi_hp</f>
        <v>0</v>
      </c>
      <c r="I57" s="390">
        <f>IF(H57,Wh_hp,'2023'!Maxi_hp)</f>
        <v>40.986650074876621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4.4765833435582825E-2</v>
      </c>
      <c r="M57" s="959"/>
      <c r="N57" s="959"/>
      <c r="O57" s="48">
        <f>IF(t&lt;Tnet,'2023'!Resal+('2023'!Salim-'2023'!Resal)*(1-EXP(('2023'!Tnet-t)/('2023'!Tau_j))),Resal+(Salim-Resal)*(1-EXP((Tnet-t)/(Tau_j))))*Salcycl</f>
        <v>0.11990453493596659</v>
      </c>
      <c r="P57" s="169">
        <f>(INDEX(Models!$BJ57:$BT57,,T57)*(1-R57)+INDEX(Models!$BJ57:$BT57,,T57+1)*R57-ERP_i)*Q57*Ramure*Pc/MaxiM</f>
        <v>1.7874201711016436E-3</v>
      </c>
      <c r="Q57" s="305">
        <f t="shared" si="4"/>
        <v>0.7</v>
      </c>
      <c r="R57" s="177">
        <f t="shared" si="5"/>
        <v>3.2343168940631717E-3</v>
      </c>
      <c r="S57" s="921">
        <f t="shared" si="6"/>
        <v>1</v>
      </c>
      <c r="T57" s="176">
        <f t="shared" si="7"/>
        <v>7</v>
      </c>
      <c r="U57" s="251">
        <f t="shared" si="8"/>
        <v>1.0032343168940632</v>
      </c>
      <c r="V57" s="383">
        <f t="shared" si="9"/>
        <v>34.278344938147562</v>
      </c>
      <c r="W57" s="402">
        <f t="shared" si="10"/>
        <v>25.468591678668879</v>
      </c>
      <c r="X57" s="157">
        <f t="shared" si="11"/>
        <v>45334</v>
      </c>
      <c r="Y57" s="385">
        <f t="shared" si="12"/>
        <v>24.602449085602654</v>
      </c>
      <c r="Z57" s="385">
        <f t="shared" si="22"/>
        <v>25.755411549073358</v>
      </c>
      <c r="AA57" s="386">
        <f t="shared" si="13"/>
        <v>30.294605381741384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0.14983505397973612</v>
      </c>
      <c r="AD57" s="231">
        <f>(INDEX(Models!$BJ57:$BT57,,AH57)*(1-AF57)+INDEX(Models!$BJ57:$BT57,,AH57+1)*AF57-ERP_i)*AE57*Ramure*Pc/MaxiM</f>
        <v>1.7874201711016436E-3</v>
      </c>
      <c r="AE57" s="305">
        <f t="shared" si="15"/>
        <v>0.7</v>
      </c>
      <c r="AF57" s="177">
        <f t="shared" si="23"/>
        <v>3.2343168940631717E-3</v>
      </c>
      <c r="AG57" s="921">
        <f t="shared" si="24"/>
        <v>1</v>
      </c>
      <c r="AH57" s="176">
        <f t="shared" si="16"/>
        <v>7</v>
      </c>
      <c r="AI57" s="225">
        <f t="shared" si="17"/>
        <v>1.0032343168940632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31.124823990434738</v>
      </c>
      <c r="C58" s="955"/>
      <c r="D58" s="393">
        <f t="shared" si="0"/>
        <v>32.584162929218785</v>
      </c>
      <c r="E58" s="385">
        <f t="shared" si="1"/>
        <v>37.025058153251202</v>
      </c>
      <c r="F58" s="385">
        <f t="shared" si="2"/>
        <v>37.081866990699538</v>
      </c>
      <c r="G58" s="110">
        <f t="shared" si="21"/>
        <v>0.90014582976031632</v>
      </c>
      <c r="H58" s="414" t="b">
        <f>Wh_hp&gt;='2023'!Maxi_hp</f>
        <v>0</v>
      </c>
      <c r="I58" s="390">
        <f>IF(H58,Wh_hp,'2023'!Maxi_hp)</f>
        <v>42.930559585857665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4.4786755515374477E-2</v>
      </c>
      <c r="M58" s="959"/>
      <c r="N58" s="959"/>
      <c r="O58" s="48">
        <f>IF(t&lt;Tnet,'2023'!Resal+('2023'!Salim-'2023'!Resal)*(1-EXP(('2023'!Tnet-t)/('2023'!Tau_j))),Resal+(Salim-Resal)*(1-EXP((Tnet-t)/(Tau_j))))*Salcycl</f>
        <v>0.11994296418525574</v>
      </c>
      <c r="P58" s="169">
        <f>(INDEX(Models!$BJ58:$BT58,,T58)*(1-R58)+INDEX(Models!$BJ58:$BT58,,T58+1)*R58-ERP_i)*Q58*Ramure*Pc/MaxiM</f>
        <v>1.7861984184277986E-3</v>
      </c>
      <c r="Q58" s="305">
        <f t="shared" si="4"/>
        <v>0.7</v>
      </c>
      <c r="R58" s="177">
        <f t="shared" si="5"/>
        <v>3.3963189651022851E-3</v>
      </c>
      <c r="S58" s="921">
        <f t="shared" si="6"/>
        <v>1</v>
      </c>
      <c r="T58" s="176">
        <f t="shared" si="7"/>
        <v>7</v>
      </c>
      <c r="U58" s="251">
        <f t="shared" si="8"/>
        <v>1.0033963189651023</v>
      </c>
      <c r="V58" s="383">
        <f t="shared" si="9"/>
        <v>34.56873147799017</v>
      </c>
      <c r="W58" s="402">
        <f t="shared" si="10"/>
        <v>31.124823990434738</v>
      </c>
      <c r="X58" s="157">
        <f t="shared" si="11"/>
        <v>45335</v>
      </c>
      <c r="Y58" s="385">
        <f t="shared" si="12"/>
        <v>30.06722682661686</v>
      </c>
      <c r="Z58" s="385">
        <f t="shared" si="22"/>
        <v>31.476978570203233</v>
      </c>
      <c r="AA58" s="386">
        <f t="shared" si="13"/>
        <v>37.025058153251202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0.14984661361188947</v>
      </c>
      <c r="AD58" s="231">
        <f>(INDEX(Models!$BJ58:$BT58,,AH58)*(1-AF58)+INDEX(Models!$BJ58:$BT58,,AH58+1)*AF58-ERP_i)*AE58*Ramure*Pc/MaxiM</f>
        <v>1.7861984184277986E-3</v>
      </c>
      <c r="AE58" s="305">
        <f t="shared" si="15"/>
        <v>0.7</v>
      </c>
      <c r="AF58" s="177">
        <f t="shared" si="23"/>
        <v>3.3963189651022851E-3</v>
      </c>
      <c r="AG58" s="921">
        <f t="shared" si="24"/>
        <v>1</v>
      </c>
      <c r="AH58" s="176">
        <f t="shared" si="16"/>
        <v>7</v>
      </c>
      <c r="AI58" s="225">
        <f t="shared" si="17"/>
        <v>1.0033963189651023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17.267196320825665</v>
      </c>
      <c r="C59" s="955"/>
      <c r="D59" s="393">
        <f t="shared" si="0"/>
        <v>18.077193364650579</v>
      </c>
      <c r="E59" s="385">
        <f t="shared" si="1"/>
        <v>20.541831038814522</v>
      </c>
      <c r="F59" s="385">
        <f t="shared" si="2"/>
        <v>20.552069991921524</v>
      </c>
      <c r="G59" s="110">
        <f t="shared" si="21"/>
        <v>0.49472052973365893</v>
      </c>
      <c r="H59" s="414" t="b">
        <f>Wh_hp&gt;='2023'!Maxi_hp</f>
        <v>0</v>
      </c>
      <c r="I59" s="390">
        <f>IF(H59,Wh_hp,'2023'!Maxi_hp)</f>
        <v>42.898613753230741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4.48076771369188E-2</v>
      </c>
      <c r="M59" s="959"/>
      <c r="N59" s="959"/>
      <c r="O59" s="48">
        <f>IF(t&lt;Tnet,'2023'!Resal+('2023'!Salim-'2023'!Resal)*(1-EXP(('2023'!Tnet-t)/('2023'!Tau_j))),Resal+(Salim-Resal)*(1-EXP((Tnet-t)/(Tau_j))))*Salcycl</f>
        <v>0.11998140134182404</v>
      </c>
      <c r="P59" s="169">
        <f>(INDEX(Models!$BJ59:$BT59,,T59)*(1-R59)+INDEX(Models!$BJ59:$BT59,,T59+1)*R59-ERP_i)*Q59*Ramure*Pc/MaxiM</f>
        <v>1.7851145177304351E-3</v>
      </c>
      <c r="Q59" s="305">
        <f t="shared" si="4"/>
        <v>0.7</v>
      </c>
      <c r="R59" s="177">
        <f t="shared" si="5"/>
        <v>3.5650050290840785E-3</v>
      </c>
      <c r="S59" s="921">
        <f t="shared" si="6"/>
        <v>1</v>
      </c>
      <c r="T59" s="176">
        <f t="shared" si="7"/>
        <v>7</v>
      </c>
      <c r="U59" s="251">
        <f t="shared" si="8"/>
        <v>1.0035650050290841</v>
      </c>
      <c r="V59" s="383">
        <f t="shared" si="9"/>
        <v>34.857990983815284</v>
      </c>
      <c r="W59" s="402">
        <f t="shared" si="10"/>
        <v>17.267196320825665</v>
      </c>
      <c r="X59" s="157">
        <f t="shared" si="11"/>
        <v>45336</v>
      </c>
      <c r="Y59" s="385">
        <f t="shared" si="12"/>
        <v>16.680971424493318</v>
      </c>
      <c r="Z59" s="385">
        <f t="shared" si="22"/>
        <v>17.463468900685875</v>
      </c>
      <c r="AA59" s="386">
        <f t="shared" si="13"/>
        <v>20.541831038814522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0.14985821528333917</v>
      </c>
      <c r="AD59" s="231">
        <f>(INDEX(Models!$BJ59:$BT59,,AH59)*(1-AF59)+INDEX(Models!$BJ59:$BT59,,AH59+1)*AF59-ERP_i)*AE59*Ramure*Pc/MaxiM</f>
        <v>1.7851145177304351E-3</v>
      </c>
      <c r="AE59" s="305">
        <f t="shared" si="15"/>
        <v>0.7</v>
      </c>
      <c r="AF59" s="177">
        <f t="shared" si="23"/>
        <v>3.5650050290840785E-3</v>
      </c>
      <c r="AG59" s="921">
        <f t="shared" si="24"/>
        <v>1</v>
      </c>
      <c r="AH59" s="176">
        <f t="shared" si="16"/>
        <v>7</v>
      </c>
      <c r="AI59" s="225">
        <f t="shared" si="17"/>
        <v>1.0035650050290841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17.016770543279076</v>
      </c>
      <c r="C60" s="955"/>
      <c r="D60" s="393">
        <f t="shared" si="0"/>
        <v>17.815410420576772</v>
      </c>
      <c r="E60" s="385">
        <f t="shared" si="1"/>
        <v>20.245240858714514</v>
      </c>
      <c r="F60" s="385">
        <f t="shared" si="2"/>
        <v>20.254749292651685</v>
      </c>
      <c r="G60" s="110">
        <f t="shared" si="21"/>
        <v>0.48354140179124683</v>
      </c>
      <c r="H60" s="414" t="b">
        <f>Wh_hp&gt;='2023'!Maxi_hp</f>
        <v>0</v>
      </c>
      <c r="I60" s="390">
        <f>IF(H60,Wh_hp,'2023'!Maxi_hp)</f>
        <v>43.307632323541206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4.4828598300226008E-2</v>
      </c>
      <c r="M60" s="959"/>
      <c r="N60" s="959"/>
      <c r="O60" s="48">
        <f>IF(t&lt;Tnet,'2023'!Resal+('2023'!Salim-'2023'!Resal)*(1-EXP(('2023'!Tnet-t)/('2023'!Tau_j))),Resal+(Salim-Resal)*(1-EXP((Tnet-t)/(Tau_j))))*Salcycl</f>
        <v>0.12001983355470064</v>
      </c>
      <c r="P60" s="169">
        <f>(INDEX(Models!$BJ60:$BT60,,T60)*(1-R60)+INDEX(Models!$BJ60:$BT60,,T60+1)*R60-ERP_i)*Q60*Ramure*Pc/MaxiM</f>
        <v>1.7841927150572888E-3</v>
      </c>
      <c r="Q60" s="305">
        <f t="shared" si="4"/>
        <v>0.7</v>
      </c>
      <c r="R60" s="177">
        <f t="shared" si="5"/>
        <v>3.740645995414571E-3</v>
      </c>
      <c r="S60" s="921">
        <f t="shared" si="6"/>
        <v>1</v>
      </c>
      <c r="T60" s="176">
        <f t="shared" si="7"/>
        <v>7</v>
      </c>
      <c r="U60" s="251">
        <f t="shared" si="8"/>
        <v>1.0037406459954146</v>
      </c>
      <c r="V60" s="383">
        <f t="shared" si="9"/>
        <v>35.145671424835783</v>
      </c>
      <c r="W60" s="402">
        <f t="shared" si="10"/>
        <v>17.016770543279076</v>
      </c>
      <c r="X60" s="157">
        <f t="shared" si="11"/>
        <v>45337</v>
      </c>
      <c r="Y60" s="385">
        <f t="shared" si="12"/>
        <v>16.439540761519989</v>
      </c>
      <c r="Z60" s="385">
        <f t="shared" si="22"/>
        <v>17.21108979212006</v>
      </c>
      <c r="AA60" s="386">
        <f t="shared" si="13"/>
        <v>20.245240858714514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0.14986984288153885</v>
      </c>
      <c r="AD60" s="231">
        <f>(INDEX(Models!$BJ60:$BT60,,AH60)*(1-AF60)+INDEX(Models!$BJ60:$BT60,,AH60+1)*AF60-ERP_i)*AE60*Ramure*Pc/MaxiM</f>
        <v>1.7841927150572888E-3</v>
      </c>
      <c r="AE60" s="305">
        <f t="shared" si="15"/>
        <v>0.7</v>
      </c>
      <c r="AF60" s="177">
        <f t="shared" si="23"/>
        <v>3.740645995414571E-3</v>
      </c>
      <c r="AG60" s="921">
        <f t="shared" si="24"/>
        <v>1</v>
      </c>
      <c r="AH60" s="176">
        <f t="shared" si="16"/>
        <v>7</v>
      </c>
      <c r="AI60" s="225">
        <f t="shared" si="17"/>
        <v>1.0037406459954146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7.4014142192831773</v>
      </c>
      <c r="C61" s="955"/>
      <c r="D61" s="393">
        <f t="shared" si="0"/>
        <v>7.7489509418194942</v>
      </c>
      <c r="E61" s="385">
        <f t="shared" si="1"/>
        <v>8.806208966447949</v>
      </c>
      <c r="F61" s="385">
        <f t="shared" si="2"/>
        <v>8.806208966447949</v>
      </c>
      <c r="G61" s="110">
        <f t="shared" si="21"/>
        <v>0.20852211927372177</v>
      </c>
      <c r="H61" s="414" t="b">
        <f>Wh_hp&gt;='2023'!Maxi_hp</f>
        <v>0</v>
      </c>
      <c r="I61" s="390">
        <f>IF(H61,Wh_hp,'2023'!Maxi_hp)</f>
        <v>43.625435149292962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4.4849519005305982E-2</v>
      </c>
      <c r="M61" s="959"/>
      <c r="N61" s="959"/>
      <c r="O61" s="48">
        <f>IF(t&lt;Tnet,'2023'!Resal+('2023'!Salim-'2023'!Resal)*(1-EXP(('2023'!Tnet-t)/('2023'!Tau_j))),Resal+(Salim-Resal)*(1-EXP((Tnet-t)/(Tau_j))))*Salcycl</f>
        <v>0.12005824852177087</v>
      </c>
      <c r="P61" s="169">
        <f>(INDEX(Models!$BJ61:$BT61,,T61)*(1-R61)+INDEX(Models!$BJ61:$BT61,,T61+1)*R61-ERP_i)*Q61*Ramure*Pc/MaxiM</f>
        <v>1.7834569876767218E-3</v>
      </c>
      <c r="Q61" s="305">
        <f t="shared" si="4"/>
        <v>0.7</v>
      </c>
      <c r="R61" s="177">
        <f t="shared" si="5"/>
        <v>3.923523341202495E-3</v>
      </c>
      <c r="S61" s="921">
        <f t="shared" si="6"/>
        <v>1</v>
      </c>
      <c r="T61" s="176">
        <f t="shared" si="7"/>
        <v>7</v>
      </c>
      <c r="U61" s="251">
        <f t="shared" si="8"/>
        <v>1.0039235233412025</v>
      </c>
      <c r="V61" s="383">
        <f t="shared" si="9"/>
        <v>35.431320864703004</v>
      </c>
      <c r="W61" s="402">
        <f t="shared" si="10"/>
        <v>7.4014142192831773</v>
      </c>
      <c r="X61" s="157">
        <f t="shared" si="11"/>
        <v>45338</v>
      </c>
      <c r="Y61" s="385">
        <f t="shared" si="12"/>
        <v>7.1505634140787029</v>
      </c>
      <c r="Z61" s="385">
        <f t="shared" si="22"/>
        <v>7.4863213246064682</v>
      </c>
      <c r="AA61" s="386">
        <f t="shared" si="13"/>
        <v>8.806208966447949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0.14988148099486531</v>
      </c>
      <c r="AD61" s="231">
        <f>(INDEX(Models!$BJ61:$BT61,,AH61)*(1-AF61)+INDEX(Models!$BJ61:$BT61,,AH61+1)*AF61-ERP_i)*AE61*Ramure*Pc/MaxiM</f>
        <v>1.7834569876767218E-3</v>
      </c>
      <c r="AE61" s="305">
        <f t="shared" si="15"/>
        <v>0.7</v>
      </c>
      <c r="AF61" s="177">
        <f t="shared" si="23"/>
        <v>3.923523341202495E-3</v>
      </c>
      <c r="AG61" s="921">
        <f t="shared" si="24"/>
        <v>1</v>
      </c>
      <c r="AH61" s="176">
        <f t="shared" si="16"/>
        <v>7</v>
      </c>
      <c r="AI61" s="225">
        <f t="shared" si="17"/>
        <v>1.0039235233412025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8.6496675929702391</v>
      </c>
      <c r="C62" s="955"/>
      <c r="D62" s="393">
        <f t="shared" si="0"/>
        <v>9.0560149621982902</v>
      </c>
      <c r="E62" s="385">
        <f t="shared" si="1"/>
        <v>10.29205628607307</v>
      </c>
      <c r="F62" s="385">
        <f t="shared" si="2"/>
        <v>10.29205628607307</v>
      </c>
      <c r="G62" s="110">
        <f t="shared" si="21"/>
        <v>0.2417575176842886</v>
      </c>
      <c r="H62" s="414" t="b">
        <f>Wh_hp&gt;='2023'!Maxi_hp</f>
        <v>0</v>
      </c>
      <c r="I62" s="390">
        <f>IF(H62,Wh_hp,'2023'!Maxi_hp)</f>
        <v>44.343925318135149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4.4870439252168937E-2</v>
      </c>
      <c r="M62" s="959"/>
      <c r="N62" s="959"/>
      <c r="O62" s="48">
        <f>IF(t&lt;Tnet,'2023'!Resal+('2023'!Salim-'2023'!Resal)*(1-EXP(('2023'!Tnet-t)/('2023'!Tau_j))),Resal+(Salim-Resal)*(1-EXP((Tnet-t)/(Tau_j))))*Salcycl</f>
        <v>0.1200966346780824</v>
      </c>
      <c r="P62" s="169">
        <f>(INDEX(Models!$BJ62:$BT62,,T62)*(1-R62)+INDEX(Models!$BJ62:$BT62,,T62+1)*R62-ERP_i)*Q62*Ramure*Pc/MaxiM</f>
        <v>1.7829311604449778E-3</v>
      </c>
      <c r="Q62" s="305">
        <f t="shared" si="4"/>
        <v>0.7</v>
      </c>
      <c r="R62" s="177">
        <f t="shared" si="5"/>
        <v>4.1139294883589805E-3</v>
      </c>
      <c r="S62" s="921">
        <f t="shared" si="6"/>
        <v>1</v>
      </c>
      <c r="T62" s="176">
        <f t="shared" si="7"/>
        <v>7</v>
      </c>
      <c r="U62" s="251">
        <f t="shared" si="8"/>
        <v>1.004113929488359</v>
      </c>
      <c r="V62" s="383">
        <f t="shared" si="9"/>
        <v>35.714487449224691</v>
      </c>
      <c r="W62" s="402">
        <f t="shared" si="10"/>
        <v>8.6496675929702391</v>
      </c>
      <c r="X62" s="157">
        <f t="shared" si="11"/>
        <v>45339</v>
      </c>
      <c r="Y62" s="385">
        <f t="shared" si="12"/>
        <v>8.3567608242818867</v>
      </c>
      <c r="Z62" s="385">
        <f t="shared" si="22"/>
        <v>8.7493479080878327</v>
      </c>
      <c r="AA62" s="386">
        <f t="shared" si="13"/>
        <v>10.29205628607307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0.14989311514675532</v>
      </c>
      <c r="AD62" s="231">
        <f>(INDEX(Models!$BJ62:$BT62,,AH62)*(1-AF62)+INDEX(Models!$BJ62:$BT62,,AH62+1)*AF62-ERP_i)*AE62*Ramure*Pc/MaxiM</f>
        <v>1.7829311604449778E-3</v>
      </c>
      <c r="AE62" s="305">
        <f t="shared" si="15"/>
        <v>0.7</v>
      </c>
      <c r="AF62" s="177">
        <f t="shared" si="23"/>
        <v>4.1139294883589805E-3</v>
      </c>
      <c r="AG62" s="921">
        <f t="shared" si="24"/>
        <v>1</v>
      </c>
      <c r="AH62" s="176">
        <f t="shared" si="16"/>
        <v>7</v>
      </c>
      <c r="AI62" s="225">
        <f t="shared" si="17"/>
        <v>1.004113929488359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28.349585429562598</v>
      </c>
      <c r="C63" s="955"/>
      <c r="D63" s="393">
        <f t="shared" si="0"/>
        <v>29.682053133863707</v>
      </c>
      <c r="E63" s="385">
        <f t="shared" si="1"/>
        <v>33.734780342177238</v>
      </c>
      <c r="F63" s="385">
        <f t="shared" si="2"/>
        <v>33.776722439695881</v>
      </c>
      <c r="G63" s="110">
        <f t="shared" si="21"/>
        <v>0.78717747314256725</v>
      </c>
      <c r="H63" s="414" t="b">
        <f>Wh_hp&gt;='2023'!Maxi_hp</f>
        <v>0</v>
      </c>
      <c r="I63" s="390">
        <f>IF(H63,Wh_hp,'2023'!Maxi_hp)</f>
        <v>43.682090944826165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4.4891359040824641E-2</v>
      </c>
      <c r="M63" s="959"/>
      <c r="N63" s="959"/>
      <c r="O63" s="48">
        <f>IF(t&lt;Tnet,'2023'!Resal+('2023'!Salim-'2023'!Resal)*(1-EXP(('2023'!Tnet-t)/('2023'!Tau_j))),Resal+(Salim-Resal)*(1-EXP((Tnet-t)/(Tau_j))))*Salcycl</f>
        <v>0.12013498138141336</v>
      </c>
      <c r="P63" s="169">
        <f>(INDEX(Models!$BJ63:$BT63,,T63)*(1-R63)+INDEX(Models!$BJ63:$BT63,,T63+1)*R63-ERP_i)*Q63*Ramure*Pc/MaxiM</f>
        <v>1.7826390251613916E-3</v>
      </c>
      <c r="Q63" s="305">
        <f t="shared" si="4"/>
        <v>0.7</v>
      </c>
      <c r="R63" s="177">
        <f t="shared" si="5"/>
        <v>4.3121681911071352E-3</v>
      </c>
      <c r="S63" s="921">
        <f t="shared" si="6"/>
        <v>1</v>
      </c>
      <c r="T63" s="176">
        <f t="shared" si="7"/>
        <v>7</v>
      </c>
      <c r="U63" s="251">
        <f t="shared" si="8"/>
        <v>1.0043121681911071</v>
      </c>
      <c r="V63" s="383">
        <f t="shared" si="9"/>
        <v>35.994719396924388</v>
      </c>
      <c r="W63" s="402">
        <f t="shared" si="10"/>
        <v>28.349585429562598</v>
      </c>
      <c r="X63" s="157">
        <f t="shared" si="11"/>
        <v>45340</v>
      </c>
      <c r="Y63" s="385">
        <f t="shared" si="12"/>
        <v>27.390392745163055</v>
      </c>
      <c r="Z63" s="385">
        <f t="shared" si="22"/>
        <v>28.677777135024176</v>
      </c>
      <c r="AA63" s="386">
        <f t="shared" si="13"/>
        <v>33.734780342177238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0.14990473202608923</v>
      </c>
      <c r="AD63" s="231">
        <f>(INDEX(Models!$BJ63:$BT63,,AH63)*(1-AF63)+INDEX(Models!$BJ63:$BT63,,AH63+1)*AF63-ERP_i)*AE63*Ramure*Pc/MaxiM</f>
        <v>1.7826390251613916E-3</v>
      </c>
      <c r="AE63" s="305">
        <f t="shared" si="15"/>
        <v>0.7</v>
      </c>
      <c r="AF63" s="177">
        <f t="shared" si="23"/>
        <v>4.3121681911071352E-3</v>
      </c>
      <c r="AG63" s="921">
        <f t="shared" si="24"/>
        <v>1</v>
      </c>
      <c r="AH63" s="176">
        <f t="shared" si="16"/>
        <v>7</v>
      </c>
      <c r="AI63" s="225">
        <f t="shared" si="17"/>
        <v>1.0043121681911071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17.286736555574116</v>
      </c>
      <c r="C64" s="955"/>
      <c r="D64" s="393">
        <f t="shared" si="0"/>
        <v>18.099632278902032</v>
      </c>
      <c r="E64" s="385">
        <f t="shared" si="1"/>
        <v>20.571814709433156</v>
      </c>
      <c r="F64" s="385">
        <f t="shared" si="2"/>
        <v>20.581070123429711</v>
      </c>
      <c r="G64" s="110">
        <f t="shared" si="21"/>
        <v>0.47595643359492518</v>
      </c>
      <c r="H64" s="414" t="b">
        <f>Wh_hp&gt;='2023'!Maxi_hp</f>
        <v>0</v>
      </c>
      <c r="I64" s="390">
        <f>IF(H64,Wh_hp,'2023'!Maxi_hp)</f>
        <v>40.826390842051637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4.4912278371283421E-2</v>
      </c>
      <c r="M64" s="959"/>
      <c r="N64" s="959"/>
      <c r="O64" s="48">
        <f>IF(t&lt;Tnet,'2023'!Resal+('2023'!Salim-'2023'!Resal)*(1-EXP(('2023'!Tnet-t)/('2023'!Tau_j))),Resal+(Salim-Resal)*(1-EXP((Tnet-t)/(Tau_j))))*Salcycl</f>
        <v>0.12017327909323974</v>
      </c>
      <c r="P64" s="169">
        <f>(INDEX(Models!$BJ64:$BT64,,T64)*(1-R64)+INDEX(Models!$BJ64:$BT64,,T64+1)*R64-ERP_i)*Q64*Ramure*Pc/MaxiM</f>
        <v>1.7826044630965014E-3</v>
      </c>
      <c r="Q64" s="305">
        <f t="shared" si="4"/>
        <v>0.7</v>
      </c>
      <c r="R64" s="177">
        <f t="shared" si="5"/>
        <v>4.5185549339161746E-3</v>
      </c>
      <c r="S64" s="921">
        <f t="shared" si="6"/>
        <v>1</v>
      </c>
      <c r="T64" s="176">
        <f t="shared" si="7"/>
        <v>7</v>
      </c>
      <c r="U64" s="251">
        <f t="shared" si="8"/>
        <v>1.0045185549339162</v>
      </c>
      <c r="V64" s="383">
        <f t="shared" si="9"/>
        <v>36.271564983399756</v>
      </c>
      <c r="W64" s="402">
        <f t="shared" si="10"/>
        <v>17.286736555574116</v>
      </c>
      <c r="X64" s="157">
        <f t="shared" si="11"/>
        <v>45341</v>
      </c>
      <c r="Y64" s="385">
        <f t="shared" si="12"/>
        <v>16.702348635416623</v>
      </c>
      <c r="Z64" s="385">
        <f t="shared" si="22"/>
        <v>17.487763958407939</v>
      </c>
      <c r="AA64" s="386">
        <f t="shared" si="13"/>
        <v>20.571814709433156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0.14991631971150465</v>
      </c>
      <c r="AD64" s="231">
        <f>(INDEX(Models!$BJ64:$BT64,,AH64)*(1-AF64)+INDEX(Models!$BJ64:$BT64,,AH64+1)*AF64-ERP_i)*AE64*Ramure*Pc/MaxiM</f>
        <v>1.7826044630965014E-3</v>
      </c>
      <c r="AE64" s="305">
        <f t="shared" si="15"/>
        <v>0.7</v>
      </c>
      <c r="AF64" s="177">
        <f t="shared" si="23"/>
        <v>4.5185549339161746E-3</v>
      </c>
      <c r="AG64" s="921">
        <f t="shared" si="24"/>
        <v>1</v>
      </c>
      <c r="AH64" s="176">
        <f t="shared" si="16"/>
        <v>7</v>
      </c>
      <c r="AI64" s="225">
        <f t="shared" si="17"/>
        <v>1.0045185549339162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20.376783791191365</v>
      </c>
      <c r="C65" s="955"/>
      <c r="D65" s="393">
        <f t="shared" si="0"/>
        <v>21.335453951892539</v>
      </c>
      <c r="E65" s="385">
        <f t="shared" si="1"/>
        <v>24.250663001475562</v>
      </c>
      <c r="F65" s="385">
        <f t="shared" si="2"/>
        <v>24.266581965209106</v>
      </c>
      <c r="G65" s="110">
        <f t="shared" si="21"/>
        <v>0.55694419000102002</v>
      </c>
      <c r="H65" s="414" t="b">
        <f>Wh_hp&gt;='2023'!Maxi_hp</f>
        <v>0</v>
      </c>
      <c r="I65" s="390">
        <f>IF(H65,Wh_hp,'2023'!Maxi_hp)</f>
        <v>43.218540620250515</v>
      </c>
      <c r="J65" s="85">
        <f>IF(H65,An,'2023'!An_max)</f>
        <v>2019</v>
      </c>
      <c r="K65" s="197">
        <f t="shared" si="3"/>
        <v>45342</v>
      </c>
      <c r="L65" s="147">
        <f>IF(t&lt;Tvie,1-EXP((T0-t)*PertePVj)+'2023'!Pspv,1-EXP((T0-t)*PertePVj)+Pspv)</f>
        <v>4.4933197243555045E-2</v>
      </c>
      <c r="M65" s="959"/>
      <c r="N65" s="959"/>
      <c r="O65" s="48">
        <f>IF(t&lt;Tnet,'2023'!Resal+('2023'!Salim-'2023'!Resal)*(1-EXP(('2023'!Tnet-t)/('2023'!Tau_j))),Resal+(Salim-Resal)*(1-EXP((Tnet-t)/(Tau_j))))*Salcycl</f>
        <v>0.12021151955332698</v>
      </c>
      <c r="P65" s="169">
        <f>(INDEX(Models!$BJ65:$BT65,,T65)*(1-R65)+INDEX(Models!$BJ65:$BT65,,T65+1)*R65-ERP_i)*Q65*Ramure*Pc/MaxiM</f>
        <v>1.7828060361911643E-3</v>
      </c>
      <c r="Q65" s="305">
        <f t="shared" si="4"/>
        <v>0.7</v>
      </c>
      <c r="R65" s="177">
        <f t="shared" si="5"/>
        <v>4.7334173398263513E-3</v>
      </c>
      <c r="S65" s="921">
        <f t="shared" si="6"/>
        <v>1</v>
      </c>
      <c r="T65" s="176">
        <f t="shared" si="7"/>
        <v>7</v>
      </c>
      <c r="U65" s="251">
        <f t="shared" si="8"/>
        <v>1.0047334173398264</v>
      </c>
      <c r="V65" s="383">
        <f t="shared" si="9"/>
        <v>36.545507563756757</v>
      </c>
      <c r="W65" s="402">
        <f t="shared" si="10"/>
        <v>20.376783791191365</v>
      </c>
      <c r="X65" s="157">
        <f t="shared" si="11"/>
        <v>45342</v>
      </c>
      <c r="Y65" s="385">
        <f t="shared" si="12"/>
        <v>19.688523353000019</v>
      </c>
      <c r="Z65" s="385">
        <f t="shared" si="22"/>
        <v>20.614812802807535</v>
      </c>
      <c r="AA65" s="386">
        <f t="shared" si="13"/>
        <v>24.250663001475562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0.14992786788743873</v>
      </c>
      <c r="AD65" s="231">
        <f>(INDEX(Models!$BJ65:$BT65,,AH65)*(1-AF65)+INDEX(Models!$BJ65:$BT65,,AH65+1)*AF65-ERP_i)*AE65*Ramure*Pc/MaxiM</f>
        <v>1.7828060361911643E-3</v>
      </c>
      <c r="AE65" s="305">
        <f t="shared" si="15"/>
        <v>0.7</v>
      </c>
      <c r="AF65" s="177">
        <f t="shared" si="23"/>
        <v>4.7334173398263513E-3</v>
      </c>
      <c r="AG65" s="921">
        <f t="shared" si="24"/>
        <v>1</v>
      </c>
      <c r="AH65" s="176">
        <f t="shared" si="16"/>
        <v>7</v>
      </c>
      <c r="AI65" s="225">
        <f t="shared" si="17"/>
        <v>1.0047334173398264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20.064286533381889</v>
      </c>
      <c r="C66" s="955"/>
      <c r="D66" s="393">
        <f t="shared" si="0"/>
        <v>21.008714724945666</v>
      </c>
      <c r="E66" s="385">
        <f t="shared" si="1"/>
        <v>23.880315389652534</v>
      </c>
      <c r="F66" s="385">
        <f t="shared" si="2"/>
        <v>23.895220114084129</v>
      </c>
      <c r="G66" s="110">
        <f t="shared" si="21"/>
        <v>0.54433535931461197</v>
      </c>
      <c r="H66" s="414" t="b">
        <f>Wh_hp&gt;='2023'!Maxi_hp</f>
        <v>0</v>
      </c>
      <c r="I66" s="390">
        <f>IF(H66,Wh_hp,'2023'!Maxi_hp)</f>
        <v>42.441850727741603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4.4954115657649729E-2</v>
      </c>
      <c r="M66" s="959"/>
      <c r="N66" s="959"/>
      <c r="O66" s="48">
        <f>IF(t&lt;Tnet,'2023'!Resal+('2023'!Salim-'2023'!Resal)*(1-EXP(('2023'!Tnet-t)/('2023'!Tau_j))),Resal+(Salim-Resal)*(1-EXP((Tnet-t)/(Tau_j))))*Salcycl</f>
        <v>0.12024969594627502</v>
      </c>
      <c r="P66" s="169">
        <f>(INDEX(Models!$BJ66:$BT66,,T66)*(1-R66)+INDEX(Models!$BJ66:$BT66,,T66+1)*R66-ERP_i)*Q66*Ramure*Pc/MaxiM</f>
        <v>1.7823913467261508E-3</v>
      </c>
      <c r="Q66" s="305">
        <f t="shared" si="4"/>
        <v>0.7</v>
      </c>
      <c r="R66" s="177">
        <f t="shared" si="5"/>
        <v>4.9570955891131696E-3</v>
      </c>
      <c r="S66" s="921">
        <f t="shared" si="6"/>
        <v>1</v>
      </c>
      <c r="T66" s="176">
        <f t="shared" si="7"/>
        <v>7</v>
      </c>
      <c r="U66" s="251">
        <f t="shared" si="8"/>
        <v>1.0049570955891132</v>
      </c>
      <c r="V66" s="383">
        <f t="shared" si="9"/>
        <v>36.81742226881255</v>
      </c>
      <c r="W66" s="402">
        <f t="shared" si="10"/>
        <v>20.064286533381889</v>
      </c>
      <c r="X66" s="157">
        <f t="shared" si="11"/>
        <v>45343</v>
      </c>
      <c r="Y66" s="385">
        <f t="shared" si="12"/>
        <v>19.387160210807178</v>
      </c>
      <c r="Z66" s="385">
        <f t="shared" si="22"/>
        <v>20.299715991297404</v>
      </c>
      <c r="AA66" s="386">
        <f t="shared" si="13"/>
        <v>23.880315389652534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0.14993936804982991</v>
      </c>
      <c r="AD66" s="231">
        <f>(INDEX(Models!$BJ66:$BT66,,AH66)*(1-AF66)+INDEX(Models!$BJ66:$BT66,,AH66+1)*AF66-ERP_i)*AE66*Ramure*Pc/MaxiM</f>
        <v>1.7823913467261508E-3</v>
      </c>
      <c r="AE66" s="305">
        <f t="shared" si="15"/>
        <v>0.7</v>
      </c>
      <c r="AF66" s="177">
        <f t="shared" si="23"/>
        <v>4.9570955891131696E-3</v>
      </c>
      <c r="AG66" s="921">
        <f t="shared" si="24"/>
        <v>1</v>
      </c>
      <c r="AH66" s="176">
        <f t="shared" si="16"/>
        <v>7</v>
      </c>
      <c r="AI66" s="225">
        <f t="shared" si="17"/>
        <v>1.0049570955891132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32.856508677119947</v>
      </c>
      <c r="C67" s="955"/>
      <c r="D67" s="393">
        <f t="shared" si="0"/>
        <v>34.403821715196436</v>
      </c>
      <c r="E67" s="385">
        <f t="shared" si="1"/>
        <v>39.108042192443214</v>
      </c>
      <c r="F67" s="385">
        <f t="shared" si="2"/>
        <v>39.166431280860444</v>
      </c>
      <c r="G67" s="110">
        <f t="shared" si="21"/>
        <v>0.88566324170120792</v>
      </c>
      <c r="H67" s="414" t="b">
        <f>Wh_hp&gt;='2023'!Maxi_hp</f>
        <v>0</v>
      </c>
      <c r="I67" s="390">
        <f>IF(H67,Wh_hp,'2023'!Maxi_hp)</f>
        <v>42.464770609772728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4.4975033613577575E-2</v>
      </c>
      <c r="M67" s="959"/>
      <c r="N67" s="959"/>
      <c r="O67" s="48">
        <f>IF(t&lt;Tnet,'2023'!Resal+('2023'!Salim-'2023'!Resal)*(1-EXP(('2023'!Tnet-t)/('2023'!Tau_j))),Resal+(Salim-Resal)*(1-EXP((Tnet-t)/(Tau_j))))*Salcycl</f>
        <v>0.12028780305846573</v>
      </c>
      <c r="P67" s="169">
        <f>(INDEX(Models!$BJ67:$BT67,,T67)*(1-R67)+INDEX(Models!$BJ67:$BT67,,T67+1)*R67-ERP_i)*Q67*Ramure*Pc/MaxiM</f>
        <v>1.7810529801471249E-3</v>
      </c>
      <c r="Q67" s="305">
        <f t="shared" si="4"/>
        <v>0.7</v>
      </c>
      <c r="R67" s="177">
        <f t="shared" si="5"/>
        <v>5.1899428481823051E-3</v>
      </c>
      <c r="S67" s="921">
        <f t="shared" si="6"/>
        <v>1</v>
      </c>
      <c r="T67" s="176">
        <f t="shared" si="7"/>
        <v>7</v>
      </c>
      <c r="U67" s="251">
        <f t="shared" si="8"/>
        <v>1.0051899428481823</v>
      </c>
      <c r="V67" s="383">
        <f t="shared" si="9"/>
        <v>37.08741201112386</v>
      </c>
      <c r="W67" s="402">
        <f t="shared" si="10"/>
        <v>32.856508677119947</v>
      </c>
      <c r="X67" s="157">
        <f t="shared" si="11"/>
        <v>45344</v>
      </c>
      <c r="Y67" s="385">
        <f t="shared" si="12"/>
        <v>31.748620245076815</v>
      </c>
      <c r="Z67" s="385">
        <f t="shared" si="22"/>
        <v>33.243759443489438</v>
      </c>
      <c r="AA67" s="386">
        <f t="shared" si="13"/>
        <v>39.108042192443214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0.14995081369956481</v>
      </c>
      <c r="AD67" s="231">
        <f>(INDEX(Models!$BJ67:$BT67,,AH67)*(1-AF67)+INDEX(Models!$BJ67:$BT67,,AH67+1)*AF67-ERP_i)*AE67*Ramure*Pc/MaxiM</f>
        <v>1.7810529801471249E-3</v>
      </c>
      <c r="AE67" s="305">
        <f t="shared" si="15"/>
        <v>0.7</v>
      </c>
      <c r="AF67" s="177">
        <f t="shared" si="23"/>
        <v>5.1899428481823051E-3</v>
      </c>
      <c r="AG67" s="921">
        <f t="shared" si="24"/>
        <v>1</v>
      </c>
      <c r="AH67" s="176">
        <f t="shared" si="16"/>
        <v>7</v>
      </c>
      <c r="AI67" s="225">
        <f t="shared" si="17"/>
        <v>1.0051899428481823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34.273537827813335</v>
      </c>
      <c r="C68" s="955"/>
      <c r="D68" s="393">
        <f t="shared" si="0"/>
        <v>35.8883691306836</v>
      </c>
      <c r="E68" s="385">
        <f t="shared" si="1"/>
        <v>40.797343672786113</v>
      </c>
      <c r="F68" s="385">
        <f t="shared" si="2"/>
        <v>40.861461043486365</v>
      </c>
      <c r="G68" s="110">
        <f t="shared" si="21"/>
        <v>0.91730209202287771</v>
      </c>
      <c r="H68" s="414" t="b">
        <f>Wh_hp&gt;='2023'!Maxi_hp</f>
        <v>0</v>
      </c>
      <c r="I68" s="390">
        <f>IF(H68,Wh_hp,'2023'!Maxi_hp)</f>
        <v>43.491209699160983</v>
      </c>
      <c r="J68" s="85">
        <f>IF(H68,An,'2023'!An_max)</f>
        <v>2019</v>
      </c>
      <c r="K68" s="197">
        <f t="shared" si="3"/>
        <v>45345</v>
      </c>
      <c r="L68" s="147">
        <f>IF(t&lt;Tvie,1-EXP((T0-t)*PertePVj)+'2023'!Pspv,1-EXP((T0-t)*PertePVj)+Pspv)</f>
        <v>4.4995951111348353E-2</v>
      </c>
      <c r="M68" s="959"/>
      <c r="N68" s="959"/>
      <c r="O68" s="48">
        <f>IF(t&lt;Tnet,'2023'!Resal+('2023'!Salim-'2023'!Resal)*(1-EXP(('2023'!Tnet-t)/('2023'!Tau_j))),Resal+(Salim-Resal)*(1-EXP((Tnet-t)/(Tau_j))))*Salcycl</f>
        <v>0.12032583742399502</v>
      </c>
      <c r="P68" s="169">
        <f>(INDEX(Models!$BJ68:$BT68,,T68)*(1-R68)+INDEX(Models!$BJ68:$BT68,,T68+1)*R68-ERP_i)*Q68*Ramure*Pc/MaxiM</f>
        <v>1.7787977900513416E-3</v>
      </c>
      <c r="Q68" s="305">
        <f t="shared" si="4"/>
        <v>0.7</v>
      </c>
      <c r="R68" s="177">
        <f t="shared" si="5"/>
        <v>5.4323257085602261E-3</v>
      </c>
      <c r="S68" s="921">
        <f t="shared" si="6"/>
        <v>1</v>
      </c>
      <c r="T68" s="176">
        <f t="shared" si="7"/>
        <v>7</v>
      </c>
      <c r="U68" s="251">
        <f t="shared" si="8"/>
        <v>1.0054323257085602</v>
      </c>
      <c r="V68" s="383">
        <f t="shared" si="9"/>
        <v>37.35556817473222</v>
      </c>
      <c r="W68" s="402">
        <f t="shared" si="10"/>
        <v>34.273537827813335</v>
      </c>
      <c r="X68" s="157">
        <f t="shared" si="11"/>
        <v>45345</v>
      </c>
      <c r="Y68" s="385">
        <f t="shared" si="12"/>
        <v>33.118856861918836</v>
      </c>
      <c r="Z68" s="385">
        <f t="shared" si="22"/>
        <v>34.679284240165892</v>
      </c>
      <c r="AA68" s="386">
        <f t="shared" si="13"/>
        <v>40.797343672786113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0.14996220052192452</v>
      </c>
      <c r="AD68" s="231">
        <f>(INDEX(Models!$BJ68:$BT68,,AH68)*(1-AF68)+INDEX(Models!$BJ68:$BT68,,AH68+1)*AF68-ERP_i)*AE68*Ramure*Pc/MaxiM</f>
        <v>1.7787977900513416E-3</v>
      </c>
      <c r="AE68" s="305">
        <f t="shared" si="15"/>
        <v>0.7</v>
      </c>
      <c r="AF68" s="177">
        <f t="shared" si="23"/>
        <v>5.4323257085602261E-3</v>
      </c>
      <c r="AG68" s="921">
        <f t="shared" si="24"/>
        <v>1</v>
      </c>
      <c r="AH68" s="176">
        <f t="shared" si="16"/>
        <v>7</v>
      </c>
      <c r="AI68" s="225">
        <f t="shared" si="17"/>
        <v>1.0054323257085602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19.496803069690934</v>
      </c>
      <c r="C69" s="955"/>
      <c r="D69" s="393">
        <f t="shared" si="0"/>
        <v>20.415861201591529</v>
      </c>
      <c r="E69" s="385">
        <f t="shared" si="1"/>
        <v>23.209437199833822</v>
      </c>
      <c r="F69" s="385">
        <f t="shared" si="2"/>
        <v>23.222292279963195</v>
      </c>
      <c r="G69" s="110">
        <f t="shared" si="21"/>
        <v>0.51759536418257579</v>
      </c>
      <c r="H69" s="414" t="b">
        <f>Wh_hp&gt;='2023'!Maxi_hp</f>
        <v>0</v>
      </c>
      <c r="I69" s="390">
        <f>IF(H69,Wh_hp,'2023'!Maxi_hp)</f>
        <v>44.144707241290959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4.5016868150972278E-2</v>
      </c>
      <c r="M69" s="959"/>
      <c r="N69" s="959"/>
      <c r="O69" s="48">
        <f>IF(t&lt;Tnet,'2023'!Resal+('2023'!Salim-'2023'!Resal)*(1-EXP(('2023'!Tnet-t)/('2023'!Tau_j))),Resal+(Salim-Resal)*(1-EXP((Tnet-t)/(Tau_j))))*Salcycl</f>
        <v>0.12036379745831563</v>
      </c>
      <c r="P69" s="169">
        <f>(INDEX(Models!$BJ69:$BT69,,T69)*(1-R69)+INDEX(Models!$BJ69:$BT69,,T69+1)*R69-ERP_i)*Q69*Ramure*Pc/MaxiM</f>
        <v>1.775641225863285E-3</v>
      </c>
      <c r="Q69" s="305">
        <f t="shared" si="4"/>
        <v>0.7</v>
      </c>
      <c r="R69" s="177">
        <f t="shared" si="5"/>
        <v>5.6846246357784569E-3</v>
      </c>
      <c r="S69" s="921">
        <f t="shared" si="6"/>
        <v>1</v>
      </c>
      <c r="T69" s="176">
        <f t="shared" si="7"/>
        <v>7</v>
      </c>
      <c r="U69" s="251">
        <f t="shared" si="8"/>
        <v>1.0056846246357785</v>
      </c>
      <c r="V69" s="383">
        <f t="shared" si="9"/>
        <v>37.621981701543518</v>
      </c>
      <c r="W69" s="402">
        <f t="shared" si="10"/>
        <v>19.496803069690934</v>
      </c>
      <c r="X69" s="157">
        <f t="shared" si="11"/>
        <v>45346</v>
      </c>
      <c r="Y69" s="385">
        <f t="shared" si="12"/>
        <v>18.840514645694153</v>
      </c>
      <c r="Z69" s="385">
        <f t="shared" si="22"/>
        <v>19.728636053723125</v>
      </c>
      <c r="AA69" s="386">
        <f t="shared" si="13"/>
        <v>23.209437199833822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0.14997352655046789</v>
      </c>
      <c r="AD69" s="231">
        <f>(INDEX(Models!$BJ69:$BT69,,AH69)*(1-AF69)+INDEX(Models!$BJ69:$BT69,,AH69+1)*AF69-ERP_i)*AE69*Ramure*Pc/MaxiM</f>
        <v>1.775641225863285E-3</v>
      </c>
      <c r="AE69" s="305">
        <f t="shared" si="15"/>
        <v>0.7</v>
      </c>
      <c r="AF69" s="177">
        <f t="shared" si="23"/>
        <v>5.6846246357784569E-3</v>
      </c>
      <c r="AG69" s="921">
        <f t="shared" si="24"/>
        <v>1</v>
      </c>
      <c r="AH69" s="176">
        <f t="shared" si="16"/>
        <v>7</v>
      </c>
      <c r="AI69" s="225">
        <f t="shared" si="17"/>
        <v>1.0056846246357785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28.357252040710932</v>
      </c>
      <c r="C70" s="955"/>
      <c r="D70" s="393">
        <f t="shared" si="0"/>
        <v>29.694632507283455</v>
      </c>
      <c r="E70" s="385">
        <f t="shared" si="1"/>
        <v>33.759310304378744</v>
      </c>
      <c r="F70" s="385">
        <f t="shared" si="2"/>
        <v>33.797671451053766</v>
      </c>
      <c r="G70" s="110">
        <f t="shared" si="21"/>
        <v>0.74799725333554001</v>
      </c>
      <c r="H70" s="414" t="b">
        <f>Wh_hp&gt;='2023'!Maxi_hp</f>
        <v>0</v>
      </c>
      <c r="I70" s="390">
        <f>IF(H70,Wh_hp,'2023'!Maxi_hp)</f>
        <v>44.223095559004854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4.5037784732459341E-2</v>
      </c>
      <c r="M70" s="959"/>
      <c r="N70" s="959"/>
      <c r="O70" s="48">
        <f>IF(t&lt;Tnet,'2023'!Resal+('2023'!Salim-'2023'!Resal)*(1-EXP(('2023'!Tnet-t)/('2023'!Tau_j))),Resal+(Salim-Resal)*(1-EXP((Tnet-t)/(Tau_j))))*Salcycl</f>
        <v>0.12040168357847288</v>
      </c>
      <c r="P70" s="169">
        <f>(INDEX(Models!$BJ70:$BT70,,T70)*(1-R70)+INDEX(Models!$BJ70:$BT70,,T70+1)*R70-ERP_i)*Q70*Ramure*Pc/MaxiM</f>
        <v>1.7715985803959677E-3</v>
      </c>
      <c r="Q70" s="305">
        <f t="shared" si="4"/>
        <v>0.7</v>
      </c>
      <c r="R70" s="177">
        <f t="shared" si="5"/>
        <v>5.9472344279145606E-3</v>
      </c>
      <c r="S70" s="921">
        <f t="shared" si="6"/>
        <v>1</v>
      </c>
      <c r="T70" s="176">
        <f t="shared" si="7"/>
        <v>7</v>
      </c>
      <c r="U70" s="251">
        <f t="shared" si="8"/>
        <v>1.0059472344279146</v>
      </c>
      <c r="V70" s="383">
        <f t="shared" si="9"/>
        <v>37.886743404793897</v>
      </c>
      <c r="W70" s="402">
        <f t="shared" si="10"/>
        <v>28.357252040710932</v>
      </c>
      <c r="X70" s="157">
        <f t="shared" si="11"/>
        <v>45347</v>
      </c>
      <c r="Y70" s="385">
        <f t="shared" si="12"/>
        <v>27.403526169595594</v>
      </c>
      <c r="Z70" s="385">
        <f t="shared" si="22"/>
        <v>28.695927159713086</v>
      </c>
      <c r="AA70" s="386">
        <f t="shared" si="13"/>
        <v>33.759310304378744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0.14998479231398604</v>
      </c>
      <c r="AD70" s="231">
        <f>(INDEX(Models!$BJ70:$BT70,,AH70)*(1-AF70)+INDEX(Models!$BJ70:$BT70,,AH70+1)*AF70-ERP_i)*AE70*Ramure*Pc/MaxiM</f>
        <v>1.7715985803959677E-3</v>
      </c>
      <c r="AE70" s="305">
        <f t="shared" si="15"/>
        <v>0.7</v>
      </c>
      <c r="AF70" s="177">
        <f t="shared" si="23"/>
        <v>5.9472344279145606E-3</v>
      </c>
      <c r="AG70" s="921">
        <f t="shared" si="24"/>
        <v>1</v>
      </c>
      <c r="AH70" s="176">
        <f t="shared" si="16"/>
        <v>7</v>
      </c>
      <c r="AI70" s="225">
        <f t="shared" si="17"/>
        <v>1.0059472344279146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38.275963600993457</v>
      </c>
      <c r="C71" s="955"/>
      <c r="D71" s="393">
        <f t="shared" si="0"/>
        <v>40.082006752976781</v>
      </c>
      <c r="E71" s="385">
        <f t="shared" si="1"/>
        <v>45.570494213776101</v>
      </c>
      <c r="F71" s="385">
        <f t="shared" si="2"/>
        <v>45.651145410531825</v>
      </c>
      <c r="G71" s="110">
        <f t="shared" si="21"/>
        <v>1.0033032719379253</v>
      </c>
      <c r="H71" s="414" t="b">
        <f>Wh_hp&gt;='2023'!Maxi_hp</f>
        <v>1</v>
      </c>
      <c r="I71" s="390">
        <f>IF(H71,Wh_hp,'2023'!Maxi_hp)</f>
        <v>45.651145410531825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4.5058700855819644E-2</v>
      </c>
      <c r="M71" s="959"/>
      <c r="N71" s="959"/>
      <c r="O71" s="48">
        <f>IF(t&lt;Tnet,'2023'!Resal+('2023'!Salim-'2023'!Resal)*(1-EXP(('2023'!Tnet-t)/('2023'!Tau_j))),Resal+(Salim-Resal)*(1-EXP((Tnet-t)/(Tau_j))))*Salcycl</f>
        <v>0.12043949830897675</v>
      </c>
      <c r="P71" s="169">
        <f>(INDEX(Models!$BJ71:$BT71,,T71)*(1-R71)+INDEX(Models!$BJ71:$BT71,,T71+1)*R71-ERP_i)*Q71*Ramure*Pc/MaxiM</f>
        <v>1.7666850640974193E-3</v>
      </c>
      <c r="Q71" s="305">
        <f t="shared" si="4"/>
        <v>0.7</v>
      </c>
      <c r="R71" s="177">
        <f t="shared" si="5"/>
        <v>6.2205646834798678E-3</v>
      </c>
      <c r="S71" s="921">
        <f t="shared" si="6"/>
        <v>1</v>
      </c>
      <c r="T71" s="176">
        <f t="shared" si="7"/>
        <v>7</v>
      </c>
      <c r="U71" s="251">
        <f t="shared" si="8"/>
        <v>1.0062205646834799</v>
      </c>
      <c r="V71" s="383">
        <f t="shared" si="9"/>
        <v>38.14994396167144</v>
      </c>
      <c r="W71" s="402">
        <f t="shared" si="10"/>
        <v>38.275963600993457</v>
      </c>
      <c r="X71" s="157">
        <f t="shared" si="11"/>
        <v>45348</v>
      </c>
      <c r="Y71" s="385">
        <f t="shared" si="12"/>
        <v>36.989748931651654</v>
      </c>
      <c r="Z71" s="385">
        <f t="shared" si="22"/>
        <v>38.735102319694327</v>
      </c>
      <c r="AA71" s="386">
        <f t="shared" si="13"/>
        <v>45.570494213776101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0.14999600096536614</v>
      </c>
      <c r="AD71" s="231">
        <f>(INDEX(Models!$BJ71:$BT71,,AH71)*(1-AF71)+INDEX(Models!$BJ71:$BT71,,AH71+1)*AF71-ERP_i)*AE71*Ramure*Pc/MaxiM</f>
        <v>1.7666850640974193E-3</v>
      </c>
      <c r="AE71" s="305">
        <f t="shared" si="15"/>
        <v>0.7</v>
      </c>
      <c r="AF71" s="177">
        <f t="shared" si="23"/>
        <v>6.2205646834798678E-3</v>
      </c>
      <c r="AG71" s="921">
        <f t="shared" si="24"/>
        <v>1</v>
      </c>
      <c r="AH71" s="176">
        <f t="shared" si="16"/>
        <v>7</v>
      </c>
      <c r="AI71" s="225">
        <f t="shared" si="17"/>
        <v>1.0062205646834799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26.416670764329098</v>
      </c>
      <c r="C72" s="955"/>
      <c r="D72" s="393">
        <f t="shared" si="0"/>
        <v>27.663741628478689</v>
      </c>
      <c r="E72" s="385">
        <f t="shared" si="1"/>
        <v>31.453127863245371</v>
      </c>
      <c r="F72" s="385">
        <f t="shared" si="2"/>
        <v>31.483805880371136</v>
      </c>
      <c r="G72" s="110">
        <f t="shared" si="21"/>
        <v>0.68718363069033894</v>
      </c>
      <c r="H72" s="414" t="b">
        <f>Wh_hp&gt;='2023'!Maxi_hp</f>
        <v>0</v>
      </c>
      <c r="I72" s="390">
        <f>IF(H72,Wh_hp,'2023'!Maxi_hp)</f>
        <v>44.962572405256154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4.5079616521063182E-2</v>
      </c>
      <c r="M72" s="959"/>
      <c r="N72" s="959"/>
      <c r="O72" s="48">
        <f>IF(t&lt;Tnet,'2023'!Resal+('2023'!Salim-'2023'!Resal)*(1-EXP(('2023'!Tnet-t)/('2023'!Tau_j))),Resal+(Salim-Resal)*(1-EXP((Tnet-t)/(Tau_j))))*Salcycl</f>
        <v>0.12047724637252297</v>
      </c>
      <c r="P72" s="169">
        <f>(INDEX(Models!$BJ72:$BT72,,T72)*(1-R72)+INDEX(Models!$BJ72:$BT72,,T72+1)*R72-ERP_i)*Q72*Ramure*Pc/MaxiM</f>
        <v>1.7592013517420024E-3</v>
      </c>
      <c r="Q72" s="305">
        <f t="shared" si="4"/>
        <v>0.7</v>
      </c>
      <c r="R72" s="177">
        <f t="shared" si="5"/>
        <v>6.5050402782900196E-3</v>
      </c>
      <c r="S72" s="921">
        <f t="shared" si="6"/>
        <v>1</v>
      </c>
      <c r="T72" s="176">
        <f t="shared" si="7"/>
        <v>7</v>
      </c>
      <c r="U72" s="251">
        <f t="shared" si="8"/>
        <v>1.00650504027829</v>
      </c>
      <c r="V72" s="383">
        <f t="shared" si="9"/>
        <v>38.411739876769019</v>
      </c>
      <c r="W72" s="402">
        <f t="shared" si="10"/>
        <v>26.416670764329098</v>
      </c>
      <c r="X72" s="157">
        <f t="shared" si="11"/>
        <v>45349</v>
      </c>
      <c r="Y72" s="385">
        <f t="shared" si="12"/>
        <v>25.529732978711468</v>
      </c>
      <c r="Z72" s="385">
        <f t="shared" si="22"/>
        <v>26.734933529958091</v>
      </c>
      <c r="AA72" s="386">
        <f t="shared" si="13"/>
        <v>31.453127863245371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0.15000715839141515</v>
      </c>
      <c r="AD72" s="231">
        <f>(INDEX(Models!$BJ72:$BT72,,AH72)*(1-AF72)+INDEX(Models!$BJ72:$BT72,,AH72+1)*AF72-ERP_i)*AE72*Ramure*Pc/MaxiM</f>
        <v>1.7592013517420024E-3</v>
      </c>
      <c r="AE72" s="305">
        <f t="shared" si="15"/>
        <v>0.7</v>
      </c>
      <c r="AF72" s="177">
        <f t="shared" si="23"/>
        <v>6.5050402782900196E-3</v>
      </c>
      <c r="AG72" s="921">
        <f t="shared" si="24"/>
        <v>1</v>
      </c>
      <c r="AH72" s="176">
        <f t="shared" si="16"/>
        <v>7</v>
      </c>
      <c r="AI72" s="225">
        <f t="shared" si="17"/>
        <v>1.00650504027829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30.607775741440175</v>
      </c>
      <c r="C73" s="955"/>
      <c r="D73" s="393">
        <f t="shared" si="0"/>
        <v>32.053401178277817</v>
      </c>
      <c r="E73" s="385">
        <f t="shared" si="1"/>
        <v>36.445645804924716</v>
      </c>
      <c r="F73" s="385">
        <f t="shared" si="2"/>
        <v>36.490465652055448</v>
      </c>
      <c r="G73" s="110">
        <f t="shared" si="21"/>
        <v>0.79105389474813192</v>
      </c>
      <c r="H73" s="414" t="b">
        <f>Wh_hp&gt;='2023'!Maxi_hp</f>
        <v>0</v>
      </c>
      <c r="I73" s="390">
        <f>IF(H73,Wh_hp,'2023'!Maxi_hp)</f>
        <v>37.080698817786207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4.5100531728199944E-2</v>
      </c>
      <c r="M73" s="959"/>
      <c r="N73" s="959"/>
      <c r="O73" s="48">
        <f>IF(t&lt;Tnet,'2023'!Resal+('2023'!Salim-'2023'!Resal)*(1-EXP(('2023'!Tnet-t)/('2023'!Tau_j))),Resal+(Salim-Resal)*(1-EXP((Tnet-t)/(Tau_j))))*Salcycl</f>
        <v>0.12051493476494789</v>
      </c>
      <c r="P73" s="169">
        <f>(INDEX(Models!$BJ73:$BT73,,T73)*(1-R73)+INDEX(Models!$BJ73:$BT73,,T73+1)*R73-ERP_i)*Q73*Ramure*Pc/MaxiM</f>
        <v>1.7494226553895695E-3</v>
      </c>
      <c r="Q73" s="305">
        <f t="shared" si="4"/>
        <v>0.7</v>
      </c>
      <c r="R73" s="177">
        <f t="shared" si="5"/>
        <v>6.8011018508775667E-3</v>
      </c>
      <c r="S73" s="921">
        <f t="shared" si="6"/>
        <v>1</v>
      </c>
      <c r="T73" s="176">
        <f t="shared" si="7"/>
        <v>7</v>
      </c>
      <c r="U73" s="251">
        <f t="shared" si="8"/>
        <v>1.0068011018508776</v>
      </c>
      <c r="V73" s="383">
        <f t="shared" si="9"/>
        <v>38.672212797279791</v>
      </c>
      <c r="W73" s="402">
        <f t="shared" si="10"/>
        <v>30.607775741440175</v>
      </c>
      <c r="X73" s="157">
        <f t="shared" si="11"/>
        <v>45350</v>
      </c>
      <c r="Y73" s="385">
        <f t="shared" si="12"/>
        <v>29.581002683784686</v>
      </c>
      <c r="Z73" s="385">
        <f t="shared" si="22"/>
        <v>30.978132951860463</v>
      </c>
      <c r="AA73" s="386">
        <f t="shared" si="13"/>
        <v>36.445645804924716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0.15001827330291001</v>
      </c>
      <c r="AD73" s="231">
        <f>(INDEX(Models!$BJ73:$BT73,,AH73)*(1-AF73)+INDEX(Models!$BJ73:$BT73,,AH73+1)*AF73-ERP_i)*AE73*Ramure*Pc/MaxiM</f>
        <v>1.7494226553895695E-3</v>
      </c>
      <c r="AE73" s="305">
        <f t="shared" si="15"/>
        <v>0.7</v>
      </c>
      <c r="AF73" s="177">
        <f t="shared" si="23"/>
        <v>6.8011018508775667E-3</v>
      </c>
      <c r="AG73" s="921">
        <f t="shared" si="24"/>
        <v>1</v>
      </c>
      <c r="AH73" s="176">
        <f t="shared" si="16"/>
        <v>7</v>
      </c>
      <c r="AI73" s="225">
        <f t="shared" si="17"/>
        <v>1.0068011018508776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39.123153113177942</v>
      </c>
      <c r="C74" s="955"/>
      <c r="D74" s="393">
        <f t="shared" si="0"/>
        <v>40.971862828884262</v>
      </c>
      <c r="E74" s="385">
        <f t="shared" si="1"/>
        <v>46.588188858522564</v>
      </c>
      <c r="F74" s="385">
        <f t="shared" si="2"/>
        <v>46.669271608719839</v>
      </c>
      <c r="G74" s="110">
        <f t="shared" si="21"/>
        <v>1.0049240409767168</v>
      </c>
      <c r="H74" s="414" t="b">
        <f>Wh_hp&gt;='2023'!Maxi_hp</f>
        <v>1</v>
      </c>
      <c r="I74" s="390">
        <f>IF(H74,Wh_hp,'2023'!Maxi_hp)</f>
        <v>46.669271608719839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4.5121446477239924E-2</v>
      </c>
      <c r="M74" s="959"/>
      <c r="N74" s="959"/>
      <c r="O74" s="48">
        <f>IF(t&lt;Tnet,'2023'!Resal+('2023'!Salim-'2023'!Resal)*(1-EXP(('2023'!Tnet-t)/('2023'!Tau_j))),Resal+(Salim-Resal)*(1-EXP((Tnet-t)/(Tau_j))))*Salcycl</f>
        <v>0.12055257281397593</v>
      </c>
      <c r="P74" s="169">
        <f>(INDEX(Models!$BJ74:$BT74,,T74)*(1-R74)+INDEX(Models!$BJ74:$BT74,,T74+1)*R74-ERP_i)*Q74*Ramure*Pc/MaxiM</f>
        <v>1.7373905227638191E-3</v>
      </c>
      <c r="Q74" s="305">
        <f t="shared" si="4"/>
        <v>0.7</v>
      </c>
      <c r="R74" s="177">
        <f t="shared" si="5"/>
        <v>7.1092062959363655E-3</v>
      </c>
      <c r="S74" s="921">
        <f t="shared" si="6"/>
        <v>1</v>
      </c>
      <c r="T74" s="176">
        <f t="shared" si="7"/>
        <v>7</v>
      </c>
      <c r="U74" s="251">
        <f t="shared" si="8"/>
        <v>1.0071092062959364</v>
      </c>
      <c r="V74" s="383">
        <f t="shared" si="9"/>
        <v>38.931453043110537</v>
      </c>
      <c r="W74" s="402">
        <f t="shared" si="10"/>
        <v>39.123153113177942</v>
      </c>
      <c r="X74" s="157">
        <f t="shared" si="11"/>
        <v>45351</v>
      </c>
      <c r="Y74" s="385">
        <f t="shared" si="12"/>
        <v>37.811847039327255</v>
      </c>
      <c r="Z74" s="385">
        <f t="shared" si="22"/>
        <v>39.598592826104337</v>
      </c>
      <c r="AA74" s="386">
        <f t="shared" si="13"/>
        <v>46.588188858522564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0.15002935730435868</v>
      </c>
      <c r="AD74" s="231">
        <f>(INDEX(Models!$BJ74:$BT74,,AH74)*(1-AF74)+INDEX(Models!$BJ74:$BT74,,AH74+1)*AF74-ERP_i)*AE74*Ramure*Pc/MaxiM</f>
        <v>1.7373905227638191E-3</v>
      </c>
      <c r="AE74" s="305">
        <f t="shared" si="15"/>
        <v>0.7</v>
      </c>
      <c r="AF74" s="177">
        <f t="shared" si="23"/>
        <v>7.1092062959363655E-3</v>
      </c>
      <c r="AG74" s="921">
        <f t="shared" si="24"/>
        <v>1</v>
      </c>
      <c r="AH74" s="176">
        <f t="shared" si="16"/>
        <v>7</v>
      </c>
      <c r="AI74" s="225">
        <f t="shared" si="17"/>
        <v>1.0071092062959364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9.86702579556008</v>
      </c>
      <c r="C75" s="955"/>
      <c r="D75" s="393">
        <f t="shared" si="0"/>
        <v>10.33350458765582</v>
      </c>
      <c r="E75" s="385">
        <f t="shared" si="1"/>
        <v>11.750499324938716</v>
      </c>
      <c r="F75" s="385">
        <f t="shared" si="2"/>
        <v>11.750499324938716</v>
      </c>
      <c r="G75" s="110">
        <f t="shared" si="21"/>
        <v>0.25134310752808647</v>
      </c>
      <c r="H75" s="414" t="b">
        <f>Wh_hp&gt;='2023'!Maxi_hp</f>
        <v>0</v>
      </c>
      <c r="I75" s="390">
        <f>IF(H75,Wh_hp,'2023'!Maxi_hp)</f>
        <v>32.956677810715547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4.5142360768193335E-2</v>
      </c>
      <c r="M75" s="959"/>
      <c r="N75" s="959"/>
      <c r="O75" s="48">
        <f>IF(t&lt;Tnet,'2023'!Resal+('2023'!Salim-'2023'!Resal)*(1-EXP(('2023'!Tnet-t)/('2023'!Tau_j))),Resal+(Salim-Resal)*(1-EXP((Tnet-t)/(Tau_j))))*Salcycl</f>
        <v>0.12059017222149286</v>
      </c>
      <c r="P75" s="169">
        <f>(INDEX(Models!$BJ75:$BT75,,T75)*(1-R75)+INDEX(Models!$BJ75:$BT75,,T75+1)*R75-ERP_i)*Q75*Ramure*Pc/MaxiM</f>
        <v>1.7231454994357566E-3</v>
      </c>
      <c r="Q75" s="305">
        <f t="shared" si="4"/>
        <v>0.7</v>
      </c>
      <c r="R75" s="177">
        <f t="shared" si="5"/>
        <v>7.4298272651980302E-3</v>
      </c>
      <c r="S75" s="921">
        <f t="shared" si="6"/>
        <v>1</v>
      </c>
      <c r="T75" s="176">
        <f t="shared" si="7"/>
        <v>7</v>
      </c>
      <c r="U75" s="251">
        <f t="shared" si="8"/>
        <v>1.007429827265198</v>
      </c>
      <c r="V75" s="383">
        <f t="shared" si="9"/>
        <v>39.189550775196601</v>
      </c>
      <c r="W75" s="402">
        <f t="shared" si="10"/>
        <v>9.86702579556008</v>
      </c>
      <c r="X75" s="157">
        <f t="shared" si="11"/>
        <v>45352</v>
      </c>
      <c r="Y75" s="385">
        <f t="shared" si="12"/>
        <v>9.5365923683778355</v>
      </c>
      <c r="Z75" s="385">
        <f t="shared" si="22"/>
        <v>9.9874494129304221</v>
      </c>
      <c r="AA75" s="386">
        <f t="shared" si="13"/>
        <v>11.750499324938716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0.15004042494317479</v>
      </c>
      <c r="AD75" s="231">
        <f>(INDEX(Models!$BJ75:$BT75,,AH75)*(1-AF75)+INDEX(Models!$BJ75:$BT75,,AH75+1)*AF75-ERP_i)*AE75*Ramure*Pc/MaxiM</f>
        <v>1.7231454994357566E-3</v>
      </c>
      <c r="AE75" s="305">
        <f t="shared" si="15"/>
        <v>0.7</v>
      </c>
      <c r="AF75" s="177">
        <f t="shared" si="23"/>
        <v>7.4298272651980302E-3</v>
      </c>
      <c r="AG75" s="921">
        <f t="shared" si="24"/>
        <v>1</v>
      </c>
      <c r="AH75" s="176">
        <f t="shared" si="16"/>
        <v>7</v>
      </c>
      <c r="AI75" s="225">
        <f t="shared" si="17"/>
        <v>1.007429827265198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36.996107838663441</v>
      </c>
      <c r="C76" s="955"/>
      <c r="D76" s="393">
        <f t="shared" si="0"/>
        <v>38.746004269166022</v>
      </c>
      <c r="E76" s="385">
        <f t="shared" si="1"/>
        <v>44.060981161181147</v>
      </c>
      <c r="F76" s="385">
        <f t="shared" si="2"/>
        <v>44.129614330857969</v>
      </c>
      <c r="G76" s="110">
        <f t="shared" si="21"/>
        <v>0.93773606071102233</v>
      </c>
      <c r="H76" s="414" t="b">
        <f>Wh_hp&gt;='2023'!Maxi_hp</f>
        <v>0</v>
      </c>
      <c r="I76" s="390">
        <f>IF(H76,Wh_hp,'2023'!Maxi_hp)</f>
        <v>44.133139315873827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4.5163274601070058E-2</v>
      </c>
      <c r="M76" s="959"/>
      <c r="N76" s="959"/>
      <c r="O76" s="48">
        <f>IF(t&lt;Tnet,'2023'!Resal+('2023'!Salim-'2023'!Resal)*(1-EXP(('2023'!Tnet-t)/('2023'!Tau_j))),Resal+(Salim-Resal)*(1-EXP((Tnet-t)/(Tau_j))))*Salcycl</f>
        <v>0.12062774708924907</v>
      </c>
      <c r="P76" s="169">
        <f>(INDEX(Models!$BJ76:$BT76,,T76)*(1-R76)+INDEX(Models!$BJ76:$BT76,,T76+1)*R76-ERP_i)*Q76*Ramure*Pc/MaxiM</f>
        <v>1.7067272054699261E-3</v>
      </c>
      <c r="Q76" s="305">
        <f t="shared" si="4"/>
        <v>0.7</v>
      </c>
      <c r="R76" s="177">
        <f t="shared" si="5"/>
        <v>7.7634556750558747E-3</v>
      </c>
      <c r="S76" s="921">
        <f t="shared" si="6"/>
        <v>1</v>
      </c>
      <c r="T76" s="176">
        <f t="shared" si="7"/>
        <v>7</v>
      </c>
      <c r="U76" s="251">
        <f t="shared" si="8"/>
        <v>1.0077634556750559</v>
      </c>
      <c r="V76" s="383">
        <f t="shared" si="9"/>
        <v>39.446595993205456</v>
      </c>
      <c r="W76" s="402">
        <f t="shared" si="10"/>
        <v>36.996107838663441</v>
      </c>
      <c r="X76" s="157">
        <f t="shared" si="11"/>
        <v>45353</v>
      </c>
      <c r="Y76" s="385">
        <f t="shared" si="12"/>
        <v>35.758220129063552</v>
      </c>
      <c r="Z76" s="385">
        <f t="shared" si="22"/>
        <v>37.449565122376079</v>
      </c>
      <c r="AA76" s="386">
        <f t="shared" si="13"/>
        <v>44.060981161181147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0.15005149373818061</v>
      </c>
      <c r="AD76" s="231">
        <f>(INDEX(Models!$BJ76:$BT76,,AH76)*(1-AF76)+INDEX(Models!$BJ76:$BT76,,AH76+1)*AF76-ERP_i)*AE76*Ramure*Pc/MaxiM</f>
        <v>1.7067272054699261E-3</v>
      </c>
      <c r="AE76" s="305">
        <f t="shared" si="15"/>
        <v>0.7</v>
      </c>
      <c r="AF76" s="177">
        <f t="shared" si="23"/>
        <v>7.7634556750558747E-3</v>
      </c>
      <c r="AG76" s="921">
        <f t="shared" si="24"/>
        <v>1</v>
      </c>
      <c r="AH76" s="176">
        <f t="shared" si="16"/>
        <v>7</v>
      </c>
      <c r="AI76" s="225">
        <f t="shared" si="17"/>
        <v>1.0077634556750559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3.9557263334072705</v>
      </c>
      <c r="C77" s="955"/>
      <c r="D77" s="393">
        <f t="shared" si="0"/>
        <v>4.1429208477617294</v>
      </c>
      <c r="E77" s="385">
        <f t="shared" si="1"/>
        <v>4.7114266199011476</v>
      </c>
      <c r="F77" s="385">
        <f t="shared" si="2"/>
        <v>4.7114266199011476</v>
      </c>
      <c r="G77" s="110">
        <f t="shared" si="21"/>
        <v>9.9465540452149989E-2</v>
      </c>
      <c r="H77" s="414" t="b">
        <f>Wh_hp&gt;='2023'!Maxi_hp</f>
        <v>0</v>
      </c>
      <c r="I77" s="390">
        <f>IF(H77,Wh_hp,'2023'!Maxi_hp)</f>
        <v>33.323703114447028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4.5184187975880086E-2</v>
      </c>
      <c r="M77" s="959"/>
      <c r="N77" s="959"/>
      <c r="O77" s="48">
        <f>IF(t&lt;Tnet,'2023'!Resal+('2023'!Salim-'2023'!Resal)*(1-EXP(('2023'!Tnet-t)/('2023'!Tau_j))),Resal+(Salim-Resal)*(1-EXP((Tnet-t)/(Tau_j))))*Salcycl</f>
        <v>0.12066531392806586</v>
      </c>
      <c r="P77" s="169">
        <f>(INDEX(Models!$BJ77:$BT77,,T77)*(1-R77)+INDEX(Models!$BJ77:$BT77,,T77+1)*R77-ERP_i)*Q77*Ramure*Pc/MaxiM</f>
        <v>1.6881743942863193E-3</v>
      </c>
      <c r="Q77" s="305">
        <f t="shared" si="4"/>
        <v>0.7</v>
      </c>
      <c r="R77" s="177">
        <f t="shared" si="5"/>
        <v>8.110600220154085E-3</v>
      </c>
      <c r="S77" s="921">
        <f t="shared" si="6"/>
        <v>1</v>
      </c>
      <c r="T77" s="176">
        <f t="shared" si="7"/>
        <v>7</v>
      </c>
      <c r="U77" s="251">
        <f t="shared" si="8"/>
        <v>1.0081106002201541</v>
      </c>
      <c r="V77" s="383">
        <f t="shared" si="9"/>
        <v>39.7026785311661</v>
      </c>
      <c r="W77" s="402">
        <f t="shared" si="10"/>
        <v>3.9557263334072705</v>
      </c>
      <c r="X77" s="157">
        <f t="shared" si="11"/>
        <v>45354</v>
      </c>
      <c r="Y77" s="385">
        <f t="shared" si="12"/>
        <v>3.82348140103089</v>
      </c>
      <c r="Z77" s="385">
        <f t="shared" si="22"/>
        <v>4.0044177661086993</v>
      </c>
      <c r="AA77" s="386">
        <f t="shared" si="13"/>
        <v>4.7114266199011476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0.1500625841875646</v>
      </c>
      <c r="AD77" s="231">
        <f>(INDEX(Models!$BJ77:$BT77,,AH77)*(1-AF77)+INDEX(Models!$BJ77:$BT77,,AH77+1)*AF77-ERP_i)*AE77*Ramure*Pc/MaxiM</f>
        <v>1.6881743942863193E-3</v>
      </c>
      <c r="AE77" s="305">
        <f t="shared" si="15"/>
        <v>0.7</v>
      </c>
      <c r="AF77" s="177">
        <f t="shared" si="23"/>
        <v>8.110600220154085E-3</v>
      </c>
      <c r="AG77" s="921">
        <f t="shared" si="24"/>
        <v>1</v>
      </c>
      <c r="AH77" s="176">
        <f t="shared" si="16"/>
        <v>7</v>
      </c>
      <c r="AI77" s="225">
        <f t="shared" si="17"/>
        <v>1.0081106002201541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14.064555120883668</v>
      </c>
      <c r="C78" s="955"/>
      <c r="D78" s="393">
        <f t="shared" si="0"/>
        <v>14.730446438321529</v>
      </c>
      <c r="E78" s="385">
        <f t="shared" si="1"/>
        <v>16.752524599991276</v>
      </c>
      <c r="F78" s="385">
        <f t="shared" si="2"/>
        <v>16.754599426497695</v>
      </c>
      <c r="G78" s="110">
        <f t="shared" si="21"/>
        <v>0.35144102501616731</v>
      </c>
      <c r="H78" s="414" t="b">
        <f>Wh_hp&gt;='2023'!Maxi_hp</f>
        <v>0</v>
      </c>
      <c r="I78" s="390">
        <f>IF(H78,Wh_hp,'2023'!Maxi_hp)</f>
        <v>47.032781812856342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4.5205100892633632E-2</v>
      </c>
      <c r="M78" s="959"/>
      <c r="N78" s="959"/>
      <c r="O78" s="48">
        <f>IF(t&lt;Tnet,'2023'!Resal+('2023'!Salim-'2023'!Resal)*(1-EXP(('2023'!Tnet-t)/('2023'!Tau_j))),Resal+(Salim-Resal)*(1-EXP((Tnet-t)/(Tau_j))))*Salcycl</f>
        <v>0.12070289165077829</v>
      </c>
      <c r="P78" s="169">
        <f>(INDEX(Models!$BJ78:$BT78,,T78)*(1-R78)+INDEX(Models!$BJ78:$BT78,,T78+1)*R78-ERP_i)*Q78*Ramure*Pc/MaxiM</f>
        <v>1.6675249944452066E-3</v>
      </c>
      <c r="Q78" s="305">
        <f t="shared" si="4"/>
        <v>0.7</v>
      </c>
      <c r="R78" s="177">
        <f t="shared" si="5"/>
        <v>8.4717878920497203E-3</v>
      </c>
      <c r="S78" s="921">
        <f t="shared" si="6"/>
        <v>1</v>
      </c>
      <c r="T78" s="176">
        <f t="shared" si="7"/>
        <v>7</v>
      </c>
      <c r="U78" s="251">
        <f t="shared" si="8"/>
        <v>1.0084717878920497</v>
      </c>
      <c r="V78" s="383">
        <f t="shared" si="9"/>
        <v>39.957888057059485</v>
      </c>
      <c r="W78" s="402">
        <f t="shared" si="10"/>
        <v>14.064555120883668</v>
      </c>
      <c r="X78" s="157">
        <f t="shared" si="11"/>
        <v>45355</v>
      </c>
      <c r="Y78" s="385">
        <f t="shared" si="12"/>
        <v>13.594762115859357</v>
      </c>
      <c r="Z78" s="385">
        <f t="shared" si="22"/>
        <v>14.238410917956351</v>
      </c>
      <c r="AA78" s="386">
        <f t="shared" si="13"/>
        <v>16.752524599991276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0.1500737197566171</v>
      </c>
      <c r="AD78" s="231">
        <f>(INDEX(Models!$BJ78:$BT78,,AH78)*(1-AF78)+INDEX(Models!$BJ78:$BT78,,AH78+1)*AF78-ERP_i)*AE78*Ramure*Pc/MaxiM</f>
        <v>1.6675249944452066E-3</v>
      </c>
      <c r="AE78" s="305">
        <f t="shared" si="15"/>
        <v>0.7</v>
      </c>
      <c r="AF78" s="177">
        <f t="shared" si="23"/>
        <v>8.4717878920497203E-3</v>
      </c>
      <c r="AG78" s="921">
        <f t="shared" si="24"/>
        <v>1</v>
      </c>
      <c r="AH78" s="176">
        <f t="shared" si="16"/>
        <v>7</v>
      </c>
      <c r="AI78" s="225">
        <f t="shared" si="17"/>
        <v>1.0084717878920497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19.913857658476889</v>
      </c>
      <c r="C79" s="955"/>
      <c r="D79" s="393">
        <f t="shared" ref="D79:D142" si="25">Wh/(1-Ppv)</f>
        <v>20.857143090351968</v>
      </c>
      <c r="E79" s="385">
        <f t="shared" si="1"/>
        <v>23.721259909166061</v>
      </c>
      <c r="F79" s="385">
        <f t="shared" ref="F79:F142" si="26">Wh_sa/(1-Pvg*MEDIAN((-Sdif+Wh/Env_an)/Csdif,0,1))</f>
        <v>23.732145754285995</v>
      </c>
      <c r="G79" s="110">
        <f t="shared" si="21"/>
        <v>0.49462580011650531</v>
      </c>
      <c r="H79" s="414" t="b">
        <f>Wh_hp&gt;='2023'!Maxi_hp</f>
        <v>0</v>
      </c>
      <c r="I79" s="390">
        <f>IF(H79,Wh_hp,'2023'!Maxi_hp)</f>
        <v>24.181479709212134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4.5226013351340577E-2</v>
      </c>
      <c r="M79" s="959"/>
      <c r="N79" s="959"/>
      <c r="O79" s="48">
        <f>IF(t&lt;Tnet,'2023'!Resal+('2023'!Salim-'2023'!Resal)*(1-EXP(('2023'!Tnet-t)/('2023'!Tau_j))),Resal+(Salim-Resal)*(1-EXP((Tnet-t)/(Tau_j))))*Salcycl</f>
        <v>0.12074050154930337</v>
      </c>
      <c r="P79" s="169">
        <f>(INDEX(Models!$BJ79:$BT79,,T79)*(1-R79)+INDEX(Models!$BJ79:$BT79,,T79+1)*R79-ERP_i)*Q79*Ramure*Pc/MaxiM</f>
        <v>1.6448013685335554E-3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8.8475645019479021E-3</v>
      </c>
      <c r="S79" s="92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1.0088475645019479</v>
      </c>
      <c r="V79" s="383">
        <f t="shared" ref="V79:V142" si="33">MaxiM*(1-Ppv)*(1-Pvg)*(1-Psa)</f>
        <v>40.212675693405522</v>
      </c>
      <c r="W79" s="402">
        <f t="shared" ref="W79:W142" si="34">Wh*(A79&gt;Tmaj)</f>
        <v>19.913857658476889</v>
      </c>
      <c r="X79" s="157">
        <f t="shared" ref="X79:X142" si="35">t</f>
        <v>45356</v>
      </c>
      <c r="Y79" s="385">
        <f t="shared" ref="Y79:Y142" si="36">Wh_pvt_s*(1-Ppv)</f>
        <v>19.249252147301679</v>
      </c>
      <c r="Z79" s="385">
        <f t="shared" ref="Z79:Z142" si="37">Wh_sa_s*(1-Psa_s)</f>
        <v>20.161056351009567</v>
      </c>
      <c r="AA79" s="386">
        <f t="shared" ref="AA79:AA142" si="38">Wh_hp*(1-Pvg_s*MEDIAN((-Sdif+Wh/Env_an)/Csdif,0,1))</f>
        <v>23.721259909166061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0.150084926845762</v>
      </c>
      <c r="AD79" s="231">
        <f>(INDEX(Models!$BJ79:$BT79,,AH79)*(1-AF79)+INDEX(Models!$BJ79:$BT79,,AH79+1)*AF79-ERP_i)*AE79*Ramure*Pc/MaxiM</f>
        <v>1.6448013685335554E-3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8.8475645019479021E-3</v>
      </c>
      <c r="AG79" s="92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1.0088475645019479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30.217120760411483</v>
      </c>
      <c r="C80" s="955"/>
      <c r="D80" s="393">
        <f t="shared" si="25"/>
        <v>31.649147368865329</v>
      </c>
      <c r="E80" s="385">
        <f t="shared" ref="E80:E143" si="47">Wh_pvt/(1-Psa)</f>
        <v>35.996771451981985</v>
      </c>
      <c r="F80" s="385">
        <f t="shared" si="26"/>
        <v>36.034007727063816</v>
      </c>
      <c r="G80" s="110">
        <f t="shared" ref="G80:G143" si="48">+Wh_hp/MaxiM</f>
        <v>0.74626701798772521</v>
      </c>
      <c r="H80" s="414" t="b">
        <f>Wh_hp&gt;='2023'!Maxi_hp</f>
        <v>0</v>
      </c>
      <c r="I80" s="390">
        <f>IF(H80,Wh_hp,'2023'!Maxi_hp)</f>
        <v>43.018931785268983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4.5246925352011025E-2</v>
      </c>
      <c r="M80" s="959"/>
      <c r="N80" s="959"/>
      <c r="O80" s="48">
        <f>IF(t&lt;Tnet,'2023'!Resal+('2023'!Salim-'2023'!Resal)*(1-EXP(('2023'!Tnet-t)/('2023'!Tau_j))),Resal+(Salim-Resal)*(1-EXP((Tnet-t)/(Tau_j))))*Salcycl</f>
        <v>0.12077816725636598</v>
      </c>
      <c r="P80" s="169">
        <f>(INDEX(Models!$BJ80:$BT80,,T80)*(1-R80)+INDEX(Models!$BJ80:$BT80,,T80+1)*R80-ERP_i)*Q80*Ramure*Pc/MaxiM</f>
        <v>1.6193133183433042E-3</v>
      </c>
      <c r="Q80" s="305">
        <f t="shared" si="28"/>
        <v>0.7</v>
      </c>
      <c r="R80" s="177">
        <f t="shared" si="29"/>
        <v>9.2384952063835346E-3</v>
      </c>
      <c r="S80" s="921">
        <f t="shared" si="30"/>
        <v>1</v>
      </c>
      <c r="T80" s="176">
        <f t="shared" si="31"/>
        <v>7</v>
      </c>
      <c r="U80" s="251">
        <f t="shared" si="32"/>
        <v>1.0092384952063835</v>
      </c>
      <c r="V80" s="383">
        <f t="shared" si="33"/>
        <v>40.467280530855454</v>
      </c>
      <c r="W80" s="402">
        <f t="shared" si="34"/>
        <v>30.217120760411483</v>
      </c>
      <c r="X80" s="157">
        <f t="shared" si="35"/>
        <v>45357</v>
      </c>
      <c r="Y80" s="385">
        <f t="shared" si="36"/>
        <v>29.209516589757975</v>
      </c>
      <c r="Z80" s="385">
        <f t="shared" si="37"/>
        <v>30.593791594258366</v>
      </c>
      <c r="AA80" s="386">
        <f t="shared" si="38"/>
        <v>35.996771451981985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0.15009623473957773</v>
      </c>
      <c r="AD80" s="231">
        <f>(INDEX(Models!$BJ80:$BT80,,AH80)*(1-AF80)+INDEX(Models!$BJ80:$BT80,,AH80+1)*AF80-ERP_i)*AE80*Ramure*Pc/MaxiM</f>
        <v>1.6193133183433042E-3</v>
      </c>
      <c r="AE80" s="305">
        <f t="shared" si="40"/>
        <v>0.7</v>
      </c>
      <c r="AF80" s="177">
        <f t="shared" si="41"/>
        <v>9.2384952063835346E-3</v>
      </c>
      <c r="AG80" s="921">
        <f t="shared" ref="AG80:AG143" si="49">INDEX(Echel_vg,AH80)</f>
        <v>1</v>
      </c>
      <c r="AH80" s="176">
        <f t="shared" si="42"/>
        <v>7</v>
      </c>
      <c r="AI80" s="225">
        <f t="shared" si="43"/>
        <v>1.0092384952063835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28.988802676378917</v>
      </c>
      <c r="C81" s="955"/>
      <c r="D81" s="393">
        <f t="shared" si="25"/>
        <v>30.363282810218152</v>
      </c>
      <c r="E81" s="385">
        <f t="shared" si="47"/>
        <v>34.535751178435092</v>
      </c>
      <c r="F81" s="385">
        <f t="shared" si="26"/>
        <v>34.568129591706978</v>
      </c>
      <c r="G81" s="110">
        <f t="shared" si="48"/>
        <v>0.7114144204279218</v>
      </c>
      <c r="H81" s="414" t="b">
        <f>Wh_hp&gt;='2023'!Maxi_hp</f>
        <v>0</v>
      </c>
      <c r="I81" s="390">
        <f>IF(H81,Wh_hp,'2023'!Maxi_hp)</f>
        <v>34.580370202974152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4.5267836894654967E-2</v>
      </c>
      <c r="M81" s="959"/>
      <c r="N81" s="959"/>
      <c r="O81" s="48">
        <f>IF(t&lt;Tnet,'2023'!Resal+('2023'!Salim-'2023'!Resal)*(1-EXP(('2023'!Tnet-t)/('2023'!Tau_j))),Resal+(Salim-Resal)*(1-EXP((Tnet-t)/(Tau_j))))*Salcycl</f>
        <v>0.12081591469254969</v>
      </c>
      <c r="P81" s="169">
        <f>(INDEX(Models!$BJ81:$BT81,,T81)*(1-R81)+INDEX(Models!$BJ81:$BT81,,T81+1)*R81-ERP_i)*Q81*Ramure*Pc/MaxiM</f>
        <v>1.5918628902898671E-3</v>
      </c>
      <c r="Q81" s="305">
        <f t="shared" si="28"/>
        <v>0.7</v>
      </c>
      <c r="R81" s="177">
        <f t="shared" si="29"/>
        <v>9.6451650345936724E-3</v>
      </c>
      <c r="S81" s="921">
        <f t="shared" si="30"/>
        <v>1</v>
      </c>
      <c r="T81" s="176">
        <f t="shared" si="31"/>
        <v>7</v>
      </c>
      <c r="U81" s="251">
        <f t="shared" si="32"/>
        <v>1.0096451650345937</v>
      </c>
      <c r="V81" s="383">
        <f t="shared" si="33"/>
        <v>40.721399997830858</v>
      </c>
      <c r="W81" s="402">
        <f t="shared" si="34"/>
        <v>28.988802676378917</v>
      </c>
      <c r="X81" s="157">
        <f t="shared" si="35"/>
        <v>45358</v>
      </c>
      <c r="Y81" s="385">
        <f t="shared" si="36"/>
        <v>28.022983242914218</v>
      </c>
      <c r="Z81" s="385">
        <f t="shared" si="37"/>
        <v>29.351669846092914</v>
      </c>
      <c r="AA81" s="386">
        <f t="shared" si="38"/>
        <v>34.535751178435092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0.15010767553766824</v>
      </c>
      <c r="AD81" s="231">
        <f>(INDEX(Models!$BJ81:$BT81,,AH81)*(1-AF81)+INDEX(Models!$BJ81:$BT81,,AH81+1)*AF81-ERP_i)*AE81*Ramure*Pc/MaxiM</f>
        <v>1.5918628902898671E-3</v>
      </c>
      <c r="AE81" s="305">
        <f t="shared" si="40"/>
        <v>0.7</v>
      </c>
      <c r="AF81" s="177">
        <f t="shared" si="41"/>
        <v>9.6451650345936724E-3</v>
      </c>
      <c r="AG81" s="921">
        <f t="shared" si="49"/>
        <v>1</v>
      </c>
      <c r="AH81" s="176">
        <f t="shared" si="42"/>
        <v>7</v>
      </c>
      <c r="AI81" s="225">
        <f t="shared" si="43"/>
        <v>1.0096451650345937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30.6002829367015</v>
      </c>
      <c r="C82" s="955"/>
      <c r="D82" s="393">
        <f t="shared" si="25"/>
        <v>32.051872094241816</v>
      </c>
      <c r="E82" s="385">
        <f t="shared" si="47"/>
        <v>36.45795326579298</v>
      </c>
      <c r="F82" s="385">
        <f t="shared" si="26"/>
        <v>36.494350464038341</v>
      </c>
      <c r="G82" s="110">
        <f t="shared" si="48"/>
        <v>0.74638559075813071</v>
      </c>
      <c r="H82" s="414" t="b">
        <f>Wh_hp&gt;='2023'!Maxi_hp</f>
        <v>0</v>
      </c>
      <c r="I82" s="390">
        <f>IF(H82,Wh_hp,'2023'!Maxi_hp)</f>
        <v>44.616353864796501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4.5288747979282507E-2</v>
      </c>
      <c r="M82" s="959"/>
      <c r="N82" s="959"/>
      <c r="O82" s="48">
        <f>IF(t&lt;Tnet,'2023'!Resal+('2023'!Salim-'2023'!Resal)*(1-EXP(('2023'!Tnet-t)/('2023'!Tau_j))),Resal+(Salim-Resal)*(1-EXP((Tnet-t)/(Tau_j))))*Salcycl</f>
        <v>0.12085377199946132</v>
      </c>
      <c r="P82" s="169">
        <f>(INDEX(Models!$BJ82:$BT82,,T82)*(1-R82)+INDEX(Models!$BJ82:$BT82,,T82+1)*R82-ERP_i)*Q82*Ramure*Pc/MaxiM</f>
        <v>1.5624975304767668E-3</v>
      </c>
      <c r="Q82" s="305">
        <f t="shared" si="28"/>
        <v>0.7</v>
      </c>
      <c r="R82" s="177">
        <f t="shared" si="29"/>
        <v>1.0068179416180545E-2</v>
      </c>
      <c r="S82" s="921">
        <f t="shared" si="30"/>
        <v>1</v>
      </c>
      <c r="T82" s="176">
        <f t="shared" si="31"/>
        <v>7</v>
      </c>
      <c r="U82" s="251">
        <f t="shared" si="32"/>
        <v>1.0100681794161805</v>
      </c>
      <c r="V82" s="383">
        <f t="shared" si="33"/>
        <v>40.974761577731719</v>
      </c>
      <c r="W82" s="402">
        <f t="shared" si="34"/>
        <v>30.6002829367015</v>
      </c>
      <c r="X82" s="157">
        <f t="shared" si="35"/>
        <v>45359</v>
      </c>
      <c r="Y82" s="385">
        <f t="shared" si="36"/>
        <v>29.581643578339584</v>
      </c>
      <c r="Z82" s="385">
        <f t="shared" si="37"/>
        <v>30.984911422933198</v>
      </c>
      <c r="AA82" s="386">
        <f t="shared" si="38"/>
        <v>36.45795326579298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0.15011928406839326</v>
      </c>
      <c r="AD82" s="231">
        <f>(INDEX(Models!$BJ82:$BT82,,AH82)*(1-AF82)+INDEX(Models!$BJ82:$BT82,,AH82+1)*AF82-ERP_i)*AE82*Ramure*Pc/MaxiM</f>
        <v>1.5624975304767668E-3</v>
      </c>
      <c r="AE82" s="305">
        <f t="shared" si="40"/>
        <v>0.7</v>
      </c>
      <c r="AF82" s="177">
        <f t="shared" si="41"/>
        <v>1.0068179416180545E-2</v>
      </c>
      <c r="AG82" s="921">
        <f t="shared" si="49"/>
        <v>1</v>
      </c>
      <c r="AH82" s="176">
        <f t="shared" si="42"/>
        <v>7</v>
      </c>
      <c r="AI82" s="225">
        <f t="shared" si="43"/>
        <v>1.0100681794161805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22.148117301316411</v>
      </c>
      <c r="C83" s="955"/>
      <c r="D83" s="393">
        <f t="shared" si="25"/>
        <v>23.199268224474121</v>
      </c>
      <c r="E83" s="385">
        <f t="shared" si="47"/>
        <v>26.389547291829228</v>
      </c>
      <c r="F83" s="385">
        <f t="shared" si="26"/>
        <v>26.403248681703758</v>
      </c>
      <c r="G83" s="110">
        <f t="shared" si="48"/>
        <v>0.53667825973769856</v>
      </c>
      <c r="H83" s="414" t="b">
        <f>Wh_hp&gt;='2023'!Maxi_hp</f>
        <v>0</v>
      </c>
      <c r="I83" s="390">
        <f>IF(H83,Wh_hp,'2023'!Maxi_hp)</f>
        <v>45.293809105395539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4.5309658605903635E-2</v>
      </c>
      <c r="M83" s="959"/>
      <c r="N83" s="959"/>
      <c r="O83" s="48">
        <f>IF(t&lt;Tnet,'2023'!Resal+('2023'!Salim-'2023'!Resal)*(1-EXP(('2023'!Tnet-t)/('2023'!Tau_j))),Resal+(Salim-Resal)*(1-EXP((Tnet-t)/(Tau_j))))*Salcycl</f>
        <v>0.12089176945990597</v>
      </c>
      <c r="P83" s="169">
        <f>(INDEX(Models!$BJ83:$BT83,,T83)*(1-R83)+INDEX(Models!$BJ83:$BT83,,T83+1)*R83-ERP_i)*Q83*Ramure*Pc/MaxiM</f>
        <v>1.5312624044274926E-3</v>
      </c>
      <c r="Q83" s="305">
        <f t="shared" si="28"/>
        <v>0.7</v>
      </c>
      <c r="R83" s="177">
        <f t="shared" si="29"/>
        <v>1.0508164707517142E-2</v>
      </c>
      <c r="S83" s="921">
        <f t="shared" si="30"/>
        <v>1</v>
      </c>
      <c r="T83" s="176">
        <f t="shared" si="31"/>
        <v>7</v>
      </c>
      <c r="U83" s="251">
        <f t="shared" si="32"/>
        <v>1.0105081647075171</v>
      </c>
      <c r="V83" s="383">
        <f t="shared" si="33"/>
        <v>41.227092697906691</v>
      </c>
      <c r="W83" s="402">
        <f t="shared" si="34"/>
        <v>22.148117301316411</v>
      </c>
      <c r="X83" s="157">
        <f t="shared" si="35"/>
        <v>45360</v>
      </c>
      <c r="Y83" s="385">
        <f t="shared" si="36"/>
        <v>21.411466168846118</v>
      </c>
      <c r="Z83" s="385">
        <f t="shared" si="37"/>
        <v>22.427655586815515</v>
      </c>
      <c r="AA83" s="386">
        <f t="shared" si="38"/>
        <v>26.389547291829228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0.15013109778659969</v>
      </c>
      <c r="AD83" s="231">
        <f>(INDEX(Models!$BJ83:$BT83,,AH83)*(1-AF83)+INDEX(Models!$BJ83:$BT83,,AH83+1)*AF83-ERP_i)*AE83*Ramure*Pc/MaxiM</f>
        <v>1.5312624044274926E-3</v>
      </c>
      <c r="AE83" s="305">
        <f t="shared" si="40"/>
        <v>0.7</v>
      </c>
      <c r="AF83" s="177">
        <f t="shared" si="41"/>
        <v>1.0508164707517142E-2</v>
      </c>
      <c r="AG83" s="921">
        <f t="shared" si="49"/>
        <v>1</v>
      </c>
      <c r="AH83" s="176">
        <f t="shared" si="42"/>
        <v>7</v>
      </c>
      <c r="AI83" s="225">
        <f t="shared" si="43"/>
        <v>1.0105081647075171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14.767955998756008</v>
      </c>
      <c r="C84" s="955"/>
      <c r="D84" s="393">
        <f t="shared" si="25"/>
        <v>15.469182856100215</v>
      </c>
      <c r="E84" s="385">
        <f t="shared" si="47"/>
        <v>17.597212724601963</v>
      </c>
      <c r="F84" s="385">
        <f t="shared" si="26"/>
        <v>17.599323694186729</v>
      </c>
      <c r="G84" s="110">
        <f t="shared" si="48"/>
        <v>0.35555129543941877</v>
      </c>
      <c r="H84" s="414" t="b">
        <f>Wh_hp&gt;='2023'!Maxi_hp</f>
        <v>0</v>
      </c>
      <c r="I84" s="390">
        <f>IF(H84,Wh_hp,'2023'!Maxi_hp)</f>
        <v>36.273412618426136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4.5330568774528346E-2</v>
      </c>
      <c r="M84" s="959"/>
      <c r="N84" s="959"/>
      <c r="O84" s="48">
        <f>IF(t&lt;Tnet,'2023'!Resal+('2023'!Salim-'2023'!Resal)*(1-EXP(('2023'!Tnet-t)/('2023'!Tau_j))),Resal+(Salim-Resal)*(1-EXP((Tnet-t)/(Tau_j))))*Salcycl</f>
        <v>0.12092993940606489</v>
      </c>
      <c r="P84" s="169">
        <f>(INDEX(Models!$BJ84:$BT84,,T84)*(1-R84)+INDEX(Models!$BJ84:$BT84,,T84+1)*R84-ERP_i)*Q84*Ramure*Pc/MaxiM</f>
        <v>1.4982002410540195E-3</v>
      </c>
      <c r="Q84" s="305">
        <f t="shared" si="28"/>
        <v>0.7</v>
      </c>
      <c r="R84" s="177">
        <f t="shared" si="29"/>
        <v>1.0965768715182067E-2</v>
      </c>
      <c r="S84" s="921">
        <f t="shared" si="30"/>
        <v>1</v>
      </c>
      <c r="T84" s="176">
        <f t="shared" si="31"/>
        <v>7</v>
      </c>
      <c r="U84" s="251">
        <f t="shared" si="32"/>
        <v>1.0109657687151821</v>
      </c>
      <c r="V84" s="383">
        <f t="shared" si="33"/>
        <v>41.478120735842801</v>
      </c>
      <c r="W84" s="402">
        <f t="shared" si="34"/>
        <v>14.767955998756008</v>
      </c>
      <c r="X84" s="157">
        <f t="shared" si="35"/>
        <v>45361</v>
      </c>
      <c r="Y84" s="385">
        <f t="shared" si="36"/>
        <v>14.277187940238935</v>
      </c>
      <c r="Z84" s="385">
        <f t="shared" si="37"/>
        <v>14.955111657772335</v>
      </c>
      <c r="AA84" s="386">
        <f t="shared" si="38"/>
        <v>17.597212724601963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0.1501431566566114</v>
      </c>
      <c r="AD84" s="231">
        <f>(INDEX(Models!$BJ84:$BT84,,AH84)*(1-AF84)+INDEX(Models!$BJ84:$BT84,,AH84+1)*AF84-ERP_i)*AE84*Ramure*Pc/MaxiM</f>
        <v>1.4982002410540195E-3</v>
      </c>
      <c r="AE84" s="305">
        <f t="shared" si="40"/>
        <v>0.7</v>
      </c>
      <c r="AF84" s="177">
        <f t="shared" si="41"/>
        <v>1.0965768715182067E-2</v>
      </c>
      <c r="AG84" s="921">
        <f t="shared" si="49"/>
        <v>1</v>
      </c>
      <c r="AH84" s="176">
        <f t="shared" si="42"/>
        <v>7</v>
      </c>
      <c r="AI84" s="225">
        <f t="shared" si="43"/>
        <v>1.0109657687151821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12.195506065222993</v>
      </c>
      <c r="C85" s="955"/>
      <c r="D85" s="393">
        <f t="shared" si="25"/>
        <v>12.774865084241895</v>
      </c>
      <c r="E85" s="385">
        <f t="shared" si="47"/>
        <v>14.532883533625343</v>
      </c>
      <c r="F85" s="385">
        <f t="shared" si="26"/>
        <v>14.532883533625343</v>
      </c>
      <c r="G85" s="110">
        <f t="shared" si="48"/>
        <v>0.29183724031634051</v>
      </c>
      <c r="H85" s="414" t="b">
        <f>Wh_hp&gt;='2023'!Maxi_hp</f>
        <v>0</v>
      </c>
      <c r="I85" s="390">
        <f>IF(H85,Wh_hp,'2023'!Maxi_hp)</f>
        <v>43.935491435363161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4.535147848516663E-2</v>
      </c>
      <c r="M85" s="959"/>
      <c r="N85" s="959"/>
      <c r="O85" s="48">
        <f>IF(t&lt;Tnet,'2023'!Resal+('2023'!Salim-'2023'!Resal)*(1-EXP(('2023'!Tnet-t)/('2023'!Tau_j))),Resal+(Salim-Resal)*(1-EXP((Tnet-t)/(Tau_j))))*Salcycl</f>
        <v>0.12096831611674624</v>
      </c>
      <c r="P85" s="169">
        <f>(INDEX(Models!$BJ85:$BT85,,T85)*(1-R85)+INDEX(Models!$BJ85:$BT85,,T85+1)*R85-ERP_i)*Q85*Ramure*Pc/MaxiM</f>
        <v>1.4633511786395765E-3</v>
      </c>
      <c r="Q85" s="305">
        <f t="shared" si="28"/>
        <v>0.7</v>
      </c>
      <c r="R85" s="177">
        <f t="shared" si="29"/>
        <v>1.144166121453738E-2</v>
      </c>
      <c r="S85" s="921">
        <f t="shared" si="30"/>
        <v>1</v>
      </c>
      <c r="T85" s="176">
        <f t="shared" si="31"/>
        <v>7</v>
      </c>
      <c r="U85" s="251">
        <f t="shared" si="32"/>
        <v>1.0114416612145374</v>
      </c>
      <c r="V85" s="383">
        <f t="shared" si="33"/>
        <v>41.727573026143681</v>
      </c>
      <c r="W85" s="402">
        <f t="shared" si="34"/>
        <v>12.195506065222993</v>
      </c>
      <c r="X85" s="157">
        <f t="shared" si="35"/>
        <v>45362</v>
      </c>
      <c r="Y85" s="385">
        <f t="shared" si="36"/>
        <v>11.790568994746449</v>
      </c>
      <c r="Z85" s="385">
        <f t="shared" si="37"/>
        <v>12.350691096276156</v>
      </c>
      <c r="AA85" s="386">
        <f t="shared" si="38"/>
        <v>14.532883533625343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0.1501555030218302</v>
      </c>
      <c r="AD85" s="231">
        <f>(INDEX(Models!$BJ85:$BT85,,AH85)*(1-AF85)+INDEX(Models!$BJ85:$BT85,,AH85+1)*AF85-ERP_i)*AE85*Ramure*Pc/MaxiM</f>
        <v>1.4633511786395765E-3</v>
      </c>
      <c r="AE85" s="305">
        <f t="shared" si="40"/>
        <v>0.7</v>
      </c>
      <c r="AF85" s="177">
        <f t="shared" si="41"/>
        <v>1.144166121453738E-2</v>
      </c>
      <c r="AG85" s="921">
        <f t="shared" si="49"/>
        <v>1</v>
      </c>
      <c r="AH85" s="176">
        <f t="shared" si="42"/>
        <v>7</v>
      </c>
      <c r="AI85" s="225">
        <f t="shared" si="43"/>
        <v>1.0114416612145374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11.480450657376819</v>
      </c>
      <c r="C86" s="955"/>
      <c r="D86" s="393">
        <f t="shared" si="25"/>
        <v>12.026103697306338</v>
      </c>
      <c r="E86" s="385">
        <f t="shared" si="47"/>
        <v>13.681682126752372</v>
      </c>
      <c r="F86" s="385">
        <f t="shared" si="26"/>
        <v>13.681682126752372</v>
      </c>
      <c r="G86" s="110">
        <f t="shared" si="48"/>
        <v>0.27311548751307929</v>
      </c>
      <c r="H86" s="414" t="b">
        <f>Wh_hp&gt;='2023'!Maxi_hp</f>
        <v>0</v>
      </c>
      <c r="I86" s="390">
        <f>IF(H86,Wh_hp,'2023'!Maxi_hp)</f>
        <v>42.800557177693996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4.5372387737828701E-2</v>
      </c>
      <c r="M86" s="959"/>
      <c r="N86" s="959"/>
      <c r="O86" s="48">
        <f>IF(t&lt;Tnet,'2023'!Resal+('2023'!Salim-'2023'!Resal)*(1-EXP(('2023'!Tnet-t)/('2023'!Tau_j))),Resal+(Salim-Resal)*(1-EXP((Tnet-t)/(Tau_j))))*Salcycl</f>
        <v>0.12100693570484383</v>
      </c>
      <c r="P86" s="169">
        <f>(INDEX(Models!$BJ86:$BT86,,T86)*(1-R86)+INDEX(Models!$BJ86:$BT86,,T86+1)*R86-ERP_i)*Q86*Ramure*Pc/MaxiM</f>
        <v>1.4273132260198677E-3</v>
      </c>
      <c r="Q86" s="305">
        <f t="shared" si="28"/>
        <v>0.7</v>
      </c>
      <c r="R86" s="177">
        <f t="shared" si="29"/>
        <v>1.1936534461383097E-2</v>
      </c>
      <c r="S86" s="921">
        <f t="shared" si="30"/>
        <v>1</v>
      </c>
      <c r="T86" s="176">
        <f t="shared" si="31"/>
        <v>7</v>
      </c>
      <c r="U86" s="251">
        <f t="shared" si="32"/>
        <v>1.0119365344613831</v>
      </c>
      <c r="V86" s="383">
        <f t="shared" si="33"/>
        <v>41.975153304932491</v>
      </c>
      <c r="W86" s="402">
        <f t="shared" si="34"/>
        <v>11.480450657376819</v>
      </c>
      <c r="X86" s="157">
        <f t="shared" si="35"/>
        <v>45363</v>
      </c>
      <c r="Y86" s="385">
        <f t="shared" si="36"/>
        <v>11.099578206130049</v>
      </c>
      <c r="Z86" s="385">
        <f t="shared" si="37"/>
        <v>11.627128802431654</v>
      </c>
      <c r="AA86" s="386">
        <f t="shared" si="38"/>
        <v>13.681682126752372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0.15016818146237756</v>
      </c>
      <c r="AD86" s="231">
        <f>(INDEX(Models!$BJ86:$BT86,,AH86)*(1-AF86)+INDEX(Models!$BJ86:$BT86,,AH86+1)*AF86-ERP_i)*AE86*Ramure*Pc/MaxiM</f>
        <v>1.4273132260198677E-3</v>
      </c>
      <c r="AE86" s="305">
        <f t="shared" si="40"/>
        <v>0.7</v>
      </c>
      <c r="AF86" s="177">
        <f t="shared" si="41"/>
        <v>1.1936534461383097E-2</v>
      </c>
      <c r="AG86" s="921">
        <f t="shared" si="49"/>
        <v>1</v>
      </c>
      <c r="AH86" s="176">
        <f t="shared" si="42"/>
        <v>7</v>
      </c>
      <c r="AI86" s="225">
        <f t="shared" si="43"/>
        <v>1.0119365344613831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12.129466017391348</v>
      </c>
      <c r="C87" s="955"/>
      <c r="D87" s="393">
        <f t="shared" si="25"/>
        <v>12.70624433427165</v>
      </c>
      <c r="E87" s="385">
        <f t="shared" si="47"/>
        <v>14.456094361499044</v>
      </c>
      <c r="F87" s="385">
        <f t="shared" si="26"/>
        <v>14.456094361499044</v>
      </c>
      <c r="G87" s="110">
        <f t="shared" si="48"/>
        <v>0.28688857831133846</v>
      </c>
      <c r="H87" s="414" t="b">
        <f>Wh_hp&gt;='2023'!Maxi_hp</f>
        <v>0</v>
      </c>
      <c r="I87" s="390">
        <f>IF(H87,Wh_hp,'2023'!Maxi_hp)</f>
        <v>36.891466840324576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4.5393296532524441E-2</v>
      </c>
      <c r="M87" s="959"/>
      <c r="N87" s="959"/>
      <c r="O87" s="48">
        <f>IF(t&lt;Tnet,'2023'!Resal+('2023'!Salim-'2023'!Resal)*(1-EXP(('2023'!Tnet-t)/('2023'!Tau_j))),Resal+(Salim-Resal)*(1-EXP((Tnet-t)/(Tau_j))))*Salcycl</f>
        <v>0.12104583599618542</v>
      </c>
      <c r="P87" s="169">
        <f>(INDEX(Models!$BJ87:$BT87,,T87)*(1-R87)+INDEX(Models!$BJ87:$BT87,,T87+1)*R87-ERP_i)*Q87*Ramure*Pc/MaxiM</f>
        <v>1.3916785582537416E-3</v>
      </c>
      <c r="Q87" s="305">
        <f t="shared" si="28"/>
        <v>0.7</v>
      </c>
      <c r="R87" s="177">
        <f t="shared" si="29"/>
        <v>1.2451103694420818E-2</v>
      </c>
      <c r="S87" s="921">
        <f t="shared" si="30"/>
        <v>1</v>
      </c>
      <c r="T87" s="176">
        <f t="shared" si="31"/>
        <v>7</v>
      </c>
      <c r="U87" s="251">
        <f t="shared" si="32"/>
        <v>1.0124511036944208</v>
      </c>
      <c r="V87" s="383">
        <f t="shared" si="33"/>
        <v>42.22052258374331</v>
      </c>
      <c r="W87" s="402">
        <f t="shared" si="34"/>
        <v>12.129466017391348</v>
      </c>
      <c r="X87" s="157">
        <f t="shared" si="35"/>
        <v>45364</v>
      </c>
      <c r="Y87" s="385">
        <f t="shared" si="36"/>
        <v>11.727400823583281</v>
      </c>
      <c r="Z87" s="385">
        <f t="shared" si="37"/>
        <v>12.285060204359697</v>
      </c>
      <c r="AA87" s="386">
        <f t="shared" si="38"/>
        <v>14.456094361499044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0.15018123864226202</v>
      </c>
      <c r="AD87" s="231">
        <f>(INDEX(Models!$BJ87:$BT87,,AH87)*(1-AF87)+INDEX(Models!$BJ87:$BT87,,AH87+1)*AF87-ERP_i)*AE87*Ramure*Pc/MaxiM</f>
        <v>1.3916785582537416E-3</v>
      </c>
      <c r="AE87" s="305">
        <f t="shared" si="40"/>
        <v>0.7</v>
      </c>
      <c r="AF87" s="177">
        <f t="shared" si="41"/>
        <v>1.2451103694420818E-2</v>
      </c>
      <c r="AG87" s="921">
        <f t="shared" si="49"/>
        <v>1</v>
      </c>
      <c r="AH87" s="176">
        <f t="shared" si="42"/>
        <v>7</v>
      </c>
      <c r="AI87" s="225">
        <f t="shared" si="43"/>
        <v>1.0124511036944208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13.771340333273605</v>
      </c>
      <c r="C88" s="955"/>
      <c r="D88" s="393">
        <f t="shared" si="25"/>
        <v>14.426508757536601</v>
      </c>
      <c r="E88" s="385">
        <f t="shared" si="47"/>
        <v>16.413998718081139</v>
      </c>
      <c r="F88" s="385">
        <f t="shared" si="26"/>
        <v>16.414771999617226</v>
      </c>
      <c r="G88" s="110">
        <f t="shared" si="48"/>
        <v>0.32388611299042686</v>
      </c>
      <c r="H88" s="414" t="b">
        <f>Wh_hp&gt;='2023'!Maxi_hp</f>
        <v>0</v>
      </c>
      <c r="I88" s="390">
        <f>IF(H88,Wh_hp,'2023'!Maxi_hp)</f>
        <v>34.951737117929945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4.5414204869263841E-2</v>
      </c>
      <c r="M88" s="959"/>
      <c r="N88" s="959"/>
      <c r="O88" s="48">
        <f>IF(t&lt;Tnet,'2023'!Resal+('2023'!Salim-'2023'!Resal)*(1-EXP(('2023'!Tnet-t)/('2023'!Tau_j))),Resal+(Salim-Resal)*(1-EXP((Tnet-t)/(Tau_j))))*Salcycl</f>
        <v>0.12108505640098423</v>
      </c>
      <c r="P88" s="169">
        <f>(INDEX(Models!$BJ88:$BT88,,T88)*(1-R88)+INDEX(Models!$BJ88:$BT88,,T88+1)*R88-ERP_i)*Q88*Ramure*Pc/MaxiM</f>
        <v>1.3564450464588758E-3</v>
      </c>
      <c r="Q88" s="305">
        <f t="shared" si="28"/>
        <v>0.7</v>
      </c>
      <c r="R88" s="177">
        <f t="shared" si="29"/>
        <v>1.2986107626052457E-2</v>
      </c>
      <c r="S88" s="921">
        <f t="shared" si="30"/>
        <v>1</v>
      </c>
      <c r="T88" s="176">
        <f t="shared" si="31"/>
        <v>7</v>
      </c>
      <c r="U88" s="251">
        <f t="shared" si="32"/>
        <v>1.0129861076260525</v>
      </c>
      <c r="V88" s="383">
        <f t="shared" si="33"/>
        <v>42.463408025943835</v>
      </c>
      <c r="W88" s="402">
        <f t="shared" si="34"/>
        <v>13.771340333273605</v>
      </c>
      <c r="X88" s="157">
        <f t="shared" si="35"/>
        <v>45365</v>
      </c>
      <c r="Y88" s="385">
        <f t="shared" si="36"/>
        <v>13.315233481666095</v>
      </c>
      <c r="Z88" s="385">
        <f t="shared" si="37"/>
        <v>13.94870272487398</v>
      </c>
      <c r="AA88" s="386">
        <f t="shared" si="38"/>
        <v>16.413998718081139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0.15019472314759397</v>
      </c>
      <c r="AD88" s="231">
        <f>(INDEX(Models!$BJ88:$BT88,,AH88)*(1-AF88)+INDEX(Models!$BJ88:$BT88,,AH88+1)*AF88-ERP_i)*AE88*Ramure*Pc/MaxiM</f>
        <v>1.3564450464588758E-3</v>
      </c>
      <c r="AE88" s="305">
        <f t="shared" si="40"/>
        <v>0.7</v>
      </c>
      <c r="AF88" s="177">
        <f t="shared" si="41"/>
        <v>1.2986107626052457E-2</v>
      </c>
      <c r="AG88" s="921">
        <f t="shared" si="49"/>
        <v>1</v>
      </c>
      <c r="AH88" s="176">
        <f t="shared" si="42"/>
        <v>7</v>
      </c>
      <c r="AI88" s="225">
        <f t="shared" si="43"/>
        <v>1.0129861076260525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9.4534014773624193</v>
      </c>
      <c r="C89" s="955"/>
      <c r="D89" s="393">
        <f t="shared" si="25"/>
        <v>9.9033618391070544</v>
      </c>
      <c r="E89" s="385">
        <f t="shared" si="47"/>
        <v>11.268221029750695</v>
      </c>
      <c r="F89" s="385">
        <f t="shared" si="26"/>
        <v>11.268221029750695</v>
      </c>
      <c r="G89" s="110">
        <f t="shared" si="48"/>
        <v>0.22108023095554896</v>
      </c>
      <c r="H89" s="414" t="b">
        <f>Wh_hp&gt;='2023'!Maxi_hp</f>
        <v>0</v>
      </c>
      <c r="I89" s="390">
        <f>IF(H89,Wh_hp,'2023'!Maxi_hp)</f>
        <v>52.275659986289419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4.5435112748057116E-2</v>
      </c>
      <c r="M89" s="959"/>
      <c r="N89" s="959"/>
      <c r="O89" s="48">
        <f>IF(t&lt;Tnet,'2023'!Resal+('2023'!Salim-'2023'!Resal)*(1-EXP(('2023'!Tnet-t)/('2023'!Tau_j))),Resal+(Salim-Resal)*(1-EXP((Tnet-t)/(Tau_j))))*Salcycl</f>
        <v>0.1211246377791222</v>
      </c>
      <c r="P89" s="169">
        <f>(INDEX(Models!$BJ89:$BT89,,T89)*(1-R89)+INDEX(Models!$BJ89:$BT89,,T89+1)*R89-ERP_i)*Q89*Ramure*Pc/MaxiM</f>
        <v>1.3216094833955745E-3</v>
      </c>
      <c r="Q89" s="305">
        <f t="shared" si="28"/>
        <v>0.7</v>
      </c>
      <c r="R89" s="177">
        <f t="shared" si="29"/>
        <v>1.3542308918824242E-2</v>
      </c>
      <c r="S89" s="921">
        <f t="shared" si="30"/>
        <v>1</v>
      </c>
      <c r="T89" s="176">
        <f t="shared" si="31"/>
        <v>7</v>
      </c>
      <c r="U89" s="251">
        <f t="shared" si="32"/>
        <v>1.0135423089188242</v>
      </c>
      <c r="V89" s="383">
        <f t="shared" si="33"/>
        <v>42.703536772665167</v>
      </c>
      <c r="W89" s="402">
        <f t="shared" si="34"/>
        <v>9.4534014773624193</v>
      </c>
      <c r="X89" s="157">
        <f t="shared" si="35"/>
        <v>45366</v>
      </c>
      <c r="Y89" s="385">
        <f t="shared" si="36"/>
        <v>9.1405662452185457</v>
      </c>
      <c r="Z89" s="385">
        <f t="shared" si="37"/>
        <v>9.5756363630061241</v>
      </c>
      <c r="AA89" s="386">
        <f t="shared" si="38"/>
        <v>11.268221029750695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0.1502086853173859</v>
      </c>
      <c r="AD89" s="231">
        <f>(INDEX(Models!$BJ89:$BT89,,AH89)*(1-AF89)+INDEX(Models!$BJ89:$BT89,,AH89+1)*AF89-ERP_i)*AE89*Ramure*Pc/MaxiM</f>
        <v>1.3216094833955745E-3</v>
      </c>
      <c r="AE89" s="305">
        <f t="shared" si="40"/>
        <v>0.7</v>
      </c>
      <c r="AF89" s="177">
        <f t="shared" si="41"/>
        <v>1.3542308918824242E-2</v>
      </c>
      <c r="AG89" s="921">
        <f t="shared" si="49"/>
        <v>1</v>
      </c>
      <c r="AH89" s="176">
        <f t="shared" si="42"/>
        <v>7</v>
      </c>
      <c r="AI89" s="225">
        <f t="shared" si="43"/>
        <v>1.0135423089188242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10.237636406751918</v>
      </c>
      <c r="C90" s="955"/>
      <c r="D90" s="393">
        <f t="shared" si="25"/>
        <v>10.725159472027206</v>
      </c>
      <c r="E90" s="385">
        <f t="shared" si="47"/>
        <v>12.203832189939861</v>
      </c>
      <c r="F90" s="385">
        <f t="shared" si="26"/>
        <v>12.203832189939861</v>
      </c>
      <c r="G90" s="110">
        <f t="shared" si="48"/>
        <v>0.23810683343307829</v>
      </c>
      <c r="H90" s="414" t="b">
        <f>Wh_hp&gt;='2023'!Maxi_hp</f>
        <v>0</v>
      </c>
      <c r="I90" s="390">
        <f>IF(H90,Wh_hp,'2023'!Maxi_hp)</f>
        <v>27.107916637934526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4.5456020168914146E-2</v>
      </c>
      <c r="M90" s="959"/>
      <c r="N90" s="959"/>
      <c r="O90" s="48">
        <f>IF(t&lt;Tnet,'2023'!Resal+('2023'!Salim-'2023'!Resal)*(1-EXP(('2023'!Tnet-t)/('2023'!Tau_j))),Resal+(Salim-Resal)*(1-EXP((Tnet-t)/(Tau_j))))*Salcycl</f>
        <v>0.12116462230049241</v>
      </c>
      <c r="P90" s="169">
        <f>(INDEX(Models!$BJ90:$BT90,,T90)*(1-R90)+INDEX(Models!$BJ90:$BT90,,T90+1)*R90-ERP_i)*Q90*Ramure*Pc/MaxiM</f>
        <v>1.2871675828641247E-3</v>
      </c>
      <c r="Q90" s="305">
        <f t="shared" si="28"/>
        <v>0.7</v>
      </c>
      <c r="R90" s="177">
        <f t="shared" si="29"/>
        <v>1.4120494644588533E-2</v>
      </c>
      <c r="S90" s="921">
        <f t="shared" si="30"/>
        <v>1</v>
      </c>
      <c r="T90" s="176">
        <f t="shared" si="31"/>
        <v>7</v>
      </c>
      <c r="U90" s="251">
        <f t="shared" si="32"/>
        <v>1.0141204946445885</v>
      </c>
      <c r="V90" s="383">
        <f t="shared" si="33"/>
        <v>42.940635955824668</v>
      </c>
      <c r="W90" s="402">
        <f t="shared" si="34"/>
        <v>10.237636406751918</v>
      </c>
      <c r="X90" s="157">
        <f t="shared" si="35"/>
        <v>45367</v>
      </c>
      <c r="Y90" s="385">
        <f t="shared" si="36"/>
        <v>9.8991305548380204</v>
      </c>
      <c r="Z90" s="385">
        <f t="shared" si="37"/>
        <v>10.37053374595663</v>
      </c>
      <c r="AA90" s="386">
        <f t="shared" si="38"/>
        <v>12.203832189939861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0.15022317706847022</v>
      </c>
      <c r="AD90" s="231">
        <f>(INDEX(Models!$BJ90:$BT90,,AH90)*(1-AF90)+INDEX(Models!$BJ90:$BT90,,AH90+1)*AF90-ERP_i)*AE90*Ramure*Pc/MaxiM</f>
        <v>1.2871675828641247E-3</v>
      </c>
      <c r="AE90" s="305">
        <f t="shared" si="40"/>
        <v>0.7</v>
      </c>
      <c r="AF90" s="177">
        <f t="shared" si="41"/>
        <v>1.4120494644588533E-2</v>
      </c>
      <c r="AG90" s="921">
        <f t="shared" si="49"/>
        <v>1</v>
      </c>
      <c r="AH90" s="176">
        <f t="shared" si="42"/>
        <v>7</v>
      </c>
      <c r="AI90" s="225">
        <f t="shared" si="43"/>
        <v>1.0141204946445885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12.557339254798471</v>
      </c>
      <c r="C91" s="955"/>
      <c r="D91" s="393">
        <f t="shared" si="25"/>
        <v>13.155616256677927</v>
      </c>
      <c r="E91" s="385">
        <f t="shared" si="47"/>
        <v>14.970063615071155</v>
      </c>
      <c r="F91" s="385">
        <f t="shared" si="26"/>
        <v>14.970063615071155</v>
      </c>
      <c r="G91" s="110">
        <f t="shared" si="48"/>
        <v>0.29048681575495133</v>
      </c>
      <c r="H91" s="414" t="b">
        <f>Wh_hp&gt;='2023'!Maxi_hp</f>
        <v>0</v>
      </c>
      <c r="I91" s="390">
        <f>IF(H91,Wh_hp,'2023'!Maxi_hp)</f>
        <v>38.270489516966428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4.5476927131844924E-2</v>
      </c>
      <c r="M91" s="959"/>
      <c r="N91" s="959"/>
      <c r="O91" s="48">
        <f>IF(t&lt;Tnet,'2023'!Resal+('2023'!Salim-'2023'!Resal)*(1-EXP(('2023'!Tnet-t)/('2023'!Tau_j))),Resal+(Salim-Resal)*(1-EXP((Tnet-t)/(Tau_j))))*Salcycl</f>
        <v>0.12120505330161234</v>
      </c>
      <c r="P91" s="169">
        <f>(INDEX(Models!$BJ91:$BT91,,T91)*(1-R91)+INDEX(Models!$BJ91:$BT91,,T91+1)*R91-ERP_i)*Q91*Ramure*Pc/MaxiM</f>
        <v>1.2531139791971922E-3</v>
      </c>
      <c r="Q91" s="305">
        <f t="shared" si="28"/>
        <v>0.7</v>
      </c>
      <c r="R91" s="177">
        <f t="shared" si="29"/>
        <v>1.4721476723214E-2</v>
      </c>
      <c r="S91" s="921">
        <f t="shared" si="30"/>
        <v>1</v>
      </c>
      <c r="T91" s="176">
        <f t="shared" si="31"/>
        <v>7</v>
      </c>
      <c r="U91" s="251">
        <f t="shared" si="32"/>
        <v>1.014721476723214</v>
      </c>
      <c r="V91" s="383">
        <f t="shared" si="33"/>
        <v>43.174432701333338</v>
      </c>
      <c r="W91" s="402">
        <f t="shared" si="34"/>
        <v>12.557339254798471</v>
      </c>
      <c r="X91" s="157">
        <f t="shared" si="35"/>
        <v>45368</v>
      </c>
      <c r="Y91" s="385">
        <f t="shared" si="36"/>
        <v>12.142476011089984</v>
      </c>
      <c r="Z91" s="385">
        <f t="shared" si="37"/>
        <v>12.720987429464873</v>
      </c>
      <c r="AA91" s="386">
        <f t="shared" si="38"/>
        <v>14.970063615071155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0.15023825171604596</v>
      </c>
      <c r="AD91" s="231">
        <f>(INDEX(Models!$BJ91:$BT91,,AH91)*(1-AF91)+INDEX(Models!$BJ91:$BT91,,AH91+1)*AF91-ERP_i)*AE91*Ramure*Pc/MaxiM</f>
        <v>1.2531139791971922E-3</v>
      </c>
      <c r="AE91" s="305">
        <f t="shared" si="40"/>
        <v>0.7</v>
      </c>
      <c r="AF91" s="177">
        <f t="shared" si="41"/>
        <v>1.4721476723214E-2</v>
      </c>
      <c r="AG91" s="921">
        <f t="shared" si="49"/>
        <v>1</v>
      </c>
      <c r="AH91" s="176">
        <f t="shared" si="42"/>
        <v>7</v>
      </c>
      <c r="AI91" s="225">
        <f t="shared" si="43"/>
        <v>1.014721476723214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28.775195981656001</v>
      </c>
      <c r="C92" s="955"/>
      <c r="D92" s="393">
        <f t="shared" si="25"/>
        <v>30.14681055287252</v>
      </c>
      <c r="E92" s="385">
        <f t="shared" si="47"/>
        <v>34.306312915795388</v>
      </c>
      <c r="F92" s="385">
        <f t="shared" si="26"/>
        <v>34.328017973196083</v>
      </c>
      <c r="G92" s="110">
        <f t="shared" si="48"/>
        <v>0.66256235110283057</v>
      </c>
      <c r="H92" s="414" t="b">
        <f>Wh_hp&gt;='2023'!Maxi_hp</f>
        <v>0</v>
      </c>
      <c r="I92" s="390">
        <f>IF(H92,Wh_hp,'2023'!Maxi_hp)</f>
        <v>46.831517578729603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4.5497833636859664E-2</v>
      </c>
      <c r="M92" s="959"/>
      <c r="N92" s="959"/>
      <c r="O92" s="48">
        <f>IF(t&lt;Tnet,'2023'!Resal+('2023'!Salim-'2023'!Resal)*(1-EXP(('2023'!Tnet-t)/('2023'!Tau_j))),Resal+(Salim-Resal)*(1-EXP((Tnet-t)/(Tau_j))))*Salcycl</f>
        <v>0.12124597513968743</v>
      </c>
      <c r="P92" s="169">
        <f>(INDEX(Models!$BJ92:$BT92,,T92)*(1-R92)+INDEX(Models!$BJ92:$BT92,,T92+1)*R92-ERP_i)*Q92*Ramure*Pc/MaxiM</f>
        <v>1.2194422261303395E-3</v>
      </c>
      <c r="Q92" s="305">
        <f t="shared" si="28"/>
        <v>0.7</v>
      </c>
      <c r="R92" s="177">
        <f t="shared" si="29"/>
        <v>1.5346092337420458E-2</v>
      </c>
      <c r="S92" s="921">
        <f t="shared" si="30"/>
        <v>1</v>
      </c>
      <c r="T92" s="176">
        <f t="shared" si="31"/>
        <v>7</v>
      </c>
      <c r="U92" s="251">
        <f t="shared" si="32"/>
        <v>1.0153460923374205</v>
      </c>
      <c r="V92" s="383">
        <f t="shared" si="33"/>
        <v>43.404654146026225</v>
      </c>
      <c r="W92" s="402">
        <f t="shared" si="34"/>
        <v>28.775195981656001</v>
      </c>
      <c r="X92" s="157">
        <f t="shared" si="35"/>
        <v>45369</v>
      </c>
      <c r="Y92" s="385">
        <f t="shared" si="36"/>
        <v>27.825316339719663</v>
      </c>
      <c r="Z92" s="385">
        <f t="shared" si="37"/>
        <v>29.151653417131712</v>
      </c>
      <c r="AA92" s="386">
        <f t="shared" si="38"/>
        <v>34.306312915795388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0.15025396379132186</v>
      </c>
      <c r="AD92" s="231">
        <f>(INDEX(Models!$BJ92:$BT92,,AH92)*(1-AF92)+INDEX(Models!$BJ92:$BT92,,AH92+1)*AF92-ERP_i)*AE92*Ramure*Pc/MaxiM</f>
        <v>1.2194422261303395E-3</v>
      </c>
      <c r="AE92" s="305">
        <f t="shared" si="40"/>
        <v>0.7</v>
      </c>
      <c r="AF92" s="177">
        <f t="shared" si="41"/>
        <v>1.5346092337420458E-2</v>
      </c>
      <c r="AG92" s="921">
        <f t="shared" si="49"/>
        <v>1</v>
      </c>
      <c r="AH92" s="176">
        <f t="shared" si="42"/>
        <v>7</v>
      </c>
      <c r="AI92" s="225">
        <f t="shared" si="43"/>
        <v>1.0153460923374205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29.669836750579677</v>
      </c>
      <c r="C93" s="955"/>
      <c r="D93" s="393">
        <f t="shared" si="25"/>
        <v>31.084776604996833</v>
      </c>
      <c r="E93" s="385">
        <f t="shared" si="47"/>
        <v>35.375363655858457</v>
      </c>
      <c r="F93" s="385">
        <f t="shared" si="26"/>
        <v>35.398154815205949</v>
      </c>
      <c r="G93" s="110">
        <f t="shared" si="48"/>
        <v>0.67961605908578127</v>
      </c>
      <c r="H93" s="414" t="b">
        <f>Wh_hp&gt;='2023'!Maxi_hp</f>
        <v>0</v>
      </c>
      <c r="I93" s="390">
        <f>IF(H93,Wh_hp,'2023'!Maxi_hp)</f>
        <v>53.139538604347429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4.5518739683968246E-2</v>
      </c>
      <c r="M93" s="959"/>
      <c r="N93" s="959"/>
      <c r="O93" s="48">
        <f>IF(t&lt;Tnet,'2023'!Resal+('2023'!Salim-'2023'!Resal)*(1-EXP(('2023'!Tnet-t)/('2023'!Tau_j))),Resal+(Salim-Resal)*(1-EXP((Tnet-t)/(Tau_j))))*Salcycl</f>
        <v>0.12128743304525912</v>
      </c>
      <c r="P93" s="169">
        <f>(INDEX(Models!$BJ93:$BT93,,T93)*(1-R93)+INDEX(Models!$BJ93:$BT93,,T93+1)*R93-ERP_i)*Q93*Ramure*Pc/MaxiM</f>
        <v>1.1860892469891535E-3</v>
      </c>
      <c r="Q93" s="305">
        <f t="shared" si="28"/>
        <v>0.7</v>
      </c>
      <c r="R93" s="177">
        <f t="shared" si="29"/>
        <v>1.5995204320041978E-2</v>
      </c>
      <c r="S93" s="921">
        <f t="shared" si="30"/>
        <v>1</v>
      </c>
      <c r="T93" s="176">
        <f t="shared" si="31"/>
        <v>7</v>
      </c>
      <c r="U93" s="251">
        <f t="shared" si="32"/>
        <v>1.015995204320042</v>
      </c>
      <c r="V93" s="383">
        <f t="shared" si="33"/>
        <v>43.63307471514694</v>
      </c>
      <c r="W93" s="402">
        <f t="shared" si="34"/>
        <v>29.669836750579677</v>
      </c>
      <c r="X93" s="157">
        <f t="shared" si="35"/>
        <v>45370</v>
      </c>
      <c r="Y93" s="385">
        <f t="shared" si="36"/>
        <v>28.69122439604519</v>
      </c>
      <c r="Z93" s="385">
        <f t="shared" si="37"/>
        <v>30.059494710818559</v>
      </c>
      <c r="AA93" s="386">
        <f t="shared" si="38"/>
        <v>35.375363655858457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0.15027036885766534</v>
      </c>
      <c r="AD93" s="231">
        <f>(INDEX(Models!$BJ93:$BT93,,AH93)*(1-AF93)+INDEX(Models!$BJ93:$BT93,,AH93+1)*AF93-ERP_i)*AE93*Ramure*Pc/MaxiM</f>
        <v>1.1860892469891535E-3</v>
      </c>
      <c r="AE93" s="305">
        <f t="shared" si="40"/>
        <v>0.7</v>
      </c>
      <c r="AF93" s="177">
        <f t="shared" si="41"/>
        <v>1.5995204320041978E-2</v>
      </c>
      <c r="AG93" s="921">
        <f t="shared" si="49"/>
        <v>1</v>
      </c>
      <c r="AH93" s="176">
        <f t="shared" si="42"/>
        <v>7</v>
      </c>
      <c r="AI93" s="225">
        <f t="shared" si="43"/>
        <v>1.015995204320042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42.786922555352632</v>
      </c>
      <c r="C94" s="955"/>
      <c r="D94" s="393">
        <f t="shared" si="25"/>
        <v>44.828391607317087</v>
      </c>
      <c r="E94" s="385">
        <f t="shared" si="47"/>
        <v>51.018430945979333</v>
      </c>
      <c r="F94" s="385">
        <f t="shared" si="26"/>
        <v>51.07526928371793</v>
      </c>
      <c r="G94" s="110">
        <f t="shared" si="48"/>
        <v>0.97546750022558815</v>
      </c>
      <c r="H94" s="414" t="b">
        <f>Wh_hp&gt;='2023'!Maxi_hp</f>
        <v>0</v>
      </c>
      <c r="I94" s="390">
        <f>IF(H94,Wh_hp,'2023'!Maxi_hp)</f>
        <v>53.219933275475654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4.5539645273180773E-2</v>
      </c>
      <c r="M94" s="959"/>
      <c r="N94" s="959"/>
      <c r="O94" s="48">
        <f>IF(t&lt;Tnet,'2023'!Resal+('2023'!Salim-'2023'!Resal)*(1-EXP(('2023'!Tnet-t)/('2023'!Tau_j))),Resal+(Salim-Resal)*(1-EXP((Tnet-t)/(Tau_j))))*Salcycl</f>
        <v>0.12132947297451283</v>
      </c>
      <c r="P94" s="169">
        <f>(INDEX(Models!$BJ94:$BT94,,T94)*(1-R94)+INDEX(Models!$BJ94:$BT94,,T94+1)*R94-ERP_i)*Q94*Ramure*Pc/MaxiM</f>
        <v>1.1531849079202416E-3</v>
      </c>
      <c r="Q94" s="305">
        <f t="shared" si="28"/>
        <v>0.7</v>
      </c>
      <c r="R94" s="177">
        <f t="shared" si="29"/>
        <v>1.6669701509742341E-2</v>
      </c>
      <c r="S94" s="921">
        <f t="shared" si="30"/>
        <v>1</v>
      </c>
      <c r="T94" s="176">
        <f t="shared" si="31"/>
        <v>7</v>
      </c>
      <c r="U94" s="251">
        <f t="shared" si="32"/>
        <v>1.0166697015097423</v>
      </c>
      <c r="V94" s="383">
        <f t="shared" si="33"/>
        <v>43.861219533882299</v>
      </c>
      <c r="W94" s="402">
        <f t="shared" si="34"/>
        <v>42.786922555352632</v>
      </c>
      <c r="X94" s="157">
        <f t="shared" si="35"/>
        <v>45371</v>
      </c>
      <c r="Y94" s="385">
        <f t="shared" si="36"/>
        <v>41.376808275131189</v>
      </c>
      <c r="Z94" s="385">
        <f t="shared" si="37"/>
        <v>43.350997315099427</v>
      </c>
      <c r="AA94" s="386">
        <f t="shared" si="38"/>
        <v>51.018430945979333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0.15028752332659037</v>
      </c>
      <c r="AD94" s="231">
        <f>(INDEX(Models!$BJ94:$BT94,,AH94)*(1-AF94)+INDEX(Models!$BJ94:$BT94,,AH94+1)*AF94-ERP_i)*AE94*Ramure*Pc/MaxiM</f>
        <v>1.1531849079202416E-3</v>
      </c>
      <c r="AE94" s="305">
        <f t="shared" si="40"/>
        <v>0.7</v>
      </c>
      <c r="AF94" s="177">
        <f t="shared" si="41"/>
        <v>1.6669701509742341E-2</v>
      </c>
      <c r="AG94" s="921">
        <f t="shared" si="49"/>
        <v>1</v>
      </c>
      <c r="AH94" s="176">
        <f t="shared" si="42"/>
        <v>7</v>
      </c>
      <c r="AI94" s="225">
        <f t="shared" si="43"/>
        <v>1.0166697015097423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37.759945990746111</v>
      </c>
      <c r="C95" s="955"/>
      <c r="D95" s="393">
        <f t="shared" si="25"/>
        <v>39.562432176026881</v>
      </c>
      <c r="E95" s="385">
        <f t="shared" si="47"/>
        <v>45.027518524018078</v>
      </c>
      <c r="F95" s="385">
        <f t="shared" si="26"/>
        <v>45.067694446482776</v>
      </c>
      <c r="G95" s="110">
        <f t="shared" si="48"/>
        <v>0.85626229721982439</v>
      </c>
      <c r="H95" s="414" t="b">
        <f>Wh_hp&gt;='2023'!Maxi_hp</f>
        <v>0</v>
      </c>
      <c r="I95" s="390">
        <f>IF(H95,Wh_hp,'2023'!Maxi_hp)</f>
        <v>52.117627843898426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4.5560550404507238E-2</v>
      </c>
      <c r="M95" s="959"/>
      <c r="N95" s="959"/>
      <c r="O95" s="48">
        <f>IF(t&lt;Tnet,'2023'!Resal+('2023'!Salim-'2023'!Resal)*(1-EXP(('2023'!Tnet-t)/('2023'!Tau_j))),Resal+(Salim-Resal)*(1-EXP((Tnet-t)/(Tau_j))))*Salcycl</f>
        <v>0.12137214146224985</v>
      </c>
      <c r="P95" s="169">
        <f>(INDEX(Models!$BJ95:$BT95,,T95)*(1-R95)+INDEX(Models!$BJ95:$BT95,,T95+1)*R95-ERP_i)*Q95*Ramure*Pc/MaxiM</f>
        <v>1.121411634801507E-3</v>
      </c>
      <c r="Q95" s="305">
        <f t="shared" si="28"/>
        <v>0.7</v>
      </c>
      <c r="R95" s="177">
        <f t="shared" si="29"/>
        <v>1.7370499070916923E-2</v>
      </c>
      <c r="S95" s="921">
        <f t="shared" si="30"/>
        <v>1</v>
      </c>
      <c r="T95" s="176">
        <f t="shared" si="31"/>
        <v>7</v>
      </c>
      <c r="U95" s="251">
        <f t="shared" si="32"/>
        <v>1.0173704990709169</v>
      </c>
      <c r="V95" s="383">
        <f t="shared" si="33"/>
        <v>44.088423956385959</v>
      </c>
      <c r="W95" s="402">
        <f t="shared" si="34"/>
        <v>37.759945990746111</v>
      </c>
      <c r="X95" s="157">
        <f t="shared" si="35"/>
        <v>45372</v>
      </c>
      <c r="Y95" s="385">
        <f t="shared" si="36"/>
        <v>36.516505492794131</v>
      </c>
      <c r="Z95" s="385">
        <f t="shared" si="37"/>
        <v>38.259635546571793</v>
      </c>
      <c r="AA95" s="386">
        <f t="shared" si="38"/>
        <v>45.027518524018078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0.15030548427482715</v>
      </c>
      <c r="AD95" s="231">
        <f>(INDEX(Models!$BJ95:$BT95,,AH95)*(1-AF95)+INDEX(Models!$BJ95:$BT95,,AH95+1)*AF95-ERP_i)*AE95*Ramure*Pc/MaxiM</f>
        <v>1.121411634801507E-3</v>
      </c>
      <c r="AE95" s="305">
        <f t="shared" si="40"/>
        <v>0.7</v>
      </c>
      <c r="AF95" s="177">
        <f t="shared" si="41"/>
        <v>1.7370499070916923E-2</v>
      </c>
      <c r="AG95" s="921">
        <f t="shared" si="49"/>
        <v>1</v>
      </c>
      <c r="AH95" s="176">
        <f t="shared" si="42"/>
        <v>7</v>
      </c>
      <c r="AI95" s="225">
        <f t="shared" si="43"/>
        <v>1.0173704990709169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44.467088676715335</v>
      </c>
      <c r="C96" s="955"/>
      <c r="D96" s="393">
        <f t="shared" si="25"/>
        <v>46.590763468816967</v>
      </c>
      <c r="E96" s="385">
        <f t="shared" si="47"/>
        <v>53.029347431740867</v>
      </c>
      <c r="F96" s="385">
        <f t="shared" si="26"/>
        <v>53.087253194145489</v>
      </c>
      <c r="G96" s="110">
        <f t="shared" si="48"/>
        <v>1.0034534301766032</v>
      </c>
      <c r="H96" s="414" t="b">
        <f>Wh_hp&gt;='2023'!Maxi_hp</f>
        <v>1</v>
      </c>
      <c r="I96" s="390">
        <f>IF(H96,Wh_hp,'2023'!Maxi_hp)</f>
        <v>53.087253194145489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4.5581455077957633E-2</v>
      </c>
      <c r="M96" s="959"/>
      <c r="N96" s="959"/>
      <c r="O96" s="48">
        <f>IF(t&lt;Tnet,'2023'!Resal+('2023'!Salim-'2023'!Resal)*(1-EXP(('2023'!Tnet-t)/('2023'!Tau_j))),Resal+(Salim-Resal)*(1-EXP((Tnet-t)/(Tau_j))))*Salcycl</f>
        <v>0.12141548547644519</v>
      </c>
      <c r="P96" s="169">
        <f>(INDEX(Models!$BJ96:$BT96,,T96)*(1-R96)+INDEX(Models!$BJ96:$BT96,,T96+1)*R96-ERP_i)*Q96*Ramure*Pc/MaxiM</f>
        <v>1.0907658415261314E-3</v>
      </c>
      <c r="Q96" s="305">
        <f t="shared" si="28"/>
        <v>0.7</v>
      </c>
      <c r="R96" s="177">
        <f t="shared" si="29"/>
        <v>1.8098538773211548E-2</v>
      </c>
      <c r="S96" s="921">
        <f t="shared" si="30"/>
        <v>1</v>
      </c>
      <c r="T96" s="176">
        <f t="shared" si="31"/>
        <v>7</v>
      </c>
      <c r="U96" s="251">
        <f t="shared" si="32"/>
        <v>1.0180985387732115</v>
      </c>
      <c r="V96" s="383">
        <f t="shared" si="33"/>
        <v>44.314053188187657</v>
      </c>
      <c r="W96" s="402">
        <f t="shared" si="34"/>
        <v>44.467088676715335</v>
      </c>
      <c r="X96" s="157">
        <f t="shared" si="35"/>
        <v>45373</v>
      </c>
      <c r="Y96" s="385">
        <f t="shared" si="36"/>
        <v>43.003949718955958</v>
      </c>
      <c r="Z96" s="385">
        <f t="shared" si="37"/>
        <v>45.057747408364278</v>
      </c>
      <c r="AA96" s="386">
        <f t="shared" si="38"/>
        <v>53.029347431740867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0.15032430926361287</v>
      </c>
      <c r="AD96" s="231">
        <f>(INDEX(Models!$BJ96:$BT96,,AH96)*(1-AF96)+INDEX(Models!$BJ96:$BT96,,AH96+1)*AF96-ERP_i)*AE96*Ramure*Pc/MaxiM</f>
        <v>1.0907658415261314E-3</v>
      </c>
      <c r="AE96" s="305">
        <f t="shared" si="40"/>
        <v>0.7</v>
      </c>
      <c r="AF96" s="177">
        <f t="shared" si="41"/>
        <v>1.8098538773211548E-2</v>
      </c>
      <c r="AG96" s="921">
        <f t="shared" si="49"/>
        <v>1</v>
      </c>
      <c r="AH96" s="176">
        <f t="shared" si="42"/>
        <v>7</v>
      </c>
      <c r="AI96" s="225">
        <f t="shared" si="43"/>
        <v>1.0180985387732115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41.857010039716194</v>
      </c>
      <c r="C97" s="955"/>
      <c r="D97" s="393">
        <f t="shared" si="25"/>
        <v>43.85699236298727</v>
      </c>
      <c r="E97" s="385">
        <f t="shared" si="47"/>
        <v>49.920288219588556</v>
      </c>
      <c r="F97" s="385">
        <f t="shared" si="26"/>
        <v>49.968757865096357</v>
      </c>
      <c r="G97" s="110">
        <f t="shared" si="48"/>
        <v>0.93972973207617894</v>
      </c>
      <c r="H97" s="414" t="b">
        <f>Wh_hp&gt;='2023'!Maxi_hp</f>
        <v>0</v>
      </c>
      <c r="I97" s="390">
        <f>IF(H97,Wh_hp,'2023'!Maxi_hp)</f>
        <v>52.635831121779191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4.5602359293542061E-2</v>
      </c>
      <c r="M97" s="959"/>
      <c r="N97" s="959"/>
      <c r="O97" s="48">
        <f>IF(t&lt;Tnet,'2023'!Resal+('2023'!Salim-'2023'!Resal)*(1-EXP(('2023'!Tnet-t)/('2023'!Tau_j))),Resal+(Salim-Resal)*(1-EXP((Tnet-t)/(Tau_j))))*Salcycl</f>
        <v>0.12145955227522237</v>
      </c>
      <c r="P97" s="169">
        <f>(INDEX(Models!$BJ97:$BT97,,T97)*(1-R97)+INDEX(Models!$BJ97:$BT97,,T97+1)*R97-ERP_i)*Q97*Ramure*Pc/MaxiM</f>
        <v>1.0612422387532173E-3</v>
      </c>
      <c r="Q97" s="305">
        <f t="shared" si="28"/>
        <v>0.7</v>
      </c>
      <c r="R97" s="177">
        <f t="shared" si="29"/>
        <v>1.8854789225771329E-2</v>
      </c>
      <c r="S97" s="921">
        <f t="shared" si="30"/>
        <v>1</v>
      </c>
      <c r="T97" s="176">
        <f t="shared" si="31"/>
        <v>7</v>
      </c>
      <c r="U97" s="251">
        <f t="shared" si="32"/>
        <v>1.0188547892257713</v>
      </c>
      <c r="V97" s="383">
        <f t="shared" si="33"/>
        <v>44.537472566917671</v>
      </c>
      <c r="W97" s="402">
        <f t="shared" si="34"/>
        <v>41.857010039716194</v>
      </c>
      <c r="X97" s="157">
        <f t="shared" si="35"/>
        <v>45374</v>
      </c>
      <c r="Y97" s="385">
        <f t="shared" si="36"/>
        <v>40.480842360379633</v>
      </c>
      <c r="Z97" s="385">
        <f t="shared" si="37"/>
        <v>42.415069603918099</v>
      </c>
      <c r="AA97" s="386">
        <f t="shared" si="38"/>
        <v>49.920288219588556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0.1503440561612269</v>
      </c>
      <c r="AD97" s="231">
        <f>(INDEX(Models!$BJ97:$BT97,,AH97)*(1-AF97)+INDEX(Models!$BJ97:$BT97,,AH97+1)*AF97-ERP_i)*AE97*Ramure*Pc/MaxiM</f>
        <v>1.0612422387532173E-3</v>
      </c>
      <c r="AE97" s="305">
        <f t="shared" si="40"/>
        <v>0.7</v>
      </c>
      <c r="AF97" s="177">
        <f t="shared" si="41"/>
        <v>1.8854789225771329E-2</v>
      </c>
      <c r="AG97" s="921">
        <f t="shared" si="49"/>
        <v>1</v>
      </c>
      <c r="AH97" s="176">
        <f t="shared" si="42"/>
        <v>7</v>
      </c>
      <c r="AI97" s="225">
        <f t="shared" si="43"/>
        <v>1.0188547892257713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38.107769142260558</v>
      </c>
      <c r="C98" s="955"/>
      <c r="D98" s="393">
        <f t="shared" si="25"/>
        <v>39.929482422314912</v>
      </c>
      <c r="E98" s="385">
        <f t="shared" si="47"/>
        <v>45.452113743627486</v>
      </c>
      <c r="F98" s="385">
        <f t="shared" si="26"/>
        <v>45.489123850739936</v>
      </c>
      <c r="G98" s="110">
        <f t="shared" si="48"/>
        <v>0.85123033765044154</v>
      </c>
      <c r="H98" s="414" t="b">
        <f>Wh_hp&gt;='2023'!Maxi_hp</f>
        <v>0</v>
      </c>
      <c r="I98" s="390">
        <f>IF(H98,Wh_hp,'2023'!Maxi_hp)</f>
        <v>47.578792902284313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4.5623263051270513E-2</v>
      </c>
      <c r="M98" s="959"/>
      <c r="N98" s="959"/>
      <c r="O98" s="48">
        <f>IF(t&lt;Tnet,'2023'!Resal+('2023'!Salim-'2023'!Resal)*(1-EXP(('2023'!Tnet-t)/('2023'!Tau_j))),Resal+(Salim-Resal)*(1-EXP((Tnet-t)/(Tau_j))))*Salcycl</f>
        <v>0.12150438926697585</v>
      </c>
      <c r="P98" s="169">
        <f>(INDEX(Models!$BJ98:$BT98,,T98)*(1-R98)+INDEX(Models!$BJ98:$BT98,,T98+1)*R98-ERP_i)*Q98*Ramure*Pc/MaxiM</f>
        <v>1.0328340414224842E-3</v>
      </c>
      <c r="Q98" s="305">
        <f t="shared" si="28"/>
        <v>0.7</v>
      </c>
      <c r="R98" s="177">
        <f t="shared" si="29"/>
        <v>1.9640246061018551E-2</v>
      </c>
      <c r="S98" s="921">
        <f t="shared" si="30"/>
        <v>1</v>
      </c>
      <c r="T98" s="176">
        <f t="shared" si="31"/>
        <v>7</v>
      </c>
      <c r="U98" s="251">
        <f t="shared" si="32"/>
        <v>1.0196402460610186</v>
      </c>
      <c r="V98" s="383">
        <f t="shared" si="33"/>
        <v>44.758047575150222</v>
      </c>
      <c r="W98" s="402">
        <f t="shared" si="34"/>
        <v>38.107769142260558</v>
      </c>
      <c r="X98" s="157">
        <f t="shared" si="35"/>
        <v>45375</v>
      </c>
      <c r="Y98" s="385">
        <f t="shared" si="36"/>
        <v>36.855850285592282</v>
      </c>
      <c r="Z98" s="385">
        <f t="shared" si="37"/>
        <v>38.617716525054227</v>
      </c>
      <c r="AA98" s="386">
        <f t="shared" si="38"/>
        <v>45.452113743627486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0.15036478296966904</v>
      </c>
      <c r="AD98" s="231">
        <f>(INDEX(Models!$BJ98:$BT98,,AH98)*(1-AF98)+INDEX(Models!$BJ98:$BT98,,AH98+1)*AF98-ERP_i)*AE98*Ramure*Pc/MaxiM</f>
        <v>1.0328340414224842E-3</v>
      </c>
      <c r="AE98" s="305">
        <f t="shared" si="40"/>
        <v>0.7</v>
      </c>
      <c r="AF98" s="177">
        <f t="shared" si="41"/>
        <v>1.9640246061018551E-2</v>
      </c>
      <c r="AG98" s="921">
        <f t="shared" si="49"/>
        <v>1</v>
      </c>
      <c r="AH98" s="176">
        <f t="shared" si="42"/>
        <v>7</v>
      </c>
      <c r="AI98" s="225">
        <f t="shared" si="43"/>
        <v>1.0196402460610186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41.395436281244642</v>
      </c>
      <c r="C99" s="955"/>
      <c r="D99" s="393">
        <f t="shared" si="25"/>
        <v>43.375264049023457</v>
      </c>
      <c r="E99" s="385">
        <f t="shared" si="47"/>
        <v>49.377046178388213</v>
      </c>
      <c r="F99" s="385">
        <f t="shared" si="26"/>
        <v>49.421090239600723</v>
      </c>
      <c r="G99" s="110">
        <f t="shared" si="48"/>
        <v>0.92030165170412814</v>
      </c>
      <c r="H99" s="414" t="b">
        <f>Wh_hp&gt;='2023'!Maxi_hp</f>
        <v>0</v>
      </c>
      <c r="I99" s="390">
        <f>IF(H99,Wh_hp,'2023'!Maxi_hp)</f>
        <v>56.081839676566283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4.5644166351152982E-2</v>
      </c>
      <c r="M99" s="959"/>
      <c r="N99" s="959"/>
      <c r="O99" s="48">
        <f>IF(t&lt;Tnet,'2023'!Resal+('2023'!Salim-'2023'!Resal)*(1-EXP(('2023'!Tnet-t)/('2023'!Tau_j))),Resal+(Salim-Resal)*(1-EXP((Tnet-t)/(Tau_j))))*Salcycl</f>
        <v>0.1215500438742662</v>
      </c>
      <c r="P99" s="169">
        <f>(INDEX(Models!$BJ99:$BT99,,T99)*(1-R99)+INDEX(Models!$BJ99:$BT99,,T99+1)*R99-ERP_i)*Q99*Ramure*Pc/MaxiM</f>
        <v>1.0055331695810908E-3</v>
      </c>
      <c r="Q99" s="305">
        <f t="shared" si="28"/>
        <v>0.7</v>
      </c>
      <c r="R99" s="177">
        <f t="shared" si="29"/>
        <v>2.0455932062422244E-2</v>
      </c>
      <c r="S99" s="921">
        <f t="shared" si="30"/>
        <v>1</v>
      </c>
      <c r="T99" s="176">
        <f t="shared" si="31"/>
        <v>7</v>
      </c>
      <c r="U99" s="251">
        <f t="shared" si="32"/>
        <v>1.0204559320624222</v>
      </c>
      <c r="V99" s="383">
        <f t="shared" si="33"/>
        <v>44.975143855701155</v>
      </c>
      <c r="W99" s="402">
        <f t="shared" si="34"/>
        <v>41.395436281244642</v>
      </c>
      <c r="X99" s="157">
        <f t="shared" si="35"/>
        <v>45376</v>
      </c>
      <c r="Y99" s="385">
        <f t="shared" si="36"/>
        <v>40.036565868016488</v>
      </c>
      <c r="Z99" s="385">
        <f t="shared" si="37"/>
        <v>41.951402670157357</v>
      </c>
      <c r="AA99" s="386">
        <f t="shared" si="38"/>
        <v>49.377046178388213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0.1503865476562464</v>
      </c>
      <c r="AD99" s="231">
        <f>(INDEX(Models!$BJ99:$BT99,,AH99)*(1-AF99)+INDEX(Models!$BJ99:$BT99,,AH99+1)*AF99-ERP_i)*AE99*Ramure*Pc/MaxiM</f>
        <v>1.0055331695810908E-3</v>
      </c>
      <c r="AE99" s="305">
        <f t="shared" si="40"/>
        <v>0.7</v>
      </c>
      <c r="AF99" s="177">
        <f t="shared" si="41"/>
        <v>2.0455932062422244E-2</v>
      </c>
      <c r="AG99" s="921">
        <f t="shared" si="49"/>
        <v>1</v>
      </c>
      <c r="AH99" s="176">
        <f t="shared" si="42"/>
        <v>7</v>
      </c>
      <c r="AI99" s="225">
        <f t="shared" si="43"/>
        <v>1.0204559320624222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42.078864869434632</v>
      </c>
      <c r="C100" s="955"/>
      <c r="D100" s="393">
        <f t="shared" si="25"/>
        <v>44.092344847799829</v>
      </c>
      <c r="E100" s="385">
        <f t="shared" si="47"/>
        <v>50.196006767194284</v>
      </c>
      <c r="F100" s="385">
        <f t="shared" si="26"/>
        <v>50.240392279037835</v>
      </c>
      <c r="G100" s="110">
        <f t="shared" si="48"/>
        <v>0.93110358591088271</v>
      </c>
      <c r="H100" s="414" t="b">
        <f>Wh_hp&gt;='2023'!Maxi_hp</f>
        <v>0</v>
      </c>
      <c r="I100" s="390">
        <f>IF(H100,Wh_hp,'2023'!Maxi_hp)</f>
        <v>55.275486537639232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4.566506919319957E-2</v>
      </c>
      <c r="M100" s="959"/>
      <c r="N100" s="959"/>
      <c r="O100" s="48">
        <f>IF(t&lt;Tnet,'2023'!Resal+('2023'!Salim-'2023'!Resal)*(1-EXP(('2023'!Tnet-t)/('2023'!Tau_j))),Resal+(Salim-Resal)*(1-EXP((Tnet-t)/(Tau_j))))*Salcycl</f>
        <v>0.12159656340200184</v>
      </c>
      <c r="P100" s="169">
        <f>(INDEX(Models!$BJ100:$BT100,,T100)*(1-R100)+INDEX(Models!$BJ100:$BT100,,T100+1)*R100-ERP_i)*Q100*Ramure*Pc/MaxiM</f>
        <v>9.7976932723584662E-4</v>
      </c>
      <c r="Q100" s="305">
        <f t="shared" si="28"/>
        <v>0.7</v>
      </c>
      <c r="R100" s="177">
        <f t="shared" si="29"/>
        <v>2.1302897230386808E-2</v>
      </c>
      <c r="S100" s="921">
        <f t="shared" si="30"/>
        <v>1</v>
      </c>
      <c r="T100" s="176">
        <f t="shared" si="31"/>
        <v>7</v>
      </c>
      <c r="U100" s="251">
        <f t="shared" si="32"/>
        <v>1.0213028972303868</v>
      </c>
      <c r="V100" s="383">
        <f t="shared" si="33"/>
        <v>45.188107369064674</v>
      </c>
      <c r="W100" s="402">
        <f t="shared" si="34"/>
        <v>42.078864869434632</v>
      </c>
      <c r="X100" s="157">
        <f t="shared" si="35"/>
        <v>45377</v>
      </c>
      <c r="Y100" s="385">
        <f t="shared" si="36"/>
        <v>40.698620048618281</v>
      </c>
      <c r="Z100" s="385">
        <f t="shared" si="37"/>
        <v>42.646055105843629</v>
      </c>
      <c r="AA100" s="386">
        <f t="shared" si="38"/>
        <v>50.196006767194284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0.15040940799069596</v>
      </c>
      <c r="AD100" s="231">
        <f>(INDEX(Models!$BJ100:$BT100,,AH100)*(1-AF100)+INDEX(Models!$BJ100:$BT100,,AH100+1)*AF100-ERP_i)*AE100*Ramure*Pc/MaxiM</f>
        <v>9.7976932723584662E-4</v>
      </c>
      <c r="AE100" s="305">
        <f t="shared" si="40"/>
        <v>0.7</v>
      </c>
      <c r="AF100" s="177">
        <f t="shared" si="41"/>
        <v>2.1302897230386808E-2</v>
      </c>
      <c r="AG100" s="921">
        <f t="shared" si="49"/>
        <v>1</v>
      </c>
      <c r="AH100" s="176">
        <f t="shared" si="42"/>
        <v>7</v>
      </c>
      <c r="AI100" s="225">
        <f t="shared" si="43"/>
        <v>1.0213028972303868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32.284263416958822</v>
      </c>
      <c r="C101" s="955"/>
      <c r="D101" s="393">
        <f t="shared" si="25"/>
        <v>33.829811210386012</v>
      </c>
      <c r="E101" s="385">
        <f t="shared" si="47"/>
        <v>38.51491993492035</v>
      </c>
      <c r="F101" s="385">
        <f t="shared" si="26"/>
        <v>38.536537004779156</v>
      </c>
      <c r="G101" s="110">
        <f t="shared" si="48"/>
        <v>0.71088425120208409</v>
      </c>
      <c r="H101" s="414" t="b">
        <f>Wh_hp&gt;='2023'!Maxi_hp</f>
        <v>0</v>
      </c>
      <c r="I101" s="390">
        <f>IF(H101,Wh_hp,'2023'!Maxi_hp)</f>
        <v>54.062253279945516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4.568597157742027E-2</v>
      </c>
      <c r="M101" s="959"/>
      <c r="N101" s="959"/>
      <c r="O101" s="48">
        <f>IF(t&lt;Tnet,'2023'!Resal+('2023'!Salim-'2023'!Resal)*(1-EXP(('2023'!Tnet-t)/('2023'!Tau_j))),Resal+(Salim-Resal)*(1-EXP((Tnet-t)/(Tau_j))))*Salcycl</f>
        <v>0.12164399491030718</v>
      </c>
      <c r="P101" s="169">
        <f>(INDEX(Models!$BJ101:$BT101,,T101)*(1-R101)+INDEX(Models!$BJ101:$BT101,,T101+1)*R101-ERP_i)*Q101*Ramure*Pc/MaxiM</f>
        <v>9.5500669082412186E-4</v>
      </c>
      <c r="Q101" s="305">
        <f t="shared" si="28"/>
        <v>0.7</v>
      </c>
      <c r="R101" s="177">
        <f t="shared" si="29"/>
        <v>2.2182218780051111E-2</v>
      </c>
      <c r="S101" s="921">
        <f t="shared" si="30"/>
        <v>1</v>
      </c>
      <c r="T101" s="176">
        <f t="shared" si="31"/>
        <v>7</v>
      </c>
      <c r="U101" s="251">
        <f t="shared" si="32"/>
        <v>1.0221822187800511</v>
      </c>
      <c r="V101" s="383">
        <f t="shared" si="33"/>
        <v>45.39632773068746</v>
      </c>
      <c r="W101" s="402">
        <f t="shared" si="34"/>
        <v>32.284263416958822</v>
      </c>
      <c r="X101" s="157">
        <f t="shared" si="35"/>
        <v>45378</v>
      </c>
      <c r="Y101" s="385">
        <f t="shared" si="36"/>
        <v>31.226098592384474</v>
      </c>
      <c r="Z101" s="385">
        <f t="shared" si="37"/>
        <v>32.720988754612804</v>
      </c>
      <c r="AA101" s="386">
        <f t="shared" si="38"/>
        <v>38.51491993492035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0.15043342138832697</v>
      </c>
      <c r="AD101" s="231">
        <f>(INDEX(Models!$BJ101:$BT101,,AH101)*(1-AF101)+INDEX(Models!$BJ101:$BT101,,AH101+1)*AF101-ERP_i)*AE101*Ramure*Pc/MaxiM</f>
        <v>9.5500669082412186E-4</v>
      </c>
      <c r="AE101" s="305">
        <f t="shared" si="40"/>
        <v>0.7</v>
      </c>
      <c r="AF101" s="177">
        <f t="shared" si="41"/>
        <v>2.2182218780051111E-2</v>
      </c>
      <c r="AG101" s="921">
        <f t="shared" si="49"/>
        <v>1</v>
      </c>
      <c r="AH101" s="176">
        <f t="shared" si="42"/>
        <v>7</v>
      </c>
      <c r="AI101" s="225">
        <f t="shared" si="43"/>
        <v>1.0221822187800511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25.444460077746225</v>
      </c>
      <c r="C102" s="955"/>
      <c r="D102" s="393">
        <f t="shared" si="25"/>
        <v>26.66314926857876</v>
      </c>
      <c r="E102" s="385">
        <f t="shared" si="47"/>
        <v>30.357415575159969</v>
      </c>
      <c r="F102" s="385">
        <f t="shared" si="26"/>
        <v>30.367838746731135</v>
      </c>
      <c r="G102" s="110">
        <f t="shared" si="48"/>
        <v>0.55767446713778424</v>
      </c>
      <c r="H102" s="414" t="b">
        <f>Wh_hp&gt;='2023'!Maxi_hp</f>
        <v>0</v>
      </c>
      <c r="I102" s="390">
        <f>IF(H102,Wh_hp,'2023'!Maxi_hp)</f>
        <v>54.934926813744624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4.5706873503825074E-2</v>
      </c>
      <c r="M102" s="959"/>
      <c r="N102" s="959"/>
      <c r="O102" s="48">
        <f>IF(t&lt;Tnet,'2023'!Resal+('2023'!Salim-'2023'!Resal)*(1-EXP(('2023'!Tnet-t)/('2023'!Tau_j))),Resal+(Salim-Resal)*(1-EXP((Tnet-t)/(Tau_j))))*Salcycl</f>
        <v>0.12169238509236111</v>
      </c>
      <c r="P102" s="169">
        <f>(INDEX(Models!$BJ102:$BT102,,T102)*(1-R102)+INDEX(Models!$BJ102:$BT102,,T102+1)*R102-ERP_i)*Q102*Ramure*Pc/MaxiM</f>
        <v>9.3123611527624374E-4</v>
      </c>
      <c r="Q102" s="305">
        <f t="shared" si="28"/>
        <v>0.7</v>
      </c>
      <c r="R102" s="177">
        <f t="shared" si="29"/>
        <v>2.3095001064437515E-2</v>
      </c>
      <c r="S102" s="921">
        <f t="shared" si="30"/>
        <v>1</v>
      </c>
      <c r="T102" s="176">
        <f t="shared" si="31"/>
        <v>7</v>
      </c>
      <c r="U102" s="251">
        <f t="shared" si="32"/>
        <v>1.0230950010644375</v>
      </c>
      <c r="V102" s="383">
        <f t="shared" si="33"/>
        <v>45.599171122981716</v>
      </c>
      <c r="W102" s="402">
        <f t="shared" si="34"/>
        <v>25.444460077746225</v>
      </c>
      <c r="X102" s="157">
        <f t="shared" si="35"/>
        <v>45379</v>
      </c>
      <c r="Y102" s="385">
        <f t="shared" si="36"/>
        <v>24.611105187883187</v>
      </c>
      <c r="Z102" s="385">
        <f t="shared" si="37"/>
        <v>25.789879969319713</v>
      </c>
      <c r="AA102" s="386">
        <f t="shared" si="38"/>
        <v>30.357415575159969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0.15045864475952458</v>
      </c>
      <c r="AD102" s="231">
        <f>(INDEX(Models!$BJ102:$BT102,,AH102)*(1-AF102)+INDEX(Models!$BJ102:$BT102,,AH102+1)*AF102-ERP_i)*AE102*Ramure*Pc/MaxiM</f>
        <v>9.3123611527624374E-4</v>
      </c>
      <c r="AE102" s="305">
        <f t="shared" si="40"/>
        <v>0.7</v>
      </c>
      <c r="AF102" s="177">
        <f t="shared" si="41"/>
        <v>2.3095001064437515E-2</v>
      </c>
      <c r="AG102" s="921">
        <f t="shared" si="49"/>
        <v>1</v>
      </c>
      <c r="AH102" s="176">
        <f t="shared" si="42"/>
        <v>7</v>
      </c>
      <c r="AI102" s="225">
        <f t="shared" si="43"/>
        <v>1.0230950010644375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6.6423089181829971</v>
      </c>
      <c r="C103" s="955"/>
      <c r="D103" s="393">
        <f t="shared" si="25"/>
        <v>6.9606017486163889</v>
      </c>
      <c r="E103" s="385">
        <f t="shared" si="47"/>
        <v>7.9254615457668667</v>
      </c>
      <c r="F103" s="385">
        <f t="shared" si="26"/>
        <v>7.9254615457668667</v>
      </c>
      <c r="G103" s="110">
        <f t="shared" si="48"/>
        <v>0.14490947146942204</v>
      </c>
      <c r="H103" s="414" t="b">
        <f>Wh_hp&gt;='2023'!Maxi_hp</f>
        <v>0</v>
      </c>
      <c r="I103" s="390">
        <f>IF(H103,Wh_hp,'2023'!Maxi_hp)</f>
        <v>56.1503147173473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4.5727774972424085E-2</v>
      </c>
      <c r="M103" s="959"/>
      <c r="N103" s="959"/>
      <c r="O103" s="48">
        <f>IF(t&lt;Tnet,'2023'!Resal+('2023'!Salim-'2023'!Resal)*(1-EXP(('2023'!Tnet-t)/('2023'!Tau_j))),Resal+(Salim-Resal)*(1-EXP((Tnet-t)/(Tau_j))))*Salcycl</f>
        <v>0.12174178015737482</v>
      </c>
      <c r="P103" s="169">
        <f>(INDEX(Models!$BJ103:$BT103,,T103)*(1-R103)+INDEX(Models!$BJ103:$BT103,,T103+1)*R103-ERP_i)*Q103*Ramure*Pc/MaxiM</f>
        <v>9.0844781803676165E-4</v>
      </c>
      <c r="Q103" s="305">
        <f t="shared" si="28"/>
        <v>0.7</v>
      </c>
      <c r="R103" s="177">
        <f t="shared" si="29"/>
        <v>2.4042375416055695E-2</v>
      </c>
      <c r="S103" s="921">
        <f t="shared" si="30"/>
        <v>1</v>
      </c>
      <c r="T103" s="176">
        <f t="shared" si="31"/>
        <v>7</v>
      </c>
      <c r="U103" s="251">
        <f t="shared" si="32"/>
        <v>1.0240423754160557</v>
      </c>
      <c r="V103" s="383">
        <f t="shared" si="33"/>
        <v>45.796003945400457</v>
      </c>
      <c r="W103" s="402">
        <f t="shared" si="34"/>
        <v>6.6423089181829971</v>
      </c>
      <c r="X103" s="157">
        <f t="shared" si="35"/>
        <v>45380</v>
      </c>
      <c r="Y103" s="385">
        <f t="shared" si="36"/>
        <v>6.424921555692495</v>
      </c>
      <c r="Z103" s="385">
        <f t="shared" si="37"/>
        <v>6.7327974001410675</v>
      </c>
      <c r="AA103" s="386">
        <f t="shared" si="38"/>
        <v>7.9254615457668667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0.1504851343658116</v>
      </c>
      <c r="AD103" s="231">
        <f>(INDEX(Models!$BJ103:$BT103,,AH103)*(1-AF103)+INDEX(Models!$BJ103:$BT103,,AH103+1)*AF103-ERP_i)*AE103*Ramure*Pc/MaxiM</f>
        <v>9.0844781803676165E-4</v>
      </c>
      <c r="AE103" s="305">
        <f t="shared" si="40"/>
        <v>0.7</v>
      </c>
      <c r="AF103" s="177">
        <f t="shared" si="41"/>
        <v>2.4042375416055695E-2</v>
      </c>
      <c r="AG103" s="921">
        <f t="shared" si="49"/>
        <v>1</v>
      </c>
      <c r="AH103" s="176">
        <f t="shared" si="42"/>
        <v>7</v>
      </c>
      <c r="AI103" s="225">
        <f t="shared" si="43"/>
        <v>1.0240423754160557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19.773129809015991</v>
      </c>
      <c r="C104" s="955"/>
      <c r="D104" s="393">
        <f t="shared" si="25"/>
        <v>20.721092348904556</v>
      </c>
      <c r="E104" s="385">
        <f t="shared" si="47"/>
        <v>23.594749392720423</v>
      </c>
      <c r="F104" s="385">
        <f t="shared" si="26"/>
        <v>23.598634540727193</v>
      </c>
      <c r="G104" s="110">
        <f t="shared" si="48"/>
        <v>0.4296692137753414</v>
      </c>
      <c r="H104" s="414" t="b">
        <f>Wh_hp&gt;='2023'!Maxi_hp</f>
        <v>0</v>
      </c>
      <c r="I104" s="390">
        <f>IF(H104,Wh_hp,'2023'!Maxi_hp)</f>
        <v>49.506417533337903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4.5748675983227294E-2</v>
      </c>
      <c r="M104" s="959"/>
      <c r="N104" s="959"/>
      <c r="O104" s="48">
        <f>IF(t&lt;Tnet,'2023'!Resal+('2023'!Salim-'2023'!Resal)*(1-EXP(('2023'!Tnet-t)/('2023'!Tau_j))),Resal+(Salim-Resal)*(1-EXP((Tnet-t)/(Tau_j))))*Salcycl</f>
        <v>0.12179222571876372</v>
      </c>
      <c r="P104" s="169">
        <f>(INDEX(Models!$BJ104:$BT104,,T104)*(1-R104)+INDEX(Models!$BJ104:$BT104,,T104+1)*R104-ERP_i)*Q104*Ramure*Pc/MaxiM</f>
        <v>8.8663153361494729E-4</v>
      </c>
      <c r="Q104" s="305">
        <f t="shared" si="28"/>
        <v>0.7</v>
      </c>
      <c r="R104" s="177">
        <f t="shared" si="29"/>
        <v>2.5025499899720138E-2</v>
      </c>
      <c r="S104" s="921">
        <f t="shared" si="30"/>
        <v>1</v>
      </c>
      <c r="T104" s="176">
        <f t="shared" si="31"/>
        <v>7</v>
      </c>
      <c r="U104" s="251">
        <f t="shared" si="32"/>
        <v>1.0250254998997201</v>
      </c>
      <c r="V104" s="383">
        <f t="shared" si="33"/>
        <v>45.986192825958746</v>
      </c>
      <c r="W104" s="402">
        <f t="shared" si="34"/>
        <v>19.773129809015991</v>
      </c>
      <c r="X104" s="157">
        <f t="shared" si="35"/>
        <v>45381</v>
      </c>
      <c r="Y104" s="385">
        <f t="shared" si="36"/>
        <v>19.126473584050718</v>
      </c>
      <c r="Z104" s="385">
        <f t="shared" si="37"/>
        <v>20.043434158981093</v>
      </c>
      <c r="AA104" s="386">
        <f t="shared" si="38"/>
        <v>23.594749392720423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0.15051294568252552</v>
      </c>
      <c r="AD104" s="231">
        <f>(INDEX(Models!$BJ104:$BT104,,AH104)*(1-AF104)+INDEX(Models!$BJ104:$BT104,,AH104+1)*AF104-ERP_i)*AE104*Ramure*Pc/MaxiM</f>
        <v>8.8663153361494729E-4</v>
      </c>
      <c r="AE104" s="305">
        <f t="shared" si="40"/>
        <v>0.7</v>
      </c>
      <c r="AF104" s="177">
        <f t="shared" si="41"/>
        <v>2.5025499899720138E-2</v>
      </c>
      <c r="AG104" s="921">
        <f t="shared" si="49"/>
        <v>1</v>
      </c>
      <c r="AH104" s="176">
        <f t="shared" si="42"/>
        <v>7</v>
      </c>
      <c r="AI104" s="225">
        <f t="shared" si="43"/>
        <v>1.0250254998997201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29.455278561848111</v>
      </c>
      <c r="C105" s="955"/>
      <c r="D105" s="393">
        <f t="shared" si="25"/>
        <v>30.86809835189343</v>
      </c>
      <c r="E105" s="385">
        <f t="shared" si="47"/>
        <v>35.15103256222892</v>
      </c>
      <c r="F105" s="385">
        <f t="shared" si="26"/>
        <v>35.165732897006407</v>
      </c>
      <c r="G105" s="110">
        <f t="shared" si="48"/>
        <v>0.63770100748707093</v>
      </c>
      <c r="H105" s="414" t="b">
        <f>Wh_hp&gt;='2023'!Maxi_hp</f>
        <v>0</v>
      </c>
      <c r="I105" s="390">
        <f>IF(H105,Wh_hp,'2023'!Maxi_hp)</f>
        <v>49.445909039564896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4.5769576536244805E-2</v>
      </c>
      <c r="M105" s="959"/>
      <c r="N105" s="959"/>
      <c r="O105" s="48">
        <f>IF(t&lt;Tnet,'2023'!Resal+('2023'!Salim-'2023'!Resal)*(1-EXP(('2023'!Tnet-t)/('2023'!Tau_j))),Resal+(Salim-Resal)*(1-EXP((Tnet-t)/(Tau_j))))*Salcycl</f>
        <v>0.1218437666874589</v>
      </c>
      <c r="P105" s="169">
        <f>(INDEX(Models!$BJ105:$BT105,,T105)*(1-R105)+INDEX(Models!$BJ105:$BT105,,T105+1)*R105-ERP_i)*Q105*Ramure*Pc/MaxiM</f>
        <v>8.6577666107009522E-4</v>
      </c>
      <c r="Q105" s="305">
        <f t="shared" si="28"/>
        <v>0.7</v>
      </c>
      <c r="R105" s="177">
        <f t="shared" si="29"/>
        <v>2.60455589690054E-2</v>
      </c>
      <c r="S105" s="921">
        <f t="shared" si="30"/>
        <v>1</v>
      </c>
      <c r="T105" s="176">
        <f t="shared" si="31"/>
        <v>7</v>
      </c>
      <c r="U105" s="251">
        <f t="shared" si="32"/>
        <v>1.0260455589690054</v>
      </c>
      <c r="V105" s="383">
        <f t="shared" si="33"/>
        <v>46.16910464457149</v>
      </c>
      <c r="W105" s="402">
        <f t="shared" si="34"/>
        <v>29.455278561848111</v>
      </c>
      <c r="X105" s="157">
        <f t="shared" si="35"/>
        <v>45382</v>
      </c>
      <c r="Y105" s="385">
        <f t="shared" si="36"/>
        <v>28.492672649786037</v>
      </c>
      <c r="Z105" s="385">
        <f t="shared" si="37"/>
        <v>29.85932113373692</v>
      </c>
      <c r="AA105" s="386">
        <f t="shared" si="38"/>
        <v>35.15103256222892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0.15054213326803204</v>
      </c>
      <c r="AD105" s="231">
        <f>(INDEX(Models!$BJ105:$BT105,,AH105)*(1-AF105)+INDEX(Models!$BJ105:$BT105,,AH105+1)*AF105-ERP_i)*AE105*Ramure*Pc/MaxiM</f>
        <v>8.6577666107009522E-4</v>
      </c>
      <c r="AE105" s="305">
        <f t="shared" si="40"/>
        <v>0.7</v>
      </c>
      <c r="AF105" s="177">
        <f t="shared" si="41"/>
        <v>2.60455589690054E-2</v>
      </c>
      <c r="AG105" s="921">
        <f t="shared" si="49"/>
        <v>1</v>
      </c>
      <c r="AH105" s="176">
        <f t="shared" si="42"/>
        <v>7</v>
      </c>
      <c r="AI105" s="225">
        <f t="shared" si="43"/>
        <v>1.0260455589690054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18.068744410626941</v>
      </c>
      <c r="C106" s="955"/>
      <c r="D106" s="393">
        <f t="shared" si="25"/>
        <v>18.935824856202817</v>
      </c>
      <c r="E106" s="385">
        <f t="shared" si="47"/>
        <v>21.564455348323886</v>
      </c>
      <c r="F106" s="385">
        <f t="shared" si="26"/>
        <v>21.566797777162229</v>
      </c>
      <c r="G106" s="110">
        <f t="shared" si="48"/>
        <v>0.38959477169228962</v>
      </c>
      <c r="H106" s="414" t="b">
        <f>Wh_hp&gt;='2023'!Maxi_hp</f>
        <v>0</v>
      </c>
      <c r="I106" s="390">
        <f>IF(H106,Wh_hp,'2023'!Maxi_hp)</f>
        <v>44.480418756560418</v>
      </c>
      <c r="J106" s="85">
        <f>IF(H106,An,'2023'!An_max)</f>
        <v>2020</v>
      </c>
      <c r="K106" s="197">
        <f t="shared" si="27"/>
        <v>45383</v>
      </c>
      <c r="L106" s="147">
        <f>IF(t&lt;Tvie,1-EXP((T0-t)*PertePVj)+'2023'!Pspv,1-EXP((T0-t)*PertePVj)+Pspv)</f>
        <v>4.5790476631486499E-2</v>
      </c>
      <c r="M106" s="959"/>
      <c r="N106" s="959"/>
      <c r="O106" s="48">
        <f>IF(t&lt;Tnet,'2023'!Resal+('2023'!Salim-'2023'!Resal)*(1-EXP(('2023'!Tnet-t)/('2023'!Tau_j))),Resal+(Salim-Resal)*(1-EXP((Tnet-t)/(Tau_j))))*Salcycl</f>
        <v>0.12189644717019854</v>
      </c>
      <c r="P106" s="169">
        <f>(INDEX(Models!$BJ106:$BT106,,T106)*(1-R106)+INDEX(Models!$BJ106:$BT106,,T106+1)*R106-ERP_i)*Q106*Ramure*Pc/MaxiM</f>
        <v>8.4587240514548943E-4</v>
      </c>
      <c r="Q106" s="305">
        <f t="shared" si="28"/>
        <v>0.7</v>
      </c>
      <c r="R106" s="177">
        <f t="shared" si="29"/>
        <v>2.7103763018444749E-2</v>
      </c>
      <c r="S106" s="921">
        <f t="shared" si="30"/>
        <v>1</v>
      </c>
      <c r="T106" s="176">
        <f t="shared" si="31"/>
        <v>7</v>
      </c>
      <c r="U106" s="251">
        <f t="shared" si="32"/>
        <v>1.0271037630184447</v>
      </c>
      <c r="V106" s="383">
        <f t="shared" si="33"/>
        <v>46.344106540712303</v>
      </c>
      <c r="W106" s="402">
        <f t="shared" si="34"/>
        <v>18.068744410626941</v>
      </c>
      <c r="X106" s="157">
        <f t="shared" si="35"/>
        <v>45383</v>
      </c>
      <c r="Y106" s="385">
        <f t="shared" si="36"/>
        <v>17.478671865817883</v>
      </c>
      <c r="Z106" s="385">
        <f t="shared" si="37"/>
        <v>18.317435990489127</v>
      </c>
      <c r="AA106" s="386">
        <f t="shared" si="38"/>
        <v>21.564455348323886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0.15057275063926603</v>
      </c>
      <c r="AD106" s="231">
        <f>(INDEX(Models!$BJ106:$BT106,,AH106)*(1-AF106)+INDEX(Models!$BJ106:$BT106,,AH106+1)*AF106-ERP_i)*AE106*Ramure*Pc/MaxiM</f>
        <v>8.4587240514548943E-4</v>
      </c>
      <c r="AE106" s="305">
        <f t="shared" si="40"/>
        <v>0.7</v>
      </c>
      <c r="AF106" s="177">
        <f t="shared" si="41"/>
        <v>2.7103763018444749E-2</v>
      </c>
      <c r="AG106" s="921">
        <f t="shared" si="49"/>
        <v>1</v>
      </c>
      <c r="AH106" s="176">
        <f t="shared" si="42"/>
        <v>7</v>
      </c>
      <c r="AI106" s="225">
        <f t="shared" si="43"/>
        <v>1.0271037630184447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23.076456521434135</v>
      </c>
      <c r="C107" s="955"/>
      <c r="D107" s="393">
        <f t="shared" si="25"/>
        <v>24.184376073570569</v>
      </c>
      <c r="E107" s="385">
        <f t="shared" si="47"/>
        <v>27.543288676329453</v>
      </c>
      <c r="F107" s="385">
        <f t="shared" si="26"/>
        <v>27.549672125780191</v>
      </c>
      <c r="G107" s="110">
        <f t="shared" si="48"/>
        <v>0.49585335579268791</v>
      </c>
      <c r="H107" s="414" t="b">
        <f>Wh_hp&gt;='2023'!Maxi_hp</f>
        <v>0</v>
      </c>
      <c r="I107" s="390">
        <f>IF(H107,Wh_hp,'2023'!Maxi_hp)</f>
        <v>52.947397962650761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4.5811376268962367E-2</v>
      </c>
      <c r="M107" s="959"/>
      <c r="N107" s="959"/>
      <c r="O107" s="48">
        <f>IF(t&lt;Tnet,'2023'!Resal+('2023'!Salim-'2023'!Resal)*(1-EXP(('2023'!Tnet-t)/('2023'!Tau_j))),Resal+(Salim-Resal)*(1-EXP((Tnet-t)/(Tau_j))))*Salcycl</f>
        <v>0.12195031037254159</v>
      </c>
      <c r="P107" s="169">
        <f>(INDEX(Models!$BJ107:$BT107,,T107)*(1-R107)+INDEX(Models!$BJ107:$BT107,,T107+1)*R107-ERP_i)*Q107*Ramure*Pc/MaxiM</f>
        <v>8.2689722565322196E-4</v>
      </c>
      <c r="Q107" s="305">
        <f t="shared" si="28"/>
        <v>0.7</v>
      </c>
      <c r="R107" s="177">
        <f t="shared" si="29"/>
        <v>2.8201347823258338E-2</v>
      </c>
      <c r="S107" s="921">
        <f t="shared" si="30"/>
        <v>1</v>
      </c>
      <c r="T107" s="176">
        <f t="shared" si="31"/>
        <v>7</v>
      </c>
      <c r="U107" s="251">
        <f t="shared" si="32"/>
        <v>1.0282013478232583</v>
      </c>
      <c r="V107" s="383">
        <f t="shared" si="33"/>
        <v>46.511167435706554</v>
      </c>
      <c r="W107" s="402">
        <f t="shared" si="34"/>
        <v>23.076456521434135</v>
      </c>
      <c r="X107" s="157">
        <f t="shared" si="35"/>
        <v>45384</v>
      </c>
      <c r="Y107" s="385">
        <f t="shared" si="36"/>
        <v>22.323372442932509</v>
      </c>
      <c r="Z107" s="385">
        <f t="shared" si="37"/>
        <v>23.395135812502538</v>
      </c>
      <c r="AA107" s="386">
        <f t="shared" si="38"/>
        <v>27.543288676329453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0.15060485015327224</v>
      </c>
      <c r="AD107" s="231">
        <f>(INDEX(Models!$BJ107:$BT107,,AH107)*(1-AF107)+INDEX(Models!$BJ107:$BT107,,AH107+1)*AF107-ERP_i)*AE107*Ramure*Pc/MaxiM</f>
        <v>8.2689722565322196E-4</v>
      </c>
      <c r="AE107" s="305">
        <f t="shared" si="40"/>
        <v>0.7</v>
      </c>
      <c r="AF107" s="177">
        <f t="shared" si="41"/>
        <v>2.8201347823258338E-2</v>
      </c>
      <c r="AG107" s="921">
        <f t="shared" si="49"/>
        <v>1</v>
      </c>
      <c r="AH107" s="176">
        <f t="shared" si="42"/>
        <v>7</v>
      </c>
      <c r="AI107" s="225">
        <f t="shared" si="43"/>
        <v>1.0282013478232583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40.47090293879085</v>
      </c>
      <c r="C108" s="955"/>
      <c r="D108" s="393">
        <f t="shared" si="25"/>
        <v>42.414873085150376</v>
      </c>
      <c r="E108" s="385">
        <f t="shared" si="47"/>
        <v>48.308808519994749</v>
      </c>
      <c r="F108" s="385">
        <f t="shared" si="26"/>
        <v>48.340532687042526</v>
      </c>
      <c r="G108" s="110">
        <f t="shared" si="48"/>
        <v>0.86702114566560973</v>
      </c>
      <c r="H108" s="414" t="b">
        <f>Wh_hp&gt;='2023'!Maxi_hp</f>
        <v>0</v>
      </c>
      <c r="I108" s="390">
        <f>IF(H108,Wh_hp,'2023'!Maxi_hp)</f>
        <v>55.741875297523443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4.5832275448682624E-2</v>
      </c>
      <c r="M108" s="959"/>
      <c r="N108" s="959"/>
      <c r="O108" s="48">
        <f>IF(t&lt;Tnet,'2023'!Resal+('2023'!Salim-'2023'!Resal)*(1-EXP(('2023'!Tnet-t)/('2023'!Tau_j))),Resal+(Salim-Resal)*(1-EXP((Tnet-t)/(Tau_j))))*Salcycl</f>
        <v>0.12200539850625593</v>
      </c>
      <c r="P108" s="169">
        <f>(INDEX(Models!$BJ108:$BT108,,T108)*(1-R108)+INDEX(Models!$BJ108:$BT108,,T108+1)*R108-ERP_i)*Q108*Ramure*Pc/MaxiM</f>
        <v>8.0998211754013995E-4</v>
      </c>
      <c r="Q108" s="305">
        <f t="shared" si="28"/>
        <v>0.7</v>
      </c>
      <c r="R108" s="177">
        <f t="shared" si="29"/>
        <v>2.9339573858110812E-2</v>
      </c>
      <c r="S108" s="921">
        <f t="shared" si="30"/>
        <v>1</v>
      </c>
      <c r="T108" s="176">
        <f t="shared" si="31"/>
        <v>7</v>
      </c>
      <c r="U108" s="251">
        <f t="shared" si="32"/>
        <v>1.0293395738581108</v>
      </c>
      <c r="V108" s="383">
        <f t="shared" si="33"/>
        <v>46.670923722965824</v>
      </c>
      <c r="W108" s="402">
        <f t="shared" si="34"/>
        <v>40.47090293879085</v>
      </c>
      <c r="X108" s="157">
        <f t="shared" si="35"/>
        <v>45385</v>
      </c>
      <c r="Y108" s="385">
        <f t="shared" si="36"/>
        <v>39.151069334876382</v>
      </c>
      <c r="Z108" s="385">
        <f t="shared" si="37"/>
        <v>41.031642894111272</v>
      </c>
      <c r="AA108" s="386">
        <f t="shared" si="38"/>
        <v>48.308808519994749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0.15063848289430487</v>
      </c>
      <c r="AD108" s="231">
        <f>(INDEX(Models!$BJ108:$BT108,,AH108)*(1-AF108)+INDEX(Models!$BJ108:$BT108,,AH108+1)*AF108-ERP_i)*AE108*Ramure*Pc/MaxiM</f>
        <v>8.0998211754013995E-4</v>
      </c>
      <c r="AE108" s="305">
        <f t="shared" si="40"/>
        <v>0.7</v>
      </c>
      <c r="AF108" s="177">
        <f t="shared" si="41"/>
        <v>2.9339573858110812E-2</v>
      </c>
      <c r="AG108" s="921">
        <f t="shared" si="49"/>
        <v>1</v>
      </c>
      <c r="AH108" s="176">
        <f t="shared" si="42"/>
        <v>7</v>
      </c>
      <c r="AI108" s="225">
        <f t="shared" si="43"/>
        <v>1.0293395738581108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46.641103931786631</v>
      </c>
      <c r="C109" s="955"/>
      <c r="D109" s="393">
        <f t="shared" si="25"/>
        <v>48.88252276188863</v>
      </c>
      <c r="E109" s="385">
        <f t="shared" si="47"/>
        <v>55.678771157604409</v>
      </c>
      <c r="F109" s="385">
        <f t="shared" si="26"/>
        <v>55.722820076666892</v>
      </c>
      <c r="G109" s="110">
        <f t="shared" si="48"/>
        <v>0.99609310618428559</v>
      </c>
      <c r="H109" s="414" t="b">
        <f>Wh_hp&gt;='2023'!Maxi_hp</f>
        <v>0</v>
      </c>
      <c r="I109" s="390">
        <f>IF(H109,Wh_hp,'2023'!Maxi_hp)</f>
        <v>58.256884739736201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4.5853174170657263E-2</v>
      </c>
      <c r="M109" s="959"/>
      <c r="N109" s="959"/>
      <c r="O109" s="48">
        <f>IF(t&lt;Tnet,'2023'!Resal+('2023'!Salim-'2023'!Resal)*(1-EXP(('2023'!Tnet-t)/('2023'!Tau_j))),Resal+(Salim-Resal)*(1-EXP((Tnet-t)/(Tau_j))))*Salcycl</f>
        <v>0.12206175270065335</v>
      </c>
      <c r="P109" s="169">
        <f>(INDEX(Models!$BJ109:$BT109,,T109)*(1-R109)+INDEX(Models!$BJ109:$BT109,,T109+1)*R109-ERP_i)*Q109*Ramure*Pc/MaxiM</f>
        <v>7.9493225459288273E-4</v>
      </c>
      <c r="Q109" s="305">
        <f t="shared" si="28"/>
        <v>0.7</v>
      </c>
      <c r="R109" s="177">
        <f t="shared" si="29"/>
        <v>3.0519725486129579E-2</v>
      </c>
      <c r="S109" s="921">
        <f t="shared" si="30"/>
        <v>1</v>
      </c>
      <c r="T109" s="176">
        <f t="shared" si="31"/>
        <v>7</v>
      </c>
      <c r="U109" s="251">
        <f t="shared" si="32"/>
        <v>1.0305197254861296</v>
      </c>
      <c r="V109" s="383">
        <f t="shared" si="33"/>
        <v>46.823832810786435</v>
      </c>
      <c r="W109" s="402">
        <f t="shared" si="34"/>
        <v>46.641103931786631</v>
      </c>
      <c r="X109" s="157">
        <f t="shared" si="35"/>
        <v>45386</v>
      </c>
      <c r="Y109" s="385">
        <f t="shared" si="36"/>
        <v>45.121073627948071</v>
      </c>
      <c r="Z109" s="385">
        <f t="shared" si="37"/>
        <v>47.289444775681055</v>
      </c>
      <c r="AA109" s="386">
        <f t="shared" si="38"/>
        <v>55.678771157604409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0.15067369856594923</v>
      </c>
      <c r="AD109" s="231">
        <f>(INDEX(Models!$BJ109:$BT109,,AH109)*(1-AF109)+INDEX(Models!$BJ109:$BT109,,AH109+1)*AF109-ERP_i)*AE109*Ramure*Pc/MaxiM</f>
        <v>7.9493225459288273E-4</v>
      </c>
      <c r="AE109" s="305">
        <f t="shared" si="40"/>
        <v>0.7</v>
      </c>
      <c r="AF109" s="177">
        <f t="shared" si="41"/>
        <v>3.0519725486129579E-2</v>
      </c>
      <c r="AG109" s="921">
        <f t="shared" si="49"/>
        <v>1</v>
      </c>
      <c r="AH109" s="176">
        <f t="shared" si="42"/>
        <v>7</v>
      </c>
      <c r="AI109" s="225">
        <f t="shared" si="43"/>
        <v>1.0305197254861296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10.954427673552631</v>
      </c>
      <c r="C110" s="955"/>
      <c r="D110" s="393">
        <f t="shared" si="25"/>
        <v>11.481113086935967</v>
      </c>
      <c r="E110" s="385">
        <f t="shared" si="47"/>
        <v>13.078217306399265</v>
      </c>
      <c r="F110" s="385">
        <f t="shared" si="26"/>
        <v>13.078217306399265</v>
      </c>
      <c r="G110" s="110">
        <f t="shared" si="48"/>
        <v>0.23303777130122705</v>
      </c>
      <c r="H110" s="414" t="b">
        <f>Wh_hp&gt;='2023'!Maxi_hp</f>
        <v>0</v>
      </c>
      <c r="I110" s="390">
        <f>IF(H110,Wh_hp,'2023'!Maxi_hp)</f>
        <v>57.685469912803519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4.5874072434896163E-2</v>
      </c>
      <c r="M110" s="959"/>
      <c r="N110" s="959"/>
      <c r="O110" s="48">
        <f>IF(t&lt;Tnet,'2023'!Resal+('2023'!Salim-'2023'!Resal)*(1-EXP(('2023'!Tnet-t)/('2023'!Tau_j))),Resal+(Salim-Resal)*(1-EXP((Tnet-t)/(Tau_j))))*Salcycl</f>
        <v>0.12211941291737254</v>
      </c>
      <c r="P110" s="169">
        <f>(INDEX(Models!$BJ110:$BT110,,T110)*(1-R110)+INDEX(Models!$BJ110:$BT110,,T110+1)*R110-ERP_i)*Q110*Ramure*Pc/MaxiM</f>
        <v>7.8172334869209366E-4</v>
      </c>
      <c r="Q110" s="305">
        <f t="shared" si="28"/>
        <v>0.7</v>
      </c>
      <c r="R110" s="177">
        <f t="shared" si="29"/>
        <v>3.174311000916985E-2</v>
      </c>
      <c r="S110" s="921">
        <f t="shared" si="30"/>
        <v>1</v>
      </c>
      <c r="T110" s="176">
        <f t="shared" si="31"/>
        <v>7</v>
      </c>
      <c r="U110" s="251">
        <f t="shared" si="32"/>
        <v>1.0317431100091699</v>
      </c>
      <c r="V110" s="383">
        <f t="shared" si="33"/>
        <v>46.970344251704667</v>
      </c>
      <c r="W110" s="402">
        <f t="shared" si="34"/>
        <v>10.954427673552631</v>
      </c>
      <c r="X110" s="157">
        <f t="shared" si="35"/>
        <v>45387</v>
      </c>
      <c r="Y110" s="385">
        <f t="shared" si="36"/>
        <v>10.597659911104037</v>
      </c>
      <c r="Z110" s="385">
        <f t="shared" si="37"/>
        <v>11.107192043453736</v>
      </c>
      <c r="AA110" s="386">
        <f t="shared" si="38"/>
        <v>13.078217306399265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0.15071054538764184</v>
      </c>
      <c r="AD110" s="231">
        <f>(INDEX(Models!$BJ110:$BT110,,AH110)*(1-AF110)+INDEX(Models!$BJ110:$BT110,,AH110+1)*AF110-ERP_i)*AE110*Ramure*Pc/MaxiM</f>
        <v>7.8172334869209366E-4</v>
      </c>
      <c r="AE110" s="305">
        <f t="shared" si="40"/>
        <v>0.7</v>
      </c>
      <c r="AF110" s="177">
        <f t="shared" si="41"/>
        <v>3.174311000916985E-2</v>
      </c>
      <c r="AG110" s="921">
        <f t="shared" si="49"/>
        <v>1</v>
      </c>
      <c r="AH110" s="176">
        <f t="shared" si="42"/>
        <v>7</v>
      </c>
      <c r="AI110" s="225">
        <f t="shared" si="43"/>
        <v>1.0317431100091699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36.084601844404908</v>
      </c>
      <c r="C111" s="955"/>
      <c r="D111" s="393">
        <f t="shared" si="25"/>
        <v>37.820366436528595</v>
      </c>
      <c r="E111" s="385">
        <f t="shared" si="47"/>
        <v>43.084343340790412</v>
      </c>
      <c r="F111" s="385">
        <f t="shared" si="26"/>
        <v>43.106446933135693</v>
      </c>
      <c r="G111" s="110">
        <f t="shared" si="48"/>
        <v>0.76575266331295344</v>
      </c>
      <c r="H111" s="414" t="b">
        <f>Wh_hp&gt;='2023'!Maxi_hp</f>
        <v>0</v>
      </c>
      <c r="I111" s="390">
        <f>IF(H111,Wh_hp,'2023'!Maxi_hp)</f>
        <v>56.268394657199678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4.5894970241409538E-2</v>
      </c>
      <c r="M111" s="959"/>
      <c r="N111" s="959"/>
      <c r="O111" s="48">
        <f>IF(t&lt;Tnet,'2023'!Resal+('2023'!Salim-'2023'!Resal)*(1-EXP(('2023'!Tnet-t)/('2023'!Tau_j))),Resal+(Salim-Resal)*(1-EXP((Tnet-t)/(Tau_j))))*Salcycl</f>
        <v>0.12217841786805436</v>
      </c>
      <c r="P111" s="169">
        <f>(INDEX(Models!$BJ111:$BT111,,T111)*(1-R111)+INDEX(Models!$BJ111:$BT111,,T111+1)*R111-ERP_i)*Q111*Ramure*Pc/MaxiM</f>
        <v>7.7033443932215376E-4</v>
      </c>
      <c r="Q111" s="305">
        <f t="shared" si="28"/>
        <v>0.7</v>
      </c>
      <c r="R111" s="177">
        <f t="shared" si="29"/>
        <v>3.3011056570118935E-2</v>
      </c>
      <c r="S111" s="921">
        <f t="shared" si="30"/>
        <v>1</v>
      </c>
      <c r="T111" s="176">
        <f t="shared" si="31"/>
        <v>7</v>
      </c>
      <c r="U111" s="251">
        <f t="shared" si="32"/>
        <v>1.0330110565701189</v>
      </c>
      <c r="V111" s="383">
        <f t="shared" si="33"/>
        <v>47.110907490407023</v>
      </c>
      <c r="W111" s="402">
        <f t="shared" si="34"/>
        <v>36.084601844404908</v>
      </c>
      <c r="X111" s="157">
        <f t="shared" si="35"/>
        <v>45388</v>
      </c>
      <c r="Y111" s="385">
        <f t="shared" si="36"/>
        <v>34.910148370695424</v>
      </c>
      <c r="Z111" s="385">
        <f t="shared" si="37"/>
        <v>36.589418650825536</v>
      </c>
      <c r="AA111" s="386">
        <f t="shared" si="38"/>
        <v>43.084343340790412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0.15074906999489449</v>
      </c>
      <c r="AD111" s="231">
        <f>(INDEX(Models!$BJ111:$BT111,,AH111)*(1-AF111)+INDEX(Models!$BJ111:$BT111,,AH111+1)*AF111-ERP_i)*AE111*Ramure*Pc/MaxiM</f>
        <v>7.7033443932215376E-4</v>
      </c>
      <c r="AE111" s="305">
        <f t="shared" si="40"/>
        <v>0.7</v>
      </c>
      <c r="AF111" s="177">
        <f t="shared" si="41"/>
        <v>3.3011056570118935E-2</v>
      </c>
      <c r="AG111" s="921">
        <f t="shared" si="49"/>
        <v>1</v>
      </c>
      <c r="AH111" s="176">
        <f t="shared" si="42"/>
        <v>7</v>
      </c>
      <c r="AI111" s="225">
        <f t="shared" si="43"/>
        <v>1.0330110565701189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29.279268587552952</v>
      </c>
      <c r="C112" s="955"/>
      <c r="D112" s="393">
        <f t="shared" si="25"/>
        <v>30.688350841346022</v>
      </c>
      <c r="E112" s="385">
        <f t="shared" si="47"/>
        <v>34.962072843798055</v>
      </c>
      <c r="F112" s="385">
        <f t="shared" si="26"/>
        <v>34.974225196583532</v>
      </c>
      <c r="G112" s="110">
        <f t="shared" si="48"/>
        <v>0.61946368420001618</v>
      </c>
      <c r="H112" s="414" t="b">
        <f>Wh_hp&gt;='2023'!Maxi_hp</f>
        <v>0</v>
      </c>
      <c r="I112" s="390">
        <f>IF(H112,Wh_hp,'2023'!Maxi_hp)</f>
        <v>56.211155978326396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4.5915867590207271E-2</v>
      </c>
      <c r="M112" s="959"/>
      <c r="N112" s="959"/>
      <c r="O112" s="48">
        <f>IF(t&lt;Tnet,'2023'!Resal+('2023'!Salim-'2023'!Resal)*(1-EXP(('2023'!Tnet-t)/('2023'!Tau_j))),Resal+(Salim-Resal)*(1-EXP((Tnet-t)/(Tau_j))))*Salcycl</f>
        <v>0.12223880493430622</v>
      </c>
      <c r="P112" s="169">
        <f>(INDEX(Models!$BJ112:$BT112,,T112)*(1-R112)+INDEX(Models!$BJ112:$BT112,,T112+1)*R112-ERP_i)*Q112*Ramure*Pc/MaxiM</f>
        <v>7.6074770143158652E-4</v>
      </c>
      <c r="Q112" s="305">
        <f t="shared" si="28"/>
        <v>0.7</v>
      </c>
      <c r="R112" s="177">
        <f t="shared" si="29"/>
        <v>3.432491489786238E-2</v>
      </c>
      <c r="S112" s="921">
        <f t="shared" si="30"/>
        <v>1</v>
      </c>
      <c r="T112" s="176">
        <f t="shared" si="31"/>
        <v>7</v>
      </c>
      <c r="U112" s="251">
        <f t="shared" si="32"/>
        <v>1.0343249148978624</v>
      </c>
      <c r="V112" s="383">
        <f t="shared" si="33"/>
        <v>47.245971863999529</v>
      </c>
      <c r="W112" s="402">
        <f t="shared" si="34"/>
        <v>29.279268587552952</v>
      </c>
      <c r="X112" s="157">
        <f t="shared" si="35"/>
        <v>45389</v>
      </c>
      <c r="Y112" s="385">
        <f t="shared" si="36"/>
        <v>28.326916027642365</v>
      </c>
      <c r="Z112" s="385">
        <f t="shared" si="37"/>
        <v>29.69016574680392</v>
      </c>
      <c r="AA112" s="386">
        <f t="shared" si="38"/>
        <v>34.962072843798055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0.15078931734247336</v>
      </c>
      <c r="AD112" s="231">
        <f>(INDEX(Models!$BJ112:$BT112,,AH112)*(1-AF112)+INDEX(Models!$BJ112:$BT112,,AH112+1)*AF112-ERP_i)*AE112*Ramure*Pc/MaxiM</f>
        <v>7.6074770143158652E-4</v>
      </c>
      <c r="AE112" s="305">
        <f t="shared" si="40"/>
        <v>0.7</v>
      </c>
      <c r="AF112" s="177">
        <f t="shared" si="41"/>
        <v>3.432491489786238E-2</v>
      </c>
      <c r="AG112" s="921">
        <f t="shared" si="49"/>
        <v>1</v>
      </c>
      <c r="AH112" s="176">
        <f t="shared" si="42"/>
        <v>7</v>
      </c>
      <c r="AI112" s="225">
        <f t="shared" si="43"/>
        <v>1.0343249148978624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31.956786648141374</v>
      </c>
      <c r="C113" s="955"/>
      <c r="D113" s="393">
        <f t="shared" si="25"/>
        <v>33.495459691167383</v>
      </c>
      <c r="E113" s="385">
        <f t="shared" si="47"/>
        <v>38.162792496159931</v>
      </c>
      <c r="F113" s="385">
        <f t="shared" si="26"/>
        <v>38.178173166821118</v>
      </c>
      <c r="G113" s="110">
        <f t="shared" si="48"/>
        <v>0.67429930049358777</v>
      </c>
      <c r="H113" s="414" t="b">
        <f>Wh_hp&gt;='2023'!Maxi_hp</f>
        <v>0</v>
      </c>
      <c r="I113" s="390">
        <f>IF(H113,Wh_hp,'2023'!Maxi_hp)</f>
        <v>45.992596170964376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4.5936764481299353E-2</v>
      </c>
      <c r="M113" s="959"/>
      <c r="N113" s="959"/>
      <c r="O113" s="48">
        <f>IF(t&lt;Tnet,'2023'!Resal+('2023'!Salim-'2023'!Resal)*(1-EXP(('2023'!Tnet-t)/('2023'!Tau_j))),Resal+(Salim-Resal)*(1-EXP((Tnet-t)/(Tau_j))))*Salcycl</f>
        <v>0.12230061008932172</v>
      </c>
      <c r="P113" s="169">
        <f>(INDEX(Models!$BJ113:$BT113,,T113)*(1-R113)+INDEX(Models!$BJ113:$BT113,,T113+1)*R113-ERP_i)*Q113*Ramure*Pc/MaxiM</f>
        <v>7.5294826373945099E-4</v>
      </c>
      <c r="Q113" s="305">
        <f t="shared" si="28"/>
        <v>0.7</v>
      </c>
      <c r="R113" s="177">
        <f t="shared" si="29"/>
        <v>3.5686053885428448E-2</v>
      </c>
      <c r="S113" s="921">
        <f t="shared" si="30"/>
        <v>1</v>
      </c>
      <c r="T113" s="176">
        <f t="shared" si="31"/>
        <v>7</v>
      </c>
      <c r="U113" s="251">
        <f t="shared" si="32"/>
        <v>1.0356860538854284</v>
      </c>
      <c r="V113" s="383">
        <f t="shared" si="33"/>
        <v>47.375986594119809</v>
      </c>
      <c r="W113" s="402">
        <f t="shared" si="34"/>
        <v>31.956786648141374</v>
      </c>
      <c r="X113" s="157">
        <f t="shared" si="35"/>
        <v>45390</v>
      </c>
      <c r="Y113" s="385">
        <f t="shared" si="36"/>
        <v>30.917991180046428</v>
      </c>
      <c r="Z113" s="385">
        <f t="shared" si="37"/>
        <v>32.406647724180544</v>
      </c>
      <c r="AA113" s="386">
        <f t="shared" si="38"/>
        <v>38.162792496159931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0.15083133060974471</v>
      </c>
      <c r="AD113" s="231">
        <f>(INDEX(Models!$BJ113:$BT113,,AH113)*(1-AF113)+INDEX(Models!$BJ113:$BT113,,AH113+1)*AF113-ERP_i)*AE113*Ramure*Pc/MaxiM</f>
        <v>7.5294826373945099E-4</v>
      </c>
      <c r="AE113" s="305">
        <f t="shared" si="40"/>
        <v>0.7</v>
      </c>
      <c r="AF113" s="177">
        <f t="shared" si="41"/>
        <v>3.5686053885428448E-2</v>
      </c>
      <c r="AG113" s="921">
        <f t="shared" si="49"/>
        <v>1</v>
      </c>
      <c r="AH113" s="176">
        <f t="shared" si="42"/>
        <v>7</v>
      </c>
      <c r="AI113" s="225">
        <f t="shared" si="43"/>
        <v>1.0356860538854284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48.85530430358645</v>
      </c>
      <c r="C114" s="955"/>
      <c r="D114" s="393">
        <f t="shared" si="25"/>
        <v>51.208738126262695</v>
      </c>
      <c r="E114" s="385">
        <f t="shared" si="47"/>
        <v>58.348484353182009</v>
      </c>
      <c r="F114" s="385">
        <f t="shared" si="26"/>
        <v>58.392220786132832</v>
      </c>
      <c r="G114" s="110">
        <f t="shared" si="48"/>
        <v>1.0285045397372836</v>
      </c>
      <c r="H114" s="414" t="b">
        <f>Wh_hp&gt;='2023'!Maxi_hp</f>
        <v>1</v>
      </c>
      <c r="I114" s="390">
        <f>IF(H114,Wh_hp,'2023'!Maxi_hp)</f>
        <v>58.392220786132832</v>
      </c>
      <c r="J114" s="85">
        <f>IF(H114,An,'2023'!An_max)</f>
        <v>2024</v>
      </c>
      <c r="K114" s="197">
        <f t="shared" si="27"/>
        <v>45391</v>
      </c>
      <c r="L114" s="147">
        <f>IF(t&lt;Tvie,1-EXP((T0-t)*PertePVj)+'2023'!Pspv,1-EXP((T0-t)*PertePVj)+Pspv)</f>
        <v>4.5957660914695997E-2</v>
      </c>
      <c r="M114" s="959"/>
      <c r="N114" s="959"/>
      <c r="O114" s="48">
        <f>IF(t&lt;Tnet,'2023'!Resal+('2023'!Salim-'2023'!Resal)*(1-EXP(('2023'!Tnet-t)/('2023'!Tau_j))),Resal+(Salim-Resal)*(1-EXP((Tnet-t)/(Tau_j))))*Salcycl</f>
        <v>0.12236386782050072</v>
      </c>
      <c r="P114" s="169">
        <f>(INDEX(Models!$BJ114:$BT114,,T114)*(1-R114)+INDEX(Models!$BJ114:$BT114,,T114+1)*R114-ERP_i)*Q114*Ramure*Pc/MaxiM</f>
        <v>7.490112957171534E-4</v>
      </c>
      <c r="Q114" s="305">
        <f t="shared" si="28"/>
        <v>0.7</v>
      </c>
      <c r="R114" s="177">
        <f t="shared" si="29"/>
        <v>3.7095859991771007E-2</v>
      </c>
      <c r="S114" s="921">
        <f t="shared" si="30"/>
        <v>1</v>
      </c>
      <c r="T114" s="176">
        <f t="shared" si="31"/>
        <v>7</v>
      </c>
      <c r="U114" s="251">
        <f t="shared" si="32"/>
        <v>1.037095859991771</v>
      </c>
      <c r="V114" s="383">
        <f t="shared" si="33"/>
        <v>47.501301565538853</v>
      </c>
      <c r="W114" s="402">
        <f t="shared" si="34"/>
        <v>48.85530430358645</v>
      </c>
      <c r="X114" s="157">
        <f t="shared" si="35"/>
        <v>45391</v>
      </c>
      <c r="Y114" s="385">
        <f t="shared" si="36"/>
        <v>47.268168849617652</v>
      </c>
      <c r="Z114" s="385">
        <f t="shared" si="37"/>
        <v>49.545147959509222</v>
      </c>
      <c r="AA114" s="386">
        <f t="shared" si="38"/>
        <v>58.348484353182009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0.15087515110737745</v>
      </c>
      <c r="AD114" s="231">
        <f>(INDEX(Models!$BJ114:$BT114,,AH114)*(1-AF114)+INDEX(Models!$BJ114:$BT114,,AH114+1)*AF114-ERP_i)*AE114*Ramure*Pc/MaxiM</f>
        <v>7.490112957171534E-4</v>
      </c>
      <c r="AE114" s="305">
        <f t="shared" si="40"/>
        <v>0.7</v>
      </c>
      <c r="AF114" s="177">
        <f t="shared" si="41"/>
        <v>3.7095859991771007E-2</v>
      </c>
      <c r="AG114" s="921">
        <f t="shared" si="49"/>
        <v>1</v>
      </c>
      <c r="AH114" s="176">
        <f t="shared" si="42"/>
        <v>7</v>
      </c>
      <c r="AI114" s="225">
        <f t="shared" si="43"/>
        <v>1.037095859991771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40.315977991429087</v>
      </c>
      <c r="C115" s="955"/>
      <c r="D115" s="393">
        <f t="shared" si="25"/>
        <v>42.258985144003518</v>
      </c>
      <c r="E115" s="385">
        <f t="shared" si="47"/>
        <v>48.15447002514729</v>
      </c>
      <c r="F115" s="385">
        <f t="shared" si="26"/>
        <v>48.182630310186909</v>
      </c>
      <c r="G115" s="110">
        <f t="shared" si="48"/>
        <v>0.84643723590883713</v>
      </c>
      <c r="H115" s="414" t="b">
        <f>Wh_hp&gt;='2023'!Maxi_hp</f>
        <v>0</v>
      </c>
      <c r="I115" s="390">
        <f>IF(H115,Wh_hp,'2023'!Maxi_hp)</f>
        <v>56.926003902955259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4.5978556890407085E-2</v>
      </c>
      <c r="M115" s="959"/>
      <c r="N115" s="959"/>
      <c r="O115" s="48">
        <f>IF(t&lt;Tnet,'2023'!Resal+('2023'!Salim-'2023'!Resal)*(1-EXP(('2023'!Tnet-t)/('2023'!Tau_j))),Resal+(Salim-Resal)*(1-EXP((Tnet-t)/(Tau_j))))*Salcycl</f>
        <v>0.12242861105241161</v>
      </c>
      <c r="P115" s="169">
        <f>(INDEX(Models!$BJ115:$BT115,,T115)*(1-R115)+INDEX(Models!$BJ115:$BT115,,T115+1)*R115-ERP_i)*Q115*Ramure*Pc/MaxiM</f>
        <v>7.485035481504973E-4</v>
      </c>
      <c r="Q115" s="305">
        <f t="shared" si="28"/>
        <v>0.7</v>
      </c>
      <c r="R115" s="177">
        <f t="shared" si="29"/>
        <v>3.8555735457667994E-2</v>
      </c>
      <c r="S115" s="921">
        <f t="shared" si="30"/>
        <v>1</v>
      </c>
      <c r="T115" s="176">
        <f t="shared" si="31"/>
        <v>7</v>
      </c>
      <c r="U115" s="251">
        <f t="shared" si="32"/>
        <v>1.038555735457668</v>
      </c>
      <c r="V115" s="383">
        <f t="shared" si="33"/>
        <v>47.622385204426919</v>
      </c>
      <c r="W115" s="402">
        <f t="shared" si="34"/>
        <v>40.315977991429087</v>
      </c>
      <c r="X115" s="157">
        <f t="shared" si="35"/>
        <v>45392</v>
      </c>
      <c r="Y115" s="385">
        <f t="shared" si="36"/>
        <v>39.007034684781893</v>
      </c>
      <c r="Z115" s="385">
        <f t="shared" si="37"/>
        <v>40.886958009706888</v>
      </c>
      <c r="AA115" s="386">
        <f t="shared" si="38"/>
        <v>48.15447002514729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0.15092081818458716</v>
      </c>
      <c r="AD115" s="231">
        <f>(INDEX(Models!$BJ115:$BT115,,AH115)*(1-AF115)+INDEX(Models!$BJ115:$BT115,,AH115+1)*AF115-ERP_i)*AE115*Ramure*Pc/MaxiM</f>
        <v>7.485035481504973E-4</v>
      </c>
      <c r="AE115" s="305">
        <f t="shared" si="40"/>
        <v>0.7</v>
      </c>
      <c r="AF115" s="177">
        <f t="shared" si="41"/>
        <v>3.8555735457667994E-2</v>
      </c>
      <c r="AG115" s="921">
        <f t="shared" si="49"/>
        <v>1</v>
      </c>
      <c r="AH115" s="176">
        <f t="shared" si="42"/>
        <v>7</v>
      </c>
      <c r="AI115" s="225">
        <f t="shared" si="43"/>
        <v>1.038555735457668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2.2780880772542238</v>
      </c>
      <c r="C116" s="955"/>
      <c r="D116" s="393">
        <f t="shared" si="25"/>
        <v>2.3879316243637598</v>
      </c>
      <c r="E116" s="385">
        <f t="shared" si="47"/>
        <v>2.7212736947463951</v>
      </c>
      <c r="F116" s="385">
        <f t="shared" si="26"/>
        <v>2.7212736947463951</v>
      </c>
      <c r="G116" s="110">
        <f t="shared" si="48"/>
        <v>4.7683101425232868E-2</v>
      </c>
      <c r="H116" s="414" t="b">
        <f>Wh_hp&gt;='2023'!Maxi_hp</f>
        <v>0</v>
      </c>
      <c r="I116" s="390">
        <f>IF(H116,Wh_hp,'2023'!Maxi_hp)</f>
        <v>56.893751444283453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4.599945240844272E-2</v>
      </c>
      <c r="M116" s="959"/>
      <c r="N116" s="959"/>
      <c r="O116" s="48">
        <f>IF(t&lt;Tnet,'2023'!Resal+('2023'!Salim-'2023'!Resal)*(1-EXP(('2023'!Tnet-t)/('2023'!Tau_j))),Resal+(Salim-Resal)*(1-EXP((Tnet-t)/(Tau_j))))*Salcycl</f>
        <v>0.12249487106944627</v>
      </c>
      <c r="P116" s="169">
        <f>(INDEX(Models!$BJ116:$BT116,,T116)*(1-R116)+INDEX(Models!$BJ116:$BT116,,T116+1)*R116-ERP_i)*Q116*Ramure*Pc/MaxiM</f>
        <v>7.5142521641704987E-4</v>
      </c>
      <c r="Q116" s="305">
        <f t="shared" si="28"/>
        <v>0.7</v>
      </c>
      <c r="R116" s="177">
        <f t="shared" si="29"/>
        <v>4.0067096326296348E-2</v>
      </c>
      <c r="S116" s="921">
        <f t="shared" si="30"/>
        <v>1</v>
      </c>
      <c r="T116" s="176">
        <f t="shared" si="31"/>
        <v>7</v>
      </c>
      <c r="U116" s="251">
        <f t="shared" si="32"/>
        <v>1.0400670963262963</v>
      </c>
      <c r="V116" s="383">
        <f t="shared" si="33"/>
        <v>47.739685473209313</v>
      </c>
      <c r="W116" s="402">
        <f t="shared" si="34"/>
        <v>2.2780880772542238</v>
      </c>
      <c r="X116" s="157">
        <f t="shared" si="35"/>
        <v>45393</v>
      </c>
      <c r="Y116" s="385">
        <f t="shared" si="36"/>
        <v>2.2041681258774539</v>
      </c>
      <c r="Z116" s="385">
        <f t="shared" si="37"/>
        <v>2.3104474430775057</v>
      </c>
      <c r="AA116" s="386">
        <f t="shared" si="38"/>
        <v>2.7212736947463951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0.15096836913612091</v>
      </c>
      <c r="AD116" s="231">
        <f>(INDEX(Models!$BJ116:$BT116,,AH116)*(1-AF116)+INDEX(Models!$BJ116:$BT116,,AH116+1)*AF116-ERP_i)*AE116*Ramure*Pc/MaxiM</f>
        <v>7.5142521641704987E-4</v>
      </c>
      <c r="AE116" s="305">
        <f t="shared" si="40"/>
        <v>0.7</v>
      </c>
      <c r="AF116" s="177">
        <f t="shared" si="41"/>
        <v>4.0067096326296348E-2</v>
      </c>
      <c r="AG116" s="921">
        <f t="shared" si="49"/>
        <v>1</v>
      </c>
      <c r="AH116" s="176">
        <f t="shared" si="42"/>
        <v>7</v>
      </c>
      <c r="AI116" s="225">
        <f t="shared" si="43"/>
        <v>1.0400670963262963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Wh_hp&gt;='2023'!Maxi_hp</f>
        <v>0</v>
      </c>
      <c r="I117" s="390">
        <f>IF(H117,Wh_hp,'2023'!Maxi_hp)</f>
        <v>58.336070770675065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4.6020347468812783E-2</v>
      </c>
      <c r="M117" s="959"/>
      <c r="N117" s="959"/>
      <c r="O117" s="48">
        <f>IF(t&lt;Tnet,'2023'!Resal+('2023'!Salim-'2023'!Resal)*(1-EXP(('2023'!Tnet-t)/('2023'!Tau_j))),Resal+(Salim-Resal)*(1-EXP((Tnet-t)/(Tau_j))))*Salcycl</f>
        <v>0.12256267743754211</v>
      </c>
      <c r="P117" s="169">
        <f>(INDEX(Models!$BJ117:$BT117,,T117)*(1-R117)+INDEX(Models!$BJ117:$BT117,,T117+1)*R117-ERP_i)*Q117*Ramure*Pc/MaxiM</f>
        <v>7.5778106894158976E-4</v>
      </c>
      <c r="Q117" s="305">
        <f t="shared" si="28"/>
        <v>0.7</v>
      </c>
      <c r="R117" s="177">
        <f t="shared" si="29"/>
        <v>4.1631370259217926E-2</v>
      </c>
      <c r="S117" s="921">
        <f t="shared" si="30"/>
        <v>1</v>
      </c>
      <c r="T117" s="176">
        <f t="shared" si="31"/>
        <v>7</v>
      </c>
      <c r="U117" s="251">
        <f t="shared" si="32"/>
        <v>1.0416313702592179</v>
      </c>
      <c r="V117" s="383">
        <f t="shared" si="33"/>
        <v>47.853650122522822</v>
      </c>
      <c r="W117" s="402">
        <f t="shared" si="34"/>
        <v>0</v>
      </c>
      <c r="X117" s="157">
        <f t="shared" si="35"/>
        <v>45394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0.15101783910821087</v>
      </c>
      <c r="AD117" s="231">
        <f>(INDEX(Models!$BJ117:$BT117,,AH117)*(1-AF117)+INDEX(Models!$BJ117:$BT117,,AH117+1)*AF117-ERP_i)*AE117*Ramure*Pc/MaxiM</f>
        <v>7.5778106894158976E-4</v>
      </c>
      <c r="AE117" s="305">
        <f t="shared" si="40"/>
        <v>0.7</v>
      </c>
      <c r="AF117" s="177">
        <f t="shared" si="41"/>
        <v>4.1631370259217926E-2</v>
      </c>
      <c r="AG117" s="921">
        <f t="shared" si="49"/>
        <v>1</v>
      </c>
      <c r="AH117" s="176">
        <f t="shared" si="42"/>
        <v>7</v>
      </c>
      <c r="AI117" s="225">
        <f t="shared" si="43"/>
        <v>1.0416313702592179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38.266347011152853</v>
      </c>
      <c r="C118" s="955"/>
      <c r="D118" s="393">
        <f t="shared" si="25"/>
        <v>40.113208975876972</v>
      </c>
      <c r="E118" s="385">
        <f t="shared" si="47"/>
        <v>45.719939209289826</v>
      </c>
      <c r="F118" s="385">
        <f t="shared" si="26"/>
        <v>45.744909578841245</v>
      </c>
      <c r="G118" s="110">
        <f t="shared" si="48"/>
        <v>0.79762485143726447</v>
      </c>
      <c r="H118" s="414" t="b">
        <f>Wh_hp&gt;='2023'!Maxi_hp</f>
        <v>0</v>
      </c>
      <c r="I118" s="390">
        <f>IF(H118,Wh_hp,'2023'!Maxi_hp)</f>
        <v>56.615625243922842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4.6041242071527488E-2</v>
      </c>
      <c r="M118" s="959"/>
      <c r="N118" s="959"/>
      <c r="O118" s="48">
        <f>IF(t&lt;Tnet,'2023'!Resal+('2023'!Salim-'2023'!Resal)*(1-EXP(('2023'!Tnet-t)/('2023'!Tau_j))),Resal+(Salim-Resal)*(1-EXP((Tnet-t)/(Tau_j))))*Salcycl</f>
        <v>0.12263205792438206</v>
      </c>
      <c r="P118" s="169">
        <f>(INDEX(Models!$BJ118:$BT118,,T118)*(1-R118)+INDEX(Models!$BJ118:$BT118,,T118+1)*R118-ERP_i)*Q118*Ramure*Pc/MaxiM</f>
        <v>7.6758016278558809E-4</v>
      </c>
      <c r="Q118" s="305">
        <f t="shared" si="28"/>
        <v>0.7</v>
      </c>
      <c r="R118" s="177">
        <f t="shared" si="29"/>
        <v>4.3249994138781611E-2</v>
      </c>
      <c r="S118" s="921">
        <f t="shared" si="30"/>
        <v>1</v>
      </c>
      <c r="T118" s="176">
        <f t="shared" si="31"/>
        <v>7</v>
      </c>
      <c r="U118" s="251">
        <f t="shared" si="32"/>
        <v>1.0432499941387816</v>
      </c>
      <c r="V118" s="383">
        <f t="shared" si="33"/>
        <v>47.964726691019465</v>
      </c>
      <c r="W118" s="402">
        <f t="shared" si="34"/>
        <v>38.266347011152853</v>
      </c>
      <c r="X118" s="157">
        <f t="shared" si="35"/>
        <v>45395</v>
      </c>
      <c r="Y118" s="385">
        <f t="shared" si="36"/>
        <v>37.026060206907431</v>
      </c>
      <c r="Z118" s="385">
        <f t="shared" si="37"/>
        <v>38.813061779850685</v>
      </c>
      <c r="AA118" s="386">
        <f t="shared" si="38"/>
        <v>45.719939209289826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0.15106926100277354</v>
      </c>
      <c r="AD118" s="231">
        <f>(INDEX(Models!$BJ118:$BT118,,AH118)*(1-AF118)+INDEX(Models!$BJ118:$BT118,,AH118+1)*AF118-ERP_i)*AE118*Ramure*Pc/MaxiM</f>
        <v>7.6758016278558809E-4</v>
      </c>
      <c r="AE118" s="305">
        <f t="shared" si="40"/>
        <v>0.7</v>
      </c>
      <c r="AF118" s="177">
        <f t="shared" si="41"/>
        <v>4.3249994138781611E-2</v>
      </c>
      <c r="AG118" s="921">
        <f t="shared" si="49"/>
        <v>1</v>
      </c>
      <c r="AH118" s="176">
        <f t="shared" si="42"/>
        <v>7</v>
      </c>
      <c r="AI118" s="225">
        <f t="shared" si="43"/>
        <v>1.0432499941387816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42.590668473040381</v>
      </c>
      <c r="C119" s="955"/>
      <c r="D119" s="393">
        <f t="shared" si="25"/>
        <v>44.64721455139852</v>
      </c>
      <c r="E119" s="385">
        <f t="shared" si="47"/>
        <v>50.89179206874725</v>
      </c>
      <c r="F119" s="385">
        <f t="shared" si="26"/>
        <v>50.925077556435781</v>
      </c>
      <c r="G119" s="110">
        <f t="shared" si="48"/>
        <v>0.88583873447707162</v>
      </c>
      <c r="H119" s="414" t="b">
        <f>Wh_hp&gt;='2023'!Maxi_hp</f>
        <v>0</v>
      </c>
      <c r="I119" s="390">
        <f>IF(H119,Wh_hp,'2023'!Maxi_hp)</f>
        <v>56.990205602590848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4.6062136216596716E-2</v>
      </c>
      <c r="M119" s="959"/>
      <c r="N119" s="959"/>
      <c r="O119" s="48">
        <f>IF(t&lt;Tnet,'2023'!Resal+('2023'!Salim-'2023'!Resal)*(1-EXP(('2023'!Tnet-t)/('2023'!Tau_j))),Resal+(Salim-Resal)*(1-EXP((Tnet-t)/(Tau_j))))*Salcycl</f>
        <v>0.1227030384175357</v>
      </c>
      <c r="P119" s="169">
        <f>(INDEX(Models!$BJ119:$BT119,,T119)*(1-R119)+INDEX(Models!$BJ119:$BT119,,T119+1)*R119-ERP_i)*Q119*Ramure*Pc/MaxiM</f>
        <v>7.8083555738631529E-4</v>
      </c>
      <c r="Q119" s="305">
        <f t="shared" si="28"/>
        <v>0.7</v>
      </c>
      <c r="R119" s="177">
        <f t="shared" si="29"/>
        <v>4.492441144831294E-2</v>
      </c>
      <c r="S119" s="921">
        <f t="shared" si="30"/>
        <v>1</v>
      </c>
      <c r="T119" s="176">
        <f t="shared" si="31"/>
        <v>7</v>
      </c>
      <c r="U119" s="251">
        <f t="shared" si="32"/>
        <v>1.0449244114483129</v>
      </c>
      <c r="V119" s="383">
        <f t="shared" si="33"/>
        <v>48.073362499382547</v>
      </c>
      <c r="W119" s="402">
        <f t="shared" si="34"/>
        <v>42.590668473040381</v>
      </c>
      <c r="X119" s="157">
        <f t="shared" si="35"/>
        <v>45396</v>
      </c>
      <c r="Y119" s="385">
        <f t="shared" si="36"/>
        <v>41.210963580562293</v>
      </c>
      <c r="Z119" s="385">
        <f t="shared" si="37"/>
        <v>43.20088880539442</v>
      </c>
      <c r="AA119" s="386">
        <f t="shared" si="38"/>
        <v>50.89179206874725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0.15112266537919436</v>
      </c>
      <c r="AD119" s="231">
        <f>(INDEX(Models!$BJ119:$BT119,,AH119)*(1-AF119)+INDEX(Models!$BJ119:$BT119,,AH119+1)*AF119-ERP_i)*AE119*Ramure*Pc/MaxiM</f>
        <v>7.8083555738631529E-4</v>
      </c>
      <c r="AE119" s="305">
        <f t="shared" si="40"/>
        <v>0.7</v>
      </c>
      <c r="AF119" s="177">
        <f t="shared" si="41"/>
        <v>4.492441144831294E-2</v>
      </c>
      <c r="AG119" s="921">
        <f t="shared" si="49"/>
        <v>1</v>
      </c>
      <c r="AH119" s="176">
        <f t="shared" si="42"/>
        <v>7</v>
      </c>
      <c r="AI119" s="225">
        <f t="shared" si="43"/>
        <v>1.0449244114483129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38.321046267945398</v>
      </c>
      <c r="C120" s="955"/>
      <c r="D120" s="393">
        <f t="shared" si="25"/>
        <v>40.172307935867927</v>
      </c>
      <c r="E120" s="385">
        <f t="shared" si="47"/>
        <v>45.794793097091173</v>
      </c>
      <c r="F120" s="385">
        <f t="shared" si="26"/>
        <v>45.820655008591082</v>
      </c>
      <c r="G120" s="110">
        <f t="shared" si="48"/>
        <v>0.79518686291765528</v>
      </c>
      <c r="H120" s="414" t="b">
        <f>Wh_hp&gt;='2023'!Maxi_hp</f>
        <v>0</v>
      </c>
      <c r="I120" s="390">
        <f>IF(H120,Wh_hp,'2023'!Maxi_hp)</f>
        <v>53.394011325702145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4.608302990403057E-2</v>
      </c>
      <c r="M120" s="959"/>
      <c r="N120" s="959"/>
      <c r="O120" s="48">
        <f>IF(t&lt;Tnet,'2023'!Resal+('2023'!Salim-'2023'!Resal)*(1-EXP(('2023'!Tnet-t)/('2023'!Tau_j))),Resal+(Salim-Resal)*(1-EXP((Tnet-t)/(Tau_j))))*Salcycl</f>
        <v>0.12277564284006724</v>
      </c>
      <c r="P120" s="169">
        <f>(INDEX(Models!$BJ120:$BT120,,T120)*(1-R120)+INDEX(Models!$BJ120:$BT120,,T120+1)*R120-ERP_i)*Q120*Ramure*Pc/MaxiM</f>
        <v>7.9756402402933772E-4</v>
      </c>
      <c r="Q120" s="305">
        <f t="shared" si="28"/>
        <v>0.7</v>
      </c>
      <c r="R120" s="177">
        <f t="shared" si="29"/>
        <v>4.6656069421955326E-2</v>
      </c>
      <c r="S120" s="921">
        <f t="shared" si="30"/>
        <v>1</v>
      </c>
      <c r="T120" s="176">
        <f t="shared" si="31"/>
        <v>7</v>
      </c>
      <c r="U120" s="251">
        <f t="shared" si="32"/>
        <v>1.0466560694219553</v>
      </c>
      <c r="V120" s="383">
        <f t="shared" si="33"/>
        <v>48.180004642076895</v>
      </c>
      <c r="W120" s="402">
        <f t="shared" si="34"/>
        <v>38.321046267945398</v>
      </c>
      <c r="X120" s="157">
        <f t="shared" si="35"/>
        <v>45397</v>
      </c>
      <c r="Y120" s="385">
        <f t="shared" si="36"/>
        <v>37.080301966699771</v>
      </c>
      <c r="Z120" s="385">
        <f t="shared" si="37"/>
        <v>38.871624186504704</v>
      </c>
      <c r="AA120" s="386">
        <f t="shared" si="38"/>
        <v>45.794793097091173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0.15117808035311808</v>
      </c>
      <c r="AD120" s="231">
        <f>(INDEX(Models!$BJ120:$BT120,,AH120)*(1-AF120)+INDEX(Models!$BJ120:$BT120,,AH120+1)*AF120-ERP_i)*AE120*Ramure*Pc/MaxiM</f>
        <v>7.9756402402933772E-4</v>
      </c>
      <c r="AE120" s="305">
        <f t="shared" si="40"/>
        <v>0.7</v>
      </c>
      <c r="AF120" s="177">
        <f t="shared" si="41"/>
        <v>4.6656069421955326E-2</v>
      </c>
      <c r="AG120" s="921">
        <f t="shared" si="49"/>
        <v>1</v>
      </c>
      <c r="AH120" s="176">
        <f t="shared" si="42"/>
        <v>7</v>
      </c>
      <c r="AI120" s="225">
        <f t="shared" si="43"/>
        <v>1.0466560694219553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48.391792949353217</v>
      </c>
      <c r="C121" s="955"/>
      <c r="D121" s="393">
        <f t="shared" si="25"/>
        <v>50.730676142767031</v>
      </c>
      <c r="E121" s="385">
        <f t="shared" si="47"/>
        <v>57.835797706199209</v>
      </c>
      <c r="F121" s="385">
        <f t="shared" si="26"/>
        <v>57.883134620837694</v>
      </c>
      <c r="G121" s="110">
        <f t="shared" si="48"/>
        <v>1.0022289716869435</v>
      </c>
      <c r="H121" s="414" t="b">
        <f>Wh_hp&gt;='2023'!Maxi_hp</f>
        <v>1</v>
      </c>
      <c r="I121" s="390">
        <f>IF(H121,Wh_hp,'2023'!Maxi_hp)</f>
        <v>57.883134620837694</v>
      </c>
      <c r="J121" s="85">
        <f>IF(H121,An,'2023'!An_max)</f>
        <v>2024</v>
      </c>
      <c r="K121" s="197">
        <f t="shared" si="27"/>
        <v>45398</v>
      </c>
      <c r="L121" s="147">
        <f>IF(t&lt;Tvie,1-EXP((T0-t)*PertePVj)+'2023'!Pspv,1-EXP((T0-t)*PertePVj)+Pspv)</f>
        <v>4.6103923133839042E-2</v>
      </c>
      <c r="M121" s="959"/>
      <c r="N121" s="959"/>
      <c r="O121" s="48">
        <f>IF(t&lt;Tnet,'2023'!Resal+('2023'!Salim-'2023'!Resal)*(1-EXP(('2023'!Tnet-t)/('2023'!Tau_j))),Resal+(Salim-Resal)*(1-EXP((Tnet-t)/(Tau_j))))*Salcycl</f>
        <v>0.12284989306321267</v>
      </c>
      <c r="P121" s="169">
        <f>(INDEX(Models!$BJ121:$BT121,,T121)*(1-R121)+INDEX(Models!$BJ121:$BT121,,T121+1)*R121-ERP_i)*Q121*Ramure*Pc/MaxiM</f>
        <v>8.1780150554331961E-4</v>
      </c>
      <c r="Q121" s="305">
        <f t="shared" si="28"/>
        <v>0.7</v>
      </c>
      <c r="R121" s="177">
        <f t="shared" si="29"/>
        <v>4.8446415956632238E-2</v>
      </c>
      <c r="S121" s="921">
        <f t="shared" si="30"/>
        <v>1</v>
      </c>
      <c r="T121" s="176">
        <f t="shared" si="31"/>
        <v>7</v>
      </c>
      <c r="U121" s="251">
        <f t="shared" si="32"/>
        <v>1.0484464159566322</v>
      </c>
      <c r="V121" s="383">
        <f t="shared" si="33"/>
        <v>48.284168903938749</v>
      </c>
      <c r="W121" s="402">
        <f t="shared" si="34"/>
        <v>48.391792949353217</v>
      </c>
      <c r="X121" s="157">
        <f t="shared" si="35"/>
        <v>45398</v>
      </c>
      <c r="Y121" s="385">
        <f t="shared" si="36"/>
        <v>46.825775996603298</v>
      </c>
      <c r="Z121" s="385">
        <f t="shared" si="37"/>
        <v>49.088970100852315</v>
      </c>
      <c r="AA121" s="386">
        <f t="shared" si="38"/>
        <v>57.835797706199209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0.15123553149175903</v>
      </c>
      <c r="AD121" s="231">
        <f>(INDEX(Models!$BJ121:$BT121,,AH121)*(1-AF121)+INDEX(Models!$BJ121:$BT121,,AH121+1)*AF121-ERP_i)*AE121*Ramure*Pc/MaxiM</f>
        <v>8.1780150554331961E-4</v>
      </c>
      <c r="AE121" s="305">
        <f t="shared" si="40"/>
        <v>0.7</v>
      </c>
      <c r="AF121" s="177">
        <f t="shared" si="41"/>
        <v>4.8446415956632238E-2</v>
      </c>
      <c r="AG121" s="921">
        <f t="shared" si="49"/>
        <v>1</v>
      </c>
      <c r="AH121" s="176">
        <f t="shared" si="42"/>
        <v>7</v>
      </c>
      <c r="AI121" s="225">
        <f t="shared" si="43"/>
        <v>1.0484464159566322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34.507826957567715</v>
      </c>
      <c r="C122" s="955"/>
      <c r="D122" s="393">
        <f t="shared" si="25"/>
        <v>36.176459491757036</v>
      </c>
      <c r="E122" s="385">
        <f t="shared" si="47"/>
        <v>41.246749539982765</v>
      </c>
      <c r="F122" s="385">
        <f t="shared" si="26"/>
        <v>41.267298169771117</v>
      </c>
      <c r="G122" s="110">
        <f t="shared" si="48"/>
        <v>0.71294728765248272</v>
      </c>
      <c r="H122" s="414" t="b">
        <f>Wh_hp&gt;='2023'!Maxi_hp</f>
        <v>0</v>
      </c>
      <c r="I122" s="390">
        <f>IF(H122,Wh_hp,'2023'!Maxi_hp)</f>
        <v>42.269665111428111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4.6124815906032124E-2</v>
      </c>
      <c r="M122" s="959"/>
      <c r="N122" s="959"/>
      <c r="O122" s="48">
        <f>IF(t&lt;Tnet,'2023'!Resal+('2023'!Salim-'2023'!Resal)*(1-EXP(('2023'!Tnet-t)/('2023'!Tau_j))),Resal+(Salim-Resal)*(1-EXP((Tnet-t)/(Tau_j))))*Salcycl</f>
        <v>0.12292580881581504</v>
      </c>
      <c r="P122" s="169">
        <f>(INDEX(Models!$BJ122:$BT122,,T122)*(1-R122)+INDEX(Models!$BJ122:$BT122,,T122+1)*R122-ERP_i)*Q122*Ramure*Pc/MaxiM</f>
        <v>8.4356967344464875E-4</v>
      </c>
      <c r="Q122" s="305">
        <f t="shared" si="28"/>
        <v>0.7</v>
      </c>
      <c r="R122" s="177">
        <f t="shared" si="29"/>
        <v>5.0296896279355074E-2</v>
      </c>
      <c r="S122" s="921">
        <f t="shared" si="30"/>
        <v>1</v>
      </c>
      <c r="T122" s="176">
        <f t="shared" si="31"/>
        <v>7</v>
      </c>
      <c r="U122" s="251">
        <f t="shared" si="32"/>
        <v>1.0502968962793551</v>
      </c>
      <c r="V122" s="383">
        <f t="shared" si="33"/>
        <v>48.384915234184099</v>
      </c>
      <c r="W122" s="402">
        <f t="shared" si="34"/>
        <v>34.507826957567715</v>
      </c>
      <c r="X122" s="157">
        <f t="shared" si="35"/>
        <v>45399</v>
      </c>
      <c r="Y122" s="385">
        <f t="shared" si="36"/>
        <v>33.391660743453727</v>
      </c>
      <c r="Z122" s="385">
        <f t="shared" si="37"/>
        <v>35.006320848120794</v>
      </c>
      <c r="AA122" s="386">
        <f t="shared" si="38"/>
        <v>41.246749539982765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0.15129504170535385</v>
      </c>
      <c r="AD122" s="231">
        <f>(INDEX(Models!$BJ122:$BT122,,AH122)*(1-AF122)+INDEX(Models!$BJ122:$BT122,,AH122+1)*AF122-ERP_i)*AE122*Ramure*Pc/MaxiM</f>
        <v>8.4356967344464875E-4</v>
      </c>
      <c r="AE122" s="305">
        <f t="shared" si="40"/>
        <v>0.7</v>
      </c>
      <c r="AF122" s="177">
        <f t="shared" si="41"/>
        <v>5.0296896279355074E-2</v>
      </c>
      <c r="AG122" s="921">
        <f t="shared" si="49"/>
        <v>1</v>
      </c>
      <c r="AH122" s="176">
        <f t="shared" si="42"/>
        <v>7</v>
      </c>
      <c r="AI122" s="225">
        <f t="shared" si="43"/>
        <v>1.0502968962793551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8.2602969255365846</v>
      </c>
      <c r="C123" s="955"/>
      <c r="D123" s="393">
        <f t="shared" si="25"/>
        <v>8.6599148284244798</v>
      </c>
      <c r="E123" s="385">
        <f t="shared" si="47"/>
        <v>9.8745136564669025</v>
      </c>
      <c r="F123" s="385">
        <f t="shared" si="26"/>
        <v>9.8745136564669025</v>
      </c>
      <c r="G123" s="110">
        <f t="shared" si="48"/>
        <v>0.17022904266056593</v>
      </c>
      <c r="H123" s="414" t="b">
        <f>Wh_hp&gt;='2023'!Maxi_hp</f>
        <v>0</v>
      </c>
      <c r="I123" s="390">
        <f>IF(H123,Wh_hp,'2023'!Maxi_hp)</f>
        <v>56.035337326864806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4.6145708220619919E-2</v>
      </c>
      <c r="M123" s="959"/>
      <c r="N123" s="959"/>
      <c r="O123" s="48">
        <f>IF(t&lt;Tnet,'2023'!Resal+('2023'!Salim-'2023'!Resal)*(1-EXP(('2023'!Tnet-t)/('2023'!Tau_j))),Resal+(Salim-Resal)*(1-EXP((Tnet-t)/(Tau_j))))*Salcycl</f>
        <v>0.12300340759030413</v>
      </c>
      <c r="P123" s="169">
        <f>(INDEX(Models!$BJ123:$BT123,,T123)*(1-R123)+INDEX(Models!$BJ123:$BT123,,T123+1)*R123-ERP_i)*Q123*Ramure*Pc/MaxiM</f>
        <v>8.7374073932286738E-4</v>
      </c>
      <c r="Q123" s="305">
        <f t="shared" si="28"/>
        <v>0.7</v>
      </c>
      <c r="R123" s="177">
        <f t="shared" si="29"/>
        <v>5.2208949363991897E-2</v>
      </c>
      <c r="S123" s="921">
        <f t="shared" si="30"/>
        <v>1</v>
      </c>
      <c r="T123" s="176">
        <f t="shared" si="31"/>
        <v>7</v>
      </c>
      <c r="U123" s="251">
        <f t="shared" si="32"/>
        <v>1.0522089493639919</v>
      </c>
      <c r="V123" s="383">
        <f t="shared" si="33"/>
        <v>48.482206318050856</v>
      </c>
      <c r="W123" s="402">
        <f t="shared" si="34"/>
        <v>8.2602969255365846</v>
      </c>
      <c r="X123" s="157">
        <f t="shared" si="35"/>
        <v>45400</v>
      </c>
      <c r="Y123" s="385">
        <f t="shared" si="36"/>
        <v>7.9932422444828735</v>
      </c>
      <c r="Z123" s="385">
        <f t="shared" si="37"/>
        <v>8.3799405353324712</v>
      </c>
      <c r="AA123" s="386">
        <f t="shared" si="38"/>
        <v>9.8745136564669025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0.15135663113449865</v>
      </c>
      <c r="AD123" s="231">
        <f>(INDEX(Models!$BJ123:$BT123,,AH123)*(1-AF123)+INDEX(Models!$BJ123:$BT123,,AH123+1)*AF123-ERP_i)*AE123*Ramure*Pc/MaxiM</f>
        <v>8.7374073932286738E-4</v>
      </c>
      <c r="AE123" s="305">
        <f t="shared" si="40"/>
        <v>0.7</v>
      </c>
      <c r="AF123" s="177">
        <f t="shared" si="41"/>
        <v>5.2208949363991897E-2</v>
      </c>
      <c r="AG123" s="921">
        <f t="shared" si="49"/>
        <v>1</v>
      </c>
      <c r="AH123" s="176">
        <f t="shared" si="42"/>
        <v>7</v>
      </c>
      <c r="AI123" s="225">
        <f t="shared" si="43"/>
        <v>1.0522089493639919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9.3197303583000259</v>
      </c>
      <c r="C124" s="955"/>
      <c r="D124" s="393">
        <f t="shared" si="25"/>
        <v>9.7708156991130348</v>
      </c>
      <c r="E124" s="385">
        <f t="shared" si="47"/>
        <v>11.142231713019836</v>
      </c>
      <c r="F124" s="385">
        <f t="shared" si="26"/>
        <v>11.142231713019836</v>
      </c>
      <c r="G124" s="110">
        <f t="shared" si="48"/>
        <v>0.19168467042398407</v>
      </c>
      <c r="H124" s="414" t="b">
        <f>Wh_hp&gt;='2023'!Maxi_hp</f>
        <v>0</v>
      </c>
      <c r="I124" s="390">
        <f>IF(H124,Wh_hp,'2023'!Maxi_hp)</f>
        <v>54.638540839726012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4.6166600077612419E-2</v>
      </c>
      <c r="M124" s="959"/>
      <c r="N124" s="959"/>
      <c r="O124" s="48">
        <f>IF(t&lt;Tnet,'2023'!Resal+('2023'!Salim-'2023'!Resal)*(1-EXP(('2023'!Tnet-t)/('2023'!Tau_j))),Resal+(Salim-Resal)*(1-EXP((Tnet-t)/(Tau_j))))*Salcycl</f>
        <v>0.1230827045451123</v>
      </c>
      <c r="P124" s="169">
        <f>(INDEX(Models!$BJ124:$BT124,,T124)*(1-R124)+INDEX(Models!$BJ124:$BT124,,T124+1)*R124-ERP_i)*Q124*Ramure*Pc/MaxiM</f>
        <v>9.0836607556323814E-4</v>
      </c>
      <c r="Q124" s="305">
        <f t="shared" si="28"/>
        <v>0.7</v>
      </c>
      <c r="R124" s="177">
        <f t="shared" si="29"/>
        <v>5.4184004092661109E-2</v>
      </c>
      <c r="S124" s="921">
        <f t="shared" si="30"/>
        <v>1</v>
      </c>
      <c r="T124" s="176">
        <f t="shared" si="31"/>
        <v>7</v>
      </c>
      <c r="U124" s="251">
        <f t="shared" si="32"/>
        <v>1.0541840040926611</v>
      </c>
      <c r="V124" s="383">
        <f t="shared" si="33"/>
        <v>48.575948253001776</v>
      </c>
      <c r="W124" s="402">
        <f t="shared" si="34"/>
        <v>9.3197303583000259</v>
      </c>
      <c r="X124" s="157">
        <f t="shared" si="35"/>
        <v>45401</v>
      </c>
      <c r="Y124" s="385">
        <f t="shared" si="36"/>
        <v>9.018562952027823</v>
      </c>
      <c r="Z124" s="385">
        <f t="shared" si="37"/>
        <v>9.4550714545765064</v>
      </c>
      <c r="AA124" s="386">
        <f t="shared" si="38"/>
        <v>11.142231713019836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0.15142031703324407</v>
      </c>
      <c r="AD124" s="231">
        <f>(INDEX(Models!$BJ124:$BT124,,AH124)*(1-AF124)+INDEX(Models!$BJ124:$BT124,,AH124+1)*AF124-ERP_i)*AE124*Ramure*Pc/MaxiM</f>
        <v>9.0836607556323814E-4</v>
      </c>
      <c r="AE124" s="305">
        <f t="shared" si="40"/>
        <v>0.7</v>
      </c>
      <c r="AF124" s="177">
        <f t="shared" si="41"/>
        <v>5.4184004092661109E-2</v>
      </c>
      <c r="AG124" s="921">
        <f t="shared" si="49"/>
        <v>1</v>
      </c>
      <c r="AH124" s="176">
        <f t="shared" si="42"/>
        <v>7</v>
      </c>
      <c r="AI124" s="225">
        <f t="shared" si="43"/>
        <v>1.0541840040926611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8.4169730476784572</v>
      </c>
      <c r="C125" s="955"/>
      <c r="D125" s="393">
        <f t="shared" si="25"/>
        <v>8.824557208536195</v>
      </c>
      <c r="E125" s="385">
        <f t="shared" si="47"/>
        <v>10.064087599209131</v>
      </c>
      <c r="F125" s="385">
        <f t="shared" si="26"/>
        <v>10.064087599209131</v>
      </c>
      <c r="G125" s="110">
        <f t="shared" si="48"/>
        <v>0.17278982854940955</v>
      </c>
      <c r="H125" s="414" t="b">
        <f>Wh_hp&gt;='2023'!Maxi_hp</f>
        <v>0</v>
      </c>
      <c r="I125" s="390">
        <f>IF(H125,Wh_hp,'2023'!Maxi_hp)</f>
        <v>49.293646269634195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4.6187491477019615E-2</v>
      </c>
      <c r="M125" s="959"/>
      <c r="N125" s="959"/>
      <c r="O125" s="48">
        <f>IF(t&lt;Tnet,'2023'!Resal+('2023'!Salim-'2023'!Resal)*(1-EXP(('2023'!Tnet-t)/('2023'!Tau_j))),Resal+(Salim-Resal)*(1-EXP((Tnet-t)/(Tau_j))))*Salcycl</f>
        <v>0.12316371240353101</v>
      </c>
      <c r="P125" s="169">
        <f>(INDEX(Models!$BJ125:$BT125,,T125)*(1-R125)+INDEX(Models!$BJ125:$BT125,,T125+1)*R125-ERP_i)*Q125*Ramure*Pc/MaxiM</f>
        <v>9.4750564096456296E-4</v>
      </c>
      <c r="Q125" s="305">
        <f t="shared" si="28"/>
        <v>0.7</v>
      </c>
      <c r="R125" s="177">
        <f t="shared" si="29"/>
        <v>5.6223475158134306E-2</v>
      </c>
      <c r="S125" s="921">
        <f t="shared" si="30"/>
        <v>1</v>
      </c>
      <c r="T125" s="176">
        <f t="shared" si="31"/>
        <v>7</v>
      </c>
      <c r="U125" s="251">
        <f t="shared" si="32"/>
        <v>1.0562234751581343</v>
      </c>
      <c r="V125" s="383">
        <f t="shared" si="33"/>
        <v>48.666047005373166</v>
      </c>
      <c r="W125" s="402">
        <f t="shared" si="34"/>
        <v>8.4169730476784572</v>
      </c>
      <c r="X125" s="157">
        <f t="shared" si="35"/>
        <v>45402</v>
      </c>
      <c r="Y125" s="385">
        <f t="shared" si="36"/>
        <v>8.1450991627901512</v>
      </c>
      <c r="Z125" s="385">
        <f t="shared" si="37"/>
        <v>8.5395180813923144</v>
      </c>
      <c r="AA125" s="386">
        <f t="shared" si="38"/>
        <v>10.064087599209131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0.15148611364795969</v>
      </c>
      <c r="AD125" s="231">
        <f>(INDEX(Models!$BJ125:$BT125,,AH125)*(1-AF125)+INDEX(Models!$BJ125:$BT125,,AH125+1)*AF125-ERP_i)*AE125*Ramure*Pc/MaxiM</f>
        <v>9.4750564096456296E-4</v>
      </c>
      <c r="AE125" s="305">
        <f t="shared" si="40"/>
        <v>0.7</v>
      </c>
      <c r="AF125" s="177">
        <f t="shared" si="41"/>
        <v>5.6223475158134306E-2</v>
      </c>
      <c r="AG125" s="921">
        <f t="shared" si="49"/>
        <v>1</v>
      </c>
      <c r="AH125" s="176">
        <f t="shared" si="42"/>
        <v>7</v>
      </c>
      <c r="AI125" s="225">
        <f t="shared" si="43"/>
        <v>1.0562234751581343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25.448950232402638</v>
      </c>
      <c r="C126" s="955"/>
      <c r="D126" s="393">
        <f t="shared" si="25"/>
        <v>26.681876589502995</v>
      </c>
      <c r="E126" s="385">
        <f t="shared" si="47"/>
        <v>30.432584306313615</v>
      </c>
      <c r="F126" s="385">
        <f t="shared" si="26"/>
        <v>30.442154279212961</v>
      </c>
      <c r="G126" s="110">
        <f t="shared" si="48"/>
        <v>0.52165052367972953</v>
      </c>
      <c r="H126" s="414" t="b">
        <f>Wh_hp&gt;='2023'!Maxi_hp</f>
        <v>0</v>
      </c>
      <c r="I126" s="390">
        <f>IF(H126,Wh_hp,'2023'!Maxi_hp)</f>
        <v>60.094501166563738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4.6208382418851501E-2</v>
      </c>
      <c r="M126" s="959"/>
      <c r="N126" s="959"/>
      <c r="O126" s="48">
        <f>IF(t&lt;Tnet,'2023'!Resal+('2023'!Salim-'2023'!Resal)*(1-EXP(('2023'!Tnet-t)/('2023'!Tau_j))),Resal+(Salim-Resal)*(1-EXP((Tnet-t)/(Tau_j))))*Salcycl</f>
        <v>0.12324644134913271</v>
      </c>
      <c r="P126" s="169">
        <f>(INDEX(Models!$BJ126:$BT126,,T126)*(1-R126)+INDEX(Models!$BJ126:$BT126,,T126+1)*R126-ERP_i)*Q126*Ramure*Pc/MaxiM</f>
        <v>9.9122591330453214E-4</v>
      </c>
      <c r="Q126" s="305">
        <f t="shared" si="28"/>
        <v>0.7</v>
      </c>
      <c r="R126" s="177">
        <f t="shared" si="29"/>
        <v>5.8328758705016748E-2</v>
      </c>
      <c r="S126" s="921">
        <f t="shared" si="30"/>
        <v>1</v>
      </c>
      <c r="T126" s="176">
        <f t="shared" si="31"/>
        <v>7</v>
      </c>
      <c r="U126" s="251">
        <f t="shared" si="32"/>
        <v>1.0583287587050167</v>
      </c>
      <c r="V126" s="383">
        <f t="shared" si="33"/>
        <v>48.75240852341949</v>
      </c>
      <c r="W126" s="402">
        <f t="shared" si="34"/>
        <v>25.448950232402638</v>
      </c>
      <c r="X126" s="157">
        <f t="shared" si="35"/>
        <v>45403</v>
      </c>
      <c r="Y126" s="385">
        <f t="shared" si="36"/>
        <v>24.627284370987475</v>
      </c>
      <c r="Z126" s="385">
        <f t="shared" si="37"/>
        <v>25.820403447708209</v>
      </c>
      <c r="AA126" s="386">
        <f t="shared" si="38"/>
        <v>30.432584306313615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0.15155403209212676</v>
      </c>
      <c r="AD126" s="231">
        <f>(INDEX(Models!$BJ126:$BT126,,AH126)*(1-AF126)+INDEX(Models!$BJ126:$BT126,,AH126+1)*AF126-ERP_i)*AE126*Ramure*Pc/MaxiM</f>
        <v>9.9122591330453214E-4</v>
      </c>
      <c r="AE126" s="305">
        <f t="shared" si="40"/>
        <v>0.7</v>
      </c>
      <c r="AF126" s="177">
        <f t="shared" si="41"/>
        <v>5.8328758705016748E-2</v>
      </c>
      <c r="AG126" s="921">
        <f t="shared" si="49"/>
        <v>1</v>
      </c>
      <c r="AH126" s="176">
        <f t="shared" si="42"/>
        <v>7</v>
      </c>
      <c r="AI126" s="225">
        <f t="shared" si="43"/>
        <v>1.0583287587050167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8.7444696135531537</v>
      </c>
      <c r="C127" s="955"/>
      <c r="D127" s="393">
        <f t="shared" si="25"/>
        <v>9.1683141085382776</v>
      </c>
      <c r="E127" s="385">
        <f t="shared" si="47"/>
        <v>10.458123934358623</v>
      </c>
      <c r="F127" s="385">
        <f t="shared" si="26"/>
        <v>10.458123934358623</v>
      </c>
      <c r="G127" s="110">
        <f t="shared" si="48"/>
        <v>0.17887559784935908</v>
      </c>
      <c r="H127" s="414" t="b">
        <f>Wh_hp&gt;='2023'!Maxi_hp</f>
        <v>0</v>
      </c>
      <c r="I127" s="390">
        <f>IF(H127,Wh_hp,'2023'!Maxi_hp)</f>
        <v>60.511949341362161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4.6229272903118179E-2</v>
      </c>
      <c r="M127" s="959"/>
      <c r="N127" s="959"/>
      <c r="O127" s="48">
        <f>IF(t&lt;Tnet,'2023'!Resal+('2023'!Salim-'2023'!Resal)*(1-EXP(('2023'!Tnet-t)/('2023'!Tau_j))),Resal+(Salim-Resal)*(1-EXP((Tnet-t)/(Tau_j))))*Salcycl</f>
        <v>0.12333089891800426</v>
      </c>
      <c r="P127" s="169">
        <f>(INDEX(Models!$BJ127:$BT127,,T127)*(1-R127)+INDEX(Models!$BJ127:$BT127,,T127+1)*R127-ERP_i)*Q127*Ramure*Pc/MaxiM</f>
        <v>1.0395970934868192E-3</v>
      </c>
      <c r="Q127" s="305">
        <f t="shared" si="28"/>
        <v>0.7</v>
      </c>
      <c r="R127" s="177">
        <f t="shared" si="29"/>
        <v>6.0501227709050198E-2</v>
      </c>
      <c r="S127" s="921">
        <f t="shared" si="30"/>
        <v>1</v>
      </c>
      <c r="T127" s="176">
        <f t="shared" si="31"/>
        <v>7</v>
      </c>
      <c r="U127" s="251">
        <f t="shared" si="32"/>
        <v>1.0605012277090502</v>
      </c>
      <c r="V127" s="383">
        <f t="shared" si="33"/>
        <v>48.834938881464204</v>
      </c>
      <c r="W127" s="402">
        <f t="shared" si="34"/>
        <v>8.7444696135531537</v>
      </c>
      <c r="X127" s="157">
        <f t="shared" si="35"/>
        <v>45404</v>
      </c>
      <c r="Y127" s="385">
        <f t="shared" si="36"/>
        <v>8.4622549628512136</v>
      </c>
      <c r="Z127" s="385">
        <f t="shared" si="37"/>
        <v>8.8724205120122512</v>
      </c>
      <c r="AA127" s="386">
        <f t="shared" si="38"/>
        <v>10.458123934358623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0.15162408021736828</v>
      </c>
      <c r="AD127" s="231">
        <f>(INDEX(Models!$BJ127:$BT127,,AH127)*(1-AF127)+INDEX(Models!$BJ127:$BT127,,AH127+1)*AF127-ERP_i)*AE127*Ramure*Pc/MaxiM</f>
        <v>1.0395970934868192E-3</v>
      </c>
      <c r="AE127" s="305">
        <f t="shared" si="40"/>
        <v>0.7</v>
      </c>
      <c r="AF127" s="177">
        <f t="shared" si="41"/>
        <v>6.0501227709050198E-2</v>
      </c>
      <c r="AG127" s="921">
        <f t="shared" si="49"/>
        <v>1</v>
      </c>
      <c r="AH127" s="176">
        <f t="shared" si="42"/>
        <v>7</v>
      </c>
      <c r="AI127" s="225">
        <f t="shared" si="43"/>
        <v>1.0605012277090502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22.477547505815043</v>
      </c>
      <c r="C128" s="955"/>
      <c r="D128" s="393">
        <f t="shared" si="25"/>
        <v>23.56755055902704</v>
      </c>
      <c r="E128" s="385">
        <f t="shared" si="47"/>
        <v>26.885706174696328</v>
      </c>
      <c r="F128" s="385">
        <f t="shared" si="26"/>
        <v>26.892410445613468</v>
      </c>
      <c r="G128" s="110">
        <f t="shared" si="48"/>
        <v>0.45914859953212978</v>
      </c>
      <c r="H128" s="414" t="b">
        <f>Wh_hp&gt;='2023'!Maxi_hp</f>
        <v>0</v>
      </c>
      <c r="I128" s="390">
        <f>IF(H128,Wh_hp,'2023'!Maxi_hp)</f>
        <v>59.112989516648078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4.6250162929829641E-2</v>
      </c>
      <c r="M128" s="959"/>
      <c r="N128" s="959"/>
      <c r="O128" s="48">
        <f>IF(t&lt;Tnet,'2023'!Resal+('2023'!Salim-'2023'!Resal)*(1-EXP(('2023'!Tnet-t)/('2023'!Tau_j))),Resal+(Salim-Resal)*(1-EXP((Tnet-t)/(Tau_j))))*Salcycl</f>
        <v>0.12341708988816492</v>
      </c>
      <c r="P128" s="169">
        <f>(INDEX(Models!$BJ128:$BT128,,T128)*(1-R128)+INDEX(Models!$BJ128:$BT128,,T128+1)*R128-ERP_i)*Q128*Ramure*Pc/MaxiM</f>
        <v>1.0938530671372878E-3</v>
      </c>
      <c r="Q128" s="305">
        <f t="shared" si="28"/>
        <v>0.7</v>
      </c>
      <c r="R128" s="177">
        <f t="shared" si="29"/>
        <v>6.2742227095631709E-2</v>
      </c>
      <c r="S128" s="921">
        <f t="shared" si="30"/>
        <v>1</v>
      </c>
      <c r="T128" s="176">
        <f t="shared" si="31"/>
        <v>7</v>
      </c>
      <c r="U128" s="251">
        <f t="shared" si="32"/>
        <v>1.0627422270956317</v>
      </c>
      <c r="V128" s="383">
        <f t="shared" si="33"/>
        <v>48.91348750142587</v>
      </c>
      <c r="W128" s="402">
        <f t="shared" si="34"/>
        <v>22.477547505815043</v>
      </c>
      <c r="X128" s="157">
        <f t="shared" si="35"/>
        <v>45405</v>
      </c>
      <c r="Y128" s="385">
        <f t="shared" si="36"/>
        <v>21.752406235032637</v>
      </c>
      <c r="Z128" s="385">
        <f t="shared" si="37"/>
        <v>22.807245033827716</v>
      </c>
      <c r="AA128" s="386">
        <f t="shared" si="38"/>
        <v>26.885706174696328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0.15169626248117987</v>
      </c>
      <c r="AD128" s="231">
        <f>(INDEX(Models!$BJ128:$BT128,,AH128)*(1-AF128)+INDEX(Models!$BJ128:$BT128,,AH128+1)*AF128-ERP_i)*AE128*Ramure*Pc/MaxiM</f>
        <v>1.0938530671372878E-3</v>
      </c>
      <c r="AE128" s="305">
        <f t="shared" si="40"/>
        <v>0.7</v>
      </c>
      <c r="AF128" s="177">
        <f t="shared" si="41"/>
        <v>6.2742227095631709E-2</v>
      </c>
      <c r="AG128" s="921">
        <f t="shared" si="49"/>
        <v>1</v>
      </c>
      <c r="AH128" s="176">
        <f t="shared" si="42"/>
        <v>7</v>
      </c>
      <c r="AI128" s="225">
        <f t="shared" si="43"/>
        <v>1.0627422270956317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42.630151596705403</v>
      </c>
      <c r="C129" s="955"/>
      <c r="D129" s="393">
        <f t="shared" si="25"/>
        <v>44.698393299696427</v>
      </c>
      <c r="E129" s="385">
        <f t="shared" si="47"/>
        <v>50.996747413440929</v>
      </c>
      <c r="F129" s="385">
        <f t="shared" si="26"/>
        <v>51.044645304257195</v>
      </c>
      <c r="G129" s="110">
        <f t="shared" si="48"/>
        <v>0.87002901148992617</v>
      </c>
      <c r="H129" s="414" t="b">
        <f>Wh_hp&gt;='2023'!Maxi_hp</f>
        <v>0</v>
      </c>
      <c r="I129" s="390">
        <f>IF(H129,Wh_hp,'2023'!Maxi_hp)</f>
        <v>55.415664195239167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4.627105249899599E-2</v>
      </c>
      <c r="M129" s="959"/>
      <c r="N129" s="959"/>
      <c r="O129" s="48">
        <f>IF(t&lt;Tnet,'2023'!Resal+('2023'!Salim-'2023'!Resal)*(1-EXP(('2023'!Tnet-t)/('2023'!Tau_j))),Resal+(Salim-Resal)*(1-EXP((Tnet-t)/(Tau_j))))*Salcycl</f>
        <v>0.12350501616666784</v>
      </c>
      <c r="P129" s="169">
        <f>(INDEX(Models!$BJ129:$BT129,,T129)*(1-R129)+INDEX(Models!$BJ129:$BT129,,T129+1)*R129-ERP_i)*Q129*Ramure*Pc/MaxiM</f>
        <v>1.1519286212807464E-3</v>
      </c>
      <c r="Q129" s="305">
        <f t="shared" si="28"/>
        <v>0.7</v>
      </c>
      <c r="R129" s="177">
        <f t="shared" si="29"/>
        <v>6.5053068600597452E-2</v>
      </c>
      <c r="S129" s="921">
        <f t="shared" si="30"/>
        <v>1</v>
      </c>
      <c r="T129" s="176">
        <f t="shared" si="31"/>
        <v>7</v>
      </c>
      <c r="U129" s="251">
        <f t="shared" si="32"/>
        <v>1.0650530686005975</v>
      </c>
      <c r="V129" s="383">
        <f t="shared" si="33"/>
        <v>48.988065589584799</v>
      </c>
      <c r="W129" s="402">
        <f t="shared" si="34"/>
        <v>42.630151596705403</v>
      </c>
      <c r="X129" s="157">
        <f t="shared" si="35"/>
        <v>45406</v>
      </c>
      <c r="Y129" s="385">
        <f t="shared" si="36"/>
        <v>41.255397279349168</v>
      </c>
      <c r="Z129" s="385">
        <f t="shared" si="37"/>
        <v>43.256941489977933</v>
      </c>
      <c r="AA129" s="386">
        <f t="shared" si="38"/>
        <v>50.996747413440929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0.15177057981197953</v>
      </c>
      <c r="AD129" s="231">
        <f>(INDEX(Models!$BJ129:$BT129,,AH129)*(1-AF129)+INDEX(Models!$BJ129:$BT129,,AH129+1)*AF129-ERP_i)*AE129*Ramure*Pc/MaxiM</f>
        <v>1.1519286212807464E-3</v>
      </c>
      <c r="AE129" s="305">
        <f t="shared" si="40"/>
        <v>0.7</v>
      </c>
      <c r="AF129" s="177">
        <f t="shared" si="41"/>
        <v>6.5053068600597452E-2</v>
      </c>
      <c r="AG129" s="921">
        <f t="shared" si="49"/>
        <v>1</v>
      </c>
      <c r="AH129" s="176">
        <f t="shared" si="42"/>
        <v>7</v>
      </c>
      <c r="AI129" s="225">
        <f t="shared" si="43"/>
        <v>1.0650530686005975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47.677132454306701</v>
      </c>
      <c r="C130" s="955"/>
      <c r="D130" s="393">
        <f t="shared" si="25"/>
        <v>49.991328095543288</v>
      </c>
      <c r="E130" s="385">
        <f t="shared" si="47"/>
        <v>57.041333233670258</v>
      </c>
      <c r="F130" s="385">
        <f t="shared" si="26"/>
        <v>57.107867850766276</v>
      </c>
      <c r="G130" s="110">
        <f t="shared" si="48"/>
        <v>0.97179334272426598</v>
      </c>
      <c r="H130" s="414" t="b">
        <f>Wh_hp&gt;='2023'!Maxi_hp</f>
        <v>0</v>
      </c>
      <c r="I130" s="390">
        <f>IF(H130,Wh_hp,'2023'!Maxi_hp)</f>
        <v>57.1090988007223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4.6291941610626997E-2</v>
      </c>
      <c r="M130" s="959"/>
      <c r="N130" s="959"/>
      <c r="O130" s="48">
        <f>IF(t&lt;Tnet,'2023'!Resal+('2023'!Salim-'2023'!Resal)*(1-EXP(('2023'!Tnet-t)/('2023'!Tau_j))),Resal+(Salim-Resal)*(1-EXP((Tnet-t)/(Tau_j))))*Salcycl</f>
        <v>0.12359467667500992</v>
      </c>
      <c r="P130" s="169">
        <f>(INDEX(Models!$BJ130:$BT130,,T130)*(1-R130)+INDEX(Models!$BJ130:$BT130,,T130+1)*R130-ERP_i)*Q130*Ramure*Pc/MaxiM</f>
        <v>1.2139012146954538E-3</v>
      </c>
      <c r="Q130" s="305">
        <f t="shared" si="28"/>
        <v>0.7</v>
      </c>
      <c r="R130" s="177">
        <f t="shared" si="29"/>
        <v>6.7435025378456359E-2</v>
      </c>
      <c r="S130" s="921">
        <f t="shared" si="30"/>
        <v>1</v>
      </c>
      <c r="T130" s="176">
        <f t="shared" si="31"/>
        <v>7</v>
      </c>
      <c r="U130" s="251">
        <f t="shared" si="32"/>
        <v>1.0674350253784564</v>
      </c>
      <c r="V130" s="383">
        <f t="shared" si="33"/>
        <v>49.058580123528152</v>
      </c>
      <c r="W130" s="402">
        <f t="shared" si="34"/>
        <v>47.677132454306701</v>
      </c>
      <c r="X130" s="157">
        <f t="shared" si="35"/>
        <v>45407</v>
      </c>
      <c r="Y130" s="385">
        <f t="shared" si="36"/>
        <v>46.140182448857949</v>
      </c>
      <c r="Z130" s="385">
        <f t="shared" si="37"/>
        <v>48.379776225000889</v>
      </c>
      <c r="AA130" s="386">
        <f t="shared" si="38"/>
        <v>57.041333233670258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0.15184702947224663</v>
      </c>
      <c r="AD130" s="231">
        <f>(INDEX(Models!$BJ130:$BT130,,AH130)*(1-AF130)+INDEX(Models!$BJ130:$BT130,,AH130+1)*AF130-ERP_i)*AE130*Ramure*Pc/MaxiM</f>
        <v>1.2139012146954538E-3</v>
      </c>
      <c r="AE130" s="305">
        <f t="shared" si="40"/>
        <v>0.7</v>
      </c>
      <c r="AF130" s="177">
        <f t="shared" si="41"/>
        <v>6.7435025378456359E-2</v>
      </c>
      <c r="AG130" s="921">
        <f t="shared" si="49"/>
        <v>1</v>
      </c>
      <c r="AH130" s="176">
        <f t="shared" si="42"/>
        <v>7</v>
      </c>
      <c r="AI130" s="225">
        <f t="shared" si="43"/>
        <v>1.0674350253784564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35.142278564890638</v>
      </c>
      <c r="C131" s="955"/>
      <c r="D131" s="393">
        <f t="shared" si="25"/>
        <v>36.848853250952033</v>
      </c>
      <c r="E131" s="385">
        <f t="shared" si="47"/>
        <v>42.049831542247951</v>
      </c>
      <c r="F131" s="385">
        <f t="shared" si="26"/>
        <v>42.08179005495527</v>
      </c>
      <c r="G131" s="110">
        <f t="shared" si="48"/>
        <v>0.71499277931327943</v>
      </c>
      <c r="H131" s="414" t="b">
        <f>Wh_hp&gt;='2023'!Maxi_hp</f>
        <v>0</v>
      </c>
      <c r="I131" s="390">
        <f>IF(H131,Wh_hp,'2023'!Maxi_hp)</f>
        <v>42.091220919554068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4.6312830264732985E-2</v>
      </c>
      <c r="M131" s="959"/>
      <c r="N131" s="959"/>
      <c r="O131" s="48">
        <f>IF(t&lt;Tnet,'2023'!Resal+('2023'!Salim-'2023'!Resal)*(1-EXP(('2023'!Tnet-t)/('2023'!Tau_j))),Resal+(Salim-Resal)*(1-EXP((Tnet-t)/(Tau_j))))*Salcycl</f>
        <v>0.12368606723359722</v>
      </c>
      <c r="P131" s="169">
        <f>(INDEX(Models!$BJ131:$BT131,,T131)*(1-R131)+INDEX(Models!$BJ131:$BT131,,T131+1)*R131-ERP_i)*Q131*Ramure*Pc/MaxiM</f>
        <v>1.2798531177278859E-3</v>
      </c>
      <c r="Q131" s="305">
        <f t="shared" si="28"/>
        <v>0.7</v>
      </c>
      <c r="R131" s="177">
        <f t="shared" si="29"/>
        <v>6.9889326365591309E-2</v>
      </c>
      <c r="S131" s="921">
        <f t="shared" si="30"/>
        <v>1</v>
      </c>
      <c r="T131" s="176">
        <f t="shared" si="31"/>
        <v>7</v>
      </c>
      <c r="U131" s="251">
        <f t="shared" si="32"/>
        <v>1.0698893263655913</v>
      </c>
      <c r="V131" s="383">
        <f t="shared" si="33"/>
        <v>49.124938195683562</v>
      </c>
      <c r="W131" s="402">
        <f t="shared" si="34"/>
        <v>35.142278564890638</v>
      </c>
      <c r="X131" s="157">
        <f t="shared" si="35"/>
        <v>45408</v>
      </c>
      <c r="Y131" s="385">
        <f t="shared" si="36"/>
        <v>34.009805757103578</v>
      </c>
      <c r="Z131" s="385">
        <f t="shared" si="37"/>
        <v>35.661385448379605</v>
      </c>
      <c r="AA131" s="386">
        <f t="shared" si="38"/>
        <v>42.049831542247951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0.15192560492067131</v>
      </c>
      <c r="AD131" s="231">
        <f>(INDEX(Models!$BJ131:$BT131,,AH131)*(1-AF131)+INDEX(Models!$BJ131:$BT131,,AH131+1)*AF131-ERP_i)*AE131*Ramure*Pc/MaxiM</f>
        <v>1.2798531177278859E-3</v>
      </c>
      <c r="AE131" s="305">
        <f t="shared" si="40"/>
        <v>0.7</v>
      </c>
      <c r="AF131" s="177">
        <f t="shared" si="41"/>
        <v>6.9889326365591309E-2</v>
      </c>
      <c r="AG131" s="921">
        <f t="shared" si="49"/>
        <v>1</v>
      </c>
      <c r="AH131" s="176">
        <f t="shared" si="42"/>
        <v>7</v>
      </c>
      <c r="AI131" s="225">
        <f t="shared" si="43"/>
        <v>1.0698893263655913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18.899597856850338</v>
      </c>
      <c r="C132" s="955"/>
      <c r="D132" s="393">
        <f t="shared" si="25"/>
        <v>19.817831690931875</v>
      </c>
      <c r="E132" s="385">
        <f t="shared" si="47"/>
        <v>22.617394210083027</v>
      </c>
      <c r="F132" s="385">
        <f t="shared" si="26"/>
        <v>22.621068914135176</v>
      </c>
      <c r="G132" s="110">
        <f t="shared" si="48"/>
        <v>0.38378299757360101</v>
      </c>
      <c r="H132" s="414" t="b">
        <f>Wh_hp&gt;='2023'!Maxi_hp</f>
        <v>0</v>
      </c>
      <c r="I132" s="390">
        <f>IF(H132,Wh_hp,'2023'!Maxi_hp)</f>
        <v>44.927139058198264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4.6333718461323725E-2</v>
      </c>
      <c r="M132" s="959"/>
      <c r="N132" s="959"/>
      <c r="O132" s="48">
        <f>IF(t&lt;Tnet,'2023'!Resal+('2023'!Salim-'2023'!Resal)*(1-EXP(('2023'!Tnet-t)/('2023'!Tau_j))),Resal+(Salim-Resal)*(1-EXP((Tnet-t)/(Tau_j))))*Salcycl</f>
        <v>0.12377918044613136</v>
      </c>
      <c r="P132" s="169">
        <f>(INDEX(Models!$BJ132:$BT132,,T132)*(1-R132)+INDEX(Models!$BJ132:$BT132,,T132+1)*R132-ERP_i)*Q132*Ramure*Pc/MaxiM</f>
        <v>1.3498713996918182E-3</v>
      </c>
      <c r="Q132" s="305">
        <f t="shared" si="28"/>
        <v>0.7</v>
      </c>
      <c r="R132" s="177">
        <f t="shared" si="29"/>
        <v>7.2417150408468745E-2</v>
      </c>
      <c r="S132" s="921">
        <f t="shared" si="30"/>
        <v>1</v>
      </c>
      <c r="T132" s="176">
        <f t="shared" si="31"/>
        <v>7</v>
      </c>
      <c r="U132" s="251">
        <f t="shared" si="32"/>
        <v>1.0724171504084687</v>
      </c>
      <c r="V132" s="383">
        <f t="shared" si="33"/>
        <v>49.187047026715618</v>
      </c>
      <c r="W132" s="402">
        <f t="shared" si="34"/>
        <v>18.899597856850338</v>
      </c>
      <c r="X132" s="157">
        <f t="shared" si="35"/>
        <v>45409</v>
      </c>
      <c r="Y132" s="385">
        <f t="shared" si="36"/>
        <v>18.290754612581782</v>
      </c>
      <c r="Z132" s="385">
        <f t="shared" si="37"/>
        <v>19.179407898401191</v>
      </c>
      <c r="AA132" s="386">
        <f t="shared" si="38"/>
        <v>22.617394210083027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0.15200629567437762</v>
      </c>
      <c r="AD132" s="231">
        <f>(INDEX(Models!$BJ132:$BT132,,AH132)*(1-AF132)+INDEX(Models!$BJ132:$BT132,,AH132+1)*AF132-ERP_i)*AE132*Ramure*Pc/MaxiM</f>
        <v>1.3498713996918182E-3</v>
      </c>
      <c r="AE132" s="305">
        <f t="shared" si="40"/>
        <v>0.7</v>
      </c>
      <c r="AF132" s="177">
        <f t="shared" si="41"/>
        <v>7.2417150408468745E-2</v>
      </c>
      <c r="AG132" s="921">
        <f t="shared" si="49"/>
        <v>1</v>
      </c>
      <c r="AH132" s="176">
        <f t="shared" si="42"/>
        <v>7</v>
      </c>
      <c r="AI132" s="225">
        <f t="shared" si="43"/>
        <v>1.0724171504084687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38.26089444797929</v>
      </c>
      <c r="C133" s="955"/>
      <c r="D133" s="393">
        <f t="shared" si="25"/>
        <v>40.120672418431298</v>
      </c>
      <c r="E133" s="385">
        <f t="shared" si="47"/>
        <v>45.793267947968516</v>
      </c>
      <c r="F133" s="385">
        <f t="shared" si="26"/>
        <v>45.83774389097794</v>
      </c>
      <c r="G133" s="110">
        <f t="shared" si="48"/>
        <v>0.77659987603102798</v>
      </c>
      <c r="H133" s="414" t="b">
        <f>Wh_hp&gt;='2023'!Maxi_hp</f>
        <v>0</v>
      </c>
      <c r="I133" s="390">
        <f>IF(H133,Wh_hp,'2023'!Maxi_hp)</f>
        <v>53.012856919854819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4.6354606200409432E-2</v>
      </c>
      <c r="M133" s="959"/>
      <c r="N133" s="959"/>
      <c r="O133" s="48">
        <f>IF(t&lt;Tnet,'2023'!Resal+('2023'!Salim-'2023'!Resal)*(1-EXP(('2023'!Tnet-t)/('2023'!Tau_j))),Resal+(Salim-Resal)*(1-EXP((Tnet-t)/(Tau_j))))*Salcycl</f>
        <v>0.12387400558489441</v>
      </c>
      <c r="P133" s="169">
        <f>(INDEX(Models!$BJ133:$BT133,,T133)*(1-R133)+INDEX(Models!$BJ133:$BT133,,T133+1)*R133-ERP_i)*Q133*Ramure*Pc/MaxiM</f>
        <v>1.4240479054772252E-3</v>
      </c>
      <c r="Q133" s="305">
        <f t="shared" si="28"/>
        <v>0.7</v>
      </c>
      <c r="R133" s="177">
        <f t="shared" si="29"/>
        <v>7.5019620169600731E-2</v>
      </c>
      <c r="S133" s="921">
        <f t="shared" si="30"/>
        <v>1</v>
      </c>
      <c r="T133" s="176">
        <f t="shared" si="31"/>
        <v>7</v>
      </c>
      <c r="U133" s="251">
        <f t="shared" si="32"/>
        <v>1.0750196201696007</v>
      </c>
      <c r="V133" s="383">
        <f t="shared" si="33"/>
        <v>49.244813983881471</v>
      </c>
      <c r="W133" s="402">
        <f t="shared" si="34"/>
        <v>38.26089444797929</v>
      </c>
      <c r="X133" s="157">
        <f t="shared" si="35"/>
        <v>45410</v>
      </c>
      <c r="Y133" s="385">
        <f t="shared" si="36"/>
        <v>37.0287266258362</v>
      </c>
      <c r="Z133" s="385">
        <f t="shared" si="37"/>
        <v>38.828611627119983</v>
      </c>
      <c r="AA133" s="386">
        <f t="shared" si="38"/>
        <v>45.793267947968516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0.1520890871724192</v>
      </c>
      <c r="AD133" s="231">
        <f>(INDEX(Models!$BJ133:$BT133,,AH133)*(1-AF133)+INDEX(Models!$BJ133:$BT133,,AH133+1)*AF133-ERP_i)*AE133*Ramure*Pc/MaxiM</f>
        <v>1.4240479054772252E-3</v>
      </c>
      <c r="AE133" s="305">
        <f t="shared" si="40"/>
        <v>0.7</v>
      </c>
      <c r="AF133" s="177">
        <f t="shared" si="41"/>
        <v>7.5019620169600731E-2</v>
      </c>
      <c r="AG133" s="921">
        <f t="shared" si="49"/>
        <v>1</v>
      </c>
      <c r="AH133" s="176">
        <f t="shared" si="42"/>
        <v>7</v>
      </c>
      <c r="AI133" s="225">
        <f t="shared" si="43"/>
        <v>1.0750196201696007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37.30734527819147</v>
      </c>
      <c r="C134" s="955"/>
      <c r="D134" s="393">
        <f t="shared" si="25"/>
        <v>39.121630183784802</v>
      </c>
      <c r="E134" s="385">
        <f t="shared" si="47"/>
        <v>44.657892748535147</v>
      </c>
      <c r="F134" s="385">
        <f t="shared" si="26"/>
        <v>44.701718762794656</v>
      </c>
      <c r="G134" s="110">
        <f t="shared" si="48"/>
        <v>0.75637425994576402</v>
      </c>
      <c r="H134" s="414" t="b">
        <f>Wh_hp&gt;='2023'!Maxi_hp</f>
        <v>0</v>
      </c>
      <c r="I134" s="390">
        <f>IF(H134,Wh_hp,'2023'!Maxi_hp)</f>
        <v>59.629748537925202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4.6375493482000096E-2</v>
      </c>
      <c r="M134" s="959"/>
      <c r="N134" s="959"/>
      <c r="O134" s="48">
        <f>IF(t&lt;Tnet,'2023'!Resal+('2023'!Salim-'2023'!Resal)*(1-EXP(('2023'!Tnet-t)/('2023'!Tau_j))),Resal+(Salim-Resal)*(1-EXP((Tnet-t)/(Tau_j))))*Salcycl</f>
        <v>0.12397052847801338</v>
      </c>
      <c r="P134" s="169">
        <f>(INDEX(Models!$BJ134:$BT134,,T134)*(1-R134)+INDEX(Models!$BJ134:$BT134,,T134+1)*R134-ERP_i)*Q134*Ramure*Pc/MaxiM</f>
        <v>1.5024792211972568E-3</v>
      </c>
      <c r="Q134" s="305">
        <f t="shared" si="28"/>
        <v>0.7</v>
      </c>
      <c r="R134" s="177">
        <f t="shared" si="29"/>
        <v>7.7697795826879856E-2</v>
      </c>
      <c r="S134" s="921">
        <f t="shared" si="30"/>
        <v>1</v>
      </c>
      <c r="T134" s="176">
        <f t="shared" si="31"/>
        <v>7</v>
      </c>
      <c r="U134" s="251">
        <f t="shared" si="32"/>
        <v>1.0776977958268799</v>
      </c>
      <c r="V134" s="383">
        <f t="shared" si="33"/>
        <v>49.298146597134064</v>
      </c>
      <c r="W134" s="402">
        <f t="shared" si="34"/>
        <v>37.30734527819147</v>
      </c>
      <c r="X134" s="157">
        <f t="shared" si="35"/>
        <v>45411</v>
      </c>
      <c r="Y134" s="385">
        <f t="shared" si="36"/>
        <v>36.106249634754818</v>
      </c>
      <c r="Z134" s="385">
        <f t="shared" si="37"/>
        <v>37.862124335070561</v>
      </c>
      <c r="AA134" s="386">
        <f t="shared" si="38"/>
        <v>44.657892748535147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0.15217396064187333</v>
      </c>
      <c r="AD134" s="231">
        <f>(INDEX(Models!$BJ134:$BT134,,AH134)*(1-AF134)+INDEX(Models!$BJ134:$BT134,,AH134+1)*AF134-ERP_i)*AE134*Ramure*Pc/MaxiM</f>
        <v>1.5024792211972568E-3</v>
      </c>
      <c r="AE134" s="305">
        <f t="shared" si="40"/>
        <v>0.7</v>
      </c>
      <c r="AF134" s="177">
        <f t="shared" si="41"/>
        <v>7.7697795826879856E-2</v>
      </c>
      <c r="AG134" s="921">
        <f t="shared" si="49"/>
        <v>1</v>
      </c>
      <c r="AH134" s="176">
        <f t="shared" si="42"/>
        <v>7</v>
      </c>
      <c r="AI134" s="225">
        <f t="shared" si="43"/>
        <v>1.0776977958268799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47.287257323230733</v>
      </c>
      <c r="C135" s="955"/>
      <c r="D135" s="393">
        <f t="shared" si="25"/>
        <v>49.587959133806443</v>
      </c>
      <c r="E135" s="385">
        <f t="shared" si="47"/>
        <v>49.992531952702258</v>
      </c>
      <c r="F135" s="385">
        <f t="shared" si="26"/>
        <v>50.054450642667838</v>
      </c>
      <c r="G135" s="110">
        <f t="shared" si="48"/>
        <v>0.84592999580439154</v>
      </c>
      <c r="H135" s="414" t="b">
        <f>Wh_hp&gt;='2023'!Maxi_hp</f>
        <v>0</v>
      </c>
      <c r="I135" s="390">
        <f>IF(H135,Wh_hp,'2023'!Maxi_hp)</f>
        <v>57.486763345827086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4.63963803061056E-2</v>
      </c>
      <c r="M135" s="959"/>
      <c r="N135" s="959"/>
      <c r="O135" s="48">
        <f>IF(t&lt;Tnet,'2023'!Resal+('2023'!Salim-'2023'!Resal)*(1-EXP(('2023'!Tnet-t)/('2023'!Tau_j))),Resal+(Salim-Resal)*(1-EXP((Tnet-t)/(Tau_j))))*Salcycl</f>
        <v>8.0926651060319096E-3</v>
      </c>
      <c r="P135" s="169">
        <f>(INDEX(Models!$BJ135:$BT135,,T135)*(1-R135)+INDEX(Models!$BJ135:$BT135,,T135+1)*R135-ERP_i)*Q135*Ramure*Pc/MaxiM</f>
        <v>1.5852781690906387E-3</v>
      </c>
      <c r="Q135" s="305">
        <f t="shared" si="28"/>
        <v>0.7</v>
      </c>
      <c r="R135" s="177">
        <f t="shared" si="29"/>
        <v>8.0452668584939824E-2</v>
      </c>
      <c r="S135" s="921">
        <f t="shared" si="30"/>
        <v>1</v>
      </c>
      <c r="T135" s="176">
        <f t="shared" si="31"/>
        <v>7</v>
      </c>
      <c r="U135" s="251">
        <f t="shared" si="32"/>
        <v>1.0804526685849398</v>
      </c>
      <c r="V135" s="383">
        <f t="shared" si="33"/>
        <v>55.880237493188297</v>
      </c>
      <c r="W135" s="402">
        <f t="shared" si="34"/>
        <v>47.287257323230733</v>
      </c>
      <c r="X135" s="157">
        <f t="shared" si="35"/>
        <v>45412</v>
      </c>
      <c r="Y135" s="385">
        <f t="shared" si="36"/>
        <v>41.758323422606338</v>
      </c>
      <c r="Z135" s="385">
        <f t="shared" si="37"/>
        <v>43.790021933862526</v>
      </c>
      <c r="AA135" s="386">
        <f t="shared" si="38"/>
        <v>49.992531952702258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0.12406873139987995</v>
      </c>
      <c r="AD135" s="231">
        <f>(INDEX(Models!$BJ135:$BT135,,AH135)*(1-AF135)+INDEX(Models!$BJ135:$BT135,,AH135+1)*AF135-ERP_i)*AE135*Ramure*Pc/MaxiM</f>
        <v>1.5852781690906387E-3</v>
      </c>
      <c r="AE135" s="305">
        <f t="shared" si="40"/>
        <v>0.7</v>
      </c>
      <c r="AF135" s="177">
        <f t="shared" si="41"/>
        <v>8.0452668584939824E-2</v>
      </c>
      <c r="AG135" s="921">
        <f t="shared" si="49"/>
        <v>1</v>
      </c>
      <c r="AH135" s="176">
        <f t="shared" si="42"/>
        <v>7</v>
      </c>
      <c r="AI135" s="225">
        <f t="shared" si="43"/>
        <v>1.0804526685849398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27.698116841149069</v>
      </c>
      <c r="C136" s="955"/>
      <c r="D136" s="393">
        <f t="shared" si="25"/>
        <v>29.046369940554744</v>
      </c>
      <c r="E136" s="385">
        <f t="shared" si="47"/>
        <v>29.287622584165838</v>
      </c>
      <c r="F136" s="385">
        <f t="shared" si="26"/>
        <v>29.301301512932667</v>
      </c>
      <c r="G136" s="110">
        <f t="shared" si="48"/>
        <v>0.49465261639899083</v>
      </c>
      <c r="H136" s="414" t="b">
        <f>Wh_hp&gt;='2023'!Maxi_hp</f>
        <v>0</v>
      </c>
      <c r="I136" s="390">
        <f>IF(H136,Wh_hp,'2023'!Maxi_hp)</f>
        <v>52.039309618554178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4.6417266672736046E-2</v>
      </c>
      <c r="M136" s="959"/>
      <c r="N136" s="959"/>
      <c r="O136" s="48">
        <f>IF(t&lt;Tnet,'2023'!Resal+('2023'!Salim-'2023'!Resal)*(1-EXP(('2023'!Tnet-t)/('2023'!Tau_j))),Resal+(Salim-Resal)*(1-EXP((Tnet-t)/(Tau_j))))*Salcycl</f>
        <v>8.2373583898041284E-3</v>
      </c>
      <c r="P136" s="169">
        <f>(INDEX(Models!$BJ136:$BT136,,T136)*(1-R136)+INDEX(Models!$BJ136:$BT136,,T136+1)*R136-ERP_i)*Q136*Ramure*Pc/MaxiM</f>
        <v>1.6736740353624961E-3</v>
      </c>
      <c r="Q136" s="305">
        <f t="shared" si="28"/>
        <v>0.7</v>
      </c>
      <c r="R136" s="177">
        <f t="shared" si="29"/>
        <v>8.3285154020374952E-2</v>
      </c>
      <c r="S136" s="921">
        <f t="shared" si="30"/>
        <v>1</v>
      </c>
      <c r="T136" s="176">
        <f t="shared" si="31"/>
        <v>7</v>
      </c>
      <c r="U136" s="251">
        <f t="shared" si="32"/>
        <v>1.083285154020375</v>
      </c>
      <c r="V136" s="383">
        <f t="shared" si="33"/>
        <v>55.927479600257158</v>
      </c>
      <c r="W136" s="402">
        <f t="shared" si="34"/>
        <v>27.698116841149069</v>
      </c>
      <c r="X136" s="157">
        <f t="shared" si="35"/>
        <v>45413</v>
      </c>
      <c r="Y136" s="385">
        <f t="shared" si="36"/>
        <v>24.460369474887862</v>
      </c>
      <c r="Z136" s="385">
        <f t="shared" si="37"/>
        <v>25.651019696571215</v>
      </c>
      <c r="AA136" s="386">
        <f t="shared" si="38"/>
        <v>29.287622584165838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0.12416859296598315</v>
      </c>
      <c r="AD136" s="231">
        <f>(INDEX(Models!$BJ136:$BT136,,AH136)*(1-AF136)+INDEX(Models!$BJ136:$BT136,,AH136+1)*AF136-ERP_i)*AE136*Ramure*Pc/MaxiM</f>
        <v>1.6736740353624961E-3</v>
      </c>
      <c r="AE136" s="305">
        <f t="shared" si="40"/>
        <v>0.7</v>
      </c>
      <c r="AF136" s="177">
        <f t="shared" si="41"/>
        <v>8.3285154020374952E-2</v>
      </c>
      <c r="AG136" s="921">
        <f t="shared" si="49"/>
        <v>1</v>
      </c>
      <c r="AH136" s="176">
        <f t="shared" si="42"/>
        <v>7</v>
      </c>
      <c r="AI136" s="225">
        <f t="shared" si="43"/>
        <v>1.083285154020375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31.6336631191074</v>
      </c>
      <c r="C137" s="955"/>
      <c r="D137" s="393">
        <f t="shared" si="25"/>
        <v>33.17421224932599</v>
      </c>
      <c r="E137" s="385">
        <f t="shared" si="47"/>
        <v>33.454635060337274</v>
      </c>
      <c r="F137" s="385">
        <f t="shared" si="26"/>
        <v>33.477028933582545</v>
      </c>
      <c r="G137" s="110">
        <f t="shared" si="48"/>
        <v>0.56457538810629249</v>
      </c>
      <c r="H137" s="414" t="b">
        <f>Wh_hp&gt;='2023'!Maxi_hp</f>
        <v>0</v>
      </c>
      <c r="I137" s="390">
        <f>IF(H137,Wh_hp,'2023'!Maxi_hp)</f>
        <v>59.632265422182535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4.6438152581901537E-2</v>
      </c>
      <c r="M137" s="959"/>
      <c r="N137" s="959"/>
      <c r="O137" s="48">
        <f>IF(t&lt;Tnet,'2023'!Resal+('2023'!Salim-'2023'!Resal)*(1-EXP(('2023'!Tnet-t)/('2023'!Tau_j))),Resal+(Salim-Resal)*(1-EXP((Tnet-t)/(Tau_j))))*Salcycl</f>
        <v>8.3821811388922109E-3</v>
      </c>
      <c r="P137" s="169">
        <f>(INDEX(Models!$BJ137:$BT137,,T137)*(1-R137)+INDEX(Models!$BJ137:$BT137,,T137+1)*R137-ERP_i)*Q137*Ramure*Pc/MaxiM</f>
        <v>1.7656877164118766E-3</v>
      </c>
      <c r="Q137" s="305">
        <f t="shared" si="28"/>
        <v>0.7</v>
      </c>
      <c r="R137" s="177">
        <f t="shared" si="29"/>
        <v>8.6196085285938695E-2</v>
      </c>
      <c r="S137" s="921">
        <f t="shared" si="30"/>
        <v>1</v>
      </c>
      <c r="T137" s="176">
        <f t="shared" si="31"/>
        <v>7</v>
      </c>
      <c r="U137" s="251">
        <f t="shared" si="32"/>
        <v>1.0861960852859387</v>
      </c>
      <c r="V137" s="383">
        <f t="shared" si="33"/>
        <v>55.969399617074487</v>
      </c>
      <c r="W137" s="402">
        <f t="shared" si="34"/>
        <v>31.6336631191074</v>
      </c>
      <c r="X137" s="157">
        <f t="shared" si="35"/>
        <v>45414</v>
      </c>
      <c r="Y137" s="385">
        <f t="shared" si="36"/>
        <v>27.936715629304899</v>
      </c>
      <c r="Z137" s="385">
        <f t="shared" si="37"/>
        <v>29.297224616261072</v>
      </c>
      <c r="AA137" s="386">
        <f t="shared" si="38"/>
        <v>33.454635060337274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0.12427008803348424</v>
      </c>
      <c r="AD137" s="231">
        <f>(INDEX(Models!$BJ137:$BT137,,AH137)*(1-AF137)+INDEX(Models!$BJ137:$BT137,,AH137+1)*AF137-ERP_i)*AE137*Ramure*Pc/MaxiM</f>
        <v>1.7656877164118766E-3</v>
      </c>
      <c r="AE137" s="305">
        <f t="shared" si="40"/>
        <v>0.7</v>
      </c>
      <c r="AF137" s="177">
        <f t="shared" si="41"/>
        <v>8.6196085285938695E-2</v>
      </c>
      <c r="AG137" s="921">
        <f t="shared" si="49"/>
        <v>1</v>
      </c>
      <c r="AH137" s="176">
        <f t="shared" si="42"/>
        <v>7</v>
      </c>
      <c r="AI137" s="225">
        <f t="shared" si="43"/>
        <v>1.0861960852859387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18.65698229080806</v>
      </c>
      <c r="C138" s="955"/>
      <c r="D138" s="393">
        <f t="shared" si="25"/>
        <v>19.565999820640858</v>
      </c>
      <c r="E138" s="385">
        <f t="shared" si="47"/>
        <v>19.73427669576099</v>
      </c>
      <c r="F138" s="385">
        <f t="shared" si="26"/>
        <v>19.736015021269207</v>
      </c>
      <c r="G138" s="110">
        <f t="shared" si="48"/>
        <v>0.33253212907983032</v>
      </c>
      <c r="H138" s="414" t="b">
        <f>Wh_hp&gt;='2023'!Maxi_hp</f>
        <v>0</v>
      </c>
      <c r="I138" s="390">
        <f>IF(H138,Wh_hp,'2023'!Maxi_hp)</f>
        <v>56.02715044671482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4.6459038033611955E-2</v>
      </c>
      <c r="M138" s="959"/>
      <c r="N138" s="959"/>
      <c r="O138" s="48">
        <f>IF(t&lt;Tnet,'2023'!Resal+('2023'!Salim-'2023'!Resal)*(1-EXP(('2023'!Tnet-t)/('2023'!Tau_j))),Resal+(Salim-Resal)*(1-EXP((Tnet-t)/(Tau_j))))*Salcycl</f>
        <v>8.527136703027887E-3</v>
      </c>
      <c r="P138" s="169">
        <f>(INDEX(Models!$BJ138:$BT138,,T138)*(1-R138)+INDEX(Models!$BJ138:$BT138,,T138+1)*R138-ERP_i)*Q138*Ramure*Pc/MaxiM</f>
        <v>1.8614059573418943E-3</v>
      </c>
      <c r="Q138" s="305">
        <f t="shared" si="28"/>
        <v>0.7</v>
      </c>
      <c r="R138" s="177">
        <f t="shared" si="29"/>
        <v>8.9186206202229057E-2</v>
      </c>
      <c r="S138" s="921">
        <f t="shared" si="30"/>
        <v>1</v>
      </c>
      <c r="T138" s="176">
        <f t="shared" si="31"/>
        <v>7</v>
      </c>
      <c r="U138" s="251">
        <f t="shared" si="32"/>
        <v>1.0891862062022291</v>
      </c>
      <c r="V138" s="383">
        <f t="shared" si="33"/>
        <v>56.006300791348657</v>
      </c>
      <c r="W138" s="402">
        <f t="shared" si="34"/>
        <v>18.65698229080806</v>
      </c>
      <c r="X138" s="157">
        <f t="shared" si="35"/>
        <v>45415</v>
      </c>
      <c r="Y138" s="385">
        <f t="shared" si="36"/>
        <v>16.477056041466142</v>
      </c>
      <c r="Z138" s="385">
        <f t="shared" si="37"/>
        <v>17.27986179795279</v>
      </c>
      <c r="AA138" s="386">
        <f t="shared" si="38"/>
        <v>19.73427669576099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0.12437318760891888</v>
      </c>
      <c r="AD138" s="231">
        <f>(INDEX(Models!$BJ138:$BT138,,AH138)*(1-AF138)+INDEX(Models!$BJ138:$BT138,,AH138+1)*AF138-ERP_i)*AE138*Ramure*Pc/MaxiM</f>
        <v>1.8614059573418943E-3</v>
      </c>
      <c r="AE138" s="305">
        <f t="shared" si="40"/>
        <v>0.7</v>
      </c>
      <c r="AF138" s="177">
        <f t="shared" si="41"/>
        <v>8.9186206202229057E-2</v>
      </c>
      <c r="AG138" s="921">
        <f t="shared" si="49"/>
        <v>1</v>
      </c>
      <c r="AH138" s="176">
        <f t="shared" si="42"/>
        <v>7</v>
      </c>
      <c r="AI138" s="225">
        <f t="shared" si="43"/>
        <v>1.0891862062022291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39.179387650164877</v>
      </c>
      <c r="C139" s="955"/>
      <c r="D139" s="393">
        <f t="shared" si="25"/>
        <v>41.089211015438678</v>
      </c>
      <c r="E139" s="385">
        <f t="shared" si="47"/>
        <v>41.448663274214766</v>
      </c>
      <c r="F139" s="385">
        <f t="shared" si="26"/>
        <v>41.495060817710957</v>
      </c>
      <c r="G139" s="110">
        <f t="shared" si="48"/>
        <v>0.69856154543387572</v>
      </c>
      <c r="H139" s="414" t="b">
        <f>Wh_hp&gt;='2023'!Maxi_hp</f>
        <v>0</v>
      </c>
      <c r="I139" s="390">
        <f>IF(H139,Wh_hp,'2023'!Maxi_hp)</f>
        <v>58.496922298592779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4.6479923027877401E-2</v>
      </c>
      <c r="M139" s="959"/>
      <c r="N139" s="959"/>
      <c r="O139" s="48">
        <f>IF(t&lt;Tnet,'2023'!Resal+('2023'!Salim-'2023'!Resal)*(1-EXP(('2023'!Tnet-t)/('2023'!Tau_j))),Resal+(Salim-Resal)*(1-EXP((Tnet-t)/(Tau_j))))*Salcycl</f>
        <v>8.6722280136765483E-3</v>
      </c>
      <c r="P139" s="169">
        <f>(INDEX(Models!$BJ139:$BT139,,T139)*(1-R139)+INDEX(Models!$BJ139:$BT139,,T139+1)*R139-ERP_i)*Q139*Ramure*Pc/MaxiM</f>
        <v>1.9609157473711963E-3</v>
      </c>
      <c r="Q139" s="305">
        <f t="shared" si="28"/>
        <v>0.7</v>
      </c>
      <c r="R139" s="177">
        <f t="shared" si="29"/>
        <v>9.2256164268805563E-2</v>
      </c>
      <c r="S139" s="921">
        <f t="shared" si="30"/>
        <v>1</v>
      </c>
      <c r="T139" s="176">
        <f t="shared" si="31"/>
        <v>7</v>
      </c>
      <c r="U139" s="251">
        <f t="shared" si="32"/>
        <v>1.0922561642688056</v>
      </c>
      <c r="V139" s="383">
        <f t="shared" si="33"/>
        <v>56.038486155751826</v>
      </c>
      <c r="W139" s="402">
        <f t="shared" si="34"/>
        <v>39.179387650164877</v>
      </c>
      <c r="X139" s="157">
        <f t="shared" si="35"/>
        <v>45416</v>
      </c>
      <c r="Y139" s="385">
        <f t="shared" si="36"/>
        <v>34.602502156313193</v>
      </c>
      <c r="Z139" s="385">
        <f t="shared" si="37"/>
        <v>36.28922242119171</v>
      </c>
      <c r="AA139" s="386">
        <f t="shared" si="38"/>
        <v>41.448663274214766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0.12447785876445262</v>
      </c>
      <c r="AD139" s="231">
        <f>(INDEX(Models!$BJ139:$BT139,,AH139)*(1-AF139)+INDEX(Models!$BJ139:$BT139,,AH139+1)*AF139-ERP_i)*AE139*Ramure*Pc/MaxiM</f>
        <v>1.9609157473711963E-3</v>
      </c>
      <c r="AE139" s="305">
        <f t="shared" si="40"/>
        <v>0.7</v>
      </c>
      <c r="AF139" s="177">
        <f t="shared" si="41"/>
        <v>9.2256164268805563E-2</v>
      </c>
      <c r="AG139" s="921">
        <f t="shared" si="49"/>
        <v>1</v>
      </c>
      <c r="AH139" s="176">
        <f t="shared" si="42"/>
        <v>7</v>
      </c>
      <c r="AI139" s="225">
        <f t="shared" si="43"/>
        <v>1.0922561642688056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36.586745121578438</v>
      </c>
      <c r="C140" s="955"/>
      <c r="D140" s="393">
        <f t="shared" si="25"/>
        <v>38.371028955078366</v>
      </c>
      <c r="E140" s="385">
        <f t="shared" si="47"/>
        <v>38.712373666838729</v>
      </c>
      <c r="F140" s="385">
        <f t="shared" si="26"/>
        <v>38.752665168567169</v>
      </c>
      <c r="G140" s="110">
        <f t="shared" si="48"/>
        <v>0.65189332174726244</v>
      </c>
      <c r="H140" s="414" t="b">
        <f>Wh_hp&gt;='2023'!Maxi_hp</f>
        <v>0</v>
      </c>
      <c r="I140" s="390">
        <f>IF(H140,Wh_hp,'2023'!Maxi_hp)</f>
        <v>61.787025291973102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4.6500807564707758E-2</v>
      </c>
      <c r="M140" s="959"/>
      <c r="N140" s="959"/>
      <c r="O140" s="48">
        <f>IF(t&lt;Tnet,'2023'!Resal+('2023'!Salim-'2023'!Resal)*(1-EXP(('2023'!Tnet-t)/('2023'!Tau_j))),Resal+(Salim-Resal)*(1-EXP((Tnet-t)/(Tau_j))))*Salcycl</f>
        <v>8.8174575575758161E-3</v>
      </c>
      <c r="P140" s="169">
        <f>(INDEX(Models!$BJ140:$BT140,,T140)*(1-R140)+INDEX(Models!$BJ140:$BT140,,T140+1)*R140-ERP_i)*Q140*Ramure*Pc/MaxiM</f>
        <v>2.064303940258081E-3</v>
      </c>
      <c r="Q140" s="305">
        <f t="shared" si="28"/>
        <v>0.7</v>
      </c>
      <c r="R140" s="177">
        <f t="shared" si="29"/>
        <v>9.5406503630147022E-2</v>
      </c>
      <c r="S140" s="921">
        <f t="shared" si="30"/>
        <v>1</v>
      </c>
      <c r="T140" s="176">
        <f t="shared" si="31"/>
        <v>7</v>
      </c>
      <c r="U140" s="251">
        <f t="shared" si="32"/>
        <v>1.095406503630147</v>
      </c>
      <c r="V140" s="383">
        <f t="shared" si="33"/>
        <v>56.066258541441329</v>
      </c>
      <c r="W140" s="402">
        <f t="shared" si="34"/>
        <v>36.586745121578438</v>
      </c>
      <c r="X140" s="157">
        <f t="shared" si="35"/>
        <v>45417</v>
      </c>
      <c r="Y140" s="385">
        <f t="shared" si="36"/>
        <v>32.313542999089293</v>
      </c>
      <c r="Z140" s="385">
        <f t="shared" si="37"/>
        <v>33.889428806498124</v>
      </c>
      <c r="AA140" s="386">
        <f t="shared" si="38"/>
        <v>38.712373666838729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0.12458406456414144</v>
      </c>
      <c r="AD140" s="231">
        <f>(INDEX(Models!$BJ140:$BT140,,AH140)*(1-AF140)+INDEX(Models!$BJ140:$BT140,,AH140+1)*AF140-ERP_i)*AE140*Ramure*Pc/MaxiM</f>
        <v>2.064303940258081E-3</v>
      </c>
      <c r="AE140" s="305">
        <f t="shared" si="40"/>
        <v>0.7</v>
      </c>
      <c r="AF140" s="177">
        <f t="shared" si="41"/>
        <v>9.5406503630147022E-2</v>
      </c>
      <c r="AG140" s="921">
        <f t="shared" si="49"/>
        <v>1</v>
      </c>
      <c r="AH140" s="176">
        <f t="shared" si="42"/>
        <v>7</v>
      </c>
      <c r="AI140" s="225">
        <f t="shared" si="43"/>
        <v>1.095406503630147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47.338770756129435</v>
      </c>
      <c r="C141" s="955"/>
      <c r="D141" s="393">
        <f t="shared" si="25"/>
        <v>49.648503108326821</v>
      </c>
      <c r="E141" s="385">
        <f t="shared" si="47"/>
        <v>50.097518517497804</v>
      </c>
      <c r="F141" s="385">
        <f t="shared" si="26"/>
        <v>50.18220729209925</v>
      </c>
      <c r="G141" s="110">
        <f t="shared" si="48"/>
        <v>0.84357078905873373</v>
      </c>
      <c r="H141" s="414" t="b">
        <f>Wh_hp&gt;='2023'!Maxi_hp</f>
        <v>0</v>
      </c>
      <c r="I141" s="390">
        <f>IF(H141,Wh_hp,'2023'!Maxi_hp)</f>
        <v>57.268675300754929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4.652169164411335E-2</v>
      </c>
      <c r="M141" s="959"/>
      <c r="N141" s="959"/>
      <c r="O141" s="48">
        <f>IF(t&lt;Tnet,'2023'!Resal+('2023'!Salim-'2023'!Resal)*(1-EXP(('2023'!Tnet-t)/('2023'!Tau_j))),Resal+(Salim-Resal)*(1-EXP((Tnet-t)/(Tau_j))))*Salcycl</f>
        <v>8.9628273507030773E-3</v>
      </c>
      <c r="P141" s="169">
        <f>(INDEX(Models!$BJ141:$BT141,,T141)*(1-R141)+INDEX(Models!$BJ141:$BT141,,T141+1)*R141-ERP_i)*Q141*Ramure*Pc/MaxiM</f>
        <v>2.1716568503404423E-3</v>
      </c>
      <c r="Q141" s="305">
        <f t="shared" si="28"/>
        <v>0.7</v>
      </c>
      <c r="R141" s="177">
        <f t="shared" si="29"/>
        <v>9.8637658035299225E-2</v>
      </c>
      <c r="S141" s="921">
        <f t="shared" si="30"/>
        <v>1</v>
      </c>
      <c r="T141" s="176">
        <f t="shared" si="31"/>
        <v>7</v>
      </c>
      <c r="U141" s="251">
        <f t="shared" si="32"/>
        <v>1.0986376580352992</v>
      </c>
      <c r="V141" s="383">
        <f t="shared" si="33"/>
        <v>56.089920594481043</v>
      </c>
      <c r="W141" s="402">
        <f t="shared" si="34"/>
        <v>47.338770756129435</v>
      </c>
      <c r="X141" s="157">
        <f t="shared" si="35"/>
        <v>45418</v>
      </c>
      <c r="Y141" s="385">
        <f t="shared" si="36"/>
        <v>41.81075853502896</v>
      </c>
      <c r="Z141" s="385">
        <f t="shared" si="37"/>
        <v>43.85077056144528</v>
      </c>
      <c r="AA141" s="386">
        <f t="shared" si="38"/>
        <v>50.097518517497804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0.12469176400165792</v>
      </c>
      <c r="AD141" s="231">
        <f>(INDEX(Models!$BJ141:$BT141,,AH141)*(1-AF141)+INDEX(Models!$BJ141:$BT141,,AH141+1)*AF141-ERP_i)*AE141*Ramure*Pc/MaxiM</f>
        <v>2.1716568503404423E-3</v>
      </c>
      <c r="AE141" s="305">
        <f t="shared" si="40"/>
        <v>0.7</v>
      </c>
      <c r="AF141" s="177">
        <f t="shared" si="41"/>
        <v>9.8637658035299225E-2</v>
      </c>
      <c r="AG141" s="921">
        <f t="shared" si="49"/>
        <v>1</v>
      </c>
      <c r="AH141" s="176">
        <f t="shared" si="42"/>
        <v>7</v>
      </c>
      <c r="AI141" s="225">
        <f t="shared" si="43"/>
        <v>1.0986376580352992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49.381560778790657</v>
      </c>
      <c r="C142" s="955"/>
      <c r="D142" s="393">
        <f t="shared" si="25"/>
        <v>51.792098417580348</v>
      </c>
      <c r="E142" s="385">
        <f t="shared" si="47"/>
        <v>52.268174666802601</v>
      </c>
      <c r="F142" s="385">
        <f t="shared" si="26"/>
        <v>52.367255545945433</v>
      </c>
      <c r="G142" s="110">
        <f t="shared" si="48"/>
        <v>0.87974359421887283</v>
      </c>
      <c r="H142" s="414" t="b">
        <f>Wh_hp&gt;='2023'!Maxi_hp</f>
        <v>0</v>
      </c>
      <c r="I142" s="390">
        <f>IF(H142,Wh_hp,'2023'!Maxi_hp)</f>
        <v>59.229596839292704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4.6542575266103836E-2</v>
      </c>
      <c r="M142" s="959"/>
      <c r="N142" s="959"/>
      <c r="O142" s="48">
        <f>IF(t&lt;Tnet,'2023'!Resal+('2023'!Salim-'2023'!Resal)*(1-EXP(('2023'!Tnet-t)/('2023'!Tau_j))),Resal+(Salim-Resal)*(1-EXP((Tnet-t)/(Tau_j))))*Salcycl</f>
        <v>9.1083389128686614E-3</v>
      </c>
      <c r="P142" s="169">
        <f>(INDEX(Models!$BJ142:$BT142,,T142)*(1-R142)+INDEX(Models!$BJ142:$BT142,,T142+1)*R142-ERP_i)*Q142*Ramure*Pc/MaxiM</f>
        <v>2.2831468936220668E-3</v>
      </c>
      <c r="Q142" s="305">
        <f t="shared" si="28"/>
        <v>0.7</v>
      </c>
      <c r="R142" s="177">
        <f t="shared" si="29"/>
        <v>0.10194994383343214</v>
      </c>
      <c r="S142" s="921">
        <f t="shared" si="30"/>
        <v>1</v>
      </c>
      <c r="T142" s="176">
        <f t="shared" si="31"/>
        <v>7</v>
      </c>
      <c r="U142" s="251">
        <f t="shared" si="32"/>
        <v>1.1019499438334321</v>
      </c>
      <c r="V142" s="383">
        <f t="shared" si="33"/>
        <v>56.109769896216605</v>
      </c>
      <c r="W142" s="402">
        <f t="shared" si="34"/>
        <v>49.381560778790657</v>
      </c>
      <c r="X142" s="157">
        <f t="shared" si="35"/>
        <v>45419</v>
      </c>
      <c r="Y142" s="385">
        <f t="shared" si="36"/>
        <v>43.615965960013085</v>
      </c>
      <c r="Z142" s="385">
        <f t="shared" si="37"/>
        <v>45.74505880237497</v>
      </c>
      <c r="AA142" s="386">
        <f t="shared" si="38"/>
        <v>52.268174666802601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0.12480091195093321</v>
      </c>
      <c r="AD142" s="231">
        <f>(INDEX(Models!$BJ142:$BT142,,AH142)*(1-AF142)+INDEX(Models!$BJ142:$BT142,,AH142+1)*AF142-ERP_i)*AE142*Ramure*Pc/MaxiM</f>
        <v>2.2831468936220668E-3</v>
      </c>
      <c r="AE142" s="305">
        <f t="shared" si="40"/>
        <v>0.7</v>
      </c>
      <c r="AF142" s="177">
        <f t="shared" si="41"/>
        <v>0.10194994383343214</v>
      </c>
      <c r="AG142" s="921">
        <f t="shared" si="49"/>
        <v>1</v>
      </c>
      <c r="AH142" s="176">
        <f t="shared" si="42"/>
        <v>7</v>
      </c>
      <c r="AI142" s="225">
        <f t="shared" si="43"/>
        <v>1.1019499438334321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53.714505206347297</v>
      </c>
      <c r="C143" s="955"/>
      <c r="D143" s="393">
        <f t="shared" ref="D143:D206" si="50">Wh/(1-Ppv)</f>
        <v>56.337787429392854</v>
      </c>
      <c r="E143" s="385">
        <f t="shared" si="47"/>
        <v>56.864006561894556</v>
      </c>
      <c r="F143" s="385">
        <f t="shared" ref="F143:F206" si="51">Wh_sa/(1-Pvg*MEDIAN((-Sdif+Wh/Env_an)/Csdif,0,1))</f>
        <v>56.992263551443365</v>
      </c>
      <c r="G143" s="110">
        <f t="shared" si="48"/>
        <v>0.95689003854887655</v>
      </c>
      <c r="H143" s="414" t="b">
        <f>Wh_hp&gt;='2023'!Maxi_hp</f>
        <v>0</v>
      </c>
      <c r="I143" s="390">
        <f>IF(H143,Wh_hp,'2023'!Maxi_hp)</f>
        <v>56.995146549871819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4.6563458430689542E-2</v>
      </c>
      <c r="M143" s="959"/>
      <c r="N143" s="959"/>
      <c r="O143" s="48">
        <f>IF(t&lt;Tnet,'2023'!Resal+('2023'!Salim-'2023'!Resal)*(1-EXP(('2023'!Tnet-t)/('2023'!Tau_j))),Resal+(Salim-Resal)*(1-EXP((Tnet-t)/(Tau_j))))*Salcycl</f>
        <v>9.2539932431410527E-3</v>
      </c>
      <c r="P143" s="169">
        <f>(INDEX(Models!$BJ143:$BT143,,T143)*(1-R143)+INDEX(Models!$BJ143:$BT143,,T143+1)*R143-ERP_i)*Q143*Ramure*Pc/MaxiM</f>
        <v>2.3976024751456312E-3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0.10534355305077758</v>
      </c>
      <c r="S143" s="921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1.1053435530507776</v>
      </c>
      <c r="V143" s="383">
        <f t="shared" ref="V143:V206" si="58">MaxiM*(1-Ppv)*(1-Pvg)*(1-Psa)</f>
        <v>56.126179405803903</v>
      </c>
      <c r="W143" s="402">
        <f t="shared" ref="W143:W206" si="59">Wh*(A143&gt;Tmaj)</f>
        <v>53.714505206347297</v>
      </c>
      <c r="X143" s="157">
        <f t="shared" ref="X143:X206" si="60">t</f>
        <v>45420</v>
      </c>
      <c r="Y143" s="385">
        <f t="shared" ref="Y143:Y206" si="61">Wh_pvt_s*(1-Ppv)</f>
        <v>47.443994388009578</v>
      </c>
      <c r="Z143" s="385">
        <f t="shared" ref="Z143:Z206" si="62">Wh_sa_s*(1-Psa_s)</f>
        <v>49.761040530205669</v>
      </c>
      <c r="AA143" s="386">
        <f t="shared" ref="AA143:AA206" si="63">Wh_hp*(1-Pvg_s*MEDIAN((-Sdif+Wh/Env_an)/Csdif,0,1))</f>
        <v>56.864006561894556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0.12491145913113851</v>
      </c>
      <c r="AD143" s="231">
        <f>(INDEX(Models!$BJ143:$BT143,,AH143)*(1-AF143)+INDEX(Models!$BJ143:$BT143,,AH143+1)*AF143-ERP_i)*AE143*Ramure*Pc/MaxiM</f>
        <v>2.3976024751456312E-3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0.10534355305077758</v>
      </c>
      <c r="AG143" s="92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1.1053435530507776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51.190553507168609</v>
      </c>
      <c r="C144" s="955"/>
      <c r="D144" s="393">
        <f t="shared" si="50"/>
        <v>53.691748222662284</v>
      </c>
      <c r="E144" s="385">
        <f t="shared" ref="E144:E169" si="72">Wh_pvt/(1-Psa)</f>
        <v>54.201228430815505</v>
      </c>
      <c r="F144" s="385">
        <f t="shared" si="51"/>
        <v>54.32064410372486</v>
      </c>
      <c r="G144" s="110">
        <f t="shared" ref="G144:G169" si="73">+Wh_hp/MaxiM</f>
        <v>0.91155687328449009</v>
      </c>
      <c r="H144" s="414" t="b">
        <f>Wh_hp&gt;='2023'!Maxi_hp</f>
        <v>0</v>
      </c>
      <c r="I144" s="390">
        <f>IF(H144,Wh_hp,'2023'!Maxi_hp)</f>
        <v>54.326480151612564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4.6584341137880236E-2</v>
      </c>
      <c r="M144" s="959"/>
      <c r="N144" s="959"/>
      <c r="O144" s="48">
        <f>IF(t&lt;Tnet,'2023'!Resal+('2023'!Salim-'2023'!Resal)*(1-EXP(('2023'!Tnet-t)/('2023'!Tau_j))),Resal+(Salim-Resal)*(1-EXP((Tnet-t)/(Tau_j))))*Salcycl</f>
        <v>9.3997907963200254E-3</v>
      </c>
      <c r="P144" s="169">
        <f>(INDEX(Models!$BJ144:$BT144,,T144)*(1-R144)+INDEX(Models!$BJ144:$BT144,,T144+1)*R144-ERP_i)*Q144*Ramure*Pc/MaxiM</f>
        <v>2.5150817476385493E-3</v>
      </c>
      <c r="Q144" s="305">
        <f t="shared" si="53"/>
        <v>0.7</v>
      </c>
      <c r="R144" s="177">
        <f t="shared" si="54"/>
        <v>0.10881854659749579</v>
      </c>
      <c r="S144" s="921">
        <f t="shared" si="55"/>
        <v>1</v>
      </c>
      <c r="T144" s="176">
        <f t="shared" si="56"/>
        <v>7</v>
      </c>
      <c r="U144" s="251">
        <f t="shared" si="57"/>
        <v>1.1088185465974958</v>
      </c>
      <c r="V144" s="383">
        <f t="shared" si="58"/>
        <v>56.139452735203839</v>
      </c>
      <c r="W144" s="402">
        <f t="shared" si="59"/>
        <v>51.190553507168609</v>
      </c>
      <c r="X144" s="157">
        <f t="shared" si="60"/>
        <v>45421</v>
      </c>
      <c r="Y144" s="385">
        <f t="shared" si="61"/>
        <v>45.21555567659307</v>
      </c>
      <c r="Z144" s="385">
        <f t="shared" si="62"/>
        <v>47.424809165140857</v>
      </c>
      <c r="AA144" s="386">
        <f t="shared" si="63"/>
        <v>54.201228430815505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0.12502335208738541</v>
      </c>
      <c r="AD144" s="231">
        <f>(INDEX(Models!$BJ144:$BT144,,AH144)*(1-AF144)+INDEX(Models!$BJ144:$BT144,,AH144+1)*AF144-ERP_i)*AE144*Ramure*Pc/MaxiM</f>
        <v>2.5150817476385493E-3</v>
      </c>
      <c r="AE144" s="305">
        <f t="shared" si="65"/>
        <v>0.7</v>
      </c>
      <c r="AF144" s="177">
        <f t="shared" si="66"/>
        <v>0.10881854659749579</v>
      </c>
      <c r="AG144" s="921">
        <f t="shared" ref="AG144:AG207" si="74">INDEX(Echel_vg,AH144)</f>
        <v>1</v>
      </c>
      <c r="AH144" s="176">
        <f t="shared" si="67"/>
        <v>7</v>
      </c>
      <c r="AI144" s="225">
        <f t="shared" si="68"/>
        <v>1.1088185465974958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54.909821481424196</v>
      </c>
      <c r="C145" s="955"/>
      <c r="D145" s="393">
        <f t="shared" si="50"/>
        <v>57.594002850041406</v>
      </c>
      <c r="E145" s="385">
        <f t="shared" si="72"/>
        <v>58.149078336527879</v>
      </c>
      <c r="F145" s="385">
        <f t="shared" si="51"/>
        <v>58.297882793650295</v>
      </c>
      <c r="G145" s="110">
        <f t="shared" si="73"/>
        <v>0.97783344620709411</v>
      </c>
      <c r="H145" s="414" t="b">
        <f>Wh_hp&gt;='2023'!Maxi_hp</f>
        <v>0</v>
      </c>
      <c r="I145" s="390">
        <f>IF(H145,Wh_hp,'2023'!Maxi_hp)</f>
        <v>58.299507176045971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4.6605223387686134E-2</v>
      </c>
      <c r="M145" s="959"/>
      <c r="N145" s="959"/>
      <c r="O145" s="48">
        <f>IF(t&lt;Tnet,'2023'!Resal+('2023'!Salim-'2023'!Resal)*(1-EXP(('2023'!Tnet-t)/('2023'!Tau_j))),Resal+(Salim-Resal)*(1-EXP((Tnet-t)/(Tau_j))))*Salcycl</f>
        <v>9.5457314606788492E-3</v>
      </c>
      <c r="P145" s="169">
        <f>(INDEX(Models!$BJ145:$BT145,,T145)*(1-R145)+INDEX(Models!$BJ145:$BT145,,T145+1)*R145-ERP_i)*Q145*Ramure*Pc/MaxiM</f>
        <v>2.6356392790798391E-3</v>
      </c>
      <c r="Q145" s="305">
        <f t="shared" si="53"/>
        <v>0.7</v>
      </c>
      <c r="R145" s="177">
        <f t="shared" si="54"/>
        <v>0.11237484765586014</v>
      </c>
      <c r="S145" s="921">
        <f t="shared" si="55"/>
        <v>1</v>
      </c>
      <c r="T145" s="176">
        <f t="shared" si="56"/>
        <v>7</v>
      </c>
      <c r="U145" s="251">
        <f t="shared" si="57"/>
        <v>1.1123748476558601</v>
      </c>
      <c r="V145" s="383">
        <f t="shared" si="58"/>
        <v>56.149893430106438</v>
      </c>
      <c r="W145" s="402">
        <f t="shared" si="59"/>
        <v>54.909821481424196</v>
      </c>
      <c r="X145" s="157">
        <f t="shared" si="60"/>
        <v>45422</v>
      </c>
      <c r="Y145" s="385">
        <f t="shared" si="61"/>
        <v>48.501579839811129</v>
      </c>
      <c r="Z145" s="385">
        <f t="shared" si="62"/>
        <v>50.872504265390674</v>
      </c>
      <c r="AA145" s="386">
        <f t="shared" si="63"/>
        <v>58.149078336527879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0.12513653318845874</v>
      </c>
      <c r="AD145" s="231">
        <f>(INDEX(Models!$BJ145:$BT145,,AH145)*(1-AF145)+INDEX(Models!$BJ145:$BT145,,AH145+1)*AF145-ERP_i)*AE145*Ramure*Pc/MaxiM</f>
        <v>2.6356392790798391E-3</v>
      </c>
      <c r="AE145" s="305">
        <f t="shared" si="65"/>
        <v>0.7</v>
      </c>
      <c r="AF145" s="177">
        <f t="shared" si="66"/>
        <v>0.11237484765586014</v>
      </c>
      <c r="AG145" s="921">
        <f t="shared" si="74"/>
        <v>1</v>
      </c>
      <c r="AH145" s="176">
        <f t="shared" si="67"/>
        <v>7</v>
      </c>
      <c r="AI145" s="225">
        <f t="shared" si="68"/>
        <v>1.1123748476558601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42.267431261138213</v>
      </c>
      <c r="C146" s="955"/>
      <c r="D146" s="393">
        <f t="shared" si="50"/>
        <v>44.334580053845116</v>
      </c>
      <c r="E146" s="385">
        <f t="shared" si="72"/>
        <v>44.768467740298831</v>
      </c>
      <c r="F146" s="385">
        <f t="shared" si="51"/>
        <v>44.84849164066916</v>
      </c>
      <c r="G146" s="110">
        <f t="shared" si="73"/>
        <v>0.75191946099232887</v>
      </c>
      <c r="H146" s="414" t="b">
        <f>Wh_hp&gt;='2023'!Maxi_hp</f>
        <v>0</v>
      </c>
      <c r="I146" s="390">
        <f>IF(H146,Wh_hp,'2023'!Maxi_hp)</f>
        <v>54.342875304504368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4.6626105180117117E-2</v>
      </c>
      <c r="M146" s="959"/>
      <c r="N146" s="959"/>
      <c r="O146" s="48">
        <f>IF(t&lt;Tnet,'2023'!Resal+('2023'!Salim-'2023'!Resal)*(1-EXP(('2023'!Tnet-t)/('2023'!Tau_j))),Resal+(Salim-Resal)*(1-EXP((Tnet-t)/(Tau_j))))*Salcycl</f>
        <v>9.691814537202699E-3</v>
      </c>
      <c r="P146" s="169">
        <f>(INDEX(Models!$BJ146:$BT146,,T146)*(1-R146)+INDEX(Models!$BJ146:$BT146,,T146+1)*R146-ERP_i)*Q146*Ramure*Pc/MaxiM</f>
        <v>2.7593256525980979E-3</v>
      </c>
      <c r="Q146" s="305">
        <f t="shared" si="53"/>
        <v>0.7</v>
      </c>
      <c r="R146" s="177">
        <f t="shared" si="54"/>
        <v>0.11601223530368876</v>
      </c>
      <c r="S146" s="921">
        <f t="shared" si="55"/>
        <v>1</v>
      </c>
      <c r="T146" s="176">
        <f t="shared" si="56"/>
        <v>7</v>
      </c>
      <c r="U146" s="251">
        <f t="shared" si="57"/>
        <v>1.1160122353036888</v>
      </c>
      <c r="V146" s="383">
        <f t="shared" si="58"/>
        <v>56.1578049926392</v>
      </c>
      <c r="W146" s="402">
        <f t="shared" si="59"/>
        <v>42.267431261138213</v>
      </c>
      <c r="X146" s="157">
        <f t="shared" si="60"/>
        <v>45423</v>
      </c>
      <c r="Y146" s="385">
        <f t="shared" si="61"/>
        <v>37.335241978078173</v>
      </c>
      <c r="Z146" s="385">
        <f t="shared" si="62"/>
        <v>39.161175044688811</v>
      </c>
      <c r="AA146" s="386">
        <f t="shared" si="63"/>
        <v>44.768467740298831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0.12525094064281664</v>
      </c>
      <c r="AD146" s="231">
        <f>(INDEX(Models!$BJ146:$BT146,,AH146)*(1-AF146)+INDEX(Models!$BJ146:$BT146,,AH146+1)*AF146-ERP_i)*AE146*Ramure*Pc/MaxiM</f>
        <v>2.7593256525980979E-3</v>
      </c>
      <c r="AE146" s="305">
        <f t="shared" si="65"/>
        <v>0.7</v>
      </c>
      <c r="AF146" s="177">
        <f t="shared" si="66"/>
        <v>0.11601223530368876</v>
      </c>
      <c r="AG146" s="921">
        <f t="shared" si="74"/>
        <v>1</v>
      </c>
      <c r="AH146" s="176">
        <f t="shared" si="67"/>
        <v>7</v>
      </c>
      <c r="AI146" s="225">
        <f t="shared" si="68"/>
        <v>1.1160122353036888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38.700268031132985</v>
      </c>
      <c r="C147" s="955"/>
      <c r="D147" s="393">
        <f t="shared" si="50"/>
        <v>40.593848746196187</v>
      </c>
      <c r="E147" s="385">
        <f t="shared" si="72"/>
        <v>40.997180596336385</v>
      </c>
      <c r="F147" s="385">
        <f t="shared" si="51"/>
        <v>41.063052357370196</v>
      </c>
      <c r="G147" s="110">
        <f t="shared" si="73"/>
        <v>0.68817968684003039</v>
      </c>
      <c r="H147" s="414" t="b">
        <f>Wh_hp&gt;='2023'!Maxi_hp</f>
        <v>0</v>
      </c>
      <c r="I147" s="390">
        <f>IF(H147,Wh_hp,'2023'!Maxi_hp)</f>
        <v>61.987907498178245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4.6646986515183286E-2</v>
      </c>
      <c r="M147" s="959"/>
      <c r="N147" s="959"/>
      <c r="O147" s="48">
        <f>IF(t&lt;Tnet,'2023'!Resal+('2023'!Salim-'2023'!Resal)*(1-EXP(('2023'!Tnet-t)/('2023'!Tau_j))),Resal+(Salim-Resal)*(1-EXP((Tnet-t)/(Tau_j))))*Salcycl</f>
        <v>9.8380387205514036E-3</v>
      </c>
      <c r="P147" s="169">
        <f>(INDEX(Models!$BJ147:$BT147,,T147)*(1-R147)+INDEX(Models!$BJ147:$BT147,,T147+1)*R147-ERP_i)*Q147*Ramure*Pc/MaxiM</f>
        <v>2.8861870552653423E-3</v>
      </c>
      <c r="Q147" s="305">
        <f t="shared" si="53"/>
        <v>0.7</v>
      </c>
      <c r="R147" s="177">
        <f t="shared" si="54"/>
        <v>0.11973033842914083</v>
      </c>
      <c r="S147" s="921">
        <f t="shared" si="55"/>
        <v>1</v>
      </c>
      <c r="T147" s="176">
        <f t="shared" si="56"/>
        <v>7</v>
      </c>
      <c r="U147" s="251">
        <f t="shared" si="57"/>
        <v>1.1197303384291408</v>
      </c>
      <c r="V147" s="383">
        <f t="shared" si="58"/>
        <v>56.163490892649286</v>
      </c>
      <c r="W147" s="402">
        <f t="shared" si="59"/>
        <v>38.700268031132985</v>
      </c>
      <c r="X147" s="157">
        <f t="shared" si="60"/>
        <v>45424</v>
      </c>
      <c r="Y147" s="385">
        <f t="shared" si="61"/>
        <v>34.184862550165462</v>
      </c>
      <c r="Z147" s="385">
        <f t="shared" si="62"/>
        <v>35.857507205236203</v>
      </c>
      <c r="AA147" s="386">
        <f t="shared" si="63"/>
        <v>40.997180596336385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0.12536650853399117</v>
      </c>
      <c r="AD147" s="231">
        <f>(INDEX(Models!$BJ147:$BT147,,AH147)*(1-AF147)+INDEX(Models!$BJ147:$BT147,,AH147+1)*AF147-ERP_i)*AE147*Ramure*Pc/MaxiM</f>
        <v>2.8861870552653423E-3</v>
      </c>
      <c r="AE147" s="305">
        <f t="shared" si="65"/>
        <v>0.7</v>
      </c>
      <c r="AF147" s="177">
        <f t="shared" si="66"/>
        <v>0.11973033842914083</v>
      </c>
      <c r="AG147" s="921">
        <f t="shared" si="74"/>
        <v>1</v>
      </c>
      <c r="AH147" s="176">
        <f t="shared" si="67"/>
        <v>7</v>
      </c>
      <c r="AI147" s="225">
        <f t="shared" si="68"/>
        <v>1.1197303384291408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50.507528774844616</v>
      </c>
      <c r="C148" s="955"/>
      <c r="D148" s="393">
        <f t="shared" si="50"/>
        <v>52.979992016759361</v>
      </c>
      <c r="E148" s="385">
        <f t="shared" si="72"/>
        <v>53.514300308171727</v>
      </c>
      <c r="F148" s="385">
        <f t="shared" si="51"/>
        <v>53.652835741819217</v>
      </c>
      <c r="G148" s="110">
        <f t="shared" si="73"/>
        <v>0.89884297032167293</v>
      </c>
      <c r="H148" s="414" t="b">
        <f>Wh_hp&gt;='2023'!Maxi_hp</f>
        <v>0</v>
      </c>
      <c r="I148" s="390">
        <f>IF(H148,Wh_hp,'2023'!Maxi_hp)</f>
        <v>60.924968033525275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4.6667867392894635E-2</v>
      </c>
      <c r="M148" s="959"/>
      <c r="N148" s="959"/>
      <c r="O148" s="48">
        <f>IF(t&lt;Tnet,'2023'!Resal+('2023'!Salim-'2023'!Resal)*(1-EXP(('2023'!Tnet-t)/('2023'!Tau_j))),Resal+(Salim-Resal)*(1-EXP((Tnet-t)/(Tau_j))))*Salcycl</f>
        <v>9.9844020819754107E-3</v>
      </c>
      <c r="P148" s="169">
        <f>(INDEX(Models!$BJ148:$BT148,,T148)*(1-R148)+INDEX(Models!$BJ148:$BT148,,T148+1)*R148-ERP_i)*Q148*Ramure*Pc/MaxiM</f>
        <v>3.0162648569064076E-3</v>
      </c>
      <c r="Q148" s="305">
        <f t="shared" si="53"/>
        <v>0.7</v>
      </c>
      <c r="R148" s="177">
        <f t="shared" si="54"/>
        <v>0.12352862999474334</v>
      </c>
      <c r="S148" s="921">
        <f t="shared" si="55"/>
        <v>1</v>
      </c>
      <c r="T148" s="176">
        <f t="shared" si="56"/>
        <v>7</v>
      </c>
      <c r="U148" s="251">
        <f t="shared" si="57"/>
        <v>1.1235286299947433</v>
      </c>
      <c r="V148" s="383">
        <f t="shared" si="58"/>
        <v>56.167254585940704</v>
      </c>
      <c r="W148" s="402">
        <f t="shared" si="59"/>
        <v>50.507528774844616</v>
      </c>
      <c r="X148" s="157">
        <f t="shared" si="60"/>
        <v>45425</v>
      </c>
      <c r="Y148" s="385">
        <f t="shared" si="61"/>
        <v>44.615139605843972</v>
      </c>
      <c r="Z148" s="385">
        <f t="shared" si="62"/>
        <v>46.799156432327145</v>
      </c>
      <c r="AA148" s="386">
        <f t="shared" si="63"/>
        <v>53.514300308171727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0.12548316687640904</v>
      </c>
      <c r="AD148" s="231">
        <f>(INDEX(Models!$BJ148:$BT148,,AH148)*(1-AF148)+INDEX(Models!$BJ148:$BT148,,AH148+1)*AF148-ERP_i)*AE148*Ramure*Pc/MaxiM</f>
        <v>3.0162648569064076E-3</v>
      </c>
      <c r="AE148" s="305">
        <f t="shared" si="65"/>
        <v>0.7</v>
      </c>
      <c r="AF148" s="177">
        <f t="shared" si="66"/>
        <v>0.12352862999474334</v>
      </c>
      <c r="AG148" s="921">
        <f t="shared" si="74"/>
        <v>1</v>
      </c>
      <c r="AH148" s="176">
        <f t="shared" si="67"/>
        <v>7</v>
      </c>
      <c r="AI148" s="225">
        <f t="shared" si="68"/>
        <v>1.1235286299947433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51.525422413248677</v>
      </c>
      <c r="C149" s="955"/>
      <c r="D149" s="393">
        <f t="shared" si="50"/>
        <v>54.048897770856954</v>
      </c>
      <c r="E149" s="385">
        <f t="shared" si="72"/>
        <v>54.602065952995225</v>
      </c>
      <c r="F149" s="385">
        <f t="shared" si="51"/>
        <v>54.754157250506509</v>
      </c>
      <c r="G149" s="110">
        <f t="shared" si="73"/>
        <v>0.91699583790344952</v>
      </c>
      <c r="H149" s="414" t="b">
        <f>Wh_hp&gt;='2023'!Maxi_hp</f>
        <v>0</v>
      </c>
      <c r="I149" s="390">
        <f>IF(H149,Wh_hp,'2023'!Maxi_hp)</f>
        <v>61.115724809852011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4.6688747813261156E-2</v>
      </c>
      <c r="M149" s="959"/>
      <c r="N149" s="959"/>
      <c r="O149" s="48">
        <f>IF(t&lt;Tnet,'2023'!Resal+('2023'!Salim-'2023'!Resal)*(1-EXP(('2023'!Tnet-t)/('2023'!Tau_j))),Resal+(Salim-Resal)*(1-EXP((Tnet-t)/(Tau_j))))*Salcycl</f>
        <v>1.0130902054410846E-2</v>
      </c>
      <c r="P149" s="169">
        <f>(INDEX(Models!$BJ149:$BT149,,T149)*(1-R149)+INDEX(Models!$BJ149:$BT149,,T149+1)*R149-ERP_i)*Q149*Ramure*Pc/MaxiM</f>
        <v>3.1496500920379597E-3</v>
      </c>
      <c r="Q149" s="305">
        <f t="shared" si="53"/>
        <v>0.7</v>
      </c>
      <c r="R149" s="177">
        <f t="shared" si="54"/>
        <v>0.127406421709783</v>
      </c>
      <c r="S149" s="921">
        <f t="shared" si="55"/>
        <v>1</v>
      </c>
      <c r="T149" s="176">
        <f t="shared" si="56"/>
        <v>7</v>
      </c>
      <c r="U149" s="251">
        <f t="shared" si="57"/>
        <v>1.127406421709783</v>
      </c>
      <c r="V149" s="383">
        <f t="shared" si="58"/>
        <v>56.168417186566359</v>
      </c>
      <c r="W149" s="402">
        <f t="shared" si="59"/>
        <v>51.525422413248677</v>
      </c>
      <c r="X149" s="157">
        <f t="shared" si="60"/>
        <v>45426</v>
      </c>
      <c r="Y149" s="385">
        <f t="shared" si="61"/>
        <v>45.514892911687433</v>
      </c>
      <c r="Z149" s="385">
        <f t="shared" si="62"/>
        <v>47.744000511148663</v>
      </c>
      <c r="AA149" s="386">
        <f t="shared" si="63"/>
        <v>54.602065952995225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0.12560084169251759</v>
      </c>
      <c r="AD149" s="231">
        <f>(INDEX(Models!$BJ149:$BT149,,AH149)*(1-AF149)+INDEX(Models!$BJ149:$BT149,,AH149+1)*AF149-ERP_i)*AE149*Ramure*Pc/MaxiM</f>
        <v>3.1496500920379597E-3</v>
      </c>
      <c r="AE149" s="305">
        <f t="shared" si="65"/>
        <v>0.7</v>
      </c>
      <c r="AF149" s="177">
        <f t="shared" si="66"/>
        <v>0.127406421709783</v>
      </c>
      <c r="AG149" s="921">
        <f t="shared" si="74"/>
        <v>1</v>
      </c>
      <c r="AH149" s="176">
        <f t="shared" si="67"/>
        <v>7</v>
      </c>
      <c r="AI149" s="225">
        <f t="shared" si="68"/>
        <v>1.127406421709783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49.610619690732619</v>
      </c>
      <c r="C150" s="955"/>
      <c r="D150" s="393">
        <f t="shared" si="50"/>
        <v>52.041456765169734</v>
      </c>
      <c r="E150" s="385">
        <f t="shared" si="72"/>
        <v>52.581868784046215</v>
      </c>
      <c r="F150" s="385">
        <f t="shared" si="51"/>
        <v>52.72624330056474</v>
      </c>
      <c r="G150" s="110">
        <f t="shared" si="73"/>
        <v>0.88279742324034993</v>
      </c>
      <c r="H150" s="414" t="b">
        <f>Wh_hp&gt;='2023'!Maxi_hp</f>
        <v>0</v>
      </c>
      <c r="I150" s="390">
        <f>IF(H150,Wh_hp,'2023'!Maxi_hp)</f>
        <v>53.059049152756259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4.6709627776292839E-2</v>
      </c>
      <c r="M150" s="959"/>
      <c r="N150" s="959"/>
      <c r="O150" s="48">
        <f>IF(t&lt;Tnet,'2023'!Resal+('2023'!Salim-'2023'!Resal)*(1-EXP(('2023'!Tnet-t)/('2023'!Tau_j))),Resal+(Salim-Resal)*(1-EXP((Tnet-t)/(Tau_j))))*Salcycl</f>
        <v>1.0277535419974296E-2</v>
      </c>
      <c r="P150" s="169">
        <f>(INDEX(Models!$BJ150:$BT150,,T150)*(1-R150)+INDEX(Models!$BJ150:$BT150,,T150+1)*R150-ERP_i)*Q150*Ramure*Pc/MaxiM</f>
        <v>3.2861141137036308E-3</v>
      </c>
      <c r="Q150" s="305">
        <f t="shared" si="53"/>
        <v>0.7</v>
      </c>
      <c r="R150" s="177">
        <f t="shared" si="54"/>
        <v>0.13136285917090906</v>
      </c>
      <c r="S150" s="921">
        <f t="shared" si="55"/>
        <v>1</v>
      </c>
      <c r="T150" s="176">
        <f t="shared" si="56"/>
        <v>7</v>
      </c>
      <c r="U150" s="251">
        <f t="shared" si="57"/>
        <v>1.1313628591709091</v>
      </c>
      <c r="V150" s="383">
        <f t="shared" si="58"/>
        <v>56.166183697688773</v>
      </c>
      <c r="W150" s="402">
        <f t="shared" si="59"/>
        <v>49.610619690732619</v>
      </c>
      <c r="X150" s="157">
        <f t="shared" si="60"/>
        <v>45427</v>
      </c>
      <c r="Y150" s="385">
        <f t="shared" si="61"/>
        <v>43.824002351863562</v>
      </c>
      <c r="Z150" s="385">
        <f t="shared" si="62"/>
        <v>45.971304891747558</v>
      </c>
      <c r="AA150" s="386">
        <f t="shared" si="63"/>
        <v>52.581868784046215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0.12571945511195604</v>
      </c>
      <c r="AD150" s="231">
        <f>(INDEX(Models!$BJ150:$BT150,,AH150)*(1-AF150)+INDEX(Models!$BJ150:$BT150,,AH150+1)*AF150-ERP_i)*AE150*Ramure*Pc/MaxiM</f>
        <v>3.2861141137036308E-3</v>
      </c>
      <c r="AE150" s="305">
        <f t="shared" si="65"/>
        <v>0.7</v>
      </c>
      <c r="AF150" s="177">
        <f t="shared" si="66"/>
        <v>0.13136285917090906</v>
      </c>
      <c r="AG150" s="921">
        <f t="shared" si="74"/>
        <v>1</v>
      </c>
      <c r="AH150" s="176">
        <f t="shared" si="67"/>
        <v>7</v>
      </c>
      <c r="AI150" s="225">
        <f t="shared" si="68"/>
        <v>1.1313628591709091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53.11585639310308</v>
      </c>
      <c r="C151" s="955"/>
      <c r="D151" s="393">
        <f t="shared" si="50"/>
        <v>55.71966458473041</v>
      </c>
      <c r="E151" s="385">
        <f t="shared" si="72"/>
        <v>56.306621604606008</v>
      </c>
      <c r="F151" s="385">
        <f t="shared" si="51"/>
        <v>56.485070709508236</v>
      </c>
      <c r="G151" s="110">
        <f t="shared" si="73"/>
        <v>0.94553128961409916</v>
      </c>
      <c r="H151" s="414" t="b">
        <f>Wh_hp&gt;='2023'!Maxi_hp</f>
        <v>0</v>
      </c>
      <c r="I151" s="390">
        <f>IF(H151,Wh_hp,'2023'!Maxi_hp)</f>
        <v>56.489788505091589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4.6730507281999789E-2</v>
      </c>
      <c r="M151" s="959"/>
      <c r="N151" s="959"/>
      <c r="O151" s="48">
        <f>IF(t&lt;Tnet,'2023'!Resal+('2023'!Salim-'2023'!Resal)*(1-EXP(('2023'!Tnet-t)/('2023'!Tau_j))),Resal+(Salim-Resal)*(1-EXP((Tnet-t)/(Tau_j))))*Salcycl</f>
        <v>1.0424298300070314E-2</v>
      </c>
      <c r="P151" s="169">
        <f>(INDEX(Models!$BJ151:$BT151,,T151)*(1-R151)+INDEX(Models!$BJ151:$BT151,,T151+1)*R151-ERP_i)*Q151*Ramure*Pc/MaxiM</f>
        <v>3.4244605700167294E-3</v>
      </c>
      <c r="Q151" s="305">
        <f t="shared" si="53"/>
        <v>0.7</v>
      </c>
      <c r="R151" s="177">
        <f t="shared" si="54"/>
        <v>0.1353969175308829</v>
      </c>
      <c r="S151" s="921">
        <f t="shared" si="55"/>
        <v>1</v>
      </c>
      <c r="T151" s="176">
        <f t="shared" si="56"/>
        <v>7</v>
      </c>
      <c r="U151" s="251">
        <f t="shared" si="57"/>
        <v>1.1353969175308829</v>
      </c>
      <c r="V151" s="383">
        <f t="shared" si="58"/>
        <v>56.160725897877391</v>
      </c>
      <c r="W151" s="402">
        <f t="shared" si="59"/>
        <v>53.11585639310308</v>
      </c>
      <c r="X151" s="157">
        <f t="shared" si="60"/>
        <v>45428</v>
      </c>
      <c r="Y151" s="385">
        <f t="shared" si="61"/>
        <v>46.920931888458497</v>
      </c>
      <c r="Z151" s="385">
        <f t="shared" si="62"/>
        <v>49.221056843721762</v>
      </c>
      <c r="AA151" s="386">
        <f t="shared" si="63"/>
        <v>56.306621604606008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0.12583892549334957</v>
      </c>
      <c r="AD151" s="231">
        <f>(INDEX(Models!$BJ151:$BT151,,AH151)*(1-AF151)+INDEX(Models!$BJ151:$BT151,,AH151+1)*AF151-ERP_i)*AE151*Ramure*Pc/MaxiM</f>
        <v>3.4244605700167294E-3</v>
      </c>
      <c r="AE151" s="305">
        <f t="shared" si="65"/>
        <v>0.7</v>
      </c>
      <c r="AF151" s="177">
        <f t="shared" si="66"/>
        <v>0.1353969175308829</v>
      </c>
      <c r="AG151" s="921">
        <f t="shared" si="74"/>
        <v>1</v>
      </c>
      <c r="AH151" s="176">
        <f t="shared" si="67"/>
        <v>7</v>
      </c>
      <c r="AI151" s="225">
        <f t="shared" si="68"/>
        <v>1.1353969175308829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51.453874295260412</v>
      </c>
      <c r="C152" s="955"/>
      <c r="D152" s="393">
        <f t="shared" si="50"/>
        <v>53.977392211654568</v>
      </c>
      <c r="E152" s="385">
        <f t="shared" si="72"/>
        <v>54.554093691216984</v>
      </c>
      <c r="F152" s="385">
        <f t="shared" si="51"/>
        <v>54.7258571177112</v>
      </c>
      <c r="G152" s="110">
        <f t="shared" si="73"/>
        <v>0.91593792649142391</v>
      </c>
      <c r="H152" s="414" t="b">
        <f>Wh_hp&gt;='2023'!Maxi_hp</f>
        <v>0</v>
      </c>
      <c r="I152" s="390">
        <f>IF(H152,Wh_hp,'2023'!Maxi_hp)</f>
        <v>59.62470514235855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4.6751386330391997E-2</v>
      </c>
      <c r="M152" s="959"/>
      <c r="N152" s="959"/>
      <c r="O152" s="48">
        <f>IF(t&lt;Tnet,'2023'!Resal+('2023'!Salim-'2023'!Resal)*(1-EXP(('2023'!Tnet-t)/('2023'!Tau_j))),Resal+(Salim-Resal)*(1-EXP((Tnet-t)/(Tau_j))))*Salcycl</f>
        <v>1.0571186148313955E-2</v>
      </c>
      <c r="P152" s="169">
        <f>(INDEX(Models!$BJ152:$BT152,,T152)*(1-R152)+INDEX(Models!$BJ152:$BT152,,T152+1)*R152-ERP_i)*Q152*Ramure*Pc/MaxiM</f>
        <v>3.5647012938638911E-3</v>
      </c>
      <c r="Q152" s="305">
        <f t="shared" si="53"/>
        <v>0.7</v>
      </c>
      <c r="R152" s="177">
        <f t="shared" si="54"/>
        <v>0.13950739775484</v>
      </c>
      <c r="S152" s="921">
        <f t="shared" si="55"/>
        <v>1</v>
      </c>
      <c r="T152" s="176">
        <f t="shared" si="56"/>
        <v>7</v>
      </c>
      <c r="U152" s="251">
        <f t="shared" si="57"/>
        <v>1.13950739775484</v>
      </c>
      <c r="V152" s="383">
        <f t="shared" si="58"/>
        <v>56.152147453264142</v>
      </c>
      <c r="W152" s="402">
        <f t="shared" si="59"/>
        <v>51.453874295260412</v>
      </c>
      <c r="X152" s="157">
        <f t="shared" si="60"/>
        <v>45429</v>
      </c>
      <c r="Y152" s="385">
        <f t="shared" si="61"/>
        <v>45.453282228310044</v>
      </c>
      <c r="Z152" s="385">
        <f t="shared" si="62"/>
        <v>47.682505462382935</v>
      </c>
      <c r="AA152" s="386">
        <f t="shared" si="63"/>
        <v>54.554093691216984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0.12595916756913061</v>
      </c>
      <c r="AD152" s="231">
        <f>(INDEX(Models!$BJ152:$BT152,,AH152)*(1-AF152)+INDEX(Models!$BJ152:$BT152,,AH152+1)*AF152-ERP_i)*AE152*Ramure*Pc/MaxiM</f>
        <v>3.5647012938638911E-3</v>
      </c>
      <c r="AE152" s="305">
        <f t="shared" si="65"/>
        <v>0.7</v>
      </c>
      <c r="AF152" s="177">
        <f t="shared" si="66"/>
        <v>0.13950739775484</v>
      </c>
      <c r="AG152" s="921">
        <f t="shared" si="74"/>
        <v>1</v>
      </c>
      <c r="AH152" s="176">
        <f t="shared" si="67"/>
        <v>7</v>
      </c>
      <c r="AI152" s="225">
        <f t="shared" si="68"/>
        <v>1.13950739775484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53.747619390464635</v>
      </c>
      <c r="C153" s="955"/>
      <c r="D153" s="393">
        <f t="shared" si="50"/>
        <v>56.384867343413234</v>
      </c>
      <c r="E153" s="385">
        <f t="shared" si="72"/>
        <v>56.995758930355173</v>
      </c>
      <c r="F153" s="385">
        <f t="shared" si="51"/>
        <v>57.194861573379335</v>
      </c>
      <c r="G153" s="110">
        <f t="shared" si="73"/>
        <v>0.95715918720822724</v>
      </c>
      <c r="H153" s="414" t="b">
        <f>Wh_hp&gt;='2023'!Maxi_hp</f>
        <v>0</v>
      </c>
      <c r="I153" s="390">
        <f>IF(H153,Wh_hp,'2023'!Maxi_hp)</f>
        <v>59.775748831066402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4.6772264921479456E-2</v>
      </c>
      <c r="M153" s="959"/>
      <c r="N153" s="959"/>
      <c r="O153" s="48">
        <f>IF(t&lt;Tnet,'2023'!Resal+('2023'!Salim-'2023'!Resal)*(1-EXP(('2023'!Tnet-t)/('2023'!Tau_j))),Resal+(Salim-Resal)*(1-EXP((Tnet-t)/(Tau_j))))*Salcycl</f>
        <v>1.0718193746457709E-2</v>
      </c>
      <c r="P153" s="169">
        <f>(INDEX(Models!$BJ153:$BT153,,T153)*(1-R153)+INDEX(Models!$BJ153:$BT153,,T153+1)*R153-ERP_i)*Q153*Ramure*Pc/MaxiM</f>
        <v>3.7068429270813298E-3</v>
      </c>
      <c r="Q153" s="305">
        <f t="shared" si="53"/>
        <v>0.7</v>
      </c>
      <c r="R153" s="177">
        <f t="shared" si="54"/>
        <v>0.14369292352213647</v>
      </c>
      <c r="S153" s="921">
        <f t="shared" si="55"/>
        <v>1</v>
      </c>
      <c r="T153" s="176">
        <f t="shared" si="56"/>
        <v>7</v>
      </c>
      <c r="U153" s="251">
        <f t="shared" si="57"/>
        <v>1.1436929235221365</v>
      </c>
      <c r="V153" s="383">
        <f t="shared" si="58"/>
        <v>56.140552269386411</v>
      </c>
      <c r="W153" s="402">
        <f t="shared" si="59"/>
        <v>53.747619390464635</v>
      </c>
      <c r="X153" s="157">
        <f t="shared" si="60"/>
        <v>45430</v>
      </c>
      <c r="Y153" s="385">
        <f t="shared" si="61"/>
        <v>47.480014555039475</v>
      </c>
      <c r="Z153" s="385">
        <f t="shared" si="62"/>
        <v>49.809728365833152</v>
      </c>
      <c r="AA153" s="386">
        <f t="shared" si="63"/>
        <v>56.995758930355173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0.12608009261360748</v>
      </c>
      <c r="AD153" s="231">
        <f>(INDEX(Models!$BJ153:$BT153,,AH153)*(1-AF153)+INDEX(Models!$BJ153:$BT153,,AH153+1)*AF153-ERP_i)*AE153*Ramure*Pc/MaxiM</f>
        <v>3.7068429270813298E-3</v>
      </c>
      <c r="AE153" s="305">
        <f t="shared" si="65"/>
        <v>0.7</v>
      </c>
      <c r="AF153" s="177">
        <f t="shared" si="66"/>
        <v>0.14369292352213647</v>
      </c>
      <c r="AG153" s="921">
        <f t="shared" si="74"/>
        <v>1</v>
      </c>
      <c r="AH153" s="176">
        <f t="shared" si="67"/>
        <v>7</v>
      </c>
      <c r="AI153" s="225">
        <f t="shared" si="68"/>
        <v>1.1436929235221365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48.747179833014933</v>
      </c>
      <c r="C154" s="955"/>
      <c r="D154" s="393">
        <f t="shared" si="50"/>
        <v>51.140190062482482</v>
      </c>
      <c r="E154" s="385">
        <f t="shared" si="72"/>
        <v>51.701948024402377</v>
      </c>
      <c r="F154" s="385">
        <f t="shared" si="51"/>
        <v>51.864160333087064</v>
      </c>
      <c r="G154" s="110">
        <f t="shared" si="73"/>
        <v>0.86790033587112037</v>
      </c>
      <c r="H154" s="414" t="b">
        <f>Wh_hp&gt;='2023'!Maxi_hp</f>
        <v>0</v>
      </c>
      <c r="I154" s="390">
        <f>IF(H154,Wh_hp,'2023'!Maxi_hp)</f>
        <v>61.745336141235896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4.6793143055272157E-2</v>
      </c>
      <c r="M154" s="959"/>
      <c r="N154" s="959"/>
      <c r="O154" s="48">
        <f>IF(t&lt;Tnet,'2023'!Resal+('2023'!Salim-'2023'!Resal)*(1-EXP(('2023'!Tnet-t)/('2023'!Tau_j))),Resal+(Salim-Resal)*(1-EXP((Tnet-t)/(Tau_j))))*Salcycl</f>
        <v>1.0865315203496036E-2</v>
      </c>
      <c r="P154" s="169">
        <f>(INDEX(Models!$BJ154:$BT154,,T154)*(1-R154)+INDEX(Models!$BJ154:$BT154,,T154+1)*R154-ERP_i)*Q154*Ramure*Pc/MaxiM</f>
        <v>3.8508867661912311E-3</v>
      </c>
      <c r="Q154" s="305">
        <f t="shared" si="53"/>
        <v>0.7</v>
      </c>
      <c r="R154" s="177">
        <f t="shared" si="54"/>
        <v>0.14795193882979718</v>
      </c>
      <c r="S154" s="921">
        <f t="shared" si="55"/>
        <v>1</v>
      </c>
      <c r="T154" s="176">
        <f t="shared" si="56"/>
        <v>7</v>
      </c>
      <c r="U154" s="251">
        <f t="shared" si="57"/>
        <v>1.1479519388297972</v>
      </c>
      <c r="V154" s="383">
        <f t="shared" si="58"/>
        <v>56.126044497949735</v>
      </c>
      <c r="W154" s="402">
        <f t="shared" si="59"/>
        <v>48.747179833014933</v>
      </c>
      <c r="X154" s="157">
        <f t="shared" si="60"/>
        <v>45431</v>
      </c>
      <c r="Y154" s="385">
        <f t="shared" si="61"/>
        <v>43.063101493064899</v>
      </c>
      <c r="Z154" s="385">
        <f t="shared" si="62"/>
        <v>45.177079014195485</v>
      </c>
      <c r="AA154" s="386">
        <f t="shared" si="63"/>
        <v>51.701948024402377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0.12620160863430666</v>
      </c>
      <c r="AD154" s="231">
        <f>(INDEX(Models!$BJ154:$BT154,,AH154)*(1-AF154)+INDEX(Models!$BJ154:$BT154,,AH154+1)*AF154-ERP_i)*AE154*Ramure*Pc/MaxiM</f>
        <v>3.8508867661912311E-3</v>
      </c>
      <c r="AE154" s="305">
        <f t="shared" si="65"/>
        <v>0.7</v>
      </c>
      <c r="AF154" s="177">
        <f t="shared" si="66"/>
        <v>0.14795193882979718</v>
      </c>
      <c r="AG154" s="921">
        <f t="shared" si="74"/>
        <v>1</v>
      </c>
      <c r="AH154" s="176">
        <f t="shared" si="67"/>
        <v>7</v>
      </c>
      <c r="AI154" s="225">
        <f t="shared" si="68"/>
        <v>1.1479519388297972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49.340184100169061</v>
      </c>
      <c r="C155" s="955"/>
      <c r="D155" s="393">
        <f t="shared" si="50"/>
        <v>51.763438797167915</v>
      </c>
      <c r="E155" s="385">
        <f t="shared" si="72"/>
        <v>52.339833514506211</v>
      </c>
      <c r="F155" s="385">
        <f t="shared" si="51"/>
        <v>52.513550742409151</v>
      </c>
      <c r="G155" s="110">
        <f t="shared" si="73"/>
        <v>0.8787596494783092</v>
      </c>
      <c r="H155" s="414" t="b">
        <f>Wh_hp&gt;='2023'!Maxi_hp</f>
        <v>0</v>
      </c>
      <c r="I155" s="390">
        <f>IF(H155,Wh_hp,'2023'!Maxi_hp)</f>
        <v>58.246676654523853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4.6814020731780204E-2</v>
      </c>
      <c r="M155" s="959"/>
      <c r="N155" s="959"/>
      <c r="O155" s="48">
        <f>IF(t&lt;Tnet,'2023'!Resal+('2023'!Salim-'2023'!Resal)*(1-EXP(('2023'!Tnet-t)/('2023'!Tau_j))),Resal+(Salim-Resal)*(1-EXP((Tnet-t)/(Tau_j))))*Salcycl</f>
        <v>1.1012543958102972E-2</v>
      </c>
      <c r="P155" s="169">
        <f>(INDEX(Models!$BJ155:$BT155,,T155)*(1-R155)+INDEX(Models!$BJ155:$BT155,,T155+1)*R155-ERP_i)*Q155*Ramure*Pc/MaxiM</f>
        <v>3.9968286220618968E-3</v>
      </c>
      <c r="Q155" s="305">
        <f t="shared" si="53"/>
        <v>0.7</v>
      </c>
      <c r="R155" s="177">
        <f t="shared" si="54"/>
        <v>0.15228270635073993</v>
      </c>
      <c r="S155" s="921">
        <f t="shared" si="55"/>
        <v>1</v>
      </c>
      <c r="T155" s="176">
        <f t="shared" si="56"/>
        <v>7</v>
      </c>
      <c r="U155" s="251">
        <f t="shared" si="57"/>
        <v>1.1522827063507399</v>
      </c>
      <c r="V155" s="383">
        <f t="shared" si="58"/>
        <v>56.108728546328031</v>
      </c>
      <c r="W155" s="402">
        <f t="shared" si="59"/>
        <v>49.340184100169061</v>
      </c>
      <c r="X155" s="157">
        <f t="shared" si="60"/>
        <v>45432</v>
      </c>
      <c r="Y155" s="385">
        <f t="shared" si="61"/>
        <v>43.587361134749621</v>
      </c>
      <c r="Z155" s="385">
        <f t="shared" si="62"/>
        <v>45.728076244063644</v>
      </c>
      <c r="AA155" s="386">
        <f t="shared" si="63"/>
        <v>52.339833514506211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0.12632362058641425</v>
      </c>
      <c r="AD155" s="231">
        <f>(INDEX(Models!$BJ155:$BT155,,AH155)*(1-AF155)+INDEX(Models!$BJ155:$BT155,,AH155+1)*AF155-ERP_i)*AE155*Ramure*Pc/MaxiM</f>
        <v>3.9968286220618968E-3</v>
      </c>
      <c r="AE155" s="305">
        <f t="shared" si="65"/>
        <v>0.7</v>
      </c>
      <c r="AF155" s="177">
        <f t="shared" si="66"/>
        <v>0.15228270635073993</v>
      </c>
      <c r="AG155" s="921">
        <f t="shared" si="74"/>
        <v>1</v>
      </c>
      <c r="AH155" s="176">
        <f t="shared" si="67"/>
        <v>7</v>
      </c>
      <c r="AI155" s="225">
        <f t="shared" si="68"/>
        <v>1.1522827063507399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37.739867564096272</v>
      </c>
      <c r="C156" s="955"/>
      <c r="D156" s="393">
        <f t="shared" si="50"/>
        <v>39.594260724577687</v>
      </c>
      <c r="E156" s="385">
        <f t="shared" si="72"/>
        <v>40.041114468193811</v>
      </c>
      <c r="F156" s="385">
        <f t="shared" si="51"/>
        <v>40.129711861162015</v>
      </c>
      <c r="G156" s="110">
        <f t="shared" si="73"/>
        <v>0.67155419917501735</v>
      </c>
      <c r="H156" s="414" t="b">
        <f>Wh_hp&gt;='2023'!Maxi_hp</f>
        <v>0</v>
      </c>
      <c r="I156" s="390">
        <f>IF(H156,Wh_hp,'2023'!Maxi_hp)</f>
        <v>58.677512490213942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4.6834897951013477E-2</v>
      </c>
      <c r="M156" s="959"/>
      <c r="N156" s="959"/>
      <c r="O156" s="48">
        <f>IF(t&lt;Tnet,'2023'!Resal+('2023'!Salim-'2023'!Resal)*(1-EXP(('2023'!Tnet-t)/('2023'!Tau_j))),Resal+(Salim-Resal)*(1-EXP((Tnet-t)/(Tau_j))))*Salcycl</f>
        <v>1.1159872784537044E-2</v>
      </c>
      <c r="P156" s="169">
        <f>(INDEX(Models!$BJ156:$BT156,,T156)*(1-R156)+INDEX(Models!$BJ156:$BT156,,T156+1)*R156-ERP_i)*Q156*Ramure*Pc/MaxiM</f>
        <v>4.144829040041681E-3</v>
      </c>
      <c r="Q156" s="305">
        <f t="shared" si="53"/>
        <v>0.7</v>
      </c>
      <c r="R156" s="177">
        <f t="shared" si="54"/>
        <v>0.15668330659629559</v>
      </c>
      <c r="S156" s="921">
        <f t="shared" si="55"/>
        <v>1</v>
      </c>
      <c r="T156" s="176">
        <f t="shared" si="56"/>
        <v>7</v>
      </c>
      <c r="U156" s="251">
        <f t="shared" si="57"/>
        <v>1.1566833065962956</v>
      </c>
      <c r="V156" s="383">
        <f t="shared" si="58"/>
        <v>56.088699482553288</v>
      </c>
      <c r="W156" s="402">
        <f t="shared" si="59"/>
        <v>37.739867564096272</v>
      </c>
      <c r="X156" s="157">
        <f t="shared" si="60"/>
        <v>45433</v>
      </c>
      <c r="Y156" s="385">
        <f t="shared" si="61"/>
        <v>33.339879933582168</v>
      </c>
      <c r="Z156" s="385">
        <f t="shared" si="62"/>
        <v>34.978074482492659</v>
      </c>
      <c r="AA156" s="386">
        <f t="shared" si="63"/>
        <v>40.041114468193811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0.12644603060993506</v>
      </c>
      <c r="AD156" s="231">
        <f>(INDEX(Models!$BJ156:$BT156,,AH156)*(1-AF156)+INDEX(Models!$BJ156:$BT156,,AH156+1)*AF156-ERP_i)*AE156*Ramure*Pc/MaxiM</f>
        <v>4.144829040041681E-3</v>
      </c>
      <c r="AE156" s="305">
        <f t="shared" si="65"/>
        <v>0.7</v>
      </c>
      <c r="AF156" s="177">
        <f t="shared" si="66"/>
        <v>0.15668330659629559</v>
      </c>
      <c r="AG156" s="921">
        <f t="shared" si="74"/>
        <v>1</v>
      </c>
      <c r="AH156" s="176">
        <f t="shared" si="67"/>
        <v>7</v>
      </c>
      <c r="AI156" s="225">
        <f t="shared" si="68"/>
        <v>1.1566833065962956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17.625668102885133</v>
      </c>
      <c r="C157" s="955"/>
      <c r="D157" s="393">
        <f t="shared" si="50"/>
        <v>18.492131238142434</v>
      </c>
      <c r="E157" s="385">
        <f t="shared" si="72"/>
        <v>18.70361854823015</v>
      </c>
      <c r="F157" s="385">
        <f t="shared" si="51"/>
        <v>18.705268062306367</v>
      </c>
      <c r="G157" s="110">
        <f t="shared" si="73"/>
        <v>0.31305062592603511</v>
      </c>
      <c r="H157" s="414" t="b">
        <f>Wh_hp&gt;='2023'!Maxi_hp</f>
        <v>0</v>
      </c>
      <c r="I157" s="390">
        <f>IF(H157,Wh_hp,'2023'!Maxi_hp)</f>
        <v>53.955691624579302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4.6855774712982079E-2</v>
      </c>
      <c r="M157" s="959"/>
      <c r="N157" s="959"/>
      <c r="O157" s="48">
        <f>IF(t&lt;Tnet,'2023'!Resal+('2023'!Salim-'2023'!Resal)*(1-EXP(('2023'!Tnet-t)/('2023'!Tau_j))),Resal+(Salim-Resal)*(1-EXP((Tnet-t)/(Tau_j))))*Salcycl</f>
        <v>1.1307293802125138E-2</v>
      </c>
      <c r="P157" s="169">
        <f>(INDEX(Models!$BJ157:$BT157,,T157)*(1-R157)+INDEX(Models!$BJ157:$BT157,,T157+1)*R157-ERP_i)*Q157*Ramure*Pc/MaxiM</f>
        <v>4.2947460308108342E-3</v>
      </c>
      <c r="Q157" s="305">
        <f t="shared" si="53"/>
        <v>0.7</v>
      </c>
      <c r="R157" s="177">
        <f t="shared" si="54"/>
        <v>0.16115163792806797</v>
      </c>
      <c r="S157" s="921">
        <f t="shared" si="55"/>
        <v>1</v>
      </c>
      <c r="T157" s="176">
        <f t="shared" si="56"/>
        <v>7</v>
      </c>
      <c r="U157" s="251">
        <f t="shared" si="57"/>
        <v>1.161151637928068</v>
      </c>
      <c r="V157" s="383">
        <f t="shared" si="58"/>
        <v>56.066069358887589</v>
      </c>
      <c r="W157" s="402">
        <f t="shared" si="59"/>
        <v>17.625668102885133</v>
      </c>
      <c r="X157" s="157">
        <f t="shared" si="60"/>
        <v>45434</v>
      </c>
      <c r="Y157" s="385">
        <f t="shared" si="61"/>
        <v>15.57087397640978</v>
      </c>
      <c r="Z157" s="385">
        <f t="shared" si="62"/>
        <v>16.336325147142304</v>
      </c>
      <c r="AA157" s="386">
        <f t="shared" si="63"/>
        <v>18.70361854823015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0.12656873828897963</v>
      </c>
      <c r="AD157" s="231">
        <f>(INDEX(Models!$BJ157:$BT157,,AH157)*(1-AF157)+INDEX(Models!$BJ157:$BT157,,AH157+1)*AF157-ERP_i)*AE157*Ramure*Pc/MaxiM</f>
        <v>4.2947460308108342E-3</v>
      </c>
      <c r="AE157" s="305">
        <f t="shared" si="65"/>
        <v>0.7</v>
      </c>
      <c r="AF157" s="177">
        <f t="shared" si="66"/>
        <v>0.16115163792806797</v>
      </c>
      <c r="AG157" s="921">
        <f t="shared" si="74"/>
        <v>1</v>
      </c>
      <c r="AH157" s="176">
        <f t="shared" si="67"/>
        <v>7</v>
      </c>
      <c r="AI157" s="225">
        <f t="shared" si="68"/>
        <v>1.161151637928068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16.753621908398703</v>
      </c>
      <c r="C158" s="955"/>
      <c r="D158" s="393">
        <f t="shared" si="50"/>
        <v>17.577600975033668</v>
      </c>
      <c r="E158" s="385">
        <f t="shared" si="72"/>
        <v>17.781281976945198</v>
      </c>
      <c r="F158" s="385">
        <f t="shared" si="51"/>
        <v>17.781281976945198</v>
      </c>
      <c r="G158" s="110">
        <f t="shared" si="73"/>
        <v>0.29762393263931558</v>
      </c>
      <c r="H158" s="414" t="b">
        <f>Wh_hp&gt;='2023'!Maxi_hp</f>
        <v>0</v>
      </c>
      <c r="I158" s="390">
        <f>IF(H158,Wh_hp,'2023'!Maxi_hp)</f>
        <v>25.770368698840517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4.6876651017696003E-2</v>
      </c>
      <c r="M158" s="959"/>
      <c r="N158" s="959"/>
      <c r="O158" s="48">
        <f>IF(t&lt;Tnet,'2023'!Resal+('2023'!Salim-'2023'!Resal)*(1-EXP(('2023'!Tnet-t)/('2023'!Tau_j))),Resal+(Salim-Resal)*(1-EXP((Tnet-t)/(Tau_j))))*Salcycl</f>
        <v>1.1454798488411466E-2</v>
      </c>
      <c r="P158" s="169">
        <f>(INDEX(Models!$BJ158:$BT158,,T158)*(1-R158)+INDEX(Models!$BJ158:$BT158,,T158+1)*R158-ERP_i)*Q158*Ramure*Pc/MaxiM</f>
        <v>4.4465328837899366E-3</v>
      </c>
      <c r="Q158" s="305">
        <f t="shared" si="53"/>
        <v>0.7</v>
      </c>
      <c r="R158" s="177">
        <f t="shared" si="54"/>
        <v>0.16568541745889731</v>
      </c>
      <c r="S158" s="921">
        <f t="shared" si="55"/>
        <v>1</v>
      </c>
      <c r="T158" s="176">
        <f t="shared" si="56"/>
        <v>7</v>
      </c>
      <c r="U158" s="251">
        <f t="shared" si="57"/>
        <v>1.1656854174588973</v>
      </c>
      <c r="V158" s="383">
        <f t="shared" si="58"/>
        <v>56.04094479147119</v>
      </c>
      <c r="W158" s="402">
        <f t="shared" si="59"/>
        <v>16.753621908398703</v>
      </c>
      <c r="X158" s="157">
        <f t="shared" si="60"/>
        <v>45435</v>
      </c>
      <c r="Y158" s="385">
        <f t="shared" si="61"/>
        <v>14.800616132565924</v>
      </c>
      <c r="Z158" s="385">
        <f t="shared" si="62"/>
        <v>15.528542185404712</v>
      </c>
      <c r="AA158" s="386">
        <f t="shared" si="63"/>
        <v>17.781281976945198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0.12669164093237695</v>
      </c>
      <c r="AD158" s="231">
        <f>(INDEX(Models!$BJ158:$BT158,,AH158)*(1-AF158)+INDEX(Models!$BJ158:$BT158,,AH158+1)*AF158-ERP_i)*AE158*Ramure*Pc/MaxiM</f>
        <v>4.4465328837899366E-3</v>
      </c>
      <c r="AE158" s="305">
        <f t="shared" si="65"/>
        <v>0.7</v>
      </c>
      <c r="AF158" s="177">
        <f t="shared" si="66"/>
        <v>0.16568541745889731</v>
      </c>
      <c r="AG158" s="921">
        <f t="shared" si="74"/>
        <v>1</v>
      </c>
      <c r="AH158" s="176">
        <f t="shared" si="67"/>
        <v>7</v>
      </c>
      <c r="AI158" s="225">
        <f t="shared" si="68"/>
        <v>1.1656854174588973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39.024054974077373</v>
      </c>
      <c r="C159" s="955"/>
      <c r="D159" s="393">
        <f t="shared" si="50"/>
        <v>40.944238499060816</v>
      </c>
      <c r="E159" s="385">
        <f t="shared" si="72"/>
        <v>41.424865433831393</v>
      </c>
      <c r="F159" s="385">
        <f t="shared" si="51"/>
        <v>41.533138937104397</v>
      </c>
      <c r="G159" s="110">
        <f t="shared" si="73"/>
        <v>0.69529872296015238</v>
      </c>
      <c r="H159" s="414" t="b">
        <f>Wh_hp&gt;='2023'!Maxi_hp</f>
        <v>0</v>
      </c>
      <c r="I159" s="390">
        <f>IF(H159,Wh_hp,'2023'!Maxi_hp)</f>
        <v>55.122596698708996</v>
      </c>
      <c r="J159" s="85">
        <f>IF(H159,An,'2023'!An_max)</f>
        <v>2021</v>
      </c>
      <c r="K159" s="197">
        <f t="shared" si="52"/>
        <v>45436</v>
      </c>
      <c r="L159" s="147">
        <f>IF(t&lt;Tvie,1-EXP((T0-t)*PertePVj)+'2023'!Pspv,1-EXP((T0-t)*PertePVj)+Pspv)</f>
        <v>4.6897526865165351E-2</v>
      </c>
      <c r="M159" s="959"/>
      <c r="N159" s="959"/>
      <c r="O159" s="48">
        <f>IF(t&lt;Tnet,'2023'!Resal+('2023'!Salim-'2023'!Resal)*(1-EXP(('2023'!Tnet-t)/('2023'!Tau_j))),Resal+(Salim-Resal)*(1-EXP((Tnet-t)/(Tau_j))))*Salcycl</f>
        <v>1.1602377696031134E-2</v>
      </c>
      <c r="P159" s="169">
        <f>(INDEX(Models!$BJ159:$BT159,,T159)*(1-R159)+INDEX(Models!$BJ159:$BT159,,T159+1)*R159-ERP_i)*Q159*Ramure*Pc/MaxiM</f>
        <v>4.6001616884144367E-3</v>
      </c>
      <c r="Q159" s="305">
        <f t="shared" si="53"/>
        <v>0.7</v>
      </c>
      <c r="R159" s="177">
        <f t="shared" si="54"/>
        <v>0.17028218287661456</v>
      </c>
      <c r="S159" s="921">
        <f t="shared" si="55"/>
        <v>1</v>
      </c>
      <c r="T159" s="176">
        <f t="shared" si="56"/>
        <v>7</v>
      </c>
      <c r="U159" s="251">
        <f t="shared" si="57"/>
        <v>1.1702821828766146</v>
      </c>
      <c r="V159" s="383">
        <f t="shared" si="58"/>
        <v>56.013431268994808</v>
      </c>
      <c r="W159" s="402">
        <f t="shared" si="59"/>
        <v>39.024054974077373</v>
      </c>
      <c r="X159" s="157">
        <f t="shared" si="60"/>
        <v>45436</v>
      </c>
      <c r="Y159" s="385">
        <f t="shared" si="61"/>
        <v>34.47522835071937</v>
      </c>
      <c r="Z159" s="385">
        <f t="shared" si="62"/>
        <v>36.171586290535402</v>
      </c>
      <c r="AA159" s="386">
        <f t="shared" si="63"/>
        <v>41.424865433831393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0.12681463387460215</v>
      </c>
      <c r="AD159" s="231">
        <f>(INDEX(Models!$BJ159:$BT159,,AH159)*(1-AF159)+INDEX(Models!$BJ159:$BT159,,AH159+1)*AF159-ERP_i)*AE159*Ramure*Pc/MaxiM</f>
        <v>4.6001616884144367E-3</v>
      </c>
      <c r="AE159" s="305">
        <f t="shared" si="65"/>
        <v>0.7</v>
      </c>
      <c r="AF159" s="177">
        <f t="shared" si="66"/>
        <v>0.17028218287661456</v>
      </c>
      <c r="AG159" s="921">
        <f t="shared" si="74"/>
        <v>1</v>
      </c>
      <c r="AH159" s="176">
        <f t="shared" si="67"/>
        <v>7</v>
      </c>
      <c r="AI159" s="225">
        <f t="shared" si="68"/>
        <v>1.1702821828766146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26.553862845163817</v>
      </c>
      <c r="C160" s="955"/>
      <c r="D160" s="393">
        <f t="shared" si="50"/>
        <v>27.861059229347887</v>
      </c>
      <c r="E160" s="385">
        <f t="shared" si="72"/>
        <v>28.192319595618095</v>
      </c>
      <c r="F160" s="385">
        <f t="shared" si="51"/>
        <v>28.22574577503795</v>
      </c>
      <c r="G160" s="110">
        <f t="shared" si="73"/>
        <v>0.47261878177974603</v>
      </c>
      <c r="H160" s="414" t="b">
        <f>Wh_hp&gt;='2023'!Maxi_hp</f>
        <v>0</v>
      </c>
      <c r="I160" s="390">
        <f>IF(H160,Wh_hp,'2023'!Maxi_hp)</f>
        <v>58.823190702914935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4.6918402255400005E-2</v>
      </c>
      <c r="M160" s="959"/>
      <c r="N160" s="959"/>
      <c r="O160" s="48">
        <f>IF(t&lt;Tnet,'2023'!Resal+('2023'!Salim-'2023'!Resal)*(1-EXP(('2023'!Tnet-t)/('2023'!Tau_j))),Resal+(Salim-Resal)*(1-EXP((Tnet-t)/(Tau_j))))*Salcycl</f>
        <v>1.1750021673338829E-2</v>
      </c>
      <c r="P160" s="169">
        <f>(INDEX(Models!$BJ160:$BT160,,T160)*(1-R160)+INDEX(Models!$BJ160:$BT160,,T160+1)*R160-ERP_i)*Q160*Ramure*Pc/MaxiM</f>
        <v>4.7555992591142415E-3</v>
      </c>
      <c r="Q160" s="305">
        <f t="shared" si="53"/>
        <v>0.7</v>
      </c>
      <c r="R160" s="177">
        <f t="shared" si="54"/>
        <v>0.17493929521744689</v>
      </c>
      <c r="S160" s="921">
        <f t="shared" si="55"/>
        <v>1</v>
      </c>
      <c r="T160" s="176">
        <f t="shared" si="56"/>
        <v>7</v>
      </c>
      <c r="U160" s="251">
        <f t="shared" si="57"/>
        <v>1.1749392952174469</v>
      </c>
      <c r="V160" s="383">
        <f t="shared" si="58"/>
        <v>55.983634500677319</v>
      </c>
      <c r="W160" s="402">
        <f t="shared" si="59"/>
        <v>26.553862845163817</v>
      </c>
      <c r="X160" s="157">
        <f t="shared" si="60"/>
        <v>45437</v>
      </c>
      <c r="Y160" s="385">
        <f t="shared" si="61"/>
        <v>23.458820588545695</v>
      </c>
      <c r="Z160" s="385">
        <f t="shared" si="62"/>
        <v>24.613653903358674</v>
      </c>
      <c r="AA160" s="386">
        <f t="shared" si="63"/>
        <v>28.192319595618095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0.12693761079580163</v>
      </c>
      <c r="AD160" s="231">
        <f>(INDEX(Models!$BJ160:$BT160,,AH160)*(1-AF160)+INDEX(Models!$BJ160:$BT160,,AH160+1)*AF160-ERP_i)*AE160*Ramure*Pc/MaxiM</f>
        <v>4.7555992591142415E-3</v>
      </c>
      <c r="AE160" s="305">
        <f t="shared" si="65"/>
        <v>0.7</v>
      </c>
      <c r="AF160" s="177">
        <f t="shared" si="66"/>
        <v>0.17493929521744689</v>
      </c>
      <c r="AG160" s="921">
        <f t="shared" si="74"/>
        <v>1</v>
      </c>
      <c r="AH160" s="176">
        <f t="shared" si="67"/>
        <v>7</v>
      </c>
      <c r="AI160" s="225">
        <f t="shared" si="68"/>
        <v>1.1749392952174469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42.315510925849921</v>
      </c>
      <c r="C161" s="955"/>
      <c r="D161" s="393">
        <f t="shared" si="50"/>
        <v>44.399595863122407</v>
      </c>
      <c r="E161" s="385">
        <f t="shared" si="72"/>
        <v>44.934210522327973</v>
      </c>
      <c r="F161" s="385">
        <f t="shared" si="51"/>
        <v>45.078568185520496</v>
      </c>
      <c r="G161" s="110">
        <f t="shared" si="73"/>
        <v>0.75498920869818675</v>
      </c>
      <c r="H161" s="414" t="b">
        <f>Wh_hp&gt;='2023'!Maxi_hp</f>
        <v>0</v>
      </c>
      <c r="I161" s="390">
        <f>IF(H161,Wh_hp,'2023'!Maxi_hp)</f>
        <v>60.55384086599669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4.6939277188410067E-2</v>
      </c>
      <c r="M161" s="959"/>
      <c r="N161" s="959"/>
      <c r="O161" s="48">
        <f>IF(t&lt;Tnet,'2023'!Resal+('2023'!Salim-'2023'!Resal)*(1-EXP(('2023'!Tnet-t)/('2023'!Tau_j))),Resal+(Salim-Resal)*(1-EXP((Tnet-t)/(Tau_j))))*Salcycl</f>
        <v>1.1897720088793149E-2</v>
      </c>
      <c r="P161" s="169">
        <f>(INDEX(Models!$BJ161:$BT161,,T161)*(1-R161)+INDEX(Models!$BJ161:$BT161,,T161+1)*R161-ERP_i)*Q161*Ramure*Pc/MaxiM</f>
        <v>4.9128071515182146E-3</v>
      </c>
      <c r="Q161" s="305">
        <f t="shared" si="53"/>
        <v>0.7</v>
      </c>
      <c r="R161" s="177">
        <f t="shared" si="54"/>
        <v>0.17965394260842271</v>
      </c>
      <c r="S161" s="921">
        <f t="shared" si="55"/>
        <v>1</v>
      </c>
      <c r="T161" s="176">
        <f t="shared" si="56"/>
        <v>7</v>
      </c>
      <c r="U161" s="251">
        <f t="shared" si="57"/>
        <v>1.1796539426084227</v>
      </c>
      <c r="V161" s="383">
        <f t="shared" si="58"/>
        <v>55.951660415223429</v>
      </c>
      <c r="W161" s="402">
        <f t="shared" si="59"/>
        <v>42.315510925849921</v>
      </c>
      <c r="X161" s="157">
        <f t="shared" si="60"/>
        <v>45438</v>
      </c>
      <c r="Y161" s="385">
        <f t="shared" si="61"/>
        <v>37.383662826905102</v>
      </c>
      <c r="Z161" s="385">
        <f t="shared" si="62"/>
        <v>39.224848881213894</v>
      </c>
      <c r="AA161" s="386">
        <f t="shared" si="63"/>
        <v>44.934210522327973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0.12706046405949595</v>
      </c>
      <c r="AD161" s="231">
        <f>(INDEX(Models!$BJ161:$BT161,,AH161)*(1-AF161)+INDEX(Models!$BJ161:$BT161,,AH161+1)*AF161-ERP_i)*AE161*Ramure*Pc/MaxiM</f>
        <v>4.9128071515182146E-3</v>
      </c>
      <c r="AE161" s="305">
        <f t="shared" si="65"/>
        <v>0.7</v>
      </c>
      <c r="AF161" s="177">
        <f t="shared" si="66"/>
        <v>0.17965394260842271</v>
      </c>
      <c r="AG161" s="921">
        <f t="shared" si="74"/>
        <v>1</v>
      </c>
      <c r="AH161" s="176">
        <f t="shared" si="67"/>
        <v>7</v>
      </c>
      <c r="AI161" s="225">
        <f t="shared" si="68"/>
        <v>1.1796539426084227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52.1170215145087</v>
      </c>
      <c r="C162" s="955"/>
      <c r="D162" s="393">
        <f t="shared" si="50"/>
        <v>54.685039251523264</v>
      </c>
      <c r="E162" s="385">
        <f t="shared" si="72"/>
        <v>55.351776981050385</v>
      </c>
      <c r="F162" s="385">
        <f t="shared" si="51"/>
        <v>55.606414992338884</v>
      </c>
      <c r="G162" s="110">
        <f t="shared" si="73"/>
        <v>0.93157117474959317</v>
      </c>
      <c r="H162" s="414" t="b">
        <f>Wh_hp&gt;='2023'!Maxi_hp</f>
        <v>0</v>
      </c>
      <c r="I162" s="390">
        <f>IF(H162,Wh_hp,'2023'!Maxi_hp)</f>
        <v>57.676626455771242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4.6960151664205529E-2</v>
      </c>
      <c r="M162" s="959"/>
      <c r="N162" s="959"/>
      <c r="O162" s="48">
        <f>IF(t&lt;Tnet,'2023'!Resal+('2023'!Salim-'2023'!Resal)*(1-EXP(('2023'!Tnet-t)/('2023'!Tau_j))),Resal+(Salim-Resal)*(1-EXP((Tnet-t)/(Tau_j))))*Salcycl</f>
        <v>1.2045462059065861E-2</v>
      </c>
      <c r="P162" s="169">
        <f>(INDEX(Models!$BJ162:$BT162,,T162)*(1-R162)+INDEX(Models!$BJ162:$BT162,,T162+1)*R162-ERP_i)*Q162*Ramure*Pc/MaxiM</f>
        <v>5.0717417066970969E-3</v>
      </c>
      <c r="Q162" s="305">
        <f t="shared" si="53"/>
        <v>0.7</v>
      </c>
      <c r="R162" s="177">
        <f t="shared" si="54"/>
        <v>0.18442314498996515</v>
      </c>
      <c r="S162" s="921">
        <f t="shared" si="55"/>
        <v>1</v>
      </c>
      <c r="T162" s="176">
        <f t="shared" si="56"/>
        <v>7</v>
      </c>
      <c r="U162" s="251">
        <f t="shared" si="57"/>
        <v>1.1844231449899651</v>
      </c>
      <c r="V162" s="383">
        <f t="shared" si="58"/>
        <v>55.917615149767379</v>
      </c>
      <c r="W162" s="402">
        <f t="shared" si="59"/>
        <v>52.1170215145087</v>
      </c>
      <c r="X162" s="157">
        <f t="shared" si="60"/>
        <v>45439</v>
      </c>
      <c r="Y162" s="385">
        <f t="shared" si="61"/>
        <v>46.043229912815868</v>
      </c>
      <c r="Z162" s="385">
        <f t="shared" si="62"/>
        <v>48.31196722069587</v>
      </c>
      <c r="AA162" s="386">
        <f t="shared" si="63"/>
        <v>55.351776981050385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0.12718308506634915</v>
      </c>
      <c r="AD162" s="231">
        <f>(INDEX(Models!$BJ162:$BT162,,AH162)*(1-AF162)+INDEX(Models!$BJ162:$BT162,,AH162+1)*AF162-ERP_i)*AE162*Ramure*Pc/MaxiM</f>
        <v>5.0717417066970969E-3</v>
      </c>
      <c r="AE162" s="305">
        <f t="shared" si="65"/>
        <v>0.7</v>
      </c>
      <c r="AF162" s="177">
        <f t="shared" si="66"/>
        <v>0.18442314498996515</v>
      </c>
      <c r="AG162" s="921">
        <f t="shared" si="74"/>
        <v>1</v>
      </c>
      <c r="AH162" s="176">
        <f t="shared" si="67"/>
        <v>7</v>
      </c>
      <c r="AI162" s="225">
        <f t="shared" si="68"/>
        <v>1.1844231449899651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56.423951741060392</v>
      </c>
      <c r="C163" s="955"/>
      <c r="D163" s="393">
        <f t="shared" si="50"/>
        <v>59.205486209218115</v>
      </c>
      <c r="E163" s="385">
        <f t="shared" si="72"/>
        <v>59.936303716235109</v>
      </c>
      <c r="F163" s="385">
        <f t="shared" si="51"/>
        <v>60.251561411651238</v>
      </c>
      <c r="G163" s="110">
        <f t="shared" si="73"/>
        <v>1.0097058919531765</v>
      </c>
      <c r="H163" s="414" t="b">
        <f>Wh_hp&gt;='2023'!Maxi_hp</f>
        <v>0</v>
      </c>
      <c r="I163" s="390">
        <f>IF(H163,Wh_hp,'2023'!Maxi_hp)</f>
        <v>60.251561411651252</v>
      </c>
      <c r="J163" s="85">
        <f>IF(H163,An,'2023'!An_max)</f>
        <v>2023</v>
      </c>
      <c r="K163" s="197">
        <f t="shared" si="52"/>
        <v>45440</v>
      </c>
      <c r="L163" s="147">
        <f>IF(t&lt;Tvie,1-EXP((T0-t)*PertePVj)+'2023'!Pspv,1-EXP((T0-t)*PertePVj)+Pspv)</f>
        <v>4.6981025682796385E-2</v>
      </c>
      <c r="M163" s="959"/>
      <c r="N163" s="959"/>
      <c r="O163" s="48">
        <f>IF(t&lt;Tnet,'2023'!Resal+('2023'!Salim-'2023'!Resal)*(1-EXP(('2023'!Tnet-t)/('2023'!Tau_j))),Resal+(Salim-Resal)*(1-EXP((Tnet-t)/(Tau_j))))*Salcycl</f>
        <v>1.2193236180813064E-2</v>
      </c>
      <c r="P163" s="169">
        <f>(INDEX(Models!$BJ163:$BT163,,T163)*(1-R163)+INDEX(Models!$BJ163:$BT163,,T163+1)*R163-ERP_i)*Q163*Ramure*Pc/MaxiM</f>
        <v>5.2323572705813334E-3</v>
      </c>
      <c r="Q163" s="305">
        <f t="shared" si="53"/>
        <v>0.7</v>
      </c>
      <c r="R163" s="177">
        <f t="shared" si="54"/>
        <v>0.18924375982118713</v>
      </c>
      <c r="S163" s="921">
        <f t="shared" si="55"/>
        <v>1</v>
      </c>
      <c r="T163" s="176">
        <f t="shared" si="56"/>
        <v>7</v>
      </c>
      <c r="U163" s="251">
        <f t="shared" si="57"/>
        <v>1.1892437598211871</v>
      </c>
      <c r="V163" s="383">
        <f t="shared" si="58"/>
        <v>55.88157124835017</v>
      </c>
      <c r="W163" s="402">
        <f t="shared" si="59"/>
        <v>56.423951741060392</v>
      </c>
      <c r="X163" s="157">
        <f t="shared" si="60"/>
        <v>45440</v>
      </c>
      <c r="Y163" s="385">
        <f t="shared" si="61"/>
        <v>49.848696926165367</v>
      </c>
      <c r="Z163" s="385">
        <f t="shared" si="62"/>
        <v>52.306090717532435</v>
      </c>
      <c r="AA163" s="386">
        <f t="shared" si="63"/>
        <v>59.936303716235109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0.12730536462220743</v>
      </c>
      <c r="AD163" s="231">
        <f>(INDEX(Models!$BJ163:$BT163,,AH163)*(1-AF163)+INDEX(Models!$BJ163:$BT163,,AH163+1)*AF163-ERP_i)*AE163*Ramure*Pc/MaxiM</f>
        <v>5.2323572705813334E-3</v>
      </c>
      <c r="AE163" s="305">
        <f t="shared" si="65"/>
        <v>0.7</v>
      </c>
      <c r="AF163" s="177">
        <f t="shared" si="66"/>
        <v>0.18924375982118713</v>
      </c>
      <c r="AG163" s="921">
        <f t="shared" si="74"/>
        <v>1</v>
      </c>
      <c r="AH163" s="176">
        <f t="shared" si="67"/>
        <v>7</v>
      </c>
      <c r="AI163" s="225">
        <f t="shared" si="68"/>
        <v>1.1892437598211871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47.27444160025351</v>
      </c>
      <c r="C164" s="955"/>
      <c r="D164" s="393">
        <f t="shared" si="50"/>
        <v>49.60601869275596</v>
      </c>
      <c r="E164" s="385">
        <f t="shared" si="72"/>
        <v>50.225857535809602</v>
      </c>
      <c r="F164" s="385">
        <f t="shared" si="51"/>
        <v>50.438230057282667</v>
      </c>
      <c r="G164" s="110">
        <f t="shared" si="73"/>
        <v>0.84554616294964136</v>
      </c>
      <c r="H164" s="414" t="b">
        <f>Wh_hp&gt;='2023'!Maxi_hp</f>
        <v>0</v>
      </c>
      <c r="I164" s="390">
        <f>IF(H164,Wh_hp,'2023'!Maxi_hp)</f>
        <v>58.524365554999449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4.7001899244192624E-2</v>
      </c>
      <c r="M164" s="959"/>
      <c r="N164" s="959"/>
      <c r="O164" s="48">
        <f>IF(t&lt;Tnet,'2023'!Resal+('2023'!Salim-'2023'!Resal)*(1-EXP(('2023'!Tnet-t)/('2023'!Tau_j))),Resal+(Salim-Resal)*(1-EXP((Tnet-t)/(Tau_j))))*Salcycl</f>
        <v>1.2341030566012955E-2</v>
      </c>
      <c r="P164" s="169">
        <f>(INDEX(Models!$BJ164:$BT164,,T164)*(1-R164)+INDEX(Models!$BJ164:$BT164,,T164+1)*R164-ERP_i)*Q164*Ramure*Pc/MaxiM</f>
        <v>5.3926932733634938E-3</v>
      </c>
      <c r="Q164" s="305">
        <f t="shared" si="53"/>
        <v>0.7</v>
      </c>
      <c r="R164" s="177">
        <f t="shared" si="54"/>
        <v>0.19411248876127463</v>
      </c>
      <c r="S164" s="921">
        <f t="shared" si="55"/>
        <v>1</v>
      </c>
      <c r="T164" s="176">
        <f t="shared" si="56"/>
        <v>7</v>
      </c>
      <c r="U164" s="251">
        <f t="shared" si="57"/>
        <v>1.1941124887612746</v>
      </c>
      <c r="V164" s="383">
        <f t="shared" si="58"/>
        <v>55.843574302472298</v>
      </c>
      <c r="W164" s="402">
        <f t="shared" si="59"/>
        <v>47.27444160025351</v>
      </c>
      <c r="X164" s="157">
        <f t="shared" si="60"/>
        <v>45441</v>
      </c>
      <c r="Y164" s="385">
        <f t="shared" si="61"/>
        <v>41.765825520803716</v>
      </c>
      <c r="Z164" s="385">
        <f t="shared" si="62"/>
        <v>43.825717478009572</v>
      </c>
      <c r="AA164" s="386">
        <f t="shared" si="63"/>
        <v>50.225857535809602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0.12742719331843985</v>
      </c>
      <c r="AD164" s="231">
        <f>(INDEX(Models!$BJ164:$BT164,,AH164)*(1-AF164)+INDEX(Models!$BJ164:$BT164,,AH164+1)*AF164-ERP_i)*AE164*Ramure*Pc/MaxiM</f>
        <v>5.3926932733634938E-3</v>
      </c>
      <c r="AE164" s="305">
        <f t="shared" si="65"/>
        <v>0.7</v>
      </c>
      <c r="AF164" s="177">
        <f t="shared" si="66"/>
        <v>0.19411248876127463</v>
      </c>
      <c r="AG164" s="921">
        <f t="shared" si="74"/>
        <v>1</v>
      </c>
      <c r="AH164" s="176">
        <f t="shared" si="67"/>
        <v>7</v>
      </c>
      <c r="AI164" s="225">
        <f t="shared" si="68"/>
        <v>1.1941124887612746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52.523153620900601</v>
      </c>
      <c r="C165" s="955"/>
      <c r="D165" s="393">
        <f t="shared" si="50"/>
        <v>55.114804527210424</v>
      </c>
      <c r="E165" s="385">
        <f t="shared" si="72"/>
        <v>55.811829134033879</v>
      </c>
      <c r="F165" s="385">
        <f t="shared" si="51"/>
        <v>56.097179267418113</v>
      </c>
      <c r="G165" s="110">
        <f t="shared" si="73"/>
        <v>0.94077479035464251</v>
      </c>
      <c r="H165" s="414" t="b">
        <f>Wh_hp&gt;='2023'!Maxi_hp</f>
        <v>0</v>
      </c>
      <c r="I165" s="390">
        <f>IF(H165,Wh_hp,'2023'!Maxi_hp)</f>
        <v>59.313017833892296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4.7022772348404351E-2</v>
      </c>
      <c r="M165" s="959"/>
      <c r="N165" s="959"/>
      <c r="O165" s="48">
        <f>IF(t&lt;Tnet,'2023'!Resal+('2023'!Salim-'2023'!Resal)*(1-EXP(('2023'!Tnet-t)/('2023'!Tau_j))),Resal+(Salim-Resal)*(1-EXP((Tnet-t)/(Tau_j))))*Salcycl</f>
        <v>1.2488832880741561E-2</v>
      </c>
      <c r="P165" s="169">
        <f>(INDEX(Models!$BJ165:$BT165,,T165)*(1-R165)+INDEX(Models!$BJ165:$BT165,,T165+1)*R165-ERP_i)*Q165*Ramure*Pc/MaxiM</f>
        <v>5.553039703639631E-3</v>
      </c>
      <c r="Q165" s="305">
        <f t="shared" si="53"/>
        <v>0.7</v>
      </c>
      <c r="R165" s="177">
        <f t="shared" si="54"/>
        <v>0.19902588531090126</v>
      </c>
      <c r="S165" s="921">
        <f t="shared" si="55"/>
        <v>1</v>
      </c>
      <c r="T165" s="176">
        <f t="shared" si="56"/>
        <v>7</v>
      </c>
      <c r="U165" s="251">
        <f t="shared" si="57"/>
        <v>1.1990258853109013</v>
      </c>
      <c r="V165" s="383">
        <f t="shared" si="58"/>
        <v>55.803509908842813</v>
      </c>
      <c r="W165" s="402">
        <f t="shared" si="59"/>
        <v>52.523153620900601</v>
      </c>
      <c r="X165" s="157">
        <f t="shared" si="60"/>
        <v>45442</v>
      </c>
      <c r="Y165" s="385">
        <f t="shared" si="61"/>
        <v>46.403430854269956</v>
      </c>
      <c r="Z165" s="385">
        <f t="shared" si="62"/>
        <v>48.693116170909015</v>
      </c>
      <c r="AA165" s="386">
        <f t="shared" si="63"/>
        <v>55.811829134033879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0.12754846192245461</v>
      </c>
      <c r="AD165" s="231">
        <f>(INDEX(Models!$BJ165:$BT165,,AH165)*(1-AF165)+INDEX(Models!$BJ165:$BT165,,AH165+1)*AF165-ERP_i)*AE165*Ramure*Pc/MaxiM</f>
        <v>5.553039703639631E-3</v>
      </c>
      <c r="AE165" s="305">
        <f t="shared" si="65"/>
        <v>0.7</v>
      </c>
      <c r="AF165" s="177">
        <f t="shared" si="66"/>
        <v>0.19902588531090126</v>
      </c>
      <c r="AG165" s="921">
        <f t="shared" si="74"/>
        <v>1</v>
      </c>
      <c r="AH165" s="176">
        <f t="shared" si="67"/>
        <v>7</v>
      </c>
      <c r="AI165" s="225">
        <f t="shared" si="68"/>
        <v>1.1990258853109013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53.382823482978452</v>
      </c>
      <c r="C166" s="955"/>
      <c r="D166" s="393">
        <f t="shared" si="50"/>
        <v>56.018120035227732</v>
      </c>
      <c r="E166" s="385">
        <f t="shared" si="72"/>
        <v>56.735060018680862</v>
      </c>
      <c r="F166" s="385">
        <f t="shared" si="51"/>
        <v>57.041095953800529</v>
      </c>
      <c r="G166" s="110">
        <f t="shared" si="73"/>
        <v>0.95701057248674126</v>
      </c>
      <c r="H166" s="414" t="b">
        <f>Wh_hp&gt;='2023'!Maxi_hp</f>
        <v>0</v>
      </c>
      <c r="I166" s="390">
        <f>IF(H166,Wh_hp,'2023'!Maxi_hp)</f>
        <v>60.331915443766647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4.7043644995441447E-2</v>
      </c>
      <c r="M166" s="959"/>
      <c r="N166" s="959"/>
      <c r="O166" s="48">
        <f>IF(t&lt;Tnet,'2023'!Resal+('2023'!Salim-'2023'!Resal)*(1-EXP(('2023'!Tnet-t)/('2023'!Tau_j))),Resal+(Salim-Resal)*(1-EXP((Tnet-t)/(Tau_j))))*Salcycl</f>
        <v>1.2636630387225586E-2</v>
      </c>
      <c r="P166" s="169">
        <f>(INDEX(Models!$BJ166:$BT166,,T166)*(1-R166)+INDEX(Models!$BJ166:$BT166,,T166+1)*R166-ERP_i)*Q166*Ramure*Pc/MaxiM</f>
        <v>5.7133233411586961E-3</v>
      </c>
      <c r="Q166" s="305">
        <f t="shared" si="53"/>
        <v>0.7</v>
      </c>
      <c r="R166" s="177">
        <f t="shared" si="54"/>
        <v>0.20398036338798353</v>
      </c>
      <c r="S166" s="921">
        <f t="shared" si="55"/>
        <v>1</v>
      </c>
      <c r="T166" s="176">
        <f t="shared" si="56"/>
        <v>7</v>
      </c>
      <c r="U166" s="251">
        <f t="shared" si="57"/>
        <v>1.2039803633879835</v>
      </c>
      <c r="V166" s="383">
        <f t="shared" si="58"/>
        <v>55.76128422228372</v>
      </c>
      <c r="W166" s="402">
        <f t="shared" si="59"/>
        <v>53.382823482978452</v>
      </c>
      <c r="X166" s="157">
        <f t="shared" si="60"/>
        <v>45443</v>
      </c>
      <c r="Y166" s="385">
        <f t="shared" si="61"/>
        <v>47.163475906756751</v>
      </c>
      <c r="Z166" s="385">
        <f t="shared" si="62"/>
        <v>49.491748136283888</v>
      </c>
      <c r="AA166" s="386">
        <f t="shared" si="63"/>
        <v>56.735060018680862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0.12766906177612228</v>
      </c>
      <c r="AD166" s="231">
        <f>(INDEX(Models!$BJ166:$BT166,,AH166)*(1-AF166)+INDEX(Models!$BJ166:$BT166,,AH166+1)*AF166-ERP_i)*AE166*Ramure*Pc/MaxiM</f>
        <v>5.7133233411586961E-3</v>
      </c>
      <c r="AE166" s="305">
        <f t="shared" si="65"/>
        <v>0.7</v>
      </c>
      <c r="AF166" s="177">
        <f t="shared" si="66"/>
        <v>0.20398036338798353</v>
      </c>
      <c r="AG166" s="921">
        <f t="shared" si="74"/>
        <v>1</v>
      </c>
      <c r="AH166" s="176">
        <f t="shared" si="67"/>
        <v>7</v>
      </c>
      <c r="AI166" s="225">
        <f t="shared" si="68"/>
        <v>1.2039803633879835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42.25528323748091</v>
      </c>
      <c r="C167" s="955"/>
      <c r="D167" s="393">
        <f t="shared" si="50"/>
        <v>44.342228828200902</v>
      </c>
      <c r="E167" s="385">
        <f t="shared" si="72"/>
        <v>44.916459258616328</v>
      </c>
      <c r="F167" s="385">
        <f t="shared" si="51"/>
        <v>45.089885413607</v>
      </c>
      <c r="G167" s="110">
        <f t="shared" si="73"/>
        <v>0.75685050560014411</v>
      </c>
      <c r="H167" s="414" t="b">
        <f>Wh_hp&gt;='2023'!Maxi_hp</f>
        <v>0</v>
      </c>
      <c r="I167" s="390">
        <f>IF(H167,Wh_hp,'2023'!Maxi_hp)</f>
        <v>59.300139796564821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4.7064517185314125E-2</v>
      </c>
      <c r="M167" s="959"/>
      <c r="N167" s="959"/>
      <c r="O167" s="48">
        <f>IF(t&lt;Tnet,'2023'!Resal+('2023'!Salim-'2023'!Resal)*(1-EXP(('2023'!Tnet-t)/('2023'!Tau_j))),Resal+(Salim-Resal)*(1-EXP((Tnet-t)/(Tau_j))))*Salcycl</f>
        <v>1.2784409988979102E-2</v>
      </c>
      <c r="P167" s="169">
        <f>(INDEX(Models!$BJ167:$BT167,,T167)*(1-R167)+INDEX(Models!$BJ167:$BT167,,T167+1)*R167-ERP_i)*Q167*Ramure*Pc/MaxiM</f>
        <v>5.8734690873644985E-3</v>
      </c>
      <c r="Q167" s="305">
        <f t="shared" si="53"/>
        <v>0.7</v>
      </c>
      <c r="R167" s="177">
        <f t="shared" si="54"/>
        <v>0.20897220680239625</v>
      </c>
      <c r="S167" s="921">
        <f t="shared" si="55"/>
        <v>1</v>
      </c>
      <c r="T167" s="176">
        <f t="shared" si="56"/>
        <v>7</v>
      </c>
      <c r="U167" s="251">
        <f t="shared" si="57"/>
        <v>1.2089722068023963</v>
      </c>
      <c r="V167" s="383">
        <f t="shared" si="58"/>
        <v>55.716803645176654</v>
      </c>
      <c r="W167" s="402">
        <f t="shared" si="59"/>
        <v>42.25528323748091</v>
      </c>
      <c r="X167" s="157">
        <f t="shared" si="60"/>
        <v>45444</v>
      </c>
      <c r="Y167" s="385">
        <f t="shared" si="61"/>
        <v>37.33280559148551</v>
      </c>
      <c r="Z167" s="385">
        <f t="shared" si="62"/>
        <v>39.176635002839426</v>
      </c>
      <c r="AA167" s="386">
        <f t="shared" si="63"/>
        <v>44.916459258616328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0.12778888519971288</v>
      </c>
      <c r="AD167" s="231">
        <f>(INDEX(Models!$BJ167:$BT167,,AH167)*(1-AF167)+INDEX(Models!$BJ167:$BT167,,AH167+1)*AF167-ERP_i)*AE167*Ramure*Pc/MaxiM</f>
        <v>5.8734690873644985E-3</v>
      </c>
      <c r="AE167" s="305">
        <f t="shared" si="65"/>
        <v>0.7</v>
      </c>
      <c r="AF167" s="177">
        <f t="shared" si="66"/>
        <v>0.20897220680239625</v>
      </c>
      <c r="AG167" s="921">
        <f t="shared" si="74"/>
        <v>1</v>
      </c>
      <c r="AH167" s="176">
        <f t="shared" si="67"/>
        <v>7</v>
      </c>
      <c r="AI167" s="225">
        <f t="shared" si="68"/>
        <v>1.2089722068023963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53.074980957683742</v>
      </c>
      <c r="C168" s="955"/>
      <c r="D168" s="393">
        <f t="shared" si="50"/>
        <v>55.697520365881282</v>
      </c>
      <c r="E168" s="385">
        <f t="shared" si="72"/>
        <v>56.427246448186054</v>
      </c>
      <c r="F168" s="385">
        <f t="shared" si="51"/>
        <v>56.746823479733358</v>
      </c>
      <c r="G168" s="110">
        <f t="shared" si="73"/>
        <v>0.95300090128298942</v>
      </c>
      <c r="H168" s="414" t="b">
        <f>Wh_hp&gt;='2023'!Maxi_hp</f>
        <v>0</v>
      </c>
      <c r="I168" s="390">
        <f>IF(H168,Wh_hp,'2023'!Maxi_hp)</f>
        <v>56.753164190064147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4.7085388918032156E-2</v>
      </c>
      <c r="M168" s="959"/>
      <c r="N168" s="959"/>
      <c r="O168" s="48">
        <f>IF(t&lt;Tnet,'2023'!Resal+('2023'!Salim-'2023'!Resal)*(1-EXP(('2023'!Tnet-t)/('2023'!Tau_j))),Resal+(Salim-Resal)*(1-EXP((Tnet-t)/(Tau_j))))*Salcycl</f>
        <v>1.2932158278799543E-2</v>
      </c>
      <c r="P168" s="169">
        <f>(INDEX(Models!$BJ168:$BT168,,T168)*(1-R168)+INDEX(Models!$BJ168:$BT168,,T168+1)*R168-ERP_i)*Q168*Ramure*Pc/MaxiM</f>
        <v>6.0334003168526391E-3</v>
      </c>
      <c r="Q168" s="305">
        <f t="shared" si="53"/>
        <v>0.7</v>
      </c>
      <c r="R168" s="177">
        <f t="shared" si="54"/>
        <v>0.21399757958466803</v>
      </c>
      <c r="S168" s="921">
        <f t="shared" si="55"/>
        <v>1</v>
      </c>
      <c r="T168" s="176">
        <f t="shared" si="56"/>
        <v>7</v>
      </c>
      <c r="U168" s="251">
        <f t="shared" si="57"/>
        <v>1.213997579584668</v>
      </c>
      <c r="V168" s="383">
        <f t="shared" si="58"/>
        <v>55.669974801226374</v>
      </c>
      <c r="W168" s="402">
        <f t="shared" si="59"/>
        <v>53.074980957683742</v>
      </c>
      <c r="X168" s="157">
        <f t="shared" si="60"/>
        <v>45445</v>
      </c>
      <c r="Y168" s="385">
        <f t="shared" si="61"/>
        <v>46.892699343797887</v>
      </c>
      <c r="Z168" s="385">
        <f t="shared" si="62"/>
        <v>49.209760033540157</v>
      </c>
      <c r="AA168" s="386">
        <f t="shared" si="63"/>
        <v>56.427246448186054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0.12790782589884678</v>
      </c>
      <c r="AD168" s="231">
        <f>(INDEX(Models!$BJ168:$BT168,,AH168)*(1-AF168)+INDEX(Models!$BJ168:$BT168,,AH168+1)*AF168-ERP_i)*AE168*Ramure*Pc/MaxiM</f>
        <v>6.0334003168526391E-3</v>
      </c>
      <c r="AE168" s="305">
        <f t="shared" si="65"/>
        <v>0.7</v>
      </c>
      <c r="AF168" s="177">
        <f t="shared" si="66"/>
        <v>0.21399757958466803</v>
      </c>
      <c r="AG168" s="921">
        <f t="shared" si="74"/>
        <v>1</v>
      </c>
      <c r="AH168" s="176">
        <f t="shared" si="67"/>
        <v>7</v>
      </c>
      <c r="AI168" s="225">
        <f t="shared" si="68"/>
        <v>1.213997579584668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21.979957732004721</v>
      </c>
      <c r="C169" s="955"/>
      <c r="D169" s="393">
        <f t="shared" si="50"/>
        <v>23.066535977527288</v>
      </c>
      <c r="E169" s="385">
        <f t="shared" si="72"/>
        <v>23.372241663519386</v>
      </c>
      <c r="F169" s="385">
        <f t="shared" si="51"/>
        <v>23.391938598568981</v>
      </c>
      <c r="G169" s="110">
        <f t="shared" si="73"/>
        <v>0.393059456107407</v>
      </c>
      <c r="H169" s="414" t="b">
        <f>Wh_hp&gt;='2023'!Maxi_hp</f>
        <v>0</v>
      </c>
      <c r="I169" s="390">
        <f>IF(H169,Wh_hp,'2023'!Maxi_hp)</f>
        <v>57.111684044434135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4.7106260193605753E-2</v>
      </c>
      <c r="M169" s="959"/>
      <c r="N169" s="959"/>
      <c r="O169" s="48">
        <f>IF(t&lt;Tnet,'2023'!Resal+('2023'!Salim-'2023'!Resal)*(1-EXP(('2023'!Tnet-t)/('2023'!Tau_j))),Resal+(Salim-Resal)*(1-EXP((Tnet-t)/(Tau_j))))*Salcycl</f>
        <v>1.3079861589368134E-2</v>
      </c>
      <c r="P169" s="169">
        <f>(INDEX(Models!$BJ169:$BT169,,T169)*(1-R169)+INDEX(Models!$BJ169:$BT169,,T169+1)*R169-ERP_i)*Q169*Ramure*Pc/MaxiM</f>
        <v>6.1930392489071753E-3</v>
      </c>
      <c r="Q169" s="305">
        <f t="shared" si="53"/>
        <v>0.7</v>
      </c>
      <c r="R169" s="177">
        <f t="shared" si="54"/>
        <v>0.21905253711432793</v>
      </c>
      <c r="S169" s="921">
        <f t="shared" si="55"/>
        <v>1</v>
      </c>
      <c r="T169" s="176">
        <f t="shared" si="56"/>
        <v>7</v>
      </c>
      <c r="U169" s="251">
        <f t="shared" si="57"/>
        <v>1.2190525371143279</v>
      </c>
      <c r="V169" s="383">
        <f t="shared" si="58"/>
        <v>55.620704509515114</v>
      </c>
      <c r="W169" s="402">
        <f t="shared" si="59"/>
        <v>21.979957732004721</v>
      </c>
      <c r="X169" s="157">
        <f t="shared" si="60"/>
        <v>45446</v>
      </c>
      <c r="Y169" s="385">
        <f t="shared" si="61"/>
        <v>19.419966993144374</v>
      </c>
      <c r="Z169" s="385">
        <f t="shared" si="62"/>
        <v>20.379992208879511</v>
      </c>
      <c r="AA169" s="386">
        <f t="shared" si="63"/>
        <v>23.372241663519386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0.1280257793718749</v>
      </c>
      <c r="AD169" s="231">
        <f>(INDEX(Models!$BJ169:$BT169,,AH169)*(1-AF169)+INDEX(Models!$BJ169:$BT169,,AH169+1)*AF169-ERP_i)*AE169*Ramure*Pc/MaxiM</f>
        <v>6.1930392489071753E-3</v>
      </c>
      <c r="AE169" s="305">
        <f t="shared" si="65"/>
        <v>0.7</v>
      </c>
      <c r="AF169" s="177">
        <f t="shared" si="66"/>
        <v>0.21905253711432793</v>
      </c>
      <c r="AG169" s="921">
        <f t="shared" si="74"/>
        <v>1</v>
      </c>
      <c r="AH169" s="176">
        <f t="shared" si="67"/>
        <v>7</v>
      </c>
      <c r="AI169" s="225">
        <f t="shared" si="68"/>
        <v>1.2190525371143279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31.008568222143925</v>
      </c>
      <c r="C170" s="955"/>
      <c r="D170" s="393">
        <f t="shared" si="50"/>
        <v>32.542188188313176</v>
      </c>
      <c r="E170" s="385">
        <f t="shared" ref="E170:E232" si="75">Wh_pvt/(1-Psa)</f>
        <v>32.978410310082936</v>
      </c>
      <c r="F170" s="385">
        <f t="shared" si="51"/>
        <v>33.055753236859978</v>
      </c>
      <c r="G170" s="110">
        <f t="shared" ref="G170:G232" si="76">+Wh_hp/MaxiM</f>
        <v>0.55577586703087922</v>
      </c>
      <c r="H170" s="414" t="b">
        <f>Wh_hp&gt;='2023'!Maxi_hp</f>
        <v>0</v>
      </c>
      <c r="I170" s="390">
        <f>IF(H170,Wh_hp,'2023'!Maxi_hp)</f>
        <v>42.716075181662134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4.7127131012044798E-2</v>
      </c>
      <c r="M170" s="959"/>
      <c r="N170" s="959"/>
      <c r="O170" s="48">
        <f>IF(t&lt;Tnet,'2023'!Resal+('2023'!Salim-'2023'!Resal)*(1-EXP(('2023'!Tnet-t)/('2023'!Tau_j))),Resal+(Salim-Resal)*(1-EXP((Tnet-t)/(Tau_j))))*Salcycl</f>
        <v>1.3227506046171794E-2</v>
      </c>
      <c r="P170" s="169">
        <f>(INDEX(Models!$BJ170:$BT170,,T170)*(1-R170)+INDEX(Models!$BJ170:$BT170,,T170+1)*R170-ERP_i)*Q170*Ramure*Pc/MaxiM</f>
        <v>6.3477843259120729E-3</v>
      </c>
      <c r="Q170" s="305">
        <f t="shared" si="53"/>
        <v>0.7</v>
      </c>
      <c r="R170" s="177">
        <f t="shared" si="54"/>
        <v>0.22413303798459983</v>
      </c>
      <c r="S170" s="921">
        <f t="shared" si="55"/>
        <v>1</v>
      </c>
      <c r="T170" s="176">
        <f t="shared" si="56"/>
        <v>7</v>
      </c>
      <c r="U170" s="251">
        <f t="shared" si="57"/>
        <v>1.2241330379845998</v>
      </c>
      <c r="V170" s="383">
        <f t="shared" si="58"/>
        <v>55.56915270381608</v>
      </c>
      <c r="W170" s="402">
        <f t="shared" si="59"/>
        <v>31.008568222143925</v>
      </c>
      <c r="X170" s="157">
        <f t="shared" si="60"/>
        <v>45447</v>
      </c>
      <c r="Y170" s="385">
        <f t="shared" si="61"/>
        <v>27.397448236947621</v>
      </c>
      <c r="Z170" s="385">
        <f t="shared" si="62"/>
        <v>28.752469640621008</v>
      </c>
      <c r="AA170" s="386">
        <f t="shared" si="63"/>
        <v>32.978410310082936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0.12814264331503791</v>
      </c>
      <c r="AD170" s="231">
        <f>(INDEX(Models!$BJ170:$BT170,,AH170)*(1-AF170)+INDEX(Models!$BJ170:$BT170,,AH170+1)*AF170-ERP_i)*AE170*Ramure*Pc/MaxiM</f>
        <v>6.3477843259120729E-3</v>
      </c>
      <c r="AE170" s="305">
        <f t="shared" si="65"/>
        <v>0.7</v>
      </c>
      <c r="AF170" s="177">
        <f t="shared" si="66"/>
        <v>0.22413303798459983</v>
      </c>
      <c r="AG170" s="921">
        <f t="shared" si="74"/>
        <v>1</v>
      </c>
      <c r="AH170" s="176">
        <f t="shared" si="67"/>
        <v>7</v>
      </c>
      <c r="AI170" s="225">
        <f t="shared" si="68"/>
        <v>1.2241330379845998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46.454451946975617</v>
      </c>
      <c r="C171" s="955"/>
      <c r="D171" s="393">
        <f t="shared" si="50"/>
        <v>48.753061350483698</v>
      </c>
      <c r="E171" s="385">
        <f t="shared" si="75"/>
        <v>49.413977130233867</v>
      </c>
      <c r="F171" s="385">
        <f t="shared" si="51"/>
        <v>49.661409137587746</v>
      </c>
      <c r="G171" s="110">
        <f t="shared" si="76"/>
        <v>0.83551335784588443</v>
      </c>
      <c r="H171" s="414" t="b">
        <f>Wh_hp&gt;='2023'!Maxi_hp</f>
        <v>0</v>
      </c>
      <c r="I171" s="390">
        <f>IF(H171,Wh_hp,'2023'!Maxi_hp)</f>
        <v>56.000265625104696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4.7148001373359394E-2</v>
      </c>
      <c r="M171" s="959"/>
      <c r="N171" s="959"/>
      <c r="O171" s="48">
        <f>IF(t&lt;Tnet,'2023'!Resal+('2023'!Salim-'2023'!Resal)*(1-EXP(('2023'!Tnet-t)/('2023'!Tau_j))),Resal+(Salim-Resal)*(1-EXP((Tnet-t)/(Tau_j))))*Salcycl</f>
        <v>1.3375077622436329E-2</v>
      </c>
      <c r="P171" s="169">
        <f>(INDEX(Models!$BJ171:$BT171,,T171)*(1-R171)+INDEX(Models!$BJ171:$BT171,,T171+1)*R171-ERP_i)*Q171*Ramure*Pc/MaxiM</f>
        <v>6.4972951143552563E-3</v>
      </c>
      <c r="Q171" s="305">
        <f t="shared" si="53"/>
        <v>0.7</v>
      </c>
      <c r="R171" s="177">
        <f t="shared" si="54"/>
        <v>0.22923495653173975</v>
      </c>
      <c r="S171" s="921">
        <f t="shared" si="55"/>
        <v>1</v>
      </c>
      <c r="T171" s="176">
        <f t="shared" si="56"/>
        <v>7</v>
      </c>
      <c r="U171" s="251">
        <f t="shared" si="57"/>
        <v>1.2292349565317398</v>
      </c>
      <c r="V171" s="383">
        <f t="shared" si="58"/>
        <v>55.515240501536155</v>
      </c>
      <c r="W171" s="402">
        <f t="shared" si="59"/>
        <v>46.454451946975617</v>
      </c>
      <c r="X171" s="157">
        <f t="shared" si="60"/>
        <v>45448</v>
      </c>
      <c r="Y171" s="385">
        <f t="shared" si="61"/>
        <v>41.045265690229826</v>
      </c>
      <c r="Z171" s="385">
        <f t="shared" si="62"/>
        <v>43.076223536697157</v>
      </c>
      <c r="AA171" s="386">
        <f t="shared" si="63"/>
        <v>49.413977130233867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0.12825831802271523</v>
      </c>
      <c r="AD171" s="231">
        <f>(INDEX(Models!$BJ171:$BT171,,AH171)*(1-AF171)+INDEX(Models!$BJ171:$BT171,,AH171+1)*AF171-ERP_i)*AE171*Ramure*Pc/MaxiM</f>
        <v>6.4972951143552563E-3</v>
      </c>
      <c r="AE171" s="305">
        <f t="shared" si="65"/>
        <v>0.7</v>
      </c>
      <c r="AF171" s="177">
        <f t="shared" si="66"/>
        <v>0.22923495653173975</v>
      </c>
      <c r="AG171" s="921">
        <f t="shared" si="74"/>
        <v>1</v>
      </c>
      <c r="AH171" s="176">
        <f t="shared" si="67"/>
        <v>7</v>
      </c>
      <c r="AI171" s="225">
        <f t="shared" si="68"/>
        <v>1.2292349565317398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27.196006946487412</v>
      </c>
      <c r="C172" s="955"/>
      <c r="D172" s="393">
        <f t="shared" si="50"/>
        <v>28.542315764758776</v>
      </c>
      <c r="E172" s="385">
        <f t="shared" si="75"/>
        <v>28.933571788817872</v>
      </c>
      <c r="F172" s="385">
        <f t="shared" si="51"/>
        <v>28.985928681575224</v>
      </c>
      <c r="G172" s="110">
        <f t="shared" si="76"/>
        <v>0.48800613033929302</v>
      </c>
      <c r="H172" s="414" t="b">
        <f>Wh_hp&gt;='2023'!Maxi_hp</f>
        <v>0</v>
      </c>
      <c r="I172" s="390">
        <f>IF(H172,Wh_hp,'2023'!Maxi_hp)</f>
        <v>55.156942491889488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4.7168871277559532E-2</v>
      </c>
      <c r="M172" s="959"/>
      <c r="N172" s="959"/>
      <c r="O172" s="48">
        <f>IF(t&lt;Tnet,'2023'!Resal+('2023'!Salim-'2023'!Resal)*(1-EXP(('2023'!Tnet-t)/('2023'!Tau_j))),Resal+(Salim-Resal)*(1-EXP((Tnet-t)/(Tau_j))))*Salcycl</f>
        <v>1.3522562195736458E-2</v>
      </c>
      <c r="P172" s="169">
        <f>(INDEX(Models!$BJ172:$BT172,,T172)*(1-R172)+INDEX(Models!$BJ172:$BT172,,T172+1)*R172-ERP_i)*Q172*Ramure*Pc/MaxiM</f>
        <v>6.6414055522008349E-3</v>
      </c>
      <c r="Q172" s="305">
        <f t="shared" si="53"/>
        <v>0.7</v>
      </c>
      <c r="R172" s="177">
        <f t="shared" si="54"/>
        <v>0.2343540959495658</v>
      </c>
      <c r="S172" s="921">
        <f t="shared" si="55"/>
        <v>1</v>
      </c>
      <c r="T172" s="176">
        <f t="shared" si="56"/>
        <v>7</v>
      </c>
      <c r="U172" s="251">
        <f t="shared" si="57"/>
        <v>1.2343540959495658</v>
      </c>
      <c r="V172" s="383">
        <f t="shared" si="58"/>
        <v>55.458879273154693</v>
      </c>
      <c r="W172" s="402">
        <f t="shared" si="59"/>
        <v>27.196006946487412</v>
      </c>
      <c r="X172" s="157">
        <f t="shared" si="60"/>
        <v>45449</v>
      </c>
      <c r="Y172" s="385">
        <f t="shared" si="61"/>
        <v>24.029725377116204</v>
      </c>
      <c r="Z172" s="385">
        <f t="shared" si="62"/>
        <v>25.219290861472327</v>
      </c>
      <c r="AA172" s="386">
        <f t="shared" si="63"/>
        <v>28.933571788817872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0.12837270678005358</v>
      </c>
      <c r="AD172" s="231">
        <f>(INDEX(Models!$BJ172:$BT172,,AH172)*(1-AF172)+INDEX(Models!$BJ172:$BT172,,AH172+1)*AF172-ERP_i)*AE172*Ramure*Pc/MaxiM</f>
        <v>6.6414055522008349E-3</v>
      </c>
      <c r="AE172" s="305">
        <f t="shared" si="65"/>
        <v>0.7</v>
      </c>
      <c r="AF172" s="177">
        <f t="shared" si="66"/>
        <v>0.2343540959495658</v>
      </c>
      <c r="AG172" s="921">
        <f t="shared" si="74"/>
        <v>1</v>
      </c>
      <c r="AH172" s="176">
        <f t="shared" si="67"/>
        <v>7</v>
      </c>
      <c r="AI172" s="225">
        <f t="shared" si="68"/>
        <v>1.2343540959495658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20.219566205486309</v>
      </c>
      <c r="C173" s="955"/>
      <c r="D173" s="393">
        <f t="shared" si="50"/>
        <v>21.220978687681431</v>
      </c>
      <c r="E173" s="385">
        <f t="shared" si="75"/>
        <v>21.515088781024716</v>
      </c>
      <c r="F173" s="385">
        <f t="shared" si="51"/>
        <v>21.528637129173188</v>
      </c>
      <c r="G173" s="110">
        <f t="shared" si="76"/>
        <v>0.36272801250443198</v>
      </c>
      <c r="H173" s="414" t="b">
        <f>Wh_hp&gt;='2023'!Maxi_hp</f>
        <v>0</v>
      </c>
      <c r="I173" s="390">
        <f>IF(H173,Wh_hp,'2023'!Maxi_hp)</f>
        <v>61.487890344452325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4.7189740724655205E-2</v>
      </c>
      <c r="M173" s="959"/>
      <c r="N173" s="959"/>
      <c r="O173" s="48">
        <f>IF(t&lt;Tnet,'2023'!Resal+('2023'!Salim-'2023'!Resal)*(1-EXP(('2023'!Tnet-t)/('2023'!Tau_j))),Resal+(Salim-Resal)*(1-EXP((Tnet-t)/(Tau_j))))*Salcycl</f>
        <v>1.366994560592638E-2</v>
      </c>
      <c r="P173" s="169">
        <f>(INDEX(Models!$BJ173:$BT173,,T173)*(1-R173)+INDEX(Models!$BJ173:$BT173,,T173+1)*R173-ERP_i)*Q173*Ramure*Pc/MaxiM</f>
        <v>6.7799514091348078E-3</v>
      </c>
      <c r="Q173" s="305">
        <f t="shared" si="53"/>
        <v>0.7</v>
      </c>
      <c r="R173" s="177">
        <f t="shared" si="54"/>
        <v>0.23948620190283232</v>
      </c>
      <c r="S173" s="921">
        <f t="shared" si="55"/>
        <v>1</v>
      </c>
      <c r="T173" s="176">
        <f t="shared" si="56"/>
        <v>7</v>
      </c>
      <c r="U173" s="251">
        <f t="shared" si="57"/>
        <v>1.2394862019028323</v>
      </c>
      <c r="V173" s="383">
        <f t="shared" si="58"/>
        <v>55.399980288447132</v>
      </c>
      <c r="W173" s="402">
        <f t="shared" si="59"/>
        <v>20.219566205486309</v>
      </c>
      <c r="X173" s="157">
        <f t="shared" si="60"/>
        <v>45450</v>
      </c>
      <c r="Y173" s="385">
        <f t="shared" si="61"/>
        <v>17.865866178265335</v>
      </c>
      <c r="Z173" s="385">
        <f t="shared" si="62"/>
        <v>18.75070718891412</v>
      </c>
      <c r="AA173" s="386">
        <f t="shared" si="63"/>
        <v>21.515088781024716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0.12848571624527277</v>
      </c>
      <c r="AD173" s="231">
        <f>(INDEX(Models!$BJ173:$BT173,,AH173)*(1-AF173)+INDEX(Models!$BJ173:$BT173,,AH173+1)*AF173-ERP_i)*AE173*Ramure*Pc/MaxiM</f>
        <v>6.7799514091348078E-3</v>
      </c>
      <c r="AE173" s="305">
        <f t="shared" si="65"/>
        <v>0.7</v>
      </c>
      <c r="AF173" s="177">
        <f t="shared" si="66"/>
        <v>0.23948620190283232</v>
      </c>
      <c r="AG173" s="921">
        <f t="shared" si="74"/>
        <v>1</v>
      </c>
      <c r="AH173" s="176">
        <f t="shared" si="67"/>
        <v>7</v>
      </c>
      <c r="AI173" s="225">
        <f t="shared" si="68"/>
        <v>1.2394862019028323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44.921652695346609</v>
      </c>
      <c r="C174" s="955"/>
      <c r="D174" s="393">
        <f t="shared" si="50"/>
        <v>47.147515655997559</v>
      </c>
      <c r="E174" s="385">
        <f t="shared" si="75"/>
        <v>47.808090256328178</v>
      </c>
      <c r="F174" s="385">
        <f t="shared" si="51"/>
        <v>48.050932336017802</v>
      </c>
      <c r="G174" s="110">
        <f t="shared" si="76"/>
        <v>0.81024529641522924</v>
      </c>
      <c r="H174" s="414" t="b">
        <f>Wh_hp&gt;='2023'!Maxi_hp</f>
        <v>0</v>
      </c>
      <c r="I174" s="390">
        <f>IF(H174,Wh_hp,'2023'!Maxi_hp)</f>
        <v>58.767455716335284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4.7210609714656404E-2</v>
      </c>
      <c r="M174" s="959"/>
      <c r="N174" s="959"/>
      <c r="O174" s="48">
        <f>IF(t&lt;Tnet,'2023'!Resal+('2023'!Salim-'2023'!Resal)*(1-EXP(('2023'!Tnet-t)/('2023'!Tau_j))),Resal+(Salim-Resal)*(1-EXP((Tnet-t)/(Tau_j))))*Salcycl</f>
        <v>1.3817213714015359E-2</v>
      </c>
      <c r="P174" s="169">
        <f>(INDEX(Models!$BJ174:$BT174,,T174)*(1-R174)+INDEX(Models!$BJ174:$BT174,,T174+1)*R174-ERP_i)*Q174*Ramure*Pc/MaxiM</f>
        <v>6.9127708330036326E-3</v>
      </c>
      <c r="Q174" s="305">
        <f t="shared" si="53"/>
        <v>0.7</v>
      </c>
      <c r="R174" s="177">
        <f t="shared" si="54"/>
        <v>0.24462697654713805</v>
      </c>
      <c r="S174" s="921">
        <f t="shared" si="55"/>
        <v>1</v>
      </c>
      <c r="T174" s="176">
        <f t="shared" si="56"/>
        <v>7</v>
      </c>
      <c r="U174" s="251">
        <f t="shared" si="57"/>
        <v>1.2446269765471381</v>
      </c>
      <c r="V174" s="383">
        <f t="shared" si="58"/>
        <v>55.338454676958392</v>
      </c>
      <c r="W174" s="402">
        <f t="shared" si="59"/>
        <v>44.921652695346609</v>
      </c>
      <c r="X174" s="157">
        <f t="shared" si="60"/>
        <v>45451</v>
      </c>
      <c r="Y174" s="385">
        <f t="shared" si="61"/>
        <v>39.693302226833453</v>
      </c>
      <c r="Z174" s="385">
        <f t="shared" si="62"/>
        <v>41.660100995610385</v>
      </c>
      <c r="AA174" s="386">
        <f t="shared" si="63"/>
        <v>47.808090256328178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0.12859725681897555</v>
      </c>
      <c r="AD174" s="231">
        <f>(INDEX(Models!$BJ174:$BT174,,AH174)*(1-AF174)+INDEX(Models!$BJ174:$BT174,,AH174+1)*AF174-ERP_i)*AE174*Ramure*Pc/MaxiM</f>
        <v>6.9127708330036326E-3</v>
      </c>
      <c r="AE174" s="305">
        <f t="shared" si="65"/>
        <v>0.7</v>
      </c>
      <c r="AF174" s="177">
        <f t="shared" si="66"/>
        <v>0.24462697654713805</v>
      </c>
      <c r="AG174" s="921">
        <f t="shared" si="74"/>
        <v>1</v>
      </c>
      <c r="AH174" s="176">
        <f t="shared" si="67"/>
        <v>7</v>
      </c>
      <c r="AI174" s="225">
        <f t="shared" si="68"/>
        <v>1.2446269765471381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55.001160602997878</v>
      </c>
      <c r="C175" s="955"/>
      <c r="D175" s="393">
        <f t="shared" si="50"/>
        <v>57.727726459554162</v>
      </c>
      <c r="E175" s="385">
        <f t="shared" si="75"/>
        <v>58.545273290746636</v>
      </c>
      <c r="F175" s="385">
        <f t="shared" si="51"/>
        <v>58.957386899479644</v>
      </c>
      <c r="G175" s="110">
        <f t="shared" si="76"/>
        <v>0.99501025077018634</v>
      </c>
      <c r="H175" s="414" t="b">
        <f>Wh_hp&gt;='2023'!Maxi_hp</f>
        <v>0</v>
      </c>
      <c r="I175" s="390">
        <f>IF(H175,Wh_hp,'2023'!Maxi_hp)</f>
        <v>58.958171691814933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4.7231478247573122E-2</v>
      </c>
      <c r="M175" s="959"/>
      <c r="N175" s="959"/>
      <c r="O175" s="48">
        <f>IF(t&lt;Tnet,'2023'!Resal+('2023'!Salim-'2023'!Resal)*(1-EXP(('2023'!Tnet-t)/('2023'!Tau_j))),Resal+(Salim-Resal)*(1-EXP((Tnet-t)/(Tau_j))))*Salcycl</f>
        <v>1.3964352461596462E-2</v>
      </c>
      <c r="P175" s="169">
        <f>(INDEX(Models!$BJ175:$BT175,,T175)*(1-R175)+INDEX(Models!$BJ175:$BT175,,T175+1)*R175-ERP_i)*Q175*Ramure*Pc/MaxiM</f>
        <v>7.0397048753583933E-3</v>
      </c>
      <c r="Q175" s="305">
        <f t="shared" si="53"/>
        <v>0.7</v>
      </c>
      <c r="R175" s="177">
        <f t="shared" si="54"/>
        <v>0.24977209285814972</v>
      </c>
      <c r="S175" s="921">
        <f t="shared" si="55"/>
        <v>1</v>
      </c>
      <c r="T175" s="176">
        <f t="shared" si="56"/>
        <v>7</v>
      </c>
      <c r="U175" s="251">
        <f t="shared" si="57"/>
        <v>1.2497720928581497</v>
      </c>
      <c r="V175" s="383">
        <f t="shared" si="58"/>
        <v>55.274213381845669</v>
      </c>
      <c r="W175" s="402">
        <f t="shared" si="59"/>
        <v>55.001160602997878</v>
      </c>
      <c r="X175" s="157">
        <f t="shared" si="60"/>
        <v>45452</v>
      </c>
      <c r="Y175" s="385">
        <f t="shared" si="61"/>
        <v>48.600791441709049</v>
      </c>
      <c r="Z175" s="385">
        <f t="shared" si="62"/>
        <v>51.010072574939429</v>
      </c>
      <c r="AA175" s="386">
        <f t="shared" si="63"/>
        <v>58.545273290746636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0.12870724299784225</v>
      </c>
      <c r="AD175" s="231">
        <f>(INDEX(Models!$BJ175:$BT175,,AH175)*(1-AF175)+INDEX(Models!$BJ175:$BT175,,AH175+1)*AF175-ERP_i)*AE175*Ramure*Pc/MaxiM</f>
        <v>7.0397048753583933E-3</v>
      </c>
      <c r="AE175" s="305">
        <f t="shared" si="65"/>
        <v>0.7</v>
      </c>
      <c r="AF175" s="177">
        <f t="shared" si="66"/>
        <v>0.24977209285814972</v>
      </c>
      <c r="AG175" s="921">
        <f t="shared" si="74"/>
        <v>1</v>
      </c>
      <c r="AH175" s="176">
        <f t="shared" si="67"/>
        <v>7</v>
      </c>
      <c r="AI175" s="225">
        <f t="shared" si="68"/>
        <v>1.2497720928581497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53.501515443192481</v>
      </c>
      <c r="C176" s="955"/>
      <c r="D176" s="393">
        <f t="shared" si="50"/>
        <v>56.154969510272721</v>
      </c>
      <c r="E176" s="385">
        <f t="shared" si="75"/>
        <v>56.95873402375846</v>
      </c>
      <c r="F176" s="385">
        <f t="shared" si="51"/>
        <v>57.351278001394789</v>
      </c>
      <c r="G176" s="110">
        <f t="shared" si="76"/>
        <v>0.96879613504954887</v>
      </c>
      <c r="H176" s="414" t="b">
        <f>Wh_hp&gt;='2023'!Maxi_hp</f>
        <v>0</v>
      </c>
      <c r="I176" s="390">
        <f>IF(H176,Wh_hp,'2023'!Maxi_hp)</f>
        <v>57.3561169599772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4.7252346323415462E-2</v>
      </c>
      <c r="M176" s="959"/>
      <c r="N176" s="959"/>
      <c r="O176" s="48">
        <f>IF(t&lt;Tnet,'2023'!Resal+('2023'!Salim-'2023'!Resal)*(1-EXP(('2023'!Tnet-t)/('2023'!Tau_j))),Resal+(Salim-Resal)*(1-EXP((Tnet-t)/(Tau_j))))*Salcycl</f>
        <v>1.4111347930424073E-2</v>
      </c>
      <c r="P176" s="169">
        <f>(INDEX(Models!$BJ176:$BT176,,T176)*(1-R176)+INDEX(Models!$BJ176:$BT176,,T176+1)*R176-ERP_i)*Q176*Ramure*Pc/MaxiM</f>
        <v>7.1605979889888764E-3</v>
      </c>
      <c r="Q176" s="305">
        <f t="shared" si="53"/>
        <v>0.7</v>
      </c>
      <c r="R176" s="177">
        <f t="shared" si="54"/>
        <v>0.25491720916916116</v>
      </c>
      <c r="S176" s="921">
        <f t="shared" si="55"/>
        <v>1</v>
      </c>
      <c r="T176" s="176">
        <f t="shared" si="56"/>
        <v>7</v>
      </c>
      <c r="U176" s="251">
        <f t="shared" si="57"/>
        <v>1.2549172091691612</v>
      </c>
      <c r="V176" s="383">
        <f t="shared" si="58"/>
        <v>55.207167121807139</v>
      </c>
      <c r="W176" s="402">
        <f t="shared" si="59"/>
        <v>53.501515443192481</v>
      </c>
      <c r="X176" s="157">
        <f t="shared" si="60"/>
        <v>45453</v>
      </c>
      <c r="Y176" s="385">
        <f t="shared" si="61"/>
        <v>47.276825703532346</v>
      </c>
      <c r="Z176" s="385">
        <f t="shared" si="62"/>
        <v>49.62156088350833</v>
      </c>
      <c r="AA176" s="386">
        <f t="shared" si="63"/>
        <v>56.95873402375846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0.1288155937101704</v>
      </c>
      <c r="AD176" s="231">
        <f>(INDEX(Models!$BJ176:$BT176,,AH176)*(1-AF176)+INDEX(Models!$BJ176:$BT176,,AH176+1)*AF176-ERP_i)*AE176*Ramure*Pc/MaxiM</f>
        <v>7.1605979889888764E-3</v>
      </c>
      <c r="AE176" s="305">
        <f t="shared" si="65"/>
        <v>0.7</v>
      </c>
      <c r="AF176" s="177">
        <f t="shared" si="66"/>
        <v>0.25491720916916116</v>
      </c>
      <c r="AG176" s="921">
        <f t="shared" si="74"/>
        <v>1</v>
      </c>
      <c r="AH176" s="176">
        <f t="shared" si="67"/>
        <v>7</v>
      </c>
      <c r="AI176" s="225">
        <f t="shared" si="68"/>
        <v>1.2549172091691612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41.007816181903323</v>
      </c>
      <c r="C177" s="955"/>
      <c r="D177" s="393">
        <f t="shared" si="50"/>
        <v>43.042577139649332</v>
      </c>
      <c r="E177" s="385">
        <f t="shared" si="75"/>
        <v>43.665163175466944</v>
      </c>
      <c r="F177" s="385">
        <f t="shared" si="51"/>
        <v>43.867482872208193</v>
      </c>
      <c r="G177" s="110">
        <f t="shared" si="76"/>
        <v>0.74175940161130738</v>
      </c>
      <c r="H177" s="414" t="b">
        <f>Wh_hp&gt;='2023'!Maxi_hp</f>
        <v>0</v>
      </c>
      <c r="I177" s="390">
        <f>IF(H177,Wh_hp,'2023'!Maxi_hp)</f>
        <v>53.061432092137871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4.7273213942193415E-2</v>
      </c>
      <c r="M177" s="959"/>
      <c r="N177" s="959"/>
      <c r="O177" s="48">
        <f>IF(t&lt;Tnet,'2023'!Resal+('2023'!Salim-'2023'!Resal)*(1-EXP(('2023'!Tnet-t)/('2023'!Tau_j))),Resal+(Salim-Resal)*(1-EXP((Tnet-t)/(Tau_j))))*Salcycl</f>
        <v>1.4258186401726545E-2</v>
      </c>
      <c r="P177" s="169">
        <f>(INDEX(Models!$BJ177:$BT177,,T177)*(1-R177)+INDEX(Models!$BJ177:$BT177,,T177+1)*R177-ERP_i)*Q177*Ramure*Pc/MaxiM</f>
        <v>7.2753801893175058E-3</v>
      </c>
      <c r="Q177" s="305">
        <f t="shared" si="53"/>
        <v>0.7</v>
      </c>
      <c r="R177" s="177">
        <f t="shared" si="54"/>
        <v>0.26005798381346712</v>
      </c>
      <c r="S177" s="921">
        <f t="shared" si="55"/>
        <v>1</v>
      </c>
      <c r="T177" s="176">
        <f t="shared" si="56"/>
        <v>7</v>
      </c>
      <c r="U177" s="251">
        <f t="shared" si="57"/>
        <v>1.2600579838134671</v>
      </c>
      <c r="V177" s="383">
        <f t="shared" si="58"/>
        <v>55.136602674870652</v>
      </c>
      <c r="W177" s="402">
        <f t="shared" si="59"/>
        <v>41.007816181903323</v>
      </c>
      <c r="X177" s="157">
        <f t="shared" si="60"/>
        <v>45454</v>
      </c>
      <c r="Y177" s="385">
        <f t="shared" si="61"/>
        <v>36.237680568733317</v>
      </c>
      <c r="Z177" s="385">
        <f t="shared" si="62"/>
        <v>38.035752850696696</v>
      </c>
      <c r="AA177" s="386">
        <f t="shared" si="63"/>
        <v>43.665163175466944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0.12892223263081956</v>
      </c>
      <c r="AD177" s="231">
        <f>(INDEX(Models!$BJ177:$BT177,,AH177)*(1-AF177)+INDEX(Models!$BJ177:$BT177,,AH177+1)*AF177-ERP_i)*AE177*Ramure*Pc/MaxiM</f>
        <v>7.2753801893175058E-3</v>
      </c>
      <c r="AE177" s="305">
        <f t="shared" si="65"/>
        <v>0.7</v>
      </c>
      <c r="AF177" s="177">
        <f t="shared" si="66"/>
        <v>0.26005798381346712</v>
      </c>
      <c r="AG177" s="921">
        <f t="shared" si="74"/>
        <v>1</v>
      </c>
      <c r="AH177" s="176">
        <f t="shared" si="67"/>
        <v>7</v>
      </c>
      <c r="AI177" s="225">
        <f t="shared" si="68"/>
        <v>1.2600579838134671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50.374753264051051</v>
      </c>
      <c r="C178" s="955"/>
      <c r="D178" s="393">
        <f t="shared" si="50"/>
        <v>52.87544903932281</v>
      </c>
      <c r="E178" s="385">
        <f t="shared" si="75"/>
        <v>53.64824418643996</v>
      </c>
      <c r="F178" s="385">
        <f t="shared" si="51"/>
        <v>53.998377391957547</v>
      </c>
      <c r="G178" s="110">
        <f t="shared" si="76"/>
        <v>0.91404232413368602</v>
      </c>
      <c r="H178" s="414" t="b">
        <f>Wh_hp&gt;='2023'!Maxi_hp</f>
        <v>0</v>
      </c>
      <c r="I178" s="390">
        <f>IF(H178,Wh_hp,'2023'!Maxi_hp)</f>
        <v>61.924411785677407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4.7294081103916863E-2</v>
      </c>
      <c r="M178" s="959"/>
      <c r="N178" s="959"/>
      <c r="O178" s="48">
        <f>IF(t&lt;Tnet,'2023'!Resal+('2023'!Salim-'2023'!Resal)*(1-EXP(('2023'!Tnet-t)/('2023'!Tau_j))),Resal+(Salim-Resal)*(1-EXP((Tnet-t)/(Tau_j))))*Salcycl</f>
        <v>1.4404854414834335E-2</v>
      </c>
      <c r="P178" s="169">
        <f>(INDEX(Models!$BJ178:$BT178,,T178)*(1-R178)+INDEX(Models!$BJ178:$BT178,,T178+1)*R178-ERP_i)*Q178*Ramure*Pc/MaxiM</f>
        <v>7.3818977212393652E-3</v>
      </c>
      <c r="Q178" s="305">
        <f t="shared" si="53"/>
        <v>0.7</v>
      </c>
      <c r="R178" s="177">
        <f t="shared" si="54"/>
        <v>0.26519008976673364</v>
      </c>
      <c r="S178" s="921">
        <f t="shared" si="55"/>
        <v>1</v>
      </c>
      <c r="T178" s="176">
        <f t="shared" si="56"/>
        <v>7</v>
      </c>
      <c r="U178" s="251">
        <f t="shared" si="57"/>
        <v>1.2651900897667336</v>
      </c>
      <c r="V178" s="383">
        <f t="shared" si="58"/>
        <v>55.062257636486898</v>
      </c>
      <c r="W178" s="402">
        <f t="shared" si="59"/>
        <v>50.374753264051051</v>
      </c>
      <c r="X178" s="157">
        <f t="shared" si="60"/>
        <v>45455</v>
      </c>
      <c r="Y178" s="385">
        <f t="shared" si="61"/>
        <v>44.516296284903916</v>
      </c>
      <c r="Z178" s="385">
        <f t="shared" si="62"/>
        <v>46.726167437361703</v>
      </c>
      <c r="AA178" s="386">
        <f t="shared" si="63"/>
        <v>53.64824418643996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0.12902708847324904</v>
      </c>
      <c r="AD178" s="231">
        <f>(INDEX(Models!$BJ178:$BT178,,AH178)*(1-AF178)+INDEX(Models!$BJ178:$BT178,,AH178+1)*AF178-ERP_i)*AE178*Ramure*Pc/MaxiM</f>
        <v>7.3818977212393652E-3</v>
      </c>
      <c r="AE178" s="305">
        <f t="shared" si="65"/>
        <v>0.7</v>
      </c>
      <c r="AF178" s="177">
        <f t="shared" si="66"/>
        <v>0.26519008976673364</v>
      </c>
      <c r="AG178" s="921">
        <f t="shared" si="74"/>
        <v>1</v>
      </c>
      <c r="AH178" s="176">
        <f t="shared" si="67"/>
        <v>7</v>
      </c>
      <c r="AI178" s="225">
        <f t="shared" si="68"/>
        <v>1.2651900897667336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47.959906239847015</v>
      </c>
      <c r="C179" s="955"/>
      <c r="D179" s="393">
        <f t="shared" si="50"/>
        <v>50.341827164735854</v>
      </c>
      <c r="E179" s="385">
        <f t="shared" si="75"/>
        <v>51.085185000602223</v>
      </c>
      <c r="F179" s="385">
        <f t="shared" si="51"/>
        <v>51.399570894155133</v>
      </c>
      <c r="G179" s="110">
        <f t="shared" si="76"/>
        <v>0.87104679114098216</v>
      </c>
      <c r="H179" s="414" t="b">
        <f>Wh_hp&gt;='2023'!Maxi_hp</f>
        <v>0</v>
      </c>
      <c r="I179" s="390">
        <f>IF(H179,Wh_hp,'2023'!Maxi_hp)</f>
        <v>57.572810186062441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4.731494780859602E-2</v>
      </c>
      <c r="M179" s="959"/>
      <c r="N179" s="959"/>
      <c r="O179" s="48">
        <f>IF(t&lt;Tnet,'2023'!Resal+('2023'!Salim-'2023'!Resal)*(1-EXP(('2023'!Tnet-t)/('2023'!Tau_j))),Resal+(Salim-Resal)*(1-EXP((Tnet-t)/(Tau_j))))*Salcycl</f>
        <v>1.4551338824702425E-2</v>
      </c>
      <c r="P179" s="169">
        <f>(INDEX(Models!$BJ179:$BT179,,T179)*(1-R179)+INDEX(Models!$BJ179:$BT179,,T179+1)*R179-ERP_i)*Q179*Ramure*Pc/MaxiM</f>
        <v>7.4820300144262039E-3</v>
      </c>
      <c r="Q179" s="305">
        <f t="shared" si="53"/>
        <v>0.7</v>
      </c>
      <c r="R179" s="177">
        <f t="shared" si="54"/>
        <v>0.27030922918455946</v>
      </c>
      <c r="S179" s="921">
        <f t="shared" si="55"/>
        <v>1</v>
      </c>
      <c r="T179" s="176">
        <f t="shared" si="56"/>
        <v>7</v>
      </c>
      <c r="U179" s="251">
        <f t="shared" si="57"/>
        <v>1.2703092291845595</v>
      </c>
      <c r="V179" s="383">
        <f t="shared" si="58"/>
        <v>54.984431822204371</v>
      </c>
      <c r="W179" s="402">
        <f t="shared" si="59"/>
        <v>47.959906239847015</v>
      </c>
      <c r="X179" s="157">
        <f t="shared" si="60"/>
        <v>45456</v>
      </c>
      <c r="Y179" s="385">
        <f t="shared" si="61"/>
        <v>42.383576764709765</v>
      </c>
      <c r="Z179" s="385">
        <f t="shared" si="62"/>
        <v>44.488550195279522</v>
      </c>
      <c r="AA179" s="386">
        <f t="shared" si="63"/>
        <v>51.085185000602223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0.12913009525648061</v>
      </c>
      <c r="AD179" s="231">
        <f>(INDEX(Models!$BJ179:$BT179,,AH179)*(1-AF179)+INDEX(Models!$BJ179:$BT179,,AH179+1)*AF179-ERP_i)*AE179*Ramure*Pc/MaxiM</f>
        <v>7.4820300144262039E-3</v>
      </c>
      <c r="AE179" s="305">
        <f t="shared" si="65"/>
        <v>0.7</v>
      </c>
      <c r="AF179" s="177">
        <f t="shared" si="66"/>
        <v>0.27030922918455946</v>
      </c>
      <c r="AG179" s="921">
        <f t="shared" si="74"/>
        <v>1</v>
      </c>
      <c r="AH179" s="176">
        <f t="shared" si="67"/>
        <v>7</v>
      </c>
      <c r="AI179" s="225">
        <f t="shared" si="68"/>
        <v>1.2703092291845595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51.486256778612393</v>
      </c>
      <c r="C180" s="955"/>
      <c r="D180" s="393">
        <f t="shared" si="50"/>
        <v>54.044497041323538</v>
      </c>
      <c r="E180" s="385">
        <f t="shared" si="75"/>
        <v>54.850671747574978</v>
      </c>
      <c r="F180" s="385">
        <f t="shared" si="51"/>
        <v>55.231880881758869</v>
      </c>
      <c r="G180" s="110">
        <f t="shared" si="76"/>
        <v>0.93712235248771125</v>
      </c>
      <c r="H180" s="414" t="b">
        <f>Wh_hp&gt;='2023'!Maxi_hp</f>
        <v>0</v>
      </c>
      <c r="I180" s="390">
        <f>IF(H180,Wh_hp,'2023'!Maxi_hp)</f>
        <v>55.24171181359447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4.7335814056240766E-2</v>
      </c>
      <c r="M180" s="959"/>
      <c r="N180" s="959"/>
      <c r="O180" s="48">
        <f>IF(t&lt;Tnet,'2023'!Resal+('2023'!Salim-'2023'!Resal)*(1-EXP(('2023'!Tnet-t)/('2023'!Tau_j))),Resal+(Salim-Resal)*(1-EXP((Tnet-t)/(Tau_j))))*Salcycl</f>
        <v>1.4697626857907715E-2</v>
      </c>
      <c r="P180" s="169">
        <f>(INDEX(Models!$BJ180:$BT180,,T180)*(1-R180)+INDEX(Models!$BJ180:$BT180,,T180+1)*R180-ERP_i)*Q180*Ramure*Pc/MaxiM</f>
        <v>7.5755699126974904E-3</v>
      </c>
      <c r="Q180" s="305">
        <f t="shared" si="53"/>
        <v>0.7</v>
      </c>
      <c r="R180" s="177">
        <f t="shared" si="54"/>
        <v>0.27541114773169961</v>
      </c>
      <c r="S180" s="921">
        <f t="shared" si="55"/>
        <v>1</v>
      </c>
      <c r="T180" s="176">
        <f t="shared" si="56"/>
        <v>7</v>
      </c>
      <c r="U180" s="251">
        <f t="shared" si="57"/>
        <v>1.2754111477316996</v>
      </c>
      <c r="V180" s="383">
        <f t="shared" si="58"/>
        <v>54.903540396657469</v>
      </c>
      <c r="W180" s="402">
        <f t="shared" si="59"/>
        <v>51.486256778612393</v>
      </c>
      <c r="X180" s="157">
        <f t="shared" si="60"/>
        <v>45457</v>
      </c>
      <c r="Y180" s="385">
        <f t="shared" si="61"/>
        <v>45.501388850272697</v>
      </c>
      <c r="Z180" s="385">
        <f t="shared" si="62"/>
        <v>47.762254025742166</v>
      </c>
      <c r="AA180" s="386">
        <f t="shared" si="63"/>
        <v>54.850671747574978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0.12923119254498827</v>
      </c>
      <c r="AD180" s="231">
        <f>(INDEX(Models!$BJ180:$BT180,,AH180)*(1-AF180)+INDEX(Models!$BJ180:$BT180,,AH180+1)*AF180-ERP_i)*AE180*Ramure*Pc/MaxiM</f>
        <v>7.5755699126974904E-3</v>
      </c>
      <c r="AE180" s="305">
        <f t="shared" si="65"/>
        <v>0.7</v>
      </c>
      <c r="AF180" s="177">
        <f t="shared" si="66"/>
        <v>0.27541114773169961</v>
      </c>
      <c r="AG180" s="921">
        <f t="shared" si="74"/>
        <v>1</v>
      </c>
      <c r="AH180" s="176">
        <f t="shared" si="67"/>
        <v>7</v>
      </c>
      <c r="AI180" s="225">
        <f t="shared" si="68"/>
        <v>1.2754111477316996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49.962909797550459</v>
      </c>
      <c r="C181" s="955"/>
      <c r="D181" s="393">
        <f t="shared" si="50"/>
        <v>52.446606973026213</v>
      </c>
      <c r="E181" s="385">
        <f t="shared" si="75"/>
        <v>53.236838967910231</v>
      </c>
      <c r="F181" s="385">
        <f t="shared" si="51"/>
        <v>53.595525670167717</v>
      </c>
      <c r="G181" s="110">
        <f t="shared" si="76"/>
        <v>0.91050947588777453</v>
      </c>
      <c r="H181" s="414" t="b">
        <f>Wh_hp&gt;='2023'!Maxi_hp</f>
        <v>0</v>
      </c>
      <c r="I181" s="390">
        <f>IF(H181,Wh_hp,'2023'!Maxi_hp)</f>
        <v>59.636866753529013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4.7356679846861094E-2</v>
      </c>
      <c r="M181" s="959"/>
      <c r="N181" s="959"/>
      <c r="O181" s="48">
        <f>IF(t&lt;Tnet,'2023'!Resal+('2023'!Salim-'2023'!Resal)*(1-EXP(('2023'!Tnet-t)/('2023'!Tau_j))),Resal+(Salim-Resal)*(1-EXP((Tnet-t)/(Tau_j))))*Salcycl</f>
        <v>1.4843706166708107E-2</v>
      </c>
      <c r="P181" s="169">
        <f>(INDEX(Models!$BJ181:$BT181,,T181)*(1-R181)+INDEX(Models!$BJ181:$BT181,,T181+1)*R181-ERP_i)*Q181*Ramure*Pc/MaxiM</f>
        <v>7.6623117136136506E-3</v>
      </c>
      <c r="Q181" s="305">
        <f t="shared" si="53"/>
        <v>0.7</v>
      </c>
      <c r="R181" s="177">
        <f t="shared" si="54"/>
        <v>0.28049164860197151</v>
      </c>
      <c r="S181" s="921">
        <f t="shared" si="55"/>
        <v>1</v>
      </c>
      <c r="T181" s="176">
        <f t="shared" si="56"/>
        <v>7</v>
      </c>
      <c r="U181" s="251">
        <f t="shared" si="57"/>
        <v>1.2804916486019715</v>
      </c>
      <c r="V181" s="383">
        <f t="shared" si="58"/>
        <v>54.819997779258159</v>
      </c>
      <c r="W181" s="402">
        <f t="shared" si="59"/>
        <v>49.962909797550459</v>
      </c>
      <c r="X181" s="157">
        <f t="shared" si="60"/>
        <v>45458</v>
      </c>
      <c r="Y181" s="385">
        <f t="shared" si="61"/>
        <v>44.156638570781091</v>
      </c>
      <c r="Z181" s="385">
        <f t="shared" si="62"/>
        <v>46.351701247097225</v>
      </c>
      <c r="AA181" s="386">
        <f t="shared" si="63"/>
        <v>53.236838967910231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0.12933032565970315</v>
      </c>
      <c r="AD181" s="231">
        <f>(INDEX(Models!$BJ181:$BT181,,AH181)*(1-AF181)+INDEX(Models!$BJ181:$BT181,,AH181+1)*AF181-ERP_i)*AE181*Ramure*Pc/MaxiM</f>
        <v>7.6623117136136506E-3</v>
      </c>
      <c r="AE181" s="305">
        <f t="shared" si="65"/>
        <v>0.7</v>
      </c>
      <c r="AF181" s="177">
        <f t="shared" si="66"/>
        <v>0.28049164860197151</v>
      </c>
      <c r="AG181" s="921">
        <f t="shared" si="74"/>
        <v>1</v>
      </c>
      <c r="AH181" s="176">
        <f t="shared" si="67"/>
        <v>7</v>
      </c>
      <c r="AI181" s="225">
        <f t="shared" si="68"/>
        <v>1.2804916486019715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50.613885948176872</v>
      </c>
      <c r="C182" s="955"/>
      <c r="D182" s="393">
        <f t="shared" si="50"/>
        <v>53.131107388986848</v>
      </c>
      <c r="E182" s="385">
        <f t="shared" si="75"/>
        <v>53.93963910905682</v>
      </c>
      <c r="F182" s="385">
        <f t="shared" si="51"/>
        <v>54.314926012671101</v>
      </c>
      <c r="G182" s="110">
        <f t="shared" si="76"/>
        <v>0.92394582986632634</v>
      </c>
      <c r="H182" s="414" t="b">
        <f>Wh_hp&gt;='2023'!Maxi_hp</f>
        <v>0</v>
      </c>
      <c r="I182" s="390">
        <f>IF(H182,Wh_hp,'2023'!Maxi_hp)</f>
        <v>58.647204437041879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4.7377545180467107E-2</v>
      </c>
      <c r="M182" s="959"/>
      <c r="N182" s="959"/>
      <c r="O182" s="48">
        <f>IF(t&lt;Tnet,'2023'!Resal+('2023'!Salim-'2023'!Resal)*(1-EXP(('2023'!Tnet-t)/('2023'!Tau_j))),Resal+(Salim-Resal)*(1-EXP((Tnet-t)/(Tau_j))))*Salcycl</f>
        <v>1.4989564880759717E-2</v>
      </c>
      <c r="P182" s="169">
        <f>(INDEX(Models!$BJ182:$BT182,,T182)*(1-R182)+INDEX(Models!$BJ182:$BT182,,T182+1)*R182-ERP_i)*Q182*Ramure*Pc/MaxiM</f>
        <v>7.7420519668486331E-3</v>
      </c>
      <c r="Q182" s="305">
        <f t="shared" si="53"/>
        <v>0.7</v>
      </c>
      <c r="R182" s="177">
        <f t="shared" si="54"/>
        <v>0.28554660613163119</v>
      </c>
      <c r="S182" s="921">
        <f t="shared" si="55"/>
        <v>1</v>
      </c>
      <c r="T182" s="176">
        <f t="shared" si="56"/>
        <v>7</v>
      </c>
      <c r="U182" s="251">
        <f t="shared" si="57"/>
        <v>1.2855466061316312</v>
      </c>
      <c r="V182" s="383">
        <f t="shared" si="58"/>
        <v>54.734217626411699</v>
      </c>
      <c r="W182" s="402">
        <f t="shared" si="59"/>
        <v>50.613885948176872</v>
      </c>
      <c r="X182" s="157">
        <f t="shared" si="60"/>
        <v>45459</v>
      </c>
      <c r="Y182" s="385">
        <f t="shared" si="61"/>
        <v>44.733597121329446</v>
      </c>
      <c r="Z182" s="385">
        <f t="shared" si="62"/>
        <v>46.95836938864084</v>
      </c>
      <c r="AA182" s="386">
        <f t="shared" si="63"/>
        <v>53.93963910905682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0.12942744585852783</v>
      </c>
      <c r="AD182" s="231">
        <f>(INDEX(Models!$BJ182:$BT182,,AH182)*(1-AF182)+INDEX(Models!$BJ182:$BT182,,AH182+1)*AF182-ERP_i)*AE182*Ramure*Pc/MaxiM</f>
        <v>7.7420519668486331E-3</v>
      </c>
      <c r="AE182" s="305">
        <f t="shared" si="65"/>
        <v>0.7</v>
      </c>
      <c r="AF182" s="177">
        <f t="shared" si="66"/>
        <v>0.28554660613163119</v>
      </c>
      <c r="AG182" s="921">
        <f t="shared" si="74"/>
        <v>1</v>
      </c>
      <c r="AH182" s="176">
        <f t="shared" si="67"/>
        <v>7</v>
      </c>
      <c r="AI182" s="225">
        <f t="shared" si="68"/>
        <v>1.2855466061316312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52.318076177719306</v>
      </c>
      <c r="C183" s="955"/>
      <c r="D183" s="393">
        <f t="shared" si="50"/>
        <v>54.921256409884421</v>
      </c>
      <c r="E183" s="385">
        <f t="shared" si="75"/>
        <v>55.765274527615055</v>
      </c>
      <c r="F183" s="385">
        <f t="shared" si="51"/>
        <v>56.177555761207778</v>
      </c>
      <c r="G183" s="110">
        <f t="shared" si="76"/>
        <v>0.95693039487166753</v>
      </c>
      <c r="H183" s="414" t="b">
        <f>Wh_hp&gt;='2023'!Maxi_hp</f>
        <v>0</v>
      </c>
      <c r="I183" s="390">
        <f>IF(H183,Wh_hp,'2023'!Maxi_hp)</f>
        <v>56.677985927992459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4.7398410057068685E-2</v>
      </c>
      <c r="M183" s="959"/>
      <c r="N183" s="959"/>
      <c r="O183" s="48">
        <f>IF(t&lt;Tnet,'2023'!Resal+('2023'!Salim-'2023'!Resal)*(1-EXP(('2023'!Tnet-t)/('2023'!Tau_j))),Resal+(Salim-Resal)*(1-EXP((Tnet-t)/(Tau_j))))*Salcycl</f>
        <v>1.5135191656102649E-2</v>
      </c>
      <c r="P183" s="169">
        <f>(INDEX(Models!$BJ183:$BT183,,T183)*(1-R183)+INDEX(Models!$BJ183:$BT183,,T183+1)*R183-ERP_i)*Q183*Ramure*Pc/MaxiM</f>
        <v>7.8145902527813563E-3</v>
      </c>
      <c r="Q183" s="305">
        <f t="shared" si="53"/>
        <v>0.7</v>
      </c>
      <c r="R183" s="177">
        <f t="shared" si="54"/>
        <v>0.29057197891390318</v>
      </c>
      <c r="S183" s="921">
        <f t="shared" si="55"/>
        <v>1</v>
      </c>
      <c r="T183" s="176">
        <f t="shared" si="56"/>
        <v>7</v>
      </c>
      <c r="U183" s="251">
        <f t="shared" si="57"/>
        <v>1.2905719789139032</v>
      </c>
      <c r="V183" s="383">
        <f t="shared" si="58"/>
        <v>54.646612802833332</v>
      </c>
      <c r="W183" s="402">
        <f t="shared" si="59"/>
        <v>52.318076177719306</v>
      </c>
      <c r="X183" s="157">
        <f t="shared" si="60"/>
        <v>45460</v>
      </c>
      <c r="Y183" s="385">
        <f t="shared" si="61"/>
        <v>46.241582825989809</v>
      </c>
      <c r="Z183" s="385">
        <f t="shared" si="62"/>
        <v>48.542416172914493</v>
      </c>
      <c r="AA183" s="386">
        <f t="shared" si="63"/>
        <v>55.765274527615055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0.12952251048497557</v>
      </c>
      <c r="AD183" s="231">
        <f>(INDEX(Models!$BJ183:$BT183,,AH183)*(1-AF183)+INDEX(Models!$BJ183:$BT183,,AH183+1)*AF183-ERP_i)*AE183*Ramure*Pc/MaxiM</f>
        <v>7.8145902527813563E-3</v>
      </c>
      <c r="AE183" s="305">
        <f t="shared" si="65"/>
        <v>0.7</v>
      </c>
      <c r="AF183" s="177">
        <f t="shared" si="66"/>
        <v>0.29057197891390318</v>
      </c>
      <c r="AG183" s="921">
        <f t="shared" si="74"/>
        <v>1</v>
      </c>
      <c r="AH183" s="176">
        <f t="shared" si="67"/>
        <v>7</v>
      </c>
      <c r="AI183" s="225">
        <f t="shared" si="68"/>
        <v>1.2905719789139032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53.41754959855988</v>
      </c>
      <c r="C184" s="955"/>
      <c r="D184" s="393">
        <f t="shared" si="50"/>
        <v>56.076664336467246</v>
      </c>
      <c r="E184" s="385">
        <f t="shared" si="75"/>
        <v>56.946844912222971</v>
      </c>
      <c r="F184" s="385">
        <f t="shared" si="51"/>
        <v>57.38540813805627</v>
      </c>
      <c r="G184" s="110">
        <f t="shared" si="76"/>
        <v>0.97886966869157488</v>
      </c>
      <c r="H184" s="414" t="b">
        <f>Wh_hp&gt;='2023'!Maxi_hp</f>
        <v>0</v>
      </c>
      <c r="I184" s="390">
        <f>IF(H184,Wh_hp,'2023'!Maxi_hp)</f>
        <v>57.388957189665653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4.7419274476675932E-2</v>
      </c>
      <c r="M184" s="959"/>
      <c r="N184" s="959"/>
      <c r="O184" s="48">
        <f>IF(t&lt;Tnet,'2023'!Resal+('2023'!Salim-'2023'!Resal)*(1-EXP(('2023'!Tnet-t)/('2023'!Tau_j))),Resal+(Salim-Resal)*(1-EXP((Tnet-t)/(Tau_j))))*Salcycl</f>
        <v>1.5280575721043117E-2</v>
      </c>
      <c r="P184" s="169">
        <f>(INDEX(Models!$BJ184:$BT184,,T184)*(1-R184)+INDEX(Models!$BJ184:$BT184,,T184+1)*R184-ERP_i)*Q184*Ramure*Pc/MaxiM</f>
        <v>7.8776005185953509E-3</v>
      </c>
      <c r="Q184" s="305">
        <f t="shared" si="53"/>
        <v>0.7</v>
      </c>
      <c r="R184" s="177">
        <f t="shared" si="54"/>
        <v>0.29556382232831568</v>
      </c>
      <c r="S184" s="921">
        <f t="shared" si="55"/>
        <v>1</v>
      </c>
      <c r="T184" s="176">
        <f t="shared" si="56"/>
        <v>7</v>
      </c>
      <c r="U184" s="251">
        <f t="shared" si="57"/>
        <v>1.2955638223283157</v>
      </c>
      <c r="V184" s="383">
        <f t="shared" si="58"/>
        <v>54.557712467301336</v>
      </c>
      <c r="W184" s="402">
        <f t="shared" si="59"/>
        <v>53.41754959855988</v>
      </c>
      <c r="X184" s="157">
        <f t="shared" si="60"/>
        <v>45461</v>
      </c>
      <c r="Y184" s="385">
        <f t="shared" si="61"/>
        <v>47.215284837338025</v>
      </c>
      <c r="Z184" s="385">
        <f t="shared" si="62"/>
        <v>49.565652098827769</v>
      </c>
      <c r="AA184" s="386">
        <f t="shared" si="63"/>
        <v>56.946844912222971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0.12961548308378568</v>
      </c>
      <c r="AD184" s="231">
        <f>(INDEX(Models!$BJ184:$BT184,,AH184)*(1-AF184)+INDEX(Models!$BJ184:$BT184,,AH184+1)*AF184-ERP_i)*AE184*Ramure*Pc/MaxiM</f>
        <v>7.8776005185953509E-3</v>
      </c>
      <c r="AE184" s="305">
        <f t="shared" si="65"/>
        <v>0.7</v>
      </c>
      <c r="AF184" s="177">
        <f t="shared" si="66"/>
        <v>0.29556382232831568</v>
      </c>
      <c r="AG184" s="921">
        <f t="shared" si="74"/>
        <v>1</v>
      </c>
      <c r="AH184" s="176">
        <f t="shared" si="67"/>
        <v>7</v>
      </c>
      <c r="AI184" s="225">
        <f t="shared" si="68"/>
        <v>1.2955638223283157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33.692083994862394</v>
      </c>
      <c r="C185" s="955"/>
      <c r="D185" s="393">
        <f t="shared" si="50"/>
        <v>35.370043767811431</v>
      </c>
      <c r="E185" s="385">
        <f t="shared" si="75"/>
        <v>35.92419994748586</v>
      </c>
      <c r="F185" s="385">
        <f t="shared" si="51"/>
        <v>36.054413512261746</v>
      </c>
      <c r="G185" s="110">
        <f t="shared" si="76"/>
        <v>0.61588593049703377</v>
      </c>
      <c r="H185" s="414" t="b">
        <f>Wh_hp&gt;='2023'!Maxi_hp</f>
        <v>0</v>
      </c>
      <c r="I185" s="390">
        <f>IF(H185,Wh_hp,'2023'!Maxi_hp)</f>
        <v>50.746590499850917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4.7440138439298951E-2</v>
      </c>
      <c r="M185" s="959"/>
      <c r="N185" s="959"/>
      <c r="O185" s="48">
        <f>IF(t&lt;Tnet,'2023'!Resal+('2023'!Salim-'2023'!Resal)*(1-EXP(('2023'!Tnet-t)/('2023'!Tau_j))),Resal+(Salim-Resal)*(1-EXP((Tnet-t)/(Tau_j))))*Salcycl</f>
        <v>1.5425706918581267E-2</v>
      </c>
      <c r="P185" s="169">
        <f>(INDEX(Models!$BJ185:$BT185,,T185)*(1-R185)+INDEX(Models!$BJ185:$BT185,,T185+1)*R185-ERP_i)*Q185*Ramure*Pc/MaxiM</f>
        <v>7.9357931516135446E-3</v>
      </c>
      <c r="Q185" s="305">
        <f t="shared" si="53"/>
        <v>0.7</v>
      </c>
      <c r="R185" s="177">
        <f t="shared" si="54"/>
        <v>0.30051830040539795</v>
      </c>
      <c r="S185" s="921">
        <f t="shared" si="55"/>
        <v>1</v>
      </c>
      <c r="T185" s="176">
        <f t="shared" si="56"/>
        <v>7</v>
      </c>
      <c r="U185" s="251">
        <f t="shared" si="57"/>
        <v>1.300518300405398</v>
      </c>
      <c r="V185" s="383">
        <f t="shared" si="58"/>
        <v>54.467658135112615</v>
      </c>
      <c r="W185" s="402">
        <f t="shared" si="59"/>
        <v>33.692083994862394</v>
      </c>
      <c r="X185" s="157">
        <f t="shared" si="60"/>
        <v>45462</v>
      </c>
      <c r="Y185" s="385">
        <f t="shared" si="61"/>
        <v>29.781406561745115</v>
      </c>
      <c r="Z185" s="385">
        <f t="shared" si="62"/>
        <v>31.264603689001145</v>
      </c>
      <c r="AA185" s="386">
        <f t="shared" si="63"/>
        <v>35.92419994748586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0.12970633348261429</v>
      </c>
      <c r="AD185" s="231">
        <f>(INDEX(Models!$BJ185:$BT185,,AH185)*(1-AF185)+INDEX(Models!$BJ185:$BT185,,AH185+1)*AF185-ERP_i)*AE185*Ramure*Pc/MaxiM</f>
        <v>7.9357931516135446E-3</v>
      </c>
      <c r="AE185" s="305">
        <f t="shared" si="65"/>
        <v>0.7</v>
      </c>
      <c r="AF185" s="177">
        <f t="shared" si="66"/>
        <v>0.30051830040539795</v>
      </c>
      <c r="AG185" s="921">
        <f t="shared" si="74"/>
        <v>1</v>
      </c>
      <c r="AH185" s="176">
        <f t="shared" si="67"/>
        <v>7</v>
      </c>
      <c r="AI185" s="225">
        <f t="shared" si="68"/>
        <v>1.300518300405398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23.819745311279981</v>
      </c>
      <c r="C186" s="955"/>
      <c r="D186" s="393">
        <f t="shared" si="50"/>
        <v>25.006582785499042</v>
      </c>
      <c r="E186" s="385">
        <f t="shared" si="75"/>
        <v>25.402108235869832</v>
      </c>
      <c r="F186" s="385">
        <f t="shared" si="51"/>
        <v>25.442193451034488</v>
      </c>
      <c r="G186" s="110">
        <f t="shared" si="76"/>
        <v>0.43523545334995234</v>
      </c>
      <c r="H186" s="414" t="b">
        <f>Wh_hp&gt;='2023'!Maxi_hp</f>
        <v>0</v>
      </c>
      <c r="I186" s="390">
        <f>IF(H186,Wh_hp,'2023'!Maxi_hp)</f>
        <v>50.271199376554243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4.7461001944947512E-2</v>
      </c>
      <c r="M186" s="959"/>
      <c r="N186" s="959"/>
      <c r="O186" s="48">
        <f>IF(t&lt;Tnet,'2023'!Resal+('2023'!Salim-'2023'!Resal)*(1-EXP(('2023'!Tnet-t)/('2023'!Tau_j))),Resal+(Salim-Resal)*(1-EXP((Tnet-t)/(Tau_j))))*Salcycl</f>
        <v>1.5570575745058735E-2</v>
      </c>
      <c r="P186" s="169">
        <f>(INDEX(Models!$BJ186:$BT186,,T186)*(1-R186)+INDEX(Models!$BJ186:$BT186,,T186+1)*R186-ERP_i)*Q186*Ramure*Pc/MaxiM</f>
        <v>7.9890194631980233E-3</v>
      </c>
      <c r="Q186" s="305">
        <f t="shared" si="53"/>
        <v>0.7</v>
      </c>
      <c r="R186" s="177">
        <f t="shared" si="54"/>
        <v>0.30543169695502481</v>
      </c>
      <c r="S186" s="921">
        <f t="shared" si="55"/>
        <v>1</v>
      </c>
      <c r="T186" s="176">
        <f t="shared" si="56"/>
        <v>7</v>
      </c>
      <c r="U186" s="251">
        <f t="shared" si="57"/>
        <v>1.3054316969550248</v>
      </c>
      <c r="V186" s="383">
        <f t="shared" si="58"/>
        <v>54.376858849432416</v>
      </c>
      <c r="W186" s="402">
        <f t="shared" si="59"/>
        <v>23.819745311279981</v>
      </c>
      <c r="X186" s="157">
        <f t="shared" si="60"/>
        <v>45463</v>
      </c>
      <c r="Y186" s="385">
        <f t="shared" si="61"/>
        <v>21.055913259572868</v>
      </c>
      <c r="Z186" s="385">
        <f t="shared" si="62"/>
        <v>22.105040636200734</v>
      </c>
      <c r="AA186" s="386">
        <f t="shared" si="63"/>
        <v>25.402108235869832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0.1297950378391575</v>
      </c>
      <c r="AD186" s="231">
        <f>(INDEX(Models!$BJ186:$BT186,,AH186)*(1-AF186)+INDEX(Models!$BJ186:$BT186,,AH186+1)*AF186-ERP_i)*AE186*Ramure*Pc/MaxiM</f>
        <v>7.9890194631980233E-3</v>
      </c>
      <c r="AE186" s="305">
        <f t="shared" si="65"/>
        <v>0.7</v>
      </c>
      <c r="AF186" s="177">
        <f t="shared" si="66"/>
        <v>0.30543169695502481</v>
      </c>
      <c r="AG186" s="921">
        <f t="shared" si="74"/>
        <v>1</v>
      </c>
      <c r="AH186" s="176">
        <f t="shared" si="67"/>
        <v>7</v>
      </c>
      <c r="AI186" s="225">
        <f t="shared" si="68"/>
        <v>1.3054316969550248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42.060424244298495</v>
      </c>
      <c r="C187" s="955"/>
      <c r="D187" s="393">
        <f t="shared" si="50"/>
        <v>44.157084992420955</v>
      </c>
      <c r="E187" s="385">
        <f t="shared" si="75"/>
        <v>44.862100683058351</v>
      </c>
      <c r="F187" s="385">
        <f t="shared" si="51"/>
        <v>45.108004317973887</v>
      </c>
      <c r="G187" s="110">
        <f t="shared" si="76"/>
        <v>0.77278279585721443</v>
      </c>
      <c r="H187" s="414" t="b">
        <f>Wh_hp&gt;='2023'!Maxi_hp</f>
        <v>0</v>
      </c>
      <c r="I187" s="390">
        <f>IF(H187,Wh_hp,'2023'!Maxi_hp)</f>
        <v>58.651325061036623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4.7481864993631828E-2</v>
      </c>
      <c r="M187" s="959"/>
      <c r="N187" s="959"/>
      <c r="O187" s="48">
        <f>IF(t&lt;Tnet,'2023'!Resal+('2023'!Salim-'2023'!Resal)*(1-EXP(('2023'!Tnet-t)/('2023'!Tau_j))),Resal+(Salim-Resal)*(1-EXP((Tnet-t)/(Tau_j))))*Salcycl</f>
        <v>1.5715173384728193E-2</v>
      </c>
      <c r="P187" s="169">
        <f>(INDEX(Models!$BJ187:$BT187,,T187)*(1-R187)+INDEX(Models!$BJ187:$BT187,,T187+1)*R187-ERP_i)*Q187*Ramure*Pc/MaxiM</f>
        <v>8.0371349000148678E-3</v>
      </c>
      <c r="Q187" s="305">
        <f t="shared" si="53"/>
        <v>0.7</v>
      </c>
      <c r="R187" s="177">
        <f t="shared" si="54"/>
        <v>0.31030042589511231</v>
      </c>
      <c r="S187" s="921">
        <f t="shared" si="55"/>
        <v>1</v>
      </c>
      <c r="T187" s="176">
        <f t="shared" si="56"/>
        <v>7</v>
      </c>
      <c r="U187" s="251">
        <f t="shared" si="57"/>
        <v>1.3103004258951123</v>
      </c>
      <c r="V187" s="383">
        <f t="shared" si="58"/>
        <v>54.285722939953516</v>
      </c>
      <c r="W187" s="402">
        <f t="shared" si="59"/>
        <v>42.060424244298495</v>
      </c>
      <c r="X187" s="157">
        <f t="shared" si="60"/>
        <v>45464</v>
      </c>
      <c r="Y187" s="385">
        <f t="shared" si="61"/>
        <v>37.181869470111415</v>
      </c>
      <c r="Z187" s="385">
        <f t="shared" si="62"/>
        <v>39.035340224638169</v>
      </c>
      <c r="AA187" s="386">
        <f t="shared" si="63"/>
        <v>44.862100683058351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0.12988157865332856</v>
      </c>
      <c r="AD187" s="231">
        <f>(INDEX(Models!$BJ187:$BT187,,AH187)*(1-AF187)+INDEX(Models!$BJ187:$BT187,,AH187+1)*AF187-ERP_i)*AE187*Ramure*Pc/MaxiM</f>
        <v>8.0371349000148678E-3</v>
      </c>
      <c r="AE187" s="305">
        <f t="shared" si="65"/>
        <v>0.7</v>
      </c>
      <c r="AF187" s="177">
        <f t="shared" si="66"/>
        <v>0.31030042589511231</v>
      </c>
      <c r="AG187" s="921">
        <f t="shared" si="74"/>
        <v>1</v>
      </c>
      <c r="AH187" s="176">
        <f t="shared" si="67"/>
        <v>7</v>
      </c>
      <c r="AI187" s="225">
        <f t="shared" si="68"/>
        <v>1.3103004258951123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41.693023734076483</v>
      </c>
      <c r="C188" s="955"/>
      <c r="D188" s="393">
        <f t="shared" si="50"/>
        <v>43.772328742088831</v>
      </c>
      <c r="E188" s="385">
        <f t="shared" si="75"/>
        <v>44.477722819761901</v>
      </c>
      <c r="F188" s="385">
        <f t="shared" si="51"/>
        <v>44.719981467699888</v>
      </c>
      <c r="G188" s="110">
        <f t="shared" si="76"/>
        <v>0.76726012967679014</v>
      </c>
      <c r="H188" s="414" t="b">
        <f>Wh_hp&gt;='2023'!Maxi_hp</f>
        <v>0</v>
      </c>
      <c r="I188" s="390">
        <f>IF(H188,Wh_hp,'2023'!Maxi_hp)</f>
        <v>52.717054573900171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4.7502727585361781E-2</v>
      </c>
      <c r="M188" s="959"/>
      <c r="N188" s="959"/>
      <c r="O188" s="48">
        <f>IF(t&lt;Tnet,'2023'!Resal+('2023'!Salim-'2023'!Resal)*(1-EXP(('2023'!Tnet-t)/('2023'!Tau_j))),Resal+(Salim-Resal)*(1-EXP((Tnet-t)/(Tau_j))))*Salcycl</f>
        <v>1.585949173997861E-2</v>
      </c>
      <c r="P188" s="169">
        <f>(INDEX(Models!$BJ188:$BT188,,T188)*(1-R188)+INDEX(Models!$BJ188:$BT188,,T188+1)*R188-ERP_i)*Q188*Ramure*Pc/MaxiM</f>
        <v>8.079916859849167E-3</v>
      </c>
      <c r="Q188" s="305">
        <f t="shared" si="53"/>
        <v>0.7</v>
      </c>
      <c r="R188" s="177">
        <f t="shared" si="54"/>
        <v>0.31512104072633429</v>
      </c>
      <c r="S188" s="921">
        <f t="shared" si="55"/>
        <v>1</v>
      </c>
      <c r="T188" s="176">
        <f t="shared" si="56"/>
        <v>7</v>
      </c>
      <c r="U188" s="251">
        <f t="shared" si="57"/>
        <v>1.3151210407263343</v>
      </c>
      <c r="V188" s="383">
        <f t="shared" si="58"/>
        <v>54.194662534353284</v>
      </c>
      <c r="W188" s="402">
        <f t="shared" si="59"/>
        <v>41.693023734076483</v>
      </c>
      <c r="X188" s="157">
        <f t="shared" si="60"/>
        <v>45465</v>
      </c>
      <c r="Y188" s="385">
        <f t="shared" si="61"/>
        <v>36.858914159890652</v>
      </c>
      <c r="Z188" s="385">
        <f t="shared" si="62"/>
        <v>38.697133553412783</v>
      </c>
      <c r="AA188" s="386">
        <f t="shared" si="63"/>
        <v>44.477722819761901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0.12996594474438211</v>
      </c>
      <c r="AD188" s="231">
        <f>(INDEX(Models!$BJ188:$BT188,,AH188)*(1-AF188)+INDEX(Models!$BJ188:$BT188,,AH188+1)*AF188-ERP_i)*AE188*Ramure*Pc/MaxiM</f>
        <v>8.079916859849167E-3</v>
      </c>
      <c r="AE188" s="305">
        <f t="shared" si="65"/>
        <v>0.7</v>
      </c>
      <c r="AF188" s="177">
        <f t="shared" si="66"/>
        <v>0.31512104072633429</v>
      </c>
      <c r="AG188" s="921">
        <f t="shared" si="74"/>
        <v>1</v>
      </c>
      <c r="AH188" s="176">
        <f t="shared" si="67"/>
        <v>7</v>
      </c>
      <c r="AI188" s="225">
        <f t="shared" si="68"/>
        <v>1.3151210407263343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39.712334948028811</v>
      </c>
      <c r="C189" s="955"/>
      <c r="D189" s="393">
        <f t="shared" si="50"/>
        <v>41.69377269549458</v>
      </c>
      <c r="E189" s="385">
        <f t="shared" si="75"/>
        <v>42.371871942035256</v>
      </c>
      <c r="F189" s="385">
        <f t="shared" si="51"/>
        <v>42.586191791793027</v>
      </c>
      <c r="G189" s="110">
        <f t="shared" si="76"/>
        <v>0.73172327704156026</v>
      </c>
      <c r="H189" s="414" t="b">
        <f>Wh_hp&gt;='2023'!Maxi_hp</f>
        <v>0</v>
      </c>
      <c r="I189" s="390">
        <f>IF(H189,Wh_hp,'2023'!Maxi_hp)</f>
        <v>57.879746381610467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4.7523589720147474E-2</v>
      </c>
      <c r="M189" s="959"/>
      <c r="N189" s="959"/>
      <c r="O189" s="48">
        <f>IF(t&lt;Tnet,'2023'!Resal+('2023'!Salim-'2023'!Resal)*(1-EXP(('2023'!Tnet-t)/('2023'!Tau_j))),Resal+(Salim-Resal)*(1-EXP((Tnet-t)/(Tau_j))))*Salcycl</f>
        <v>1.6003523456983717E-2</v>
      </c>
      <c r="P189" s="169">
        <f>(INDEX(Models!$BJ189:$BT189,,T189)*(1-R189)+INDEX(Models!$BJ189:$BT189,,T189+1)*R189-ERP_i)*Q189*Ramure*Pc/MaxiM</f>
        <v>8.1171418080994411E-3</v>
      </c>
      <c r="Q189" s="305">
        <f t="shared" si="53"/>
        <v>0.7</v>
      </c>
      <c r="R189" s="177">
        <f t="shared" si="54"/>
        <v>0.3198902431078765</v>
      </c>
      <c r="S189" s="921">
        <f t="shared" si="55"/>
        <v>1</v>
      </c>
      <c r="T189" s="176">
        <f t="shared" si="56"/>
        <v>7</v>
      </c>
      <c r="U189" s="251">
        <f t="shared" si="57"/>
        <v>1.3198902431078765</v>
      </c>
      <c r="V189" s="383">
        <f t="shared" si="58"/>
        <v>54.10408933582746</v>
      </c>
      <c r="W189" s="402">
        <f t="shared" si="59"/>
        <v>39.712334948028811</v>
      </c>
      <c r="X189" s="157">
        <f t="shared" si="60"/>
        <v>45466</v>
      </c>
      <c r="Y189" s="385">
        <f t="shared" si="61"/>
        <v>35.109698892515262</v>
      </c>
      <c r="Z189" s="385">
        <f t="shared" si="62"/>
        <v>36.861489180818118</v>
      </c>
      <c r="AA189" s="386">
        <f t="shared" si="63"/>
        <v>42.371871942035256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0.13004813119314956</v>
      </c>
      <c r="AD189" s="231">
        <f>(INDEX(Models!$BJ189:$BT189,,AH189)*(1-AF189)+INDEX(Models!$BJ189:$BT189,,AH189+1)*AF189-ERP_i)*AE189*Ramure*Pc/MaxiM</f>
        <v>8.1171418080994411E-3</v>
      </c>
      <c r="AE189" s="305">
        <f t="shared" si="65"/>
        <v>0.7</v>
      </c>
      <c r="AF189" s="177">
        <f t="shared" si="66"/>
        <v>0.3198902431078765</v>
      </c>
      <c r="AG189" s="921">
        <f t="shared" si="74"/>
        <v>1</v>
      </c>
      <c r="AH189" s="176">
        <f t="shared" si="67"/>
        <v>7</v>
      </c>
      <c r="AI189" s="225">
        <f t="shared" si="68"/>
        <v>1.3198902431078765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34.07280674196133</v>
      </c>
      <c r="C190" s="955"/>
      <c r="D190" s="393">
        <f t="shared" si="50"/>
        <v>35.773645071387158</v>
      </c>
      <c r="E190" s="385">
        <f t="shared" si="75"/>
        <v>36.360771981146527</v>
      </c>
      <c r="F190" s="385">
        <f t="shared" si="51"/>
        <v>36.501336468240289</v>
      </c>
      <c r="G190" s="110">
        <f t="shared" si="76"/>
        <v>0.62808804040839517</v>
      </c>
      <c r="H190" s="414" t="b">
        <f>Wh_hp&gt;='2023'!Maxi_hp</f>
        <v>0</v>
      </c>
      <c r="I190" s="390">
        <f>IF(H190,Wh_hp,'2023'!Maxi_hp)</f>
        <v>56.287194704165557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4.7544451397998899E-2</v>
      </c>
      <c r="M190" s="959"/>
      <c r="N190" s="959"/>
      <c r="O190" s="48">
        <f>IF(t&lt;Tnet,'2023'!Resal+('2023'!Salim-'2023'!Resal)*(1-EXP(('2023'!Tnet-t)/('2023'!Tau_j))),Resal+(Salim-Resal)*(1-EXP((Tnet-t)/(Tau_j))))*Salcycl</f>
        <v>1.6147261946578173E-2</v>
      </c>
      <c r="P190" s="169">
        <f>(INDEX(Models!$BJ190:$BT190,,T190)*(1-R190)+INDEX(Models!$BJ190:$BT190,,T190+1)*R190-ERP_i)*Q190*Ramure*Pc/MaxiM</f>
        <v>8.1486716923733406E-3</v>
      </c>
      <c r="Q190" s="305">
        <f t="shared" si="53"/>
        <v>0.7</v>
      </c>
      <c r="R190" s="177">
        <f t="shared" si="54"/>
        <v>0.32460489049885255</v>
      </c>
      <c r="S190" s="921">
        <f t="shared" si="55"/>
        <v>1</v>
      </c>
      <c r="T190" s="176">
        <f t="shared" si="56"/>
        <v>7</v>
      </c>
      <c r="U190" s="251">
        <f t="shared" si="57"/>
        <v>1.3246048904988525</v>
      </c>
      <c r="V190" s="383">
        <f t="shared" si="58"/>
        <v>54.014409940855266</v>
      </c>
      <c r="W190" s="402">
        <f t="shared" si="59"/>
        <v>34.07280674196133</v>
      </c>
      <c r="X190" s="157">
        <f t="shared" si="60"/>
        <v>45467</v>
      </c>
      <c r="Y190" s="385">
        <f t="shared" si="61"/>
        <v>30.125418830721081</v>
      </c>
      <c r="Z190" s="385">
        <f t="shared" si="62"/>
        <v>31.629212381552804</v>
      </c>
      <c r="AA190" s="386">
        <f t="shared" si="63"/>
        <v>36.360771981146527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0.13012813924982372</v>
      </c>
      <c r="AD190" s="231">
        <f>(INDEX(Models!$BJ190:$BT190,,AH190)*(1-AF190)+INDEX(Models!$BJ190:$BT190,,AH190+1)*AF190-ERP_i)*AE190*Ramure*Pc/MaxiM</f>
        <v>8.1486716923733406E-3</v>
      </c>
      <c r="AE190" s="305">
        <f t="shared" si="65"/>
        <v>0.7</v>
      </c>
      <c r="AF190" s="177">
        <f t="shared" si="66"/>
        <v>0.32460489049885255</v>
      </c>
      <c r="AG190" s="921">
        <f t="shared" si="74"/>
        <v>1</v>
      </c>
      <c r="AH190" s="176">
        <f t="shared" si="67"/>
        <v>7</v>
      </c>
      <c r="AI190" s="225">
        <f t="shared" si="68"/>
        <v>1.3246048904988525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11.039989501923554</v>
      </c>
      <c r="C191" s="955"/>
      <c r="D191" s="393">
        <f t="shared" si="50"/>
        <v>11.591334973614204</v>
      </c>
      <c r="E191" s="385">
        <f t="shared" si="75"/>
        <v>11.783293082736154</v>
      </c>
      <c r="F191" s="385">
        <f t="shared" si="51"/>
        <v>11.783293082736154</v>
      </c>
      <c r="G191" s="110">
        <f t="shared" si="76"/>
        <v>0.20305495600285436</v>
      </c>
      <c r="H191" s="414" t="b">
        <f>Wh_hp&gt;='2023'!Maxi_hp</f>
        <v>0</v>
      </c>
      <c r="I191" s="390">
        <f>IF(H191,Wh_hp,'2023'!Maxi_hp)</f>
        <v>59.196700093726733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4.7565312618926048E-2</v>
      </c>
      <c r="M191" s="959"/>
      <c r="N191" s="959"/>
      <c r="O191" s="48">
        <f>IF(t&lt;Tnet,'2023'!Resal+('2023'!Salim-'2023'!Resal)*(1-EXP(('2023'!Tnet-t)/('2023'!Tau_j))),Resal+(Salim-Resal)*(1-EXP((Tnet-t)/(Tau_j))))*Salcycl</f>
        <v>1.6290701400204482E-2</v>
      </c>
      <c r="P191" s="169">
        <f>(INDEX(Models!$BJ191:$BT191,,T191)*(1-R191)+INDEX(Models!$BJ191:$BT191,,T191+1)*R191-ERP_i)*Q191*Ramure*Pc/MaxiM</f>
        <v>8.1745265417653683E-3</v>
      </c>
      <c r="Q191" s="305">
        <f t="shared" si="53"/>
        <v>0.7</v>
      </c>
      <c r="R191" s="177">
        <f t="shared" si="54"/>
        <v>0.32926200283968488</v>
      </c>
      <c r="S191" s="921">
        <f t="shared" si="55"/>
        <v>1</v>
      </c>
      <c r="T191" s="176">
        <f t="shared" si="56"/>
        <v>7</v>
      </c>
      <c r="U191" s="251">
        <f t="shared" si="57"/>
        <v>1.3292620028396849</v>
      </c>
      <c r="V191" s="383">
        <f t="shared" si="58"/>
        <v>53.925021236937198</v>
      </c>
      <c r="W191" s="402">
        <f t="shared" si="59"/>
        <v>11.039989501923554</v>
      </c>
      <c r="X191" s="157">
        <f t="shared" si="60"/>
        <v>45468</v>
      </c>
      <c r="Y191" s="385">
        <f t="shared" si="61"/>
        <v>9.7615392120087474</v>
      </c>
      <c r="Z191" s="385">
        <f t="shared" si="62"/>
        <v>10.24903790395352</v>
      </c>
      <c r="AA191" s="386">
        <f t="shared" si="63"/>
        <v>11.783293082736154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0.13020597620800003</v>
      </c>
      <c r="AD191" s="231">
        <f>(INDEX(Models!$BJ191:$BT191,,AH191)*(1-AF191)+INDEX(Models!$BJ191:$BT191,,AH191+1)*AF191-ERP_i)*AE191*Ramure*Pc/MaxiM</f>
        <v>8.1745265417653683E-3</v>
      </c>
      <c r="AE191" s="305">
        <f t="shared" si="65"/>
        <v>0.7</v>
      </c>
      <c r="AF191" s="177">
        <f t="shared" si="66"/>
        <v>0.32926200283968488</v>
      </c>
      <c r="AG191" s="921">
        <f t="shared" si="74"/>
        <v>1</v>
      </c>
      <c r="AH191" s="176">
        <f t="shared" si="67"/>
        <v>7</v>
      </c>
      <c r="AI191" s="225">
        <f t="shared" si="68"/>
        <v>1.3292620028396849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10.351243073836166</v>
      </c>
      <c r="C192" s="955"/>
      <c r="D192" s="393">
        <f t="shared" si="50"/>
        <v>10.868430071624854</v>
      </c>
      <c r="E192" s="385">
        <f t="shared" si="75"/>
        <v>11.050024368745845</v>
      </c>
      <c r="F192" s="385">
        <f t="shared" si="51"/>
        <v>11.050024368745845</v>
      </c>
      <c r="G192" s="110">
        <f t="shared" si="76"/>
        <v>0.19070135081601156</v>
      </c>
      <c r="H192" s="414" t="b">
        <f>Wh_hp&gt;='2023'!Maxi_hp</f>
        <v>0</v>
      </c>
      <c r="I192" s="390">
        <f>IF(H192,Wh_hp,'2023'!Maxi_hp)</f>
        <v>57.199547222334189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4.7586173382938912E-2</v>
      </c>
      <c r="M192" s="959"/>
      <c r="N192" s="959"/>
      <c r="O192" s="48">
        <f>IF(t&lt;Tnet,'2023'!Resal+('2023'!Salim-'2023'!Resal)*(1-EXP(('2023'!Tnet-t)/('2023'!Tau_j))),Resal+(Salim-Resal)*(1-EXP((Tnet-t)/(Tau_j))))*Salcycl</f>
        <v>1.6433836800814478E-2</v>
      </c>
      <c r="P192" s="169">
        <f>(INDEX(Models!$BJ192:$BT192,,T192)*(1-R192)+INDEX(Models!$BJ192:$BT192,,T192+1)*R192-ERP_i)*Q192*Ramure*Pc/MaxiM</f>
        <v>8.1896712937886435E-3</v>
      </c>
      <c r="Q192" s="305">
        <f t="shared" si="53"/>
        <v>0.7</v>
      </c>
      <c r="R192" s="177">
        <f t="shared" si="54"/>
        <v>0.33385876825740191</v>
      </c>
      <c r="S192" s="921">
        <f t="shared" si="55"/>
        <v>1</v>
      </c>
      <c r="T192" s="176">
        <f t="shared" si="56"/>
        <v>7</v>
      </c>
      <c r="U192" s="251">
        <f t="shared" si="57"/>
        <v>1.3338587682574019</v>
      </c>
      <c r="V192" s="383">
        <f t="shared" si="58"/>
        <v>53.835328127719549</v>
      </c>
      <c r="W192" s="402">
        <f t="shared" si="59"/>
        <v>10.351243073836166</v>
      </c>
      <c r="X192" s="157">
        <f t="shared" si="60"/>
        <v>45469</v>
      </c>
      <c r="Y192" s="385">
        <f t="shared" si="61"/>
        <v>9.1530863191157703</v>
      </c>
      <c r="Z192" s="385">
        <f t="shared" si="62"/>
        <v>9.6104089034775946</v>
      </c>
      <c r="AA192" s="386">
        <f t="shared" si="63"/>
        <v>11.050024368745845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0.1302816552459462</v>
      </c>
      <c r="AD192" s="231">
        <f>(INDEX(Models!$BJ192:$BT192,,AH192)*(1-AF192)+INDEX(Models!$BJ192:$BT192,,AH192+1)*AF192-ERP_i)*AE192*Ramure*Pc/MaxiM</f>
        <v>8.1896712937886435E-3</v>
      </c>
      <c r="AE192" s="305">
        <f t="shared" si="65"/>
        <v>0.7</v>
      </c>
      <c r="AF192" s="177">
        <f t="shared" si="66"/>
        <v>0.33385876825740191</v>
      </c>
      <c r="AG192" s="921">
        <f t="shared" si="74"/>
        <v>1</v>
      </c>
      <c r="AH192" s="176">
        <f t="shared" si="67"/>
        <v>7</v>
      </c>
      <c r="AI192" s="225">
        <f t="shared" si="68"/>
        <v>1.3338587682574019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53.304317074634668</v>
      </c>
      <c r="C193" s="955"/>
      <c r="D193" s="393">
        <f t="shared" si="50"/>
        <v>55.968826902578144</v>
      </c>
      <c r="E193" s="385">
        <f t="shared" si="75"/>
        <v>56.912242011834373</v>
      </c>
      <c r="F193" s="385">
        <f t="shared" si="51"/>
        <v>57.377005677984428</v>
      </c>
      <c r="G193" s="110">
        <f t="shared" si="76"/>
        <v>0.99170050191410186</v>
      </c>
      <c r="H193" s="414" t="b">
        <f>Wh_hp&gt;='2023'!Maxi_hp</f>
        <v>0</v>
      </c>
      <c r="I193" s="390">
        <f>IF(H193,Wh_hp,'2023'!Maxi_hp)</f>
        <v>57.378438327002037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4.7607033690047484E-2</v>
      </c>
      <c r="M193" s="959"/>
      <c r="N193" s="959"/>
      <c r="O193" s="48">
        <f>IF(t&lt;Tnet,'2023'!Resal+('2023'!Salim-'2023'!Resal)*(1-EXP(('2023'!Tnet-t)/('2023'!Tau_j))),Resal+(Salim-Resal)*(1-EXP((Tnet-t)/(Tau_j))))*Salcycl</f>
        <v>1.6576663928651012E-2</v>
      </c>
      <c r="P193" s="169">
        <f>(INDEX(Models!$BJ193:$BT193,,T193)*(1-R193)+INDEX(Models!$BJ193:$BT193,,T193+1)*R193-ERP_i)*Q193*Ramure*Pc/MaxiM</f>
        <v>8.1962262814823956E-3</v>
      </c>
      <c r="Q193" s="305">
        <f t="shared" si="53"/>
        <v>0.7</v>
      </c>
      <c r="R193" s="177">
        <f t="shared" si="54"/>
        <v>0.33839254778823147</v>
      </c>
      <c r="S193" s="921">
        <f t="shared" si="55"/>
        <v>1</v>
      </c>
      <c r="T193" s="176">
        <f t="shared" si="56"/>
        <v>7</v>
      </c>
      <c r="U193" s="251">
        <f t="shared" si="57"/>
        <v>1.3383925477882315</v>
      </c>
      <c r="V193" s="383">
        <f t="shared" si="58"/>
        <v>53.745213498932053</v>
      </c>
      <c r="W193" s="402">
        <f t="shared" si="59"/>
        <v>53.304317074634668</v>
      </c>
      <c r="X193" s="157">
        <f t="shared" si="60"/>
        <v>45470</v>
      </c>
      <c r="Y193" s="385">
        <f t="shared" si="61"/>
        <v>47.137199937330202</v>
      </c>
      <c r="Z193" s="385">
        <f t="shared" si="62"/>
        <v>49.493435593044467</v>
      </c>
      <c r="AA193" s="386">
        <f t="shared" si="63"/>
        <v>56.912242011834373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0.13035519523632949</v>
      </c>
      <c r="AD193" s="231">
        <f>(INDEX(Models!$BJ193:$BT193,,AH193)*(1-AF193)+INDEX(Models!$BJ193:$BT193,,AH193+1)*AF193-ERP_i)*AE193*Ramure*Pc/MaxiM</f>
        <v>8.1962262814823956E-3</v>
      </c>
      <c r="AE193" s="305">
        <f t="shared" si="65"/>
        <v>0.7</v>
      </c>
      <c r="AF193" s="177">
        <f t="shared" si="66"/>
        <v>0.33839254778823147</v>
      </c>
      <c r="AG193" s="921">
        <f t="shared" si="74"/>
        <v>1</v>
      </c>
      <c r="AH193" s="176">
        <f t="shared" si="67"/>
        <v>7</v>
      </c>
      <c r="AI193" s="225">
        <f t="shared" si="68"/>
        <v>1.3383925477882315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54.137835025223517</v>
      </c>
      <c r="C194" s="955"/>
      <c r="D194" s="393">
        <f t="shared" si="50"/>
        <v>56.845254767562018</v>
      </c>
      <c r="E194" s="385">
        <f t="shared" si="75"/>
        <v>57.811820971623398</v>
      </c>
      <c r="F194" s="385">
        <f t="shared" si="51"/>
        <v>58.289451559149796</v>
      </c>
      <c r="G194" s="110">
        <f t="shared" si="76"/>
        <v>1.0090049067127487</v>
      </c>
      <c r="H194" s="414" t="b">
        <f>Wh_hp&gt;='2023'!Maxi_hp</f>
        <v>1</v>
      </c>
      <c r="I194" s="390">
        <f>IF(H194,Wh_hp,'2023'!Maxi_hp)</f>
        <v>58.289451559149796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4.7627893540261756E-2</v>
      </c>
      <c r="M194" s="959"/>
      <c r="N194" s="959"/>
      <c r="O194" s="48">
        <f>IF(t&lt;Tnet,'2023'!Resal+('2023'!Salim-'2023'!Resal)*(1-EXP(('2023'!Tnet-t)/('2023'!Tau_j))),Resal+(Salim-Resal)*(1-EXP((Tnet-t)/(Tau_j))))*Salcycl</f>
        <v>1.6719179361878517E-2</v>
      </c>
      <c r="P194" s="169">
        <f>(INDEX(Models!$BJ194:$BT194,,T194)*(1-R194)+INDEX(Models!$BJ194:$BT194,,T194+1)*R194-ERP_i)*Q194*Ramure*Pc/MaxiM</f>
        <v>8.1941170271900843E-3</v>
      </c>
      <c r="Q194" s="305">
        <f t="shared" si="53"/>
        <v>0.7</v>
      </c>
      <c r="R194" s="177">
        <f t="shared" si="54"/>
        <v>0.34286087912000385</v>
      </c>
      <c r="S194" s="921">
        <f t="shared" si="55"/>
        <v>1</v>
      </c>
      <c r="T194" s="176">
        <f t="shared" si="56"/>
        <v>7</v>
      </c>
      <c r="U194" s="251">
        <f t="shared" si="57"/>
        <v>1.3428608791200038</v>
      </c>
      <c r="V194" s="383">
        <f t="shared" si="58"/>
        <v>53.65467964035966</v>
      </c>
      <c r="W194" s="402">
        <f t="shared" si="59"/>
        <v>54.137835025223517</v>
      </c>
      <c r="X194" s="157">
        <f t="shared" si="60"/>
        <v>45471</v>
      </c>
      <c r="Y194" s="385">
        <f t="shared" si="61"/>
        <v>47.877289144869735</v>
      </c>
      <c r="Z194" s="385">
        <f t="shared" si="62"/>
        <v>50.271620535847518</v>
      </c>
      <c r="AA194" s="386">
        <f t="shared" si="63"/>
        <v>57.811820971623398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0.13042662052587722</v>
      </c>
      <c r="AD194" s="231">
        <f>(INDEX(Models!$BJ194:$BT194,,AH194)*(1-AF194)+INDEX(Models!$BJ194:$BT194,,AH194+1)*AF194-ERP_i)*AE194*Ramure*Pc/MaxiM</f>
        <v>8.1941170271900843E-3</v>
      </c>
      <c r="AE194" s="305">
        <f t="shared" si="65"/>
        <v>0.7</v>
      </c>
      <c r="AF194" s="177">
        <f t="shared" si="66"/>
        <v>0.34286087912000385</v>
      </c>
      <c r="AG194" s="921">
        <f t="shared" si="74"/>
        <v>1</v>
      </c>
      <c r="AH194" s="176">
        <f t="shared" si="67"/>
        <v>7</v>
      </c>
      <c r="AI194" s="225">
        <f t="shared" si="68"/>
        <v>1.3428608791200038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12.328529852183738</v>
      </c>
      <c r="C195" s="955"/>
      <c r="D195" s="393">
        <f t="shared" si="50"/>
        <v>12.94536011808683</v>
      </c>
      <c r="E195" s="385">
        <f t="shared" si="75"/>
        <v>13.1673803276112</v>
      </c>
      <c r="F195" s="385">
        <f t="shared" si="51"/>
        <v>13.1673803276112</v>
      </c>
      <c r="G195" s="110">
        <f t="shared" si="76"/>
        <v>0.2282821317110976</v>
      </c>
      <c r="H195" s="414" t="b">
        <f>Wh_hp&gt;='2023'!Maxi_hp</f>
        <v>0</v>
      </c>
      <c r="I195" s="390">
        <f>IF(H195,Wh_hp,'2023'!Maxi_hp)</f>
        <v>51.899795502885659</v>
      </c>
      <c r="J195" s="85">
        <f>IF(H195,An,'2023'!An_max)</f>
        <v>2021</v>
      </c>
      <c r="K195" s="197">
        <f t="shared" si="52"/>
        <v>45472</v>
      </c>
      <c r="L195" s="147">
        <f>IF(t&lt;Tvie,1-EXP((T0-t)*PertePVj)+'2023'!Pspv,1-EXP((T0-t)*PertePVj)+Pspv)</f>
        <v>4.7648752933591831E-2</v>
      </c>
      <c r="M195" s="959"/>
      <c r="N195" s="959"/>
      <c r="O195" s="48">
        <f>IF(t&lt;Tnet,'2023'!Resal+('2023'!Salim-'2023'!Resal)*(1-EXP(('2023'!Tnet-t)/('2023'!Tau_j))),Resal+(Salim-Resal)*(1-EXP((Tnet-t)/(Tau_j))))*Salcycl</f>
        <v>1.6861380472075096E-2</v>
      </c>
      <c r="P195" s="169">
        <f>(INDEX(Models!$BJ195:$BT195,,T195)*(1-R195)+INDEX(Models!$BJ195:$BT195,,T195+1)*R195-ERP_i)*Q195*Ramure*Pc/MaxiM</f>
        <v>8.1832772649801221E-3</v>
      </c>
      <c r="Q195" s="305">
        <f t="shared" si="53"/>
        <v>0.7</v>
      </c>
      <c r="R195" s="177">
        <f t="shared" si="54"/>
        <v>0.34726147936555929</v>
      </c>
      <c r="S195" s="921">
        <f t="shared" si="55"/>
        <v>1</v>
      </c>
      <c r="T195" s="176">
        <f t="shared" si="56"/>
        <v>7</v>
      </c>
      <c r="U195" s="251">
        <f t="shared" si="57"/>
        <v>1.3472614793655593</v>
      </c>
      <c r="V195" s="383">
        <f t="shared" si="58"/>
        <v>53.563728279918216</v>
      </c>
      <c r="W195" s="402">
        <f t="shared" si="59"/>
        <v>12.328529852183738</v>
      </c>
      <c r="X195" s="157">
        <f t="shared" si="60"/>
        <v>45472</v>
      </c>
      <c r="Y195" s="385">
        <f t="shared" si="61"/>
        <v>10.903555503104853</v>
      </c>
      <c r="Z195" s="385">
        <f t="shared" si="62"/>
        <v>11.449090382032692</v>
      </c>
      <c r="AA195" s="386">
        <f t="shared" si="63"/>
        <v>13.1673803276112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0.13049596068667946</v>
      </c>
      <c r="AD195" s="231">
        <f>(INDEX(Models!$BJ195:$BT195,,AH195)*(1-AF195)+INDEX(Models!$BJ195:$BT195,,AH195+1)*AF195-ERP_i)*AE195*Ramure*Pc/MaxiM</f>
        <v>8.1832772649801221E-3</v>
      </c>
      <c r="AE195" s="305">
        <f t="shared" si="65"/>
        <v>0.7</v>
      </c>
      <c r="AF195" s="177">
        <f t="shared" si="66"/>
        <v>0.34726147936555929</v>
      </c>
      <c r="AG195" s="921">
        <f t="shared" si="74"/>
        <v>1</v>
      </c>
      <c r="AH195" s="176">
        <f t="shared" si="67"/>
        <v>7</v>
      </c>
      <c r="AI195" s="225">
        <f t="shared" si="68"/>
        <v>1.3472614793655593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46.141294505603533</v>
      </c>
      <c r="C196" s="955"/>
      <c r="D196" s="393">
        <f t="shared" si="50"/>
        <v>48.450931610204186</v>
      </c>
      <c r="E196" s="385">
        <f t="shared" si="75"/>
        <v>49.289005655386482</v>
      </c>
      <c r="F196" s="385">
        <f t="shared" si="51"/>
        <v>49.614713275158699</v>
      </c>
      <c r="G196" s="110">
        <f t="shared" si="76"/>
        <v>0.86151108134322241</v>
      </c>
      <c r="H196" s="414" t="b">
        <f>Wh_hp&gt;='2023'!Maxi_hp</f>
        <v>0</v>
      </c>
      <c r="I196" s="390">
        <f>IF(H196,Wh_hp,'2023'!Maxi_hp)</f>
        <v>55.368807466601659</v>
      </c>
      <c r="J196" s="85">
        <f>IF(H196,An,'2023'!An_max)</f>
        <v>2021</v>
      </c>
      <c r="K196" s="197">
        <f t="shared" si="52"/>
        <v>45473</v>
      </c>
      <c r="L196" s="147">
        <f>IF(t&lt;Tvie,1-EXP((T0-t)*PertePVj)+'2023'!Pspv,1-EXP((T0-t)*PertePVj)+Pspv)</f>
        <v>4.766961187004759E-2</v>
      </c>
      <c r="M196" s="959"/>
      <c r="N196" s="959"/>
      <c r="O196" s="48">
        <f>IF(t&lt;Tnet,'2023'!Resal+('2023'!Salim-'2023'!Resal)*(1-EXP(('2023'!Tnet-t)/('2023'!Tau_j))),Resal+(Salim-Resal)*(1-EXP((Tnet-t)/(Tau_j))))*Salcycl</f>
        <v>1.7003265414641401E-2</v>
      </c>
      <c r="P196" s="169">
        <f>(INDEX(Models!$BJ196:$BT196,,T196)*(1-R196)+INDEX(Models!$BJ196:$BT196,,T196+1)*R196-ERP_i)*Q196*Ramure*Pc/MaxiM</f>
        <v>8.1636486103190235E-3</v>
      </c>
      <c r="Q196" s="305">
        <f t="shared" si="53"/>
        <v>0.7</v>
      </c>
      <c r="R196" s="177">
        <f t="shared" si="54"/>
        <v>0.35159224688650226</v>
      </c>
      <c r="S196" s="921">
        <f t="shared" si="55"/>
        <v>1</v>
      </c>
      <c r="T196" s="176">
        <f t="shared" si="56"/>
        <v>7</v>
      </c>
      <c r="U196" s="251">
        <f t="shared" si="57"/>
        <v>1.3515922468865023</v>
      </c>
      <c r="V196" s="383">
        <f t="shared" si="58"/>
        <v>53.472360603435071</v>
      </c>
      <c r="W196" s="402">
        <f t="shared" si="59"/>
        <v>46.141294505603533</v>
      </c>
      <c r="X196" s="157">
        <f t="shared" si="60"/>
        <v>45473</v>
      </c>
      <c r="Y196" s="385">
        <f t="shared" si="61"/>
        <v>40.810854922670423</v>
      </c>
      <c r="Z196" s="385">
        <f t="shared" si="62"/>
        <v>42.853672875869087</v>
      </c>
      <c r="AA196" s="386">
        <f t="shared" si="63"/>
        <v>49.289005655386482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0.13056325024106294</v>
      </c>
      <c r="AD196" s="231">
        <f>(INDEX(Models!$BJ196:$BT196,,AH196)*(1-AF196)+INDEX(Models!$BJ196:$BT196,,AH196+1)*AF196-ERP_i)*AE196*Ramure*Pc/MaxiM</f>
        <v>8.1636486103190235E-3</v>
      </c>
      <c r="AE196" s="305">
        <f t="shared" si="65"/>
        <v>0.7</v>
      </c>
      <c r="AF196" s="177">
        <f t="shared" si="66"/>
        <v>0.35159224688650226</v>
      </c>
      <c r="AG196" s="921">
        <f t="shared" si="74"/>
        <v>1</v>
      </c>
      <c r="AH196" s="176">
        <f t="shared" si="67"/>
        <v>7</v>
      </c>
      <c r="AI196" s="225">
        <f t="shared" si="68"/>
        <v>1.3515922468865023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53.104534266612866</v>
      </c>
      <c r="C197" s="955"/>
      <c r="D197" s="393">
        <f t="shared" si="50"/>
        <v>55.763942933670023</v>
      </c>
      <c r="E197" s="385">
        <f t="shared" si="75"/>
        <v>56.736683910774872</v>
      </c>
      <c r="F197" s="385">
        <f t="shared" si="51"/>
        <v>57.198567019150644</v>
      </c>
      <c r="G197" s="110">
        <f t="shared" si="76"/>
        <v>0.99476849999162997</v>
      </c>
      <c r="H197" s="414" t="b">
        <f>Wh_hp&gt;='2023'!Maxi_hp</f>
        <v>0</v>
      </c>
      <c r="I197" s="390">
        <f>IF(H197,Wh_hp,'2023'!Maxi_hp)</f>
        <v>57.199459746011513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4.7690470349639136E-2</v>
      </c>
      <c r="M197" s="959"/>
      <c r="N197" s="959"/>
      <c r="O197" s="48">
        <f>IF(t&lt;Tnet,'2023'!Resal+('2023'!Salim-'2023'!Resal)*(1-EXP(('2023'!Tnet-t)/('2023'!Tau_j))),Resal+(Salim-Resal)*(1-EXP((Tnet-t)/(Tau_j))))*Salcycl</f>
        <v>1.7144833114226415E-2</v>
      </c>
      <c r="P197" s="169">
        <f>(INDEX(Models!$BJ197:$BT197,,T197)*(1-R197)+INDEX(Models!$BJ197:$BT197,,T197+1)*R197-ERP_i)*Q197*Ramure*Pc/MaxiM</f>
        <v>8.1351801761729379E-3</v>
      </c>
      <c r="Q197" s="305">
        <f t="shared" si="53"/>
        <v>0.7</v>
      </c>
      <c r="R197" s="177">
        <f t="shared" si="54"/>
        <v>0.35585126219416274</v>
      </c>
      <c r="S197" s="921">
        <f t="shared" si="55"/>
        <v>1</v>
      </c>
      <c r="T197" s="176">
        <f t="shared" si="56"/>
        <v>7</v>
      </c>
      <c r="U197" s="251">
        <f t="shared" si="57"/>
        <v>1.3558512621941627</v>
      </c>
      <c r="V197" s="383">
        <f t="shared" si="58"/>
        <v>53.380577280227605</v>
      </c>
      <c r="W197" s="402">
        <f t="shared" si="59"/>
        <v>53.104534266612866</v>
      </c>
      <c r="X197" s="157">
        <f t="shared" si="60"/>
        <v>45474</v>
      </c>
      <c r="Y197" s="385">
        <f t="shared" si="61"/>
        <v>46.972909805512096</v>
      </c>
      <c r="Z197" s="385">
        <f t="shared" si="62"/>
        <v>49.325254387360943</v>
      </c>
      <c r="AA197" s="386">
        <f t="shared" si="63"/>
        <v>56.736683910774872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0.13062852836216646</v>
      </c>
      <c r="AD197" s="231">
        <f>(INDEX(Models!$BJ197:$BT197,,AH197)*(1-AF197)+INDEX(Models!$BJ197:$BT197,,AH197+1)*AF197-ERP_i)*AE197*Ramure*Pc/MaxiM</f>
        <v>8.1351801761729379E-3</v>
      </c>
      <c r="AE197" s="305">
        <f t="shared" si="65"/>
        <v>0.7</v>
      </c>
      <c r="AF197" s="177">
        <f t="shared" si="66"/>
        <v>0.35585126219416274</v>
      </c>
      <c r="AG197" s="921">
        <f t="shared" si="74"/>
        <v>1</v>
      </c>
      <c r="AH197" s="176">
        <f t="shared" si="67"/>
        <v>7</v>
      </c>
      <c r="AI197" s="225">
        <f t="shared" si="68"/>
        <v>1.3558512621941627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45.929774907390069</v>
      </c>
      <c r="C198" s="955"/>
      <c r="D198" s="393">
        <f t="shared" si="50"/>
        <v>48.23093697931769</v>
      </c>
      <c r="E198" s="385">
        <f t="shared" si="75"/>
        <v>49.079326299352083</v>
      </c>
      <c r="F198" s="385">
        <f t="shared" si="51"/>
        <v>49.400352406752091</v>
      </c>
      <c r="G198" s="110">
        <f t="shared" si="76"/>
        <v>0.86052225640032309</v>
      </c>
      <c r="H198" s="414" t="b">
        <f>Wh_hp&gt;='2023'!Maxi_hp</f>
        <v>0</v>
      </c>
      <c r="I198" s="390">
        <f>IF(H198,Wh_hp,'2023'!Maxi_hp)</f>
        <v>49.441031489628365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4.771132837237646E-2</v>
      </c>
      <c r="M198" s="959"/>
      <c r="N198" s="959"/>
      <c r="O198" s="48">
        <f>IF(t&lt;Tnet,'2023'!Resal+('2023'!Salim-'2023'!Resal)*(1-EXP(('2023'!Tnet-t)/('2023'!Tau_j))),Resal+(Salim-Resal)*(1-EXP((Tnet-t)/(Tau_j))))*Salcycl</f>
        <v>1.7286083245311196E-2</v>
      </c>
      <c r="P198" s="169">
        <f>(INDEX(Models!$BJ198:$BT198,,T198)*(1-R198)+INDEX(Models!$BJ198:$BT198,,T198+1)*R198-ERP_i)*Q198*Ramure*Pc/MaxiM</f>
        <v>8.0954933067608516E-3</v>
      </c>
      <c r="Q198" s="305">
        <f t="shared" si="53"/>
        <v>0.7</v>
      </c>
      <c r="R198" s="177">
        <f t="shared" si="54"/>
        <v>0.36003678796145921</v>
      </c>
      <c r="S198" s="921">
        <f t="shared" si="55"/>
        <v>1</v>
      </c>
      <c r="T198" s="176">
        <f t="shared" si="56"/>
        <v>7</v>
      </c>
      <c r="U198" s="251">
        <f t="shared" si="57"/>
        <v>1.3600367879614592</v>
      </c>
      <c r="V198" s="383">
        <f t="shared" si="58"/>
        <v>53.288503925882388</v>
      </c>
      <c r="W198" s="402">
        <f t="shared" si="59"/>
        <v>45.929774907390069</v>
      </c>
      <c r="X198" s="157">
        <f t="shared" si="60"/>
        <v>45475</v>
      </c>
      <c r="Y198" s="385">
        <f t="shared" si="61"/>
        <v>40.629452274670733</v>
      </c>
      <c r="Z198" s="385">
        <f t="shared" si="62"/>
        <v>42.665058910370192</v>
      </c>
      <c r="AA198" s="386">
        <f t="shared" si="63"/>
        <v>49.079326299352083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0.13069183855253069</v>
      </c>
      <c r="AD198" s="231">
        <f>(INDEX(Models!$BJ198:$BT198,,AH198)*(1-AF198)+INDEX(Models!$BJ198:$BT198,,AH198+1)*AF198-ERP_i)*AE198*Ramure*Pc/MaxiM</f>
        <v>8.0954933067608516E-3</v>
      </c>
      <c r="AE198" s="305">
        <f t="shared" si="65"/>
        <v>0.7</v>
      </c>
      <c r="AF198" s="177">
        <f t="shared" si="66"/>
        <v>0.36003678796145921</v>
      </c>
      <c r="AG198" s="921">
        <f t="shared" si="74"/>
        <v>1</v>
      </c>
      <c r="AH198" s="176">
        <f t="shared" si="67"/>
        <v>7</v>
      </c>
      <c r="AI198" s="225">
        <f t="shared" si="68"/>
        <v>1.3600367879614592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43.802122247726544</v>
      </c>
      <c r="C199" s="955"/>
      <c r="D199" s="393">
        <f t="shared" si="50"/>
        <v>45.997692666831107</v>
      </c>
      <c r="E199" s="385">
        <f t="shared" si="75"/>
        <v>46.813512508068932</v>
      </c>
      <c r="F199" s="385">
        <f t="shared" si="51"/>
        <v>47.096886731208286</v>
      </c>
      <c r="G199" s="110">
        <f t="shared" si="76"/>
        <v>0.8217281689136291</v>
      </c>
      <c r="H199" s="414" t="b">
        <f>Wh_hp&gt;='2023'!Maxi_hp</f>
        <v>0</v>
      </c>
      <c r="I199" s="390">
        <f>IF(H199,Wh_hp,'2023'!Maxi_hp)</f>
        <v>55.745011407918014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4.7732185938269556E-2</v>
      </c>
      <c r="M199" s="959"/>
      <c r="N199" s="959"/>
      <c r="O199" s="48">
        <f>IF(t&lt;Tnet,'2023'!Resal+('2023'!Salim-'2023'!Resal)*(1-EXP(('2023'!Tnet-t)/('2023'!Tau_j))),Resal+(Salim-Resal)*(1-EXP((Tnet-t)/(Tau_j))))*Salcycl</f>
        <v>1.7427016208134433E-2</v>
      </c>
      <c r="P199" s="169">
        <f>(INDEX(Models!$BJ199:$BT199,,T199)*(1-R199)+INDEX(Models!$BJ199:$BT199,,T199+1)*R199-ERP_i)*Q199*Ramure*Pc/MaxiM</f>
        <v>8.0468209077798787E-3</v>
      </c>
      <c r="Q199" s="305">
        <f t="shared" si="53"/>
        <v>0.7</v>
      </c>
      <c r="R199" s="177">
        <f t="shared" si="54"/>
        <v>0.36414726818541654</v>
      </c>
      <c r="S199" s="921">
        <f t="shared" si="55"/>
        <v>1</v>
      </c>
      <c r="T199" s="176">
        <f t="shared" si="56"/>
        <v>7</v>
      </c>
      <c r="U199" s="251">
        <f t="shared" si="57"/>
        <v>1.3641472681854165</v>
      </c>
      <c r="V199" s="383">
        <f t="shared" si="58"/>
        <v>53.196017848500595</v>
      </c>
      <c r="W199" s="402">
        <f t="shared" si="59"/>
        <v>43.802122247726544</v>
      </c>
      <c r="X199" s="157">
        <f t="shared" si="60"/>
        <v>45476</v>
      </c>
      <c r="Y199" s="385">
        <f t="shared" si="61"/>
        <v>38.75015289996113</v>
      </c>
      <c r="Z199" s="385">
        <f t="shared" si="62"/>
        <v>40.692494619427684</v>
      </c>
      <c r="AA199" s="386">
        <f t="shared" si="63"/>
        <v>46.813512508068932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0.13075322830317873</v>
      </c>
      <c r="AD199" s="231">
        <f>(INDEX(Models!$BJ199:$BT199,,AH199)*(1-AF199)+INDEX(Models!$BJ199:$BT199,,AH199+1)*AF199-ERP_i)*AE199*Ramure*Pc/MaxiM</f>
        <v>8.0468209077798787E-3</v>
      </c>
      <c r="AE199" s="305">
        <f t="shared" si="65"/>
        <v>0.7</v>
      </c>
      <c r="AF199" s="177">
        <f t="shared" si="66"/>
        <v>0.36414726818541654</v>
      </c>
      <c r="AG199" s="921">
        <f t="shared" si="74"/>
        <v>1</v>
      </c>
      <c r="AH199" s="176">
        <f t="shared" si="67"/>
        <v>7</v>
      </c>
      <c r="AI199" s="225">
        <f t="shared" si="68"/>
        <v>1.3641472681854165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53.338175545903518</v>
      </c>
      <c r="C200" s="955"/>
      <c r="D200" s="393">
        <f t="shared" si="50"/>
        <v>56.012965078505914</v>
      </c>
      <c r="E200" s="385">
        <f t="shared" si="75"/>
        <v>57.014576235167716</v>
      </c>
      <c r="F200" s="385">
        <f t="shared" si="51"/>
        <v>57.473741712824555</v>
      </c>
      <c r="G200" s="110">
        <f t="shared" si="76"/>
        <v>1.0044264330036194</v>
      </c>
      <c r="H200" s="414" t="b">
        <f>Wh_hp&gt;='2023'!Maxi_hp</f>
        <v>0</v>
      </c>
      <c r="I200" s="390">
        <f>IF(H200,Wh_hp,'2023'!Maxi_hp)</f>
        <v>58.767865102105034</v>
      </c>
      <c r="J200" s="85">
        <f>IF(H200,An,'2023'!An_max)</f>
        <v>2021</v>
      </c>
      <c r="K200" s="197">
        <f t="shared" si="52"/>
        <v>45477</v>
      </c>
      <c r="L200" s="147">
        <f>IF(t&lt;Tvie,1-EXP((T0-t)*PertePVj)+'2023'!Pspv,1-EXP((T0-t)*PertePVj)+Pspv)</f>
        <v>4.7753043047328414E-2</v>
      </c>
      <c r="M200" s="959"/>
      <c r="N200" s="959"/>
      <c r="O200" s="48">
        <f>IF(t&lt;Tnet,'2023'!Resal+('2023'!Salim-'2023'!Resal)*(1-EXP(('2023'!Tnet-t)/('2023'!Tau_j))),Resal+(Salim-Resal)*(1-EXP((Tnet-t)/(Tau_j))))*Salcycl</f>
        <v>1.7567633100182372E-2</v>
      </c>
      <c r="P200" s="169">
        <f>(INDEX(Models!$BJ200:$BT200,,T200)*(1-R200)+INDEX(Models!$BJ200:$BT200,,T200+1)*R200-ERP_i)*Q200*Ramure*Pc/MaxiM</f>
        <v>7.9891349331512249E-3</v>
      </c>
      <c r="Q200" s="305">
        <f t="shared" si="53"/>
        <v>0.7</v>
      </c>
      <c r="R200" s="177">
        <f t="shared" si="54"/>
        <v>0.36818132654539015</v>
      </c>
      <c r="S200" s="921">
        <f t="shared" si="55"/>
        <v>1</v>
      </c>
      <c r="T200" s="176">
        <f t="shared" si="56"/>
        <v>7</v>
      </c>
      <c r="U200" s="251">
        <f t="shared" si="57"/>
        <v>1.3681813265453902</v>
      </c>
      <c r="V200" s="383">
        <f t="shared" si="58"/>
        <v>53.103118151124278</v>
      </c>
      <c r="W200" s="402">
        <f t="shared" si="59"/>
        <v>53.338175545903518</v>
      </c>
      <c r="X200" s="157">
        <f t="shared" si="60"/>
        <v>45477</v>
      </c>
      <c r="Y200" s="385">
        <f t="shared" si="61"/>
        <v>47.189876628849667</v>
      </c>
      <c r="Z200" s="385">
        <f t="shared" si="62"/>
        <v>49.556342799838518</v>
      </c>
      <c r="AA200" s="386">
        <f t="shared" si="63"/>
        <v>57.014576235167716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0.13081274873580165</v>
      </c>
      <c r="AD200" s="231">
        <f>(INDEX(Models!$BJ200:$BT200,,AH200)*(1-AF200)+INDEX(Models!$BJ200:$BT200,,AH200+1)*AF200-ERP_i)*AE200*Ramure*Pc/MaxiM</f>
        <v>7.9891349331512249E-3</v>
      </c>
      <c r="AE200" s="305">
        <f t="shared" si="65"/>
        <v>0.7</v>
      </c>
      <c r="AF200" s="177">
        <f t="shared" si="66"/>
        <v>0.36818132654539015</v>
      </c>
      <c r="AG200" s="921">
        <f t="shared" si="74"/>
        <v>1</v>
      </c>
      <c r="AH200" s="176">
        <f t="shared" si="67"/>
        <v>7</v>
      </c>
      <c r="AI200" s="225">
        <f t="shared" si="68"/>
        <v>1.3681813265453902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43.696445134282833</v>
      </c>
      <c r="C201" s="955"/>
      <c r="D201" s="393">
        <f t="shared" si="50"/>
        <v>45.888728654356534</v>
      </c>
      <c r="E201" s="385">
        <f t="shared" si="75"/>
        <v>46.715972083401773</v>
      </c>
      <c r="F201" s="385">
        <f t="shared" si="51"/>
        <v>46.99483881053829</v>
      </c>
      <c r="G201" s="110">
        <f t="shared" si="76"/>
        <v>0.82265989265814821</v>
      </c>
      <c r="H201" s="414" t="b">
        <f>Wh_hp&gt;='2023'!Maxi_hp</f>
        <v>0</v>
      </c>
      <c r="I201" s="390">
        <f>IF(H201,Wh_hp,'2023'!Maxi_hp)</f>
        <v>56.315415913154332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4.7773899699563138E-2</v>
      </c>
      <c r="M201" s="959"/>
      <c r="N201" s="959"/>
      <c r="O201" s="48">
        <f>IF(t&lt;Tnet,'2023'!Resal+('2023'!Salim-'2023'!Resal)*(1-EXP(('2023'!Tnet-t)/('2023'!Tau_j))),Resal+(Salim-Resal)*(1-EXP((Tnet-t)/(Tau_j))))*Salcycl</f>
        <v>1.7707935683503765E-2</v>
      </c>
      <c r="P201" s="169">
        <f>(INDEX(Models!$BJ201:$BT201,,T201)*(1-R201)+INDEX(Models!$BJ201:$BT201,,T201+1)*R201-ERP_i)*Q201*Ramure*Pc/MaxiM</f>
        <v>7.9224127721985241E-3</v>
      </c>
      <c r="Q201" s="305">
        <f t="shared" si="53"/>
        <v>0.7</v>
      </c>
      <c r="R201" s="177">
        <f t="shared" si="54"/>
        <v>0.37213776400651644</v>
      </c>
      <c r="S201" s="921">
        <f t="shared" si="55"/>
        <v>1</v>
      </c>
      <c r="T201" s="176">
        <f t="shared" si="56"/>
        <v>7</v>
      </c>
      <c r="U201" s="251">
        <f t="shared" si="57"/>
        <v>1.3721377640065164</v>
      </c>
      <c r="V201" s="383">
        <f t="shared" si="58"/>
        <v>53.009803550461847</v>
      </c>
      <c r="W201" s="402">
        <f t="shared" si="59"/>
        <v>43.696445134282833</v>
      </c>
      <c r="X201" s="157">
        <f t="shared" si="60"/>
        <v>45478</v>
      </c>
      <c r="Y201" s="385">
        <f t="shared" si="61"/>
        <v>38.662504657120287</v>
      </c>
      <c r="Z201" s="385">
        <f t="shared" si="62"/>
        <v>40.602231597014494</v>
      </c>
      <c r="AA201" s="386">
        <f t="shared" si="63"/>
        <v>46.715972083401773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0.13087045423078114</v>
      </c>
      <c r="AD201" s="231">
        <f>(INDEX(Models!$BJ201:$BT201,,AH201)*(1-AF201)+INDEX(Models!$BJ201:$BT201,,AH201+1)*AF201-ERP_i)*AE201*Ramure*Pc/MaxiM</f>
        <v>7.9224127721985241E-3</v>
      </c>
      <c r="AE201" s="305">
        <f t="shared" si="65"/>
        <v>0.7</v>
      </c>
      <c r="AF201" s="177">
        <f t="shared" si="66"/>
        <v>0.37213776400651644</v>
      </c>
      <c r="AG201" s="921">
        <f t="shared" si="74"/>
        <v>1</v>
      </c>
      <c r="AH201" s="176">
        <f t="shared" si="67"/>
        <v>7</v>
      </c>
      <c r="AI201" s="225">
        <f t="shared" si="68"/>
        <v>1.3721377640065164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51.619160475802509</v>
      </c>
      <c r="C202" s="955"/>
      <c r="D202" s="393">
        <f t="shared" si="50"/>
        <v>54.210119924638384</v>
      </c>
      <c r="E202" s="385">
        <f t="shared" si="75"/>
        <v>55.195240512065915</v>
      </c>
      <c r="F202" s="385">
        <f t="shared" si="51"/>
        <v>55.616362335574756</v>
      </c>
      <c r="G202" s="110">
        <f t="shared" si="76"/>
        <v>0.97522110989414679</v>
      </c>
      <c r="H202" s="414" t="b">
        <f>Wh_hp&gt;='2023'!Maxi_hp</f>
        <v>0</v>
      </c>
      <c r="I202" s="390">
        <f>IF(H202,Wh_hp,'2023'!Maxi_hp)</f>
        <v>56.989181729783134</v>
      </c>
      <c r="J202" s="85">
        <f>IF(H202,An,'2023'!An_max)</f>
        <v>2018</v>
      </c>
      <c r="K202" s="197">
        <f t="shared" si="52"/>
        <v>45479</v>
      </c>
      <c r="L202" s="147">
        <f>IF(t&lt;Tvie,1-EXP((T0-t)*PertePVj)+'2023'!Pspv,1-EXP((T0-t)*PertePVj)+Pspv)</f>
        <v>4.7794755894983498E-2</v>
      </c>
      <c r="M202" s="959"/>
      <c r="N202" s="959"/>
      <c r="O202" s="48">
        <f>IF(t&lt;Tnet,'2023'!Resal+('2023'!Salim-'2023'!Resal)*(1-EXP(('2023'!Tnet-t)/('2023'!Tau_j))),Resal+(Salim-Resal)*(1-EXP((Tnet-t)/(Tau_j))))*Salcycl</f>
        <v>1.7847926348145436E-2</v>
      </c>
      <c r="P202" s="169">
        <f>(INDEX(Models!$BJ202:$BT202,,T202)*(1-R202)+INDEX(Models!$BJ202:$BT202,,T202+1)*R202-ERP_i)*Q202*Ramure*Pc/MaxiM</f>
        <v>7.8466366624226815E-3</v>
      </c>
      <c r="Q202" s="305">
        <f t="shared" si="53"/>
        <v>0.7</v>
      </c>
      <c r="R202" s="177">
        <f t="shared" si="54"/>
        <v>0.37601555572155609</v>
      </c>
      <c r="S202" s="921">
        <f t="shared" si="55"/>
        <v>1</v>
      </c>
      <c r="T202" s="176">
        <f t="shared" si="56"/>
        <v>7</v>
      </c>
      <c r="U202" s="251">
        <f t="shared" si="57"/>
        <v>1.3760155557215561</v>
      </c>
      <c r="V202" s="383">
        <f t="shared" si="58"/>
        <v>52.916072412256334</v>
      </c>
      <c r="W202" s="402">
        <f t="shared" si="59"/>
        <v>51.619160475802509</v>
      </c>
      <c r="X202" s="157">
        <f t="shared" si="60"/>
        <v>45479</v>
      </c>
      <c r="Y202" s="385">
        <f t="shared" si="61"/>
        <v>45.676072699595409</v>
      </c>
      <c r="Z202" s="385">
        <f t="shared" si="62"/>
        <v>47.968726261875013</v>
      </c>
      <c r="AA202" s="386">
        <f t="shared" si="63"/>
        <v>55.195240512065915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0.13092640204387107</v>
      </c>
      <c r="AD202" s="231">
        <f>(INDEX(Models!$BJ202:$BT202,,AH202)*(1-AF202)+INDEX(Models!$BJ202:$BT202,,AH202+1)*AF202-ERP_i)*AE202*Ramure*Pc/MaxiM</f>
        <v>7.8466366624226815E-3</v>
      </c>
      <c r="AE202" s="305">
        <f t="shared" si="65"/>
        <v>0.7</v>
      </c>
      <c r="AF202" s="177">
        <f t="shared" si="66"/>
        <v>0.37601555572155609</v>
      </c>
      <c r="AG202" s="921">
        <f t="shared" si="74"/>
        <v>1</v>
      </c>
      <c r="AH202" s="176">
        <f t="shared" si="67"/>
        <v>7</v>
      </c>
      <c r="AI202" s="225">
        <f t="shared" si="68"/>
        <v>1.3760155557215561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54.102353690528801</v>
      </c>
      <c r="C203" s="955"/>
      <c r="D203" s="393">
        <f t="shared" si="50"/>
        <v>56.819198415286586</v>
      </c>
      <c r="E203" s="385">
        <f t="shared" si="75"/>
        <v>57.859960711630841</v>
      </c>
      <c r="F203" s="385">
        <f t="shared" si="51"/>
        <v>58.312570820398363</v>
      </c>
      <c r="G203" s="110">
        <f t="shared" si="76"/>
        <v>1.0242405204973573</v>
      </c>
      <c r="H203" s="414" t="b">
        <f>Wh_hp&gt;='2023'!Maxi_hp</f>
        <v>0</v>
      </c>
      <c r="I203" s="390">
        <f>IF(H203,Wh_hp,'2023'!Maxi_hp)</f>
        <v>59.606340921073496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4.7815611633599708E-2</v>
      </c>
      <c r="M203" s="959"/>
      <c r="N203" s="959"/>
      <c r="O203" s="48">
        <f>IF(t&lt;Tnet,'2023'!Resal+('2023'!Salim-'2023'!Resal)*(1-EXP(('2023'!Tnet-t)/('2023'!Tau_j))),Resal+(Salim-Resal)*(1-EXP((Tnet-t)/(Tau_j))))*Salcycl</f>
        <v>1.7987608072036722E-2</v>
      </c>
      <c r="P203" s="169">
        <f>(INDEX(Models!$BJ203:$BT203,,T203)*(1-R203)+INDEX(Models!$BJ203:$BT203,,T203+1)*R203-ERP_i)*Q203*Ramure*Pc/MaxiM</f>
        <v>7.7617930816589829E-3</v>
      </c>
      <c r="Q203" s="305">
        <f t="shared" si="53"/>
        <v>0.7</v>
      </c>
      <c r="R203" s="177">
        <f t="shared" si="54"/>
        <v>0.37981384728715839</v>
      </c>
      <c r="S203" s="921">
        <f t="shared" si="55"/>
        <v>1</v>
      </c>
      <c r="T203" s="176">
        <f t="shared" si="56"/>
        <v>7</v>
      </c>
      <c r="U203" s="251">
        <f t="shared" si="57"/>
        <v>1.3798138472871584</v>
      </c>
      <c r="V203" s="383">
        <f t="shared" si="58"/>
        <v>52.821922788465187</v>
      </c>
      <c r="W203" s="402">
        <f t="shared" si="59"/>
        <v>54.102353690528801</v>
      </c>
      <c r="X203" s="157">
        <f t="shared" si="60"/>
        <v>45480</v>
      </c>
      <c r="Y203" s="385">
        <f t="shared" si="61"/>
        <v>47.87718823153854</v>
      </c>
      <c r="Z203" s="385">
        <f t="shared" si="62"/>
        <v>50.281425337878375</v>
      </c>
      <c r="AA203" s="386">
        <f t="shared" si="63"/>
        <v>57.859960711630841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0.13098065191442571</v>
      </c>
      <c r="AD203" s="231">
        <f>(INDEX(Models!$BJ203:$BT203,,AH203)*(1-AF203)+INDEX(Models!$BJ203:$BT203,,AH203+1)*AF203-ERP_i)*AE203*Ramure*Pc/MaxiM</f>
        <v>7.7617930816589829E-3</v>
      </c>
      <c r="AE203" s="305">
        <f t="shared" si="65"/>
        <v>0.7</v>
      </c>
      <c r="AF203" s="177">
        <f t="shared" si="66"/>
        <v>0.37981384728715839</v>
      </c>
      <c r="AG203" s="921">
        <f t="shared" si="74"/>
        <v>1</v>
      </c>
      <c r="AH203" s="176">
        <f t="shared" si="67"/>
        <v>7</v>
      </c>
      <c r="AI203" s="225">
        <f t="shared" si="68"/>
        <v>1.3798138472871584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53.491258396618804</v>
      </c>
      <c r="C204" s="955"/>
      <c r="D204" s="393">
        <f t="shared" si="50"/>
        <v>56.178646354299424</v>
      </c>
      <c r="E204" s="385">
        <f t="shared" si="75"/>
        <v>57.215796198139593</v>
      </c>
      <c r="F204" s="385">
        <f t="shared" si="51"/>
        <v>57.657909676559228</v>
      </c>
      <c r="G204" s="110">
        <f t="shared" si="76"/>
        <v>1.0144878493958986</v>
      </c>
      <c r="H204" s="414" t="b">
        <f>Wh_hp&gt;='2023'!Maxi_hp</f>
        <v>1</v>
      </c>
      <c r="I204" s="390">
        <f>IF(H204,Wh_hp,'2023'!Maxi_hp)</f>
        <v>57.657909676559228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4.783646691542176E-2</v>
      </c>
      <c r="M204" s="959"/>
      <c r="N204" s="959"/>
      <c r="O204" s="48">
        <f>IF(t&lt;Tnet,'2023'!Resal+('2023'!Salim-'2023'!Resal)*(1-EXP(('2023'!Tnet-t)/('2023'!Tau_j))),Resal+(Salim-Resal)*(1-EXP((Tnet-t)/(Tau_j))))*Salcycl</f>
        <v>1.8126984377679498E-2</v>
      </c>
      <c r="P204" s="169">
        <f>(INDEX(Models!$BJ204:$BT204,,T204)*(1-R204)+INDEX(Models!$BJ204:$BT204,,T204+1)*R204-ERP_i)*Q204*Ramure*Pc/MaxiM</f>
        <v>7.6678721254332186E-3</v>
      </c>
      <c r="Q204" s="305">
        <f t="shared" si="53"/>
        <v>0.7</v>
      </c>
      <c r="R204" s="177">
        <f t="shared" si="54"/>
        <v>0.38353195041261046</v>
      </c>
      <c r="S204" s="921">
        <f t="shared" si="55"/>
        <v>1</v>
      </c>
      <c r="T204" s="176">
        <f t="shared" si="56"/>
        <v>7</v>
      </c>
      <c r="U204" s="251">
        <f t="shared" si="57"/>
        <v>1.3835319504126105</v>
      </c>
      <c r="V204" s="383">
        <f t="shared" si="58"/>
        <v>52.727352455203352</v>
      </c>
      <c r="W204" s="402">
        <f t="shared" si="59"/>
        <v>53.491258396618804</v>
      </c>
      <c r="X204" s="157">
        <f t="shared" si="60"/>
        <v>45481</v>
      </c>
      <c r="Y204" s="385">
        <f t="shared" si="61"/>
        <v>47.340260282795079</v>
      </c>
      <c r="Z204" s="385">
        <f t="shared" si="62"/>
        <v>49.718623574496803</v>
      </c>
      <c r="AA204" s="386">
        <f t="shared" si="63"/>
        <v>57.215796198139593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0.13103326566810175</v>
      </c>
      <c r="AD204" s="231">
        <f>(INDEX(Models!$BJ204:$BT204,,AH204)*(1-AF204)+INDEX(Models!$BJ204:$BT204,,AH204+1)*AF204-ERP_i)*AE204*Ramure*Pc/MaxiM</f>
        <v>7.6678721254332186E-3</v>
      </c>
      <c r="AE204" s="305">
        <f t="shared" si="65"/>
        <v>0.7</v>
      </c>
      <c r="AF204" s="177">
        <f t="shared" si="66"/>
        <v>0.38353195041261046</v>
      </c>
      <c r="AG204" s="921">
        <f t="shared" si="74"/>
        <v>1</v>
      </c>
      <c r="AH204" s="176">
        <f t="shared" si="67"/>
        <v>7</v>
      </c>
      <c r="AI204" s="225">
        <f t="shared" si="68"/>
        <v>1.3835319504126105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53.142595824662628</v>
      </c>
      <c r="C205" s="955"/>
      <c r="D205" s="393">
        <f t="shared" si="50"/>
        <v>55.813689521620965</v>
      </c>
      <c r="E205" s="385">
        <f t="shared" si="75"/>
        <v>56.852154343395767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Wh_hp&gt;='2023'!Maxi_hp</f>
        <v>1</v>
      </c>
      <c r="I205" s="390">
        <f>IF(H205,Wh_hp,'2023'!Maxi_hp)</f>
        <v>57.285515204280557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4.7857321740459646E-2</v>
      </c>
      <c r="M205" s="959"/>
      <c r="N205" s="959"/>
      <c r="O205" s="48">
        <f>IF(t&lt;Tnet,'2023'!Resal+('2023'!Salim-'2023'!Resal)*(1-EXP(('2023'!Tnet-t)/('2023'!Tau_j))),Resal+(Salim-Resal)*(1-EXP((Tnet-t)/(Tau_j))))*Salcycl</f>
        <v>1.8266059286026606E-2</v>
      </c>
      <c r="P205" s="169">
        <f>(INDEX(Models!$BJ205:$BT205,,T205)*(1-R205)+INDEX(Models!$BJ205:$BT205,,T205+1)*R205-ERP_i)*Q205*Ramure*Pc/MaxiM</f>
        <v>7.564929098384153E-3</v>
      </c>
      <c r="Q205" s="305">
        <f t="shared" si="53"/>
        <v>0.7</v>
      </c>
      <c r="R205" s="177">
        <f t="shared" si="54"/>
        <v>0.38716933806043929</v>
      </c>
      <c r="S205" s="921">
        <f t="shared" si="55"/>
        <v>1</v>
      </c>
      <c r="T205" s="176">
        <f t="shared" si="56"/>
        <v>7</v>
      </c>
      <c r="U205" s="251">
        <f t="shared" si="57"/>
        <v>1.3871693380604393</v>
      </c>
      <c r="V205" s="383">
        <f t="shared" si="58"/>
        <v>52.631922744795759</v>
      </c>
      <c r="W205" s="402">
        <f t="shared" si="59"/>
        <v>53.142595824662628</v>
      </c>
      <c r="X205" s="157">
        <f t="shared" si="60"/>
        <v>45482</v>
      </c>
      <c r="Y205" s="385">
        <f t="shared" si="61"/>
        <v>47.035590370798467</v>
      </c>
      <c r="Z205" s="385">
        <f t="shared" si="62"/>
        <v>49.399729100240208</v>
      </c>
      <c r="AA205" s="386">
        <f t="shared" si="63"/>
        <v>56.852154343395767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0.13108430681697239</v>
      </c>
      <c r="AD205" s="231">
        <f>(INDEX(Models!$BJ205:$BT205,,AH205)*(1-AF205)+INDEX(Models!$BJ205:$BT205,,AH205+1)*AF205-ERP_i)*AE205*Ramure*Pc/MaxiM</f>
        <v>7.564929098384153E-3</v>
      </c>
      <c r="AE205" s="305">
        <f t="shared" si="65"/>
        <v>0.7</v>
      </c>
      <c r="AF205" s="177">
        <f t="shared" si="66"/>
        <v>0.38716933806043929</v>
      </c>
      <c r="AG205" s="921">
        <f t="shared" si="74"/>
        <v>1</v>
      </c>
      <c r="AH205" s="176">
        <f t="shared" si="67"/>
        <v>7</v>
      </c>
      <c r="AI205" s="225">
        <f t="shared" si="68"/>
        <v>1.3871693380604393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51.88016295002901</v>
      </c>
      <c r="C206" s="955"/>
      <c r="D206" s="393">
        <f t="shared" si="50"/>
        <v>54.488996731528793</v>
      </c>
      <c r="E206" s="385">
        <f t="shared" si="75"/>
        <v>55.51066142163036</v>
      </c>
      <c r="F206" s="385">
        <f t="shared" si="51"/>
        <v>55.920017282927191</v>
      </c>
      <c r="G206" s="110">
        <f t="shared" si="76"/>
        <v>0.98739710384777124</v>
      </c>
      <c r="H206" s="414" t="b">
        <f>Wh_hp&gt;='2023'!Maxi_hp</f>
        <v>0</v>
      </c>
      <c r="I206" s="390">
        <f>IF(H206,Wh_hp,'2023'!Maxi_hp)</f>
        <v>56.244702289420005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4.7878176108723247E-2</v>
      </c>
      <c r="M206" s="959"/>
      <c r="N206" s="959"/>
      <c r="O206" s="48">
        <f>IF(t&lt;Tnet,'2023'!Resal+('2023'!Salim-'2023'!Resal)*(1-EXP(('2023'!Tnet-t)/('2023'!Tau_j))),Resal+(Salim-Resal)*(1-EXP((Tnet-t)/(Tau_j))))*Salcycl</f>
        <v>1.8404837267953361E-2</v>
      </c>
      <c r="P206" s="169">
        <f>(INDEX(Models!$BJ206:$BT206,,T206)*(1-R206)+INDEX(Models!$BJ206:$BT206,,T206+1)*R206-ERP_i)*Q206*Ramure*Pc/MaxiM</f>
        <v>7.4531628535564982E-3</v>
      </c>
      <c r="Q206" s="305">
        <f t="shared" si="53"/>
        <v>0.7</v>
      </c>
      <c r="R206" s="177">
        <f t="shared" si="54"/>
        <v>0.39072563911880343</v>
      </c>
      <c r="S206" s="921">
        <f t="shared" si="55"/>
        <v>1</v>
      </c>
      <c r="T206" s="176">
        <f t="shared" si="56"/>
        <v>7</v>
      </c>
      <c r="U206" s="251">
        <f t="shared" si="57"/>
        <v>1.3907256391188034</v>
      </c>
      <c r="V206" s="383">
        <f t="shared" si="58"/>
        <v>52.535320623201606</v>
      </c>
      <c r="W206" s="402">
        <f t="shared" si="59"/>
        <v>51.88016295002901</v>
      </c>
      <c r="X206" s="157">
        <f t="shared" si="60"/>
        <v>45483</v>
      </c>
      <c r="Y206" s="385">
        <f t="shared" si="61"/>
        <v>45.922106857989128</v>
      </c>
      <c r="Z206" s="385">
        <f t="shared" si="62"/>
        <v>48.2313352195916</v>
      </c>
      <c r="AA206" s="386">
        <f t="shared" si="63"/>
        <v>55.51066142163036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0.1311338401599785</v>
      </c>
      <c r="AD206" s="231">
        <f>(INDEX(Models!$BJ206:$BT206,,AH206)*(1-AF206)+INDEX(Models!$BJ206:$BT206,,AH206+1)*AF206-ERP_i)*AE206*Ramure*Pc/MaxiM</f>
        <v>7.4531628535564982E-3</v>
      </c>
      <c r="AE206" s="305">
        <f t="shared" si="65"/>
        <v>0.7</v>
      </c>
      <c r="AF206" s="177">
        <f t="shared" si="66"/>
        <v>0.39072563911880343</v>
      </c>
      <c r="AG206" s="921">
        <f t="shared" si="74"/>
        <v>1</v>
      </c>
      <c r="AH206" s="176">
        <f t="shared" si="67"/>
        <v>7</v>
      </c>
      <c r="AI206" s="225">
        <f t="shared" si="68"/>
        <v>1.3907256391188034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51.437538407213736</v>
      </c>
      <c r="C207" s="955"/>
      <c r="D207" s="393">
        <f t="shared" ref="D207:D270" si="77">Wh/(1-Ppv)</f>
        <v>54.025297766797024</v>
      </c>
      <c r="E207" s="385">
        <f t="shared" si="75"/>
        <v>55.04603416892526</v>
      </c>
      <c r="F207" s="385">
        <f t="shared" ref="F207:F270" si="78">Wh_sa/(1-Pvg*MEDIAN((-Sdif+Wh/Env_an)/Csdif,0,1))</f>
        <v>55.441777901915415</v>
      </c>
      <c r="G207" s="110">
        <f t="shared" si="76"/>
        <v>0.98073363528940372</v>
      </c>
      <c r="H207" s="414" t="b">
        <f>Wh_hp&gt;='2023'!Maxi_hp</f>
        <v>0</v>
      </c>
      <c r="I207" s="390">
        <f>IF(H207,Wh_hp,'2023'!Maxi_hp)</f>
        <v>57.631675116560842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4.7899030020222777E-2</v>
      </c>
      <c r="M207" s="959"/>
      <c r="N207" s="959"/>
      <c r="O207" s="48">
        <f>IF(t&lt;Tnet,'2023'!Resal+('2023'!Salim-'2023'!Resal)*(1-EXP(('2023'!Tnet-t)/('2023'!Tau_j))),Resal+(Salim-Resal)*(1-EXP((Tnet-t)/(Tau_j))))*Salcycl</f>
        <v>1.854332319374365E-2</v>
      </c>
      <c r="P207" s="169">
        <f>(INDEX(Models!$BJ207:$BT207,,T207)*(1-R207)+INDEX(Models!$BJ207:$BT207,,T207+1)*R207-ERP_i)*Q207*Ramure*Pc/MaxiM</f>
        <v>7.3378993457535137E-3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0.39420063266552163</v>
      </c>
      <c r="S207" s="921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1.3942006326655216</v>
      </c>
      <c r="V207" s="383">
        <f t="shared" ref="V207:V270" si="85">MaxiM*(1-Ppv)*(1-Pvg)*(1-Psa)</f>
        <v>52.437461717078534</v>
      </c>
      <c r="W207" s="402">
        <f t="shared" ref="W207:W270" si="86">Wh*(A207&gt;Tmaj)</f>
        <v>51.437538407213736</v>
      </c>
      <c r="X207" s="157">
        <f t="shared" ref="X207:X270" si="87">t</f>
        <v>45484</v>
      </c>
      <c r="Y207" s="385">
        <f t="shared" ref="Y207:Y270" si="88">Wh_pvt_s*(1-Ppv)</f>
        <v>45.53421850326361</v>
      </c>
      <c r="Z207" s="385">
        <f t="shared" ref="Z207:Z270" si="89">Wh_sa_s*(1-Psa_s)</f>
        <v>47.824989091472894</v>
      </c>
      <c r="AA207" s="386">
        <f t="shared" ref="AA207:AA270" si="90">Wh_hp*(1-Pvg_s*MEDIAN((-Sdif+Wh/Env_an)/Csdif,0,1))</f>
        <v>55.04603416892526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0.1311819313865995</v>
      </c>
      <c r="AD207" s="231">
        <f>(INDEX(Models!$BJ207:$BT207,,AH207)*(1-AF207)+INDEX(Models!$BJ207:$BT207,,AH207+1)*AF207-ERP_i)*AE207*Ramure*Pc/MaxiM</f>
        <v>7.3378993457535137E-3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0.39420063266552163</v>
      </c>
      <c r="AG207" s="92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1.3942006326655216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51.701390469841044</v>
      </c>
      <c r="C208" s="955"/>
      <c r="D208" s="393">
        <f t="shared" si="77"/>
        <v>54.303613291016269</v>
      </c>
      <c r="E208" s="385">
        <f t="shared" si="75"/>
        <v>55.337400165176099</v>
      </c>
      <c r="F208" s="385">
        <f t="shared" si="78"/>
        <v>55.732745857182572</v>
      </c>
      <c r="G208" s="110">
        <f t="shared" si="76"/>
        <v>0.98770139503617349</v>
      </c>
      <c r="H208" s="414" t="b">
        <f>Wh_hp&gt;='2023'!Maxi_hp</f>
        <v>0</v>
      </c>
      <c r="I208" s="390">
        <f>IF(H208,Wh_hp,'2023'!Maxi_hp)</f>
        <v>55.734625424690442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4.7919883474968006E-2</v>
      </c>
      <c r="M208" s="959"/>
      <c r="N208" s="959"/>
      <c r="O208" s="48">
        <f>IF(t&lt;Tnet,'2023'!Resal+('2023'!Salim-'2023'!Resal)*(1-EXP(('2023'!Tnet-t)/('2023'!Tau_j))),Resal+(Salim-Resal)*(1-EXP((Tnet-t)/(Tau_j))))*Salcycl</f>
        <v>1.8681522281026756E-2</v>
      </c>
      <c r="P208" s="169">
        <f>(INDEX(Models!$BJ208:$BT208,,T208)*(1-R208)+INDEX(Models!$BJ208:$BT208,,T208+1)*R208-ERP_i)*Q208*Ramure*Pc/MaxiM</f>
        <v>7.2191461158155768E-3</v>
      </c>
      <c r="Q208" s="305">
        <f t="shared" si="80"/>
        <v>0.7</v>
      </c>
      <c r="R208" s="177">
        <f t="shared" si="81"/>
        <v>0.39759424188286707</v>
      </c>
      <c r="S208" s="921">
        <f t="shared" si="82"/>
        <v>1</v>
      </c>
      <c r="T208" s="176">
        <f t="shared" si="83"/>
        <v>7</v>
      </c>
      <c r="U208" s="251">
        <f t="shared" si="84"/>
        <v>1.3975942418828671</v>
      </c>
      <c r="V208" s="383">
        <f t="shared" si="85"/>
        <v>52.338544160737449</v>
      </c>
      <c r="W208" s="402">
        <f t="shared" si="86"/>
        <v>51.701390469841044</v>
      </c>
      <c r="X208" s="157">
        <f t="shared" si="87"/>
        <v>45485</v>
      </c>
      <c r="Y208" s="385">
        <f t="shared" si="88"/>
        <v>45.771773370737954</v>
      </c>
      <c r="Z208" s="385">
        <f t="shared" si="89"/>
        <v>48.075548030347427</v>
      </c>
      <c r="AA208" s="386">
        <f t="shared" si="90"/>
        <v>55.337400165176099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0.1312286466865599</v>
      </c>
      <c r="AD208" s="231">
        <f>(INDEX(Models!$BJ208:$BT208,,AH208)*(1-AF208)+INDEX(Models!$BJ208:$BT208,,AH208+1)*AF208-ERP_i)*AE208*Ramure*Pc/MaxiM</f>
        <v>7.2191461158155768E-3</v>
      </c>
      <c r="AE208" s="305">
        <f t="shared" si="92"/>
        <v>0.7</v>
      </c>
      <c r="AF208" s="177">
        <f t="shared" si="93"/>
        <v>0.39759424188286707</v>
      </c>
      <c r="AG208" s="921">
        <f t="shared" ref="AG208:AG271" si="99">INDEX(Echel_vg,AH208)</f>
        <v>1</v>
      </c>
      <c r="AH208" s="176">
        <f t="shared" si="94"/>
        <v>7</v>
      </c>
      <c r="AI208" s="225">
        <f t="shared" si="95"/>
        <v>1.3975942418828671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50.901204112531033</v>
      </c>
      <c r="C209" s="955"/>
      <c r="D209" s="393">
        <f t="shared" si="77"/>
        <v>53.464323138835617</v>
      </c>
      <c r="E209" s="385">
        <f t="shared" si="75"/>
        <v>54.489790483723915</v>
      </c>
      <c r="F209" s="385">
        <f t="shared" si="78"/>
        <v>54.864919407334597</v>
      </c>
      <c r="G209" s="110">
        <f t="shared" si="76"/>
        <v>0.97414053714103244</v>
      </c>
      <c r="H209" s="414" t="b">
        <f>Wh_hp&gt;='2023'!Maxi_hp</f>
        <v>0</v>
      </c>
      <c r="I209" s="390">
        <f>IF(H209,Wh_hp,'2023'!Maxi_hp)</f>
        <v>56.367501147703905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4.7940736472969148E-2</v>
      </c>
      <c r="M209" s="959"/>
      <c r="N209" s="959"/>
      <c r="O209" s="48">
        <f>IF(t&lt;Tnet,'2023'!Resal+('2023'!Salim-'2023'!Resal)*(1-EXP(('2023'!Tnet-t)/('2023'!Tau_j))),Resal+(Salim-Resal)*(1-EXP((Tnet-t)/(Tau_j))))*Salcycl</f>
        <v>1.8819440041609306E-2</v>
      </c>
      <c r="P209" s="169">
        <f>(INDEX(Models!$BJ209:$BT209,,T209)*(1-R209)+INDEX(Models!$BJ209:$BT209,,T209+1)*R209-ERP_i)*Q209*Ramure*Pc/MaxiM</f>
        <v>7.0969110035368323E-3</v>
      </c>
      <c r="Q209" s="305">
        <f t="shared" si="80"/>
        <v>0.7</v>
      </c>
      <c r="R209" s="177">
        <f t="shared" si="81"/>
        <v>0.40090652768099999</v>
      </c>
      <c r="S209" s="921">
        <f t="shared" si="82"/>
        <v>1</v>
      </c>
      <c r="T209" s="176">
        <f t="shared" si="83"/>
        <v>7</v>
      </c>
      <c r="U209" s="251">
        <f t="shared" si="84"/>
        <v>1.400906527681</v>
      </c>
      <c r="V209" s="383">
        <f t="shared" si="85"/>
        <v>52.238765998766226</v>
      </c>
      <c r="W209" s="402">
        <f t="shared" si="86"/>
        <v>50.901204112531033</v>
      </c>
      <c r="X209" s="157">
        <f t="shared" si="87"/>
        <v>45486</v>
      </c>
      <c r="Y209" s="385">
        <f t="shared" si="88"/>
        <v>45.067338859759538</v>
      </c>
      <c r="Z209" s="385">
        <f t="shared" si="89"/>
        <v>47.336694874226161</v>
      </c>
      <c r="AA209" s="386">
        <f t="shared" si="90"/>
        <v>54.489790483723915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0.13127405236829423</v>
      </c>
      <c r="AD209" s="231">
        <f>(INDEX(Models!$BJ209:$BT209,,AH209)*(1-AF209)+INDEX(Models!$BJ209:$BT209,,AH209+1)*AF209-ERP_i)*AE209*Ramure*Pc/MaxiM</f>
        <v>7.0969110035368323E-3</v>
      </c>
      <c r="AE209" s="305">
        <f t="shared" si="92"/>
        <v>0.7</v>
      </c>
      <c r="AF209" s="177">
        <f t="shared" si="93"/>
        <v>0.40090652768099999</v>
      </c>
      <c r="AG209" s="921">
        <f t="shared" si="99"/>
        <v>1</v>
      </c>
      <c r="AH209" s="176">
        <f t="shared" si="94"/>
        <v>7</v>
      </c>
      <c r="AI209" s="225">
        <f t="shared" si="95"/>
        <v>1.400906527681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48.824006793034947</v>
      </c>
      <c r="C210" s="955"/>
      <c r="D210" s="393">
        <f t="shared" si="77"/>
        <v>51.283652245166635</v>
      </c>
      <c r="E210" s="385">
        <f t="shared" si="75"/>
        <v>52.274626640816365</v>
      </c>
      <c r="F210" s="385">
        <f t="shared" si="78"/>
        <v>52.608063872341603</v>
      </c>
      <c r="G210" s="110">
        <f t="shared" si="76"/>
        <v>0.93583560243916752</v>
      </c>
      <c r="H210" s="414" t="b">
        <f>Wh_hp&gt;='2023'!Maxi_hp</f>
        <v>0</v>
      </c>
      <c r="I210" s="390">
        <f>IF(H210,Wh_hp,'2023'!Maxi_hp)</f>
        <v>57.830639820469678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4.7961589014236083E-2</v>
      </c>
      <c r="M210" s="959"/>
      <c r="N210" s="959"/>
      <c r="O210" s="48">
        <f>IF(t&lt;Tnet,'2023'!Resal+('2023'!Salim-'2023'!Resal)*(1-EXP(('2023'!Tnet-t)/('2023'!Tau_j))),Resal+(Salim-Resal)*(1-EXP((Tnet-t)/(Tau_j))))*Salcycl</f>
        <v>1.8957082227651391E-2</v>
      </c>
      <c r="P210" s="169">
        <f>(INDEX(Models!$BJ210:$BT210,,T210)*(1-R210)+INDEX(Models!$BJ210:$BT210,,T210+1)*R210-ERP_i)*Q210*Ramure*Pc/MaxiM</f>
        <v>6.9712019701509073E-3</v>
      </c>
      <c r="Q210" s="305">
        <f t="shared" si="80"/>
        <v>0.7</v>
      </c>
      <c r="R210" s="177">
        <f t="shared" si="81"/>
        <v>0.40413768208615242</v>
      </c>
      <c r="S210" s="921">
        <f t="shared" si="82"/>
        <v>1</v>
      </c>
      <c r="T210" s="176">
        <f t="shared" si="83"/>
        <v>7</v>
      </c>
      <c r="U210" s="251">
        <f t="shared" si="84"/>
        <v>1.4041376820861524</v>
      </c>
      <c r="V210" s="383">
        <f t="shared" si="85"/>
        <v>52.138325205382458</v>
      </c>
      <c r="W210" s="402">
        <f t="shared" si="86"/>
        <v>48.824006793034947</v>
      </c>
      <c r="X210" s="157">
        <f t="shared" si="87"/>
        <v>45487</v>
      </c>
      <c r="Y210" s="385">
        <f t="shared" si="88"/>
        <v>43.232079482406064</v>
      </c>
      <c r="Z210" s="385">
        <f t="shared" si="89"/>
        <v>45.410016007276965</v>
      </c>
      <c r="AA210" s="386">
        <f t="shared" si="90"/>
        <v>52.274626640816365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0.13131821448877579</v>
      </c>
      <c r="AD210" s="231">
        <f>(INDEX(Models!$BJ210:$BT210,,AH210)*(1-AF210)+INDEX(Models!$BJ210:$BT210,,AH210+1)*AF210-ERP_i)*AE210*Ramure*Pc/MaxiM</f>
        <v>6.9712019701509073E-3</v>
      </c>
      <c r="AE210" s="305">
        <f t="shared" si="92"/>
        <v>0.7</v>
      </c>
      <c r="AF210" s="177">
        <f t="shared" si="93"/>
        <v>0.40413768208615242</v>
      </c>
      <c r="AG210" s="921">
        <f t="shared" si="99"/>
        <v>1</v>
      </c>
      <c r="AH210" s="176">
        <f t="shared" si="94"/>
        <v>7</v>
      </c>
      <c r="AI210" s="225">
        <f t="shared" si="95"/>
        <v>1.4041376820861524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50.677450112553736</v>
      </c>
      <c r="C211" s="955"/>
      <c r="D211" s="393">
        <f t="shared" si="77"/>
        <v>53.231633848270114</v>
      </c>
      <c r="E211" s="385">
        <f t="shared" si="75"/>
        <v>54.267848833704889</v>
      </c>
      <c r="F211" s="385">
        <f t="shared" si="78"/>
        <v>54.627658292210498</v>
      </c>
      <c r="G211" s="110">
        <f t="shared" si="76"/>
        <v>0.97361512513729453</v>
      </c>
      <c r="H211" s="414" t="b">
        <f>Wh_hp&gt;='2023'!Maxi_hp</f>
        <v>0</v>
      </c>
      <c r="I211" s="390">
        <f>IF(H211,Wh_hp,'2023'!Maxi_hp)</f>
        <v>57.203978991704709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4.7982441098778805E-2</v>
      </c>
      <c r="M211" s="959"/>
      <c r="N211" s="959"/>
      <c r="O211" s="48">
        <f>IF(t&lt;Tnet,'2023'!Resal+('2023'!Salim-'2023'!Resal)*(1-EXP(('2023'!Tnet-t)/('2023'!Tau_j))),Resal+(Salim-Resal)*(1-EXP((Tnet-t)/(Tau_j))))*Salcycl</f>
        <v>1.9094454777636178E-2</v>
      </c>
      <c r="P211" s="169">
        <f>(INDEX(Models!$BJ211:$BT211,,T211)*(1-R211)+INDEX(Models!$BJ211:$BT211,,T211+1)*R211-ERP_i)*Q211*Ramure*Pc/MaxiM</f>
        <v>6.8420269442277691E-3</v>
      </c>
      <c r="Q211" s="305">
        <f t="shared" si="80"/>
        <v>0.7</v>
      </c>
      <c r="R211" s="177">
        <f t="shared" si="81"/>
        <v>0.40728802144749388</v>
      </c>
      <c r="S211" s="921">
        <f t="shared" si="82"/>
        <v>1</v>
      </c>
      <c r="T211" s="176">
        <f t="shared" si="83"/>
        <v>7</v>
      </c>
      <c r="U211" s="251">
        <f t="shared" si="84"/>
        <v>1.4072880214474939</v>
      </c>
      <c r="V211" s="383">
        <f t="shared" si="85"/>
        <v>52.037419704441113</v>
      </c>
      <c r="W211" s="402">
        <f t="shared" si="86"/>
        <v>50.677450112553736</v>
      </c>
      <c r="X211" s="157">
        <f t="shared" si="87"/>
        <v>45488</v>
      </c>
      <c r="Y211" s="385">
        <f t="shared" si="88"/>
        <v>44.877307242675293</v>
      </c>
      <c r="Z211" s="385">
        <f t="shared" si="89"/>
        <v>47.139159171045968</v>
      </c>
      <c r="AA211" s="386">
        <f t="shared" si="90"/>
        <v>54.267848833704889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0.13136119849717362</v>
      </c>
      <c r="AD211" s="231">
        <f>(INDEX(Models!$BJ211:$BT211,,AH211)*(1-AF211)+INDEX(Models!$BJ211:$BT211,,AH211+1)*AF211-ERP_i)*AE211*Ramure*Pc/MaxiM</f>
        <v>6.8420269442277691E-3</v>
      </c>
      <c r="AE211" s="305">
        <f t="shared" si="92"/>
        <v>0.7</v>
      </c>
      <c r="AF211" s="177">
        <f t="shared" si="93"/>
        <v>0.40728802144749388</v>
      </c>
      <c r="AG211" s="921">
        <f t="shared" si="99"/>
        <v>1</v>
      </c>
      <c r="AH211" s="176">
        <f t="shared" si="94"/>
        <v>7</v>
      </c>
      <c r="AI211" s="225">
        <f t="shared" si="95"/>
        <v>1.4072880214474939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50.653668277722311</v>
      </c>
      <c r="C212" s="955"/>
      <c r="D212" s="393">
        <f t="shared" si="77"/>
        <v>53.207818777860211</v>
      </c>
      <c r="E212" s="385">
        <f t="shared" si="75"/>
        <v>54.251153291580607</v>
      </c>
      <c r="F212" s="385">
        <f t="shared" si="78"/>
        <v>54.604567566164924</v>
      </c>
      <c r="G212" s="110">
        <f t="shared" si="76"/>
        <v>0.97507194393321794</v>
      </c>
      <c r="H212" s="414" t="b">
        <f>Wh_hp&gt;='2023'!Maxi_hp</f>
        <v>0</v>
      </c>
      <c r="I212" s="390">
        <f>IF(H212,Wh_hp,'2023'!Maxi_hp)</f>
        <v>57.205914857920881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4.8003292726607416E-2</v>
      </c>
      <c r="M212" s="959"/>
      <c r="N212" s="959"/>
      <c r="O212" s="48">
        <f>IF(t&lt;Tnet,'2023'!Resal+('2023'!Salim-'2023'!Resal)*(1-EXP(('2023'!Tnet-t)/('2023'!Tau_j))),Resal+(Salim-Resal)*(1-EXP((Tnet-t)/(Tau_j))))*Salcycl</f>
        <v>1.9231563762577446E-2</v>
      </c>
      <c r="P212" s="169">
        <f>(INDEX(Models!$BJ212:$BT212,,T212)*(1-R212)+INDEX(Models!$BJ212:$BT212,,T212+1)*R212-ERP_i)*Q212*Ramure*Pc/MaxiM</f>
        <v>6.7089359465411684E-3</v>
      </c>
      <c r="Q212" s="305">
        <f t="shared" si="80"/>
        <v>0.7</v>
      </c>
      <c r="R212" s="177">
        <f t="shared" si="81"/>
        <v>0.41035797951407016</v>
      </c>
      <c r="S212" s="921">
        <f t="shared" si="82"/>
        <v>1</v>
      </c>
      <c r="T212" s="176">
        <f t="shared" si="83"/>
        <v>7</v>
      </c>
      <c r="U212" s="251">
        <f t="shared" si="84"/>
        <v>1.4103579795140702</v>
      </c>
      <c r="V212" s="383">
        <f t="shared" si="85"/>
        <v>51.936271319609936</v>
      </c>
      <c r="W212" s="402">
        <f t="shared" si="86"/>
        <v>50.653668277722311</v>
      </c>
      <c r="X212" s="157">
        <f t="shared" si="87"/>
        <v>45489</v>
      </c>
      <c r="Y212" s="385">
        <f t="shared" si="88"/>
        <v>44.86035560447791</v>
      </c>
      <c r="Z212" s="385">
        <f t="shared" si="89"/>
        <v>47.122385257993336</v>
      </c>
      <c r="AA212" s="386">
        <f t="shared" si="90"/>
        <v>54.251153291580607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0.13140306889464048</v>
      </c>
      <c r="AD212" s="231">
        <f>(INDEX(Models!$BJ212:$BT212,,AH212)*(1-AF212)+INDEX(Models!$BJ212:$BT212,,AH212+1)*AF212-ERP_i)*AE212*Ramure*Pc/MaxiM</f>
        <v>6.7089359465411684E-3</v>
      </c>
      <c r="AE212" s="305">
        <f t="shared" si="92"/>
        <v>0.7</v>
      </c>
      <c r="AF212" s="177">
        <f t="shared" si="93"/>
        <v>0.41035797951407016</v>
      </c>
      <c r="AG212" s="921">
        <f t="shared" si="99"/>
        <v>1</v>
      </c>
      <c r="AH212" s="176">
        <f t="shared" si="94"/>
        <v>7</v>
      </c>
      <c r="AI212" s="225">
        <f t="shared" si="95"/>
        <v>1.4103579795140702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51.449418198111566</v>
      </c>
      <c r="C213" s="955"/>
      <c r="D213" s="393">
        <f t="shared" si="77"/>
        <v>54.0448771555657</v>
      </c>
      <c r="E213" s="385">
        <f t="shared" si="75"/>
        <v>55.11231536960193</v>
      </c>
      <c r="F213" s="385">
        <f t="shared" si="78"/>
        <v>55.473141554278513</v>
      </c>
      <c r="G213" s="110">
        <f t="shared" si="76"/>
        <v>0.99249252022155543</v>
      </c>
      <c r="H213" s="414" t="b">
        <f>Wh_hp&gt;='2023'!Maxi_hp</f>
        <v>0</v>
      </c>
      <c r="I213" s="390">
        <f>IF(H213,Wh_hp,'2023'!Maxi_hp)</f>
        <v>55.474211028817379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4.8024143897731908E-2</v>
      </c>
      <c r="M213" s="959"/>
      <c r="N213" s="959"/>
      <c r="O213" s="48">
        <f>IF(t&lt;Tnet,'2023'!Resal+('2023'!Salim-'2023'!Resal)*(1-EXP(('2023'!Tnet-t)/('2023'!Tau_j))),Resal+(Salim-Resal)*(1-EXP((Tnet-t)/(Tau_j))))*Salcycl</f>
        <v>1.9368415332900218E-2</v>
      </c>
      <c r="P213" s="169">
        <f>(INDEX(Models!$BJ213:$BT213,,T213)*(1-R213)+INDEX(Models!$BJ213:$BT213,,T213+1)*R213-ERP_i)*Q213*Ramure*Pc/MaxiM</f>
        <v>6.5743749951415256E-3</v>
      </c>
      <c r="Q213" s="305">
        <f t="shared" si="80"/>
        <v>0.7</v>
      </c>
      <c r="R213" s="177">
        <f t="shared" si="81"/>
        <v>0.41334810043036052</v>
      </c>
      <c r="S213" s="921">
        <f t="shared" si="82"/>
        <v>1</v>
      </c>
      <c r="T213" s="176">
        <f t="shared" si="83"/>
        <v>7</v>
      </c>
      <c r="U213" s="251">
        <f t="shared" si="84"/>
        <v>1.4133481004303605</v>
      </c>
      <c r="V213" s="383">
        <f t="shared" si="85"/>
        <v>51.834950536175569</v>
      </c>
      <c r="W213" s="402">
        <f t="shared" si="86"/>
        <v>51.449418198111566</v>
      </c>
      <c r="X213" s="157">
        <f t="shared" si="87"/>
        <v>45490</v>
      </c>
      <c r="Y213" s="385">
        <f t="shared" si="88"/>
        <v>45.569311948119569</v>
      </c>
      <c r="Z213" s="385">
        <f t="shared" si="89"/>
        <v>47.868138310457518</v>
      </c>
      <c r="AA213" s="386">
        <f t="shared" si="90"/>
        <v>55.11231536960193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0.13144388891235101</v>
      </c>
      <c r="AD213" s="231">
        <f>(INDEX(Models!$BJ213:$BT213,,AH213)*(1-AF213)+INDEX(Models!$BJ213:$BT213,,AH213+1)*AF213-ERP_i)*AE213*Ramure*Pc/MaxiM</f>
        <v>6.5743749951415256E-3</v>
      </c>
      <c r="AE213" s="305">
        <f t="shared" si="92"/>
        <v>0.7</v>
      </c>
      <c r="AF213" s="177">
        <f t="shared" si="93"/>
        <v>0.41334810043036052</v>
      </c>
      <c r="AG213" s="921">
        <f t="shared" si="99"/>
        <v>1</v>
      </c>
      <c r="AH213" s="176">
        <f t="shared" si="94"/>
        <v>7</v>
      </c>
      <c r="AI213" s="225">
        <f t="shared" si="95"/>
        <v>1.4133481004303605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35.146883374346075</v>
      </c>
      <c r="C214" s="955"/>
      <c r="D214" s="393">
        <f t="shared" si="77"/>
        <v>36.920740135219745</v>
      </c>
      <c r="E214" s="385">
        <f t="shared" si="75"/>
        <v>37.655205508586853</v>
      </c>
      <c r="F214" s="385">
        <f t="shared" si="78"/>
        <v>37.787060565670814</v>
      </c>
      <c r="G214" s="110">
        <f t="shared" si="76"/>
        <v>0.67737093456089814</v>
      </c>
      <c r="H214" s="414" t="b">
        <f>Wh_hp&gt;='2023'!Maxi_hp</f>
        <v>0</v>
      </c>
      <c r="I214" s="390">
        <f>IF(H214,Wh_hp,'2023'!Maxi_hp)</f>
        <v>57.76277955645417</v>
      </c>
      <c r="J214" s="85">
        <f>IF(H214,An,'2023'!An_max)</f>
        <v>2021</v>
      </c>
      <c r="K214" s="197">
        <f t="shared" si="79"/>
        <v>45491</v>
      </c>
      <c r="L214" s="147">
        <f>IF(t&lt;Tvie,1-EXP((T0-t)*PertePVj)+'2023'!Pspv,1-EXP((T0-t)*PertePVj)+Pspv)</f>
        <v>4.8044994612162162E-2</v>
      </c>
      <c r="M214" s="959"/>
      <c r="N214" s="959"/>
      <c r="O214" s="48">
        <f>IF(t&lt;Tnet,'2023'!Resal+('2023'!Salim-'2023'!Resal)*(1-EXP(('2023'!Tnet-t)/('2023'!Tau_j))),Resal+(Salim-Resal)*(1-EXP((Tnet-t)/(Tau_j))))*Salcycl</f>
        <v>1.950501566641627E-2</v>
      </c>
      <c r="P214" s="169">
        <f>(INDEX(Models!$BJ214:$BT214,,T214)*(1-R214)+INDEX(Models!$BJ214:$BT214,,T214+1)*R214-ERP_i)*Q214*Ramure*Pc/MaxiM</f>
        <v>6.4383662591118848E-3</v>
      </c>
      <c r="Q214" s="305">
        <f t="shared" si="80"/>
        <v>0.7</v>
      </c>
      <c r="R214" s="177">
        <f t="shared" si="81"/>
        <v>0.41625903169592426</v>
      </c>
      <c r="S214" s="921">
        <f t="shared" si="82"/>
        <v>1</v>
      </c>
      <c r="T214" s="176">
        <f t="shared" si="83"/>
        <v>7</v>
      </c>
      <c r="U214" s="251">
        <f t="shared" si="84"/>
        <v>1.4162590316959243</v>
      </c>
      <c r="V214" s="383">
        <f t="shared" si="85"/>
        <v>51.733655088197139</v>
      </c>
      <c r="W214" s="402">
        <f t="shared" si="86"/>
        <v>35.146883374346075</v>
      </c>
      <c r="X214" s="157">
        <f t="shared" si="87"/>
        <v>45491</v>
      </c>
      <c r="Y214" s="385">
        <f t="shared" si="88"/>
        <v>31.132887859959588</v>
      </c>
      <c r="Z214" s="385">
        <f t="shared" si="89"/>
        <v>32.704159003056745</v>
      </c>
      <c r="AA214" s="386">
        <f t="shared" si="90"/>
        <v>37.655205508586853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0.1314837202097085</v>
      </c>
      <c r="AD214" s="231">
        <f>(INDEX(Models!$BJ214:$BT214,,AH214)*(1-AF214)+INDEX(Models!$BJ214:$BT214,,AH214+1)*AF214-ERP_i)*AE214*Ramure*Pc/MaxiM</f>
        <v>6.4383662591118848E-3</v>
      </c>
      <c r="AE214" s="305">
        <f t="shared" si="92"/>
        <v>0.7</v>
      </c>
      <c r="AF214" s="177">
        <f t="shared" si="93"/>
        <v>0.41625903169592426</v>
      </c>
      <c r="AG214" s="921">
        <f t="shared" si="99"/>
        <v>1</v>
      </c>
      <c r="AH214" s="176">
        <f t="shared" si="94"/>
        <v>7</v>
      </c>
      <c r="AI214" s="225">
        <f t="shared" si="95"/>
        <v>1.4162590316959243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40.012595847665033</v>
      </c>
      <c r="C215" s="955"/>
      <c r="D215" s="393">
        <f t="shared" si="77"/>
        <v>42.032944854465164</v>
      </c>
      <c r="E215" s="385">
        <f t="shared" si="75"/>
        <v>42.875070007611228</v>
      </c>
      <c r="F215" s="385">
        <f t="shared" si="78"/>
        <v>43.059155160854274</v>
      </c>
      <c r="G215" s="110">
        <f t="shared" si="76"/>
        <v>0.77337196199488323</v>
      </c>
      <c r="H215" s="414" t="b">
        <f>Wh_hp&gt;='2023'!Maxi_hp</f>
        <v>0</v>
      </c>
      <c r="I215" s="390">
        <f>IF(H215,Wh_hp,'2023'!Maxi_hp)</f>
        <v>55.682250887635263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4.8065844869908281E-2</v>
      </c>
      <c r="M215" s="959"/>
      <c r="N215" s="959"/>
      <c r="O215" s="48">
        <f>IF(t&lt;Tnet,'2023'!Resal+('2023'!Salim-'2023'!Resal)*(1-EXP(('2023'!Tnet-t)/('2023'!Tau_j))),Resal+(Salim-Resal)*(1-EXP((Tnet-t)/(Tau_j))))*Salcycl</f>
        <v>1.9641370917798405E-2</v>
      </c>
      <c r="P215" s="169">
        <f>(INDEX(Models!$BJ215:$BT215,,T215)*(1-R215)+INDEX(Models!$BJ215:$BT215,,T215+1)*R215-ERP_i)*Q215*Ramure*Pc/MaxiM</f>
        <v>6.3009309474005284E-3</v>
      </c>
      <c r="Q215" s="305">
        <f t="shared" si="80"/>
        <v>0.7</v>
      </c>
      <c r="R215" s="177">
        <f t="shared" si="81"/>
        <v>0.41909151713135939</v>
      </c>
      <c r="S215" s="921">
        <f t="shared" si="82"/>
        <v>1</v>
      </c>
      <c r="T215" s="176">
        <f t="shared" si="83"/>
        <v>7</v>
      </c>
      <c r="U215" s="251">
        <f t="shared" si="84"/>
        <v>1.4190915171313594</v>
      </c>
      <c r="V215" s="383">
        <f t="shared" si="85"/>
        <v>51.63258275285915</v>
      </c>
      <c r="W215" s="402">
        <f t="shared" si="86"/>
        <v>40.012595847665033</v>
      </c>
      <c r="X215" s="157">
        <f t="shared" si="87"/>
        <v>45492</v>
      </c>
      <c r="Y215" s="385">
        <f t="shared" si="88"/>
        <v>35.446247193745734</v>
      </c>
      <c r="Z215" s="385">
        <f t="shared" si="89"/>
        <v>37.23602835629071</v>
      </c>
      <c r="AA215" s="386">
        <f t="shared" si="90"/>
        <v>42.875070007611228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0.13152262259442304</v>
      </c>
      <c r="AD215" s="231">
        <f>(INDEX(Models!$BJ215:$BT215,,AH215)*(1-AF215)+INDEX(Models!$BJ215:$BT215,,AH215+1)*AF215-ERP_i)*AE215*Ramure*Pc/MaxiM</f>
        <v>6.3009309474005284E-3</v>
      </c>
      <c r="AE215" s="305">
        <f t="shared" si="92"/>
        <v>0.7</v>
      </c>
      <c r="AF215" s="177">
        <f t="shared" si="93"/>
        <v>0.41909151713135939</v>
      </c>
      <c r="AG215" s="921">
        <f t="shared" si="99"/>
        <v>1</v>
      </c>
      <c r="AH215" s="176">
        <f t="shared" si="94"/>
        <v>7</v>
      </c>
      <c r="AI215" s="225">
        <f t="shared" si="95"/>
        <v>1.4190915171313594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49.942084896750288</v>
      </c>
      <c r="C216" s="955"/>
      <c r="D216" s="393">
        <f t="shared" si="77"/>
        <v>52.464950975223822</v>
      </c>
      <c r="E216" s="385">
        <f t="shared" si="75"/>
        <v>53.523511537955606</v>
      </c>
      <c r="F216" s="385">
        <f t="shared" si="78"/>
        <v>53.840660079004202</v>
      </c>
      <c r="G216" s="110">
        <f t="shared" si="76"/>
        <v>0.96888355628380196</v>
      </c>
      <c r="H216" s="414" t="b">
        <f>Wh_hp&gt;='2023'!Maxi_hp</f>
        <v>0</v>
      </c>
      <c r="I216" s="390">
        <f>IF(H216,Wh_hp,'2023'!Maxi_hp)</f>
        <v>53.844768353025124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4.8086694670980257E-2</v>
      </c>
      <c r="M216" s="959"/>
      <c r="N216" s="959"/>
      <c r="O216" s="48">
        <f>IF(t&lt;Tnet,'2023'!Resal+('2023'!Salim-'2023'!Resal)*(1-EXP(('2023'!Tnet-t)/('2023'!Tau_j))),Resal+(Salim-Resal)*(1-EXP((Tnet-t)/(Tau_j))))*Salcycl</f>
        <v>1.9777487169935014E-2</v>
      </c>
      <c r="P216" s="169">
        <f>(INDEX(Models!$BJ216:$BT216,,T216)*(1-R216)+INDEX(Models!$BJ216:$BT216,,T216+1)*R216-ERP_i)*Q216*Ramure*Pc/MaxiM</f>
        <v>6.1620893013880438E-3</v>
      </c>
      <c r="Q216" s="305">
        <f t="shared" si="80"/>
        <v>0.7</v>
      </c>
      <c r="R216" s="177">
        <f t="shared" si="81"/>
        <v>0.42184638988941936</v>
      </c>
      <c r="S216" s="921">
        <f t="shared" si="82"/>
        <v>1</v>
      </c>
      <c r="T216" s="176">
        <f t="shared" si="83"/>
        <v>7</v>
      </c>
      <c r="U216" s="251">
        <f t="shared" si="84"/>
        <v>1.4218463898894194</v>
      </c>
      <c r="V216" s="383">
        <f t="shared" si="85"/>
        <v>51.531931355741271</v>
      </c>
      <c r="W216" s="402">
        <f t="shared" si="86"/>
        <v>49.942084896750288</v>
      </c>
      <c r="X216" s="157">
        <f t="shared" si="87"/>
        <v>45493</v>
      </c>
      <c r="Y216" s="385">
        <f t="shared" si="88"/>
        <v>44.24676131144853</v>
      </c>
      <c r="Z216" s="385">
        <f t="shared" si="89"/>
        <v>46.48192336817381</v>
      </c>
      <c r="AA216" s="386">
        <f t="shared" si="90"/>
        <v>53.523511537955606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0.13156065376593104</v>
      </c>
      <c r="AD216" s="231">
        <f>(INDEX(Models!$BJ216:$BT216,,AH216)*(1-AF216)+INDEX(Models!$BJ216:$BT216,,AH216+1)*AF216-ERP_i)*AE216*Ramure*Pc/MaxiM</f>
        <v>6.1620893013880438E-3</v>
      </c>
      <c r="AE216" s="305">
        <f t="shared" si="92"/>
        <v>0.7</v>
      </c>
      <c r="AF216" s="177">
        <f t="shared" si="93"/>
        <v>0.42184638988941936</v>
      </c>
      <c r="AG216" s="921">
        <f t="shared" si="99"/>
        <v>1</v>
      </c>
      <c r="AH216" s="176">
        <f t="shared" si="94"/>
        <v>7</v>
      </c>
      <c r="AI216" s="225">
        <f t="shared" si="95"/>
        <v>1.4218463898894194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38.12060266225911</v>
      </c>
      <c r="C217" s="955"/>
      <c r="D217" s="393">
        <f t="shared" si="77"/>
        <v>40.047173840481989</v>
      </c>
      <c r="E217" s="385">
        <f t="shared" si="75"/>
        <v>40.860851102842219</v>
      </c>
      <c r="F217" s="385">
        <f t="shared" si="78"/>
        <v>41.016524076802632</v>
      </c>
      <c r="G217" s="110">
        <f t="shared" si="76"/>
        <v>0.73952945792690183</v>
      </c>
      <c r="H217" s="414" t="b">
        <f>Wh_hp&gt;='2023'!Maxi_hp</f>
        <v>0</v>
      </c>
      <c r="I217" s="390">
        <f>IF(H217,Wh_hp,'2023'!Maxi_hp)</f>
        <v>54.507643131176636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4.8107544015387971E-2</v>
      </c>
      <c r="M217" s="959"/>
      <c r="N217" s="959"/>
      <c r="O217" s="48">
        <f>IF(t&lt;Tnet,'2023'!Resal+('2023'!Salim-'2023'!Resal)*(1-EXP(('2023'!Tnet-t)/('2023'!Tau_j))),Resal+(Salim-Resal)*(1-EXP((Tnet-t)/(Tau_j))))*Salcycl</f>
        <v>1.9913370387520578E-2</v>
      </c>
      <c r="P217" s="169">
        <f>(INDEX(Models!$BJ217:$BT217,,T217)*(1-R217)+INDEX(Models!$BJ217:$BT217,,T217+1)*R217-ERP_i)*Q217*Ramure*Pc/MaxiM</f>
        <v>6.0218606123475793E-3</v>
      </c>
      <c r="Q217" s="305">
        <f t="shared" si="80"/>
        <v>0.7</v>
      </c>
      <c r="R217" s="177">
        <f t="shared" si="81"/>
        <v>0.42452456554669848</v>
      </c>
      <c r="S217" s="921">
        <f t="shared" si="82"/>
        <v>1</v>
      </c>
      <c r="T217" s="176">
        <f t="shared" si="83"/>
        <v>7</v>
      </c>
      <c r="U217" s="251">
        <f t="shared" si="84"/>
        <v>1.4245245655466985</v>
      </c>
      <c r="V217" s="383">
        <f t="shared" si="85"/>
        <v>51.431898774957425</v>
      </c>
      <c r="W217" s="402">
        <f t="shared" si="86"/>
        <v>38.12060266225911</v>
      </c>
      <c r="X217" s="157">
        <f t="shared" si="87"/>
        <v>45494</v>
      </c>
      <c r="Y217" s="385">
        <f t="shared" si="88"/>
        <v>33.776618906453741</v>
      </c>
      <c r="Z217" s="385">
        <f t="shared" si="89"/>
        <v>35.483650168774702</v>
      </c>
      <c r="AA217" s="386">
        <f t="shared" si="90"/>
        <v>40.860851102842219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0.13159786908338494</v>
      </c>
      <c r="AD217" s="231">
        <f>(INDEX(Models!$BJ217:$BT217,,AH217)*(1-AF217)+INDEX(Models!$BJ217:$BT217,,AH217+1)*AF217-ERP_i)*AE217*Ramure*Pc/MaxiM</f>
        <v>6.0218606123475793E-3</v>
      </c>
      <c r="AE217" s="305">
        <f t="shared" si="92"/>
        <v>0.7</v>
      </c>
      <c r="AF217" s="177">
        <f t="shared" si="93"/>
        <v>0.42452456554669848</v>
      </c>
      <c r="AG217" s="921">
        <f t="shared" si="99"/>
        <v>1</v>
      </c>
      <c r="AH217" s="176">
        <f t="shared" si="94"/>
        <v>7</v>
      </c>
      <c r="AI217" s="225">
        <f t="shared" si="95"/>
        <v>1.4245245655466985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42.533359352263943</v>
      </c>
      <c r="C218" s="955"/>
      <c r="D218" s="393">
        <f t="shared" si="77"/>
        <v>44.683924843590731</v>
      </c>
      <c r="E218" s="385">
        <f t="shared" si="75"/>
        <v>45.598122810384957</v>
      </c>
      <c r="F218" s="385">
        <f t="shared" si="78"/>
        <v>45.801494786290391</v>
      </c>
      <c r="G218" s="110">
        <f t="shared" si="76"/>
        <v>0.82738397648518547</v>
      </c>
      <c r="H218" s="414" t="b">
        <f>Wh_hp&gt;='2023'!Maxi_hp</f>
        <v>0</v>
      </c>
      <c r="I218" s="390">
        <f>IF(H218,Wh_hp,'2023'!Maxi_hp)</f>
        <v>56.297408043792899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4.8128392903141637E-2</v>
      </c>
      <c r="M218" s="959"/>
      <c r="N218" s="959"/>
      <c r="O218" s="48">
        <f>IF(t&lt;Tnet,'2023'!Resal+('2023'!Salim-'2023'!Resal)*(1-EXP(('2023'!Tnet-t)/('2023'!Tau_j))),Resal+(Salim-Resal)*(1-EXP((Tnet-t)/(Tau_j))))*Salcycl</f>
        <v>2.0049026373208878E-2</v>
      </c>
      <c r="P218" s="169">
        <f>(INDEX(Models!$BJ218:$BT218,,T218)*(1-R218)+INDEX(Models!$BJ218:$BT218,,T218+1)*R218-ERP_i)*Q218*Ramure*Pc/MaxiM</f>
        <v>5.8802632632288894E-3</v>
      </c>
      <c r="Q218" s="305">
        <f t="shared" si="80"/>
        <v>0.7</v>
      </c>
      <c r="R218" s="177">
        <f t="shared" si="81"/>
        <v>0.42712703530783069</v>
      </c>
      <c r="S218" s="921">
        <f t="shared" si="82"/>
        <v>1</v>
      </c>
      <c r="T218" s="176">
        <f t="shared" si="83"/>
        <v>7</v>
      </c>
      <c r="U218" s="251">
        <f t="shared" si="84"/>
        <v>1.4271270353078307</v>
      </c>
      <c r="V218" s="383">
        <f t="shared" si="85"/>
        <v>51.332682943928688</v>
      </c>
      <c r="W218" s="402">
        <f t="shared" si="86"/>
        <v>42.533359352263943</v>
      </c>
      <c r="X218" s="157">
        <f t="shared" si="87"/>
        <v>45495</v>
      </c>
      <c r="Y218" s="385">
        <f t="shared" si="88"/>
        <v>37.69016048028174</v>
      </c>
      <c r="Z218" s="385">
        <f t="shared" si="89"/>
        <v>39.595844858986901</v>
      </c>
      <c r="AA218" s="386">
        <f t="shared" si="90"/>
        <v>45.598122810384957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0.13163432135919059</v>
      </c>
      <c r="AD218" s="231">
        <f>(INDEX(Models!$BJ218:$BT218,,AH218)*(1-AF218)+INDEX(Models!$BJ218:$BT218,,AH218+1)*AF218-ERP_i)*AE218*Ramure*Pc/MaxiM</f>
        <v>5.8802632632288894E-3</v>
      </c>
      <c r="AE218" s="305">
        <f t="shared" si="92"/>
        <v>0.7</v>
      </c>
      <c r="AF218" s="177">
        <f t="shared" si="93"/>
        <v>0.42712703530783069</v>
      </c>
      <c r="AG218" s="921">
        <f t="shared" si="99"/>
        <v>1</v>
      </c>
      <c r="AH218" s="176">
        <f t="shared" si="94"/>
        <v>7</v>
      </c>
      <c r="AI218" s="225">
        <f t="shared" si="95"/>
        <v>1.4271270353078307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50.361912232665517</v>
      </c>
      <c r="C219" s="955"/>
      <c r="D219" s="393">
        <f t="shared" si="77"/>
        <v>52.909462722139367</v>
      </c>
      <c r="E219" s="385">
        <f t="shared" si="75"/>
        <v>53.999411727411989</v>
      </c>
      <c r="F219" s="385">
        <f t="shared" si="78"/>
        <v>54.303390882097794</v>
      </c>
      <c r="G219" s="110">
        <f t="shared" si="76"/>
        <v>0.98283660463231071</v>
      </c>
      <c r="H219" s="414" t="b">
        <f>Wh_hp&gt;='2023'!Maxi_hp</f>
        <v>0</v>
      </c>
      <c r="I219" s="390">
        <f>IF(H219,Wh_hp,'2023'!Maxi_hp)</f>
        <v>54.305562115577402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4.8149241334251136E-2</v>
      </c>
      <c r="M219" s="959"/>
      <c r="N219" s="959"/>
      <c r="O219" s="48">
        <f>IF(t&lt;Tnet,'2023'!Resal+('2023'!Salim-'2023'!Resal)*(1-EXP(('2023'!Tnet-t)/('2023'!Tau_j))),Resal+(Salim-Resal)*(1-EXP((Tnet-t)/(Tau_j))))*Salcycl</f>
        <v>2.0184460726621743E-2</v>
      </c>
      <c r="P219" s="169">
        <f>(INDEX(Models!$BJ219:$BT219,,T219)*(1-R219)+INDEX(Models!$BJ219:$BT219,,T219+1)*R219-ERP_i)*Q219*Ramure*Pc/MaxiM</f>
        <v>5.7373372122546716E-3</v>
      </c>
      <c r="Q219" s="305">
        <f t="shared" si="80"/>
        <v>0.7</v>
      </c>
      <c r="R219" s="177">
        <f t="shared" si="81"/>
        <v>0.42965485935070791</v>
      </c>
      <c r="S219" s="921">
        <f t="shared" si="82"/>
        <v>1</v>
      </c>
      <c r="T219" s="176">
        <f t="shared" si="83"/>
        <v>7</v>
      </c>
      <c r="U219" s="251">
        <f t="shared" si="84"/>
        <v>1.4296548593507079</v>
      </c>
      <c r="V219" s="383">
        <f t="shared" si="85"/>
        <v>51.234197763140827</v>
      </c>
      <c r="W219" s="402">
        <f t="shared" si="86"/>
        <v>50.361912232665517</v>
      </c>
      <c r="X219" s="157">
        <f t="shared" si="87"/>
        <v>45496</v>
      </c>
      <c r="Y219" s="385">
        <f t="shared" si="88"/>
        <v>44.631621402452751</v>
      </c>
      <c r="Z219" s="385">
        <f t="shared" si="89"/>
        <v>46.889305908643557</v>
      </c>
      <c r="AA219" s="386">
        <f t="shared" si="90"/>
        <v>53.999411727411989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0.13167006067881093</v>
      </c>
      <c r="AD219" s="231">
        <f>(INDEX(Models!$BJ219:$BT219,,AH219)*(1-AF219)+INDEX(Models!$BJ219:$BT219,,AH219+1)*AF219-ERP_i)*AE219*Ramure*Pc/MaxiM</f>
        <v>5.7373372122546716E-3</v>
      </c>
      <c r="AE219" s="305">
        <f t="shared" si="92"/>
        <v>0.7</v>
      </c>
      <c r="AF219" s="177">
        <f t="shared" si="93"/>
        <v>0.42965485935070791</v>
      </c>
      <c r="AG219" s="921">
        <f t="shared" si="99"/>
        <v>1</v>
      </c>
      <c r="AH219" s="176">
        <f t="shared" si="94"/>
        <v>7</v>
      </c>
      <c r="AI219" s="225">
        <f t="shared" si="95"/>
        <v>1.4296548593507079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25.889030942213562</v>
      </c>
      <c r="C220" s="955"/>
      <c r="D220" s="393">
        <f t="shared" si="77"/>
        <v>27.199219788555986</v>
      </c>
      <c r="E220" s="385">
        <f t="shared" si="75"/>
        <v>27.763362395010262</v>
      </c>
      <c r="F220" s="385">
        <f t="shared" si="78"/>
        <v>27.809198738348901</v>
      </c>
      <c r="G220" s="110">
        <f t="shared" si="76"/>
        <v>0.50427592783272757</v>
      </c>
      <c r="H220" s="414" t="b">
        <f>Wh_hp&gt;='2023'!Maxi_hp</f>
        <v>0</v>
      </c>
      <c r="I220" s="390">
        <f>IF(H220,Wh_hp,'2023'!Maxi_hp)</f>
        <v>54.530894378058939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4.8170089308726571E-2</v>
      </c>
      <c r="M220" s="959"/>
      <c r="N220" s="959"/>
      <c r="O220" s="48">
        <f>IF(t&lt;Tnet,'2023'!Resal+('2023'!Salim-'2023'!Resal)*(1-EXP(('2023'!Tnet-t)/('2023'!Tau_j))),Resal+(Salim-Resal)*(1-EXP((Tnet-t)/(Tau_j))))*Salcycl</f>
        <v>2.0319678806471436E-2</v>
      </c>
      <c r="P220" s="169">
        <f>(INDEX(Models!$BJ220:$BT220,,T220)*(1-R220)+INDEX(Models!$BJ220:$BT220,,T220+1)*R220-ERP_i)*Q220*Ramure*Pc/MaxiM</f>
        <v>5.5933207073030006E-3</v>
      </c>
      <c r="Q220" s="305">
        <f t="shared" si="80"/>
        <v>0.7</v>
      </c>
      <c r="R220" s="177">
        <f t="shared" si="81"/>
        <v>0.43210916033784286</v>
      </c>
      <c r="S220" s="921">
        <f t="shared" si="82"/>
        <v>1</v>
      </c>
      <c r="T220" s="176">
        <f t="shared" si="83"/>
        <v>7</v>
      </c>
      <c r="U220" s="251">
        <f t="shared" si="84"/>
        <v>1.4321091603378429</v>
      </c>
      <c r="V220" s="383">
        <f t="shared" si="85"/>
        <v>51.136147264758939</v>
      </c>
      <c r="W220" s="402">
        <f t="shared" si="86"/>
        <v>25.889030942213562</v>
      </c>
      <c r="X220" s="157">
        <f t="shared" si="87"/>
        <v>45497</v>
      </c>
      <c r="Y220" s="385">
        <f t="shared" si="88"/>
        <v>22.945559036085132</v>
      </c>
      <c r="Z220" s="385">
        <f t="shared" si="89"/>
        <v>24.106785023619139</v>
      </c>
      <c r="AA220" s="386">
        <f t="shared" si="90"/>
        <v>27.763362395010262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0.13170513424729477</v>
      </c>
      <c r="AD220" s="231">
        <f>(INDEX(Models!$BJ220:$BT220,,AH220)*(1-AF220)+INDEX(Models!$BJ220:$BT220,,AH220+1)*AF220-ERP_i)*AE220*Ramure*Pc/MaxiM</f>
        <v>5.5933207073030006E-3</v>
      </c>
      <c r="AE220" s="305">
        <f t="shared" si="92"/>
        <v>0.7</v>
      </c>
      <c r="AF220" s="177">
        <f t="shared" si="93"/>
        <v>0.43210916033784286</v>
      </c>
      <c r="AG220" s="921">
        <f t="shared" si="99"/>
        <v>1</v>
      </c>
      <c r="AH220" s="176">
        <f t="shared" si="94"/>
        <v>7</v>
      </c>
      <c r="AI220" s="225">
        <f t="shared" si="95"/>
        <v>1.4321091603378429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49.220619958262525</v>
      </c>
      <c r="C221" s="955"/>
      <c r="D221" s="393">
        <f t="shared" si="77"/>
        <v>51.712703590104802</v>
      </c>
      <c r="E221" s="385">
        <f t="shared" si="75"/>
        <v>52.792558787185129</v>
      </c>
      <c r="F221" s="385">
        <f t="shared" si="78"/>
        <v>53.06696235189164</v>
      </c>
      <c r="G221" s="110">
        <f t="shared" si="76"/>
        <v>0.9641146526087867</v>
      </c>
      <c r="H221" s="414" t="b">
        <f>Wh_hp&gt;='2023'!Maxi_hp</f>
        <v>0</v>
      </c>
      <c r="I221" s="390">
        <f>IF(H221,Wh_hp,'2023'!Maxi_hp)</f>
        <v>54.739727703954557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4.8190936826577713E-2</v>
      </c>
      <c r="M221" s="959"/>
      <c r="N221" s="959"/>
      <c r="O221" s="48">
        <f>IF(t&lt;Tnet,'2023'!Resal+('2023'!Salim-'2023'!Resal)*(1-EXP(('2023'!Tnet-t)/('2023'!Tau_j))),Resal+(Salim-Resal)*(1-EXP((Tnet-t)/(Tau_j))))*Salcycl</f>
        <v>2.0454685696016207E-2</v>
      </c>
      <c r="P221" s="169">
        <f>(INDEX(Models!$BJ221:$BT221,,T221)*(1-R221)+INDEX(Models!$BJ221:$BT221,,T221+1)*R221-ERP_i)*Q221*Ramure*Pc/MaxiM</f>
        <v>5.4480966712847139E-3</v>
      </c>
      <c r="Q221" s="305">
        <f t="shared" si="80"/>
        <v>0.7</v>
      </c>
      <c r="R221" s="177">
        <f t="shared" si="81"/>
        <v>0.43449111711570176</v>
      </c>
      <c r="S221" s="921">
        <f t="shared" si="82"/>
        <v>1</v>
      </c>
      <c r="T221" s="176">
        <f t="shared" si="83"/>
        <v>7</v>
      </c>
      <c r="U221" s="251">
        <f t="shared" si="84"/>
        <v>1.4344911171157018</v>
      </c>
      <c r="V221" s="383">
        <f t="shared" si="85"/>
        <v>51.038436923808256</v>
      </c>
      <c r="W221" s="402">
        <f t="shared" si="86"/>
        <v>49.220619958262525</v>
      </c>
      <c r="X221" s="157">
        <f t="shared" si="87"/>
        <v>45498</v>
      </c>
      <c r="Y221" s="385">
        <f t="shared" si="88"/>
        <v>43.628727763076974</v>
      </c>
      <c r="Z221" s="385">
        <f t="shared" si="89"/>
        <v>45.837688934810757</v>
      </c>
      <c r="AA221" s="386">
        <f t="shared" si="90"/>
        <v>52.792558787185129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0.13173958626272528</v>
      </c>
      <c r="AD221" s="231">
        <f>(INDEX(Models!$BJ221:$BT221,,AH221)*(1-AF221)+INDEX(Models!$BJ221:$BT221,,AH221+1)*AF221-ERP_i)*AE221*Ramure*Pc/MaxiM</f>
        <v>5.4480966712847139E-3</v>
      </c>
      <c r="AE221" s="305">
        <f t="shared" si="92"/>
        <v>0.7</v>
      </c>
      <c r="AF221" s="177">
        <f t="shared" si="93"/>
        <v>0.43449111711570176</v>
      </c>
      <c r="AG221" s="921">
        <f t="shared" si="99"/>
        <v>1</v>
      </c>
      <c r="AH221" s="176">
        <f t="shared" si="94"/>
        <v>7</v>
      </c>
      <c r="AI221" s="225">
        <f t="shared" si="95"/>
        <v>1.4344911171157018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53.297247907635033</v>
      </c>
      <c r="C222" s="955"/>
      <c r="D222" s="393">
        <f t="shared" si="77"/>
        <v>55.996961304417958</v>
      </c>
      <c r="E222" s="385">
        <f t="shared" si="75"/>
        <v>57.174147626368566</v>
      </c>
      <c r="F222" s="385">
        <f t="shared" si="78"/>
        <v>57.478883622167686</v>
      </c>
      <c r="G222" s="110">
        <f t="shared" si="76"/>
        <v>1.0462551840388286</v>
      </c>
      <c r="H222" s="414" t="b">
        <f>Wh_hp&gt;='2023'!Maxi_hp</f>
        <v>1</v>
      </c>
      <c r="I222" s="390">
        <f>IF(H222,Wh_hp,'2023'!Maxi_hp)</f>
        <v>57.478883622167686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4.8211783887814774E-2</v>
      </c>
      <c r="M222" s="959"/>
      <c r="N222" s="959"/>
      <c r="O222" s="48">
        <f>IF(t&lt;Tnet,'2023'!Resal+('2023'!Salim-'2023'!Resal)*(1-EXP(('2023'!Tnet-t)/('2023'!Tau_j))),Resal+(Salim-Resal)*(1-EXP((Tnet-t)/(Tau_j))))*Salcycl</f>
        <v>2.0589486172028101E-2</v>
      </c>
      <c r="P222" s="169">
        <f>(INDEX(Models!$BJ222:$BT222,,T222)*(1-R222)+INDEX(Models!$BJ222:$BT222,,T222+1)*R222-ERP_i)*Q222*Ramure*Pc/MaxiM</f>
        <v>5.3017034534329445E-3</v>
      </c>
      <c r="Q222" s="305">
        <f t="shared" si="80"/>
        <v>0.7</v>
      </c>
      <c r="R222" s="177">
        <f t="shared" si="81"/>
        <v>0.43680195862066773</v>
      </c>
      <c r="S222" s="921">
        <f t="shared" si="82"/>
        <v>1</v>
      </c>
      <c r="T222" s="176">
        <f t="shared" si="83"/>
        <v>7</v>
      </c>
      <c r="U222" s="251">
        <f t="shared" si="84"/>
        <v>1.4368019586206677</v>
      </c>
      <c r="V222" s="383">
        <f t="shared" si="85"/>
        <v>50.940964231969886</v>
      </c>
      <c r="W222" s="402">
        <f t="shared" si="86"/>
        <v>53.297247907635033</v>
      </c>
      <c r="X222" s="157">
        <f t="shared" si="87"/>
        <v>45499</v>
      </c>
      <c r="Y222" s="385">
        <f t="shared" si="88"/>
        <v>47.246874120109048</v>
      </c>
      <c r="Z222" s="385">
        <f t="shared" si="89"/>
        <v>49.640112495929621</v>
      </c>
      <c r="AA222" s="386">
        <f t="shared" si="90"/>
        <v>57.174147626368566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0.13177345781652317</v>
      </c>
      <c r="AD222" s="231">
        <f>(INDEX(Models!$BJ222:$BT222,,AH222)*(1-AF222)+INDEX(Models!$BJ222:$BT222,,AH222+1)*AF222-ERP_i)*AE222*Ramure*Pc/MaxiM</f>
        <v>5.3017034534329445E-3</v>
      </c>
      <c r="AE222" s="305">
        <f t="shared" si="92"/>
        <v>0.7</v>
      </c>
      <c r="AF222" s="177">
        <f t="shared" si="93"/>
        <v>0.43680195862066773</v>
      </c>
      <c r="AG222" s="921">
        <f t="shared" si="99"/>
        <v>1</v>
      </c>
      <c r="AH222" s="176">
        <f t="shared" si="94"/>
        <v>7</v>
      </c>
      <c r="AI222" s="225">
        <f t="shared" si="95"/>
        <v>1.4368019586206677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42.346327813550396</v>
      </c>
      <c r="C223" s="955"/>
      <c r="D223" s="393">
        <f t="shared" si="77"/>
        <v>44.492308908909678</v>
      </c>
      <c r="E223" s="385">
        <f t="shared" si="75"/>
        <v>45.433884580172872</v>
      </c>
      <c r="F223" s="385">
        <f t="shared" si="78"/>
        <v>45.612851532016293</v>
      </c>
      <c r="G223" s="110">
        <f t="shared" si="76"/>
        <v>0.83184491541106076</v>
      </c>
      <c r="H223" s="414" t="b">
        <f>Wh_hp&gt;='2023'!Maxi_hp</f>
        <v>0</v>
      </c>
      <c r="I223" s="390">
        <f>IF(H223,Wh_hp,'2023'!Maxi_hp)</f>
        <v>52.534108463708804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4.8232630492447748E-2</v>
      </c>
      <c r="M223" s="959"/>
      <c r="N223" s="959"/>
      <c r="O223" s="48">
        <f>IF(t&lt;Tnet,'2023'!Resal+('2023'!Salim-'2023'!Resal)*(1-EXP(('2023'!Tnet-t)/('2023'!Tau_j))),Resal+(Salim-Resal)*(1-EXP((Tnet-t)/(Tau_j))))*Salcycl</f>
        <v>2.0724084677410475E-2</v>
      </c>
      <c r="P223" s="169">
        <f>(INDEX(Models!$BJ223:$BT223,,T223)*(1-R223)+INDEX(Models!$BJ223:$BT223,,T223+1)*R223-ERP_i)*Q223*Ramure*Pc/MaxiM</f>
        <v>5.1541759597125546E-3</v>
      </c>
      <c r="Q223" s="305">
        <f t="shared" si="80"/>
        <v>0.7</v>
      </c>
      <c r="R223" s="177">
        <f t="shared" si="81"/>
        <v>0.43904295800724924</v>
      </c>
      <c r="S223" s="921">
        <f t="shared" si="82"/>
        <v>1</v>
      </c>
      <c r="T223" s="176">
        <f t="shared" si="83"/>
        <v>7</v>
      </c>
      <c r="U223" s="251">
        <f t="shared" si="84"/>
        <v>1.4390429580072492</v>
      </c>
      <c r="V223" s="383">
        <f t="shared" si="85"/>
        <v>50.843626899121418</v>
      </c>
      <c r="W223" s="402">
        <f t="shared" si="86"/>
        <v>42.346327813550396</v>
      </c>
      <c r="X223" s="157">
        <f t="shared" si="87"/>
        <v>45500</v>
      </c>
      <c r="Y223" s="385">
        <f t="shared" si="88"/>
        <v>37.542835308777143</v>
      </c>
      <c r="Z223" s="385">
        <f t="shared" si="89"/>
        <v>39.445390240896721</v>
      </c>
      <c r="AA223" s="386">
        <f t="shared" si="90"/>
        <v>45.433884580172872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0.13180678682028207</v>
      </c>
      <c r="AD223" s="231">
        <f>(INDEX(Models!$BJ223:$BT223,,AH223)*(1-AF223)+INDEX(Models!$BJ223:$BT223,,AH223+1)*AF223-ERP_i)*AE223*Ramure*Pc/MaxiM</f>
        <v>5.1541759597125546E-3</v>
      </c>
      <c r="AE223" s="305">
        <f t="shared" si="92"/>
        <v>0.7</v>
      </c>
      <c r="AF223" s="177">
        <f t="shared" si="93"/>
        <v>0.43904295800724924</v>
      </c>
      <c r="AG223" s="921">
        <f t="shared" si="99"/>
        <v>1</v>
      </c>
      <c r="AH223" s="176">
        <f t="shared" si="94"/>
        <v>7</v>
      </c>
      <c r="AI223" s="225">
        <f t="shared" si="95"/>
        <v>1.4390429580072492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28.209184051686155</v>
      </c>
      <c r="C224" s="955"/>
      <c r="D224" s="393">
        <f t="shared" si="77"/>
        <v>29.639387546289356</v>
      </c>
      <c r="E224" s="385">
        <f t="shared" si="75"/>
        <v>30.270790382426714</v>
      </c>
      <c r="F224" s="385">
        <f t="shared" si="78"/>
        <v>30.326280996255651</v>
      </c>
      <c r="G224" s="110">
        <f t="shared" si="76"/>
        <v>0.55411767137283796</v>
      </c>
      <c r="H224" s="414" t="b">
        <f>Wh_hp&gt;='2023'!Maxi_hp</f>
        <v>0</v>
      </c>
      <c r="I224" s="390">
        <f>IF(H224,Wh_hp,'2023'!Maxi_hp)</f>
        <v>55.721551124095164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4.8253476640486515E-2</v>
      </c>
      <c r="M224" s="959"/>
      <c r="N224" s="959"/>
      <c r="O224" s="48">
        <f>IF(t&lt;Tnet,'2023'!Resal+('2023'!Salim-'2023'!Resal)*(1-EXP(('2023'!Tnet-t)/('2023'!Tau_j))),Resal+(Salim-Resal)*(1-EXP((Tnet-t)/(Tau_j))))*Salcycl</f>
        <v>2.0858485297559647E-2</v>
      </c>
      <c r="P224" s="169">
        <f>(INDEX(Models!$BJ224:$BT224,,T224)*(1-R224)+INDEX(Models!$BJ224:$BT224,,T224+1)*R224-ERP_i)*Q224*Ramure*Pc/MaxiM</f>
        <v>5.005545724596174E-3</v>
      </c>
      <c r="Q224" s="305">
        <f t="shared" si="80"/>
        <v>0.7</v>
      </c>
      <c r="R224" s="177">
        <f t="shared" si="81"/>
        <v>0.44121542701128247</v>
      </c>
      <c r="S224" s="921">
        <f t="shared" si="82"/>
        <v>1</v>
      </c>
      <c r="T224" s="176">
        <f t="shared" si="83"/>
        <v>7</v>
      </c>
      <c r="U224" s="251">
        <f t="shared" si="84"/>
        <v>1.4412154270112825</v>
      </c>
      <c r="V224" s="383">
        <f t="shared" si="85"/>
        <v>50.746322847369314</v>
      </c>
      <c r="W224" s="402">
        <f t="shared" si="86"/>
        <v>28.209184051686155</v>
      </c>
      <c r="X224" s="157">
        <f t="shared" si="87"/>
        <v>45501</v>
      </c>
      <c r="Y224" s="385">
        <f t="shared" si="88"/>
        <v>25.011804644932596</v>
      </c>
      <c r="Z224" s="385">
        <f t="shared" si="89"/>
        <v>26.279901245811661</v>
      </c>
      <c r="AA224" s="386">
        <f t="shared" si="90"/>
        <v>30.270790382426714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0.13183960795856547</v>
      </c>
      <c r="AD224" s="231">
        <f>(INDEX(Models!$BJ224:$BT224,,AH224)*(1-AF224)+INDEX(Models!$BJ224:$BT224,,AH224+1)*AF224-ERP_i)*AE224*Ramure*Pc/MaxiM</f>
        <v>5.005545724596174E-3</v>
      </c>
      <c r="AE224" s="305">
        <f t="shared" si="92"/>
        <v>0.7</v>
      </c>
      <c r="AF224" s="177">
        <f t="shared" si="93"/>
        <v>0.44121542701128247</v>
      </c>
      <c r="AG224" s="921">
        <f t="shared" si="99"/>
        <v>1</v>
      </c>
      <c r="AH224" s="176">
        <f t="shared" si="94"/>
        <v>7</v>
      </c>
      <c r="AI224" s="225">
        <f t="shared" si="95"/>
        <v>1.4412154270112825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42.514021615750153</v>
      </c>
      <c r="C225" s="955"/>
      <c r="D225" s="393">
        <f t="shared" si="77"/>
        <v>44.670457688941454</v>
      </c>
      <c r="E225" s="385">
        <f t="shared" si="75"/>
        <v>45.628318922724375</v>
      </c>
      <c r="F225" s="385">
        <f t="shared" si="78"/>
        <v>45.799686486559857</v>
      </c>
      <c r="G225" s="110">
        <f t="shared" si="76"/>
        <v>0.83844731010941242</v>
      </c>
      <c r="H225" s="414" t="b">
        <f>Wh_hp&gt;='2023'!Maxi_hp</f>
        <v>0</v>
      </c>
      <c r="I225" s="390">
        <f>IF(H225,Wh_hp,'2023'!Maxi_hp)</f>
        <v>53.533900381500366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4.8274322331941177E-2</v>
      </c>
      <c r="M225" s="959"/>
      <c r="N225" s="959"/>
      <c r="O225" s="48">
        <f>IF(t&lt;Tnet,'2023'!Resal+('2023'!Salim-'2023'!Resal)*(1-EXP(('2023'!Tnet-t)/('2023'!Tau_j))),Resal+(Salim-Resal)*(1-EXP((Tnet-t)/(Tau_j))))*Salcycl</f>
        <v>2.0992691740520743E-2</v>
      </c>
      <c r="P225" s="169">
        <f>(INDEX(Models!$BJ225:$BT225,,T225)*(1-R225)+INDEX(Models!$BJ225:$BT225,,T225+1)*R225-ERP_i)*Q225*Ramure*Pc/MaxiM</f>
        <v>4.8558409981357522E-3</v>
      </c>
      <c r="Q225" s="305">
        <f t="shared" si="80"/>
        <v>0.7</v>
      </c>
      <c r="R225" s="177">
        <f t="shared" si="81"/>
        <v>0.44332071055816513</v>
      </c>
      <c r="S225" s="921">
        <f t="shared" si="82"/>
        <v>1</v>
      </c>
      <c r="T225" s="176">
        <f t="shared" si="83"/>
        <v>7</v>
      </c>
      <c r="U225" s="251">
        <f t="shared" si="84"/>
        <v>1.4433207105581651</v>
      </c>
      <c r="V225" s="383">
        <f t="shared" si="85"/>
        <v>50.648950204354627</v>
      </c>
      <c r="W225" s="402">
        <f t="shared" si="86"/>
        <v>42.514021615750153</v>
      </c>
      <c r="X225" s="157">
        <f t="shared" si="87"/>
        <v>45502</v>
      </c>
      <c r="Y225" s="385">
        <f t="shared" si="88"/>
        <v>37.699018442647066</v>
      </c>
      <c r="Z225" s="385">
        <f t="shared" si="89"/>
        <v>39.611223409478782</v>
      </c>
      <c r="AA225" s="386">
        <f t="shared" si="90"/>
        <v>45.628318922724375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0.13187195266685328</v>
      </c>
      <c r="AD225" s="231">
        <f>(INDEX(Models!$BJ225:$BT225,,AH225)*(1-AF225)+INDEX(Models!$BJ225:$BT225,,AH225+1)*AF225-ERP_i)*AE225*Ramure*Pc/MaxiM</f>
        <v>4.8558409981357522E-3</v>
      </c>
      <c r="AE225" s="305">
        <f t="shared" si="92"/>
        <v>0.7</v>
      </c>
      <c r="AF225" s="177">
        <f t="shared" si="93"/>
        <v>0.44332071055816513</v>
      </c>
      <c r="AG225" s="921">
        <f t="shared" si="99"/>
        <v>1</v>
      </c>
      <c r="AH225" s="176">
        <f t="shared" si="94"/>
        <v>7</v>
      </c>
      <c r="AI225" s="225">
        <f t="shared" si="95"/>
        <v>1.4433207105581651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51.109496912614695</v>
      </c>
      <c r="C226" s="955"/>
      <c r="D226" s="393">
        <f t="shared" si="77"/>
        <v>53.703096980127214</v>
      </c>
      <c r="E226" s="385">
        <f t="shared" si="75"/>
        <v>54.862153643142626</v>
      </c>
      <c r="F226" s="385">
        <f t="shared" si="78"/>
        <v>55.121608463369597</v>
      </c>
      <c r="G226" s="110">
        <f t="shared" si="76"/>
        <v>1.0110419368193317</v>
      </c>
      <c r="H226" s="414" t="b">
        <f>Wh_hp&gt;='2023'!Maxi_hp</f>
        <v>1</v>
      </c>
      <c r="I226" s="390">
        <f>IF(H226,Wh_hp,'2023'!Maxi_hp)</f>
        <v>55.121608463369597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4.8295167566821617E-2</v>
      </c>
      <c r="M226" s="959"/>
      <c r="N226" s="959"/>
      <c r="O226" s="48">
        <f>IF(t&lt;Tnet,'2023'!Resal+('2023'!Salim-'2023'!Resal)*(1-EXP(('2023'!Tnet-t)/('2023'!Tau_j))),Resal+(Salim-Resal)*(1-EXP((Tnet-t)/(Tau_j))))*Salcycl</f>
        <v>2.1126707320945352E-2</v>
      </c>
      <c r="P226" s="169">
        <f>(INDEX(Models!$BJ226:$BT226,,T226)*(1-R226)+INDEX(Models!$BJ226:$BT226,,T226+1)*R226-ERP_i)*Q226*Ramure*Pc/MaxiM</f>
        <v>4.706952998285341E-3</v>
      </c>
      <c r="Q226" s="305">
        <f t="shared" si="80"/>
        <v>0.7</v>
      </c>
      <c r="R226" s="177">
        <f t="shared" si="81"/>
        <v>0.44536018162363811</v>
      </c>
      <c r="S226" s="921">
        <f t="shared" si="82"/>
        <v>1</v>
      </c>
      <c r="T226" s="176">
        <f t="shared" si="83"/>
        <v>7</v>
      </c>
      <c r="U226" s="251">
        <f t="shared" si="84"/>
        <v>1.4453601816236381</v>
      </c>
      <c r="V226" s="383">
        <f t="shared" si="85"/>
        <v>50.551312513704083</v>
      </c>
      <c r="W226" s="402">
        <f t="shared" si="86"/>
        <v>51.109496912614695</v>
      </c>
      <c r="X226" s="157">
        <f t="shared" si="87"/>
        <v>45503</v>
      </c>
      <c r="Y226" s="385">
        <f t="shared" si="88"/>
        <v>45.325536894698025</v>
      </c>
      <c r="Z226" s="385">
        <f t="shared" si="89"/>
        <v>47.625624405853216</v>
      </c>
      <c r="AA226" s="386">
        <f t="shared" si="90"/>
        <v>54.862153643142626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0.13190384913359898</v>
      </c>
      <c r="AD226" s="231">
        <f>(INDEX(Models!$BJ226:$BT226,,AH226)*(1-AF226)+INDEX(Models!$BJ226:$BT226,,AH226+1)*AF226-ERP_i)*AE226*Ramure*Pc/MaxiM</f>
        <v>4.706952998285341E-3</v>
      </c>
      <c r="AE226" s="305">
        <f t="shared" si="92"/>
        <v>0.7</v>
      </c>
      <c r="AF226" s="177">
        <f t="shared" si="93"/>
        <v>0.44536018162363811</v>
      </c>
      <c r="AG226" s="921">
        <f t="shared" si="99"/>
        <v>1</v>
      </c>
      <c r="AH226" s="176">
        <f t="shared" si="94"/>
        <v>7</v>
      </c>
      <c r="AI226" s="225">
        <f t="shared" si="95"/>
        <v>1.4453601816236381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51.038621225787722</v>
      </c>
      <c r="C227" s="955"/>
      <c r="D227" s="393">
        <f t="shared" si="77"/>
        <v>53.62979926935305</v>
      </c>
      <c r="E227" s="385">
        <f t="shared" si="75"/>
        <v>54.794765291796516</v>
      </c>
      <c r="F227" s="385">
        <f t="shared" si="78"/>
        <v>55.045740208106047</v>
      </c>
      <c r="G227" s="110">
        <f t="shared" si="76"/>
        <v>1.011601562136871</v>
      </c>
      <c r="H227" s="414" t="b">
        <f>Wh_hp&gt;='2023'!Maxi_hp</f>
        <v>0</v>
      </c>
      <c r="I227" s="390">
        <f>IF(H227,Wh_hp,'2023'!Maxi_hp)</f>
        <v>55.045740208106061</v>
      </c>
      <c r="J227" s="85">
        <f>IF(H227,An,'2023'!An_max)</f>
        <v>2023</v>
      </c>
      <c r="K227" s="197">
        <f t="shared" si="79"/>
        <v>45504</v>
      </c>
      <c r="L227" s="147">
        <f>IF(t&lt;Tvie,1-EXP((T0-t)*PertePVj)+'2023'!Pspv,1-EXP((T0-t)*PertePVj)+Pspv)</f>
        <v>4.8316012345137938E-2</v>
      </c>
      <c r="M227" s="959"/>
      <c r="N227" s="959"/>
      <c r="O227" s="48">
        <f>IF(t&lt;Tnet,'2023'!Resal+('2023'!Salim-'2023'!Resal)*(1-EXP(('2023'!Tnet-t)/('2023'!Tau_j))),Resal+(Salim-Resal)*(1-EXP((Tnet-t)/(Tau_j))))*Salcycl</f>
        <v>2.1260534947813277E-2</v>
      </c>
      <c r="P227" s="169">
        <f>(INDEX(Models!$BJ227:$BT227,,T227)*(1-R227)+INDEX(Models!$BJ227:$BT227,,T227+1)*R227-ERP_i)*Q227*Ramure*Pc/MaxiM</f>
        <v>4.559388525991275E-3</v>
      </c>
      <c r="Q227" s="305">
        <f t="shared" si="80"/>
        <v>0.7</v>
      </c>
      <c r="R227" s="177">
        <f t="shared" si="81"/>
        <v>0.44733523635230732</v>
      </c>
      <c r="S227" s="921">
        <f t="shared" si="82"/>
        <v>1</v>
      </c>
      <c r="T227" s="176">
        <f t="shared" si="83"/>
        <v>7</v>
      </c>
      <c r="U227" s="251">
        <f t="shared" si="84"/>
        <v>1.4473352363523073</v>
      </c>
      <c r="V227" s="383">
        <f t="shared" si="85"/>
        <v>50.453284312823271</v>
      </c>
      <c r="W227" s="402">
        <f t="shared" si="86"/>
        <v>51.038621225787722</v>
      </c>
      <c r="X227" s="157">
        <f t="shared" si="87"/>
        <v>45504</v>
      </c>
      <c r="Y227" s="385">
        <f t="shared" si="88"/>
        <v>45.267229804583458</v>
      </c>
      <c r="Z227" s="385">
        <f t="shared" si="89"/>
        <v>47.56540027129266</v>
      </c>
      <c r="AA227" s="386">
        <f t="shared" si="90"/>
        <v>54.794765291796516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0.13193532232514524</v>
      </c>
      <c r="AD227" s="231">
        <f>(INDEX(Models!$BJ227:$BT227,,AH227)*(1-AF227)+INDEX(Models!$BJ227:$BT227,,AH227+1)*AF227-ERP_i)*AE227*Ramure*Pc/MaxiM</f>
        <v>4.559388525991275E-3</v>
      </c>
      <c r="AE227" s="305">
        <f t="shared" si="92"/>
        <v>0.7</v>
      </c>
      <c r="AF227" s="177">
        <f t="shared" si="93"/>
        <v>0.44733523635230732</v>
      </c>
      <c r="AG227" s="921">
        <f t="shared" si="99"/>
        <v>1</v>
      </c>
      <c r="AH227" s="176">
        <f t="shared" si="94"/>
        <v>7</v>
      </c>
      <c r="AI227" s="225">
        <f t="shared" si="95"/>
        <v>1.4473352363523073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51.089877708299547</v>
      </c>
      <c r="C228" s="955"/>
      <c r="D228" s="393">
        <f t="shared" si="77"/>
        <v>53.684833826140036</v>
      </c>
      <c r="E228" s="385">
        <f t="shared" si="75"/>
        <v>54.858485991754449</v>
      </c>
      <c r="F228" s="385">
        <f t="shared" si="78"/>
        <v>55.101659633239549</v>
      </c>
      <c r="G228" s="110">
        <f t="shared" si="76"/>
        <v>1.0145986866280077</v>
      </c>
      <c r="H228" s="414" t="b">
        <f>Wh_hp&gt;='2023'!Maxi_hp</f>
        <v>0</v>
      </c>
      <c r="I228" s="390">
        <f>IF(H228,Wh_hp,'2023'!Maxi_hp)</f>
        <v>55.101659633239557</v>
      </c>
      <c r="J228" s="85">
        <f>IF(H228,An,'2023'!An_max)</f>
        <v>2022</v>
      </c>
      <c r="K228" s="197">
        <f t="shared" si="79"/>
        <v>45505</v>
      </c>
      <c r="L228" s="147">
        <f>IF(t&lt;Tvie,1-EXP((T0-t)*PertePVj)+'2023'!Pspv,1-EXP((T0-t)*PertePVj)+Pspv)</f>
        <v>4.8336856666900241E-2</v>
      </c>
      <c r="M228" s="959"/>
      <c r="N228" s="959"/>
      <c r="O228" s="48">
        <f>IF(t&lt;Tnet,'2023'!Resal+('2023'!Salim-'2023'!Resal)*(1-EXP(('2023'!Tnet-t)/('2023'!Tau_j))),Resal+(Salim-Resal)*(1-EXP((Tnet-t)/(Tau_j))))*Salcycl</f>
        <v>2.1394177115839755E-2</v>
      </c>
      <c r="P228" s="169">
        <f>(INDEX(Models!$BJ228:$BT228,,T228)*(1-R228)+INDEX(Models!$BJ228:$BT228,,T228+1)*R228-ERP_i)*Q228*Ramure*Pc/MaxiM</f>
        <v>4.4131818007603664E-3</v>
      </c>
      <c r="Q228" s="305">
        <f t="shared" si="80"/>
        <v>0.7</v>
      </c>
      <c r="R228" s="177">
        <f t="shared" si="81"/>
        <v>0.44924728943694414</v>
      </c>
      <c r="S228" s="921">
        <f t="shared" si="82"/>
        <v>1</v>
      </c>
      <c r="T228" s="176">
        <f t="shared" si="83"/>
        <v>7</v>
      </c>
      <c r="U228" s="251">
        <f t="shared" si="84"/>
        <v>1.4492472894369441</v>
      </c>
      <c r="V228" s="383">
        <f t="shared" si="85"/>
        <v>50.354764284286063</v>
      </c>
      <c r="W228" s="402">
        <f t="shared" si="86"/>
        <v>51.089877708299547</v>
      </c>
      <c r="X228" s="157">
        <f t="shared" si="87"/>
        <v>45505</v>
      </c>
      <c r="Y228" s="385">
        <f t="shared" si="88"/>
        <v>45.317256180731398</v>
      </c>
      <c r="Z228" s="385">
        <f t="shared" si="89"/>
        <v>47.619009413364992</v>
      </c>
      <c r="AA228" s="386">
        <f t="shared" si="90"/>
        <v>54.858485991754449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0.13196639403204805</v>
      </c>
      <c r="AD228" s="231">
        <f>(INDEX(Models!$BJ228:$BT228,,AH228)*(1-AF228)+INDEX(Models!$BJ228:$BT228,,AH228+1)*AF228-ERP_i)*AE228*Ramure*Pc/MaxiM</f>
        <v>4.4131818007603664E-3</v>
      </c>
      <c r="AE228" s="305">
        <f t="shared" si="92"/>
        <v>0.7</v>
      </c>
      <c r="AF228" s="177">
        <f t="shared" si="93"/>
        <v>0.44924728943694414</v>
      </c>
      <c r="AG228" s="921">
        <f t="shared" si="99"/>
        <v>1</v>
      </c>
      <c r="AH228" s="176">
        <f t="shared" si="94"/>
        <v>7</v>
      </c>
      <c r="AI228" s="225">
        <f t="shared" si="95"/>
        <v>1.4492472894369441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49.476264141632569</v>
      </c>
      <c r="C229" s="955"/>
      <c r="D229" s="393">
        <f t="shared" si="77"/>
        <v>51.990400352419826</v>
      </c>
      <c r="E229" s="385">
        <f t="shared" si="75"/>
        <v>53.134255253355484</v>
      </c>
      <c r="F229" s="385">
        <f t="shared" si="78"/>
        <v>53.356956456588875</v>
      </c>
      <c r="G229" s="110">
        <f t="shared" si="76"/>
        <v>0.9843980629651724</v>
      </c>
      <c r="H229" s="414" t="b">
        <f>Wh_hp&gt;='2023'!Maxi_hp</f>
        <v>0</v>
      </c>
      <c r="I229" s="390">
        <f>IF(H229,Wh_hp,'2023'!Maxi_hp)</f>
        <v>53.74274506897126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4.8357700532118297E-2</v>
      </c>
      <c r="M229" s="959"/>
      <c r="N229" s="959"/>
      <c r="O229" s="48">
        <f>IF(t&lt;Tnet,'2023'!Resal+('2023'!Salim-'2023'!Resal)*(1-EXP(('2023'!Tnet-t)/('2023'!Tau_j))),Resal+(Salim-Resal)*(1-EXP((Tnet-t)/(Tau_j))))*Salcycl</f>
        <v>2.1527635900447196E-2</v>
      </c>
      <c r="P229" s="169">
        <f>(INDEX(Models!$BJ229:$BT229,,T229)*(1-R229)+INDEX(Models!$BJ229:$BT229,,T229+1)*R229-ERP_i)*Q229*Ramure*Pc/MaxiM</f>
        <v>4.2683641360097497E-3</v>
      </c>
      <c r="Q229" s="305">
        <f t="shared" si="80"/>
        <v>0.7</v>
      </c>
      <c r="R229" s="177">
        <f t="shared" si="81"/>
        <v>0.45109776975966698</v>
      </c>
      <c r="S229" s="921">
        <f t="shared" si="82"/>
        <v>1</v>
      </c>
      <c r="T229" s="176">
        <f t="shared" si="83"/>
        <v>7</v>
      </c>
      <c r="U229" s="251">
        <f t="shared" si="84"/>
        <v>1.451097769759667</v>
      </c>
      <c r="V229" s="383">
        <f t="shared" si="85"/>
        <v>50.255651301613561</v>
      </c>
      <c r="W229" s="402">
        <f t="shared" si="86"/>
        <v>49.476264141632569</v>
      </c>
      <c r="X229" s="157">
        <f t="shared" si="87"/>
        <v>45506</v>
      </c>
      <c r="Y229" s="385">
        <f t="shared" si="88"/>
        <v>43.890398110454058</v>
      </c>
      <c r="Z229" s="385">
        <f t="shared" si="89"/>
        <v>46.120688555979193</v>
      </c>
      <c r="AA229" s="386">
        <f t="shared" si="90"/>
        <v>53.134255253355484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0.13199708293518203</v>
      </c>
      <c r="AD229" s="231">
        <f>(INDEX(Models!$BJ229:$BT229,,AH229)*(1-AF229)+INDEX(Models!$BJ229:$BT229,,AH229+1)*AF229-ERP_i)*AE229*Ramure*Pc/MaxiM</f>
        <v>4.2683641360097497E-3</v>
      </c>
      <c r="AE229" s="305">
        <f t="shared" si="92"/>
        <v>0.7</v>
      </c>
      <c r="AF229" s="177">
        <f t="shared" si="93"/>
        <v>0.45109776975966698</v>
      </c>
      <c r="AG229" s="921">
        <f t="shared" si="99"/>
        <v>1</v>
      </c>
      <c r="AH229" s="176">
        <f t="shared" si="94"/>
        <v>7</v>
      </c>
      <c r="AI229" s="225">
        <f t="shared" si="95"/>
        <v>1.451097769759667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48.944432895947848</v>
      </c>
      <c r="C230" s="955"/>
      <c r="D230" s="393">
        <f t="shared" si="77"/>
        <v>51.432670611099745</v>
      </c>
      <c r="E230" s="385">
        <f t="shared" si="75"/>
        <v>52.57141546547863</v>
      </c>
      <c r="F230" s="385">
        <f t="shared" si="78"/>
        <v>52.781625440855237</v>
      </c>
      <c r="G230" s="110">
        <f t="shared" si="76"/>
        <v>0.97570760523524647</v>
      </c>
      <c r="H230" s="414" t="b">
        <f>Wh_hp&gt;='2023'!Maxi_hp</f>
        <v>0</v>
      </c>
      <c r="I230" s="390">
        <f>IF(H230,Wh_hp,'2023'!Maxi_hp)</f>
        <v>52.784026753635928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4.837854394080221E-2</v>
      </c>
      <c r="M230" s="959"/>
      <c r="N230" s="959"/>
      <c r="O230" s="48">
        <f>IF(t&lt;Tnet,'2023'!Resal+('2023'!Salim-'2023'!Resal)*(1-EXP(('2023'!Tnet-t)/('2023'!Tau_j))),Resal+(Salim-Resal)*(1-EXP((Tnet-t)/(Tau_j))))*Salcycl</f>
        <v>2.16609129561415E-2</v>
      </c>
      <c r="P230" s="169">
        <f>(INDEX(Models!$BJ230:$BT230,,T230)*(1-R230)+INDEX(Models!$BJ230:$BT230,,T230+1)*R230-ERP_i)*Q230*Ramure*Pc/MaxiM</f>
        <v>4.1249641401057951E-3</v>
      </c>
      <c r="Q230" s="305">
        <f t="shared" si="80"/>
        <v>0.7</v>
      </c>
      <c r="R230" s="177">
        <f t="shared" si="81"/>
        <v>0.45288811629434389</v>
      </c>
      <c r="S230" s="921">
        <f t="shared" si="82"/>
        <v>1</v>
      </c>
      <c r="T230" s="176">
        <f t="shared" si="83"/>
        <v>7</v>
      </c>
      <c r="U230" s="251">
        <f t="shared" si="84"/>
        <v>1.4528881162943439</v>
      </c>
      <c r="V230" s="383">
        <f t="shared" si="85"/>
        <v>50.155844419151393</v>
      </c>
      <c r="W230" s="402">
        <f t="shared" si="86"/>
        <v>48.944432895947848</v>
      </c>
      <c r="X230" s="157">
        <f t="shared" si="87"/>
        <v>45507</v>
      </c>
      <c r="Y230" s="385">
        <f t="shared" si="88"/>
        <v>43.423008453075646</v>
      </c>
      <c r="Z230" s="385">
        <f t="shared" si="89"/>
        <v>45.630547920700117</v>
      </c>
      <c r="AA230" s="386">
        <f t="shared" si="90"/>
        <v>52.57141546547863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0.13202740468984095</v>
      </c>
      <c r="AD230" s="231">
        <f>(INDEX(Models!$BJ230:$BT230,,AH230)*(1-AF230)+INDEX(Models!$BJ230:$BT230,,AH230+1)*AF230-ERP_i)*AE230*Ramure*Pc/MaxiM</f>
        <v>4.1249641401057951E-3</v>
      </c>
      <c r="AE230" s="305">
        <f t="shared" si="92"/>
        <v>0.7</v>
      </c>
      <c r="AF230" s="177">
        <f t="shared" si="93"/>
        <v>0.45288811629434389</v>
      </c>
      <c r="AG230" s="921">
        <f t="shared" si="99"/>
        <v>1</v>
      </c>
      <c r="AH230" s="176">
        <f t="shared" si="94"/>
        <v>7</v>
      </c>
      <c r="AI230" s="225">
        <f t="shared" si="95"/>
        <v>1.4528881162943439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44.13250264278949</v>
      </c>
      <c r="C231" s="955"/>
      <c r="D231" s="393">
        <f t="shared" si="77"/>
        <v>46.377127163352689</v>
      </c>
      <c r="E231" s="385">
        <f t="shared" si="75"/>
        <v>47.410389646566593</v>
      </c>
      <c r="F231" s="385">
        <f t="shared" si="78"/>
        <v>47.567826909709609</v>
      </c>
      <c r="G231" s="110">
        <f t="shared" si="76"/>
        <v>0.88108035383355732</v>
      </c>
      <c r="H231" s="414" t="b">
        <f>Wh_hp&gt;='2023'!Maxi_hp</f>
        <v>0</v>
      </c>
      <c r="I231" s="390">
        <f>IF(H231,Wh_hp,'2023'!Maxi_hp)</f>
        <v>53.36011340472448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4.8399386892961971E-2</v>
      </c>
      <c r="M231" s="959"/>
      <c r="N231" s="959"/>
      <c r="O231" s="48">
        <f>IF(t&lt;Tnet,'2023'!Resal+('2023'!Salim-'2023'!Resal)*(1-EXP(('2023'!Tnet-t)/('2023'!Tau_j))),Resal+(Salim-Resal)*(1-EXP((Tnet-t)/(Tau_j))))*Salcycl</f>
        <v>2.1794009518095812E-2</v>
      </c>
      <c r="P231" s="169">
        <f>(INDEX(Models!$BJ231:$BT231,,T231)*(1-R231)+INDEX(Models!$BJ231:$BT231,,T231+1)*R231-ERP_i)*Q231*Ramure*Pc/MaxiM</f>
        <v>3.9830079147482123E-3</v>
      </c>
      <c r="Q231" s="305">
        <f t="shared" si="80"/>
        <v>0.7</v>
      </c>
      <c r="R231" s="177">
        <f t="shared" si="81"/>
        <v>0.45461977426798628</v>
      </c>
      <c r="S231" s="921">
        <f t="shared" si="82"/>
        <v>1</v>
      </c>
      <c r="T231" s="176">
        <f t="shared" si="83"/>
        <v>7</v>
      </c>
      <c r="U231" s="251">
        <f t="shared" si="84"/>
        <v>1.4546197742679863</v>
      </c>
      <c r="V231" s="383">
        <f t="shared" si="85"/>
        <v>50.055242860747825</v>
      </c>
      <c r="W231" s="402">
        <f t="shared" si="86"/>
        <v>44.13250264278949</v>
      </c>
      <c r="X231" s="157">
        <f t="shared" si="87"/>
        <v>45508</v>
      </c>
      <c r="Y231" s="385">
        <f t="shared" si="88"/>
        <v>39.157887700100623</v>
      </c>
      <c r="Z231" s="385">
        <f t="shared" si="89"/>
        <v>41.149498183116513</v>
      </c>
      <c r="AA231" s="386">
        <f t="shared" si="90"/>
        <v>47.410389646566593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0.1320573720259117</v>
      </c>
      <c r="AD231" s="231">
        <f>(INDEX(Models!$BJ231:$BT231,,AH231)*(1-AF231)+INDEX(Models!$BJ231:$BT231,,AH231+1)*AF231-ERP_i)*AE231*Ramure*Pc/MaxiM</f>
        <v>3.9830079147482123E-3</v>
      </c>
      <c r="AE231" s="305">
        <f t="shared" si="92"/>
        <v>0.7</v>
      </c>
      <c r="AF231" s="177">
        <f t="shared" si="93"/>
        <v>0.45461977426798628</v>
      </c>
      <c r="AG231" s="921">
        <f t="shared" si="99"/>
        <v>1</v>
      </c>
      <c r="AH231" s="176">
        <f t="shared" si="94"/>
        <v>7</v>
      </c>
      <c r="AI231" s="225">
        <f t="shared" si="95"/>
        <v>1.4546197742679863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46.657961539377951</v>
      </c>
      <c r="C232" s="955"/>
      <c r="D232" s="393">
        <f t="shared" si="77"/>
        <v>49.032107428471384</v>
      </c>
      <c r="E232" s="385">
        <f t="shared" si="75"/>
        <v>50.131333488544982</v>
      </c>
      <c r="F232" s="385">
        <f t="shared" si="78"/>
        <v>50.306417547108666</v>
      </c>
      <c r="G232" s="110">
        <f t="shared" si="76"/>
        <v>0.93368382310902254</v>
      </c>
      <c r="H232" s="414" t="b">
        <f>Wh_hp&gt;='2023'!Maxi_hp</f>
        <v>0</v>
      </c>
      <c r="I232" s="390">
        <f>IF(H232,Wh_hp,'2023'!Maxi_hp)</f>
        <v>54.203152791652954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4.8420229388607572E-2</v>
      </c>
      <c r="M232" s="959"/>
      <c r="N232" s="959"/>
      <c r="O232" s="48">
        <f>IF(t&lt;Tnet,'2023'!Resal+('2023'!Salim-'2023'!Resal)*(1-EXP(('2023'!Tnet-t)/('2023'!Tau_j))),Resal+(Salim-Resal)*(1-EXP((Tnet-t)/(Tau_j))))*Salcycl</f>
        <v>2.1926926406710654E-2</v>
      </c>
      <c r="P232" s="169">
        <f>(INDEX(Models!$BJ232:$BT232,,T232)*(1-R232)+INDEX(Models!$BJ232:$BT232,,T232+1)*R232-ERP_i)*Q232*Ramure*Pc/MaxiM</f>
        <v>3.8425192488303131E-3</v>
      </c>
      <c r="Q232" s="305">
        <f t="shared" si="80"/>
        <v>0.7</v>
      </c>
      <c r="R232" s="177">
        <f t="shared" si="81"/>
        <v>0.45629419157751783</v>
      </c>
      <c r="S232" s="921">
        <f t="shared" si="82"/>
        <v>1</v>
      </c>
      <c r="T232" s="176">
        <f t="shared" si="83"/>
        <v>7</v>
      </c>
      <c r="U232" s="251">
        <f t="shared" si="84"/>
        <v>1.4562941915775178</v>
      </c>
      <c r="V232" s="383">
        <f t="shared" si="85"/>
        <v>49.953746010700876</v>
      </c>
      <c r="W232" s="402">
        <f t="shared" si="86"/>
        <v>46.657961539377951</v>
      </c>
      <c r="X232" s="157">
        <f t="shared" si="87"/>
        <v>45509</v>
      </c>
      <c r="Y232" s="385">
        <f t="shared" si="88"/>
        <v>41.402889729371729</v>
      </c>
      <c r="Z232" s="385">
        <f t="shared" si="89"/>
        <v>43.509636299613923</v>
      </c>
      <c r="AA232" s="386">
        <f t="shared" si="90"/>
        <v>50.131333488544982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0.13208699486208791</v>
      </c>
      <c r="AD232" s="231">
        <f>(INDEX(Models!$BJ232:$BT232,,AH232)*(1-AF232)+INDEX(Models!$BJ232:$BT232,,AH232+1)*AF232-ERP_i)*AE232*Ramure*Pc/MaxiM</f>
        <v>3.8425192488303131E-3</v>
      </c>
      <c r="AE232" s="305">
        <f t="shared" si="92"/>
        <v>0.7</v>
      </c>
      <c r="AF232" s="177">
        <f t="shared" si="93"/>
        <v>0.45629419157751783</v>
      </c>
      <c r="AG232" s="921">
        <f t="shared" si="99"/>
        <v>1</v>
      </c>
      <c r="AH232" s="176">
        <f t="shared" si="94"/>
        <v>7</v>
      </c>
      <c r="AI232" s="225">
        <f t="shared" si="95"/>
        <v>1.4562941915775178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49.776330165468842</v>
      </c>
      <c r="C233" s="955"/>
      <c r="D233" s="393">
        <f t="shared" si="77"/>
        <v>52.3102969987942</v>
      </c>
      <c r="E233" s="385">
        <f t="shared" ref="E233:E296" si="100">Wh_pvt/(1-Psa)</f>
        <v>53.490274483023619</v>
      </c>
      <c r="F233" s="385">
        <f t="shared" si="78"/>
        <v>53.688683986539104</v>
      </c>
      <c r="G233" s="110">
        <f t="shared" ref="G233:G296" si="101">+Wh_hp/MaxiM</f>
        <v>0.99848766102130715</v>
      </c>
      <c r="H233" s="414" t="b">
        <f>Wh_hp&gt;='2023'!Maxi_hp</f>
        <v>0</v>
      </c>
      <c r="I233" s="390">
        <f>IF(H233,Wh_hp,'2023'!Maxi_hp)</f>
        <v>53.68882696502358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4.8441071427749116E-2</v>
      </c>
      <c r="M233" s="959"/>
      <c r="N233" s="959"/>
      <c r="O233" s="48">
        <f>IF(t&lt;Tnet,'2023'!Resal+('2023'!Salim-'2023'!Resal)*(1-EXP(('2023'!Tnet-t)/('2023'!Tau_j))),Resal+(Salim-Resal)*(1-EXP((Tnet-t)/(Tau_j))))*Salcycl</f>
        <v>2.2059664034887551E-2</v>
      </c>
      <c r="P233" s="169">
        <f>(INDEX(Models!$BJ233:$BT233,,T233)*(1-R233)+INDEX(Models!$BJ233:$BT233,,T233+1)*R233-ERP_i)*Q233*Ramure*Pc/MaxiM</f>
        <v>3.7035145355567298E-3</v>
      </c>
      <c r="Q233" s="305">
        <f t="shared" si="80"/>
        <v>0.7</v>
      </c>
      <c r="R233" s="177">
        <f t="shared" si="81"/>
        <v>0.45791281545708129</v>
      </c>
      <c r="S233" s="921">
        <f t="shared" si="82"/>
        <v>1</v>
      </c>
      <c r="T233" s="176">
        <f t="shared" si="83"/>
        <v>7</v>
      </c>
      <c r="U233" s="251">
        <f t="shared" si="84"/>
        <v>1.4579128154570813</v>
      </c>
      <c r="V233" s="383">
        <f t="shared" si="85"/>
        <v>49.851324618410722</v>
      </c>
      <c r="W233" s="402">
        <f t="shared" si="86"/>
        <v>49.776330165468842</v>
      </c>
      <c r="X233" s="157">
        <f t="shared" si="87"/>
        <v>45510</v>
      </c>
      <c r="Y233" s="385">
        <f t="shared" si="88"/>
        <v>44.1745421287062</v>
      </c>
      <c r="Z233" s="385">
        <f t="shared" si="89"/>
        <v>46.423338379039834</v>
      </c>
      <c r="AA233" s="386">
        <f t="shared" si="90"/>
        <v>53.490274483023619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0.13211628043199961</v>
      </c>
      <c r="AD233" s="231">
        <f>(INDEX(Models!$BJ233:$BT233,,AH233)*(1-AF233)+INDEX(Models!$BJ233:$BT233,,AH233+1)*AF233-ERP_i)*AE233*Ramure*Pc/MaxiM</f>
        <v>3.7035145355567298E-3</v>
      </c>
      <c r="AE233" s="305">
        <f t="shared" si="92"/>
        <v>0.7</v>
      </c>
      <c r="AF233" s="177">
        <f t="shared" si="93"/>
        <v>0.45791281545708129</v>
      </c>
      <c r="AG233" s="921">
        <f t="shared" si="99"/>
        <v>1</v>
      </c>
      <c r="AH233" s="176">
        <f t="shared" si="94"/>
        <v>7</v>
      </c>
      <c r="AI233" s="225">
        <f t="shared" si="95"/>
        <v>1.4579128154570813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50.386284272489824</v>
      </c>
      <c r="C234" s="955"/>
      <c r="D234" s="393">
        <f t="shared" si="77"/>
        <v>52.952461873489192</v>
      </c>
      <c r="E234" s="385">
        <f t="shared" si="100"/>
        <v>54.154265375572486</v>
      </c>
      <c r="F234" s="385">
        <f t="shared" si="78"/>
        <v>54.348181539187038</v>
      </c>
      <c r="G234" s="110">
        <f t="shared" si="101"/>
        <v>1.0128309621752034</v>
      </c>
      <c r="H234" s="414" t="b">
        <f>Wh_hp&gt;='2023'!Maxi_hp</f>
        <v>1</v>
      </c>
      <c r="I234" s="390">
        <f>IF(H234,Wh_hp,'2023'!Maxi_hp)</f>
        <v>54.348181539187038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4.8461913010396485E-2</v>
      </c>
      <c r="M234" s="959"/>
      <c r="N234" s="959"/>
      <c r="O234" s="48">
        <f>IF(t&lt;Tnet,'2023'!Resal+('2023'!Salim-'2023'!Resal)*(1-EXP(('2023'!Tnet-t)/('2023'!Tau_j))),Resal+(Salim-Resal)*(1-EXP((Tnet-t)/(Tau_j))))*Salcycl</f>
        <v>2.2192222417726531E-2</v>
      </c>
      <c r="P234" s="169">
        <f>(INDEX(Models!$BJ234:$BT234,,T234)*(1-R234)+INDEX(Models!$BJ234:$BT234,,T234+1)*R234-ERP_i)*Q234*Ramure*Pc/MaxiM</f>
        <v>3.5680340744194206E-3</v>
      </c>
      <c r="Q234" s="305">
        <f t="shared" si="80"/>
        <v>0.7</v>
      </c>
      <c r="R234" s="177">
        <f t="shared" si="81"/>
        <v>0.45947708939000287</v>
      </c>
      <c r="S234" s="921">
        <f t="shared" si="82"/>
        <v>1</v>
      </c>
      <c r="T234" s="176">
        <f t="shared" si="83"/>
        <v>7</v>
      </c>
      <c r="U234" s="251">
        <f t="shared" si="84"/>
        <v>1.4594770893900029</v>
      </c>
      <c r="V234" s="383">
        <f t="shared" si="85"/>
        <v>49.747969951745816</v>
      </c>
      <c r="W234" s="402">
        <f t="shared" si="86"/>
        <v>50.386284272489824</v>
      </c>
      <c r="X234" s="157">
        <f t="shared" si="87"/>
        <v>45511</v>
      </c>
      <c r="Y234" s="385">
        <f t="shared" si="88"/>
        <v>44.720422539748263</v>
      </c>
      <c r="Z234" s="385">
        <f t="shared" si="89"/>
        <v>46.998037336824837</v>
      </c>
      <c r="AA234" s="386">
        <f t="shared" si="90"/>
        <v>54.154265375572486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0.13214523342007392</v>
      </c>
      <c r="AD234" s="231">
        <f>(INDEX(Models!$BJ234:$BT234,,AH234)*(1-AF234)+INDEX(Models!$BJ234:$BT234,,AH234+1)*AF234-ERP_i)*AE234*Ramure*Pc/MaxiM</f>
        <v>3.5680340744194206E-3</v>
      </c>
      <c r="AE234" s="305">
        <f t="shared" si="92"/>
        <v>0.7</v>
      </c>
      <c r="AF234" s="177">
        <f t="shared" si="93"/>
        <v>0.45947708939000287</v>
      </c>
      <c r="AG234" s="921">
        <f t="shared" si="99"/>
        <v>1</v>
      </c>
      <c r="AH234" s="176">
        <f t="shared" si="94"/>
        <v>7</v>
      </c>
      <c r="AI234" s="225">
        <f t="shared" si="95"/>
        <v>1.4594770893900029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48.548742273762777</v>
      </c>
      <c r="C235" s="955"/>
      <c r="D235" s="393">
        <f t="shared" si="77"/>
        <v>51.022451232303133</v>
      </c>
      <c r="E235" s="385">
        <f t="shared" si="100"/>
        <v>52.187516730103432</v>
      </c>
      <c r="F235" s="385">
        <f t="shared" si="78"/>
        <v>52.361757634788489</v>
      </c>
      <c r="G235" s="110">
        <f t="shared" si="101"/>
        <v>0.97783597538070666</v>
      </c>
      <c r="H235" s="414" t="b">
        <f>Wh_hp&gt;='2023'!Maxi_hp</f>
        <v>0</v>
      </c>
      <c r="I235" s="390">
        <f>IF(H235,Wh_hp,'2023'!Maxi_hp)</f>
        <v>54.505372378920782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4.8482754136559669E-2</v>
      </c>
      <c r="M235" s="959"/>
      <c r="N235" s="959"/>
      <c r="O235" s="48">
        <f>IF(t&lt;Tnet,'2023'!Resal+('2023'!Salim-'2023'!Resal)*(1-EXP(('2023'!Tnet-t)/('2023'!Tau_j))),Resal+(Salim-Resal)*(1-EXP((Tnet-t)/(Tau_j))))*Salcycl</f>
        <v>2.2324601184333659E-2</v>
      </c>
      <c r="P235" s="169">
        <f>(INDEX(Models!$BJ235:$BT235,,T235)*(1-R235)+INDEX(Models!$BJ235:$BT235,,T235+1)*R235-ERP_i)*Q235*Ramure*Pc/MaxiM</f>
        <v>3.4359059415539658E-3</v>
      </c>
      <c r="Q235" s="305">
        <f t="shared" si="80"/>
        <v>0.7</v>
      </c>
      <c r="R235" s="177">
        <f t="shared" si="81"/>
        <v>0.46098845025863122</v>
      </c>
      <c r="S235" s="921">
        <f t="shared" si="82"/>
        <v>1</v>
      </c>
      <c r="T235" s="176">
        <f t="shared" si="83"/>
        <v>7</v>
      </c>
      <c r="U235" s="251">
        <f t="shared" si="84"/>
        <v>1.4609884502586312</v>
      </c>
      <c r="V235" s="383">
        <f t="shared" si="85"/>
        <v>49.643774221138322</v>
      </c>
      <c r="W235" s="402">
        <f t="shared" si="86"/>
        <v>48.548742273762777</v>
      </c>
      <c r="X235" s="157">
        <f t="shared" si="87"/>
        <v>45512</v>
      </c>
      <c r="Y235" s="385">
        <f t="shared" si="88"/>
        <v>43.093922430117424</v>
      </c>
      <c r="Z235" s="385">
        <f t="shared" si="89"/>
        <v>45.289691403346531</v>
      </c>
      <c r="AA235" s="386">
        <f t="shared" si="90"/>
        <v>52.187516730103432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0.13217385610490279</v>
      </c>
      <c r="AD235" s="231">
        <f>(INDEX(Models!$BJ235:$BT235,,AH235)*(1-AF235)+INDEX(Models!$BJ235:$BT235,,AH235+1)*AF235-ERP_i)*AE235*Ramure*Pc/MaxiM</f>
        <v>3.4359059415539658E-3</v>
      </c>
      <c r="AE235" s="305">
        <f t="shared" si="92"/>
        <v>0.7</v>
      </c>
      <c r="AF235" s="177">
        <f t="shared" si="93"/>
        <v>0.46098845025863122</v>
      </c>
      <c r="AG235" s="921">
        <f t="shared" si="99"/>
        <v>1</v>
      </c>
      <c r="AH235" s="176">
        <f t="shared" si="94"/>
        <v>7</v>
      </c>
      <c r="AI235" s="225">
        <f t="shared" si="95"/>
        <v>1.4609884502586312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47.158118053904118</v>
      </c>
      <c r="C236" s="955"/>
      <c r="D236" s="393">
        <f t="shared" si="77"/>
        <v>49.562055932624787</v>
      </c>
      <c r="E236" s="385">
        <f t="shared" si="100"/>
        <v>50.70062981555067</v>
      </c>
      <c r="F236" s="385">
        <f t="shared" si="78"/>
        <v>50.857275436678869</v>
      </c>
      <c r="G236" s="110">
        <f t="shared" si="101"/>
        <v>0.95172589476618596</v>
      </c>
      <c r="H236" s="414" t="b">
        <f>Wh_hp&gt;='2023'!Maxi_hp</f>
        <v>0</v>
      </c>
      <c r="I236" s="390">
        <f>IF(H236,Wh_hp,'2023'!Maxi_hp)</f>
        <v>52.854099421104479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4.8503594806248662E-2</v>
      </c>
      <c r="M236" s="959"/>
      <c r="N236" s="959"/>
      <c r="O236" s="48">
        <f>IF(t&lt;Tnet,'2023'!Resal+('2023'!Salim-'2023'!Resal)*(1-EXP(('2023'!Tnet-t)/('2023'!Tau_j))),Resal+(Salim-Resal)*(1-EXP((Tnet-t)/(Tau_j))))*Salcycl</f>
        <v>2.2456799591405882E-2</v>
      </c>
      <c r="P236" s="169">
        <f>(INDEX(Models!$BJ236:$BT236,,T236)*(1-R236)+INDEX(Models!$BJ236:$BT236,,T236+1)*R236-ERP_i)*Q236*Ramure*Pc/MaxiM</f>
        <v>3.3071491644101263E-3</v>
      </c>
      <c r="Q236" s="305">
        <f t="shared" si="80"/>
        <v>0.7</v>
      </c>
      <c r="R236" s="177">
        <f t="shared" si="81"/>
        <v>0.46244832572452843</v>
      </c>
      <c r="S236" s="921">
        <f t="shared" si="82"/>
        <v>1</v>
      </c>
      <c r="T236" s="176">
        <f t="shared" si="83"/>
        <v>7</v>
      </c>
      <c r="U236" s="251">
        <f t="shared" si="84"/>
        <v>1.4624483257245284</v>
      </c>
      <c r="V236" s="383">
        <f t="shared" si="85"/>
        <v>49.538820093955835</v>
      </c>
      <c r="W236" s="402">
        <f t="shared" si="86"/>
        <v>47.158118053904118</v>
      </c>
      <c r="X236" s="157">
        <f t="shared" si="87"/>
        <v>45513</v>
      </c>
      <c r="Y236" s="385">
        <f t="shared" si="88"/>
        <v>41.863841424587903</v>
      </c>
      <c r="Z236" s="385">
        <f t="shared" si="89"/>
        <v>43.997897623231957</v>
      </c>
      <c r="AA236" s="386">
        <f t="shared" si="90"/>
        <v>50.70062981555067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0.1322021485078847</v>
      </c>
      <c r="AD236" s="231">
        <f>(INDEX(Models!$BJ236:$BT236,,AH236)*(1-AF236)+INDEX(Models!$BJ236:$BT236,,AH236+1)*AF236-ERP_i)*AE236*Ramure*Pc/MaxiM</f>
        <v>3.3071491644101263E-3</v>
      </c>
      <c r="AE236" s="305">
        <f t="shared" si="92"/>
        <v>0.7</v>
      </c>
      <c r="AF236" s="177">
        <f t="shared" si="93"/>
        <v>0.46244832572452843</v>
      </c>
      <c r="AG236" s="921">
        <f t="shared" si="99"/>
        <v>1</v>
      </c>
      <c r="AH236" s="176">
        <f t="shared" si="94"/>
        <v>7</v>
      </c>
      <c r="AI236" s="225">
        <f t="shared" si="95"/>
        <v>1.4624483257245284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44.622598807867277</v>
      </c>
      <c r="C237" s="955"/>
      <c r="D237" s="393">
        <f t="shared" si="77"/>
        <v>46.898312946986245</v>
      </c>
      <c r="E237" s="385">
        <f t="shared" si="100"/>
        <v>47.98217346038922</v>
      </c>
      <c r="F237" s="385">
        <f t="shared" si="78"/>
        <v>48.1139791568352</v>
      </c>
      <c r="G237" s="110">
        <f t="shared" si="101"/>
        <v>0.90228460224893503</v>
      </c>
      <c r="H237" s="414" t="b">
        <f>Wh_hp&gt;='2023'!Maxi_hp</f>
        <v>0</v>
      </c>
      <c r="I237" s="390">
        <f>IF(H237,Wh_hp,'2023'!Maxi_hp)</f>
        <v>52.879735063277003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4.8524435019473566E-2</v>
      </c>
      <c r="M237" s="959"/>
      <c r="N237" s="959"/>
      <c r="O237" s="48">
        <f>IF(t&lt;Tnet,'2023'!Resal+('2023'!Salim-'2023'!Resal)*(1-EXP(('2023'!Tnet-t)/('2023'!Tau_j))),Resal+(Salim-Resal)*(1-EXP((Tnet-t)/(Tau_j))))*Salcycl</f>
        <v>2.2588816538244835E-2</v>
      </c>
      <c r="P237" s="169">
        <f>(INDEX(Models!$BJ237:$BT237,,T237)*(1-R237)+INDEX(Models!$BJ237:$BT237,,T237+1)*R237-ERP_i)*Q237*Ramure*Pc/MaxiM</f>
        <v>3.1817830920173348E-3</v>
      </c>
      <c r="Q237" s="305">
        <f t="shared" si="80"/>
        <v>0.7</v>
      </c>
      <c r="R237" s="177">
        <f t="shared" si="81"/>
        <v>0.46385813183087077</v>
      </c>
      <c r="S237" s="921">
        <f t="shared" si="82"/>
        <v>1</v>
      </c>
      <c r="T237" s="176">
        <f t="shared" si="83"/>
        <v>7</v>
      </c>
      <c r="U237" s="251">
        <f t="shared" si="84"/>
        <v>1.4638581318308708</v>
      </c>
      <c r="V237" s="383">
        <f t="shared" si="85"/>
        <v>49.433190249529325</v>
      </c>
      <c r="W237" s="402">
        <f t="shared" si="86"/>
        <v>44.622598807867277</v>
      </c>
      <c r="X237" s="157">
        <f t="shared" si="87"/>
        <v>45514</v>
      </c>
      <c r="Y237" s="385">
        <f t="shared" si="88"/>
        <v>39.617049998141077</v>
      </c>
      <c r="Z237" s="385">
        <f t="shared" si="89"/>
        <v>41.637485455500801</v>
      </c>
      <c r="AA237" s="386">
        <f t="shared" si="90"/>
        <v>47.98217346038922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0.13223010854491943</v>
      </c>
      <c r="AD237" s="231">
        <f>(INDEX(Models!$BJ237:$BT237,,AH237)*(1-AF237)+INDEX(Models!$BJ237:$BT237,,AH237+1)*AF237-ERP_i)*AE237*Ramure*Pc/MaxiM</f>
        <v>3.1817830920173348E-3</v>
      </c>
      <c r="AE237" s="305">
        <f t="shared" si="92"/>
        <v>0.7</v>
      </c>
      <c r="AF237" s="177">
        <f t="shared" si="93"/>
        <v>0.46385813183087077</v>
      </c>
      <c r="AG237" s="921">
        <f t="shared" si="99"/>
        <v>1</v>
      </c>
      <c r="AH237" s="176">
        <f t="shared" si="94"/>
        <v>7</v>
      </c>
      <c r="AI237" s="225">
        <f t="shared" si="95"/>
        <v>1.4638581318308708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46.020268094323157</v>
      </c>
      <c r="C238" s="955"/>
      <c r="D238" s="393">
        <f t="shared" si="77"/>
        <v>48.368321554659865</v>
      </c>
      <c r="E238" s="385">
        <f t="shared" si="100"/>
        <v>49.492830871241026</v>
      </c>
      <c r="F238" s="385">
        <f t="shared" si="78"/>
        <v>49.630147534685129</v>
      </c>
      <c r="G238" s="110">
        <f t="shared" si="101"/>
        <v>0.93268951855671078</v>
      </c>
      <c r="H238" s="414" t="b">
        <f>Wh_hp&gt;='2023'!Maxi_hp</f>
        <v>0</v>
      </c>
      <c r="I238" s="390">
        <f>IF(H238,Wh_hp,'2023'!Maxi_hp)</f>
        <v>51.227825043986797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4.8545274776244374E-2</v>
      </c>
      <c r="M238" s="959"/>
      <c r="N238" s="959"/>
      <c r="O238" s="48">
        <f>IF(t&lt;Tnet,'2023'!Resal+('2023'!Salim-'2023'!Resal)*(1-EXP(('2023'!Tnet-t)/('2023'!Tau_j))),Resal+(Salim-Resal)*(1-EXP((Tnet-t)/(Tau_j))))*Salcycl</f>
        <v>2.2720650582841902E-2</v>
      </c>
      <c r="P238" s="169">
        <f>(INDEX(Models!$BJ238:$BT238,,T238)*(1-R238)+INDEX(Models!$BJ238:$BT238,,T238+1)*R238-ERP_i)*Q238*Ramure*Pc/MaxiM</f>
        <v>3.0598274624911649E-3</v>
      </c>
      <c r="Q238" s="305">
        <f t="shared" si="80"/>
        <v>0.7</v>
      </c>
      <c r="R238" s="177">
        <f t="shared" si="81"/>
        <v>0.46521927081843684</v>
      </c>
      <c r="S238" s="921">
        <f t="shared" si="82"/>
        <v>1</v>
      </c>
      <c r="T238" s="176">
        <f t="shared" si="83"/>
        <v>7</v>
      </c>
      <c r="U238" s="251">
        <f t="shared" si="84"/>
        <v>1.4652192708184368</v>
      </c>
      <c r="V238" s="383">
        <f t="shared" si="85"/>
        <v>49.326967372837935</v>
      </c>
      <c r="W238" s="402">
        <f t="shared" si="86"/>
        <v>46.020268094323157</v>
      </c>
      <c r="X238" s="157">
        <f t="shared" si="87"/>
        <v>45515</v>
      </c>
      <c r="Y238" s="385">
        <f t="shared" si="88"/>
        <v>40.8621463512102</v>
      </c>
      <c r="Z238" s="385">
        <f t="shared" si="89"/>
        <v>42.947021301092981</v>
      </c>
      <c r="AA238" s="386">
        <f t="shared" si="90"/>
        <v>49.492830871241026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0.13225773217897785</v>
      </c>
      <c r="AD238" s="231">
        <f>(INDEX(Models!$BJ238:$BT238,,AH238)*(1-AF238)+INDEX(Models!$BJ238:$BT238,,AH238+1)*AF238-ERP_i)*AE238*Ramure*Pc/MaxiM</f>
        <v>3.0598274624911649E-3</v>
      </c>
      <c r="AE238" s="305">
        <f t="shared" si="92"/>
        <v>0.7</v>
      </c>
      <c r="AF238" s="177">
        <f t="shared" si="93"/>
        <v>0.46521927081843684</v>
      </c>
      <c r="AG238" s="921">
        <f t="shared" si="99"/>
        <v>1</v>
      </c>
      <c r="AH238" s="176">
        <f t="shared" si="94"/>
        <v>7</v>
      </c>
      <c r="AI238" s="225">
        <f t="shared" si="95"/>
        <v>1.4652192708184368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36.125021554512465</v>
      </c>
      <c r="C239" s="955"/>
      <c r="D239" s="393">
        <f t="shared" si="77"/>
        <v>37.969029786500357</v>
      </c>
      <c r="E239" s="385">
        <f t="shared" si="100"/>
        <v>38.857001643553389</v>
      </c>
      <c r="F239" s="385">
        <f t="shared" si="78"/>
        <v>38.927982263721304</v>
      </c>
      <c r="G239" s="110">
        <f t="shared" si="101"/>
        <v>0.73312456841011953</v>
      </c>
      <c r="H239" s="414" t="b">
        <f>Wh_hp&gt;='2023'!Maxi_hp</f>
        <v>0</v>
      </c>
      <c r="I239" s="390">
        <f>IF(H239,Wh_hp,'2023'!Maxi_hp)</f>
        <v>48.536022746732414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4.8566114076570854E-2</v>
      </c>
      <c r="M239" s="959"/>
      <c r="N239" s="959"/>
      <c r="O239" s="48">
        <f>IF(t&lt;Tnet,'2023'!Resal+('2023'!Salim-'2023'!Resal)*(1-EXP(('2023'!Tnet-t)/('2023'!Tau_j))),Resal+(Salim-Resal)*(1-EXP((Tnet-t)/(Tau_j))))*Salcycl</f>
        <v>2.2852299958670476E-2</v>
      </c>
      <c r="P239" s="169">
        <f>(INDEX(Models!$BJ239:$BT239,,T239)*(1-R239)+INDEX(Models!$BJ239:$BT239,,T239+1)*R239-ERP_i)*Q239*Ramure*Pc/MaxiM</f>
        <v>2.9413024553799579E-3</v>
      </c>
      <c r="Q239" s="305">
        <f t="shared" si="80"/>
        <v>0.7</v>
      </c>
      <c r="R239" s="177">
        <f t="shared" si="81"/>
        <v>0.4665331291461805</v>
      </c>
      <c r="S239" s="921">
        <f t="shared" si="82"/>
        <v>1</v>
      </c>
      <c r="T239" s="176">
        <f t="shared" si="83"/>
        <v>7</v>
      </c>
      <c r="U239" s="251">
        <f t="shared" si="84"/>
        <v>1.4665331291461805</v>
      </c>
      <c r="V239" s="383">
        <f t="shared" si="85"/>
        <v>49.220234149163957</v>
      </c>
      <c r="W239" s="402">
        <f t="shared" si="86"/>
        <v>36.125021554512465</v>
      </c>
      <c r="X239" s="157">
        <f t="shared" si="87"/>
        <v>45516</v>
      </c>
      <c r="Y239" s="385">
        <f t="shared" si="88"/>
        <v>32.079308569809484</v>
      </c>
      <c r="Z239" s="385">
        <f t="shared" si="89"/>
        <v>33.716802653790708</v>
      </c>
      <c r="AA239" s="386">
        <f t="shared" si="90"/>
        <v>38.857001643553389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0.13228501357143368</v>
      </c>
      <c r="AD239" s="231">
        <f>(INDEX(Models!$BJ239:$BT239,,AH239)*(1-AF239)+INDEX(Models!$BJ239:$BT239,,AH239+1)*AF239-ERP_i)*AE239*Ramure*Pc/MaxiM</f>
        <v>2.9413024553799579E-3</v>
      </c>
      <c r="AE239" s="305">
        <f t="shared" si="92"/>
        <v>0.7</v>
      </c>
      <c r="AF239" s="177">
        <f t="shared" si="93"/>
        <v>0.4665331291461805</v>
      </c>
      <c r="AG239" s="921">
        <f t="shared" si="99"/>
        <v>1</v>
      </c>
      <c r="AH239" s="176">
        <f t="shared" si="94"/>
        <v>7</v>
      </c>
      <c r="AI239" s="225">
        <f t="shared" si="95"/>
        <v>1.4665331291461805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33.089899571812644</v>
      </c>
      <c r="C240" s="955"/>
      <c r="D240" s="393">
        <f t="shared" si="77"/>
        <v>34.779741221108544</v>
      </c>
      <c r="E240" s="385">
        <f t="shared" si="100"/>
        <v>35.597915254071907</v>
      </c>
      <c r="F240" s="385">
        <f t="shared" si="78"/>
        <v>35.651780815288042</v>
      </c>
      <c r="G240" s="110">
        <f t="shared" si="101"/>
        <v>0.67286176085150129</v>
      </c>
      <c r="H240" s="414" t="b">
        <f>Wh_hp&gt;='2023'!Maxi_hp</f>
        <v>0</v>
      </c>
      <c r="I240" s="390">
        <f>IF(H240,Wh_hp,'2023'!Maxi_hp)</f>
        <v>53.538915966622881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4.8586952920463333E-2</v>
      </c>
      <c r="M240" s="959"/>
      <c r="N240" s="959"/>
      <c r="O240" s="48">
        <f>IF(t&lt;Tnet,'2023'!Resal+('2023'!Salim-'2023'!Resal)*(1-EXP(('2023'!Tnet-t)/('2023'!Tau_j))),Resal+(Salim-Resal)*(1-EXP((Tnet-t)/(Tau_j))))*Salcycl</f>
        <v>2.2983762591821361E-2</v>
      </c>
      <c r="P240" s="169">
        <f>(INDEX(Models!$BJ240:$BT240,,T240)*(1-R240)+INDEX(Models!$BJ240:$BT240,,T240+1)*R240-ERP_i)*Q240*Ramure*Pc/MaxiM</f>
        <v>2.8297289973830101E-3</v>
      </c>
      <c r="Q240" s="305">
        <f t="shared" si="80"/>
        <v>0.7</v>
      </c>
      <c r="R240" s="177">
        <f t="shared" si="81"/>
        <v>0.46780107570712937</v>
      </c>
      <c r="S240" s="921">
        <f t="shared" si="82"/>
        <v>1</v>
      </c>
      <c r="T240" s="176">
        <f t="shared" si="83"/>
        <v>7</v>
      </c>
      <c r="U240" s="251">
        <f t="shared" si="84"/>
        <v>1.4678010757071294</v>
      </c>
      <c r="V240" s="383">
        <f t="shared" si="85"/>
        <v>49.112900861513786</v>
      </c>
      <c r="W240" s="402">
        <f t="shared" si="86"/>
        <v>33.089899571812644</v>
      </c>
      <c r="X240" s="157">
        <f t="shared" si="87"/>
        <v>45517</v>
      </c>
      <c r="Y240" s="385">
        <f t="shared" si="88"/>
        <v>29.387137585515006</v>
      </c>
      <c r="Z240" s="385">
        <f t="shared" si="89"/>
        <v>30.887885840668197</v>
      </c>
      <c r="AA240" s="386">
        <f t="shared" si="90"/>
        <v>35.597915254071907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0.13231194523013393</v>
      </c>
      <c r="AD240" s="231">
        <f>(INDEX(Models!$BJ240:$BT240,,AH240)*(1-AF240)+INDEX(Models!$BJ240:$BT240,,AH240+1)*AF240-ERP_i)*AE240*Ramure*Pc/MaxiM</f>
        <v>2.8297289973830101E-3</v>
      </c>
      <c r="AE240" s="305">
        <f t="shared" si="92"/>
        <v>0.7</v>
      </c>
      <c r="AF240" s="177">
        <f t="shared" si="93"/>
        <v>0.46780107570712937</v>
      </c>
      <c r="AG240" s="921">
        <f t="shared" si="99"/>
        <v>1</v>
      </c>
      <c r="AH240" s="176">
        <f t="shared" si="94"/>
        <v>7</v>
      </c>
      <c r="AI240" s="225">
        <f t="shared" si="95"/>
        <v>1.4678010757071294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37.527468371570393</v>
      </c>
      <c r="C241" s="955"/>
      <c r="D241" s="393">
        <f t="shared" si="77"/>
        <v>39.444792619398768</v>
      </c>
      <c r="E241" s="385">
        <f t="shared" si="100"/>
        <v>40.378134660457633</v>
      </c>
      <c r="F241" s="385">
        <f t="shared" si="78"/>
        <v>40.451434921276018</v>
      </c>
      <c r="G241" s="110">
        <f t="shared" si="101"/>
        <v>0.76508726808125316</v>
      </c>
      <c r="H241" s="414" t="b">
        <f>Wh_hp&gt;='2023'!Maxi_hp</f>
        <v>0</v>
      </c>
      <c r="I241" s="390">
        <f>IF(H241,Wh_hp,'2023'!Maxi_hp)</f>
        <v>53.803189402990363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4.860779130793158E-2</v>
      </c>
      <c r="M241" s="959"/>
      <c r="N241" s="959"/>
      <c r="O241" s="48">
        <f>IF(t&lt;Tnet,'2023'!Resal+('2023'!Salim-'2023'!Resal)*(1-EXP(('2023'!Tnet-t)/('2023'!Tau_j))),Resal+(Salim-Resal)*(1-EXP((Tnet-t)/(Tau_j))))*Salcycl</f>
        <v>2.3115036118121803E-2</v>
      </c>
      <c r="P241" s="169">
        <f>(INDEX(Models!$BJ241:$BT241,,T241)*(1-R241)+INDEX(Models!$BJ241:$BT241,,T241+1)*R241-ERP_i)*Q241*Ramure*Pc/MaxiM</f>
        <v>2.7232212312243943E-3</v>
      </c>
      <c r="Q241" s="305">
        <f t="shared" si="80"/>
        <v>0.7</v>
      </c>
      <c r="R241" s="177">
        <f t="shared" si="81"/>
        <v>0.46902446023016964</v>
      </c>
      <c r="S241" s="921">
        <f t="shared" si="82"/>
        <v>1</v>
      </c>
      <c r="T241" s="176">
        <f t="shared" si="83"/>
        <v>7</v>
      </c>
      <c r="U241" s="251">
        <f t="shared" si="84"/>
        <v>1.4690244602301696</v>
      </c>
      <c r="V241" s="383">
        <f t="shared" si="85"/>
        <v>49.005145077846919</v>
      </c>
      <c r="W241" s="402">
        <f t="shared" si="86"/>
        <v>37.527468371570393</v>
      </c>
      <c r="X241" s="157">
        <f t="shared" si="87"/>
        <v>45518</v>
      </c>
      <c r="Y241" s="385">
        <f t="shared" si="88"/>
        <v>33.331599954082911</v>
      </c>
      <c r="Z241" s="385">
        <f t="shared" si="89"/>
        <v>35.034552153738687</v>
      </c>
      <c r="AA241" s="386">
        <f t="shared" si="90"/>
        <v>40.378134660457633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0.13233851815229891</v>
      </c>
      <c r="AD241" s="231">
        <f>(INDEX(Models!$BJ241:$BT241,,AH241)*(1-AF241)+INDEX(Models!$BJ241:$BT241,,AH241+1)*AF241-ERP_i)*AE241*Ramure*Pc/MaxiM</f>
        <v>2.7232212312243943E-3</v>
      </c>
      <c r="AE241" s="305">
        <f t="shared" si="92"/>
        <v>0.7</v>
      </c>
      <c r="AF241" s="177">
        <f t="shared" si="93"/>
        <v>0.46902446023016964</v>
      </c>
      <c r="AG241" s="921">
        <f t="shared" si="99"/>
        <v>1</v>
      </c>
      <c r="AH241" s="176">
        <f t="shared" si="94"/>
        <v>7</v>
      </c>
      <c r="AI241" s="225">
        <f t="shared" si="95"/>
        <v>1.4690244602301696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34.755349369438299</v>
      </c>
      <c r="C242" s="955"/>
      <c r="D242" s="393">
        <f t="shared" si="77"/>
        <v>36.531842808804562</v>
      </c>
      <c r="E242" s="385">
        <f t="shared" si="100"/>
        <v>37.40127731077726</v>
      </c>
      <c r="F242" s="385">
        <f t="shared" si="78"/>
        <v>37.458910700928897</v>
      </c>
      <c r="G242" s="110">
        <f t="shared" si="101"/>
        <v>0.7100150931401199</v>
      </c>
      <c r="H242" s="414" t="b">
        <f>Wh_hp&gt;='2023'!Maxi_hp</f>
        <v>0</v>
      </c>
      <c r="I242" s="390">
        <f>IF(H242,Wh_hp,'2023'!Maxi_hp)</f>
        <v>53.769916943030935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4.8628629238985699E-2</v>
      </c>
      <c r="M242" s="959"/>
      <c r="N242" s="959"/>
      <c r="O242" s="48">
        <f>IF(t&lt;Tnet,'2023'!Resal+('2023'!Salim-'2023'!Resal)*(1-EXP(('2023'!Tnet-t)/('2023'!Tau_j))),Resal+(Salim-Resal)*(1-EXP((Tnet-t)/(Tau_j))))*Salcycl</f>
        <v>2.3246117899887075E-2</v>
      </c>
      <c r="P242" s="169">
        <f>(INDEX(Models!$BJ242:$BT242,,T242)*(1-R242)+INDEX(Models!$BJ242:$BT242,,T242+1)*R242-ERP_i)*Q242*Ramure*Pc/MaxiM</f>
        <v>2.6218098371480103E-3</v>
      </c>
      <c r="Q242" s="305">
        <f t="shared" si="80"/>
        <v>0.7</v>
      </c>
      <c r="R242" s="177">
        <f t="shared" si="81"/>
        <v>0.4702046118581884</v>
      </c>
      <c r="S242" s="921">
        <f t="shared" si="82"/>
        <v>1</v>
      </c>
      <c r="T242" s="176">
        <f t="shared" si="83"/>
        <v>7</v>
      </c>
      <c r="U242" s="251">
        <f t="shared" si="84"/>
        <v>1.4702046118581884</v>
      </c>
      <c r="V242" s="383">
        <f t="shared" si="85"/>
        <v>48.897049554412064</v>
      </c>
      <c r="W242" s="402">
        <f t="shared" si="86"/>
        <v>34.755349369438299</v>
      </c>
      <c r="X242" s="157">
        <f t="shared" si="87"/>
        <v>45519</v>
      </c>
      <c r="Y242" s="385">
        <f t="shared" si="88"/>
        <v>30.872636153415936</v>
      </c>
      <c r="Z242" s="385">
        <f t="shared" si="89"/>
        <v>32.450667638569485</v>
      </c>
      <c r="AA242" s="386">
        <f t="shared" si="90"/>
        <v>37.40127731077726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0.13236472196047835</v>
      </c>
      <c r="AD242" s="231">
        <f>(INDEX(Models!$BJ242:$BT242,,AH242)*(1-AF242)+INDEX(Models!$BJ242:$BT242,,AH242+1)*AF242-ERP_i)*AE242*Ramure*Pc/MaxiM</f>
        <v>2.6218098371480103E-3</v>
      </c>
      <c r="AE242" s="305">
        <f t="shared" si="92"/>
        <v>0.7</v>
      </c>
      <c r="AF242" s="177">
        <f t="shared" si="93"/>
        <v>0.4702046118581884</v>
      </c>
      <c r="AG242" s="921">
        <f t="shared" si="99"/>
        <v>1</v>
      </c>
      <c r="AH242" s="176">
        <f t="shared" si="94"/>
        <v>7</v>
      </c>
      <c r="AI242" s="225">
        <f t="shared" si="95"/>
        <v>1.4702046118581884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25.37092289824832</v>
      </c>
      <c r="C243" s="955"/>
      <c r="D243" s="393">
        <f t="shared" si="77"/>
        <v>26.668322569396679</v>
      </c>
      <c r="E243" s="385">
        <f t="shared" si="100"/>
        <v>27.306670749179641</v>
      </c>
      <c r="F243" s="385">
        <f t="shared" si="78"/>
        <v>27.328363892044344</v>
      </c>
      <c r="G243" s="110">
        <f t="shared" si="101"/>
        <v>0.51911516280468384</v>
      </c>
      <c r="H243" s="414" t="b">
        <f>Wh_hp&gt;='2023'!Maxi_hp</f>
        <v>0</v>
      </c>
      <c r="I243" s="390">
        <f>IF(H243,Wh_hp,'2023'!Maxi_hp)</f>
        <v>51.890414604753857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4.864946671363557E-2</v>
      </c>
      <c r="M243" s="959"/>
      <c r="N243" s="959"/>
      <c r="O243" s="48">
        <f>IF(t&lt;Tnet,'2023'!Resal+('2023'!Salim-'2023'!Resal)*(1-EXP(('2023'!Tnet-t)/('2023'!Tau_j))),Resal+(Salim-Resal)*(1-EXP((Tnet-t)/(Tau_j))))*Salcycl</f>
        <v>2.3377005041969018E-2</v>
      </c>
      <c r="P243" s="169">
        <f>(INDEX(Models!$BJ243:$BT243,,T243)*(1-R243)+INDEX(Models!$BJ243:$BT243,,T243+1)*R243-ERP_i)*Q243*Ramure*Pc/MaxiM</f>
        <v>2.5255258492903974E-3</v>
      </c>
      <c r="Q243" s="305">
        <f t="shared" si="80"/>
        <v>0.7</v>
      </c>
      <c r="R243" s="177">
        <f t="shared" si="81"/>
        <v>0.4713428378930411</v>
      </c>
      <c r="S243" s="921">
        <f t="shared" si="82"/>
        <v>1</v>
      </c>
      <c r="T243" s="176">
        <f t="shared" si="83"/>
        <v>7</v>
      </c>
      <c r="U243" s="251">
        <f t="shared" si="84"/>
        <v>1.4713428378930411</v>
      </c>
      <c r="V243" s="383">
        <f t="shared" si="85"/>
        <v>48.788697040692966</v>
      </c>
      <c r="W243" s="402">
        <f t="shared" si="86"/>
        <v>25.37092289824832</v>
      </c>
      <c r="X243" s="157">
        <f t="shared" si="87"/>
        <v>45520</v>
      </c>
      <c r="Y243" s="385">
        <f t="shared" si="88"/>
        <v>22.53894563355276</v>
      </c>
      <c r="Z243" s="385">
        <f t="shared" si="89"/>
        <v>23.691525725742512</v>
      </c>
      <c r="AA243" s="386">
        <f t="shared" si="90"/>
        <v>27.306670749179641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0.13239054502994435</v>
      </c>
      <c r="AD243" s="231">
        <f>(INDEX(Models!$BJ243:$BT243,,AH243)*(1-AF243)+INDEX(Models!$BJ243:$BT243,,AH243+1)*AF243-ERP_i)*AE243*Ramure*Pc/MaxiM</f>
        <v>2.5255258492903974E-3</v>
      </c>
      <c r="AE243" s="305">
        <f t="shared" si="92"/>
        <v>0.7</v>
      </c>
      <c r="AF243" s="177">
        <f t="shared" si="93"/>
        <v>0.4713428378930411</v>
      </c>
      <c r="AG243" s="921">
        <f t="shared" si="99"/>
        <v>1</v>
      </c>
      <c r="AH243" s="176">
        <f t="shared" si="94"/>
        <v>7</v>
      </c>
      <c r="AI243" s="225">
        <f t="shared" si="95"/>
        <v>1.4713428378930411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33.756148398706223</v>
      </c>
      <c r="C244" s="955"/>
      <c r="D244" s="393">
        <f t="shared" si="77"/>
        <v>35.483122760831904</v>
      </c>
      <c r="E244" s="385">
        <f t="shared" si="100"/>
        <v>36.337329600642377</v>
      </c>
      <c r="F244" s="385">
        <f t="shared" si="78"/>
        <v>36.387115445904229</v>
      </c>
      <c r="G244" s="110">
        <f t="shared" si="101"/>
        <v>0.69268675506567845</v>
      </c>
      <c r="H244" s="414" t="b">
        <f>Wh_hp&gt;='2023'!Maxi_hp</f>
        <v>0</v>
      </c>
      <c r="I244" s="390">
        <f>IF(H244,Wh_hp,'2023'!Maxi_hp)</f>
        <v>49.183966953911138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4.8670303731891407E-2</v>
      </c>
      <c r="M244" s="959"/>
      <c r="N244" s="959"/>
      <c r="O244" s="48">
        <f>IF(t&lt;Tnet,'2023'!Resal+('2023'!Salim-'2023'!Resal)*(1-EXP(('2023'!Tnet-t)/('2023'!Tau_j))),Resal+(Salim-Resal)*(1-EXP((Tnet-t)/(Tau_j))))*Salcycl</f>
        <v>2.3507694406783599E-2</v>
      </c>
      <c r="P244" s="169">
        <f>(INDEX(Models!$BJ244:$BT244,,T244)*(1-R244)+INDEX(Models!$BJ244:$BT244,,T244+1)*R244-ERP_i)*Q244*Ramure*Pc/MaxiM</f>
        <v>2.4344005931896022E-3</v>
      </c>
      <c r="Q244" s="305">
        <f t="shared" si="80"/>
        <v>0.7</v>
      </c>
      <c r="R244" s="177">
        <f t="shared" si="81"/>
        <v>0.47244042269785469</v>
      </c>
      <c r="S244" s="921">
        <f t="shared" si="82"/>
        <v>1</v>
      </c>
      <c r="T244" s="176">
        <f t="shared" si="83"/>
        <v>7</v>
      </c>
      <c r="U244" s="251">
        <f t="shared" si="84"/>
        <v>1.4724404226978547</v>
      </c>
      <c r="V244" s="383">
        <f t="shared" si="85"/>
        <v>48.680170277358364</v>
      </c>
      <c r="W244" s="402">
        <f t="shared" si="86"/>
        <v>33.756148398706223</v>
      </c>
      <c r="X244" s="157">
        <f t="shared" si="87"/>
        <v>45521</v>
      </c>
      <c r="Y244" s="385">
        <f t="shared" si="88"/>
        <v>29.991321940578725</v>
      </c>
      <c r="Z244" s="385">
        <f t="shared" si="89"/>
        <v>31.525686686991023</v>
      </c>
      <c r="AA244" s="386">
        <f t="shared" si="90"/>
        <v>36.337329600642377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0.13241597460607823</v>
      </c>
      <c r="AD244" s="231">
        <f>(INDEX(Models!$BJ244:$BT244,,AH244)*(1-AF244)+INDEX(Models!$BJ244:$BT244,,AH244+1)*AF244-ERP_i)*AE244*Ramure*Pc/MaxiM</f>
        <v>2.4344005931896022E-3</v>
      </c>
      <c r="AE244" s="305">
        <f t="shared" si="92"/>
        <v>0.7</v>
      </c>
      <c r="AF244" s="177">
        <f t="shared" si="93"/>
        <v>0.47244042269785469</v>
      </c>
      <c r="AG244" s="921">
        <f t="shared" si="99"/>
        <v>1</v>
      </c>
      <c r="AH244" s="176">
        <f t="shared" si="94"/>
        <v>7</v>
      </c>
      <c r="AI244" s="225">
        <f t="shared" si="95"/>
        <v>1.4724404226978547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34.446179091446957</v>
      </c>
      <c r="C245" s="955"/>
      <c r="D245" s="393">
        <f t="shared" si="77"/>
        <v>36.209248699821735</v>
      </c>
      <c r="E245" s="385">
        <f t="shared" si="100"/>
        <v>37.085891782704422</v>
      </c>
      <c r="F245" s="385">
        <f t="shared" si="78"/>
        <v>37.136873022594415</v>
      </c>
      <c r="G245" s="110">
        <f t="shared" si="101"/>
        <v>0.70849135520996831</v>
      </c>
      <c r="H245" s="414" t="b">
        <f>Wh_hp&gt;='2023'!Maxi_hp</f>
        <v>0</v>
      </c>
      <c r="I245" s="390">
        <f>IF(H245,Wh_hp,'2023'!Maxi_hp)</f>
        <v>49.967163493960541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4.869114029376298E-2</v>
      </c>
      <c r="M245" s="959"/>
      <c r="N245" s="959"/>
      <c r="O245" s="48">
        <f>IF(t&lt;Tnet,'2023'!Resal+('2023'!Salim-'2023'!Resal)*(1-EXP(('2023'!Tnet-t)/('2023'!Tau_j))),Resal+(Salim-Resal)*(1-EXP((Tnet-t)/(Tau_j))))*Salcycl</f>
        <v>2.3638182628023675E-2</v>
      </c>
      <c r="P245" s="169">
        <f>(INDEX(Models!$BJ245:$BT245,,T245)*(1-R245)+INDEX(Models!$BJ245:$BT245,,T245+1)*R245-ERP_i)*Q245*Ramure*Pc/MaxiM</f>
        <v>2.3484656086886872E-3</v>
      </c>
      <c r="Q245" s="305">
        <f t="shared" si="80"/>
        <v>0.7</v>
      </c>
      <c r="R245" s="177">
        <f t="shared" si="81"/>
        <v>0.47349862674729404</v>
      </c>
      <c r="S245" s="921">
        <f t="shared" si="82"/>
        <v>1</v>
      </c>
      <c r="T245" s="176">
        <f t="shared" si="83"/>
        <v>7</v>
      </c>
      <c r="U245" s="251">
        <f t="shared" si="84"/>
        <v>1.473498626747294</v>
      </c>
      <c r="V245" s="383">
        <f t="shared" si="85"/>
        <v>48.571551995635396</v>
      </c>
      <c r="W245" s="402">
        <f t="shared" si="86"/>
        <v>34.446179091446957</v>
      </c>
      <c r="X245" s="157">
        <f t="shared" si="87"/>
        <v>45522</v>
      </c>
      <c r="Y245" s="385">
        <f t="shared" si="88"/>
        <v>30.607600851552853</v>
      </c>
      <c r="Z245" s="385">
        <f t="shared" si="89"/>
        <v>32.174199303688226</v>
      </c>
      <c r="AA245" s="386">
        <f t="shared" si="90"/>
        <v>37.085891782704422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0.13244099691049738</v>
      </c>
      <c r="AD245" s="231">
        <f>(INDEX(Models!$BJ245:$BT245,,AH245)*(1-AF245)+INDEX(Models!$BJ245:$BT245,,AH245+1)*AF245-ERP_i)*AE245*Ramure*Pc/MaxiM</f>
        <v>2.3484656086886872E-3</v>
      </c>
      <c r="AE245" s="305">
        <f t="shared" si="92"/>
        <v>0.7</v>
      </c>
      <c r="AF245" s="177">
        <f t="shared" si="93"/>
        <v>0.47349862674729404</v>
      </c>
      <c r="AG245" s="921">
        <f t="shared" si="99"/>
        <v>1</v>
      </c>
      <c r="AH245" s="176">
        <f t="shared" si="94"/>
        <v>7</v>
      </c>
      <c r="AI245" s="225">
        <f t="shared" si="95"/>
        <v>1.473498626747294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48.585923725746376</v>
      </c>
      <c r="C246" s="955"/>
      <c r="D246" s="393">
        <f t="shared" si="77"/>
        <v>51.073830974811187</v>
      </c>
      <c r="E246" s="385">
        <f t="shared" si="100"/>
        <v>52.317333749675065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Wh_hp&gt;='2023'!Maxi_hp</f>
        <v>0</v>
      </c>
      <c r="I246" s="390">
        <f>IF(H246,Wh_hp,'2023'!Maxi_hp)</f>
        <v>52.544338316202321</v>
      </c>
      <c r="J246" s="85">
        <f>IF(H246,An,'2023'!An_max)</f>
        <v>2021</v>
      </c>
      <c r="K246" s="197">
        <f t="shared" si="79"/>
        <v>45523</v>
      </c>
      <c r="L246" s="147">
        <f>IF(t&lt;Tvie,1-EXP((T0-t)*PertePVj)+'2023'!Pspv,1-EXP((T0-t)*PertePVj)+Pspv)</f>
        <v>4.8711976399260282E-2</v>
      </c>
      <c r="M246" s="959"/>
      <c r="N246" s="959"/>
      <c r="O246" s="48">
        <f>IF(t&lt;Tnet,'2023'!Resal+('2023'!Salim-'2023'!Resal)*(1-EXP(('2023'!Tnet-t)/('2023'!Tau_j))),Resal+(Salim-Resal)*(1-EXP((Tnet-t)/(Tau_j))))*Salcycl</f>
        <v>2.3768466122790446E-2</v>
      </c>
      <c r="P246" s="169">
        <f>(INDEX(Models!$BJ246:$BT246,,T246)*(1-R246)+INDEX(Models!$BJ246:$BT246,,T246+1)*R246-ERP_i)*Q246*Ramure*Pc/MaxiM</f>
        <v>2.2677525591516313E-3</v>
      </c>
      <c r="Q246" s="305">
        <f t="shared" si="80"/>
        <v>0.7</v>
      </c>
      <c r="R246" s="177">
        <f t="shared" si="81"/>
        <v>0.4745186858165793</v>
      </c>
      <c r="S246" s="921">
        <f t="shared" si="82"/>
        <v>1</v>
      </c>
      <c r="T246" s="176">
        <f t="shared" si="83"/>
        <v>7</v>
      </c>
      <c r="U246" s="251">
        <f t="shared" si="84"/>
        <v>1.4745186858165793</v>
      </c>
      <c r="V246" s="383">
        <f t="shared" si="85"/>
        <v>48.462924916697879</v>
      </c>
      <c r="W246" s="402">
        <f t="shared" si="86"/>
        <v>48.585923725746376</v>
      </c>
      <c r="X246" s="157">
        <f t="shared" si="87"/>
        <v>45523</v>
      </c>
      <c r="Y246" s="385">
        <f t="shared" si="88"/>
        <v>43.176192183430338</v>
      </c>
      <c r="Z246" s="385">
        <f t="shared" si="89"/>
        <v>45.387086888788161</v>
      </c>
      <c r="AA246" s="386">
        <f t="shared" si="90"/>
        <v>52.317333749675065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0.13246559723487342</v>
      </c>
      <c r="AD246" s="231">
        <f>(INDEX(Models!$BJ246:$BT246,,AH246)*(1-AF246)+INDEX(Models!$BJ246:$BT246,,AH246+1)*AF246-ERP_i)*AE246*Ramure*Pc/MaxiM</f>
        <v>2.2677525591516313E-3</v>
      </c>
      <c r="AE246" s="305">
        <f t="shared" si="92"/>
        <v>0.7</v>
      </c>
      <c r="AF246" s="177">
        <f t="shared" si="93"/>
        <v>0.4745186858165793</v>
      </c>
      <c r="AG246" s="921">
        <f t="shared" si="99"/>
        <v>1</v>
      </c>
      <c r="AH246" s="176">
        <f t="shared" si="94"/>
        <v>7</v>
      </c>
      <c r="AI246" s="225">
        <f t="shared" si="95"/>
        <v>1.4745186858165793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32.288235746525125</v>
      </c>
      <c r="C247" s="955"/>
      <c r="D247" s="393">
        <f t="shared" si="77"/>
        <v>33.942341495087618</v>
      </c>
      <c r="E247" s="385">
        <f t="shared" si="100"/>
        <v>34.773374412742612</v>
      </c>
      <c r="F247" s="385">
        <f t="shared" si="78"/>
        <v>34.813467607034525</v>
      </c>
      <c r="G247" s="110">
        <f t="shared" si="101"/>
        <v>0.66703512134744081</v>
      </c>
      <c r="H247" s="414" t="b">
        <f>Wh_hp&gt;='2023'!Maxi_hp</f>
        <v>0</v>
      </c>
      <c r="I247" s="390">
        <f>IF(H247,Wh_hp,'2023'!Maxi_hp)</f>
        <v>51.773522913939907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4.8732812048393526E-2</v>
      </c>
      <c r="M247" s="959"/>
      <c r="N247" s="959"/>
      <c r="O247" s="48">
        <f>IF(t&lt;Tnet,'2023'!Resal+('2023'!Salim-'2023'!Resal)*(1-EXP(('2023'!Tnet-t)/('2023'!Tau_j))),Resal+(Salim-Resal)*(1-EXP((Tnet-t)/(Tau_j))))*Salcycl</f>
        <v>2.389854110190881E-2</v>
      </c>
      <c r="P247" s="169">
        <f>(INDEX(Models!$BJ247:$BT247,,T247)*(1-R247)+INDEX(Models!$BJ247:$BT247,,T247+1)*R247-ERP_i)*Q247*Ramure*Pc/MaxiM</f>
        <v>2.1922569351922731E-3</v>
      </c>
      <c r="Q247" s="305">
        <f t="shared" si="80"/>
        <v>0.7</v>
      </c>
      <c r="R247" s="177">
        <f t="shared" si="81"/>
        <v>0.47550181030024352</v>
      </c>
      <c r="S247" s="921">
        <f t="shared" si="82"/>
        <v>1</v>
      </c>
      <c r="T247" s="176">
        <f t="shared" si="83"/>
        <v>7</v>
      </c>
      <c r="U247" s="251">
        <f t="shared" si="84"/>
        <v>1.4755018103002435</v>
      </c>
      <c r="V247" s="383">
        <f t="shared" si="85"/>
        <v>48.355171801423793</v>
      </c>
      <c r="W247" s="402">
        <f t="shared" si="86"/>
        <v>32.288235746525125</v>
      </c>
      <c r="X247" s="157">
        <f t="shared" si="87"/>
        <v>45524</v>
      </c>
      <c r="Y247" s="385">
        <f t="shared" si="88"/>
        <v>28.696171781740183</v>
      </c>
      <c r="Z247" s="385">
        <f t="shared" si="89"/>
        <v>30.166258381656736</v>
      </c>
      <c r="AA247" s="386">
        <f t="shared" si="90"/>
        <v>34.773374412742612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0.13248976002161036</v>
      </c>
      <c r="AD247" s="231">
        <f>(INDEX(Models!$BJ247:$BT247,,AH247)*(1-AF247)+INDEX(Models!$BJ247:$BT247,,AH247+1)*AF247-ERP_i)*AE247*Ramure*Pc/MaxiM</f>
        <v>2.1922569351922731E-3</v>
      </c>
      <c r="AE247" s="305">
        <f t="shared" si="92"/>
        <v>0.7</v>
      </c>
      <c r="AF247" s="177">
        <f t="shared" si="93"/>
        <v>0.47550181030024352</v>
      </c>
      <c r="AG247" s="921">
        <f t="shared" si="99"/>
        <v>1</v>
      </c>
      <c r="AH247" s="176">
        <f t="shared" si="94"/>
        <v>7</v>
      </c>
      <c r="AI247" s="225">
        <f t="shared" si="95"/>
        <v>1.4755018103002435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23.115027923438102</v>
      </c>
      <c r="C248" s="955"/>
      <c r="D248" s="393">
        <f t="shared" si="77"/>
        <v>24.299728305290575</v>
      </c>
      <c r="E248" s="385">
        <f t="shared" si="100"/>
        <v>24.897987189771936</v>
      </c>
      <c r="F248" s="385">
        <f t="shared" si="78"/>
        <v>24.911535593352809</v>
      </c>
      <c r="G248" s="110">
        <f t="shared" si="101"/>
        <v>0.47832328635852134</v>
      </c>
      <c r="H248" s="414" t="b">
        <f>Wh_hp&gt;='2023'!Maxi_hp</f>
        <v>0</v>
      </c>
      <c r="I248" s="390">
        <f>IF(H248,Wh_hp,'2023'!Maxi_hp)</f>
        <v>53.717329476513434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4.8753647241172593E-2</v>
      </c>
      <c r="M248" s="959"/>
      <c r="N248" s="959"/>
      <c r="O248" s="48">
        <f>IF(t&lt;Tnet,'2023'!Resal+('2023'!Salim-'2023'!Resal)*(1-EXP(('2023'!Tnet-t)/('2023'!Tau_j))),Resal+(Salim-Resal)*(1-EXP((Tnet-t)/(Tau_j))))*Salcycl</f>
        <v>2.4028403578226741E-2</v>
      </c>
      <c r="P248" s="169">
        <f>(INDEX(Models!$BJ248:$BT248,,T248)*(1-R248)+INDEX(Models!$BJ248:$BT248,,T248+1)*R248-ERP_i)*Q248*Ramure*Pc/MaxiM</f>
        <v>2.1258601270100568E-3</v>
      </c>
      <c r="Q248" s="305">
        <f t="shared" si="80"/>
        <v>0.7</v>
      </c>
      <c r="R248" s="177">
        <f t="shared" si="81"/>
        <v>0.47644918465186192</v>
      </c>
      <c r="S248" s="921">
        <f t="shared" si="82"/>
        <v>1</v>
      </c>
      <c r="T248" s="176">
        <f t="shared" si="83"/>
        <v>7</v>
      </c>
      <c r="U248" s="251">
        <f t="shared" si="84"/>
        <v>1.4764491846518619</v>
      </c>
      <c r="V248" s="383">
        <f t="shared" si="85"/>
        <v>48.24862330667105</v>
      </c>
      <c r="W248" s="402">
        <f t="shared" si="86"/>
        <v>23.115027923438102</v>
      </c>
      <c r="X248" s="157">
        <f t="shared" si="87"/>
        <v>45525</v>
      </c>
      <c r="Y248" s="385">
        <f t="shared" si="88"/>
        <v>20.545654671087313</v>
      </c>
      <c r="Z248" s="385">
        <f t="shared" si="89"/>
        <v>21.598668537861212</v>
      </c>
      <c r="AA248" s="386">
        <f t="shared" si="90"/>
        <v>24.897987189771936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0.13251346893077684</v>
      </c>
      <c r="AD248" s="231">
        <f>(INDEX(Models!$BJ248:$BT248,,AH248)*(1-AF248)+INDEX(Models!$BJ248:$BT248,,AH248+1)*AF248-ERP_i)*AE248*Ramure*Pc/MaxiM</f>
        <v>2.1258601270100568E-3</v>
      </c>
      <c r="AE248" s="305">
        <f t="shared" si="92"/>
        <v>0.7</v>
      </c>
      <c r="AF248" s="177">
        <f t="shared" si="93"/>
        <v>0.47644918465186192</v>
      </c>
      <c r="AG248" s="921">
        <f t="shared" si="99"/>
        <v>1</v>
      </c>
      <c r="AH248" s="176">
        <f t="shared" si="94"/>
        <v>7</v>
      </c>
      <c r="AI248" s="225">
        <f t="shared" si="95"/>
        <v>1.4764491846518619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44.850272159250309</v>
      </c>
      <c r="C249" s="955"/>
      <c r="D249" s="393">
        <f t="shared" si="77"/>
        <v>47.149988419669896</v>
      </c>
      <c r="E249" s="385">
        <f t="shared" si="100"/>
        <v>48.317238656692616</v>
      </c>
      <c r="F249" s="385">
        <f t="shared" si="78"/>
        <v>48.407500941066552</v>
      </c>
      <c r="G249" s="110">
        <f t="shared" si="101"/>
        <v>0.93141843472241403</v>
      </c>
      <c r="H249" s="414" t="b">
        <f>Wh_hp&gt;='2023'!Maxi_hp</f>
        <v>0</v>
      </c>
      <c r="I249" s="390">
        <f>IF(H249,Wh_hp,'2023'!Maxi_hp)</f>
        <v>51.339633290441888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4.8774481977607365E-2</v>
      </c>
      <c r="M249" s="959"/>
      <c r="N249" s="959"/>
      <c r="O249" s="48">
        <f>IF(t&lt;Tnet,'2023'!Resal+('2023'!Salim-'2023'!Resal)*(1-EXP(('2023'!Tnet-t)/('2023'!Tau_j))),Resal+(Salim-Resal)*(1-EXP((Tnet-t)/(Tau_j))))*Salcycl</f>
        <v>2.4158049372737508E-2</v>
      </c>
      <c r="P249" s="169">
        <f>(INDEX(Models!$BJ249:$BT249,,T249)*(1-R249)+INDEX(Models!$BJ249:$BT249,,T249+1)*R249-ERP_i)*Q249*Ramure*Pc/MaxiM</f>
        <v>2.0665448767139901E-3</v>
      </c>
      <c r="Q249" s="305">
        <f t="shared" si="80"/>
        <v>0.7</v>
      </c>
      <c r="R249" s="177">
        <f t="shared" si="81"/>
        <v>0.47736196693624811</v>
      </c>
      <c r="S249" s="921">
        <f t="shared" si="82"/>
        <v>1</v>
      </c>
      <c r="T249" s="176">
        <f t="shared" si="83"/>
        <v>7</v>
      </c>
      <c r="U249" s="251">
        <f t="shared" si="84"/>
        <v>1.4773619669362481</v>
      </c>
      <c r="V249" s="383">
        <f t="shared" si="85"/>
        <v>48.142916034301159</v>
      </c>
      <c r="W249" s="402">
        <f t="shared" si="86"/>
        <v>44.850272159250309</v>
      </c>
      <c r="X249" s="157">
        <f t="shared" si="87"/>
        <v>45526</v>
      </c>
      <c r="Y249" s="385">
        <f t="shared" si="88"/>
        <v>39.869125076047098</v>
      </c>
      <c r="Z249" s="385">
        <f t="shared" si="89"/>
        <v>41.913430958975333</v>
      </c>
      <c r="AA249" s="386">
        <f t="shared" si="90"/>
        <v>48.317238656692616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0.13253670689291894</v>
      </c>
      <c r="AD249" s="231">
        <f>(INDEX(Models!$BJ249:$BT249,,AH249)*(1-AF249)+INDEX(Models!$BJ249:$BT249,,AH249+1)*AF249-ERP_i)*AE249*Ramure*Pc/MaxiM</f>
        <v>2.0665448767139901E-3</v>
      </c>
      <c r="AE249" s="305">
        <f t="shared" si="92"/>
        <v>0.7</v>
      </c>
      <c r="AF249" s="177">
        <f t="shared" si="93"/>
        <v>0.47736196693624811</v>
      </c>
      <c r="AG249" s="921">
        <f t="shared" si="99"/>
        <v>1</v>
      </c>
      <c r="AH249" s="176">
        <f t="shared" si="94"/>
        <v>7</v>
      </c>
      <c r="AI249" s="225">
        <f t="shared" si="95"/>
        <v>1.4773619669362481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46.299697153122857</v>
      </c>
      <c r="C250" s="955"/>
      <c r="D250" s="393">
        <f t="shared" si="77"/>
        <v>48.674799382786411</v>
      </c>
      <c r="E250" s="385">
        <f t="shared" si="100"/>
        <v>49.886414380923071</v>
      </c>
      <c r="F250" s="385">
        <f t="shared" si="78"/>
        <v>49.981893253135475</v>
      </c>
      <c r="G250" s="110">
        <f t="shared" si="101"/>
        <v>0.96372178632799488</v>
      </c>
      <c r="H250" s="414" t="b">
        <f>Wh_hp&gt;='2023'!Maxi_hp</f>
        <v>0</v>
      </c>
      <c r="I250" s="390">
        <f>IF(H250,Wh_hp,'2023'!Maxi_hp)</f>
        <v>51.228164501997107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4.8795316257708055E-2</v>
      </c>
      <c r="M250" s="959"/>
      <c r="N250" s="959"/>
      <c r="O250" s="48">
        <f>IF(t&lt;Tnet,'2023'!Resal+('2023'!Salim-'2023'!Resal)*(1-EXP(('2023'!Tnet-t)/('2023'!Tau_j))),Resal+(Salim-Resal)*(1-EXP((Tnet-t)/(Tau_j))))*Salcycl</f>
        <v>2.4287474118404255E-2</v>
      </c>
      <c r="P250" s="169">
        <f>(INDEX(Models!$BJ250:$BT250,,T250)*(1-R250)+INDEX(Models!$BJ250:$BT250,,T250+1)*R250-ERP_i)*Q250*Ramure*Pc/MaxiM</f>
        <v>2.0143770609611748E-3</v>
      </c>
      <c r="Q250" s="305">
        <f t="shared" si="80"/>
        <v>0.7</v>
      </c>
      <c r="R250" s="177">
        <f t="shared" si="81"/>
        <v>0.47824128848591241</v>
      </c>
      <c r="S250" s="921">
        <f t="shared" si="82"/>
        <v>1</v>
      </c>
      <c r="T250" s="176">
        <f t="shared" si="83"/>
        <v>7</v>
      </c>
      <c r="U250" s="251">
        <f t="shared" si="84"/>
        <v>1.4782412884859124</v>
      </c>
      <c r="V250" s="383">
        <f t="shared" si="85"/>
        <v>48.037585559371493</v>
      </c>
      <c r="W250" s="402">
        <f t="shared" si="86"/>
        <v>46.299697153122857</v>
      </c>
      <c r="X250" s="157">
        <f t="shared" si="87"/>
        <v>45527</v>
      </c>
      <c r="Y250" s="385">
        <f t="shared" si="88"/>
        <v>41.161954380381943</v>
      </c>
      <c r="Z250" s="385">
        <f t="shared" si="89"/>
        <v>43.273498421433203</v>
      </c>
      <c r="AA250" s="386">
        <f t="shared" si="90"/>
        <v>49.886414380923071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0.13255945614761788</v>
      </c>
      <c r="AD250" s="231">
        <f>(INDEX(Models!$BJ250:$BT250,,AH250)*(1-AF250)+INDEX(Models!$BJ250:$BT250,,AH250+1)*AF250-ERP_i)*AE250*Ramure*Pc/MaxiM</f>
        <v>2.0143770609611748E-3</v>
      </c>
      <c r="AE250" s="305">
        <f t="shared" si="92"/>
        <v>0.7</v>
      </c>
      <c r="AF250" s="177">
        <f t="shared" si="93"/>
        <v>0.47824128848591241</v>
      </c>
      <c r="AG250" s="921">
        <f t="shared" si="99"/>
        <v>1</v>
      </c>
      <c r="AH250" s="176">
        <f t="shared" si="94"/>
        <v>7</v>
      </c>
      <c r="AI250" s="225">
        <f t="shared" si="95"/>
        <v>1.4782412884859124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29.899257674927782</v>
      </c>
      <c r="C251" s="955"/>
      <c r="D251" s="393">
        <f t="shared" si="77"/>
        <v>31.433731425832285</v>
      </c>
      <c r="E251" s="385">
        <f t="shared" si="100"/>
        <v>32.220447566404012</v>
      </c>
      <c r="F251" s="385">
        <f t="shared" si="78"/>
        <v>32.249825500003318</v>
      </c>
      <c r="G251" s="110">
        <f t="shared" si="101"/>
        <v>0.62312185534706144</v>
      </c>
      <c r="H251" s="414" t="b">
        <f>Wh_hp&gt;='2023'!Maxi_hp</f>
        <v>0</v>
      </c>
      <c r="I251" s="390">
        <f>IF(H251,Wh_hp,'2023'!Maxi_hp)</f>
        <v>50.680972332086561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4.8816150081484433E-2</v>
      </c>
      <c r="M251" s="959"/>
      <c r="N251" s="959"/>
      <c r="O251" s="48">
        <f>IF(t&lt;Tnet,'2023'!Resal+('2023'!Salim-'2023'!Resal)*(1-EXP(('2023'!Tnet-t)/('2023'!Tau_j))),Resal+(Salim-Resal)*(1-EXP((Tnet-t)/(Tau_j))))*Salcycl</f>
        <v>2.4416673261610157E-2</v>
      </c>
      <c r="P251" s="169">
        <f>(INDEX(Models!$BJ251:$BT251,,T251)*(1-R251)+INDEX(Models!$BJ251:$BT251,,T251+1)*R251-ERP_i)*Q251*Ramure*Pc/MaxiM</f>
        <v>1.9694196089640017E-3</v>
      </c>
      <c r="Q251" s="305">
        <f t="shared" si="80"/>
        <v>0.7</v>
      </c>
      <c r="R251" s="177">
        <f t="shared" si="81"/>
        <v>0.47908825365387697</v>
      </c>
      <c r="S251" s="921">
        <f t="shared" si="82"/>
        <v>1</v>
      </c>
      <c r="T251" s="176">
        <f t="shared" si="83"/>
        <v>7</v>
      </c>
      <c r="U251" s="251">
        <f t="shared" si="84"/>
        <v>1.479088253653877</v>
      </c>
      <c r="V251" s="383">
        <f t="shared" si="85"/>
        <v>47.932167786859338</v>
      </c>
      <c r="W251" s="402">
        <f t="shared" si="86"/>
        <v>29.899257674927782</v>
      </c>
      <c r="X251" s="157">
        <f t="shared" si="87"/>
        <v>45528</v>
      </c>
      <c r="Y251" s="385">
        <f t="shared" si="88"/>
        <v>26.584262568471711</v>
      </c>
      <c r="Z251" s="385">
        <f t="shared" si="89"/>
        <v>27.948605909098529</v>
      </c>
      <c r="AA251" s="386">
        <f t="shared" si="90"/>
        <v>32.220447566404012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0.1325816982678942</v>
      </c>
      <c r="AD251" s="231">
        <f>(INDEX(Models!$BJ251:$BT251,,AH251)*(1-AF251)+INDEX(Models!$BJ251:$BT251,,AH251+1)*AF251-ERP_i)*AE251*Ramure*Pc/MaxiM</f>
        <v>1.9694196089640017E-3</v>
      </c>
      <c r="AE251" s="305">
        <f t="shared" si="92"/>
        <v>0.7</v>
      </c>
      <c r="AF251" s="177">
        <f t="shared" si="93"/>
        <v>0.47908825365387697</v>
      </c>
      <c r="AG251" s="921">
        <f t="shared" si="99"/>
        <v>1</v>
      </c>
      <c r="AH251" s="176">
        <f t="shared" si="94"/>
        <v>7</v>
      </c>
      <c r="AI251" s="225">
        <f t="shared" si="95"/>
        <v>1.479088253653877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41.058711120718115</v>
      </c>
      <c r="C252" s="955"/>
      <c r="D252" s="393">
        <f t="shared" si="77"/>
        <v>43.166849852508228</v>
      </c>
      <c r="E252" s="385">
        <f t="shared" si="100"/>
        <v>44.253069865537064</v>
      </c>
      <c r="F252" s="385">
        <f t="shared" si="78"/>
        <v>44.321379787817513</v>
      </c>
      <c r="G252" s="110">
        <f t="shared" si="101"/>
        <v>0.85816255865481506</v>
      </c>
      <c r="H252" s="414" t="b">
        <f>Wh_hp&gt;='2023'!Maxi_hp</f>
        <v>0</v>
      </c>
      <c r="I252" s="390">
        <f>IF(H252,Wh_hp,'2023'!Maxi_hp)</f>
        <v>53.637175533284911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4.8836983448946714E-2</v>
      </c>
      <c r="M252" s="959"/>
      <c r="N252" s="959"/>
      <c r="O252" s="48">
        <f>IF(t&lt;Tnet,'2023'!Resal+('2023'!Salim-'2023'!Resal)*(1-EXP(('2023'!Tnet-t)/('2023'!Tau_j))),Resal+(Salim-Resal)*(1-EXP((Tnet-t)/(Tau_j))))*Salcycl</f>
        <v>2.4545642061201963E-2</v>
      </c>
      <c r="P252" s="169">
        <f>(INDEX(Models!$BJ252:$BT252,,T252)*(1-R252)+INDEX(Models!$BJ252:$BT252,,T252+1)*R252-ERP_i)*Q252*Ramure*Pc/MaxiM</f>
        <v>1.9317312018090735E-3</v>
      </c>
      <c r="Q252" s="305">
        <f t="shared" si="80"/>
        <v>0.7</v>
      </c>
      <c r="R252" s="177">
        <f t="shared" si="81"/>
        <v>0.47990393965528066</v>
      </c>
      <c r="S252" s="921">
        <f t="shared" si="82"/>
        <v>1</v>
      </c>
      <c r="T252" s="176">
        <f t="shared" si="83"/>
        <v>7</v>
      </c>
      <c r="U252" s="251">
        <f t="shared" si="84"/>
        <v>1.4799039396552807</v>
      </c>
      <c r="V252" s="383">
        <f t="shared" si="85"/>
        <v>47.826199044073363</v>
      </c>
      <c r="W252" s="402">
        <f t="shared" si="86"/>
        <v>41.058711120718115</v>
      </c>
      <c r="X252" s="157">
        <f t="shared" si="87"/>
        <v>45529</v>
      </c>
      <c r="Y252" s="385">
        <f t="shared" si="88"/>
        <v>36.510355973921399</v>
      </c>
      <c r="Z252" s="385">
        <f t="shared" si="89"/>
        <v>38.384961713828076</v>
      </c>
      <c r="AA252" s="386">
        <f t="shared" si="90"/>
        <v>44.253069865537064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0.1326034141707961</v>
      </c>
      <c r="AD252" s="231">
        <f>(INDEX(Models!$BJ252:$BT252,,AH252)*(1-AF252)+INDEX(Models!$BJ252:$BT252,,AH252+1)*AF252-ERP_i)*AE252*Ramure*Pc/MaxiM</f>
        <v>1.9317312018090735E-3</v>
      </c>
      <c r="AE252" s="305">
        <f t="shared" si="92"/>
        <v>0.7</v>
      </c>
      <c r="AF252" s="177">
        <f t="shared" si="93"/>
        <v>0.47990393965528066</v>
      </c>
      <c r="AG252" s="921">
        <f t="shared" si="99"/>
        <v>1</v>
      </c>
      <c r="AH252" s="176">
        <f t="shared" si="94"/>
        <v>7</v>
      </c>
      <c r="AI252" s="225">
        <f t="shared" si="95"/>
        <v>1.4799039396552807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46.124005624802713</v>
      </c>
      <c r="C253" s="955"/>
      <c r="D253" s="393">
        <f t="shared" si="77"/>
        <v>48.493281465334917</v>
      </c>
      <c r="E253" s="385">
        <f t="shared" si="100"/>
        <v>49.720093732211957</v>
      </c>
      <c r="F253" s="385">
        <f t="shared" si="78"/>
        <v>49.810278568749901</v>
      </c>
      <c r="G253" s="110">
        <f t="shared" si="101"/>
        <v>0.96648297583286391</v>
      </c>
      <c r="H253" s="414" t="b">
        <f>Wh_hp&gt;='2023'!Maxi_hp</f>
        <v>0</v>
      </c>
      <c r="I253" s="390">
        <f>IF(H253,Wh_hp,'2023'!Maxi_hp)</f>
        <v>51.403994258295555</v>
      </c>
      <c r="J253" s="85">
        <f>IF(H253,An,'2023'!An_max)</f>
        <v>2018</v>
      </c>
      <c r="K253" s="197">
        <f t="shared" si="79"/>
        <v>45530</v>
      </c>
      <c r="L253" s="147">
        <f>IF(t&lt;Tvie,1-EXP((T0-t)*PertePVj)+'2023'!Pspv,1-EXP((T0-t)*PertePVj)+Pspv)</f>
        <v>4.8857816360104667E-2</v>
      </c>
      <c r="M253" s="959"/>
      <c r="N253" s="959"/>
      <c r="O253" s="48">
        <f>IF(t&lt;Tnet,'2023'!Resal+('2023'!Salim-'2023'!Resal)*(1-EXP(('2023'!Tnet-t)/('2023'!Tau_j))),Resal+(Salim-Resal)*(1-EXP((Tnet-t)/(Tau_j))))*Salcycl</f>
        <v>2.4674375585141524E-2</v>
      </c>
      <c r="P253" s="169">
        <f>(INDEX(Models!$BJ253:$BT253,,T253)*(1-R253)+INDEX(Models!$BJ253:$BT253,,T253+1)*R253-ERP_i)*Q253*Ramure*Pc/MaxiM</f>
        <v>1.9013682655623298E-3</v>
      </c>
      <c r="Q253" s="305">
        <f t="shared" si="80"/>
        <v>0.7</v>
      </c>
      <c r="R253" s="177">
        <f t="shared" si="81"/>
        <v>0.48068939649052789</v>
      </c>
      <c r="S253" s="921">
        <f t="shared" si="82"/>
        <v>1</v>
      </c>
      <c r="T253" s="176">
        <f t="shared" si="83"/>
        <v>7</v>
      </c>
      <c r="U253" s="251">
        <f t="shared" si="84"/>
        <v>1.4806893964905279</v>
      </c>
      <c r="V253" s="383">
        <f t="shared" si="85"/>
        <v>47.719216017214222</v>
      </c>
      <c r="W253" s="402">
        <f t="shared" si="86"/>
        <v>46.124005624802713</v>
      </c>
      <c r="X253" s="157">
        <f t="shared" si="87"/>
        <v>45530</v>
      </c>
      <c r="Y253" s="385">
        <f t="shared" si="88"/>
        <v>41.01894542667133</v>
      </c>
      <c r="Z253" s="385">
        <f t="shared" si="89"/>
        <v>43.125986978831335</v>
      </c>
      <c r="AA253" s="386">
        <f t="shared" si="90"/>
        <v>49.720093732211957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0.13262458411474246</v>
      </c>
      <c r="AD253" s="231">
        <f>(INDEX(Models!$BJ253:$BT253,,AH253)*(1-AF253)+INDEX(Models!$BJ253:$BT253,,AH253+1)*AF253-ERP_i)*AE253*Ramure*Pc/MaxiM</f>
        <v>1.9013682655623298E-3</v>
      </c>
      <c r="AE253" s="305">
        <f t="shared" si="92"/>
        <v>0.7</v>
      </c>
      <c r="AF253" s="177">
        <f t="shared" si="93"/>
        <v>0.48068939649052789</v>
      </c>
      <c r="AG253" s="921">
        <f t="shared" si="99"/>
        <v>1</v>
      </c>
      <c r="AH253" s="176">
        <f t="shared" si="94"/>
        <v>7</v>
      </c>
      <c r="AI253" s="225">
        <f t="shared" si="95"/>
        <v>1.4806893964905279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46.233709099011286</v>
      </c>
      <c r="C254" s="955"/>
      <c r="D254" s="393">
        <f t="shared" si="77"/>
        <v>48.609684811940426</v>
      </c>
      <c r="E254" s="385">
        <f t="shared" si="100"/>
        <v>49.846008824268374</v>
      </c>
      <c r="F254" s="385">
        <f t="shared" si="78"/>
        <v>49.936039015661656</v>
      </c>
      <c r="G254" s="110">
        <f t="shared" si="101"/>
        <v>0.97100355910922465</v>
      </c>
      <c r="H254" s="414" t="b">
        <f>Wh_hp&gt;='2023'!Maxi_hp</f>
        <v>0</v>
      </c>
      <c r="I254" s="390">
        <f>IF(H254,Wh_hp,'2023'!Maxi_hp)</f>
        <v>53.343274555388398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4.8878648814968395E-2</v>
      </c>
      <c r="M254" s="959"/>
      <c r="N254" s="959"/>
      <c r="O254" s="48">
        <f>IF(t&lt;Tnet,'2023'!Resal+('2023'!Salim-'2023'!Resal)*(1-EXP(('2023'!Tnet-t)/('2023'!Tau_j))),Resal+(Salim-Resal)*(1-EXP((Tnet-t)/(Tau_j))))*Salcycl</f>
        <v>2.4802868704826446E-2</v>
      </c>
      <c r="P254" s="169">
        <f>(INDEX(Models!$BJ254:$BT254,,T254)*(1-R254)+INDEX(Models!$BJ254:$BT254,,T254+1)*R254-ERP_i)*Q254*Ramure*Pc/MaxiM</f>
        <v>1.880608432936454E-3</v>
      </c>
      <c r="Q254" s="305">
        <f t="shared" si="80"/>
        <v>0.7</v>
      </c>
      <c r="R254" s="177">
        <f t="shared" si="81"/>
        <v>0.48144564694308767</v>
      </c>
      <c r="S254" s="921">
        <f t="shared" si="82"/>
        <v>1</v>
      </c>
      <c r="T254" s="176">
        <f t="shared" si="83"/>
        <v>7</v>
      </c>
      <c r="U254" s="251">
        <f t="shared" si="84"/>
        <v>1.4814456469430877</v>
      </c>
      <c r="V254" s="383">
        <f t="shared" si="85"/>
        <v>47.610649721171988</v>
      </c>
      <c r="W254" s="402">
        <f t="shared" si="86"/>
        <v>46.233709099011286</v>
      </c>
      <c r="X254" s="157">
        <f t="shared" si="87"/>
        <v>45531</v>
      </c>
      <c r="Y254" s="385">
        <f t="shared" si="88"/>
        <v>41.120947541106375</v>
      </c>
      <c r="Z254" s="385">
        <f t="shared" si="89"/>
        <v>43.23417562845426</v>
      </c>
      <c r="AA254" s="386">
        <f t="shared" si="90"/>
        <v>49.846008824268374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0.13264518768441555</v>
      </c>
      <c r="AD254" s="231">
        <f>(INDEX(Models!$BJ254:$BT254,,AH254)*(1-AF254)+INDEX(Models!$BJ254:$BT254,,AH254+1)*AF254-ERP_i)*AE254*Ramure*Pc/MaxiM</f>
        <v>1.880608432936454E-3</v>
      </c>
      <c r="AE254" s="305">
        <f t="shared" si="92"/>
        <v>0.7</v>
      </c>
      <c r="AF254" s="177">
        <f t="shared" si="93"/>
        <v>0.48144564694308767</v>
      </c>
      <c r="AG254" s="921">
        <f t="shared" si="99"/>
        <v>1</v>
      </c>
      <c r="AH254" s="176">
        <f t="shared" si="94"/>
        <v>7</v>
      </c>
      <c r="AI254" s="225">
        <f t="shared" si="95"/>
        <v>1.4814456469430877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32.488375711372164</v>
      </c>
      <c r="C255" s="955"/>
      <c r="D255" s="393">
        <f t="shared" si="77"/>
        <v>34.158719352989024</v>
      </c>
      <c r="E255" s="385">
        <f t="shared" si="100"/>
        <v>35.032108927437996</v>
      </c>
      <c r="F255" s="385">
        <f t="shared" si="78"/>
        <v>35.06800070397496</v>
      </c>
      <c r="G255" s="110">
        <f t="shared" si="101"/>
        <v>0.6833860153665885</v>
      </c>
      <c r="H255" s="414" t="b">
        <f>Wh_hp&gt;='2023'!Maxi_hp</f>
        <v>0</v>
      </c>
      <c r="I255" s="390">
        <f>IF(H255,Wh_hp,'2023'!Maxi_hp)</f>
        <v>52.809812213553279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4.8899480813548002E-2</v>
      </c>
      <c r="M255" s="959"/>
      <c r="N255" s="959"/>
      <c r="O255" s="48">
        <f>IF(t&lt;Tnet,'2023'!Resal+('2023'!Salim-'2023'!Resal)*(1-EXP(('2023'!Tnet-t)/('2023'!Tau_j))),Resal+(Salim-Resal)*(1-EXP((Tnet-t)/(Tau_j))))*Salcycl</f>
        <v>2.493111608718785E-2</v>
      </c>
      <c r="P255" s="169">
        <f>(INDEX(Models!$BJ255:$BT255,,T255)*(1-R255)+INDEX(Models!$BJ255:$BT255,,T255+1)*R255-ERP_i)*Q255*Ramure*Pc/MaxiM</f>
        <v>1.8659192437560526E-3</v>
      </c>
      <c r="Q255" s="305">
        <f t="shared" si="80"/>
        <v>0.7</v>
      </c>
      <c r="R255" s="177">
        <f t="shared" si="81"/>
        <v>0.48217368664538229</v>
      </c>
      <c r="S255" s="921">
        <f t="shared" si="82"/>
        <v>1</v>
      </c>
      <c r="T255" s="176">
        <f t="shared" si="83"/>
        <v>7</v>
      </c>
      <c r="U255" s="251">
        <f t="shared" si="84"/>
        <v>1.4821736866453823</v>
      </c>
      <c r="V255" s="383">
        <f t="shared" si="85"/>
        <v>47.500208973143842</v>
      </c>
      <c r="W255" s="402">
        <f t="shared" si="86"/>
        <v>32.488375711372164</v>
      </c>
      <c r="X255" s="157">
        <f t="shared" si="87"/>
        <v>45532</v>
      </c>
      <c r="Y255" s="385">
        <f t="shared" si="88"/>
        <v>28.898777504394495</v>
      </c>
      <c r="Z255" s="385">
        <f t="shared" si="89"/>
        <v>30.384567058289274</v>
      </c>
      <c r="AA255" s="386">
        <f t="shared" si="90"/>
        <v>35.032108927437996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0.13266520376421456</v>
      </c>
      <c r="AD255" s="231">
        <f>(INDEX(Models!$BJ255:$BT255,,AH255)*(1-AF255)+INDEX(Models!$BJ255:$BT255,,AH255+1)*AF255-ERP_i)*AE255*Ramure*Pc/MaxiM</f>
        <v>1.8659192437560526E-3</v>
      </c>
      <c r="AE255" s="305">
        <f t="shared" si="92"/>
        <v>0.7</v>
      </c>
      <c r="AF255" s="177">
        <f t="shared" si="93"/>
        <v>0.48217368664538229</v>
      </c>
      <c r="AG255" s="921">
        <f t="shared" si="99"/>
        <v>1</v>
      </c>
      <c r="AH255" s="176">
        <f t="shared" si="94"/>
        <v>7</v>
      </c>
      <c r="AI255" s="225">
        <f t="shared" si="95"/>
        <v>1.4821736866453823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45.922118772676654</v>
      </c>
      <c r="C256" s="955"/>
      <c r="D256" s="393">
        <f t="shared" si="77"/>
        <v>48.284196760028742</v>
      </c>
      <c r="E256" s="385">
        <f t="shared" si="100"/>
        <v>49.525255698555789</v>
      </c>
      <c r="F256" s="385">
        <f t="shared" si="78"/>
        <v>49.613334292522453</v>
      </c>
      <c r="G256" s="110">
        <f t="shared" si="101"/>
        <v>0.968998380943071</v>
      </c>
      <c r="H256" s="414" t="b">
        <f>Wh_hp&gt;='2023'!Maxi_hp</f>
        <v>0</v>
      </c>
      <c r="I256" s="390">
        <f>IF(H256,Wh_hp,'2023'!Maxi_hp)</f>
        <v>51.020688029577649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4.8920312355853368E-2</v>
      </c>
      <c r="M256" s="959"/>
      <c r="N256" s="959"/>
      <c r="O256" s="48">
        <f>IF(t&lt;Tnet,'2023'!Resal+('2023'!Salim-'2023'!Resal)*(1-EXP(('2023'!Tnet-t)/('2023'!Tau_j))),Resal+(Salim-Resal)*(1-EXP((Tnet-t)/(Tau_j))))*Salcycl</f>
        <v>2.5059112184719946E-2</v>
      </c>
      <c r="P256" s="169">
        <f>(INDEX(Models!$BJ256:$BT256,,T256)*(1-R256)+INDEX(Models!$BJ256:$BT256,,T256+1)*R256-ERP_i)*Q256*Ramure*Pc/MaxiM</f>
        <v>1.8573477637184479E-3</v>
      </c>
      <c r="Q256" s="305">
        <f t="shared" si="80"/>
        <v>0.7</v>
      </c>
      <c r="R256" s="177">
        <f t="shared" si="81"/>
        <v>0.4828744842065571</v>
      </c>
      <c r="S256" s="921">
        <f t="shared" si="82"/>
        <v>1</v>
      </c>
      <c r="T256" s="176">
        <f t="shared" si="83"/>
        <v>7</v>
      </c>
      <c r="U256" s="251">
        <f t="shared" si="84"/>
        <v>1.4828744842065571</v>
      </c>
      <c r="V256" s="383">
        <f t="shared" si="85"/>
        <v>47.387431399544703</v>
      </c>
      <c r="W256" s="402">
        <f t="shared" si="86"/>
        <v>45.922118772676654</v>
      </c>
      <c r="X256" s="157">
        <f t="shared" si="87"/>
        <v>45533</v>
      </c>
      <c r="Y256" s="385">
        <f t="shared" si="88"/>
        <v>40.852692535208924</v>
      </c>
      <c r="Z256" s="385">
        <f t="shared" si="89"/>
        <v>42.954016436206608</v>
      </c>
      <c r="AA256" s="386">
        <f t="shared" si="90"/>
        <v>49.525255698555789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0.13268461050148206</v>
      </c>
      <c r="AD256" s="231">
        <f>(INDEX(Models!$BJ256:$BT256,,AH256)*(1-AF256)+INDEX(Models!$BJ256:$BT256,,AH256+1)*AF256-ERP_i)*AE256*Ramure*Pc/MaxiM</f>
        <v>1.8573477637184479E-3</v>
      </c>
      <c r="AE256" s="305">
        <f t="shared" si="92"/>
        <v>0.7</v>
      </c>
      <c r="AF256" s="177">
        <f t="shared" si="93"/>
        <v>0.4828744842065571</v>
      </c>
      <c r="AG256" s="921">
        <f t="shared" si="99"/>
        <v>1</v>
      </c>
      <c r="AH256" s="176">
        <f t="shared" si="94"/>
        <v>7</v>
      </c>
      <c r="AI256" s="225">
        <f t="shared" si="95"/>
        <v>1.4828744842065571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20.879073230445776</v>
      </c>
      <c r="C257" s="955"/>
      <c r="D257" s="393">
        <f t="shared" si="77"/>
        <v>21.953502757975897</v>
      </c>
      <c r="E257" s="385">
        <f t="shared" si="100"/>
        <v>22.520729008972832</v>
      </c>
      <c r="F257" s="385">
        <f t="shared" si="78"/>
        <v>22.529187420556799</v>
      </c>
      <c r="G257" s="110">
        <f t="shared" si="101"/>
        <v>0.4410271412314728</v>
      </c>
      <c r="H257" s="414" t="b">
        <f>Wh_hp&gt;='2023'!Maxi_hp</f>
        <v>0</v>
      </c>
      <c r="I257" s="390">
        <f>IF(H257,Wh_hp,'2023'!Maxi_hp)</f>
        <v>51.639133296774915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4.8941143441894375E-2</v>
      </c>
      <c r="M257" s="959"/>
      <c r="N257" s="959"/>
      <c r="O257" s="48">
        <f>IF(t&lt;Tnet,'2023'!Resal+('2023'!Salim-'2023'!Resal)*(1-EXP(('2023'!Tnet-t)/('2023'!Tau_j))),Resal+(Salim-Resal)*(1-EXP((Tnet-t)/(Tau_j))))*Salcycl</f>
        <v>2.5186851223641005E-2</v>
      </c>
      <c r="P257" s="169">
        <f>(INDEX(Models!$BJ257:$BT257,,T257)*(1-R257)+INDEX(Models!$BJ257:$BT257,,T257+1)*R257-ERP_i)*Q257*Ramure*Pc/MaxiM</f>
        <v>1.8549412672903705E-3</v>
      </c>
      <c r="Q257" s="305">
        <f t="shared" si="80"/>
        <v>0.7</v>
      </c>
      <c r="R257" s="177">
        <f t="shared" si="81"/>
        <v>0.48354898139625724</v>
      </c>
      <c r="S257" s="921">
        <f t="shared" si="82"/>
        <v>1</v>
      </c>
      <c r="T257" s="176">
        <f t="shared" si="83"/>
        <v>7</v>
      </c>
      <c r="U257" s="251">
        <f t="shared" si="84"/>
        <v>1.4835489813962572</v>
      </c>
      <c r="V257" s="383">
        <f t="shared" si="85"/>
        <v>47.271854980370556</v>
      </c>
      <c r="W257" s="402">
        <f t="shared" si="86"/>
        <v>20.879073230445776</v>
      </c>
      <c r="X257" s="157">
        <f t="shared" si="87"/>
        <v>45534</v>
      </c>
      <c r="Y257" s="385">
        <f t="shared" si="88"/>
        <v>18.576226176663582</v>
      </c>
      <c r="Z257" s="385">
        <f t="shared" si="89"/>
        <v>19.532152030938636</v>
      </c>
      <c r="AA257" s="386">
        <f t="shared" si="90"/>
        <v>22.520729008972832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0.13270338526090655</v>
      </c>
      <c r="AD257" s="231">
        <f>(INDEX(Models!$BJ257:$BT257,,AH257)*(1-AF257)+INDEX(Models!$BJ257:$BT257,,AH257+1)*AF257-ERP_i)*AE257*Ramure*Pc/MaxiM</f>
        <v>1.8549412672903705E-3</v>
      </c>
      <c r="AE257" s="305">
        <f t="shared" si="92"/>
        <v>0.7</v>
      </c>
      <c r="AF257" s="177">
        <f t="shared" si="93"/>
        <v>0.48354898139625724</v>
      </c>
      <c r="AG257" s="921">
        <f t="shared" si="99"/>
        <v>1</v>
      </c>
      <c r="AH257" s="176">
        <f t="shared" si="94"/>
        <v>7</v>
      </c>
      <c r="AI257" s="225">
        <f t="shared" si="95"/>
        <v>1.4835489813962572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42.434676080623149</v>
      </c>
      <c r="C258" s="955"/>
      <c r="D258" s="393">
        <f t="shared" si="77"/>
        <v>44.619326382036292</v>
      </c>
      <c r="E258" s="385">
        <f t="shared" si="100"/>
        <v>45.778169954442106</v>
      </c>
      <c r="F258" s="385">
        <f t="shared" si="78"/>
        <v>45.851212825331565</v>
      </c>
      <c r="G258" s="110">
        <f t="shared" si="101"/>
        <v>0.89969602515204616</v>
      </c>
      <c r="H258" s="414" t="b">
        <f>Wh_hp&gt;='2023'!Maxi_hp</f>
        <v>0</v>
      </c>
      <c r="I258" s="390">
        <f>IF(H258,Wh_hp,'2023'!Maxi_hp)</f>
        <v>52.083506608695828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4.8961974071681236E-2</v>
      </c>
      <c r="M258" s="959"/>
      <c r="N258" s="959"/>
      <c r="O258" s="48">
        <f>IF(t&lt;Tnet,'2023'!Resal+('2023'!Salim-'2023'!Resal)*(1-EXP(('2023'!Tnet-t)/('2023'!Tau_j))),Resal+(Salim-Resal)*(1-EXP((Tnet-t)/(Tau_j))))*Salcycl</f>
        <v>2.5314327190429059E-2</v>
      </c>
      <c r="P258" s="169">
        <f>(INDEX(Models!$BJ258:$BT258,,T258)*(1-R258)+INDEX(Models!$BJ258:$BT258,,T258+1)*R258-ERP_i)*Q258*Ramure*Pc/MaxiM</f>
        <v>1.8587477976927049E-3</v>
      </c>
      <c r="Q258" s="305">
        <f t="shared" si="80"/>
        <v>0.7</v>
      </c>
      <c r="R258" s="177">
        <f t="shared" si="81"/>
        <v>0.48419809337887876</v>
      </c>
      <c r="S258" s="921">
        <f t="shared" si="82"/>
        <v>1</v>
      </c>
      <c r="T258" s="176">
        <f t="shared" si="83"/>
        <v>7</v>
      </c>
      <c r="U258" s="251">
        <f t="shared" si="84"/>
        <v>1.4841980933788788</v>
      </c>
      <c r="V258" s="383">
        <f t="shared" si="85"/>
        <v>47.153018053377551</v>
      </c>
      <c r="W258" s="402">
        <f t="shared" si="86"/>
        <v>42.434676080623149</v>
      </c>
      <c r="X258" s="157">
        <f t="shared" si="87"/>
        <v>45535</v>
      </c>
      <c r="Y258" s="385">
        <f t="shared" si="88"/>
        <v>37.758513387301591</v>
      </c>
      <c r="Z258" s="385">
        <f t="shared" si="89"/>
        <v>39.702422361550774</v>
      </c>
      <c r="AA258" s="386">
        <f t="shared" si="90"/>
        <v>45.778169954442106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0.13272150457167339</v>
      </c>
      <c r="AD258" s="231">
        <f>(INDEX(Models!$BJ258:$BT258,,AH258)*(1-AF258)+INDEX(Models!$BJ258:$BT258,,AH258+1)*AF258-ERP_i)*AE258*Ramure*Pc/MaxiM</f>
        <v>1.8587477976927049E-3</v>
      </c>
      <c r="AE258" s="305">
        <f t="shared" si="92"/>
        <v>0.7</v>
      </c>
      <c r="AF258" s="177">
        <f t="shared" si="93"/>
        <v>0.48419809337887876</v>
      </c>
      <c r="AG258" s="921">
        <f t="shared" si="99"/>
        <v>1</v>
      </c>
      <c r="AH258" s="176">
        <f t="shared" si="94"/>
        <v>7</v>
      </c>
      <c r="AI258" s="225">
        <f t="shared" si="95"/>
        <v>1.4841980933788788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39.5723302964929</v>
      </c>
      <c r="C259" s="955"/>
      <c r="D259" s="393">
        <f t="shared" si="77"/>
        <v>41.610530780241319</v>
      </c>
      <c r="E259" s="385">
        <f t="shared" si="100"/>
        <v>42.696802936016475</v>
      </c>
      <c r="F259" s="385">
        <f t="shared" si="78"/>
        <v>42.758608257447762</v>
      </c>
      <c r="G259" s="110">
        <f t="shared" si="101"/>
        <v>0.84106242874450021</v>
      </c>
      <c r="H259" s="414" t="b">
        <f>Wh_hp&gt;='2023'!Maxi_hp</f>
        <v>0</v>
      </c>
      <c r="I259" s="390">
        <f>IF(H259,Wh_hp,'2023'!Maxi_hp)</f>
        <v>50.502495754224739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4.8982804245223832E-2</v>
      </c>
      <c r="M259" s="959"/>
      <c r="N259" s="959"/>
      <c r="O259" s="48">
        <f>IF(t&lt;Tnet,'2023'!Resal+('2023'!Salim-'2023'!Resal)*(1-EXP(('2023'!Tnet-t)/('2023'!Tau_j))),Resal+(Salim-Resal)*(1-EXP((Tnet-t)/(Tau_j))))*Salcycl</f>
        <v>2.5441533817016672E-2</v>
      </c>
      <c r="P259" s="169">
        <f>(INDEX(Models!$BJ259:$BT259,,T259)*(1-R259)+INDEX(Models!$BJ259:$BT259,,T259+1)*R259-ERP_i)*Q259*Ramure*Pc/MaxiM</f>
        <v>1.8688167385311932E-3</v>
      </c>
      <c r="Q259" s="305">
        <f t="shared" si="80"/>
        <v>0.7</v>
      </c>
      <c r="R259" s="177">
        <f t="shared" si="81"/>
        <v>0.48482270899308544</v>
      </c>
      <c r="S259" s="921">
        <f t="shared" si="82"/>
        <v>1</v>
      </c>
      <c r="T259" s="176">
        <f t="shared" si="83"/>
        <v>7</v>
      </c>
      <c r="U259" s="251">
        <f t="shared" si="84"/>
        <v>1.4848227089930854</v>
      </c>
      <c r="V259" s="383">
        <f t="shared" si="85"/>
        <v>47.030459314065183</v>
      </c>
      <c r="W259" s="402">
        <f t="shared" si="86"/>
        <v>39.5723302964929</v>
      </c>
      <c r="X259" s="157">
        <f t="shared" si="87"/>
        <v>45536</v>
      </c>
      <c r="Y259" s="385">
        <f t="shared" si="88"/>
        <v>35.215476699926775</v>
      </c>
      <c r="Z259" s="385">
        <f t="shared" si="89"/>
        <v>37.02927439916369</v>
      </c>
      <c r="AA259" s="386">
        <f t="shared" si="90"/>
        <v>42.696802936016475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0.13273894406908857</v>
      </c>
      <c r="AD259" s="231">
        <f>(INDEX(Models!$BJ259:$BT259,,AH259)*(1-AF259)+INDEX(Models!$BJ259:$BT259,,AH259+1)*AF259-ERP_i)*AE259*Ramure*Pc/MaxiM</f>
        <v>1.8688167385311932E-3</v>
      </c>
      <c r="AE259" s="305">
        <f t="shared" si="92"/>
        <v>0.7</v>
      </c>
      <c r="AF259" s="177">
        <f t="shared" si="93"/>
        <v>0.48482270899308544</v>
      </c>
      <c r="AG259" s="921">
        <f t="shared" si="99"/>
        <v>1</v>
      </c>
      <c r="AH259" s="176">
        <f t="shared" si="94"/>
        <v>7</v>
      </c>
      <c r="AI259" s="225">
        <f t="shared" si="95"/>
        <v>1.4848227089930854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37.607967795392575</v>
      </c>
      <c r="C260" s="955"/>
      <c r="D260" s="393">
        <f t="shared" si="77"/>
        <v>39.545858573670806</v>
      </c>
      <c r="E260" s="385">
        <f t="shared" si="100"/>
        <v>40.583516784496979</v>
      </c>
      <c r="F260" s="385">
        <f t="shared" si="78"/>
        <v>40.63843764988308</v>
      </c>
      <c r="G260" s="110">
        <f t="shared" si="101"/>
        <v>0.80138354040894921</v>
      </c>
      <c r="H260" s="414" t="b">
        <f>Wh_hp&gt;='2023'!Maxi_hp</f>
        <v>0</v>
      </c>
      <c r="I260" s="390">
        <f>IF(H260,Wh_hp,'2023'!Maxi_hp)</f>
        <v>52.236523625300045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4.9003633962532156E-2</v>
      </c>
      <c r="M260" s="959"/>
      <c r="N260" s="959"/>
      <c r="O260" s="48">
        <f>IF(t&lt;Tnet,'2023'!Resal+('2023'!Salim-'2023'!Resal)*(1-EXP(('2023'!Tnet-t)/('2023'!Tau_j))),Resal+(Salim-Resal)*(1-EXP((Tnet-t)/(Tau_j))))*Salcycl</f>
        <v>2.5568464564967423E-2</v>
      </c>
      <c r="P260" s="169">
        <f>(INDEX(Models!$BJ260:$BT260,,T260)*(1-R260)+INDEX(Models!$BJ260:$BT260,,T260+1)*R260-ERP_i)*Q260*Ramure*Pc/MaxiM</f>
        <v>1.8851993976889943E-3</v>
      </c>
      <c r="Q260" s="305">
        <f t="shared" si="80"/>
        <v>0.7</v>
      </c>
      <c r="R260" s="177">
        <f t="shared" si="81"/>
        <v>0.48542369107171091</v>
      </c>
      <c r="S260" s="921">
        <f t="shared" si="82"/>
        <v>1</v>
      </c>
      <c r="T260" s="176">
        <f t="shared" si="83"/>
        <v>7</v>
      </c>
      <c r="U260" s="251">
        <f t="shared" si="84"/>
        <v>1.4854236910717109</v>
      </c>
      <c r="V260" s="383">
        <f t="shared" si="85"/>
        <v>46.903717821049682</v>
      </c>
      <c r="W260" s="402">
        <f t="shared" si="86"/>
        <v>37.607967795392575</v>
      </c>
      <c r="X260" s="157">
        <f t="shared" si="87"/>
        <v>45537</v>
      </c>
      <c r="Y260" s="385">
        <f t="shared" si="88"/>
        <v>33.47110118073654</v>
      </c>
      <c r="Z260" s="385">
        <f t="shared" si="89"/>
        <v>35.195824480593046</v>
      </c>
      <c r="AA260" s="386">
        <f t="shared" si="90"/>
        <v>40.583516784496979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0.13275567843253169</v>
      </c>
      <c r="AD260" s="231">
        <f>(INDEX(Models!$BJ260:$BT260,,AH260)*(1-AF260)+INDEX(Models!$BJ260:$BT260,,AH260+1)*AF260-ERP_i)*AE260*Ramure*Pc/MaxiM</f>
        <v>1.8851993976889943E-3</v>
      </c>
      <c r="AE260" s="305">
        <f t="shared" si="92"/>
        <v>0.7</v>
      </c>
      <c r="AF260" s="177">
        <f t="shared" si="93"/>
        <v>0.48542369107171091</v>
      </c>
      <c r="AG260" s="921">
        <f t="shared" si="99"/>
        <v>1</v>
      </c>
      <c r="AH260" s="176">
        <f t="shared" si="94"/>
        <v>7</v>
      </c>
      <c r="AI260" s="225">
        <f t="shared" si="95"/>
        <v>1.4854236910717109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44.940537270086992</v>
      </c>
      <c r="C261" s="955"/>
      <c r="D261" s="393">
        <f t="shared" si="77"/>
        <v>47.257301089391206</v>
      </c>
      <c r="E261" s="385">
        <f t="shared" si="100"/>
        <v>48.503606726162211</v>
      </c>
      <c r="F261" s="385">
        <f t="shared" si="78"/>
        <v>48.591120854864648</v>
      </c>
      <c r="G261" s="110">
        <f t="shared" si="101"/>
        <v>0.96069586326381351</v>
      </c>
      <c r="H261" s="414" t="b">
        <f>Wh_hp&gt;='2023'!Maxi_hp</f>
        <v>0</v>
      </c>
      <c r="I261" s="390">
        <f>IF(H261,Wh_hp,'2023'!Maxi_hp)</f>
        <v>51.364733019215166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4.9024463223616199E-2</v>
      </c>
      <c r="M261" s="959"/>
      <c r="N261" s="959"/>
      <c r="O261" s="48">
        <f>IF(t&lt;Tnet,'2023'!Resal+('2023'!Salim-'2023'!Resal)*(1-EXP(('2023'!Tnet-t)/('2023'!Tau_j))),Resal+(Salim-Resal)*(1-EXP((Tnet-t)/(Tau_j))))*Salcycl</f>
        <v>2.5695112608992047E-2</v>
      </c>
      <c r="P261" s="169">
        <f>(INDEX(Models!$BJ261:$BT261,,T261)*(1-R261)+INDEX(Models!$BJ261:$BT261,,T261+1)*R261-ERP_i)*Q261*Ramure*Pc/MaxiM</f>
        <v>1.9078758611547932E-3</v>
      </c>
      <c r="Q261" s="305">
        <f t="shared" si="80"/>
        <v>0.7</v>
      </c>
      <c r="R261" s="177">
        <f t="shared" si="81"/>
        <v>0.48600187679747497</v>
      </c>
      <c r="S261" s="921">
        <f t="shared" si="82"/>
        <v>1</v>
      </c>
      <c r="T261" s="176">
        <f t="shared" si="83"/>
        <v>7</v>
      </c>
      <c r="U261" s="251">
        <f t="shared" si="84"/>
        <v>1.486001876797475</v>
      </c>
      <c r="V261" s="383">
        <f t="shared" si="85"/>
        <v>46.774144317762932</v>
      </c>
      <c r="W261" s="402">
        <f t="shared" si="86"/>
        <v>44.940537270086992</v>
      </c>
      <c r="X261" s="157">
        <f t="shared" si="87"/>
        <v>45538</v>
      </c>
      <c r="Y261" s="385">
        <f t="shared" si="88"/>
        <v>40.001550932994562</v>
      </c>
      <c r="Z261" s="385">
        <f t="shared" si="89"/>
        <v>42.063701310963047</v>
      </c>
      <c r="AA261" s="386">
        <f t="shared" si="90"/>
        <v>48.503606726162211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0.13277168132170189</v>
      </c>
      <c r="AD261" s="231">
        <f>(INDEX(Models!$BJ261:$BT261,,AH261)*(1-AF261)+INDEX(Models!$BJ261:$BT261,,AH261+1)*AF261-ERP_i)*AE261*Ramure*Pc/MaxiM</f>
        <v>1.9078758611547932E-3</v>
      </c>
      <c r="AE261" s="305">
        <f t="shared" si="92"/>
        <v>0.7</v>
      </c>
      <c r="AF261" s="177">
        <f t="shared" si="93"/>
        <v>0.48600187679747497</v>
      </c>
      <c r="AG261" s="921">
        <f t="shared" si="99"/>
        <v>1</v>
      </c>
      <c r="AH261" s="176">
        <f t="shared" si="94"/>
        <v>7</v>
      </c>
      <c r="AI261" s="225">
        <f t="shared" si="95"/>
        <v>1.486001876797475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41.25663403627857</v>
      </c>
      <c r="C262" s="955"/>
      <c r="D262" s="393">
        <f t="shared" si="77"/>
        <v>43.384436388440925</v>
      </c>
      <c r="E262" s="385">
        <f t="shared" si="100"/>
        <v>44.534379571029653</v>
      </c>
      <c r="F262" s="385">
        <f t="shared" si="78"/>
        <v>44.606547106514206</v>
      </c>
      <c r="G262" s="110">
        <f t="shared" si="101"/>
        <v>0.88423299566784208</v>
      </c>
      <c r="H262" s="414" t="b">
        <f>Wh_hp&gt;='2023'!Maxi_hp</f>
        <v>0</v>
      </c>
      <c r="I262" s="390">
        <f>IF(H262,Wh_hp,'2023'!Maxi_hp)</f>
        <v>50.98450100113412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4.9045292028485954E-2</v>
      </c>
      <c r="M262" s="959"/>
      <c r="N262" s="959"/>
      <c r="O262" s="48">
        <f>IF(t&lt;Tnet,'2023'!Resal+('2023'!Salim-'2023'!Resal)*(1-EXP(('2023'!Tnet-t)/('2023'!Tau_j))),Resal+(Salim-Resal)*(1-EXP((Tnet-t)/(Tau_j))))*Salcycl</f>
        <v>2.5821470820192712E-2</v>
      </c>
      <c r="P262" s="169">
        <f>(INDEX(Models!$BJ262:$BT262,,T262)*(1-R262)+INDEX(Models!$BJ262:$BT262,,T262+1)*R262-ERP_i)*Q262*Ramure*Pc/MaxiM</f>
        <v>1.9375136311045606E-3</v>
      </c>
      <c r="Q262" s="305">
        <f t="shared" si="80"/>
        <v>0.7</v>
      </c>
      <c r="R262" s="177">
        <f t="shared" si="81"/>
        <v>0.48655807809024698</v>
      </c>
      <c r="S262" s="921">
        <f t="shared" si="82"/>
        <v>1</v>
      </c>
      <c r="T262" s="176">
        <f t="shared" si="83"/>
        <v>7</v>
      </c>
      <c r="U262" s="251">
        <f t="shared" si="84"/>
        <v>1.486558078090247</v>
      </c>
      <c r="V262" s="383">
        <f t="shared" si="85"/>
        <v>46.643164633525835</v>
      </c>
      <c r="W262" s="402">
        <f t="shared" si="86"/>
        <v>41.25663403627857</v>
      </c>
      <c r="X262" s="157">
        <f t="shared" si="87"/>
        <v>45539</v>
      </c>
      <c r="Y262" s="385">
        <f t="shared" si="88"/>
        <v>36.726628007242134</v>
      </c>
      <c r="Z262" s="385">
        <f t="shared" si="89"/>
        <v>38.620796237061462</v>
      </c>
      <c r="AA262" s="386">
        <f t="shared" si="90"/>
        <v>44.534379571029653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0.13278692531320385</v>
      </c>
      <c r="AD262" s="231">
        <f>(INDEX(Models!$BJ262:$BT262,,AH262)*(1-AF262)+INDEX(Models!$BJ262:$BT262,,AH262+1)*AF262-ERP_i)*AE262*Ramure*Pc/MaxiM</f>
        <v>1.9375136311045606E-3</v>
      </c>
      <c r="AE262" s="305">
        <f t="shared" si="92"/>
        <v>0.7</v>
      </c>
      <c r="AF262" s="177">
        <f t="shared" si="93"/>
        <v>0.48655807809024698</v>
      </c>
      <c r="AG262" s="921">
        <f t="shared" si="99"/>
        <v>1</v>
      </c>
      <c r="AH262" s="176">
        <f t="shared" si="94"/>
        <v>7</v>
      </c>
      <c r="AI262" s="225">
        <f t="shared" si="95"/>
        <v>1.486558078090247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44.416815450193162</v>
      </c>
      <c r="C263" s="955"/>
      <c r="D263" s="393">
        <f t="shared" si="77"/>
        <v>46.708626542793269</v>
      </c>
      <c r="E263" s="385">
        <f t="shared" si="100"/>
        <v>47.952885563428097</v>
      </c>
      <c r="F263" s="385">
        <f t="shared" si="78"/>
        <v>48.04144914722648</v>
      </c>
      <c r="G263" s="110">
        <f t="shared" si="101"/>
        <v>0.95486008245913934</v>
      </c>
      <c r="H263" s="414" t="b">
        <f>Wh_hp&gt;='2023'!Maxi_hp</f>
        <v>0</v>
      </c>
      <c r="I263" s="390">
        <f>IF(H263,Wh_hp,'2023'!Maxi_hp)</f>
        <v>50.093779259666192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4.9066120377151412E-2</v>
      </c>
      <c r="M263" s="959"/>
      <c r="N263" s="959"/>
      <c r="O263" s="48">
        <f>IF(t&lt;Tnet,'2023'!Resal+('2023'!Salim-'2023'!Resal)*(1-EXP(('2023'!Tnet-t)/('2023'!Tau_j))),Resal+(Salim-Resal)*(1-EXP((Tnet-t)/(Tau_j))))*Salcycl</f>
        <v>2.5947531749450716E-2</v>
      </c>
      <c r="P263" s="169">
        <f>(INDEX(Models!$BJ263:$BT263,,T263)*(1-R263)+INDEX(Models!$BJ263:$BT263,,T263+1)*R263-ERP_i)*Q263*Ramure*Pc/MaxiM</f>
        <v>1.9701904789357154E-3</v>
      </c>
      <c r="Q263" s="305">
        <f t="shared" si="80"/>
        <v>0.7</v>
      </c>
      <c r="R263" s="177">
        <f t="shared" si="81"/>
        <v>0.48709308202187862</v>
      </c>
      <c r="S263" s="921">
        <f t="shared" si="82"/>
        <v>1</v>
      </c>
      <c r="T263" s="176">
        <f t="shared" si="83"/>
        <v>7</v>
      </c>
      <c r="U263" s="251">
        <f t="shared" si="84"/>
        <v>1.4870930820218786</v>
      </c>
      <c r="V263" s="383">
        <f t="shared" si="85"/>
        <v>46.510664671145584</v>
      </c>
      <c r="W263" s="402">
        <f t="shared" si="86"/>
        <v>44.416815450193162</v>
      </c>
      <c r="X263" s="157">
        <f t="shared" si="87"/>
        <v>45540</v>
      </c>
      <c r="Y263" s="385">
        <f t="shared" si="88"/>
        <v>39.544277374169233</v>
      </c>
      <c r="Z263" s="385">
        <f t="shared" si="89"/>
        <v>41.584676097409584</v>
      </c>
      <c r="AA263" s="386">
        <f t="shared" si="90"/>
        <v>47.952885563428097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0.13280138183958037</v>
      </c>
      <c r="AD263" s="231">
        <f>(INDEX(Models!$BJ263:$BT263,,AH263)*(1-AF263)+INDEX(Models!$BJ263:$BT263,,AH263+1)*AF263-ERP_i)*AE263*Ramure*Pc/MaxiM</f>
        <v>1.9701904789357154E-3</v>
      </c>
      <c r="AE263" s="305">
        <f t="shared" si="92"/>
        <v>0.7</v>
      </c>
      <c r="AF263" s="177">
        <f t="shared" si="93"/>
        <v>0.48709308202187862</v>
      </c>
      <c r="AG263" s="921">
        <f t="shared" si="99"/>
        <v>1</v>
      </c>
      <c r="AH263" s="176">
        <f t="shared" si="94"/>
        <v>7</v>
      </c>
      <c r="AI263" s="225">
        <f t="shared" si="95"/>
        <v>1.4870930820218786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35.532893336365454</v>
      </c>
      <c r="C264" s="955"/>
      <c r="D264" s="393">
        <f t="shared" si="77"/>
        <v>37.367131802120305</v>
      </c>
      <c r="E264" s="385">
        <f t="shared" si="100"/>
        <v>38.367498628798778</v>
      </c>
      <c r="F264" s="385">
        <f t="shared" si="78"/>
        <v>38.418822704378442</v>
      </c>
      <c r="G264" s="110">
        <f t="shared" si="101"/>
        <v>0.76567167146874549</v>
      </c>
      <c r="H264" s="414" t="b">
        <f>Wh_hp&gt;='2023'!Maxi_hp</f>
        <v>0</v>
      </c>
      <c r="I264" s="390">
        <f>IF(H264,Wh_hp,'2023'!Maxi_hp)</f>
        <v>51.37719632099251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4.9086948269622677E-2</v>
      </c>
      <c r="M264" s="959"/>
      <c r="N264" s="959"/>
      <c r="O264" s="48">
        <f>IF(t&lt;Tnet,'2023'!Resal+('2023'!Salim-'2023'!Resal)*(1-EXP(('2023'!Tnet-t)/('2023'!Tau_j))),Resal+(Salim-Resal)*(1-EXP((Tnet-t)/(Tau_j))))*Salcycl</f>
        <v>2.6073287611395088E-2</v>
      </c>
      <c r="P264" s="169">
        <f>(INDEX(Models!$BJ264:$BT264,,T264)*(1-R264)+INDEX(Models!$BJ264:$BT264,,T264+1)*R264-ERP_i)*Q264*Ramure*Pc/MaxiM</f>
        <v>2.0059317739676789E-3</v>
      </c>
      <c r="Q264" s="305">
        <f t="shared" si="80"/>
        <v>0.7</v>
      </c>
      <c r="R264" s="177">
        <f t="shared" si="81"/>
        <v>0.48760765125491612</v>
      </c>
      <c r="S264" s="921">
        <f t="shared" si="82"/>
        <v>1</v>
      </c>
      <c r="T264" s="176">
        <f t="shared" si="83"/>
        <v>7</v>
      </c>
      <c r="U264" s="251">
        <f t="shared" si="84"/>
        <v>1.4876076512549161</v>
      </c>
      <c r="V264" s="383">
        <f t="shared" si="85"/>
        <v>46.376345092611501</v>
      </c>
      <c r="W264" s="402">
        <f t="shared" si="86"/>
        <v>35.532893336365454</v>
      </c>
      <c r="X264" s="157">
        <f t="shared" si="87"/>
        <v>45541</v>
      </c>
      <c r="Y264" s="385">
        <f t="shared" si="88"/>
        <v>31.638511363355093</v>
      </c>
      <c r="Z264" s="385">
        <f t="shared" si="89"/>
        <v>33.271718487597226</v>
      </c>
      <c r="AA264" s="386">
        <f t="shared" si="90"/>
        <v>38.367498628798778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0.13281502113292942</v>
      </c>
      <c r="AD264" s="231">
        <f>(INDEX(Models!$BJ264:$BT264,,AH264)*(1-AF264)+INDEX(Models!$BJ264:$BT264,,AH264+1)*AF264-ERP_i)*AE264*Ramure*Pc/MaxiM</f>
        <v>2.0059317739676789E-3</v>
      </c>
      <c r="AE264" s="305">
        <f t="shared" si="92"/>
        <v>0.7</v>
      </c>
      <c r="AF264" s="177">
        <f t="shared" si="93"/>
        <v>0.48760765125491612</v>
      </c>
      <c r="AG264" s="921">
        <f t="shared" si="99"/>
        <v>1</v>
      </c>
      <c r="AH264" s="176">
        <f t="shared" si="94"/>
        <v>7</v>
      </c>
      <c r="AI264" s="225">
        <f t="shared" si="95"/>
        <v>1.4876076512549161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38.976805609395832</v>
      </c>
      <c r="C265" s="955"/>
      <c r="D265" s="393">
        <f t="shared" si="77"/>
        <v>40.989719563992516</v>
      </c>
      <c r="E265" s="385">
        <f t="shared" si="100"/>
        <v>42.092489338540787</v>
      </c>
      <c r="F265" s="385">
        <f t="shared" si="78"/>
        <v>42.159351340513012</v>
      </c>
      <c r="G265" s="110">
        <f t="shared" si="101"/>
        <v>0.84253832308916032</v>
      </c>
      <c r="H265" s="414" t="b">
        <f>Wh_hp&gt;='2023'!Maxi_hp</f>
        <v>0</v>
      </c>
      <c r="I265" s="390">
        <f>IF(H265,Wh_hp,'2023'!Maxi_hp)</f>
        <v>49.21838095853591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4.9107775705909629E-2</v>
      </c>
      <c r="M265" s="959"/>
      <c r="N265" s="959"/>
      <c r="O265" s="48">
        <f>IF(t&lt;Tnet,'2023'!Resal+('2023'!Salim-'2023'!Resal)*(1-EXP(('2023'!Tnet-t)/('2023'!Tau_j))),Resal+(Salim-Resal)*(1-EXP((Tnet-t)/(Tau_j))))*Salcycl</f>
        <v>2.6198730269405911E-2</v>
      </c>
      <c r="P265" s="169">
        <f>(INDEX(Models!$BJ265:$BT265,,T265)*(1-R265)+INDEX(Models!$BJ265:$BT265,,T265+1)*R265-ERP_i)*Q265*Ramure*Pc/MaxiM</f>
        <v>2.0447635714217838E-3</v>
      </c>
      <c r="Q265" s="305">
        <f t="shared" si="80"/>
        <v>0.7</v>
      </c>
      <c r="R265" s="177">
        <f t="shared" si="81"/>
        <v>0.48810252450176206</v>
      </c>
      <c r="S265" s="921">
        <f t="shared" si="82"/>
        <v>1</v>
      </c>
      <c r="T265" s="176">
        <f t="shared" si="83"/>
        <v>7</v>
      </c>
      <c r="U265" s="251">
        <f t="shared" si="84"/>
        <v>1.4881025245017621</v>
      </c>
      <c r="V265" s="383">
        <f t="shared" si="85"/>
        <v>46.239906806138713</v>
      </c>
      <c r="W265" s="402">
        <f t="shared" si="86"/>
        <v>38.976805609395832</v>
      </c>
      <c r="X265" s="157">
        <f t="shared" si="87"/>
        <v>45542</v>
      </c>
      <c r="Y265" s="385">
        <f t="shared" si="88"/>
        <v>34.708931735189282</v>
      </c>
      <c r="Z265" s="385">
        <f t="shared" si="89"/>
        <v>36.501436070692442</v>
      </c>
      <c r="AA265" s="386">
        <f t="shared" si="90"/>
        <v>42.092489338540787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0.13282781217524844</v>
      </c>
      <c r="AD265" s="231">
        <f>(INDEX(Models!$BJ265:$BT265,,AH265)*(1-AF265)+INDEX(Models!$BJ265:$BT265,,AH265+1)*AF265-ERP_i)*AE265*Ramure*Pc/MaxiM</f>
        <v>2.0447635714217838E-3</v>
      </c>
      <c r="AE265" s="305">
        <f t="shared" si="92"/>
        <v>0.7</v>
      </c>
      <c r="AF265" s="177">
        <f t="shared" si="93"/>
        <v>0.48810252450176206</v>
      </c>
      <c r="AG265" s="921">
        <f t="shared" si="99"/>
        <v>1</v>
      </c>
      <c r="AH265" s="176">
        <f t="shared" si="94"/>
        <v>7</v>
      </c>
      <c r="AI265" s="225">
        <f t="shared" si="95"/>
        <v>1.4881025245017621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20.167335156239865</v>
      </c>
      <c r="C266" s="955"/>
      <c r="D266" s="393">
        <f t="shared" si="77"/>
        <v>21.209319381368044</v>
      </c>
      <c r="E266" s="385">
        <f t="shared" si="100"/>
        <v>21.782724582489866</v>
      </c>
      <c r="F266" s="385">
        <f t="shared" si="78"/>
        <v>21.791654122172233</v>
      </c>
      <c r="G266" s="110">
        <f t="shared" si="101"/>
        <v>0.4367254407403498</v>
      </c>
      <c r="H266" s="414" t="b">
        <f>Wh_hp&gt;='2023'!Maxi_hp</f>
        <v>0</v>
      </c>
      <c r="I266" s="390">
        <f>IF(H266,Wh_hp,'2023'!Maxi_hp)</f>
        <v>48.849649959056784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4.9128602686022149E-2</v>
      </c>
      <c r="M266" s="959"/>
      <c r="N266" s="959"/>
      <c r="O266" s="48">
        <f>IF(t&lt;Tnet,'2023'!Resal+('2023'!Salim-'2023'!Resal)*(1-EXP(('2023'!Tnet-t)/('2023'!Tau_j))),Resal+(Salim-Resal)*(1-EXP((Tnet-t)/(Tau_j))))*Salcycl</f>
        <v>2.6323851222117348E-2</v>
      </c>
      <c r="P266" s="169">
        <f>(INDEX(Models!$BJ266:$BT266,,T266)*(1-R266)+INDEX(Models!$BJ266:$BT266,,T266+1)*R266-ERP_i)*Q266*Ramure*Pc/MaxiM</f>
        <v>2.0867127609192479E-3</v>
      </c>
      <c r="Q266" s="305">
        <f t="shared" si="80"/>
        <v>0.7</v>
      </c>
      <c r="R266" s="177">
        <f t="shared" si="81"/>
        <v>0.48857841700111715</v>
      </c>
      <c r="S266" s="921">
        <f t="shared" si="82"/>
        <v>1</v>
      </c>
      <c r="T266" s="176">
        <f t="shared" si="83"/>
        <v>7</v>
      </c>
      <c r="U266" s="251">
        <f t="shared" si="84"/>
        <v>1.4885784170011171</v>
      </c>
      <c r="V266" s="383">
        <f t="shared" si="85"/>
        <v>46.101050964884024</v>
      </c>
      <c r="W266" s="402">
        <f t="shared" si="86"/>
        <v>20.167335156239865</v>
      </c>
      <c r="X266" s="157">
        <f t="shared" si="87"/>
        <v>45543</v>
      </c>
      <c r="Y266" s="385">
        <f t="shared" si="88"/>
        <v>17.961117738472026</v>
      </c>
      <c r="Z266" s="385">
        <f t="shared" si="89"/>
        <v>18.889113490224442</v>
      </c>
      <c r="AA266" s="386">
        <f t="shared" si="90"/>
        <v>21.782724582489866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0.13283972265762672</v>
      </c>
      <c r="AD266" s="231">
        <f>(INDEX(Models!$BJ266:$BT266,,AH266)*(1-AF266)+INDEX(Models!$BJ266:$BT266,,AH266+1)*AF266-ERP_i)*AE266*Ramure*Pc/MaxiM</f>
        <v>2.0867127609192479E-3</v>
      </c>
      <c r="AE266" s="305">
        <f t="shared" si="92"/>
        <v>0.7</v>
      </c>
      <c r="AF266" s="177">
        <f t="shared" si="93"/>
        <v>0.48857841700111715</v>
      </c>
      <c r="AG266" s="921">
        <f t="shared" si="99"/>
        <v>1</v>
      </c>
      <c r="AH266" s="176">
        <f t="shared" si="94"/>
        <v>7</v>
      </c>
      <c r="AI266" s="225">
        <f t="shared" si="95"/>
        <v>1.4885784170011171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44.02402650171782</v>
      </c>
      <c r="C267" s="955"/>
      <c r="D267" s="393">
        <f t="shared" si="77"/>
        <v>46.299626728035456</v>
      </c>
      <c r="E267" s="385">
        <f t="shared" si="100"/>
        <v>47.557456859535137</v>
      </c>
      <c r="F267" s="385">
        <f t="shared" si="78"/>
        <v>47.652932236869539</v>
      </c>
      <c r="G267" s="110">
        <f t="shared" si="101"/>
        <v>0.95776475427112739</v>
      </c>
      <c r="H267" s="414" t="b">
        <f>Wh_hp&gt;='2023'!Maxi_hp</f>
        <v>0</v>
      </c>
      <c r="I267" s="390">
        <f>IF(H267,Wh_hp,'2023'!Maxi_hp)</f>
        <v>47.65643970170953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4.9149429209970452E-2</v>
      </c>
      <c r="M267" s="959"/>
      <c r="N267" s="959"/>
      <c r="O267" s="48">
        <f>IF(t&lt;Tnet,'2023'!Resal+('2023'!Salim-'2023'!Resal)*(1-EXP(('2023'!Tnet-t)/('2023'!Tau_j))),Resal+(Salim-Resal)*(1-EXP((Tnet-t)/(Tau_j))))*Salcycl</f>
        <v>2.6448641591891347E-2</v>
      </c>
      <c r="P267" s="169">
        <f>(INDEX(Models!$BJ267:$BT267,,T267)*(1-R267)+INDEX(Models!$BJ267:$BT267,,T267+1)*R267-ERP_i)*Q267*Ramure*Pc/MaxiM</f>
        <v>2.1318072178766697E-3</v>
      </c>
      <c r="Q267" s="305">
        <f t="shared" si="80"/>
        <v>0.7</v>
      </c>
      <c r="R267" s="177">
        <f t="shared" si="81"/>
        <v>0.48903602100878207</v>
      </c>
      <c r="S267" s="921">
        <f t="shared" si="82"/>
        <v>1</v>
      </c>
      <c r="T267" s="176">
        <f t="shared" si="83"/>
        <v>7</v>
      </c>
      <c r="U267" s="251">
        <f t="shared" si="84"/>
        <v>1.4890360210087821</v>
      </c>
      <c r="V267" s="383">
        <f t="shared" si="85"/>
        <v>45.959478974337664</v>
      </c>
      <c r="W267" s="402">
        <f t="shared" si="86"/>
        <v>44.02402650171782</v>
      </c>
      <c r="X267" s="157">
        <f t="shared" si="87"/>
        <v>45544</v>
      </c>
      <c r="Y267" s="385">
        <f t="shared" si="88"/>
        <v>39.212520839472859</v>
      </c>
      <c r="Z267" s="385">
        <f t="shared" si="89"/>
        <v>41.239414524295341</v>
      </c>
      <c r="AA267" s="386">
        <f t="shared" si="90"/>
        <v>47.557456859535137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0.1328507189503563</v>
      </c>
      <c r="AD267" s="231">
        <f>(INDEX(Models!$BJ267:$BT267,,AH267)*(1-AF267)+INDEX(Models!$BJ267:$BT267,,AH267+1)*AF267-ERP_i)*AE267*Ramure*Pc/MaxiM</f>
        <v>2.1318072178766697E-3</v>
      </c>
      <c r="AE267" s="305">
        <f t="shared" si="92"/>
        <v>0.7</v>
      </c>
      <c r="AF267" s="177">
        <f t="shared" si="93"/>
        <v>0.48903602100878207</v>
      </c>
      <c r="AG267" s="921">
        <f t="shared" si="99"/>
        <v>1</v>
      </c>
      <c r="AH267" s="176">
        <f t="shared" si="94"/>
        <v>7</v>
      </c>
      <c r="AI267" s="225">
        <f t="shared" si="95"/>
        <v>1.4890360210087821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44.843714388577098</v>
      </c>
      <c r="C268" s="955"/>
      <c r="D268" s="393">
        <f t="shared" si="77"/>
        <v>47.162717234595164</v>
      </c>
      <c r="E268" s="385">
        <f t="shared" si="100"/>
        <v>48.450188558176166</v>
      </c>
      <c r="F268" s="385">
        <f t="shared" si="78"/>
        <v>48.552838788127303</v>
      </c>
      <c r="G268" s="110">
        <f t="shared" si="101"/>
        <v>0.97873751087883487</v>
      </c>
      <c r="H268" s="414" t="b">
        <f>Wh_hp&gt;='2023'!Maxi_hp</f>
        <v>0</v>
      </c>
      <c r="I268" s="390">
        <f>IF(H268,Wh_hp,'2023'!Maxi_hp)</f>
        <v>48.554675543280503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4.9170255277764419E-2</v>
      </c>
      <c r="M268" s="959"/>
      <c r="N268" s="959"/>
      <c r="O268" s="48">
        <f>IF(t&lt;Tnet,'2023'!Resal+('2023'!Salim-'2023'!Resal)*(1-EXP(('2023'!Tnet-t)/('2023'!Tau_j))),Resal+(Salim-Resal)*(1-EXP((Tnet-t)/(Tau_j))))*Salcycl</f>
        <v>2.657309211573216E-2</v>
      </c>
      <c r="P268" s="169">
        <f>(INDEX(Models!$BJ268:$BT268,,T268)*(1-R268)+INDEX(Models!$BJ268:$BT268,,T268+1)*R268-ERP_i)*Q268*Ramure*Pc/MaxiM</f>
        <v>2.1802186625748065E-3</v>
      </c>
      <c r="Q268" s="305">
        <f t="shared" si="80"/>
        <v>0.7</v>
      </c>
      <c r="R268" s="177">
        <f t="shared" si="81"/>
        <v>0.48947600630011889</v>
      </c>
      <c r="S268" s="921">
        <f t="shared" si="82"/>
        <v>1</v>
      </c>
      <c r="T268" s="176">
        <f t="shared" si="83"/>
        <v>7</v>
      </c>
      <c r="U268" s="251">
        <f t="shared" si="84"/>
        <v>1.4894760063001189</v>
      </c>
      <c r="V268" s="383">
        <f t="shared" si="85"/>
        <v>45.814885939742773</v>
      </c>
      <c r="W268" s="402">
        <f t="shared" si="86"/>
        <v>44.843714388577098</v>
      </c>
      <c r="X268" s="157">
        <f t="shared" si="87"/>
        <v>45545</v>
      </c>
      <c r="Y268" s="385">
        <f t="shared" si="88"/>
        <v>39.947266534154764</v>
      </c>
      <c r="Z268" s="385">
        <f t="shared" si="89"/>
        <v>42.013059389327893</v>
      </c>
      <c r="AA268" s="386">
        <f t="shared" si="90"/>
        <v>48.450188558176166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0.13286076608595535</v>
      </c>
      <c r="AD268" s="231">
        <f>(INDEX(Models!$BJ268:$BT268,,AH268)*(1-AF268)+INDEX(Models!$BJ268:$BT268,,AH268+1)*AF268-ERP_i)*AE268*Ramure*Pc/MaxiM</f>
        <v>2.1802186625748065E-3</v>
      </c>
      <c r="AE268" s="305">
        <f t="shared" si="92"/>
        <v>0.7</v>
      </c>
      <c r="AF268" s="177">
        <f t="shared" si="93"/>
        <v>0.48947600630011889</v>
      </c>
      <c r="AG268" s="921">
        <f t="shared" si="99"/>
        <v>1</v>
      </c>
      <c r="AH268" s="176">
        <f t="shared" si="94"/>
        <v>7</v>
      </c>
      <c r="AI268" s="225">
        <f t="shared" si="95"/>
        <v>1.4894760063001189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31.541763823033822</v>
      </c>
      <c r="C269" s="955"/>
      <c r="D269" s="393">
        <f t="shared" si="77"/>
        <v>33.173609532963674</v>
      </c>
      <c r="E269" s="385">
        <f t="shared" si="100"/>
        <v>34.083544503437224</v>
      </c>
      <c r="F269" s="385">
        <f t="shared" si="78"/>
        <v>34.126012731828084</v>
      </c>
      <c r="G269" s="110">
        <f t="shared" si="101"/>
        <v>0.69000798857358103</v>
      </c>
      <c r="H269" s="414" t="b">
        <f>Wh_hp&gt;='2023'!Maxi_hp</f>
        <v>0</v>
      </c>
      <c r="I269" s="390">
        <f>IF(H269,Wh_hp,'2023'!Maxi_hp)</f>
        <v>49.547587041399964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4.9191080889414041E-2</v>
      </c>
      <c r="M269" s="959"/>
      <c r="N269" s="959"/>
      <c r="O269" s="48">
        <f>IF(t&lt;Tnet,'2023'!Resal+('2023'!Salim-'2023'!Resal)*(1-EXP(('2023'!Tnet-t)/('2023'!Tau_j))),Resal+(Salim-Resal)*(1-EXP((Tnet-t)/(Tau_j))))*Salcycl</f>
        <v>2.669719313910511E-2</v>
      </c>
      <c r="P269" s="169">
        <f>(INDEX(Models!$BJ269:$BT269,,T269)*(1-R269)+INDEX(Models!$BJ269:$BT269,,T269+1)*R269-ERP_i)*Q269*Ramure*Pc/MaxiM</f>
        <v>2.2296930704563591E-3</v>
      </c>
      <c r="Q269" s="305">
        <f t="shared" si="80"/>
        <v>0.7</v>
      </c>
      <c r="R269" s="177">
        <f t="shared" si="81"/>
        <v>0.48989902068170577</v>
      </c>
      <c r="S269" s="921">
        <f t="shared" si="82"/>
        <v>1</v>
      </c>
      <c r="T269" s="176">
        <f t="shared" si="83"/>
        <v>7</v>
      </c>
      <c r="U269" s="251">
        <f t="shared" si="84"/>
        <v>1.4898990206817058</v>
      </c>
      <c r="V269" s="383">
        <f t="shared" si="85"/>
        <v>45.667078385929969</v>
      </c>
      <c r="W269" s="402">
        <f t="shared" si="86"/>
        <v>31.541763823033822</v>
      </c>
      <c r="X269" s="157">
        <f t="shared" si="87"/>
        <v>45546</v>
      </c>
      <c r="Y269" s="385">
        <f t="shared" si="88"/>
        <v>28.101033824126759</v>
      </c>
      <c r="Z269" s="385">
        <f t="shared" si="89"/>
        <v>29.554869815917666</v>
      </c>
      <c r="AA269" s="386">
        <f t="shared" si="90"/>
        <v>34.083544503437224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0.13286982775699441</v>
      </c>
      <c r="AD269" s="231">
        <f>(INDEX(Models!$BJ269:$BT269,,AH269)*(1-AF269)+INDEX(Models!$BJ269:$BT269,,AH269+1)*AF269-ERP_i)*AE269*Ramure*Pc/MaxiM</f>
        <v>2.2296930704563591E-3</v>
      </c>
      <c r="AE269" s="305">
        <f t="shared" si="92"/>
        <v>0.7</v>
      </c>
      <c r="AF269" s="177">
        <f t="shared" si="93"/>
        <v>0.48989902068170577</v>
      </c>
      <c r="AG269" s="921">
        <f t="shared" si="99"/>
        <v>1</v>
      </c>
      <c r="AH269" s="176">
        <f t="shared" si="94"/>
        <v>7</v>
      </c>
      <c r="AI269" s="225">
        <f t="shared" si="95"/>
        <v>1.4898990206817058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11.395591504739331</v>
      </c>
      <c r="C270" s="955"/>
      <c r="D270" s="393">
        <f t="shared" si="77"/>
        <v>11.985416705562814</v>
      </c>
      <c r="E270" s="385">
        <f t="shared" si="100"/>
        <v>12.315736262573623</v>
      </c>
      <c r="F270" s="385">
        <f t="shared" si="78"/>
        <v>12.315736262573623</v>
      </c>
      <c r="G270" s="110">
        <f t="shared" si="101"/>
        <v>0.24979495423885192</v>
      </c>
      <c r="H270" s="414" t="b">
        <f>Wh_hp&gt;='2023'!Maxi_hp</f>
        <v>0</v>
      </c>
      <c r="I270" s="390">
        <f>IF(H270,Wh_hp,'2023'!Maxi_hp)</f>
        <v>47.552887947991515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4.921190604492931E-2</v>
      </c>
      <c r="M270" s="959"/>
      <c r="N270" s="959"/>
      <c r="O270" s="48">
        <f>IF(t&lt;Tnet,'2023'!Resal+('2023'!Salim-'2023'!Resal)*(1-EXP(('2023'!Tnet-t)/('2023'!Tau_j))),Resal+(Salim-Resal)*(1-EXP((Tnet-t)/(Tau_j))))*Salcycl</f>
        <v>2.6820934613111067E-2</v>
      </c>
      <c r="P270" s="169">
        <f>(INDEX(Models!$BJ270:$BT270,,T270)*(1-R270)+INDEX(Models!$BJ270:$BT270,,T270+1)*R270-ERP_i)*Q270*Ramure*Pc/MaxiM</f>
        <v>2.2802494027353687E-3</v>
      </c>
      <c r="Q270" s="305">
        <f t="shared" si="80"/>
        <v>0.7</v>
      </c>
      <c r="R270" s="177">
        <f t="shared" si="81"/>
        <v>0.4903056905099159</v>
      </c>
      <c r="S270" s="921">
        <f t="shared" si="82"/>
        <v>1</v>
      </c>
      <c r="T270" s="176">
        <f t="shared" si="83"/>
        <v>7</v>
      </c>
      <c r="U270" s="251">
        <f t="shared" si="84"/>
        <v>1.4903056905099159</v>
      </c>
      <c r="V270" s="383">
        <f t="shared" si="85"/>
        <v>45.515758109130203</v>
      </c>
      <c r="W270" s="402">
        <f t="shared" si="86"/>
        <v>11.395591504739331</v>
      </c>
      <c r="X270" s="157">
        <f t="shared" si="87"/>
        <v>45547</v>
      </c>
      <c r="Y270" s="385">
        <f t="shared" si="88"/>
        <v>10.153701380832112</v>
      </c>
      <c r="Z270" s="385">
        <f t="shared" si="89"/>
        <v>10.679247505713848</v>
      </c>
      <c r="AA270" s="386">
        <f t="shared" si="90"/>
        <v>12.315736262573623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0.13287786633048579</v>
      </c>
      <c r="AD270" s="231">
        <f>(INDEX(Models!$BJ270:$BT270,,AH270)*(1-AF270)+INDEX(Models!$BJ270:$BT270,,AH270+1)*AF270-ERP_i)*AE270*Ramure*Pc/MaxiM</f>
        <v>2.2802494027353687E-3</v>
      </c>
      <c r="AE270" s="305">
        <f t="shared" si="92"/>
        <v>0.7</v>
      </c>
      <c r="AF270" s="177">
        <f t="shared" si="93"/>
        <v>0.4903056905099159</v>
      </c>
      <c r="AG270" s="921">
        <f t="shared" si="99"/>
        <v>1</v>
      </c>
      <c r="AH270" s="176">
        <f t="shared" si="94"/>
        <v>7</v>
      </c>
      <c r="AI270" s="225">
        <f t="shared" si="95"/>
        <v>1.4903056905099159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34.445700956208654</v>
      </c>
      <c r="C271" s="955"/>
      <c r="D271" s="393">
        <f t="shared" ref="D271:D334" si="102">Wh/(1-Ppv)</f>
        <v>36.229371866340024</v>
      </c>
      <c r="E271" s="385">
        <f t="shared" si="100"/>
        <v>37.232577840394214</v>
      </c>
      <c r="F271" s="385">
        <f t="shared" ref="F271:F334" si="103">Wh_sa/(1-Pvg*MEDIAN((-Sdif+Wh/Env_an)/Csdif,0,1))</f>
        <v>37.28964265295717</v>
      </c>
      <c r="G271" s="110">
        <f t="shared" si="101"/>
        <v>0.758764799097844</v>
      </c>
      <c r="H271" s="414" t="b">
        <f>Wh_hp&gt;='2023'!Maxi_hp</f>
        <v>0</v>
      </c>
      <c r="I271" s="390">
        <f>IF(H271,Wh_hp,'2023'!Maxi_hp)</f>
        <v>47.223329847400791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4.923273074432033E-2</v>
      </c>
      <c r="M271" s="959"/>
      <c r="N271" s="959"/>
      <c r="O271" s="48">
        <f>IF(t&lt;Tnet,'2023'!Resal+('2023'!Salim-'2023'!Resal)*(1-EXP(('2023'!Tnet-t)/('2023'!Tau_j))),Resal+(Salim-Resal)*(1-EXP((Tnet-t)/(Tau_j))))*Salcycl</f>
        <v>2.6944306095448407E-2</v>
      </c>
      <c r="P271" s="169">
        <f>(INDEX(Models!$BJ271:$BT271,,T271)*(1-R271)+INDEX(Models!$BJ271:$BT271,,T271+1)*R271-ERP_i)*Q271*Ramure*Pc/MaxiM</f>
        <v>2.3319078467710199E-3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0.49069662121435131</v>
      </c>
      <c r="S271" s="921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1.4906966212143513</v>
      </c>
      <c r="V271" s="383">
        <f t="shared" ref="V271:V334" si="110">MaxiM*(1-Ppv)*(1-Pvg)*(1-Psa)</f>
        <v>45.360627127586326</v>
      </c>
      <c r="W271" s="402">
        <f t="shared" ref="W271:W334" si="111">Wh*(A271&gt;Tmaj)</f>
        <v>34.445700956208654</v>
      </c>
      <c r="X271" s="157">
        <f t="shared" ref="X271:X334" si="112">t</f>
        <v>45548</v>
      </c>
      <c r="Y271" s="385">
        <f t="shared" ref="Y271:Y334" si="113">Wh_pvt_s*(1-Ppv)</f>
        <v>30.695457191030979</v>
      </c>
      <c r="Z271" s="385">
        <f t="shared" ref="Z271:Z334" si="114">Wh_sa_s*(1-Psa_s)</f>
        <v>32.284932584039531</v>
      </c>
      <c r="AA271" s="386">
        <f t="shared" ref="AA271:AA334" si="115">Wh_hp*(1-Pvg_s*MEDIAN((-Sdif+Wh/Env_an)/Csdif,0,1))</f>
        <v>37.232577840394214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0.132884842880444</v>
      </c>
      <c r="AD271" s="231">
        <f>(INDEX(Models!$BJ271:$BT271,,AH271)*(1-AF271)+INDEX(Models!$BJ271:$BT271,,AH271+1)*AF271-ERP_i)*AE271*Ramure*Pc/MaxiM</f>
        <v>2.3319078467710199E-3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0.49069662121435131</v>
      </c>
      <c r="AG271" s="92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1.4906966212143513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39.528640541853484</v>
      </c>
      <c r="C272" s="955"/>
      <c r="D272" s="393">
        <f t="shared" si="102"/>
        <v>41.576427394727524</v>
      </c>
      <c r="E272" s="385">
        <f t="shared" si="100"/>
        <v>42.733096807295084</v>
      </c>
      <c r="F272" s="385">
        <f t="shared" si="103"/>
        <v>42.816895941994247</v>
      </c>
      <c r="G272" s="110">
        <f t="shared" si="101"/>
        <v>0.87412598161258248</v>
      </c>
      <c r="H272" s="414" t="b">
        <f>Wh_hp&gt;='2023'!Maxi_hp</f>
        <v>0</v>
      </c>
      <c r="I272" s="390">
        <f>IF(H272,Wh_hp,'2023'!Maxi_hp)</f>
        <v>48.01660304214726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4.925355498759687E-2</v>
      </c>
      <c r="M272" s="959"/>
      <c r="N272" s="959"/>
      <c r="O272" s="48">
        <f>IF(t&lt;Tnet,'2023'!Resal+('2023'!Salim-'2023'!Resal)*(1-EXP(('2023'!Tnet-t)/('2023'!Tau_j))),Resal+(Salim-Resal)*(1-EXP((Tnet-t)/(Tau_j))))*Salcycl</f>
        <v>2.7067296755570028E-2</v>
      </c>
      <c r="P272" s="169">
        <f>(INDEX(Models!$BJ272:$BT272,,T272)*(1-R272)+INDEX(Models!$BJ272:$BT272,,T272+1)*R272-ERP_i)*Q272*Ramure*Pc/MaxiM</f>
        <v>2.3846898865737898E-3</v>
      </c>
      <c r="Q272" s="305">
        <f t="shared" si="105"/>
        <v>0.7</v>
      </c>
      <c r="R272" s="177">
        <f t="shared" si="106"/>
        <v>0.4910723978242495</v>
      </c>
      <c r="S272" s="921">
        <f t="shared" si="107"/>
        <v>1</v>
      </c>
      <c r="T272" s="176">
        <f t="shared" si="108"/>
        <v>7</v>
      </c>
      <c r="U272" s="251">
        <f t="shared" si="109"/>
        <v>1.4910723978242495</v>
      </c>
      <c r="V272" s="383">
        <f t="shared" si="110"/>
        <v>45.2013876774514</v>
      </c>
      <c r="W272" s="402">
        <f t="shared" si="111"/>
        <v>39.528640541853484</v>
      </c>
      <c r="X272" s="157">
        <f t="shared" si="112"/>
        <v>45549</v>
      </c>
      <c r="Y272" s="385">
        <f t="shared" si="113"/>
        <v>35.229210647790858</v>
      </c>
      <c r="Z272" s="385">
        <f t="shared" si="114"/>
        <v>37.05426492268532</v>
      </c>
      <c r="AA272" s="386">
        <f t="shared" si="115"/>
        <v>42.733096807295084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0.13289071724004611</v>
      </c>
      <c r="AD272" s="231">
        <f>(INDEX(Models!$BJ272:$BT272,,AH272)*(1-AF272)+INDEX(Models!$BJ272:$BT272,,AH272+1)*AF272-ERP_i)*AE272*Ramure*Pc/MaxiM</f>
        <v>2.3846898865737898E-3</v>
      </c>
      <c r="AE272" s="305">
        <f t="shared" si="117"/>
        <v>0.7</v>
      </c>
      <c r="AF272" s="177">
        <f t="shared" si="118"/>
        <v>0.4910723978242495</v>
      </c>
      <c r="AG272" s="921">
        <f t="shared" ref="AG272:AG335" si="124">INDEX(Echel_vg,AH272)</f>
        <v>1</v>
      </c>
      <c r="AH272" s="176">
        <f t="shared" si="119"/>
        <v>7</v>
      </c>
      <c r="AI272" s="225">
        <f t="shared" si="120"/>
        <v>1.4910723978242495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26.324014566984498</v>
      </c>
      <c r="C273" s="955"/>
      <c r="D273" s="393">
        <f t="shared" si="102"/>
        <v>27.688340336363172</v>
      </c>
      <c r="E273" s="385">
        <f t="shared" si="100"/>
        <v>28.462225263690488</v>
      </c>
      <c r="F273" s="385">
        <f t="shared" si="103"/>
        <v>28.490461646538687</v>
      </c>
      <c r="G273" s="110">
        <f t="shared" si="101"/>
        <v>0.5836409753154217</v>
      </c>
      <c r="H273" s="414" t="b">
        <f>Wh_hp&gt;='2023'!Maxi_hp</f>
        <v>0</v>
      </c>
      <c r="I273" s="390">
        <f>IF(H273,Wh_hp,'2023'!Maxi_hp)</f>
        <v>47.259197332077989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4.9274378774769034E-2</v>
      </c>
      <c r="M273" s="959"/>
      <c r="N273" s="959"/>
      <c r="O273" s="48">
        <f>IF(t&lt;Tnet,'2023'!Resal+('2023'!Salim-'2023'!Resal)*(1-EXP(('2023'!Tnet-t)/('2023'!Tau_j))),Resal+(Salim-Resal)*(1-EXP((Tnet-t)/(Tau_j))))*Salcycl</f>
        <v>2.7189895384412063E-2</v>
      </c>
      <c r="P273" s="169">
        <f>(INDEX(Models!$BJ273:$BT273,,T273)*(1-R273)+INDEX(Models!$BJ273:$BT273,,T273+1)*R273-ERP_i)*Q273*Ramure*Pc/MaxiM</f>
        <v>2.4386183817940018E-3</v>
      </c>
      <c r="Q273" s="305">
        <f t="shared" si="105"/>
        <v>0.7</v>
      </c>
      <c r="R273" s="177">
        <f t="shared" si="106"/>
        <v>0.49143358549614513</v>
      </c>
      <c r="S273" s="921">
        <f t="shared" si="107"/>
        <v>1</v>
      </c>
      <c r="T273" s="176">
        <f t="shared" si="108"/>
        <v>7</v>
      </c>
      <c r="U273" s="251">
        <f t="shared" si="109"/>
        <v>1.4914335854961451</v>
      </c>
      <c r="V273" s="383">
        <f t="shared" si="110"/>
        <v>45.037742219124254</v>
      </c>
      <c r="W273" s="402">
        <f t="shared" si="111"/>
        <v>26.324014566984498</v>
      </c>
      <c r="X273" s="157">
        <f t="shared" si="112"/>
        <v>45550</v>
      </c>
      <c r="Y273" s="385">
        <f t="shared" si="113"/>
        <v>23.463646962221752</v>
      </c>
      <c r="Z273" s="385">
        <f t="shared" si="114"/>
        <v>24.679725084071457</v>
      </c>
      <c r="AA273" s="386">
        <f t="shared" si="115"/>
        <v>28.462225263690488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0.13289544807462403</v>
      </c>
      <c r="AD273" s="231">
        <f>(INDEX(Models!$BJ273:$BT273,,AH273)*(1-AF273)+INDEX(Models!$BJ273:$BT273,,AH273+1)*AF273-ERP_i)*AE273*Ramure*Pc/MaxiM</f>
        <v>2.4386183817940018E-3</v>
      </c>
      <c r="AE273" s="305">
        <f t="shared" si="117"/>
        <v>0.7</v>
      </c>
      <c r="AF273" s="177">
        <f t="shared" si="118"/>
        <v>0.49143358549614513</v>
      </c>
      <c r="AG273" s="921">
        <f t="shared" si="124"/>
        <v>1</v>
      </c>
      <c r="AH273" s="176">
        <f t="shared" si="119"/>
        <v>7</v>
      </c>
      <c r="AI273" s="225">
        <f t="shared" si="120"/>
        <v>1.4914335854961451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46.425846480085212</v>
      </c>
      <c r="C274" s="955"/>
      <c r="D274" s="393">
        <f t="shared" si="102"/>
        <v>48.833083185148759</v>
      </c>
      <c r="E274" s="385">
        <f t="shared" si="100"/>
        <v>50.204266654947936</v>
      </c>
      <c r="F274" s="385">
        <f t="shared" si="103"/>
        <v>50.32977490334271</v>
      </c>
      <c r="G274" s="110">
        <f t="shared" si="101"/>
        <v>1.0346885244795196</v>
      </c>
      <c r="H274" s="414" t="b">
        <f>Wh_hp&gt;='2023'!Maxi_hp</f>
        <v>1</v>
      </c>
      <c r="I274" s="390">
        <f>IF(H274,Wh_hp,'2023'!Maxi_hp)</f>
        <v>50.32977490334271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4.9295202105846925E-2</v>
      </c>
      <c r="M274" s="959"/>
      <c r="N274" s="959"/>
      <c r="O274" s="48">
        <f>IF(t&lt;Tnet,'2023'!Resal+('2023'!Salim-'2023'!Resal)*(1-EXP(('2023'!Tnet-t)/('2023'!Tau_j))),Resal+(Salim-Resal)*(1-EXP((Tnet-t)/(Tau_j))))*Salcycl</f>
        <v>2.7312090409033731E-2</v>
      </c>
      <c r="P274" s="169">
        <f>(INDEX(Models!$BJ274:$BT274,,T274)*(1-R274)+INDEX(Models!$BJ274:$BT274,,T274+1)*R274-ERP_i)*Q274*Ramure*Pc/MaxiM</f>
        <v>2.4937176579035128E-3</v>
      </c>
      <c r="Q274" s="305">
        <f t="shared" si="105"/>
        <v>0.7</v>
      </c>
      <c r="R274" s="177">
        <f t="shared" si="106"/>
        <v>0.49178073004124334</v>
      </c>
      <c r="S274" s="921">
        <f t="shared" si="107"/>
        <v>1</v>
      </c>
      <c r="T274" s="176">
        <f t="shared" si="108"/>
        <v>7</v>
      </c>
      <c r="U274" s="251">
        <f t="shared" si="109"/>
        <v>1.4917807300412433</v>
      </c>
      <c r="V274" s="383">
        <f t="shared" si="110"/>
        <v>44.869393427784331</v>
      </c>
      <c r="W274" s="402">
        <f t="shared" si="111"/>
        <v>46.425846480085212</v>
      </c>
      <c r="X274" s="157">
        <f t="shared" si="112"/>
        <v>45551</v>
      </c>
      <c r="Y274" s="385">
        <f t="shared" si="113"/>
        <v>41.386243046578642</v>
      </c>
      <c r="Z274" s="385">
        <f t="shared" si="114"/>
        <v>43.532170173381608</v>
      </c>
      <c r="AA274" s="386">
        <f t="shared" si="115"/>
        <v>50.204266654947936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0.13289899297650137</v>
      </c>
      <c r="AD274" s="231">
        <f>(INDEX(Models!$BJ274:$BT274,,AH274)*(1-AF274)+INDEX(Models!$BJ274:$BT274,,AH274+1)*AF274-ERP_i)*AE274*Ramure*Pc/MaxiM</f>
        <v>2.4937176579035128E-3</v>
      </c>
      <c r="AE274" s="305">
        <f t="shared" si="117"/>
        <v>0.7</v>
      </c>
      <c r="AF274" s="177">
        <f t="shared" si="118"/>
        <v>0.49178073004124334</v>
      </c>
      <c r="AG274" s="921">
        <f t="shared" si="124"/>
        <v>1</v>
      </c>
      <c r="AH274" s="176">
        <f t="shared" si="119"/>
        <v>7</v>
      </c>
      <c r="AI274" s="225">
        <f t="shared" si="120"/>
        <v>1.4917807300412433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44.897810355109364</v>
      </c>
      <c r="C275" s="955"/>
      <c r="D275" s="393">
        <f t="shared" si="102"/>
        <v>47.226850914579174</v>
      </c>
      <c r="E275" s="385">
        <f t="shared" si="100"/>
        <v>48.55901254789601</v>
      </c>
      <c r="F275" s="385">
        <f t="shared" si="103"/>
        <v>48.683153570955014</v>
      </c>
      <c r="G275" s="110">
        <f t="shared" si="101"/>
        <v>1.0045005470226371</v>
      </c>
      <c r="H275" s="414" t="b">
        <f>Wh_hp&gt;='2023'!Maxi_hp</f>
        <v>1</v>
      </c>
      <c r="I275" s="390">
        <f>IF(H275,Wh_hp,'2023'!Maxi_hp)</f>
        <v>48.683153570955014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4.9316024980840312E-2</v>
      </c>
      <c r="M275" s="959"/>
      <c r="N275" s="959"/>
      <c r="O275" s="48">
        <f>IF(t&lt;Tnet,'2023'!Resal+('2023'!Salim-'2023'!Resal)*(1-EXP(('2023'!Tnet-t)/('2023'!Tau_j))),Resal+(Salim-Resal)*(1-EXP((Tnet-t)/(Tau_j))))*Salcycl</f>
        <v>2.7433869912467084E-2</v>
      </c>
      <c r="P275" s="169">
        <f>(INDEX(Models!$BJ275:$BT275,,T275)*(1-R275)+INDEX(Models!$BJ275:$BT275,,T275+1)*R275-ERP_i)*Q275*Ramure*Pc/MaxiM</f>
        <v>2.5499790780412071E-3</v>
      </c>
      <c r="Q275" s="305">
        <f t="shared" si="105"/>
        <v>0.7</v>
      </c>
      <c r="R275" s="177">
        <f t="shared" si="106"/>
        <v>0.49211435845110119</v>
      </c>
      <c r="S275" s="921">
        <f t="shared" si="107"/>
        <v>1</v>
      </c>
      <c r="T275" s="176">
        <f t="shared" si="108"/>
        <v>7</v>
      </c>
      <c r="U275" s="251">
        <f t="shared" si="109"/>
        <v>1.4921143584511012</v>
      </c>
      <c r="V275" s="383">
        <f t="shared" si="110"/>
        <v>44.696650975639102</v>
      </c>
      <c r="W275" s="402">
        <f t="shared" si="111"/>
        <v>44.897810355109364</v>
      </c>
      <c r="X275" s="157">
        <f t="shared" si="112"/>
        <v>45552</v>
      </c>
      <c r="Y275" s="385">
        <f t="shared" si="113"/>
        <v>40.02898250520478</v>
      </c>
      <c r="Z275" s="385">
        <f t="shared" si="114"/>
        <v>42.105456236808926</v>
      </c>
      <c r="AA275" s="386">
        <f t="shared" si="115"/>
        <v>48.55901254789601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0.13290130858245194</v>
      </c>
      <c r="AD275" s="231">
        <f>(INDEX(Models!$BJ275:$BT275,,AH275)*(1-AF275)+INDEX(Models!$BJ275:$BT275,,AH275+1)*AF275-ERP_i)*AE275*Ramure*Pc/MaxiM</f>
        <v>2.5499790780412071E-3</v>
      </c>
      <c r="AE275" s="305">
        <f t="shared" si="117"/>
        <v>0.7</v>
      </c>
      <c r="AF275" s="177">
        <f t="shared" si="118"/>
        <v>0.49211435845110119</v>
      </c>
      <c r="AG275" s="921">
        <f t="shared" si="124"/>
        <v>1</v>
      </c>
      <c r="AH275" s="176">
        <f t="shared" si="119"/>
        <v>7</v>
      </c>
      <c r="AI275" s="225">
        <f t="shared" si="120"/>
        <v>1.4921143584511012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44.338777148782704</v>
      </c>
      <c r="C276" s="955"/>
      <c r="D276" s="393">
        <f t="shared" si="102"/>
        <v>46.639839808146441</v>
      </c>
      <c r="E276" s="385">
        <f t="shared" si="100"/>
        <v>47.961427576088944</v>
      </c>
      <c r="F276" s="385">
        <f t="shared" si="103"/>
        <v>48.086109812370282</v>
      </c>
      <c r="G276" s="110">
        <f t="shared" si="101"/>
        <v>0.99591339760002728</v>
      </c>
      <c r="H276" s="414" t="b">
        <f>Wh_hp&gt;='2023'!Maxi_hp</f>
        <v>0</v>
      </c>
      <c r="I276" s="390">
        <f>IF(H276,Wh_hp,'2023'!Maxi_hp)</f>
        <v>48.086516498197845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4.9336847399759298E-2</v>
      </c>
      <c r="M276" s="959"/>
      <c r="N276" s="959"/>
      <c r="O276" s="48">
        <f>IF(t&lt;Tnet,'2023'!Resal+('2023'!Salim-'2023'!Resal)*(1-EXP(('2023'!Tnet-t)/('2023'!Tau_j))),Resal+(Salim-Resal)*(1-EXP((Tnet-t)/(Tau_j))))*Salcycl</f>
        <v>2.7555221659027001E-2</v>
      </c>
      <c r="P276" s="169">
        <f>(INDEX(Models!$BJ276:$BT276,,T276)*(1-R276)+INDEX(Models!$BJ276:$BT276,,T276+1)*R276-ERP_i)*Q276*Ramure*Pc/MaxiM</f>
        <v>2.6080645085141932E-3</v>
      </c>
      <c r="Q276" s="305">
        <f t="shared" si="105"/>
        <v>0.7</v>
      </c>
      <c r="R276" s="177">
        <f t="shared" si="106"/>
        <v>0.49243497942036285</v>
      </c>
      <c r="S276" s="921">
        <f t="shared" si="107"/>
        <v>1</v>
      </c>
      <c r="T276" s="176">
        <f t="shared" si="108"/>
        <v>7</v>
      </c>
      <c r="U276" s="251">
        <f t="shared" si="109"/>
        <v>1.4924349794203629</v>
      </c>
      <c r="V276" s="383">
        <f t="shared" si="110"/>
        <v>44.520038501388129</v>
      </c>
      <c r="W276" s="402">
        <f t="shared" si="111"/>
        <v>44.338777148782704</v>
      </c>
      <c r="X276" s="157">
        <f t="shared" si="112"/>
        <v>45553</v>
      </c>
      <c r="Y276" s="385">
        <f t="shared" si="113"/>
        <v>39.5354577393094</v>
      </c>
      <c r="Z276" s="385">
        <f t="shared" si="114"/>
        <v>41.587241107612684</v>
      </c>
      <c r="AA276" s="386">
        <f t="shared" si="115"/>
        <v>47.961427576088944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0.13290235071430806</v>
      </c>
      <c r="AD276" s="231">
        <f>(INDEX(Models!$BJ276:$BT276,,AH276)*(1-AF276)+INDEX(Models!$BJ276:$BT276,,AH276+1)*AF276-ERP_i)*AE276*Ramure*Pc/MaxiM</f>
        <v>2.6080645085141932E-3</v>
      </c>
      <c r="AE276" s="305">
        <f t="shared" si="117"/>
        <v>0.7</v>
      </c>
      <c r="AF276" s="177">
        <f t="shared" si="118"/>
        <v>0.49243497942036285</v>
      </c>
      <c r="AG276" s="921">
        <f t="shared" si="124"/>
        <v>1</v>
      </c>
      <c r="AH276" s="176">
        <f t="shared" si="119"/>
        <v>7</v>
      </c>
      <c r="AI276" s="225">
        <f t="shared" si="120"/>
        <v>1.4924349794203629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45.669807262097748</v>
      </c>
      <c r="C277" s="955"/>
      <c r="D277" s="393">
        <f t="shared" si="102"/>
        <v>48.040999006931543</v>
      </c>
      <c r="E277" s="385">
        <f t="shared" si="100"/>
        <v>49.408433386857794</v>
      </c>
      <c r="F277" s="385">
        <f t="shared" si="103"/>
        <v>49.540571226766829</v>
      </c>
      <c r="G277" s="110">
        <f t="shared" si="101"/>
        <v>1.029999094564813</v>
      </c>
      <c r="H277" s="414" t="b">
        <f>Wh_hp&gt;='2023'!Maxi_hp</f>
        <v>1</v>
      </c>
      <c r="I277" s="390">
        <f>IF(H277,Wh_hp,'2023'!Maxi_hp)</f>
        <v>49.540571226766829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4.9357669362613987E-2</v>
      </c>
      <c r="M277" s="959"/>
      <c r="N277" s="959"/>
      <c r="O277" s="48">
        <f>IF(t&lt;Tnet,'2023'!Resal+('2023'!Salim-'2023'!Resal)*(1-EXP(('2023'!Tnet-t)/('2023'!Tau_j))),Resal+(Salim-Resal)*(1-EXP((Tnet-t)/(Tau_j))))*Salcycl</f>
        <v>2.7676133125280972E-2</v>
      </c>
      <c r="P277" s="169">
        <f>(INDEX(Models!$BJ277:$BT277,,T277)*(1-R277)+INDEX(Models!$BJ277:$BT277,,T277+1)*R277-ERP_i)*Q277*Ramure*Pc/MaxiM</f>
        <v>2.6672651654376222E-3</v>
      </c>
      <c r="Q277" s="305">
        <f t="shared" si="105"/>
        <v>0.7</v>
      </c>
      <c r="R277" s="177">
        <f t="shared" si="106"/>
        <v>0.49274308386542165</v>
      </c>
      <c r="S277" s="921">
        <f t="shared" si="107"/>
        <v>1</v>
      </c>
      <c r="T277" s="176">
        <f t="shared" si="108"/>
        <v>7</v>
      </c>
      <c r="U277" s="251">
        <f t="shared" si="109"/>
        <v>1.4927430838654216</v>
      </c>
      <c r="V277" s="383">
        <f t="shared" si="110"/>
        <v>44.33965767843106</v>
      </c>
      <c r="W277" s="402">
        <f t="shared" si="111"/>
        <v>45.669807262097748</v>
      </c>
      <c r="X277" s="157">
        <f t="shared" si="112"/>
        <v>45554</v>
      </c>
      <c r="Y277" s="385">
        <f t="shared" si="113"/>
        <v>40.727371282442505</v>
      </c>
      <c r="Z277" s="385">
        <f t="shared" si="114"/>
        <v>42.841950089825737</v>
      </c>
      <c r="AA277" s="386">
        <f t="shared" si="115"/>
        <v>49.408433386857794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0.13290207454298042</v>
      </c>
      <c r="AD277" s="231">
        <f>(INDEX(Models!$BJ277:$BT277,,AH277)*(1-AF277)+INDEX(Models!$BJ277:$BT277,,AH277+1)*AF277-ERP_i)*AE277*Ramure*Pc/MaxiM</f>
        <v>2.6672651654376222E-3</v>
      </c>
      <c r="AE277" s="305">
        <f t="shared" si="117"/>
        <v>0.7</v>
      </c>
      <c r="AF277" s="177">
        <f t="shared" si="118"/>
        <v>0.49274308386542165</v>
      </c>
      <c r="AG277" s="921">
        <f t="shared" si="124"/>
        <v>1</v>
      </c>
      <c r="AH277" s="176">
        <f t="shared" si="119"/>
        <v>7</v>
      </c>
      <c r="AI277" s="225">
        <f t="shared" si="120"/>
        <v>1.4927430838654216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44.661232936040705</v>
      </c>
      <c r="C278" s="955"/>
      <c r="D278" s="393">
        <f t="shared" si="102"/>
        <v>46.981088169240699</v>
      </c>
      <c r="E278" s="385">
        <f t="shared" si="100"/>
        <v>48.324340112638154</v>
      </c>
      <c r="F278" s="385">
        <f t="shared" si="103"/>
        <v>48.456509135701559</v>
      </c>
      <c r="G278" s="110">
        <f t="shared" si="101"/>
        <v>1.0114516593581055</v>
      </c>
      <c r="H278" s="414" t="b">
        <f>Wh_hp&gt;='2023'!Maxi_hp</f>
        <v>1</v>
      </c>
      <c r="I278" s="390">
        <f>IF(H278,Wh_hp,'2023'!Maxi_hp)</f>
        <v>48.456509135701559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4.9378490869414149E-2</v>
      </c>
      <c r="M278" s="959"/>
      <c r="N278" s="959"/>
      <c r="O278" s="48">
        <f>IF(t&lt;Tnet,'2023'!Resal+('2023'!Salim-'2023'!Resal)*(1-EXP(('2023'!Tnet-t)/('2023'!Tau_j))),Resal+(Salim-Resal)*(1-EXP((Tnet-t)/(Tau_j))))*Salcycl</f>
        <v>2.7796591536821756E-2</v>
      </c>
      <c r="P278" s="169">
        <f>(INDEX(Models!$BJ278:$BT278,,T278)*(1-R278)+INDEX(Models!$BJ278:$BT278,,T278+1)*R278-ERP_i)*Q278*Ramure*Pc/MaxiM</f>
        <v>2.7275803688884158E-3</v>
      </c>
      <c r="Q278" s="305">
        <f t="shared" si="105"/>
        <v>0.7</v>
      </c>
      <c r="R278" s="177">
        <f t="shared" si="106"/>
        <v>0.4930391454380092</v>
      </c>
      <c r="S278" s="921">
        <f t="shared" si="107"/>
        <v>1</v>
      </c>
      <c r="T278" s="176">
        <f t="shared" si="108"/>
        <v>7</v>
      </c>
      <c r="U278" s="251">
        <f t="shared" si="109"/>
        <v>1.4930391454380092</v>
      </c>
      <c r="V278" s="383">
        <f t="shared" si="110"/>
        <v>44.155578294650212</v>
      </c>
      <c r="W278" s="402">
        <f t="shared" si="111"/>
        <v>44.661232936040705</v>
      </c>
      <c r="X278" s="157">
        <f t="shared" si="112"/>
        <v>45555</v>
      </c>
      <c r="Y278" s="385">
        <f t="shared" si="113"/>
        <v>39.832956070818675</v>
      </c>
      <c r="Z278" s="385">
        <f t="shared" si="114"/>
        <v>41.902014301410958</v>
      </c>
      <c r="AA278" s="386">
        <f t="shared" si="115"/>
        <v>48.324340112638154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0.13290043477588181</v>
      </c>
      <c r="AD278" s="231">
        <f>(INDEX(Models!$BJ278:$BT278,,AH278)*(1-AF278)+INDEX(Models!$BJ278:$BT278,,AH278+1)*AF278-ERP_i)*AE278*Ramure*Pc/MaxiM</f>
        <v>2.7275803688884158E-3</v>
      </c>
      <c r="AE278" s="305">
        <f t="shared" si="117"/>
        <v>0.7</v>
      </c>
      <c r="AF278" s="177">
        <f t="shared" si="118"/>
        <v>0.4930391454380092</v>
      </c>
      <c r="AG278" s="921">
        <f t="shared" si="124"/>
        <v>1</v>
      </c>
      <c r="AH278" s="176">
        <f t="shared" si="119"/>
        <v>7</v>
      </c>
      <c r="AI278" s="225">
        <f t="shared" si="120"/>
        <v>1.4930391454380092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43.42834455189557</v>
      </c>
      <c r="C279" s="955"/>
      <c r="D279" s="393">
        <f t="shared" si="102"/>
        <v>45.68516002194238</v>
      </c>
      <c r="E279" s="385">
        <f t="shared" si="100"/>
        <v>46.997160187903248</v>
      </c>
      <c r="F279" s="385">
        <f t="shared" si="103"/>
        <v>47.126291779432073</v>
      </c>
      <c r="G279" s="110">
        <f t="shared" si="101"/>
        <v>0.98768067093441769</v>
      </c>
      <c r="H279" s="414" t="b">
        <f>Wh_hp&gt;='2023'!Maxi_hp</f>
        <v>0</v>
      </c>
      <c r="I279" s="390">
        <f>IF(H279,Wh_hp,'2023'!Maxi_hp)</f>
        <v>47.127554108694312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4.9399311920169886E-2</v>
      </c>
      <c r="M279" s="959"/>
      <c r="N279" s="959"/>
      <c r="O279" s="48">
        <f>IF(t&lt;Tnet,'2023'!Resal+('2023'!Salim-'2023'!Resal)*(1-EXP(('2023'!Tnet-t)/('2023'!Tau_j))),Resal+(Salim-Resal)*(1-EXP((Tnet-t)/(Tau_j))))*Salcycl</f>
        <v>2.7916583910926752E-2</v>
      </c>
      <c r="P279" s="169">
        <f>(INDEX(Models!$BJ279:$BT279,,T279)*(1-R279)+INDEX(Models!$BJ279:$BT279,,T279+1)*R279-ERP_i)*Q279*Ramure*Pc/MaxiM</f>
        <v>2.7890087587235327E-3</v>
      </c>
      <c r="Q279" s="305">
        <f t="shared" si="105"/>
        <v>0.7</v>
      </c>
      <c r="R279" s="177">
        <f t="shared" si="106"/>
        <v>0.49332362103281957</v>
      </c>
      <c r="S279" s="921">
        <f t="shared" si="107"/>
        <v>1</v>
      </c>
      <c r="T279" s="176">
        <f t="shared" si="108"/>
        <v>7</v>
      </c>
      <c r="U279" s="251">
        <f t="shared" si="109"/>
        <v>1.4933236210328196</v>
      </c>
      <c r="V279" s="383">
        <f t="shared" si="110"/>
        <v>43.96787012546514</v>
      </c>
      <c r="W279" s="402">
        <f t="shared" si="111"/>
        <v>43.42834455189557</v>
      </c>
      <c r="X279" s="157">
        <f t="shared" si="112"/>
        <v>45556</v>
      </c>
      <c r="Y279" s="385">
        <f t="shared" si="113"/>
        <v>38.738271289412182</v>
      </c>
      <c r="Z279" s="385">
        <f t="shared" si="114"/>
        <v>40.751360455736382</v>
      </c>
      <c r="AA279" s="386">
        <f t="shared" si="115"/>
        <v>46.997160187903248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0.13289738586746561</v>
      </c>
      <c r="AD279" s="231">
        <f>(INDEX(Models!$BJ279:$BT279,,AH279)*(1-AF279)+INDEX(Models!$BJ279:$BT279,,AH279+1)*AF279-ERP_i)*AE279*Ramure*Pc/MaxiM</f>
        <v>2.7890087587235327E-3</v>
      </c>
      <c r="AE279" s="305">
        <f t="shared" si="117"/>
        <v>0.7</v>
      </c>
      <c r="AF279" s="177">
        <f t="shared" si="118"/>
        <v>0.49332362103281957</v>
      </c>
      <c r="AG279" s="921">
        <f t="shared" si="124"/>
        <v>1</v>
      </c>
      <c r="AH279" s="176">
        <f t="shared" si="119"/>
        <v>7</v>
      </c>
      <c r="AI279" s="225">
        <f t="shared" si="120"/>
        <v>1.4933236210328196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28.627961552509756</v>
      </c>
      <c r="C280" s="955"/>
      <c r="D280" s="393">
        <f t="shared" si="102"/>
        <v>30.116313769877127</v>
      </c>
      <c r="E280" s="385">
        <f t="shared" si="100"/>
        <v>30.985012591701587</v>
      </c>
      <c r="F280" s="385">
        <f t="shared" si="103"/>
        <v>31.029754275690273</v>
      </c>
      <c r="G280" s="110">
        <f t="shared" si="101"/>
        <v>0.65303257680879756</v>
      </c>
      <c r="H280" s="414" t="b">
        <f>Wh_hp&gt;='2023'!Maxi_hp</f>
        <v>0</v>
      </c>
      <c r="I280" s="390">
        <f>IF(H280,Wh_hp,'2023'!Maxi_hp)</f>
        <v>46.242324699542912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4.9420132514891191E-2</v>
      </c>
      <c r="M280" s="959"/>
      <c r="N280" s="959"/>
      <c r="O280" s="48">
        <f>IF(t&lt;Tnet,'2023'!Resal+('2023'!Salim-'2023'!Resal)*(1-EXP(('2023'!Tnet-t)/('2023'!Tau_j))),Resal+(Salim-Resal)*(1-EXP((Tnet-t)/(Tau_j))))*Salcycl</f>
        <v>2.8036097105124735E-2</v>
      </c>
      <c r="P280" s="169">
        <f>(INDEX(Models!$BJ280:$BT280,,T280)*(1-R280)+INDEX(Models!$BJ280:$BT280,,T280+1)*R280-ERP_i)*Q280*Ramure*Pc/MaxiM</f>
        <v>2.8515634254619375E-3</v>
      </c>
      <c r="Q280" s="305">
        <f t="shared" si="105"/>
        <v>0.7</v>
      </c>
      <c r="R280" s="177">
        <f t="shared" si="106"/>
        <v>0.49359695128838466</v>
      </c>
      <c r="S280" s="921">
        <f t="shared" si="107"/>
        <v>1</v>
      </c>
      <c r="T280" s="176">
        <f t="shared" si="108"/>
        <v>7</v>
      </c>
      <c r="U280" s="251">
        <f t="shared" si="109"/>
        <v>1.4935969512883847</v>
      </c>
      <c r="V280" s="383">
        <f t="shared" si="110"/>
        <v>43.776602262797901</v>
      </c>
      <c r="W280" s="402">
        <f t="shared" si="111"/>
        <v>28.627961552509756</v>
      </c>
      <c r="X280" s="157">
        <f t="shared" si="112"/>
        <v>45557</v>
      </c>
      <c r="Y280" s="385">
        <f t="shared" si="113"/>
        <v>25.539538201835239</v>
      </c>
      <c r="Z280" s="385">
        <f t="shared" si="114"/>
        <v>26.867324961766379</v>
      </c>
      <c r="AA280" s="386">
        <f t="shared" si="115"/>
        <v>30.985012591701587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0.13289288225230564</v>
      </c>
      <c r="AD280" s="231">
        <f>(INDEX(Models!$BJ280:$BT280,,AH280)*(1-AF280)+INDEX(Models!$BJ280:$BT280,,AH280+1)*AF280-ERP_i)*AE280*Ramure*Pc/MaxiM</f>
        <v>2.8515634254619375E-3</v>
      </c>
      <c r="AE280" s="305">
        <f t="shared" si="117"/>
        <v>0.7</v>
      </c>
      <c r="AF280" s="177">
        <f t="shared" si="118"/>
        <v>0.49359695128838466</v>
      </c>
      <c r="AG280" s="921">
        <f t="shared" si="124"/>
        <v>1</v>
      </c>
      <c r="AH280" s="176">
        <f t="shared" si="119"/>
        <v>7</v>
      </c>
      <c r="AI280" s="225">
        <f t="shared" si="120"/>
        <v>1.4935969512883847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20.922814534868198</v>
      </c>
      <c r="C281" s="955"/>
      <c r="D281" s="393">
        <f t="shared" si="102"/>
        <v>22.011062430341902</v>
      </c>
      <c r="E281" s="385">
        <f t="shared" si="100"/>
        <v>22.648740385540648</v>
      </c>
      <c r="F281" s="385">
        <f t="shared" si="103"/>
        <v>22.66573907917337</v>
      </c>
      <c r="G281" s="110">
        <f t="shared" si="101"/>
        <v>0.47904069411900124</v>
      </c>
      <c r="H281" s="414" t="b">
        <f>Wh_hp&gt;='2023'!Maxi_hp</f>
        <v>0</v>
      </c>
      <c r="I281" s="390">
        <f>IF(H281,Wh_hp,'2023'!Maxi_hp)</f>
        <v>42.341790799167022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4.9440952653588055E-2</v>
      </c>
      <c r="M281" s="959"/>
      <c r="N281" s="959"/>
      <c r="O281" s="48">
        <f>IF(t&lt;Tnet,'2023'!Resal+('2023'!Salim-'2023'!Resal)*(1-EXP(('2023'!Tnet-t)/('2023'!Tau_j))),Resal+(Salim-Resal)*(1-EXP((Tnet-t)/(Tau_j))))*Salcycl</f>
        <v>2.8155117871625741E-2</v>
      </c>
      <c r="P281" s="169">
        <f>(INDEX(Models!$BJ281:$BT281,,T281)*(1-R281)+INDEX(Models!$BJ281:$BT281,,T281+1)*R281-ERP_i)*Q281*Ramure*Pc/MaxiM</f>
        <v>2.9152503063726042E-3</v>
      </c>
      <c r="Q281" s="305">
        <f t="shared" si="105"/>
        <v>0.7</v>
      </c>
      <c r="R281" s="177">
        <f t="shared" si="106"/>
        <v>0.49385956108052076</v>
      </c>
      <c r="S281" s="921">
        <f t="shared" si="107"/>
        <v>1</v>
      </c>
      <c r="T281" s="176">
        <f t="shared" si="108"/>
        <v>7</v>
      </c>
      <c r="U281" s="251">
        <f t="shared" si="109"/>
        <v>1.4938595610805208</v>
      </c>
      <c r="V281" s="383">
        <f t="shared" si="110"/>
        <v>43.58184407884945</v>
      </c>
      <c r="W281" s="402">
        <f t="shared" si="111"/>
        <v>20.922814534868198</v>
      </c>
      <c r="X281" s="157">
        <f t="shared" si="112"/>
        <v>45558</v>
      </c>
      <c r="Y281" s="385">
        <f t="shared" si="113"/>
        <v>18.668048114914352</v>
      </c>
      <c r="Z281" s="385">
        <f t="shared" si="114"/>
        <v>19.639019971487539</v>
      </c>
      <c r="AA281" s="386">
        <f t="shared" si="115"/>
        <v>22.648740385540648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0.13288687859986106</v>
      </c>
      <c r="AD281" s="231">
        <f>(INDEX(Models!$BJ281:$BT281,,AH281)*(1-AF281)+INDEX(Models!$BJ281:$BT281,,AH281+1)*AF281-ERP_i)*AE281*Ramure*Pc/MaxiM</f>
        <v>2.9152503063726042E-3</v>
      </c>
      <c r="AE281" s="305">
        <f t="shared" si="117"/>
        <v>0.7</v>
      </c>
      <c r="AF281" s="177">
        <f t="shared" si="118"/>
        <v>0.49385956108052076</v>
      </c>
      <c r="AG281" s="921">
        <f t="shared" si="124"/>
        <v>1</v>
      </c>
      <c r="AH281" s="176">
        <f t="shared" si="119"/>
        <v>7</v>
      </c>
      <c r="AI281" s="225">
        <f t="shared" si="120"/>
        <v>1.4938595610805208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30.855492336737424</v>
      </c>
      <c r="C282" s="955"/>
      <c r="D282" s="393">
        <f t="shared" si="102"/>
        <v>32.46107461935042</v>
      </c>
      <c r="E282" s="385">
        <f t="shared" si="100"/>
        <v>33.405571484914283</v>
      </c>
      <c r="F282" s="385">
        <f t="shared" si="103"/>
        <v>33.464122455802169</v>
      </c>
      <c r="G282" s="110">
        <f t="shared" si="101"/>
        <v>0.71034710692799885</v>
      </c>
      <c r="H282" s="414" t="b">
        <f>Wh_hp&gt;='2023'!Maxi_hp</f>
        <v>0</v>
      </c>
      <c r="I282" s="390">
        <f>IF(H282,Wh_hp,'2023'!Maxi_hp)</f>
        <v>48.914209724554347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4.946177233627036E-2</v>
      </c>
      <c r="M282" s="959"/>
      <c r="N282" s="959"/>
      <c r="O282" s="48">
        <f>IF(t&lt;Tnet,'2023'!Resal+('2023'!Salim-'2023'!Resal)*(1-EXP(('2023'!Tnet-t)/('2023'!Tau_j))),Resal+(Salim-Resal)*(1-EXP((Tnet-t)/(Tau_j))))*Salcycl</f>
        <v>2.8273632917502695E-2</v>
      </c>
      <c r="P282" s="169">
        <f>(INDEX(Models!$BJ282:$BT282,,T282)*(1-R282)+INDEX(Models!$BJ282:$BT282,,T282+1)*R282-ERP_i)*Q282*Ramure*Pc/MaxiM</f>
        <v>2.9783506177737712E-3</v>
      </c>
      <c r="Q282" s="305">
        <f t="shared" si="105"/>
        <v>0.7</v>
      </c>
      <c r="R282" s="177">
        <f t="shared" si="106"/>
        <v>0.49411186000773899</v>
      </c>
      <c r="S282" s="921">
        <f t="shared" si="107"/>
        <v>1</v>
      </c>
      <c r="T282" s="176">
        <f t="shared" si="108"/>
        <v>7</v>
      </c>
      <c r="U282" s="251">
        <f t="shared" si="109"/>
        <v>1.494111860007739</v>
      </c>
      <c r="V282" s="383">
        <f t="shared" si="110"/>
        <v>43.383739945015996</v>
      </c>
      <c r="W282" s="402">
        <f t="shared" si="111"/>
        <v>30.855492336737424</v>
      </c>
      <c r="X282" s="157">
        <f t="shared" si="112"/>
        <v>45559</v>
      </c>
      <c r="Y282" s="385">
        <f t="shared" si="113"/>
        <v>27.533919107054285</v>
      </c>
      <c r="Z282" s="385">
        <f t="shared" si="114"/>
        <v>28.966661524732402</v>
      </c>
      <c r="AA282" s="386">
        <f t="shared" si="115"/>
        <v>33.405571484914283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0.13287933008978631</v>
      </c>
      <c r="AD282" s="231">
        <f>(INDEX(Models!$BJ282:$BT282,,AH282)*(1-AF282)+INDEX(Models!$BJ282:$BT282,,AH282+1)*AF282-ERP_i)*AE282*Ramure*Pc/MaxiM</f>
        <v>2.9783506177737712E-3</v>
      </c>
      <c r="AE282" s="305">
        <f t="shared" si="117"/>
        <v>0.7</v>
      </c>
      <c r="AF282" s="177">
        <f t="shared" si="118"/>
        <v>0.49411186000773899</v>
      </c>
      <c r="AG282" s="921">
        <f t="shared" si="124"/>
        <v>1</v>
      </c>
      <c r="AH282" s="176">
        <f t="shared" si="119"/>
        <v>7</v>
      </c>
      <c r="AI282" s="225">
        <f t="shared" si="120"/>
        <v>1.494111860007739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32.238693395173662</v>
      </c>
      <c r="C283" s="955"/>
      <c r="D283" s="393">
        <f t="shared" si="102"/>
        <v>33.916994164456355</v>
      </c>
      <c r="E283" s="385">
        <f t="shared" si="100"/>
        <v>34.908091753590547</v>
      </c>
      <c r="F283" s="385">
        <f t="shared" si="103"/>
        <v>34.975939457030982</v>
      </c>
      <c r="G283" s="110">
        <f t="shared" si="101"/>
        <v>0.74574733805960847</v>
      </c>
      <c r="H283" s="414" t="b">
        <f>Wh_hp&gt;='2023'!Maxi_hp</f>
        <v>0</v>
      </c>
      <c r="I283" s="390">
        <f>IF(H283,Wh_hp,'2023'!Maxi_hp)</f>
        <v>47.979649608380406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4.9482591562948319E-2</v>
      </c>
      <c r="M283" s="959"/>
      <c r="N283" s="959"/>
      <c r="O283" s="48">
        <f>IF(t&lt;Tnet,'2023'!Resal+('2023'!Salim-'2023'!Resal)*(1-EXP(('2023'!Tnet-t)/('2023'!Tau_j))),Resal+(Salim-Resal)*(1-EXP((Tnet-t)/(Tau_j))))*Salcycl</f>
        <v>2.8391628970444963E-2</v>
      </c>
      <c r="P283" s="169">
        <f>(INDEX(Models!$BJ283:$BT283,,T283)*(1-R283)+INDEX(Models!$BJ283:$BT283,,T283+1)*R283-ERP_i)*Q283*Ramure*Pc/MaxiM</f>
        <v>3.0406993118385038E-3</v>
      </c>
      <c r="Q283" s="305">
        <f t="shared" si="105"/>
        <v>0.7</v>
      </c>
      <c r="R283" s="177">
        <f t="shared" si="106"/>
        <v>0.49435424286811691</v>
      </c>
      <c r="S283" s="921">
        <f t="shared" si="107"/>
        <v>1</v>
      </c>
      <c r="T283" s="176">
        <f t="shared" si="108"/>
        <v>7</v>
      </c>
      <c r="U283" s="251">
        <f t="shared" si="109"/>
        <v>1.4943542428681169</v>
      </c>
      <c r="V283" s="383">
        <f t="shared" si="110"/>
        <v>43.182365508290957</v>
      </c>
      <c r="W283" s="402">
        <f t="shared" si="111"/>
        <v>32.238693395173662</v>
      </c>
      <c r="X283" s="157">
        <f t="shared" si="112"/>
        <v>45560</v>
      </c>
      <c r="Y283" s="385">
        <f t="shared" si="113"/>
        <v>28.772016405676936</v>
      </c>
      <c r="Z283" s="385">
        <f t="shared" si="114"/>
        <v>30.269846875279374</v>
      </c>
      <c r="AA283" s="386">
        <f t="shared" si="115"/>
        <v>34.908091753590547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0.13287019270636857</v>
      </c>
      <c r="AD283" s="231">
        <f>(INDEX(Models!$BJ283:$BT283,,AH283)*(1-AF283)+INDEX(Models!$BJ283:$BT283,,AH283+1)*AF283-ERP_i)*AE283*Ramure*Pc/MaxiM</f>
        <v>3.0406993118385038E-3</v>
      </c>
      <c r="AE283" s="305">
        <f t="shared" si="117"/>
        <v>0.7</v>
      </c>
      <c r="AF283" s="177">
        <f t="shared" si="118"/>
        <v>0.49435424286811691</v>
      </c>
      <c r="AG283" s="921">
        <f t="shared" si="124"/>
        <v>1</v>
      </c>
      <c r="AH283" s="176">
        <f t="shared" si="119"/>
        <v>7</v>
      </c>
      <c r="AI283" s="225">
        <f t="shared" si="120"/>
        <v>1.4943542428681169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15.486884807256915</v>
      </c>
      <c r="C284" s="955"/>
      <c r="D284" s="393">
        <f t="shared" si="102"/>
        <v>16.293466989390179</v>
      </c>
      <c r="E284" s="385">
        <f t="shared" si="100"/>
        <v>16.771610387158969</v>
      </c>
      <c r="F284" s="385">
        <f t="shared" si="103"/>
        <v>16.776097049262468</v>
      </c>
      <c r="G284" s="110">
        <f t="shared" si="101"/>
        <v>0.35932444078621795</v>
      </c>
      <c r="H284" s="414" t="b">
        <f>Wh_hp&gt;='2023'!Maxi_hp</f>
        <v>0</v>
      </c>
      <c r="I284" s="390">
        <f>IF(H284,Wh_hp,'2023'!Maxi_hp)</f>
        <v>46.988763169188566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4.9503410333631703E-2</v>
      </c>
      <c r="M284" s="959"/>
      <c r="N284" s="959"/>
      <c r="O284" s="48">
        <f>IF(t&lt;Tnet,'2023'!Resal+('2023'!Salim-'2023'!Resal)*(1-EXP(('2023'!Tnet-t)/('2023'!Tau_j))),Resal+(Salim-Resal)*(1-EXP((Tnet-t)/(Tau_j))))*Salcycl</f>
        <v>2.8509092849836052E-2</v>
      </c>
      <c r="P284" s="169">
        <f>(INDEX(Models!$BJ284:$BT284,,T284)*(1-R284)+INDEX(Models!$BJ284:$BT284,,T284+1)*R284-ERP_i)*Q284*Ramure*Pc/MaxiM</f>
        <v>3.1022750150461386E-3</v>
      </c>
      <c r="Q284" s="305">
        <f t="shared" si="105"/>
        <v>0.7</v>
      </c>
      <c r="R284" s="177">
        <f t="shared" si="106"/>
        <v>0.49458709012718627</v>
      </c>
      <c r="S284" s="921">
        <f t="shared" si="107"/>
        <v>1</v>
      </c>
      <c r="T284" s="176">
        <f t="shared" si="108"/>
        <v>7</v>
      </c>
      <c r="U284" s="251">
        <f t="shared" si="109"/>
        <v>1.4945870901271863</v>
      </c>
      <c r="V284" s="383">
        <f t="shared" si="110"/>
        <v>42.977789997770053</v>
      </c>
      <c r="W284" s="402">
        <f t="shared" si="111"/>
        <v>15.486884807256915</v>
      </c>
      <c r="X284" s="157">
        <f t="shared" si="112"/>
        <v>45561</v>
      </c>
      <c r="Y284" s="385">
        <f t="shared" si="113"/>
        <v>13.823398778448272</v>
      </c>
      <c r="Z284" s="385">
        <f t="shared" si="114"/>
        <v>14.543343899108983</v>
      </c>
      <c r="AA284" s="386">
        <f t="shared" si="115"/>
        <v>16.771610387158969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0.13285942355040864</v>
      </c>
      <c r="AD284" s="231">
        <f>(INDEX(Models!$BJ284:$BT284,,AH284)*(1-AF284)+INDEX(Models!$BJ284:$BT284,,AH284+1)*AF284-ERP_i)*AE284*Ramure*Pc/MaxiM</f>
        <v>3.1022750150461386E-3</v>
      </c>
      <c r="AE284" s="305">
        <f t="shared" si="117"/>
        <v>0.7</v>
      </c>
      <c r="AF284" s="177">
        <f t="shared" si="118"/>
        <v>0.49458709012718627</v>
      </c>
      <c r="AG284" s="921">
        <f t="shared" si="124"/>
        <v>1</v>
      </c>
      <c r="AH284" s="176">
        <f t="shared" si="119"/>
        <v>7</v>
      </c>
      <c r="AI284" s="225">
        <f t="shared" si="120"/>
        <v>1.4945870901271863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15.143633667664943</v>
      </c>
      <c r="C285" s="955"/>
      <c r="D285" s="393">
        <f t="shared" si="102"/>
        <v>15.932687738193701</v>
      </c>
      <c r="E285" s="385">
        <f t="shared" si="100"/>
        <v>16.402217814685024</v>
      </c>
      <c r="F285" s="385">
        <f t="shared" si="103"/>
        <v>16.406226293018612</v>
      </c>
      <c r="G285" s="110">
        <f t="shared" si="101"/>
        <v>0.35303702497048312</v>
      </c>
      <c r="H285" s="414" t="b">
        <f>Wh_hp&gt;='2023'!Maxi_hp</f>
        <v>0</v>
      </c>
      <c r="I285" s="390">
        <f>IF(H285,Wh_hp,'2023'!Maxi_hp)</f>
        <v>44.138858996476266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4.9524228648330615E-2</v>
      </c>
      <c r="M285" s="959"/>
      <c r="N285" s="959"/>
      <c r="O285" s="48">
        <f>IF(t&lt;Tnet,'2023'!Resal+('2023'!Salim-'2023'!Resal)*(1-EXP(('2023'!Tnet-t)/('2023'!Tau_j))),Resal+(Salim-Resal)*(1-EXP((Tnet-t)/(Tau_j))))*Salcycl</f>
        <v>2.8626011542838246E-2</v>
      </c>
      <c r="P285" s="169">
        <f>(INDEX(Models!$BJ285:$BT285,,T285)*(1-R285)+INDEX(Models!$BJ285:$BT285,,T285+1)*R285-ERP_i)*Q285*Ramure*Pc/MaxiM</f>
        <v>3.1630552632587738E-3</v>
      </c>
      <c r="Q285" s="305">
        <f t="shared" si="105"/>
        <v>0.7</v>
      </c>
      <c r="R285" s="177">
        <f t="shared" si="106"/>
        <v>0.49481076837647286</v>
      </c>
      <c r="S285" s="921">
        <f t="shared" si="107"/>
        <v>1</v>
      </c>
      <c r="T285" s="176">
        <f t="shared" si="108"/>
        <v>7</v>
      </c>
      <c r="U285" s="251">
        <f t="shared" si="109"/>
        <v>1.4948107683764729</v>
      </c>
      <c r="V285" s="383">
        <f t="shared" si="110"/>
        <v>42.770082571763538</v>
      </c>
      <c r="W285" s="402">
        <f t="shared" si="111"/>
        <v>15.143633667664943</v>
      </c>
      <c r="X285" s="157">
        <f t="shared" si="112"/>
        <v>45562</v>
      </c>
      <c r="Y285" s="385">
        <f t="shared" si="113"/>
        <v>13.518838065532474</v>
      </c>
      <c r="Z285" s="385">
        <f t="shared" si="114"/>
        <v>14.223232693567104</v>
      </c>
      <c r="AA285" s="386">
        <f t="shared" si="115"/>
        <v>16.402217814685024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0.13284698116659924</v>
      </c>
      <c r="AD285" s="231">
        <f>(INDEX(Models!$BJ285:$BT285,,AH285)*(1-AF285)+INDEX(Models!$BJ285:$BT285,,AH285+1)*AF285-ERP_i)*AE285*Ramure*Pc/MaxiM</f>
        <v>3.1630552632587738E-3</v>
      </c>
      <c r="AE285" s="305">
        <f t="shared" si="117"/>
        <v>0.7</v>
      </c>
      <c r="AF285" s="177">
        <f t="shared" si="118"/>
        <v>0.49481076837647286</v>
      </c>
      <c r="AG285" s="921">
        <f t="shared" si="124"/>
        <v>1</v>
      </c>
      <c r="AH285" s="176">
        <f t="shared" si="119"/>
        <v>7</v>
      </c>
      <c r="AI285" s="225">
        <f t="shared" si="120"/>
        <v>1.4948107683764729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21.819059098727021</v>
      </c>
      <c r="C286" s="955"/>
      <c r="D286" s="393">
        <f t="shared" si="102"/>
        <v>22.956436829059019</v>
      </c>
      <c r="E286" s="385">
        <f t="shared" si="100"/>
        <v>23.635785371456162</v>
      </c>
      <c r="F286" s="385">
        <f t="shared" si="103"/>
        <v>23.658952633785781</v>
      </c>
      <c r="G286" s="110">
        <f t="shared" si="101"/>
        <v>0.51152268087464858</v>
      </c>
      <c r="H286" s="414" t="b">
        <f>Wh_hp&gt;='2023'!Maxi_hp</f>
        <v>0</v>
      </c>
      <c r="I286" s="390">
        <f>IF(H286,Wh_hp,'2023'!Maxi_hp)</f>
        <v>45.467806820564945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4.9545046507054935E-2</v>
      </c>
      <c r="M286" s="959"/>
      <c r="N286" s="959"/>
      <c r="O286" s="48">
        <f>IF(t&lt;Tnet,'2023'!Resal+('2023'!Salim-'2023'!Resal)*(1-EXP(('2023'!Tnet-t)/('2023'!Tau_j))),Resal+(Salim-Resal)*(1-EXP((Tnet-t)/(Tau_j))))*Salcycl</f>
        <v>2.8742372285101243E-2</v>
      </c>
      <c r="P286" s="169">
        <f>(INDEX(Models!$BJ286:$BT286,,T286)*(1-R286)+INDEX(Models!$BJ286:$BT286,,T286+1)*R286-ERP_i)*Q286*Ramure*Pc/MaxiM</f>
        <v>3.223016609977898E-3</v>
      </c>
      <c r="Q286" s="305">
        <f t="shared" si="105"/>
        <v>0.7</v>
      </c>
      <c r="R286" s="177">
        <f t="shared" si="106"/>
        <v>0.49502563078238304</v>
      </c>
      <c r="S286" s="921">
        <f t="shared" si="107"/>
        <v>1</v>
      </c>
      <c r="T286" s="176">
        <f t="shared" si="108"/>
        <v>7</v>
      </c>
      <c r="U286" s="251">
        <f t="shared" si="109"/>
        <v>1.495025630782383</v>
      </c>
      <c r="V286" s="383">
        <f t="shared" si="110"/>
        <v>42.559312307975738</v>
      </c>
      <c r="W286" s="402">
        <f t="shared" si="111"/>
        <v>21.819059098727021</v>
      </c>
      <c r="X286" s="157">
        <f t="shared" si="112"/>
        <v>45563</v>
      </c>
      <c r="Y286" s="385">
        <f t="shared" si="113"/>
        <v>19.480693155557248</v>
      </c>
      <c r="Z286" s="385">
        <f t="shared" si="114"/>
        <v>20.496177208572828</v>
      </c>
      <c r="AA286" s="386">
        <f t="shared" si="115"/>
        <v>23.635785371456162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0.13283282588421594</v>
      </c>
      <c r="AD286" s="231">
        <f>(INDEX(Models!$BJ286:$BT286,,AH286)*(1-AF286)+INDEX(Models!$BJ286:$BT286,,AH286+1)*AF286-ERP_i)*AE286*Ramure*Pc/MaxiM</f>
        <v>3.223016609977898E-3</v>
      </c>
      <c r="AE286" s="305">
        <f t="shared" si="117"/>
        <v>0.7</v>
      </c>
      <c r="AF286" s="177">
        <f t="shared" si="118"/>
        <v>0.49502563078238304</v>
      </c>
      <c r="AG286" s="921">
        <f t="shared" si="124"/>
        <v>1</v>
      </c>
      <c r="AH286" s="176">
        <f t="shared" si="119"/>
        <v>7</v>
      </c>
      <c r="AI286" s="225">
        <f t="shared" si="120"/>
        <v>1.495025630782383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31.451520266649336</v>
      </c>
      <c r="C287" s="955"/>
      <c r="D287" s="393">
        <f t="shared" si="102"/>
        <v>33.091740997468705</v>
      </c>
      <c r="E287" s="385">
        <f t="shared" si="100"/>
        <v>34.075085352742377</v>
      </c>
      <c r="F287" s="385">
        <f t="shared" si="103"/>
        <v>34.145968280007274</v>
      </c>
      <c r="G287" s="110">
        <f t="shared" si="101"/>
        <v>0.74183719735956855</v>
      </c>
      <c r="H287" s="414" t="b">
        <f>Wh_hp&gt;='2023'!Maxi_hp</f>
        <v>0</v>
      </c>
      <c r="I287" s="390">
        <f>IF(H287,Wh_hp,'2023'!Maxi_hp)</f>
        <v>41.385817820684117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4.9565863909814767E-2</v>
      </c>
      <c r="M287" s="959"/>
      <c r="N287" s="959"/>
      <c r="O287" s="48">
        <f>IF(t&lt;Tnet,'2023'!Resal+('2023'!Salim-'2023'!Resal)*(1-EXP(('2023'!Tnet-t)/('2023'!Tau_j))),Resal+(Salim-Resal)*(1-EXP((Tnet-t)/(Tau_j))))*Salcycl</f>
        <v>2.8858162645644909E-2</v>
      </c>
      <c r="P287" s="169">
        <f>(INDEX(Models!$BJ287:$BT287,,T287)*(1-R287)+INDEX(Models!$BJ287:$BT287,,T287+1)*R287-ERP_i)*Q287*Ramure*Pc/MaxiM</f>
        <v>3.2821347459488087E-3</v>
      </c>
      <c r="Q287" s="305">
        <f t="shared" si="105"/>
        <v>0.7</v>
      </c>
      <c r="R287" s="177">
        <f t="shared" si="106"/>
        <v>0.49523201752519208</v>
      </c>
      <c r="S287" s="921">
        <f t="shared" si="107"/>
        <v>1</v>
      </c>
      <c r="T287" s="176">
        <f t="shared" si="108"/>
        <v>7</v>
      </c>
      <c r="U287" s="251">
        <f t="shared" si="109"/>
        <v>1.4952320175251921</v>
      </c>
      <c r="V287" s="383">
        <f t="shared" si="110"/>
        <v>42.345548198750571</v>
      </c>
      <c r="W287" s="402">
        <f t="shared" si="111"/>
        <v>31.451520266649336</v>
      </c>
      <c r="X287" s="157">
        <f t="shared" si="112"/>
        <v>45564</v>
      </c>
      <c r="Y287" s="385">
        <f t="shared" si="113"/>
        <v>28.084699022453254</v>
      </c>
      <c r="Z287" s="385">
        <f t="shared" si="114"/>
        <v>29.549337461705331</v>
      </c>
      <c r="AA287" s="386">
        <f t="shared" si="115"/>
        <v>34.075085352742377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0.13281692016870647</v>
      </c>
      <c r="AD287" s="231">
        <f>(INDEX(Models!$BJ287:$BT287,,AH287)*(1-AF287)+INDEX(Models!$BJ287:$BT287,,AH287+1)*AF287-ERP_i)*AE287*Ramure*Pc/MaxiM</f>
        <v>3.2821347459488087E-3</v>
      </c>
      <c r="AE287" s="305">
        <f t="shared" si="117"/>
        <v>0.7</v>
      </c>
      <c r="AF287" s="177">
        <f t="shared" si="118"/>
        <v>0.49523201752519208</v>
      </c>
      <c r="AG287" s="921">
        <f t="shared" si="124"/>
        <v>1</v>
      </c>
      <c r="AH287" s="176">
        <f t="shared" si="119"/>
        <v>7</v>
      </c>
      <c r="AI287" s="225">
        <f t="shared" si="120"/>
        <v>1.4952320175251921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38.071309112663606</v>
      </c>
      <c r="C288" s="955"/>
      <c r="D288" s="393">
        <f t="shared" si="102"/>
        <v>40.057634237468157</v>
      </c>
      <c r="E288" s="385">
        <f t="shared" si="100"/>
        <v>41.252868896968728</v>
      </c>
      <c r="F288" s="385">
        <f t="shared" si="103"/>
        <v>41.372052756806909</v>
      </c>
      <c r="G288" s="110">
        <f t="shared" si="101"/>
        <v>0.90327062399640912</v>
      </c>
      <c r="H288" s="414" t="b">
        <f>Wh_hp&gt;='2023'!Maxi_hp</f>
        <v>0</v>
      </c>
      <c r="I288" s="390">
        <f>IF(H288,Wh_hp,'2023'!Maxi_hp)</f>
        <v>43.981299080889379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4.9586680856620102E-2</v>
      </c>
      <c r="M288" s="959"/>
      <c r="N288" s="959"/>
      <c r="O288" s="48">
        <f>IF(t&lt;Tnet,'2023'!Resal+('2023'!Salim-'2023'!Resal)*(1-EXP(('2023'!Tnet-t)/('2023'!Tau_j))),Resal+(Salim-Resal)*(1-EXP((Tnet-t)/(Tau_j))))*Salcycl</f>
        <v>2.8973370615404611E-2</v>
      </c>
      <c r="P288" s="169">
        <f>(INDEX(Models!$BJ288:$BT288,,T288)*(1-R288)+INDEX(Models!$BJ288:$BT288,,T288+1)*R288-ERP_i)*Q288*Ramure*Pc/MaxiM</f>
        <v>3.3403846308170415E-3</v>
      </c>
      <c r="Q288" s="305">
        <f t="shared" si="105"/>
        <v>0.7</v>
      </c>
      <c r="R288" s="177">
        <f t="shared" si="106"/>
        <v>0.49543025622794046</v>
      </c>
      <c r="S288" s="921">
        <f t="shared" si="107"/>
        <v>1</v>
      </c>
      <c r="T288" s="176">
        <f t="shared" si="108"/>
        <v>7</v>
      </c>
      <c r="U288" s="251">
        <f t="shared" si="109"/>
        <v>1.4954302562279405</v>
      </c>
      <c r="V288" s="383">
        <f t="shared" si="110"/>
        <v>42.128859137699436</v>
      </c>
      <c r="W288" s="402">
        <f t="shared" si="111"/>
        <v>38.071309112663606</v>
      </c>
      <c r="X288" s="157">
        <f t="shared" si="112"/>
        <v>45565</v>
      </c>
      <c r="Y288" s="385">
        <f t="shared" si="113"/>
        <v>34.000580022308384</v>
      </c>
      <c r="Z288" s="385">
        <f t="shared" si="114"/>
        <v>35.774519714173991</v>
      </c>
      <c r="AA288" s="386">
        <f t="shared" si="115"/>
        <v>41.252868896968728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0.13279922898155783</v>
      </c>
      <c r="AD288" s="231">
        <f>(INDEX(Models!$BJ288:$BT288,,AH288)*(1-AF288)+INDEX(Models!$BJ288:$BT288,,AH288+1)*AF288-ERP_i)*AE288*Ramure*Pc/MaxiM</f>
        <v>3.3403846308170415E-3</v>
      </c>
      <c r="AE288" s="305">
        <f t="shared" si="117"/>
        <v>0.7</v>
      </c>
      <c r="AF288" s="177">
        <f t="shared" si="118"/>
        <v>0.49543025622794046</v>
      </c>
      <c r="AG288" s="921">
        <f t="shared" si="124"/>
        <v>1</v>
      </c>
      <c r="AH288" s="176">
        <f t="shared" si="119"/>
        <v>7</v>
      </c>
      <c r="AI288" s="225">
        <f t="shared" si="120"/>
        <v>1.4954302562279405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37.487681938211452</v>
      </c>
      <c r="C289" s="955"/>
      <c r="D289" s="393">
        <f t="shared" si="102"/>
        <v>39.444420945645476</v>
      </c>
      <c r="E289" s="385">
        <f t="shared" si="100"/>
        <v>40.626153888322847</v>
      </c>
      <c r="F289" s="385">
        <f t="shared" si="103"/>
        <v>40.743729639441618</v>
      </c>
      <c r="G289" s="110">
        <f t="shared" si="101"/>
        <v>0.89404939640849668</v>
      </c>
      <c r="H289" s="414" t="b">
        <f>Wh_hp&gt;='2023'!Maxi_hp</f>
        <v>0</v>
      </c>
      <c r="I289" s="390">
        <f>IF(H289,Wh_hp,'2023'!Maxi_hp)</f>
        <v>47.647904130278036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4.9607497347480822E-2</v>
      </c>
      <c r="M289" s="959"/>
      <c r="N289" s="959"/>
      <c r="O289" s="48">
        <f>IF(t&lt;Tnet,'2023'!Resal+('2023'!Salim-'2023'!Resal)*(1-EXP(('2023'!Tnet-t)/('2023'!Tau_j))),Resal+(Salim-Resal)*(1-EXP((Tnet-t)/(Tau_j))))*Salcycl</f>
        <v>2.9087984698867475E-2</v>
      </c>
      <c r="P289" s="169">
        <f>(INDEX(Models!$BJ289:$BT289,,T289)*(1-R289)+INDEX(Models!$BJ289:$BT289,,T289+1)*R289-ERP_i)*Q289*Ramure*Pc/MaxiM</f>
        <v>3.3977917977307116E-3</v>
      </c>
      <c r="Q289" s="305">
        <f t="shared" si="105"/>
        <v>0.7</v>
      </c>
      <c r="R289" s="177">
        <f t="shared" si="106"/>
        <v>0.49562066237509672</v>
      </c>
      <c r="S289" s="921">
        <f t="shared" si="107"/>
        <v>1</v>
      </c>
      <c r="T289" s="176">
        <f t="shared" si="108"/>
        <v>7</v>
      </c>
      <c r="U289" s="251">
        <f t="shared" si="109"/>
        <v>1.4956206623750967</v>
      </c>
      <c r="V289" s="383">
        <f t="shared" si="110"/>
        <v>41.908680711855617</v>
      </c>
      <c r="W289" s="402">
        <f t="shared" si="111"/>
        <v>37.487681938211452</v>
      </c>
      <c r="X289" s="157">
        <f t="shared" si="112"/>
        <v>45566</v>
      </c>
      <c r="Y289" s="385">
        <f t="shared" si="113"/>
        <v>33.484061901802647</v>
      </c>
      <c r="Z289" s="385">
        <f t="shared" si="114"/>
        <v>35.23182454443775</v>
      </c>
      <c r="AA289" s="386">
        <f t="shared" si="115"/>
        <v>40.626153888322847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0.13277972014563713</v>
      </c>
      <c r="AD289" s="231">
        <f>(INDEX(Models!$BJ289:$BT289,,AH289)*(1-AF289)+INDEX(Models!$BJ289:$BT289,,AH289+1)*AF289-ERP_i)*AE289*Ramure*Pc/MaxiM</f>
        <v>3.3977917977307116E-3</v>
      </c>
      <c r="AE289" s="305">
        <f t="shared" si="117"/>
        <v>0.7</v>
      </c>
      <c r="AF289" s="177">
        <f t="shared" si="118"/>
        <v>0.49562066237509672</v>
      </c>
      <c r="AG289" s="921">
        <f t="shared" si="124"/>
        <v>1</v>
      </c>
      <c r="AH289" s="176">
        <f t="shared" si="119"/>
        <v>7</v>
      </c>
      <c r="AI289" s="225">
        <f t="shared" si="120"/>
        <v>1.4956206623750967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35.044592263160141</v>
      </c>
      <c r="C290" s="955"/>
      <c r="D290" s="393">
        <f t="shared" si="102"/>
        <v>36.874617327758472</v>
      </c>
      <c r="E290" s="385">
        <f t="shared" si="100"/>
        <v>37.983820630209337</v>
      </c>
      <c r="F290" s="385">
        <f t="shared" si="103"/>
        <v>38.085355234786974</v>
      </c>
      <c r="G290" s="110">
        <f t="shared" si="101"/>
        <v>0.84004483302773414</v>
      </c>
      <c r="H290" s="414" t="b">
        <f>Wh_hp&gt;='2023'!Maxi_hp</f>
        <v>0</v>
      </c>
      <c r="I290" s="390">
        <f>IF(H290,Wh_hp,'2023'!Maxi_hp)</f>
        <v>43.351504842538631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4.9628313382406919E-2</v>
      </c>
      <c r="M290" s="959"/>
      <c r="N290" s="959"/>
      <c r="O290" s="48">
        <f>IF(t&lt;Tnet,'2023'!Resal+('2023'!Salim-'2023'!Resal)*(1-EXP(('2023'!Tnet-t)/('2023'!Tau_j))),Resal+(Salim-Resal)*(1-EXP((Tnet-t)/(Tau_j))))*Salcycl</f>
        <v>2.9201994008172239E-2</v>
      </c>
      <c r="P290" s="169">
        <f>(INDEX(Models!$BJ290:$BT290,,T290)*(1-R290)+INDEX(Models!$BJ290:$BT290,,T290+1)*R290-ERP_i)*Q290*Ramure*Pc/MaxiM</f>
        <v>3.4513754668330987E-3</v>
      </c>
      <c r="Q290" s="305">
        <f t="shared" si="105"/>
        <v>0.7</v>
      </c>
      <c r="R290" s="177">
        <f t="shared" si="106"/>
        <v>0.49580353972088487</v>
      </c>
      <c r="S290" s="921">
        <f t="shared" si="107"/>
        <v>1</v>
      </c>
      <c r="T290" s="176">
        <f t="shared" si="108"/>
        <v>7</v>
      </c>
      <c r="U290" s="251">
        <f t="shared" si="109"/>
        <v>1.4958035397208849</v>
      </c>
      <c r="V290" s="383">
        <f t="shared" si="110"/>
        <v>41.684673570291416</v>
      </c>
      <c r="W290" s="402">
        <f t="shared" si="111"/>
        <v>35.044592263160141</v>
      </c>
      <c r="X290" s="157">
        <f t="shared" si="112"/>
        <v>45567</v>
      </c>
      <c r="Y290" s="385">
        <f t="shared" si="113"/>
        <v>31.306336966789747</v>
      </c>
      <c r="Z290" s="385">
        <f t="shared" si="114"/>
        <v>32.941150717789291</v>
      </c>
      <c r="AA290" s="386">
        <f t="shared" si="115"/>
        <v>37.983820630209337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0.13275836471304053</v>
      </c>
      <c r="AD290" s="231">
        <f>(INDEX(Models!$BJ290:$BT290,,AH290)*(1-AF290)+INDEX(Models!$BJ290:$BT290,,AH290+1)*AF290-ERP_i)*AE290*Ramure*Pc/MaxiM</f>
        <v>3.4513754668330987E-3</v>
      </c>
      <c r="AE290" s="305">
        <f t="shared" si="117"/>
        <v>0.7</v>
      </c>
      <c r="AF290" s="177">
        <f t="shared" si="118"/>
        <v>0.49580353972088487</v>
      </c>
      <c r="AG290" s="921">
        <f t="shared" si="124"/>
        <v>1</v>
      </c>
      <c r="AH290" s="176">
        <f t="shared" si="119"/>
        <v>7</v>
      </c>
      <c r="AI290" s="225">
        <f t="shared" si="120"/>
        <v>1.4958035397208849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41.040482981304443</v>
      </c>
      <c r="C291" s="955"/>
      <c r="D291" s="393">
        <f t="shared" si="102"/>
        <v>43.184558705621356</v>
      </c>
      <c r="E291" s="385">
        <f t="shared" si="100"/>
        <v>44.488764102909876</v>
      </c>
      <c r="F291" s="385">
        <f t="shared" si="103"/>
        <v>44.64278732905187</v>
      </c>
      <c r="G291" s="110">
        <f t="shared" si="101"/>
        <v>0.98990111698971239</v>
      </c>
      <c r="H291" s="414" t="b">
        <f>Wh_hp&gt;='2023'!Maxi_hp</f>
        <v>0</v>
      </c>
      <c r="I291" s="390">
        <f>IF(H291,Wh_hp,'2023'!Maxi_hp)</f>
        <v>44.844605022343991</v>
      </c>
      <c r="J291" s="85">
        <f>IF(H291,An,'2023'!An_max)</f>
        <v>2018</v>
      </c>
      <c r="K291" s="197">
        <f t="shared" si="104"/>
        <v>45568</v>
      </c>
      <c r="L291" s="147">
        <f>IF(t&lt;Tvie,1-EXP((T0-t)*PertePVj)+'2023'!Pspv,1-EXP((T0-t)*PertePVj)+Pspv)</f>
        <v>4.9649128961408495E-2</v>
      </c>
      <c r="M291" s="959"/>
      <c r="N291" s="959"/>
      <c r="O291" s="48">
        <f>IF(t&lt;Tnet,'2023'!Resal+('2023'!Salim-'2023'!Resal)*(1-EXP(('2023'!Tnet-t)/('2023'!Tau_j))),Resal+(Salim-Resal)*(1-EXP((Tnet-t)/(Tau_j))))*Salcycl</f>
        <v>2.9315388358995036E-2</v>
      </c>
      <c r="P291" s="169">
        <f>(INDEX(Models!$BJ291:$BT291,,T291)*(1-R291)+INDEX(Models!$BJ291:$BT291,,T291+1)*R291-ERP_i)*Q291*Ramure*Pc/MaxiM</f>
        <v>3.5003758847017958E-3</v>
      </c>
      <c r="Q291" s="305">
        <f t="shared" si="105"/>
        <v>0.7</v>
      </c>
      <c r="R291" s="177">
        <f t="shared" si="106"/>
        <v>0.49597918068721514</v>
      </c>
      <c r="S291" s="921">
        <f t="shared" si="107"/>
        <v>1</v>
      </c>
      <c r="T291" s="176">
        <f t="shared" si="108"/>
        <v>7</v>
      </c>
      <c r="U291" s="251">
        <f t="shared" si="109"/>
        <v>1.4959791806872151</v>
      </c>
      <c r="V291" s="383">
        <f t="shared" si="110"/>
        <v>41.457083787162787</v>
      </c>
      <c r="W291" s="402">
        <f t="shared" si="111"/>
        <v>41.040482981304443</v>
      </c>
      <c r="X291" s="157">
        <f t="shared" si="112"/>
        <v>45568</v>
      </c>
      <c r="Y291" s="385">
        <f t="shared" si="113"/>
        <v>36.667902642880847</v>
      </c>
      <c r="Z291" s="385">
        <f t="shared" si="114"/>
        <v>38.583541889963556</v>
      </c>
      <c r="AA291" s="386">
        <f t="shared" si="115"/>
        <v>44.488764102909876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0.13273513733235123</v>
      </c>
      <c r="AD291" s="231">
        <f>(INDEX(Models!$BJ291:$BT291,,AH291)*(1-AF291)+INDEX(Models!$BJ291:$BT291,,AH291+1)*AF291-ERP_i)*AE291*Ramure*Pc/MaxiM</f>
        <v>3.5003758847017958E-3</v>
      </c>
      <c r="AE291" s="305">
        <f t="shared" si="117"/>
        <v>0.7</v>
      </c>
      <c r="AF291" s="177">
        <f t="shared" si="118"/>
        <v>0.49597918068721514</v>
      </c>
      <c r="AG291" s="921">
        <f t="shared" si="124"/>
        <v>1</v>
      </c>
      <c r="AH291" s="176">
        <f t="shared" si="119"/>
        <v>7</v>
      </c>
      <c r="AI291" s="225">
        <f t="shared" si="120"/>
        <v>1.4959791806872151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40.984250506138821</v>
      </c>
      <c r="C292" s="955"/>
      <c r="D292" s="393">
        <f t="shared" si="102"/>
        <v>43.126333057683276</v>
      </c>
      <c r="E292" s="385">
        <f t="shared" si="100"/>
        <v>44.433942143988787</v>
      </c>
      <c r="F292" s="385">
        <f t="shared" si="103"/>
        <v>44.590679513918623</v>
      </c>
      <c r="G292" s="110">
        <f t="shared" si="101"/>
        <v>0.99410328280109839</v>
      </c>
      <c r="H292" s="414" t="b">
        <f>Wh_hp&gt;='2023'!Maxi_hp</f>
        <v>0</v>
      </c>
      <c r="I292" s="390">
        <f>IF(H292,Wh_hp,'2023'!Maxi_hp)</f>
        <v>44.683643039833356</v>
      </c>
      <c r="J292" s="85">
        <f>IF(H292,An,'2023'!An_max)</f>
        <v>2018</v>
      </c>
      <c r="K292" s="197">
        <f t="shared" si="104"/>
        <v>45569</v>
      </c>
      <c r="L292" s="147">
        <f>IF(t&lt;Tvie,1-EXP((T0-t)*PertePVj)+'2023'!Pspv,1-EXP((T0-t)*PertePVj)+Pspv)</f>
        <v>4.9669944084495432E-2</v>
      </c>
      <c r="M292" s="959"/>
      <c r="N292" s="959"/>
      <c r="O292" s="48">
        <f>IF(t&lt;Tnet,'2023'!Resal+('2023'!Salim-'2023'!Resal)*(1-EXP(('2023'!Tnet-t)/('2023'!Tau_j))),Resal+(Salim-Resal)*(1-EXP((Tnet-t)/(Tau_j))))*Salcycl</f>
        <v>2.9428158367497279E-2</v>
      </c>
      <c r="P292" s="169">
        <f>(INDEX(Models!$BJ292:$BT292,,T292)*(1-R292)+INDEX(Models!$BJ292:$BT292,,T292+1)*R292-ERP_i)*Q292*Ramure*Pc/MaxiM</f>
        <v>3.5447357129124732E-3</v>
      </c>
      <c r="Q292" s="305">
        <f t="shared" si="105"/>
        <v>0.7</v>
      </c>
      <c r="R292" s="177">
        <f t="shared" si="106"/>
        <v>0.49614786675119693</v>
      </c>
      <c r="S292" s="921">
        <f t="shared" si="107"/>
        <v>1</v>
      </c>
      <c r="T292" s="176">
        <f t="shared" si="108"/>
        <v>7</v>
      </c>
      <c r="U292" s="251">
        <f t="shared" si="109"/>
        <v>1.4961478667511969</v>
      </c>
      <c r="V292" s="383">
        <f t="shared" si="110"/>
        <v>41.226127369274316</v>
      </c>
      <c r="W292" s="402">
        <f t="shared" si="111"/>
        <v>40.984250506138821</v>
      </c>
      <c r="X292" s="157">
        <f t="shared" si="112"/>
        <v>45569</v>
      </c>
      <c r="Y292" s="385">
        <f t="shared" si="113"/>
        <v>36.622976698816494</v>
      </c>
      <c r="Z292" s="385">
        <f t="shared" si="114"/>
        <v>38.537112943918828</v>
      </c>
      <c r="AA292" s="386">
        <f t="shared" si="115"/>
        <v>44.433942143988787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0.13271001661210258</v>
      </c>
      <c r="AD292" s="231">
        <f>(INDEX(Models!$BJ292:$BT292,,AH292)*(1-AF292)+INDEX(Models!$BJ292:$BT292,,AH292+1)*AF292-ERP_i)*AE292*Ramure*Pc/MaxiM</f>
        <v>3.5447357129124732E-3</v>
      </c>
      <c r="AE292" s="305">
        <f t="shared" si="117"/>
        <v>0.7</v>
      </c>
      <c r="AF292" s="177">
        <f t="shared" si="118"/>
        <v>0.49614786675119693</v>
      </c>
      <c r="AG292" s="921">
        <f t="shared" si="124"/>
        <v>1</v>
      </c>
      <c r="AH292" s="176">
        <f t="shared" si="119"/>
        <v>7</v>
      </c>
      <c r="AI292" s="225">
        <f t="shared" si="120"/>
        <v>1.4961478667511969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15.195883955464536</v>
      </c>
      <c r="C293" s="955"/>
      <c r="D293" s="393">
        <f t="shared" si="102"/>
        <v>15.990462152618118</v>
      </c>
      <c r="E293" s="385">
        <f t="shared" si="100"/>
        <v>16.477203617269801</v>
      </c>
      <c r="F293" s="385">
        <f t="shared" si="103"/>
        <v>16.483171215371069</v>
      </c>
      <c r="G293" s="110">
        <f t="shared" si="101"/>
        <v>0.36950849693096899</v>
      </c>
      <c r="H293" s="414" t="b">
        <f>Wh_hp&gt;='2023'!Maxi_hp</f>
        <v>0</v>
      </c>
      <c r="I293" s="390">
        <f>IF(H293,Wh_hp,'2023'!Maxi_hp)</f>
        <v>42.282942542755286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4.9690758751677833E-2</v>
      </c>
      <c r="M293" s="959"/>
      <c r="N293" s="959"/>
      <c r="O293" s="48">
        <f>IF(t&lt;Tnet,'2023'!Resal+('2023'!Salim-'2023'!Resal)*(1-EXP(('2023'!Tnet-t)/('2023'!Tau_j))),Resal+(Salim-Resal)*(1-EXP((Tnet-t)/(Tau_j))))*Salcycl</f>
        <v>2.9540295547572589E-2</v>
      </c>
      <c r="P293" s="169">
        <f>(INDEX(Models!$BJ293:$BT293,,T293)*(1-R293)+INDEX(Models!$BJ293:$BT293,,T293+1)*R293-ERP_i)*Q293*Ramure*Pc/MaxiM</f>
        <v>3.5843971382221026E-3</v>
      </c>
      <c r="Q293" s="305">
        <f t="shared" si="105"/>
        <v>0.7</v>
      </c>
      <c r="R293" s="177">
        <f t="shared" si="106"/>
        <v>0.49630986882223604</v>
      </c>
      <c r="S293" s="921">
        <f t="shared" si="107"/>
        <v>1</v>
      </c>
      <c r="T293" s="176">
        <f t="shared" si="108"/>
        <v>7</v>
      </c>
      <c r="U293" s="251">
        <f t="shared" si="109"/>
        <v>1.496309868822236</v>
      </c>
      <c r="V293" s="383">
        <f t="shared" si="110"/>
        <v>40.992019967517138</v>
      </c>
      <c r="W293" s="402">
        <f t="shared" si="111"/>
        <v>15.195883955464536</v>
      </c>
      <c r="X293" s="157">
        <f t="shared" si="112"/>
        <v>45570</v>
      </c>
      <c r="Y293" s="385">
        <f t="shared" si="113"/>
        <v>13.58083045058058</v>
      </c>
      <c r="Z293" s="385">
        <f t="shared" si="114"/>
        <v>14.290959049015306</v>
      </c>
      <c r="AA293" s="386">
        <f t="shared" si="115"/>
        <v>16.477203617269801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0.13268298547716473</v>
      </c>
      <c r="AD293" s="231">
        <f>(INDEX(Models!$BJ293:$BT293,,AH293)*(1-AF293)+INDEX(Models!$BJ293:$BT293,,AH293+1)*AF293-ERP_i)*AE293*Ramure*Pc/MaxiM</f>
        <v>3.5843971382221026E-3</v>
      </c>
      <c r="AE293" s="305">
        <f t="shared" si="117"/>
        <v>0.7</v>
      </c>
      <c r="AF293" s="177">
        <f t="shared" si="118"/>
        <v>0.49630986882223604</v>
      </c>
      <c r="AG293" s="921">
        <f t="shared" si="124"/>
        <v>1</v>
      </c>
      <c r="AH293" s="176">
        <f t="shared" si="119"/>
        <v>7</v>
      </c>
      <c r="AI293" s="225">
        <f t="shared" si="120"/>
        <v>1.496309868822236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30.298513417257936</v>
      </c>
      <c r="C294" s="955"/>
      <c r="D294" s="393">
        <f t="shared" si="102"/>
        <v>31.883491953835133</v>
      </c>
      <c r="E294" s="385">
        <f t="shared" si="100"/>
        <v>32.857784148376396</v>
      </c>
      <c r="F294" s="385">
        <f t="shared" si="103"/>
        <v>32.933291286910546</v>
      </c>
      <c r="G294" s="110">
        <f t="shared" si="101"/>
        <v>0.7424425236436375</v>
      </c>
      <c r="H294" s="414" t="b">
        <f>Wh_hp&gt;='2023'!Maxi_hp</f>
        <v>0</v>
      </c>
      <c r="I294" s="390">
        <f>IF(H294,Wh_hp,'2023'!Maxi_hp)</f>
        <v>44.5855001708373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4.9711572962965467E-2</v>
      </c>
      <c r="M294" s="959"/>
      <c r="N294" s="959"/>
      <c r="O294" s="48">
        <f>IF(t&lt;Tnet,'2023'!Resal+('2023'!Salim-'2023'!Resal)*(1-EXP(('2023'!Tnet-t)/('2023'!Tau_j))),Resal+(Salim-Resal)*(1-EXP((Tnet-t)/(Tau_j))))*Salcycl</f>
        <v>2.9651792407596224E-2</v>
      </c>
      <c r="P294" s="169">
        <f>(INDEX(Models!$BJ294:$BT294,,T294)*(1-R294)+INDEX(Models!$BJ294:$BT294,,T294+1)*R294-ERP_i)*Q294*Ramure*Pc/MaxiM</f>
        <v>3.6193023165970758E-3</v>
      </c>
      <c r="Q294" s="305">
        <f t="shared" si="105"/>
        <v>0.7</v>
      </c>
      <c r="R294" s="177">
        <f t="shared" si="106"/>
        <v>0.49646544760875888</v>
      </c>
      <c r="S294" s="921">
        <f t="shared" si="107"/>
        <v>1</v>
      </c>
      <c r="T294" s="176">
        <f t="shared" si="108"/>
        <v>7</v>
      </c>
      <c r="U294" s="251">
        <f t="shared" si="109"/>
        <v>1.4964654476087589</v>
      </c>
      <c r="V294" s="383">
        <f t="shared" si="110"/>
        <v>40.754976869975408</v>
      </c>
      <c r="W294" s="402">
        <f t="shared" si="111"/>
        <v>30.298513417257936</v>
      </c>
      <c r="X294" s="157">
        <f t="shared" si="112"/>
        <v>45571</v>
      </c>
      <c r="Y294" s="385">
        <f t="shared" si="113"/>
        <v>27.082333185072631</v>
      </c>
      <c r="Z294" s="385">
        <f t="shared" si="114"/>
        <v>28.499066614453447</v>
      </c>
      <c r="AA294" s="386">
        <f t="shared" si="115"/>
        <v>32.857784148376396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0.13265403151473099</v>
      </c>
      <c r="AD294" s="231">
        <f>(INDEX(Models!$BJ294:$BT294,,AH294)*(1-AF294)+INDEX(Models!$BJ294:$BT294,,AH294+1)*AF294-ERP_i)*AE294*Ramure*Pc/MaxiM</f>
        <v>3.6193023165970758E-3</v>
      </c>
      <c r="AE294" s="305">
        <f t="shared" si="117"/>
        <v>0.7</v>
      </c>
      <c r="AF294" s="177">
        <f t="shared" si="118"/>
        <v>0.49646544760875888</v>
      </c>
      <c r="AG294" s="921">
        <f t="shared" si="124"/>
        <v>1</v>
      </c>
      <c r="AH294" s="176">
        <f t="shared" si="119"/>
        <v>7</v>
      </c>
      <c r="AI294" s="225">
        <f t="shared" si="120"/>
        <v>1.4964654476087589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17.524342493732586</v>
      </c>
      <c r="C295" s="955"/>
      <c r="D295" s="393">
        <f t="shared" si="102"/>
        <v>18.441481377245342</v>
      </c>
      <c r="E295" s="385">
        <f t="shared" si="100"/>
        <v>19.007185443400029</v>
      </c>
      <c r="F295" s="385">
        <f t="shared" si="103"/>
        <v>19.020327972477254</v>
      </c>
      <c r="G295" s="110">
        <f t="shared" si="101"/>
        <v>0.43125682859515485</v>
      </c>
      <c r="H295" s="414" t="b">
        <f>Wh_hp&gt;='2023'!Maxi_hp</f>
        <v>0</v>
      </c>
      <c r="I295" s="390">
        <f>IF(H295,Wh_hp,'2023'!Maxi_hp)</f>
        <v>41.761638375375632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4.9732386718368549E-2</v>
      </c>
      <c r="M295" s="959"/>
      <c r="N295" s="959"/>
      <c r="O295" s="48">
        <f>IF(t&lt;Tnet,'2023'!Resal+('2023'!Salim-'2023'!Resal)*(1-EXP(('2023'!Tnet-t)/('2023'!Tau_j))),Resal+(Salim-Resal)*(1-EXP((Tnet-t)/(Tau_j))))*Salcycl</f>
        <v>2.9762642545854649E-2</v>
      </c>
      <c r="P295" s="169">
        <f>(INDEX(Models!$BJ295:$BT295,,T295)*(1-R295)+INDEX(Models!$BJ295:$BT295,,T295+1)*R295-ERP_i)*Q295*Ramure*Pc/MaxiM</f>
        <v>3.6493938174837312E-3</v>
      </c>
      <c r="Q295" s="305">
        <f t="shared" si="105"/>
        <v>0.7</v>
      </c>
      <c r="R295" s="177">
        <f t="shared" si="106"/>
        <v>0.49661485397462002</v>
      </c>
      <c r="S295" s="921">
        <f t="shared" si="107"/>
        <v>1</v>
      </c>
      <c r="T295" s="176">
        <f t="shared" si="108"/>
        <v>7</v>
      </c>
      <c r="U295" s="251">
        <f t="shared" si="109"/>
        <v>1.49661485397462</v>
      </c>
      <c r="V295" s="383">
        <f t="shared" si="110"/>
        <v>40.515212986859588</v>
      </c>
      <c r="W295" s="402">
        <f t="shared" si="111"/>
        <v>17.524342493732586</v>
      </c>
      <c r="X295" s="157">
        <f t="shared" si="112"/>
        <v>45572</v>
      </c>
      <c r="Y295" s="385">
        <f t="shared" si="113"/>
        <v>15.666485031683585</v>
      </c>
      <c r="Z295" s="385">
        <f t="shared" si="114"/>
        <v>16.486392688456803</v>
      </c>
      <c r="AA295" s="386">
        <f t="shared" si="115"/>
        <v>19.007185443400029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0.13262314730656424</v>
      </c>
      <c r="AD295" s="231">
        <f>(INDEX(Models!$BJ295:$BT295,,AH295)*(1-AF295)+INDEX(Models!$BJ295:$BT295,,AH295+1)*AF295-ERP_i)*AE295*Ramure*Pc/MaxiM</f>
        <v>3.6493938174837312E-3</v>
      </c>
      <c r="AE295" s="305">
        <f t="shared" si="117"/>
        <v>0.7</v>
      </c>
      <c r="AF295" s="177">
        <f t="shared" si="118"/>
        <v>0.49661485397462002</v>
      </c>
      <c r="AG295" s="921">
        <f t="shared" si="124"/>
        <v>1</v>
      </c>
      <c r="AH295" s="176">
        <f t="shared" si="119"/>
        <v>7</v>
      </c>
      <c r="AI295" s="225">
        <f t="shared" si="120"/>
        <v>1.49661485397462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38.225602993262861</v>
      </c>
      <c r="C296" s="955"/>
      <c r="D296" s="393">
        <f t="shared" si="102"/>
        <v>40.227026277786784</v>
      </c>
      <c r="E296" s="385">
        <f t="shared" si="100"/>
        <v>41.465725285569313</v>
      </c>
      <c r="F296" s="385">
        <f t="shared" si="103"/>
        <v>41.607464669636641</v>
      </c>
      <c r="G296" s="110">
        <f t="shared" si="101"/>
        <v>0.94890811750813564</v>
      </c>
      <c r="H296" s="414" t="b">
        <f>Wh_hp&gt;='2023'!Maxi_hp</f>
        <v>0</v>
      </c>
      <c r="I296" s="390">
        <f>IF(H296,Wh_hp,'2023'!Maxi_hp)</f>
        <v>41.612826498189825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4.9753200017896959E-2</v>
      </c>
      <c r="M296" s="959"/>
      <c r="N296" s="959"/>
      <c r="O296" s="48">
        <f>IF(t&lt;Tnet,'2023'!Resal+('2023'!Salim-'2023'!Resal)*(1-EXP(('2023'!Tnet-t)/('2023'!Tau_j))),Resal+(Salim-Resal)*(1-EXP((Tnet-t)/(Tau_j))))*Salcycl</f>
        <v>2.9872840743813352E-2</v>
      </c>
      <c r="P296" s="169">
        <f>(INDEX(Models!$BJ296:$BT296,,T296)*(1-R296)+INDEX(Models!$BJ296:$BT296,,T296+1)*R296-ERP_i)*Q296*Ramure*Pc/MaxiM</f>
        <v>3.6733651762200538E-3</v>
      </c>
      <c r="Q296" s="305">
        <f t="shared" si="105"/>
        <v>0.7</v>
      </c>
      <c r="R296" s="177">
        <f t="shared" si="106"/>
        <v>0.49675832928528263</v>
      </c>
      <c r="S296" s="921">
        <f t="shared" si="107"/>
        <v>1</v>
      </c>
      <c r="T296" s="176">
        <f t="shared" si="108"/>
        <v>7</v>
      </c>
      <c r="U296" s="251">
        <f t="shared" si="109"/>
        <v>1.4967583292852826</v>
      </c>
      <c r="V296" s="383">
        <f t="shared" si="110"/>
        <v>40.272993363703925</v>
      </c>
      <c r="W296" s="402">
        <f t="shared" si="111"/>
        <v>38.225602993262861</v>
      </c>
      <c r="X296" s="157">
        <f t="shared" si="112"/>
        <v>45573</v>
      </c>
      <c r="Y296" s="385">
        <f t="shared" si="113"/>
        <v>34.178259347890474</v>
      </c>
      <c r="Z296" s="385">
        <f t="shared" si="114"/>
        <v>35.967771055408122</v>
      </c>
      <c r="AA296" s="386">
        <f t="shared" si="115"/>
        <v>41.465725285569313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0.132590330744186</v>
      </c>
      <c r="AD296" s="231">
        <f>(INDEX(Models!$BJ296:$BT296,,AH296)*(1-AF296)+INDEX(Models!$BJ296:$BT296,,AH296+1)*AF296-ERP_i)*AE296*Ramure*Pc/MaxiM</f>
        <v>3.6733651762200538E-3</v>
      </c>
      <c r="AE296" s="305">
        <f t="shared" si="117"/>
        <v>0.7</v>
      </c>
      <c r="AF296" s="177">
        <f t="shared" si="118"/>
        <v>0.49675832928528263</v>
      </c>
      <c r="AG296" s="921">
        <f t="shared" si="124"/>
        <v>1</v>
      </c>
      <c r="AH296" s="176">
        <f t="shared" si="119"/>
        <v>7</v>
      </c>
      <c r="AI296" s="225">
        <f t="shared" si="120"/>
        <v>1.4967583292852826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31.201476819535362</v>
      </c>
      <c r="C297" s="955"/>
      <c r="D297" s="393">
        <f t="shared" si="102"/>
        <v>32.835848778980605</v>
      </c>
      <c r="E297" s="385">
        <f t="shared" ref="E297:E360" si="125">Wh_pvt/(1-Psa)</f>
        <v>33.850775702859004</v>
      </c>
      <c r="F297" s="385">
        <f t="shared" si="103"/>
        <v>33.936620418171429</v>
      </c>
      <c r="G297" s="110">
        <f t="shared" ref="G297:G360" si="126">+Wh_hp/MaxiM</f>
        <v>0.7785731899543491</v>
      </c>
      <c r="H297" s="414" t="b">
        <f>Wh_hp&gt;='2023'!Maxi_hp</f>
        <v>0</v>
      </c>
      <c r="I297" s="390">
        <f>IF(H297,Wh_hp,'2023'!Maxi_hp)</f>
        <v>33.955585399712518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4.977401286156069E-2</v>
      </c>
      <c r="M297" s="959"/>
      <c r="N297" s="959"/>
      <c r="O297" s="48">
        <f>IF(t&lt;Tnet,'2023'!Resal+('2023'!Salim-'2023'!Resal)*(1-EXP(('2023'!Tnet-t)/('2023'!Tau_j))),Resal+(Salim-Resal)*(1-EXP((Tnet-t)/(Tau_j))))*Salcycl</f>
        <v>2.9982383056370569E-2</v>
      </c>
      <c r="P297" s="169">
        <f>(INDEX(Models!$BJ297:$BT297,,T297)*(1-R297)+INDEX(Models!$BJ297:$BT297,,T297+1)*R297-ERP_i)*Q297*Ramure*Pc/MaxiM</f>
        <v>3.6929244536296024E-3</v>
      </c>
      <c r="Q297" s="305">
        <f t="shared" si="105"/>
        <v>0.7</v>
      </c>
      <c r="R297" s="177">
        <f t="shared" si="106"/>
        <v>0.49689610574387366</v>
      </c>
      <c r="S297" s="921">
        <f t="shared" si="107"/>
        <v>1</v>
      </c>
      <c r="T297" s="176">
        <f t="shared" si="108"/>
        <v>7</v>
      </c>
      <c r="U297" s="251">
        <f t="shared" si="109"/>
        <v>1.4968961057438737</v>
      </c>
      <c r="V297" s="383">
        <f t="shared" si="110"/>
        <v>40.028460365698379</v>
      </c>
      <c r="W297" s="402">
        <f t="shared" si="111"/>
        <v>31.201476819535362</v>
      </c>
      <c r="X297" s="157">
        <f t="shared" si="112"/>
        <v>45574</v>
      </c>
      <c r="Y297" s="385">
        <f t="shared" si="113"/>
        <v>27.902118811033493</v>
      </c>
      <c r="Z297" s="385">
        <f t="shared" si="114"/>
        <v>29.363666315903867</v>
      </c>
      <c r="AA297" s="386">
        <f t="shared" si="115"/>
        <v>33.850775702859004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0.13255558532374076</v>
      </c>
      <c r="AD297" s="231">
        <f>(INDEX(Models!$BJ297:$BT297,,AH297)*(1-AF297)+INDEX(Models!$BJ297:$BT297,,AH297+1)*AF297-ERP_i)*AE297*Ramure*Pc/MaxiM</f>
        <v>3.6929244536296024E-3</v>
      </c>
      <c r="AE297" s="305">
        <f t="shared" si="117"/>
        <v>0.7</v>
      </c>
      <c r="AF297" s="177">
        <f t="shared" si="118"/>
        <v>0.49689610574387366</v>
      </c>
      <c r="AG297" s="921">
        <f t="shared" si="124"/>
        <v>1</v>
      </c>
      <c r="AH297" s="176">
        <f t="shared" si="119"/>
        <v>7</v>
      </c>
      <c r="AI297" s="225">
        <f t="shared" si="120"/>
        <v>1.4968961057438737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22.248673389834714</v>
      </c>
      <c r="C298" s="955"/>
      <c r="D298" s="393">
        <f t="shared" si="102"/>
        <v>23.414599268703842</v>
      </c>
      <c r="E298" s="385">
        <f t="shared" si="125"/>
        <v>24.141033552532491</v>
      </c>
      <c r="F298" s="385">
        <f t="shared" si="103"/>
        <v>24.174234050357775</v>
      </c>
      <c r="G298" s="110">
        <f t="shared" si="126"/>
        <v>0.55795976456602192</v>
      </c>
      <c r="H298" s="414" t="b">
        <f>Wh_hp&gt;='2023'!Maxi_hp</f>
        <v>0</v>
      </c>
      <c r="I298" s="390">
        <f>IF(H298,Wh_hp,'2023'!Maxi_hp)</f>
        <v>43.516621662814977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4.9794825249369734E-2</v>
      </c>
      <c r="M298" s="959"/>
      <c r="N298" s="959"/>
      <c r="O298" s="48">
        <f>IF(t&lt;Tnet,'2023'!Resal+('2023'!Salim-'2023'!Resal)*(1-EXP(('2023'!Tnet-t)/('2023'!Tau_j))),Resal+(Salim-Resal)*(1-EXP((Tnet-t)/(Tau_j))))*Salcycl</f>
        <v>3.0091266898241084E-2</v>
      </c>
      <c r="P298" s="169">
        <f>(INDEX(Models!$BJ298:$BT298,,T298)*(1-R298)+INDEX(Models!$BJ298:$BT298,,T298+1)*R298-ERP_i)*Q298*Ramure*Pc/MaxiM</f>
        <v>3.7080216176758733E-3</v>
      </c>
      <c r="Q298" s="305">
        <f t="shared" si="105"/>
        <v>0.7</v>
      </c>
      <c r="R298" s="177">
        <f t="shared" si="106"/>
        <v>0.49702840671724013</v>
      </c>
      <c r="S298" s="921">
        <f t="shared" si="107"/>
        <v>1</v>
      </c>
      <c r="T298" s="176">
        <f t="shared" si="108"/>
        <v>7</v>
      </c>
      <c r="U298" s="251">
        <f t="shared" si="109"/>
        <v>1.4970284067172401</v>
      </c>
      <c r="V298" s="383">
        <f t="shared" si="110"/>
        <v>39.781827950044814</v>
      </c>
      <c r="W298" s="402">
        <f t="shared" si="111"/>
        <v>22.248673389834714</v>
      </c>
      <c r="X298" s="157">
        <f t="shared" si="112"/>
        <v>45575</v>
      </c>
      <c r="Y298" s="385">
        <f t="shared" si="113"/>
        <v>19.899092102999511</v>
      </c>
      <c r="Z298" s="385">
        <f t="shared" si="114"/>
        <v>20.941889848391728</v>
      </c>
      <c r="AA298" s="386">
        <f t="shared" si="115"/>
        <v>24.141033552532491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0.13251892041735555</v>
      </c>
      <c r="AD298" s="231">
        <f>(INDEX(Models!$BJ298:$BT298,,AH298)*(1-AF298)+INDEX(Models!$BJ298:$BT298,,AH298+1)*AF298-ERP_i)*AE298*Ramure*Pc/MaxiM</f>
        <v>3.7080216176758733E-3</v>
      </c>
      <c r="AE298" s="305">
        <f t="shared" si="117"/>
        <v>0.7</v>
      </c>
      <c r="AF298" s="177">
        <f t="shared" si="118"/>
        <v>0.49702840671724013</v>
      </c>
      <c r="AG298" s="921">
        <f t="shared" si="124"/>
        <v>1</v>
      </c>
      <c r="AH298" s="176">
        <f t="shared" si="119"/>
        <v>7</v>
      </c>
      <c r="AI298" s="225">
        <f t="shared" si="120"/>
        <v>1.4970284067172401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31.108440487582172</v>
      </c>
      <c r="C299" s="955"/>
      <c r="D299" s="393">
        <f t="shared" si="102"/>
        <v>32.739373225739918</v>
      </c>
      <c r="E299" s="385">
        <f t="shared" si="125"/>
        <v>33.758874042806546</v>
      </c>
      <c r="F299" s="385">
        <f t="shared" si="103"/>
        <v>33.846418303344166</v>
      </c>
      <c r="G299" s="110">
        <f t="shared" si="126"/>
        <v>0.78599873716711854</v>
      </c>
      <c r="H299" s="414" t="b">
        <f>Wh_hp&gt;='2023'!Maxi_hp</f>
        <v>0</v>
      </c>
      <c r="I299" s="390">
        <f>IF(H299,Wh_hp,'2023'!Maxi_hp)</f>
        <v>42.807452061099632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4.9815637181334083E-2</v>
      </c>
      <c r="M299" s="959"/>
      <c r="N299" s="959"/>
      <c r="O299" s="48">
        <f>IF(t&lt;Tnet,'2023'!Resal+('2023'!Salim-'2023'!Resal)*(1-EXP(('2023'!Tnet-t)/('2023'!Tau_j))),Resal+(Salim-Resal)*(1-EXP((Tnet-t)/(Tau_j))))*Salcycl</f>
        <v>3.0199491125619125E-2</v>
      </c>
      <c r="P299" s="169">
        <f>(INDEX(Models!$BJ299:$BT299,,T299)*(1-R299)+INDEX(Models!$BJ299:$BT299,,T299+1)*R299-ERP_i)*Q299*Ramure*Pc/MaxiM</f>
        <v>3.7186085795722001E-3</v>
      </c>
      <c r="Q299" s="305">
        <f t="shared" si="105"/>
        <v>0.7</v>
      </c>
      <c r="R299" s="177">
        <f t="shared" si="106"/>
        <v>0.49715544705214154</v>
      </c>
      <c r="S299" s="921">
        <f t="shared" si="107"/>
        <v>1</v>
      </c>
      <c r="T299" s="176">
        <f t="shared" si="108"/>
        <v>7</v>
      </c>
      <c r="U299" s="251">
        <f t="shared" si="109"/>
        <v>1.4971554470521415</v>
      </c>
      <c r="V299" s="383">
        <f t="shared" si="110"/>
        <v>39.53330968333745</v>
      </c>
      <c r="W299" s="402">
        <f t="shared" si="111"/>
        <v>31.108440487582172</v>
      </c>
      <c r="X299" s="157">
        <f t="shared" si="112"/>
        <v>45576</v>
      </c>
      <c r="Y299" s="385">
        <f t="shared" si="113"/>
        <v>27.827561554835526</v>
      </c>
      <c r="Z299" s="385">
        <f t="shared" si="114"/>
        <v>29.286486542765978</v>
      </c>
      <c r="AA299" s="386">
        <f t="shared" si="115"/>
        <v>33.758874042806546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0.13248035151793106</v>
      </c>
      <c r="AD299" s="231">
        <f>(INDEX(Models!$BJ299:$BT299,,AH299)*(1-AF299)+INDEX(Models!$BJ299:$BT299,,AH299+1)*AF299-ERP_i)*AE299*Ramure*Pc/MaxiM</f>
        <v>3.7186085795722001E-3</v>
      </c>
      <c r="AE299" s="305">
        <f t="shared" si="117"/>
        <v>0.7</v>
      </c>
      <c r="AF299" s="177">
        <f t="shared" si="118"/>
        <v>0.49715544705214154</v>
      </c>
      <c r="AG299" s="921">
        <f t="shared" si="124"/>
        <v>1</v>
      </c>
      <c r="AH299" s="176">
        <f t="shared" si="119"/>
        <v>7</v>
      </c>
      <c r="AI299" s="225">
        <f t="shared" si="120"/>
        <v>1.4971554470521415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22.512516748376196</v>
      </c>
      <c r="C300" s="955"/>
      <c r="D300" s="393">
        <f t="shared" si="102"/>
        <v>23.693307027581803</v>
      </c>
      <c r="E300" s="385">
        <f t="shared" si="125"/>
        <v>24.433824312044614</v>
      </c>
      <c r="F300" s="385">
        <f t="shared" si="103"/>
        <v>24.469379667005825</v>
      </c>
      <c r="G300" s="110">
        <f t="shared" si="126"/>
        <v>0.57178004109068081</v>
      </c>
      <c r="H300" s="414" t="b">
        <f>Wh_hp&gt;='2023'!Maxi_hp</f>
        <v>0</v>
      </c>
      <c r="I300" s="390">
        <f>IF(H300,Wh_hp,'2023'!Maxi_hp)</f>
        <v>41.038729599738197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4.9836448657463728E-2</v>
      </c>
      <c r="M300" s="959"/>
      <c r="N300" s="959"/>
      <c r="O300" s="48">
        <f>IF(t&lt;Tnet,'2023'!Resal+('2023'!Salim-'2023'!Resal)*(1-EXP(('2023'!Tnet-t)/('2023'!Tau_j))),Resal+(Salim-Resal)*(1-EXP((Tnet-t)/(Tau_j))))*Salcycl</f>
        <v>3.0307056112283494E-2</v>
      </c>
      <c r="P300" s="169">
        <f>(INDEX(Models!$BJ300:$BT300,,T300)*(1-R300)+INDEX(Models!$BJ300:$BT300,,T300+1)*R300-ERP_i)*Q300*Ramure*Pc/MaxiM</f>
        <v>3.724639557583914E-3</v>
      </c>
      <c r="Q300" s="305">
        <f t="shared" si="105"/>
        <v>0.7</v>
      </c>
      <c r="R300" s="177">
        <f t="shared" si="106"/>
        <v>0.4972774333817358</v>
      </c>
      <c r="S300" s="921">
        <f t="shared" si="107"/>
        <v>1</v>
      </c>
      <c r="T300" s="176">
        <f t="shared" si="108"/>
        <v>7</v>
      </c>
      <c r="U300" s="251">
        <f t="shared" si="109"/>
        <v>1.4972774333817358</v>
      </c>
      <c r="V300" s="383">
        <f t="shared" si="110"/>
        <v>39.283118740115945</v>
      </c>
      <c r="W300" s="402">
        <f t="shared" si="111"/>
        <v>22.512516748376196</v>
      </c>
      <c r="X300" s="157">
        <f t="shared" si="112"/>
        <v>45577</v>
      </c>
      <c r="Y300" s="385">
        <f t="shared" si="113"/>
        <v>20.14138743027058</v>
      </c>
      <c r="Z300" s="385">
        <f t="shared" si="114"/>
        <v>21.19781105243592</v>
      </c>
      <c r="AA300" s="386">
        <f t="shared" si="115"/>
        <v>24.433824312044614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0.13243990045444948</v>
      </c>
      <c r="AD300" s="231">
        <f>(INDEX(Models!$BJ300:$BT300,,AH300)*(1-AF300)+INDEX(Models!$BJ300:$BT300,,AH300+1)*AF300-ERP_i)*AE300*Ramure*Pc/MaxiM</f>
        <v>3.724639557583914E-3</v>
      </c>
      <c r="AE300" s="305">
        <f t="shared" si="117"/>
        <v>0.7</v>
      </c>
      <c r="AF300" s="177">
        <f t="shared" si="118"/>
        <v>0.4972774333817358</v>
      </c>
      <c r="AG300" s="921">
        <f t="shared" si="124"/>
        <v>1</v>
      </c>
      <c r="AH300" s="176">
        <f t="shared" si="119"/>
        <v>7</v>
      </c>
      <c r="AI300" s="225">
        <f t="shared" si="120"/>
        <v>1.4972774333817358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16.816356336980853</v>
      </c>
      <c r="C301" s="955"/>
      <c r="D301" s="393">
        <f t="shared" si="102"/>
        <v>17.698768430602072</v>
      </c>
      <c r="E301" s="385">
        <f t="shared" si="125"/>
        <v>18.253943198604517</v>
      </c>
      <c r="F301" s="385">
        <f t="shared" si="103"/>
        <v>18.266665223229445</v>
      </c>
      <c r="G301" s="110">
        <f t="shared" si="126"/>
        <v>0.4295348017027571</v>
      </c>
      <c r="H301" s="414" t="b">
        <f>Wh_hp&gt;='2023'!Maxi_hp</f>
        <v>0</v>
      </c>
      <c r="I301" s="390">
        <f>IF(H301,Wh_hp,'2023'!Maxi_hp)</f>
        <v>44.446308487241133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4.9857259677768551E-2</v>
      </c>
      <c r="M301" s="959"/>
      <c r="N301" s="959"/>
      <c r="O301" s="48">
        <f>IF(t&lt;Tnet,'2023'!Resal+('2023'!Salim-'2023'!Resal)*(1-EXP(('2023'!Tnet-t)/('2023'!Tau_j))),Resal+(Salim-Resal)*(1-EXP((Tnet-t)/(Tau_j))))*Salcycl</f>
        <v>3.0413963819328916E-2</v>
      </c>
      <c r="P301" s="169">
        <f>(INDEX(Models!$BJ301:$BT301,,T301)*(1-R301)+INDEX(Models!$BJ301:$BT301,,T301+1)*R301-ERP_i)*Q301*Ramure*Pc/MaxiM</f>
        <v>3.7260714230215276E-3</v>
      </c>
      <c r="Q301" s="305">
        <f t="shared" si="105"/>
        <v>0.7</v>
      </c>
      <c r="R301" s="177">
        <f t="shared" si="106"/>
        <v>0.49739456442251662</v>
      </c>
      <c r="S301" s="921">
        <f t="shared" si="107"/>
        <v>1</v>
      </c>
      <c r="T301" s="176">
        <f t="shared" si="108"/>
        <v>7</v>
      </c>
      <c r="U301" s="251">
        <f t="shared" si="109"/>
        <v>1.4973945644225166</v>
      </c>
      <c r="V301" s="383">
        <f t="shared" si="110"/>
        <v>39.031467902167506</v>
      </c>
      <c r="W301" s="402">
        <f t="shared" si="111"/>
        <v>16.816356336980853</v>
      </c>
      <c r="X301" s="157">
        <f t="shared" si="112"/>
        <v>45578</v>
      </c>
      <c r="Y301" s="385">
        <f t="shared" si="113"/>
        <v>15.047567360914835</v>
      </c>
      <c r="Z301" s="385">
        <f t="shared" si="114"/>
        <v>15.837165009345441</v>
      </c>
      <c r="AA301" s="386">
        <f t="shared" si="115"/>
        <v>18.253943198604517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0.1323975955750665</v>
      </c>
      <c r="AD301" s="231">
        <f>(INDEX(Models!$BJ301:$BT301,,AH301)*(1-AF301)+INDEX(Models!$BJ301:$BT301,,AH301+1)*AF301-ERP_i)*AE301*Ramure*Pc/MaxiM</f>
        <v>3.7260714230215276E-3</v>
      </c>
      <c r="AE301" s="305">
        <f t="shared" si="117"/>
        <v>0.7</v>
      </c>
      <c r="AF301" s="177">
        <f t="shared" si="118"/>
        <v>0.49739456442251662</v>
      </c>
      <c r="AG301" s="921">
        <f t="shared" si="124"/>
        <v>1</v>
      </c>
      <c r="AH301" s="176">
        <f t="shared" si="119"/>
        <v>7</v>
      </c>
      <c r="AI301" s="225">
        <f t="shared" si="120"/>
        <v>1.4973945644225166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37.552780224337795</v>
      </c>
      <c r="C302" s="955"/>
      <c r="D302" s="393">
        <f t="shared" si="102"/>
        <v>39.524169528339236</v>
      </c>
      <c r="E302" s="385">
        <f t="shared" si="125"/>
        <v>40.768430921790433</v>
      </c>
      <c r="F302" s="385">
        <f t="shared" si="103"/>
        <v>40.91386951146842</v>
      </c>
      <c r="G302" s="110">
        <f t="shared" si="126"/>
        <v>0.96822665178939504</v>
      </c>
      <c r="H302" s="414" t="b">
        <f>Wh_hp&gt;='2023'!Maxi_hp</f>
        <v>0</v>
      </c>
      <c r="I302" s="390">
        <f>IF(H302,Wh_hp,'2023'!Maxi_hp)</f>
        <v>40.917116605876139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4.9878070242258654E-2</v>
      </c>
      <c r="M302" s="959"/>
      <c r="N302" s="959"/>
      <c r="O302" s="48">
        <f>IF(t&lt;Tnet,'2023'!Resal+('2023'!Salim-'2023'!Resal)*(1-EXP(('2023'!Tnet-t)/('2023'!Tau_j))),Resal+(Salim-Resal)*(1-EXP((Tnet-t)/(Tau_j))))*Salcycl</f>
        <v>3.0520217857738337E-2</v>
      </c>
      <c r="P302" s="169">
        <f>(INDEX(Models!$BJ302:$BT302,,T302)*(1-R302)+INDEX(Models!$BJ302:$BT302,,T302+1)*R302-ERP_i)*Q302*Ramure*Pc/MaxiM</f>
        <v>3.7228640253134898E-3</v>
      </c>
      <c r="Q302" s="305">
        <f t="shared" si="105"/>
        <v>0.7</v>
      </c>
      <c r="R302" s="177">
        <f t="shared" si="106"/>
        <v>0.49750703126188256</v>
      </c>
      <c r="S302" s="921">
        <f t="shared" si="107"/>
        <v>1</v>
      </c>
      <c r="T302" s="176">
        <f t="shared" si="108"/>
        <v>7</v>
      </c>
      <c r="U302" s="251">
        <f t="shared" si="109"/>
        <v>1.4975070312618826</v>
      </c>
      <c r="V302" s="383">
        <f t="shared" si="110"/>
        <v>38.778569558334191</v>
      </c>
      <c r="W302" s="402">
        <f t="shared" si="111"/>
        <v>37.552780224337795</v>
      </c>
      <c r="X302" s="157">
        <f t="shared" si="112"/>
        <v>45579</v>
      </c>
      <c r="Y302" s="385">
        <f t="shared" si="113"/>
        <v>33.608271139313231</v>
      </c>
      <c r="Z302" s="385">
        <f t="shared" si="114"/>
        <v>35.372587545561174</v>
      </c>
      <c r="AA302" s="386">
        <f t="shared" si="115"/>
        <v>40.768430921790433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0.13235347189546162</v>
      </c>
      <c r="AD302" s="231">
        <f>(INDEX(Models!$BJ302:$BT302,,AH302)*(1-AF302)+INDEX(Models!$BJ302:$BT302,,AH302+1)*AF302-ERP_i)*AE302*Ramure*Pc/MaxiM</f>
        <v>3.7228640253134898E-3</v>
      </c>
      <c r="AE302" s="305">
        <f t="shared" si="117"/>
        <v>0.7</v>
      </c>
      <c r="AF302" s="177">
        <f t="shared" si="118"/>
        <v>0.49750703126188256</v>
      </c>
      <c r="AG302" s="921">
        <f t="shared" si="124"/>
        <v>1</v>
      </c>
      <c r="AH302" s="176">
        <f t="shared" si="119"/>
        <v>7</v>
      </c>
      <c r="AI302" s="225">
        <f t="shared" si="120"/>
        <v>1.4975070312618826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33.903797117529962</v>
      </c>
      <c r="C303" s="955"/>
      <c r="D303" s="393">
        <f t="shared" si="102"/>
        <v>35.684409181680778</v>
      </c>
      <c r="E303" s="385">
        <f t="shared" si="125"/>
        <v>36.811800900356964</v>
      </c>
      <c r="F303" s="385">
        <f t="shared" si="103"/>
        <v>36.925475357385288</v>
      </c>
      <c r="G303" s="110">
        <f t="shared" si="126"/>
        <v>0.87950042737286871</v>
      </c>
      <c r="H303" s="414" t="b">
        <f>Wh_hp&gt;='2023'!Maxi_hp</f>
        <v>0</v>
      </c>
      <c r="I303" s="390">
        <f>IF(H303,Wh_hp,'2023'!Maxi_hp)</f>
        <v>39.359495276629886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4.989888035094403E-2</v>
      </c>
      <c r="M303" s="959"/>
      <c r="N303" s="959"/>
      <c r="O303" s="48">
        <f>IF(t&lt;Tnet,'2023'!Resal+('2023'!Salim-'2023'!Resal)*(1-EXP(('2023'!Tnet-t)/('2023'!Tau_j))),Resal+(Salim-Resal)*(1-EXP((Tnet-t)/(Tau_j))))*Salcycl</f>
        <v>3.0625823543049008E-2</v>
      </c>
      <c r="P303" s="169">
        <f>(INDEX(Models!$BJ303:$BT303,,T303)*(1-R303)+INDEX(Models!$BJ303:$BT303,,T303+1)*R303-ERP_i)*Q303*Ramure*Pc/MaxiM</f>
        <v>3.7150114962893502E-3</v>
      </c>
      <c r="Q303" s="305">
        <f t="shared" si="105"/>
        <v>0.7</v>
      </c>
      <c r="R303" s="177">
        <f t="shared" si="106"/>
        <v>0.4976150176365155</v>
      </c>
      <c r="S303" s="921">
        <f t="shared" si="107"/>
        <v>1</v>
      </c>
      <c r="T303" s="176">
        <f t="shared" si="108"/>
        <v>7</v>
      </c>
      <c r="U303" s="251">
        <f t="shared" si="109"/>
        <v>1.4976150176365155</v>
      </c>
      <c r="V303" s="383">
        <f t="shared" si="110"/>
        <v>38.52431300441215</v>
      </c>
      <c r="W303" s="402">
        <f t="shared" si="111"/>
        <v>33.903797117529962</v>
      </c>
      <c r="X303" s="157">
        <f t="shared" si="112"/>
        <v>45580</v>
      </c>
      <c r="Y303" s="385">
        <f t="shared" si="113"/>
        <v>30.347484779953785</v>
      </c>
      <c r="Z303" s="385">
        <f t="shared" si="114"/>
        <v>31.94132093135876</v>
      </c>
      <c r="AA303" s="386">
        <f t="shared" si="115"/>
        <v>36.811800900356964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0.13230757121015982</v>
      </c>
      <c r="AD303" s="231">
        <f>(INDEX(Models!$BJ303:$BT303,,AH303)*(1-AF303)+INDEX(Models!$BJ303:$BT303,,AH303+1)*AF303-ERP_i)*AE303*Ramure*Pc/MaxiM</f>
        <v>3.7150114962893502E-3</v>
      </c>
      <c r="AE303" s="305">
        <f t="shared" si="117"/>
        <v>0.7</v>
      </c>
      <c r="AF303" s="177">
        <f t="shared" si="118"/>
        <v>0.4976150176365155</v>
      </c>
      <c r="AG303" s="921">
        <f t="shared" si="124"/>
        <v>1</v>
      </c>
      <c r="AH303" s="176">
        <f t="shared" si="119"/>
        <v>7</v>
      </c>
      <c r="AI303" s="225">
        <f t="shared" si="120"/>
        <v>1.4976150176365155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22.832715379408807</v>
      </c>
      <c r="C304" s="955"/>
      <c r="D304" s="393">
        <f t="shared" si="102"/>
        <v>24.032405617900828</v>
      </c>
      <c r="E304" s="385">
        <f t="shared" si="125"/>
        <v>24.794355705221925</v>
      </c>
      <c r="F304" s="385">
        <f t="shared" si="103"/>
        <v>24.833330619351063</v>
      </c>
      <c r="G304" s="110">
        <f t="shared" si="126"/>
        <v>0.59537237420336031</v>
      </c>
      <c r="H304" s="414" t="b">
        <f>Wh_hp&gt;='2023'!Maxi_hp</f>
        <v>0</v>
      </c>
      <c r="I304" s="390">
        <f>IF(H304,Wh_hp,'2023'!Maxi_hp)</f>
        <v>39.909622414686694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4.991969000383456E-2</v>
      </c>
      <c r="M304" s="959"/>
      <c r="N304" s="959"/>
      <c r="O304" s="48">
        <f>IF(t&lt;Tnet,'2023'!Resal+('2023'!Salim-'2023'!Resal)*(1-EXP(('2023'!Tnet-t)/('2023'!Tau_j))),Resal+(Salim-Resal)*(1-EXP((Tnet-t)/(Tau_j))))*Salcycl</f>
        <v>3.0730787941411264E-2</v>
      </c>
      <c r="P304" s="169">
        <f>(INDEX(Models!$BJ304:$BT304,,T304)*(1-R304)+INDEX(Models!$BJ304:$BT304,,T304+1)*R304-ERP_i)*Q304*Ramure*Pc/MaxiM</f>
        <v>3.7034575212894455E-3</v>
      </c>
      <c r="Q304" s="305">
        <f t="shared" si="105"/>
        <v>0.7</v>
      </c>
      <c r="R304" s="177">
        <f t="shared" si="106"/>
        <v>0.49771870020176046</v>
      </c>
      <c r="S304" s="921">
        <f t="shared" si="107"/>
        <v>1</v>
      </c>
      <c r="T304" s="176">
        <f t="shared" si="108"/>
        <v>7</v>
      </c>
      <c r="U304" s="251">
        <f t="shared" si="109"/>
        <v>1.4977187002017605</v>
      </c>
      <c r="V304" s="383">
        <f t="shared" si="110"/>
        <v>38.268342321469532</v>
      </c>
      <c r="W304" s="402">
        <f t="shared" si="111"/>
        <v>22.832715379408807</v>
      </c>
      <c r="X304" s="157">
        <f t="shared" si="112"/>
        <v>45581</v>
      </c>
      <c r="Y304" s="385">
        <f t="shared" si="113"/>
        <v>20.441030744991043</v>
      </c>
      <c r="Z304" s="385">
        <f t="shared" si="114"/>
        <v>21.515055653635791</v>
      </c>
      <c r="AA304" s="386">
        <f t="shared" si="115"/>
        <v>24.794355705221925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0.13225994216480011</v>
      </c>
      <c r="AD304" s="231">
        <f>(INDEX(Models!$BJ304:$BT304,,AH304)*(1-AF304)+INDEX(Models!$BJ304:$BT304,,AH304+1)*AF304-ERP_i)*AE304*Ramure*Pc/MaxiM</f>
        <v>3.7034575212894455E-3</v>
      </c>
      <c r="AE304" s="305">
        <f t="shared" si="117"/>
        <v>0.7</v>
      </c>
      <c r="AF304" s="177">
        <f t="shared" si="118"/>
        <v>0.49771870020176046</v>
      </c>
      <c r="AG304" s="921">
        <f t="shared" si="124"/>
        <v>1</v>
      </c>
      <c r="AH304" s="176">
        <f t="shared" si="119"/>
        <v>7</v>
      </c>
      <c r="AI304" s="225">
        <f t="shared" si="120"/>
        <v>1.4977187002017605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34.942503662066109</v>
      </c>
      <c r="C305" s="955"/>
      <c r="D305" s="393">
        <f t="shared" si="102"/>
        <v>36.779279226908706</v>
      </c>
      <c r="E305" s="385">
        <f t="shared" si="125"/>
        <v>37.949455229286023</v>
      </c>
      <c r="F305" s="385">
        <f t="shared" si="103"/>
        <v>38.073791788134685</v>
      </c>
      <c r="G305" s="110">
        <f t="shared" si="126"/>
        <v>0.91889451293129032</v>
      </c>
      <c r="H305" s="414" t="b">
        <f>Wh_hp&gt;='2023'!Maxi_hp</f>
        <v>0</v>
      </c>
      <c r="I305" s="390">
        <f>IF(H305,Wh_hp,'2023'!Maxi_hp)</f>
        <v>40.636688636439388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4.9940499200940347E-2</v>
      </c>
      <c r="M305" s="959"/>
      <c r="N305" s="959"/>
      <c r="O305" s="48">
        <f>IF(t&lt;Tnet,'2023'!Resal+('2023'!Salim-'2023'!Resal)*(1-EXP(('2023'!Tnet-t)/('2023'!Tau_j))),Resal+(Salim-Resal)*(1-EXP((Tnet-t)/(Tau_j))))*Salcycl</f>
        <v>3.0835119906392778E-2</v>
      </c>
      <c r="P305" s="169">
        <f>(INDEX(Models!$BJ305:$BT305,,T305)*(1-R305)+INDEX(Models!$BJ305:$BT305,,T305+1)*R305-ERP_i)*Q305*Ramure*Pc/MaxiM</f>
        <v>3.691294920745086E-3</v>
      </c>
      <c r="Q305" s="305">
        <f t="shared" si="105"/>
        <v>0.7</v>
      </c>
      <c r="R305" s="177">
        <f t="shared" si="106"/>
        <v>0.49781824879220071</v>
      </c>
      <c r="S305" s="921">
        <f t="shared" si="107"/>
        <v>1</v>
      </c>
      <c r="T305" s="176">
        <f t="shared" si="108"/>
        <v>7</v>
      </c>
      <c r="U305" s="251">
        <f t="shared" si="109"/>
        <v>1.4978182487922007</v>
      </c>
      <c r="V305" s="383">
        <f t="shared" si="110"/>
        <v>38.010437707960314</v>
      </c>
      <c r="W305" s="402">
        <f t="shared" si="111"/>
        <v>34.942503662066109</v>
      </c>
      <c r="X305" s="157">
        <f t="shared" si="112"/>
        <v>45582</v>
      </c>
      <c r="Y305" s="385">
        <f t="shared" si="113"/>
        <v>31.287486270368529</v>
      </c>
      <c r="Z305" s="385">
        <f t="shared" si="114"/>
        <v>32.932133454856029</v>
      </c>
      <c r="AA305" s="386">
        <f t="shared" si="115"/>
        <v>37.949455229286023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0.13221064028761259</v>
      </c>
      <c r="AD305" s="231">
        <f>(INDEX(Models!$BJ305:$BT305,,AH305)*(1-AF305)+INDEX(Models!$BJ305:$BT305,,AH305+1)*AF305-ERP_i)*AE305*Ramure*Pc/MaxiM</f>
        <v>3.691294920745086E-3</v>
      </c>
      <c r="AE305" s="305">
        <f t="shared" si="117"/>
        <v>0.7</v>
      </c>
      <c r="AF305" s="177">
        <f t="shared" si="118"/>
        <v>0.49781824879220071</v>
      </c>
      <c r="AG305" s="921">
        <f t="shared" si="124"/>
        <v>1</v>
      </c>
      <c r="AH305" s="176">
        <f t="shared" si="119"/>
        <v>7</v>
      </c>
      <c r="AI305" s="225">
        <f t="shared" si="120"/>
        <v>1.4978182487922007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14.87609487806219</v>
      </c>
      <c r="C306" s="955"/>
      <c r="D306" s="393">
        <f t="shared" si="102"/>
        <v>15.658409496818946</v>
      </c>
      <c r="E306" s="385">
        <f t="shared" si="125"/>
        <v>16.158329301885868</v>
      </c>
      <c r="F306" s="385">
        <f t="shared" si="103"/>
        <v>16.166320475083221</v>
      </c>
      <c r="G306" s="110">
        <f t="shared" si="126"/>
        <v>0.39280811903689444</v>
      </c>
      <c r="H306" s="414" t="b">
        <f>Wh_hp&gt;='2023'!Maxi_hp</f>
        <v>0</v>
      </c>
      <c r="I306" s="390">
        <f>IF(H306,Wh_hp,'2023'!Maxi_hp)</f>
        <v>39.555235344496339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4.9961307942271271E-2</v>
      </c>
      <c r="M306" s="959"/>
      <c r="N306" s="959"/>
      <c r="O306" s="48">
        <f>IF(t&lt;Tnet,'2023'!Resal+('2023'!Salim-'2023'!Resal)*(1-EXP(('2023'!Tnet-t)/('2023'!Tau_j))),Resal+(Salim-Resal)*(1-EXP((Tnet-t)/(Tau_j))))*Salcycl</f>
        <v>3.093883010594271E-2</v>
      </c>
      <c r="P306" s="169">
        <f>(INDEX(Models!$BJ306:$BT306,,T306)*(1-R306)+INDEX(Models!$BJ306:$BT306,,T306+1)*R306-ERP_i)*Q306*Ramure*Pc/MaxiM</f>
        <v>3.678545428082308E-3</v>
      </c>
      <c r="Q306" s="305">
        <f t="shared" si="105"/>
        <v>0.7</v>
      </c>
      <c r="R306" s="177">
        <f t="shared" si="106"/>
        <v>0.49791382667363093</v>
      </c>
      <c r="S306" s="921">
        <f t="shared" si="107"/>
        <v>1</v>
      </c>
      <c r="T306" s="176">
        <f t="shared" si="108"/>
        <v>7</v>
      </c>
      <c r="U306" s="251">
        <f t="shared" si="109"/>
        <v>1.4979138266736309</v>
      </c>
      <c r="V306" s="383">
        <f t="shared" si="110"/>
        <v>37.750498892212462</v>
      </c>
      <c r="W306" s="402">
        <f t="shared" si="111"/>
        <v>14.87609487806219</v>
      </c>
      <c r="X306" s="157">
        <f t="shared" si="112"/>
        <v>45583</v>
      </c>
      <c r="Y306" s="385">
        <f t="shared" si="113"/>
        <v>13.322249024799888</v>
      </c>
      <c r="Z306" s="385">
        <f t="shared" si="114"/>
        <v>14.022848896758793</v>
      </c>
      <c r="AA306" s="386">
        <f t="shared" si="115"/>
        <v>16.158329301885868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0.13215972797867406</v>
      </c>
      <c r="AD306" s="231">
        <f>(INDEX(Models!$BJ306:$BT306,,AH306)*(1-AF306)+INDEX(Models!$BJ306:$BT306,,AH306+1)*AF306-ERP_i)*AE306*Ramure*Pc/MaxiM</f>
        <v>3.678545428082308E-3</v>
      </c>
      <c r="AE306" s="305">
        <f t="shared" si="117"/>
        <v>0.7</v>
      </c>
      <c r="AF306" s="177">
        <f t="shared" si="118"/>
        <v>0.49791382667363093</v>
      </c>
      <c r="AG306" s="921">
        <f t="shared" si="124"/>
        <v>1</v>
      </c>
      <c r="AH306" s="176">
        <f t="shared" si="119"/>
        <v>7</v>
      </c>
      <c r="AI306" s="225">
        <f t="shared" si="120"/>
        <v>1.4979138266736309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8.5322223980297682</v>
      </c>
      <c r="C307" s="955"/>
      <c r="D307" s="393">
        <f t="shared" si="102"/>
        <v>8.981117665018612</v>
      </c>
      <c r="E307" s="385">
        <f t="shared" si="125"/>
        <v>9.2688403685506362</v>
      </c>
      <c r="F307" s="385">
        <f t="shared" si="103"/>
        <v>9.2688403685506362</v>
      </c>
      <c r="G307" s="110">
        <f t="shared" si="126"/>
        <v>0.22676198583042045</v>
      </c>
      <c r="H307" s="414" t="b">
        <f>Wh_hp&gt;='2023'!Maxi_hp</f>
        <v>0</v>
      </c>
      <c r="I307" s="390">
        <f>IF(H307,Wh_hp,'2023'!Maxi_hp)</f>
        <v>32.753589060137877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4.9982116227837436E-2</v>
      </c>
      <c r="M307" s="959"/>
      <c r="N307" s="959"/>
      <c r="O307" s="48">
        <f>IF(t&lt;Tnet,'2023'!Resal+('2023'!Salim-'2023'!Resal)*(1-EXP(('2023'!Tnet-t)/('2023'!Tau_j))),Resal+(Salim-Resal)*(1-EXP((Tnet-t)/(Tau_j))))*Salcycl</f>
        <v>3.1041931038997436E-2</v>
      </c>
      <c r="P307" s="169">
        <f>(INDEX(Models!$BJ307:$BT307,,T307)*(1-R307)+INDEX(Models!$BJ307:$BT307,,T307+1)*R307-ERP_i)*Q307*Ramure*Pc/MaxiM</f>
        <v>3.6652329154253666E-3</v>
      </c>
      <c r="Q307" s="305">
        <f t="shared" si="105"/>
        <v>0.7</v>
      </c>
      <c r="R307" s="177">
        <f t="shared" si="106"/>
        <v>0.49800559078662432</v>
      </c>
      <c r="S307" s="921">
        <f t="shared" si="107"/>
        <v>1</v>
      </c>
      <c r="T307" s="176">
        <f t="shared" si="108"/>
        <v>7</v>
      </c>
      <c r="U307" s="251">
        <f t="shared" si="109"/>
        <v>1.4980055907866243</v>
      </c>
      <c r="V307" s="383">
        <f t="shared" si="110"/>
        <v>37.488425515959491</v>
      </c>
      <c r="W307" s="402">
        <f t="shared" si="111"/>
        <v>8.5322223980297682</v>
      </c>
      <c r="X307" s="157">
        <f t="shared" si="112"/>
        <v>45584</v>
      </c>
      <c r="Y307" s="385">
        <f t="shared" si="113"/>
        <v>7.6422850370762951</v>
      </c>
      <c r="Z307" s="385">
        <f t="shared" si="114"/>
        <v>8.0443591300951773</v>
      </c>
      <c r="AA307" s="386">
        <f t="shared" si="115"/>
        <v>9.2688403685506362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0.13210727445583698</v>
      </c>
      <c r="AD307" s="231">
        <f>(INDEX(Models!$BJ307:$BT307,,AH307)*(1-AF307)+INDEX(Models!$BJ307:$BT307,,AH307+1)*AF307-ERP_i)*AE307*Ramure*Pc/MaxiM</f>
        <v>3.6652329154253666E-3</v>
      </c>
      <c r="AE307" s="305">
        <f t="shared" si="117"/>
        <v>0.7</v>
      </c>
      <c r="AF307" s="177">
        <f t="shared" si="118"/>
        <v>0.49800559078662432</v>
      </c>
      <c r="AG307" s="921">
        <f t="shared" si="124"/>
        <v>1</v>
      </c>
      <c r="AH307" s="176">
        <f t="shared" si="119"/>
        <v>7</v>
      </c>
      <c r="AI307" s="225">
        <f t="shared" si="120"/>
        <v>1.4980055907866243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15.594477774679433</v>
      </c>
      <c r="C308" s="955"/>
      <c r="D308" s="393">
        <f t="shared" si="102"/>
        <v>16.415290288352164</v>
      </c>
      <c r="E308" s="385">
        <f t="shared" si="125"/>
        <v>16.94296953637004</v>
      </c>
      <c r="F308" s="385">
        <f t="shared" si="103"/>
        <v>16.953487395766686</v>
      </c>
      <c r="G308" s="110">
        <f t="shared" si="126"/>
        <v>0.41766421735957604</v>
      </c>
      <c r="H308" s="414" t="b">
        <f>Wh_hp&gt;='2023'!Maxi_hp</f>
        <v>0</v>
      </c>
      <c r="I308" s="390">
        <f>IF(H308,Wh_hp,'2023'!Maxi_hp)</f>
        <v>25.301063614108177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5.0002924057648612E-2</v>
      </c>
      <c r="M308" s="959"/>
      <c r="N308" s="959"/>
      <c r="O308" s="48">
        <f>IF(t&lt;Tnet,'2023'!Resal+('2023'!Salim-'2023'!Resal)*(1-EXP(('2023'!Tnet-t)/('2023'!Tau_j))),Resal+(Salim-Resal)*(1-EXP((Tnet-t)/(Tau_j))))*Salcycl</f>
        <v>3.1144437041284456E-2</v>
      </c>
      <c r="P308" s="169">
        <f>(INDEX(Models!$BJ308:$BT308,,T308)*(1-R308)+INDEX(Models!$BJ308:$BT308,,T308+1)*R308-ERP_i)*Q308*Ramure*Pc/MaxiM</f>
        <v>3.6513833879752091E-3</v>
      </c>
      <c r="Q308" s="305">
        <f t="shared" si="105"/>
        <v>0.7</v>
      </c>
      <c r="R308" s="177">
        <f t="shared" si="106"/>
        <v>0.49809369198190967</v>
      </c>
      <c r="S308" s="921">
        <f t="shared" si="107"/>
        <v>1</v>
      </c>
      <c r="T308" s="176">
        <f t="shared" si="108"/>
        <v>7</v>
      </c>
      <c r="U308" s="251">
        <f t="shared" si="109"/>
        <v>1.4980936919819097</v>
      </c>
      <c r="V308" s="383">
        <f t="shared" si="110"/>
        <v>37.224117139444211</v>
      </c>
      <c r="W308" s="402">
        <f t="shared" si="111"/>
        <v>15.594477774679433</v>
      </c>
      <c r="X308" s="157">
        <f t="shared" si="112"/>
        <v>45585</v>
      </c>
      <c r="Y308" s="385">
        <f t="shared" si="113"/>
        <v>13.97027087658676</v>
      </c>
      <c r="Z308" s="385">
        <f t="shared" si="114"/>
        <v>14.705593554305336</v>
      </c>
      <c r="AA308" s="386">
        <f t="shared" si="115"/>
        <v>16.94296953637004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0.13205335565656989</v>
      </c>
      <c r="AD308" s="231">
        <f>(INDEX(Models!$BJ308:$BT308,,AH308)*(1-AF308)+INDEX(Models!$BJ308:$BT308,,AH308+1)*AF308-ERP_i)*AE308*Ramure*Pc/MaxiM</f>
        <v>3.6513833879752091E-3</v>
      </c>
      <c r="AE308" s="305">
        <f t="shared" si="117"/>
        <v>0.7</v>
      </c>
      <c r="AF308" s="177">
        <f t="shared" si="118"/>
        <v>0.49809369198190967</v>
      </c>
      <c r="AG308" s="921">
        <f t="shared" si="124"/>
        <v>1</v>
      </c>
      <c r="AH308" s="176">
        <f t="shared" si="119"/>
        <v>7</v>
      </c>
      <c r="AI308" s="225">
        <f t="shared" si="120"/>
        <v>1.4980936919819097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33.640101020018697</v>
      </c>
      <c r="C309" s="955"/>
      <c r="D309" s="393">
        <f t="shared" si="102"/>
        <v>35.411517248444426</v>
      </c>
      <c r="E309" s="385">
        <f t="shared" si="125"/>
        <v>36.553687070422541</v>
      </c>
      <c r="F309" s="385">
        <f t="shared" si="103"/>
        <v>36.669954466839926</v>
      </c>
      <c r="G309" s="110">
        <f t="shared" si="126"/>
        <v>0.90981225403934574</v>
      </c>
      <c r="H309" s="414" t="b">
        <f>Wh_hp&gt;='2023'!Maxi_hp</f>
        <v>0</v>
      </c>
      <c r="I309" s="390">
        <f>IF(H309,Wh_hp,'2023'!Maxi_hp)</f>
        <v>36.678022887150242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5.0023731431715013E-2</v>
      </c>
      <c r="M309" s="959"/>
      <c r="N309" s="959"/>
      <c r="O309" s="48">
        <f>IF(t&lt;Tnet,'2023'!Resal+('2023'!Salim-'2023'!Resal)*(1-EXP(('2023'!Tnet-t)/('2023'!Tau_j))),Resal+(Salim-Resal)*(1-EXP((Tnet-t)/(Tau_j))))*Salcycl</f>
        <v>3.124636427996072E-2</v>
      </c>
      <c r="P309" s="169">
        <f>(INDEX(Models!$BJ309:$BT309,,T309)*(1-R309)+INDEX(Models!$BJ309:$BT309,,T309+1)*R309-ERP_i)*Q309*Ramure*Pc/MaxiM</f>
        <v>3.637024966454076E-3</v>
      </c>
      <c r="Q309" s="305">
        <f t="shared" si="105"/>
        <v>0.7</v>
      </c>
      <c r="R309" s="177">
        <f t="shared" si="106"/>
        <v>0.49817827524775549</v>
      </c>
      <c r="S309" s="921">
        <f t="shared" si="107"/>
        <v>1</v>
      </c>
      <c r="T309" s="176">
        <f t="shared" si="108"/>
        <v>7</v>
      </c>
      <c r="U309" s="251">
        <f t="shared" si="109"/>
        <v>1.4981782752477555</v>
      </c>
      <c r="V309" s="383">
        <f t="shared" si="110"/>
        <v>36.957473246160902</v>
      </c>
      <c r="W309" s="402">
        <f t="shared" si="111"/>
        <v>33.640101020018697</v>
      </c>
      <c r="X309" s="157">
        <f t="shared" si="112"/>
        <v>45586</v>
      </c>
      <c r="Y309" s="385">
        <f t="shared" si="113"/>
        <v>30.141484964961048</v>
      </c>
      <c r="Z309" s="385">
        <f t="shared" si="114"/>
        <v>31.728671507118239</v>
      </c>
      <c r="AA309" s="386">
        <f t="shared" si="115"/>
        <v>36.553687070422541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0.13199805409529999</v>
      </c>
      <c r="AD309" s="231">
        <f>(INDEX(Models!$BJ309:$BT309,,AH309)*(1-AF309)+INDEX(Models!$BJ309:$BT309,,AH309+1)*AF309-ERP_i)*AE309*Ramure*Pc/MaxiM</f>
        <v>3.637024966454076E-3</v>
      </c>
      <c r="AE309" s="305">
        <f t="shared" si="117"/>
        <v>0.7</v>
      </c>
      <c r="AF309" s="177">
        <f t="shared" si="118"/>
        <v>0.49817827524775549</v>
      </c>
      <c r="AG309" s="921">
        <f t="shared" si="124"/>
        <v>1</v>
      </c>
      <c r="AH309" s="176">
        <f t="shared" si="119"/>
        <v>7</v>
      </c>
      <c r="AI309" s="225">
        <f t="shared" si="120"/>
        <v>1.4981782752477555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19.160533939303487</v>
      </c>
      <c r="C310" s="955"/>
      <c r="D310" s="393">
        <f t="shared" si="102"/>
        <v>20.169928710156622</v>
      </c>
      <c r="E310" s="385">
        <f t="shared" si="125"/>
        <v>20.82267223252251</v>
      </c>
      <c r="F310" s="385">
        <f t="shared" si="103"/>
        <v>20.8466967226632</v>
      </c>
      <c r="G310" s="110">
        <f t="shared" si="126"/>
        <v>0.5209592432132274</v>
      </c>
      <c r="H310" s="414" t="b">
        <f>Wh_hp&gt;='2023'!Maxi_hp</f>
        <v>0</v>
      </c>
      <c r="I310" s="390">
        <f>IF(H310,Wh_hp,'2023'!Maxi_hp)</f>
        <v>40.417600881584974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5.0044538350046408E-2</v>
      </c>
      <c r="M310" s="959"/>
      <c r="N310" s="959"/>
      <c r="O310" s="48">
        <f>IF(t&lt;Tnet,'2023'!Resal+('2023'!Salim-'2023'!Resal)*(1-EXP(('2023'!Tnet-t)/('2023'!Tau_j))),Resal+(Salim-Resal)*(1-EXP((Tnet-t)/(Tau_j))))*Salcycl</f>
        <v>3.1347730736806308E-2</v>
      </c>
      <c r="P310" s="169">
        <f>(INDEX(Models!$BJ310:$BT310,,T310)*(1-R310)+INDEX(Models!$BJ310:$BT310,,T310+1)*R310-ERP_i)*Q310*Ramure*Pc/MaxiM</f>
        <v>3.6296476348162388E-3</v>
      </c>
      <c r="Q310" s="305">
        <f t="shared" si="105"/>
        <v>0.7</v>
      </c>
      <c r="R310" s="177">
        <f t="shared" si="106"/>
        <v>0.49825947992957742</v>
      </c>
      <c r="S310" s="921">
        <f t="shared" si="107"/>
        <v>1</v>
      </c>
      <c r="T310" s="176">
        <f t="shared" si="108"/>
        <v>7</v>
      </c>
      <c r="U310" s="251">
        <f t="shared" si="109"/>
        <v>1.4982594799295774</v>
      </c>
      <c r="V310" s="383">
        <f t="shared" si="110"/>
        <v>36.688118568565443</v>
      </c>
      <c r="W310" s="402">
        <f t="shared" si="111"/>
        <v>19.160533939303487</v>
      </c>
      <c r="X310" s="157">
        <f t="shared" si="112"/>
        <v>45587</v>
      </c>
      <c r="Y310" s="385">
        <f t="shared" si="113"/>
        <v>17.170728516424386</v>
      </c>
      <c r="Z310" s="385">
        <f t="shared" si="114"/>
        <v>18.075298484626831</v>
      </c>
      <c r="AA310" s="386">
        <f t="shared" si="115"/>
        <v>20.82267223252251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0.13194145867621226</v>
      </c>
      <c r="AD310" s="231">
        <f>(INDEX(Models!$BJ310:$BT310,,AH310)*(1-AF310)+INDEX(Models!$BJ310:$BT310,,AH310+1)*AF310-ERP_i)*AE310*Ramure*Pc/MaxiM</f>
        <v>3.6296476348162388E-3</v>
      </c>
      <c r="AE310" s="305">
        <f t="shared" si="117"/>
        <v>0.7</v>
      </c>
      <c r="AF310" s="177">
        <f t="shared" si="118"/>
        <v>0.49825947992957742</v>
      </c>
      <c r="AG310" s="921">
        <f t="shared" si="124"/>
        <v>1</v>
      </c>
      <c r="AH310" s="176">
        <f t="shared" si="119"/>
        <v>7</v>
      </c>
      <c r="AI310" s="225">
        <f t="shared" si="120"/>
        <v>1.4982594799295774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25.560268647170457</v>
      </c>
      <c r="C311" s="955"/>
      <c r="D311" s="393">
        <f t="shared" si="102"/>
        <v>26.907396743125911</v>
      </c>
      <c r="E311" s="385">
        <f t="shared" si="125"/>
        <v>27.781071325438564</v>
      </c>
      <c r="F311" s="385">
        <f t="shared" si="103"/>
        <v>27.83910180722151</v>
      </c>
      <c r="G311" s="110">
        <f t="shared" si="126"/>
        <v>0.70081090732193319</v>
      </c>
      <c r="H311" s="414" t="b">
        <f>Wh_hp&gt;='2023'!Maxi_hp</f>
        <v>0</v>
      </c>
      <c r="I311" s="390">
        <f>IF(H311,Wh_hp,'2023'!Maxi_hp)</f>
        <v>41.588960428568228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5.0065344812653012E-2</v>
      </c>
      <c r="M311" s="959"/>
      <c r="N311" s="959"/>
      <c r="O311" s="48">
        <f>IF(t&lt;Tnet,'2023'!Resal+('2023'!Salim-'2023'!Resal)*(1-EXP(('2023'!Tnet-t)/('2023'!Tau_j))),Resal+(Salim-Resal)*(1-EXP((Tnet-t)/(Tau_j))))*Salcycl</f>
        <v>3.1448556179784364E-2</v>
      </c>
      <c r="P311" s="169">
        <f>(INDEX(Models!$BJ311:$BT311,,T311)*(1-R311)+INDEX(Models!$BJ311:$BT311,,T311+1)*R311-ERP_i)*Q311*Ramure*Pc/MaxiM</f>
        <v>3.6306360143582407E-3</v>
      </c>
      <c r="Q311" s="305">
        <f t="shared" si="105"/>
        <v>0.7</v>
      </c>
      <c r="R311" s="177">
        <f t="shared" si="106"/>
        <v>0.49833743994197</v>
      </c>
      <c r="S311" s="921">
        <f t="shared" si="107"/>
        <v>1</v>
      </c>
      <c r="T311" s="176">
        <f t="shared" si="108"/>
        <v>7</v>
      </c>
      <c r="U311" s="251">
        <f t="shared" si="109"/>
        <v>1.49833743994197</v>
      </c>
      <c r="V311" s="383">
        <f t="shared" si="110"/>
        <v>36.415909144912654</v>
      </c>
      <c r="W311" s="402">
        <f t="shared" si="111"/>
        <v>25.560268647170457</v>
      </c>
      <c r="X311" s="157">
        <f t="shared" si="112"/>
        <v>45588</v>
      </c>
      <c r="Y311" s="385">
        <f t="shared" si="113"/>
        <v>22.90976581051034</v>
      </c>
      <c r="Z311" s="385">
        <f t="shared" si="114"/>
        <v>24.117201836364266</v>
      </c>
      <c r="AA311" s="386">
        <f t="shared" si="115"/>
        <v>27.781071325438564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0.13188366446182964</v>
      </c>
      <c r="AD311" s="231">
        <f>(INDEX(Models!$BJ311:$BT311,,AH311)*(1-AF311)+INDEX(Models!$BJ311:$BT311,,AH311+1)*AF311-ERP_i)*AE311*Ramure*Pc/MaxiM</f>
        <v>3.6306360143582407E-3</v>
      </c>
      <c r="AE311" s="305">
        <f t="shared" si="117"/>
        <v>0.7</v>
      </c>
      <c r="AF311" s="177">
        <f t="shared" si="118"/>
        <v>0.49833743994197</v>
      </c>
      <c r="AG311" s="921">
        <f t="shared" si="124"/>
        <v>1</v>
      </c>
      <c r="AH311" s="176">
        <f t="shared" si="119"/>
        <v>7</v>
      </c>
      <c r="AI311" s="225">
        <f t="shared" si="120"/>
        <v>1.49833743994197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22.572983192608721</v>
      </c>
      <c r="C312" s="955"/>
      <c r="D312" s="393">
        <f t="shared" si="102"/>
        <v>23.763189906204353</v>
      </c>
      <c r="E312" s="385">
        <f t="shared" si="125"/>
        <v>24.53731425035431</v>
      </c>
      <c r="F312" s="385">
        <f t="shared" si="103"/>
        <v>24.578800447017581</v>
      </c>
      <c r="G312" s="110">
        <f t="shared" si="126"/>
        <v>0.6233639886467981</v>
      </c>
      <c r="H312" s="414" t="b">
        <f>Wh_hp&gt;='2023'!Maxi_hp</f>
        <v>0</v>
      </c>
      <c r="I312" s="390">
        <f>IF(H312,Wh_hp,'2023'!Maxi_hp)</f>
        <v>39.380465592356508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5.0086150819544595E-2</v>
      </c>
      <c r="M312" s="959"/>
      <c r="N312" s="959"/>
      <c r="O312" s="48">
        <f>IF(t&lt;Tnet,'2023'!Resal+('2023'!Salim-'2023'!Resal)*(1-EXP(('2023'!Tnet-t)/('2023'!Tau_j))),Resal+(Salim-Resal)*(1-EXP((Tnet-t)/(Tau_j))))*Salcycl</f>
        <v>3.1548862122869926E-2</v>
      </c>
      <c r="P312" s="169">
        <f>(INDEX(Models!$BJ312:$BT312,,T312)*(1-R312)+INDEX(Models!$BJ312:$BT312,,T312+1)*R312-ERP_i)*Q312*Ramure*Pc/MaxiM</f>
        <v>3.6400893122864523E-3</v>
      </c>
      <c r="Q312" s="305">
        <f t="shared" si="105"/>
        <v>0.7</v>
      </c>
      <c r="R312" s="177">
        <f t="shared" si="106"/>
        <v>0.49841228397337822</v>
      </c>
      <c r="S312" s="921">
        <f t="shared" si="107"/>
        <v>1</v>
      </c>
      <c r="T312" s="176">
        <f t="shared" si="108"/>
        <v>7</v>
      </c>
      <c r="U312" s="251">
        <f t="shared" si="109"/>
        <v>1.4984122839733782</v>
      </c>
      <c r="V312" s="383">
        <f t="shared" si="110"/>
        <v>36.140749272158452</v>
      </c>
      <c r="W312" s="402">
        <f t="shared" si="111"/>
        <v>22.572983192608721</v>
      </c>
      <c r="X312" s="157">
        <f t="shared" si="112"/>
        <v>45589</v>
      </c>
      <c r="Y312" s="385">
        <f t="shared" si="113"/>
        <v>20.235718720776603</v>
      </c>
      <c r="Z312" s="385">
        <f t="shared" si="114"/>
        <v>21.302688384041463</v>
      </c>
      <c r="AA312" s="386">
        <f t="shared" si="115"/>
        <v>24.53731425035431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0.13182477239806878</v>
      </c>
      <c r="AD312" s="231">
        <f>(INDEX(Models!$BJ312:$BT312,,AH312)*(1-AF312)+INDEX(Models!$BJ312:$BT312,,AH312+1)*AF312-ERP_i)*AE312*Ramure*Pc/MaxiM</f>
        <v>3.6400893122864523E-3</v>
      </c>
      <c r="AE312" s="305">
        <f t="shared" si="117"/>
        <v>0.7</v>
      </c>
      <c r="AF312" s="177">
        <f t="shared" si="118"/>
        <v>0.49841228397337822</v>
      </c>
      <c r="AG312" s="921">
        <f t="shared" si="124"/>
        <v>1</v>
      </c>
      <c r="AH312" s="176">
        <f t="shared" si="119"/>
        <v>7</v>
      </c>
      <c r="AI312" s="225">
        <f t="shared" si="120"/>
        <v>1.4984122839733782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12.617502320759217</v>
      </c>
      <c r="C313" s="955"/>
      <c r="D313" s="393">
        <f t="shared" si="102"/>
        <v>13.283076874161919</v>
      </c>
      <c r="E313" s="385">
        <f t="shared" si="125"/>
        <v>13.717208297218171</v>
      </c>
      <c r="F313" s="385">
        <f t="shared" si="103"/>
        <v>13.720924640677833</v>
      </c>
      <c r="G313" s="110">
        <f t="shared" si="126"/>
        <v>0.35063748485758889</v>
      </c>
      <c r="H313" s="414" t="b">
        <f>Wh_hp&gt;='2023'!Maxi_hp</f>
        <v>0</v>
      </c>
      <c r="I313" s="390">
        <f>IF(H313,Wh_hp,'2023'!Maxi_hp)</f>
        <v>38.95254653773808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5.010695637073137E-2</v>
      </c>
      <c r="M313" s="959"/>
      <c r="N313" s="959"/>
      <c r="O313" s="48">
        <f>IF(t&lt;Tnet,'2023'!Resal+('2023'!Salim-'2023'!Resal)*(1-EXP(('2023'!Tnet-t)/('2023'!Tau_j))),Resal+(Salim-Resal)*(1-EXP((Tnet-t)/(Tau_j))))*Salcycl</f>
        <v>3.1648671774146125E-2</v>
      </c>
      <c r="P313" s="169">
        <f>(INDEX(Models!$BJ313:$BT313,,T313)*(1-R313)+INDEX(Models!$BJ313:$BT313,,T313+1)*R313-ERP_i)*Q313*Ramure*Pc/MaxiM</f>
        <v>3.6580799825443196E-3</v>
      </c>
      <c r="Q313" s="305">
        <f t="shared" si="105"/>
        <v>0.7</v>
      </c>
      <c r="R313" s="177">
        <f t="shared" si="106"/>
        <v>0.49848413568360783</v>
      </c>
      <c r="S313" s="921">
        <f t="shared" si="107"/>
        <v>1</v>
      </c>
      <c r="T313" s="176">
        <f t="shared" si="108"/>
        <v>7</v>
      </c>
      <c r="U313" s="251">
        <f t="shared" si="109"/>
        <v>1.4984841356836078</v>
      </c>
      <c r="V313" s="383">
        <f t="shared" si="110"/>
        <v>35.8625444547406</v>
      </c>
      <c r="W313" s="402">
        <f t="shared" si="111"/>
        <v>12.617502320759217</v>
      </c>
      <c r="X313" s="157">
        <f t="shared" si="112"/>
        <v>45590</v>
      </c>
      <c r="Y313" s="385">
        <f t="shared" si="113"/>
        <v>11.312999950253534</v>
      </c>
      <c r="Z313" s="385">
        <f t="shared" si="114"/>
        <v>11.909761868588708</v>
      </c>
      <c r="AA313" s="386">
        <f t="shared" si="115"/>
        <v>13.717208297218171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0.13176488899683833</v>
      </c>
      <c r="AD313" s="231">
        <f>(INDEX(Models!$BJ313:$BT313,,AH313)*(1-AF313)+INDEX(Models!$BJ313:$BT313,,AH313+1)*AF313-ERP_i)*AE313*Ramure*Pc/MaxiM</f>
        <v>3.6580799825443196E-3</v>
      </c>
      <c r="AE313" s="305">
        <f t="shared" si="117"/>
        <v>0.7</v>
      </c>
      <c r="AF313" s="177">
        <f t="shared" si="118"/>
        <v>0.49848413568360783</v>
      </c>
      <c r="AG313" s="921">
        <f t="shared" si="124"/>
        <v>1</v>
      </c>
      <c r="AH313" s="176">
        <f t="shared" si="119"/>
        <v>7</v>
      </c>
      <c r="AI313" s="225">
        <f t="shared" si="120"/>
        <v>1.4984841356836078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13.823547778703867</v>
      </c>
      <c r="C314" s="955"/>
      <c r="D314" s="393">
        <f t="shared" si="102"/>
        <v>14.553060104211381</v>
      </c>
      <c r="E314" s="385">
        <f t="shared" si="125"/>
        <v>15.030240323900079</v>
      </c>
      <c r="F314" s="385">
        <f t="shared" si="103"/>
        <v>15.0372459758264</v>
      </c>
      <c r="G314" s="110">
        <f t="shared" si="126"/>
        <v>0.387255958789118</v>
      </c>
      <c r="H314" s="414" t="b">
        <f>Wh_hp&gt;='2023'!Maxi_hp</f>
        <v>0</v>
      </c>
      <c r="I314" s="390">
        <f>IF(H314,Wh_hp,'2023'!Maxi_hp)</f>
        <v>33.191570367929572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5.0127761466222998E-2</v>
      </c>
      <c r="M314" s="959"/>
      <c r="N314" s="959"/>
      <c r="O314" s="48">
        <f>IF(t&lt;Tnet,'2023'!Resal+('2023'!Salim-'2023'!Resal)*(1-EXP(('2023'!Tnet-t)/('2023'!Tau_j))),Resal+(Salim-Resal)*(1-EXP((Tnet-t)/(Tau_j))))*Salcycl</f>
        <v>3.1748009972263534E-2</v>
      </c>
      <c r="P314" s="169">
        <f>(INDEX(Models!$BJ314:$BT314,,T314)*(1-R314)+INDEX(Models!$BJ314:$BT314,,T314+1)*R314-ERP_i)*Q314*Ramure*Pc/MaxiM</f>
        <v>3.6846847793506926E-3</v>
      </c>
      <c r="Q314" s="305">
        <f t="shared" si="105"/>
        <v>0.7</v>
      </c>
      <c r="R314" s="177">
        <f t="shared" si="106"/>
        <v>0.49855311389438506</v>
      </c>
      <c r="S314" s="921">
        <f t="shared" si="107"/>
        <v>1</v>
      </c>
      <c r="T314" s="176">
        <f t="shared" si="108"/>
        <v>7</v>
      </c>
      <c r="U314" s="251">
        <f t="shared" si="109"/>
        <v>1.4985531138943851</v>
      </c>
      <c r="V314" s="383">
        <f t="shared" si="110"/>
        <v>35.581200280205607</v>
      </c>
      <c r="W314" s="402">
        <f t="shared" si="111"/>
        <v>13.823547778703867</v>
      </c>
      <c r="X314" s="157">
        <f t="shared" si="112"/>
        <v>45591</v>
      </c>
      <c r="Y314" s="385">
        <f t="shared" si="113"/>
        <v>12.396493499854387</v>
      </c>
      <c r="Z314" s="385">
        <f t="shared" si="114"/>
        <v>13.050695658807355</v>
      </c>
      <c r="AA314" s="386">
        <f t="shared" si="115"/>
        <v>15.030240323900079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0.13170412597761227</v>
      </c>
      <c r="AD314" s="231">
        <f>(INDEX(Models!$BJ314:$BT314,,AH314)*(1-AF314)+INDEX(Models!$BJ314:$BT314,,AH314+1)*AF314-ERP_i)*AE314*Ramure*Pc/MaxiM</f>
        <v>3.6846847793506926E-3</v>
      </c>
      <c r="AE314" s="305">
        <f t="shared" si="117"/>
        <v>0.7</v>
      </c>
      <c r="AF314" s="177">
        <f t="shared" si="118"/>
        <v>0.49855311389438506</v>
      </c>
      <c r="AG314" s="921">
        <f t="shared" si="124"/>
        <v>1</v>
      </c>
      <c r="AH314" s="176">
        <f t="shared" si="119"/>
        <v>7</v>
      </c>
      <c r="AI314" s="225">
        <f t="shared" si="120"/>
        <v>1.4985531138943851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17.412475358656838</v>
      </c>
      <c r="C315" s="955"/>
      <c r="D315" s="393">
        <f t="shared" si="102"/>
        <v>18.331788253741326</v>
      </c>
      <c r="E315" s="385">
        <f t="shared" si="125"/>
        <v>18.934803093287751</v>
      </c>
      <c r="F315" s="385">
        <f t="shared" si="103"/>
        <v>18.95427568508865</v>
      </c>
      <c r="G315" s="110">
        <f t="shared" si="126"/>
        <v>0.49198876350882675</v>
      </c>
      <c r="H315" s="414" t="b">
        <f>Wh_hp&gt;='2023'!Maxi_hp</f>
        <v>0</v>
      </c>
      <c r="I315" s="390">
        <f>IF(H315,Wh_hp,'2023'!Maxi_hp)</f>
        <v>38.41572407667438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5.0148566106029802E-2</v>
      </c>
      <c r="M315" s="959"/>
      <c r="N315" s="959"/>
      <c r="O315" s="48">
        <f>IF(t&lt;Tnet,'2023'!Resal+('2023'!Salim-'2023'!Resal)*(1-EXP(('2023'!Tnet-t)/('2023'!Tau_j))),Resal+(Salim-Resal)*(1-EXP((Tnet-t)/(Tau_j))))*Salcycl</f>
        <v>3.1846903111455695E-2</v>
      </c>
      <c r="P315" s="169">
        <f>(INDEX(Models!$BJ315:$BT315,,T315)*(1-R315)+INDEX(Models!$BJ315:$BT315,,T315+1)*R315-ERP_i)*Q315*Ramure*Pc/MaxiM</f>
        <v>3.7199858082060393E-3</v>
      </c>
      <c r="Q315" s="305">
        <f t="shared" si="105"/>
        <v>0.7</v>
      </c>
      <c r="R315" s="177">
        <f t="shared" si="106"/>
        <v>0.49861933277316717</v>
      </c>
      <c r="S315" s="921">
        <f t="shared" si="107"/>
        <v>1</v>
      </c>
      <c r="T315" s="176">
        <f t="shared" si="108"/>
        <v>7</v>
      </c>
      <c r="U315" s="251">
        <f t="shared" si="109"/>
        <v>1.4986193327731672</v>
      </c>
      <c r="V315" s="383">
        <f t="shared" si="110"/>
        <v>35.296622399301299</v>
      </c>
      <c r="W315" s="402">
        <f t="shared" si="111"/>
        <v>17.412475358656838</v>
      </c>
      <c r="X315" s="157">
        <f t="shared" si="112"/>
        <v>45592</v>
      </c>
      <c r="Y315" s="385">
        <f t="shared" si="113"/>
        <v>15.617624816641611</v>
      </c>
      <c r="Z315" s="385">
        <f t="shared" si="114"/>
        <v>16.442176386065203</v>
      </c>
      <c r="AA315" s="386">
        <f t="shared" si="115"/>
        <v>18.934803093287751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0.13164259986976917</v>
      </c>
      <c r="AD315" s="231">
        <f>(INDEX(Models!$BJ315:$BT315,,AH315)*(1-AF315)+INDEX(Models!$BJ315:$BT315,,AH315+1)*AF315-ERP_i)*AE315*Ramure*Pc/MaxiM</f>
        <v>3.7199858082060393E-3</v>
      </c>
      <c r="AE315" s="305">
        <f t="shared" si="117"/>
        <v>0.7</v>
      </c>
      <c r="AF315" s="177">
        <f t="shared" si="118"/>
        <v>0.49861933277316717</v>
      </c>
      <c r="AG315" s="921">
        <f t="shared" si="124"/>
        <v>1</v>
      </c>
      <c r="AH315" s="176">
        <f t="shared" si="119"/>
        <v>7</v>
      </c>
      <c r="AI315" s="225">
        <f t="shared" si="120"/>
        <v>1.4986193327731672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26.00297542593885</v>
      </c>
      <c r="C316" s="955"/>
      <c r="D316" s="393">
        <f t="shared" si="102"/>
        <v>27.376433874197588</v>
      </c>
      <c r="E316" s="385">
        <f t="shared" si="125"/>
        <v>28.279844217348522</v>
      </c>
      <c r="F316" s="385">
        <f t="shared" si="103"/>
        <v>28.34733394466328</v>
      </c>
      <c r="G316" s="110">
        <f t="shared" si="126"/>
        <v>0.74172729984599739</v>
      </c>
      <c r="H316" s="414" t="b">
        <f>Wh_hp&gt;='2023'!Maxi_hp</f>
        <v>0</v>
      </c>
      <c r="I316" s="390">
        <f>IF(H316,Wh_hp,'2023'!Maxi_hp)</f>
        <v>30.720187323726929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5.0169370290161441E-2</v>
      </c>
      <c r="M316" s="959"/>
      <c r="N316" s="959"/>
      <c r="O316" s="48">
        <f>IF(t&lt;Tnet,'2023'!Resal+('2023'!Salim-'2023'!Resal)*(1-EXP(('2023'!Tnet-t)/('2023'!Tau_j))),Resal+(Salim-Resal)*(1-EXP((Tnet-t)/(Tau_j))))*Salcycl</f>
        <v>3.1945379055402581E-2</v>
      </c>
      <c r="P316" s="169">
        <f>(INDEX(Models!$BJ316:$BT316,,T316)*(1-R316)+INDEX(Models!$BJ316:$BT316,,T316+1)*R316-ERP_i)*Q316*Ramure*Pc/MaxiM</f>
        <v>3.7640716726457563E-3</v>
      </c>
      <c r="Q316" s="305">
        <f t="shared" si="105"/>
        <v>0.7</v>
      </c>
      <c r="R316" s="177">
        <f t="shared" si="106"/>
        <v>0.49868290201040333</v>
      </c>
      <c r="S316" s="921">
        <f t="shared" si="107"/>
        <v>1</v>
      </c>
      <c r="T316" s="176">
        <f t="shared" si="108"/>
        <v>7</v>
      </c>
      <c r="U316" s="251">
        <f t="shared" si="109"/>
        <v>1.4986829020104033</v>
      </c>
      <c r="V316" s="383">
        <f t="shared" si="110"/>
        <v>35.008716511595168</v>
      </c>
      <c r="W316" s="402">
        <f t="shared" si="111"/>
        <v>26.00297542593885</v>
      </c>
      <c r="X316" s="157">
        <f t="shared" si="112"/>
        <v>45593</v>
      </c>
      <c r="Y316" s="385">
        <f t="shared" si="113"/>
        <v>23.326672078742479</v>
      </c>
      <c r="Z316" s="385">
        <f t="shared" si="114"/>
        <v>24.558770110275859</v>
      </c>
      <c r="AA316" s="386">
        <f t="shared" si="115"/>
        <v>28.279844217348522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0.13158043157783514</v>
      </c>
      <c r="AD316" s="231">
        <f>(INDEX(Models!$BJ316:$BT316,,AH316)*(1-AF316)+INDEX(Models!$BJ316:$BT316,,AH316+1)*AF316-ERP_i)*AE316*Ramure*Pc/MaxiM</f>
        <v>3.7640716726457563E-3</v>
      </c>
      <c r="AE316" s="305">
        <f t="shared" si="117"/>
        <v>0.7</v>
      </c>
      <c r="AF316" s="177">
        <f t="shared" si="118"/>
        <v>0.49868290201040333</v>
      </c>
      <c r="AG316" s="921">
        <f t="shared" si="124"/>
        <v>1</v>
      </c>
      <c r="AH316" s="176">
        <f t="shared" si="119"/>
        <v>7</v>
      </c>
      <c r="AI316" s="225">
        <f t="shared" si="120"/>
        <v>1.4986829020104033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21.291686831779916</v>
      </c>
      <c r="C317" s="955"/>
      <c r="D317" s="393">
        <f t="shared" si="102"/>
        <v>22.416789392319362</v>
      </c>
      <c r="E317" s="385">
        <f t="shared" si="125"/>
        <v>23.158880206920784</v>
      </c>
      <c r="F317" s="385">
        <f t="shared" si="103"/>
        <v>23.198520016632994</v>
      </c>
      <c r="G317" s="110">
        <f t="shared" si="126"/>
        <v>0.61203914037247276</v>
      </c>
      <c r="H317" s="414" t="b">
        <f>Wh_hp&gt;='2023'!Maxi_hp</f>
        <v>0</v>
      </c>
      <c r="I317" s="390">
        <f>IF(H317,Wh_hp,'2023'!Maxi_hp)</f>
        <v>35.207799824990232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5.0190174018628131E-2</v>
      </c>
      <c r="M317" s="959"/>
      <c r="N317" s="959"/>
      <c r="O317" s="48">
        <f>IF(t&lt;Tnet,'2023'!Resal+('2023'!Salim-'2023'!Resal)*(1-EXP(('2023'!Tnet-t)/('2023'!Tau_j))),Resal+(Salim-Resal)*(1-EXP((Tnet-t)/(Tau_j))))*Salcycl</f>
        <v>3.2043467040330245E-2</v>
      </c>
      <c r="P317" s="169">
        <f>(INDEX(Models!$BJ317:$BT317,,T317)*(1-R317)+INDEX(Models!$BJ317:$BT317,,T317+1)*R317-ERP_i)*Q317*Ramure*Pc/MaxiM</f>
        <v>3.8173405649472541E-3</v>
      </c>
      <c r="Q317" s="305">
        <f t="shared" si="105"/>
        <v>0.7</v>
      </c>
      <c r="R317" s="177">
        <f t="shared" si="106"/>
        <v>0.4987439269904459</v>
      </c>
      <c r="S317" s="921">
        <f t="shared" si="107"/>
        <v>1</v>
      </c>
      <c r="T317" s="176">
        <f t="shared" si="108"/>
        <v>7</v>
      </c>
      <c r="U317" s="251">
        <f t="shared" si="109"/>
        <v>1.4987439269904459</v>
      </c>
      <c r="V317" s="383">
        <f t="shared" si="110"/>
        <v>34.714632655215347</v>
      </c>
      <c r="W317" s="402">
        <f t="shared" si="111"/>
        <v>21.291686831779916</v>
      </c>
      <c r="X317" s="157">
        <f t="shared" si="112"/>
        <v>45594</v>
      </c>
      <c r="Y317" s="385">
        <f t="shared" si="113"/>
        <v>19.103597675463277</v>
      </c>
      <c r="Z317" s="385">
        <f t="shared" si="114"/>
        <v>20.113076484258173</v>
      </c>
      <c r="AA317" s="386">
        <f t="shared" si="115"/>
        <v>23.158880206920784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0.13151774591210175</v>
      </c>
      <c r="AD317" s="231">
        <f>(INDEX(Models!$BJ317:$BT317,,AH317)*(1-AF317)+INDEX(Models!$BJ317:$BT317,,AH317+1)*AF317-ERP_i)*AE317*Ramure*Pc/MaxiM</f>
        <v>3.8173405649472541E-3</v>
      </c>
      <c r="AE317" s="305">
        <f t="shared" si="117"/>
        <v>0.7</v>
      </c>
      <c r="AF317" s="177">
        <f t="shared" si="118"/>
        <v>0.4987439269904459</v>
      </c>
      <c r="AG317" s="921">
        <f t="shared" si="124"/>
        <v>1</v>
      </c>
      <c r="AH317" s="176">
        <f t="shared" si="119"/>
        <v>7</v>
      </c>
      <c r="AI317" s="225">
        <f t="shared" si="120"/>
        <v>1.4987439269904459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22.010875415857434</v>
      </c>
      <c r="C318" s="955"/>
      <c r="D318" s="393">
        <f t="shared" si="102"/>
        <v>23.174489165065243</v>
      </c>
      <c r="E318" s="385">
        <f t="shared" si="125"/>
        <v>23.94408058988477</v>
      </c>
      <c r="F318" s="385">
        <f t="shared" si="103"/>
        <v>23.989389902530565</v>
      </c>
      <c r="G318" s="110">
        <f t="shared" si="126"/>
        <v>0.63834223991126171</v>
      </c>
      <c r="H318" s="414" t="b">
        <f>Wh_hp&gt;='2023'!Maxi_hp</f>
        <v>0</v>
      </c>
      <c r="I318" s="390">
        <f>IF(H318,Wh_hp,'2023'!Maxi_hp)</f>
        <v>35.869115091380415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5.0210977291439862E-2</v>
      </c>
      <c r="M318" s="959"/>
      <c r="N318" s="959"/>
      <c r="O318" s="48">
        <f>IF(t&lt;Tnet,'2023'!Resal+('2023'!Salim-'2023'!Resal)*(1-EXP(('2023'!Tnet-t)/('2023'!Tau_j))),Resal+(Salim-Resal)*(1-EXP((Tnet-t)/(Tau_j))))*Salcycl</f>
        <v>3.2141197567829967E-2</v>
      </c>
      <c r="P318" s="169">
        <f>(INDEX(Models!$BJ318:$BT318,,T318)*(1-R318)+INDEX(Models!$BJ318:$BT318,,T318+1)*R318-ERP_i)*Q318*Ramure*Pc/MaxiM</f>
        <v>3.8928232761909296E-3</v>
      </c>
      <c r="Q318" s="305">
        <f t="shared" si="105"/>
        <v>0.7</v>
      </c>
      <c r="R318" s="177">
        <f t="shared" si="106"/>
        <v>0.49880250895630684</v>
      </c>
      <c r="S318" s="921">
        <f t="shared" si="107"/>
        <v>1</v>
      </c>
      <c r="T318" s="176">
        <f t="shared" si="108"/>
        <v>7</v>
      </c>
      <c r="U318" s="251">
        <f t="shared" si="109"/>
        <v>1.4988025089563068</v>
      </c>
      <c r="V318" s="383">
        <f t="shared" si="110"/>
        <v>34.412073286216739</v>
      </c>
      <c r="W318" s="402">
        <f t="shared" si="111"/>
        <v>22.010875415857434</v>
      </c>
      <c r="X318" s="157">
        <f t="shared" si="112"/>
        <v>45595</v>
      </c>
      <c r="Y318" s="385">
        <f t="shared" si="113"/>
        <v>19.752305790554477</v>
      </c>
      <c r="Z318" s="385">
        <f t="shared" si="114"/>
        <v>20.796519351451181</v>
      </c>
      <c r="AA318" s="386">
        <f t="shared" si="115"/>
        <v>23.94408058988477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0.13145467108740361</v>
      </c>
      <c r="AD318" s="231">
        <f>(INDEX(Models!$BJ318:$BT318,,AH318)*(1-AF318)+INDEX(Models!$BJ318:$BT318,,AH318+1)*AF318-ERP_i)*AE318*Ramure*Pc/MaxiM</f>
        <v>3.8928232761909296E-3</v>
      </c>
      <c r="AE318" s="305">
        <f t="shared" si="117"/>
        <v>0.7</v>
      </c>
      <c r="AF318" s="177">
        <f t="shared" si="118"/>
        <v>0.49880250895630684</v>
      </c>
      <c r="AG318" s="921">
        <f t="shared" si="124"/>
        <v>1</v>
      </c>
      <c r="AH318" s="176">
        <f t="shared" si="119"/>
        <v>7</v>
      </c>
      <c r="AI318" s="225">
        <f t="shared" si="120"/>
        <v>1.4988025089563068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23.714296343169504</v>
      </c>
      <c r="C319" s="955"/>
      <c r="D319" s="393">
        <f t="shared" si="102"/>
        <v>24.968508996733167</v>
      </c>
      <c r="E319" s="385">
        <f t="shared" si="125"/>
        <v>25.800273761449365</v>
      </c>
      <c r="F319" s="385">
        <f t="shared" si="103"/>
        <v>25.8585454950748</v>
      </c>
      <c r="G319" s="110">
        <f t="shared" si="126"/>
        <v>0.69417347652364847</v>
      </c>
      <c r="H319" s="414" t="b">
        <f>Wh_hp&gt;='2023'!Maxi_hp</f>
        <v>0</v>
      </c>
      <c r="I319" s="390">
        <f>IF(H319,Wh_hp,'2023'!Maxi_hp)</f>
        <v>32.156200585342432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5.0231780108606405E-2</v>
      </c>
      <c r="M319" s="959"/>
      <c r="N319" s="959"/>
      <c r="O319" s="48">
        <f>IF(t&lt;Tnet,'2023'!Resal+('2023'!Salim-'2023'!Resal)*(1-EXP(('2023'!Tnet-t)/('2023'!Tau_j))),Resal+(Salim-Resal)*(1-EXP((Tnet-t)/(Tau_j))))*Salcycl</f>
        <v>3.2238602287973241E-2</v>
      </c>
      <c r="P319" s="169">
        <f>(INDEX(Models!$BJ319:$BT319,,T319)*(1-R319)+INDEX(Models!$BJ319:$BT319,,T319+1)*R319-ERP_i)*Q319*Ramure*Pc/MaxiM</f>
        <v>3.9896366729216433E-3</v>
      </c>
      <c r="Q319" s="305">
        <f t="shared" si="105"/>
        <v>0.7</v>
      </c>
      <c r="R319" s="177">
        <f t="shared" si="106"/>
        <v>0.49885874516844853</v>
      </c>
      <c r="S319" s="921">
        <f t="shared" si="107"/>
        <v>1</v>
      </c>
      <c r="T319" s="176">
        <f t="shared" si="108"/>
        <v>7</v>
      </c>
      <c r="U319" s="251">
        <f t="shared" si="109"/>
        <v>1.4988587451684485</v>
      </c>
      <c r="V319" s="383">
        <f t="shared" si="110"/>
        <v>34.102472130813268</v>
      </c>
      <c r="W319" s="402">
        <f t="shared" si="111"/>
        <v>23.714296343169504</v>
      </c>
      <c r="X319" s="157">
        <f t="shared" si="112"/>
        <v>45596</v>
      </c>
      <c r="Y319" s="385">
        <f t="shared" si="113"/>
        <v>21.284629931541566</v>
      </c>
      <c r="Z319" s="385">
        <f t="shared" si="114"/>
        <v>22.410341266183316</v>
      </c>
      <c r="AA319" s="386">
        <f t="shared" si="115"/>
        <v>25.800273761449365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0.13139133819313453</v>
      </c>
      <c r="AD319" s="231">
        <f>(INDEX(Models!$BJ319:$BT319,,AH319)*(1-AF319)+INDEX(Models!$BJ319:$BT319,,AH319+1)*AF319-ERP_i)*AE319*Ramure*Pc/MaxiM</f>
        <v>3.9896366729216433E-3</v>
      </c>
      <c r="AE319" s="305">
        <f t="shared" si="117"/>
        <v>0.7</v>
      </c>
      <c r="AF319" s="177">
        <f t="shared" si="118"/>
        <v>0.49885874516844853</v>
      </c>
      <c r="AG319" s="921">
        <f t="shared" si="124"/>
        <v>1</v>
      </c>
      <c r="AH319" s="176">
        <f t="shared" si="119"/>
        <v>7</v>
      </c>
      <c r="AI319" s="225">
        <f t="shared" si="120"/>
        <v>1.4988587451684485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29.714033474576325</v>
      </c>
      <c r="C320" s="955"/>
      <c r="D320" s="393">
        <f t="shared" si="102"/>
        <v>31.286248244672962</v>
      </c>
      <c r="E320" s="385">
        <f t="shared" si="125"/>
        <v>32.331717407806984</v>
      </c>
      <c r="F320" s="385">
        <f t="shared" si="103"/>
        <v>32.442033201148128</v>
      </c>
      <c r="G320" s="110">
        <f t="shared" si="126"/>
        <v>0.87882141227751798</v>
      </c>
      <c r="H320" s="414" t="b">
        <f>Wh_hp&gt;='2023'!Maxi_hp</f>
        <v>0</v>
      </c>
      <c r="I320" s="390">
        <f>IF(H320,Wh_hp,'2023'!Maxi_hp)</f>
        <v>32.454794639205154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5.0252582470137974E-2</v>
      </c>
      <c r="M320" s="959"/>
      <c r="N320" s="959"/>
      <c r="O320" s="48">
        <f>IF(t&lt;Tnet,'2023'!Resal+('2023'!Salim-'2023'!Resal)*(1-EXP(('2023'!Tnet-t)/('2023'!Tau_j))),Resal+(Salim-Resal)*(1-EXP((Tnet-t)/(Tau_j))))*Salcycl</f>
        <v>3.2335713873386213E-2</v>
      </c>
      <c r="P320" s="169">
        <f>(INDEX(Models!$BJ320:$BT320,,T320)*(1-R320)+INDEX(Models!$BJ320:$BT320,,T320+1)*R320-ERP_i)*Q320*Ramure*Pc/MaxiM</f>
        <v>4.1078532511946665E-3</v>
      </c>
      <c r="Q320" s="305">
        <f t="shared" si="105"/>
        <v>0.7</v>
      </c>
      <c r="R320" s="177">
        <f t="shared" si="106"/>
        <v>0.4989127290578026</v>
      </c>
      <c r="S320" s="921">
        <f t="shared" si="107"/>
        <v>1</v>
      </c>
      <c r="T320" s="176">
        <f t="shared" si="108"/>
        <v>7</v>
      </c>
      <c r="U320" s="251">
        <f t="shared" si="109"/>
        <v>1.4989127290578026</v>
      </c>
      <c r="V320" s="383">
        <f t="shared" si="110"/>
        <v>33.787229074061813</v>
      </c>
      <c r="W320" s="402">
        <f t="shared" si="111"/>
        <v>29.714033474576325</v>
      </c>
      <c r="X320" s="157">
        <f t="shared" si="112"/>
        <v>45597</v>
      </c>
      <c r="Y320" s="385">
        <f t="shared" si="113"/>
        <v>26.674284463341994</v>
      </c>
      <c r="Z320" s="385">
        <f t="shared" si="114"/>
        <v>28.085661483257784</v>
      </c>
      <c r="AA320" s="386">
        <f t="shared" si="115"/>
        <v>32.331717407806984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0.13132788063785081</v>
      </c>
      <c r="AD320" s="231">
        <f>(INDEX(Models!$BJ320:$BT320,,AH320)*(1-AF320)+INDEX(Models!$BJ320:$BT320,,AH320+1)*AF320-ERP_i)*AE320*Ramure*Pc/MaxiM</f>
        <v>4.1078532511946665E-3</v>
      </c>
      <c r="AE320" s="305">
        <f t="shared" si="117"/>
        <v>0.7</v>
      </c>
      <c r="AF320" s="177">
        <f t="shared" si="118"/>
        <v>0.4989127290578026</v>
      </c>
      <c r="AG320" s="921">
        <f t="shared" si="124"/>
        <v>1</v>
      </c>
      <c r="AH320" s="176">
        <f t="shared" si="119"/>
        <v>7</v>
      </c>
      <c r="AI320" s="225">
        <f t="shared" si="120"/>
        <v>1.4989127290578026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10.332408051550972</v>
      </c>
      <c r="C321" s="955"/>
      <c r="D321" s="393">
        <f t="shared" si="102"/>
        <v>10.879349785056556</v>
      </c>
      <c r="E321" s="385">
        <f t="shared" si="125"/>
        <v>11.244022278413992</v>
      </c>
      <c r="F321" s="385">
        <f t="shared" si="103"/>
        <v>11.244617760068094</v>
      </c>
      <c r="G321" s="110">
        <f t="shared" si="126"/>
        <v>0.30743230624357076</v>
      </c>
      <c r="H321" s="414" t="b">
        <f>Wh_hp&gt;='2023'!Maxi_hp</f>
        <v>0</v>
      </c>
      <c r="I321" s="390">
        <f>IF(H321,Wh_hp,'2023'!Maxi_hp)</f>
        <v>31.18806335046073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5.0273384376044339E-2</v>
      </c>
      <c r="M321" s="959"/>
      <c r="N321" s="959"/>
      <c r="O321" s="48">
        <f>IF(t&lt;Tnet,'2023'!Resal+('2023'!Salim-'2023'!Resal)*(1-EXP(('2023'!Tnet-t)/('2023'!Tau_j))),Resal+(Salim-Resal)*(1-EXP((Tnet-t)/(Tau_j))))*Salcycl</f>
        <v>3.2432565885032488E-2</v>
      </c>
      <c r="P321" s="169">
        <f>(INDEX(Models!$BJ321:$BT321,,T321)*(1-R321)+INDEX(Models!$BJ321:$BT321,,T321+1)*R321-ERP_i)*Q321*Ramure*Pc/MaxiM</f>
        <v>4.2475526902710208E-3</v>
      </c>
      <c r="Q321" s="305">
        <f t="shared" si="105"/>
        <v>0.7</v>
      </c>
      <c r="R321" s="177">
        <f t="shared" si="106"/>
        <v>0.49896455037319587</v>
      </c>
      <c r="S321" s="921">
        <f t="shared" si="107"/>
        <v>1</v>
      </c>
      <c r="T321" s="176">
        <f t="shared" si="108"/>
        <v>7</v>
      </c>
      <c r="U321" s="251">
        <f t="shared" si="109"/>
        <v>1.4989645503731959</v>
      </c>
      <c r="V321" s="383">
        <f t="shared" si="110"/>
        <v>33.467743218301656</v>
      </c>
      <c r="W321" s="402">
        <f t="shared" si="111"/>
        <v>10.332408051550972</v>
      </c>
      <c r="X321" s="157">
        <f t="shared" si="112"/>
        <v>45598</v>
      </c>
      <c r="Y321" s="385">
        <f t="shared" si="113"/>
        <v>9.2770075187981647</v>
      </c>
      <c r="Z321" s="385">
        <f t="shared" si="114"/>
        <v>9.7680820629664193</v>
      </c>
      <c r="AA321" s="386">
        <f t="shared" si="115"/>
        <v>11.244022278413992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0.13126443357205428</v>
      </c>
      <c r="AD321" s="231">
        <f>(INDEX(Models!$BJ321:$BT321,,AH321)*(1-AF321)+INDEX(Models!$BJ321:$BT321,,AH321+1)*AF321-ERP_i)*AE321*Ramure*Pc/MaxiM</f>
        <v>4.2475526902710208E-3</v>
      </c>
      <c r="AE321" s="305">
        <f t="shared" si="117"/>
        <v>0.7</v>
      </c>
      <c r="AF321" s="177">
        <f t="shared" si="118"/>
        <v>0.49896455037319587</v>
      </c>
      <c r="AG321" s="921">
        <f t="shared" si="124"/>
        <v>1</v>
      </c>
      <c r="AH321" s="176">
        <f t="shared" si="119"/>
        <v>7</v>
      </c>
      <c r="AI321" s="225">
        <f t="shared" si="120"/>
        <v>1.4989645503731959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12.0608243054083</v>
      </c>
      <c r="C322" s="955"/>
      <c r="D322" s="393">
        <f t="shared" si="102"/>
        <v>12.699537188684456</v>
      </c>
      <c r="E322" s="385">
        <f t="shared" si="125"/>
        <v>13.126532699435353</v>
      </c>
      <c r="F322" s="385">
        <f t="shared" si="103"/>
        <v>13.131815779539581</v>
      </c>
      <c r="G322" s="110">
        <f t="shared" si="126"/>
        <v>0.36241766480846549</v>
      </c>
      <c r="H322" s="414" t="b">
        <f>Wh_hp&gt;='2023'!Maxi_hp</f>
        <v>0</v>
      </c>
      <c r="I322" s="390">
        <f>IF(H322,Wh_hp,'2023'!Maxi_hp)</f>
        <v>29.822160701304174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5.0294185826335602E-2</v>
      </c>
      <c r="M322" s="959"/>
      <c r="N322" s="959"/>
      <c r="O322" s="48">
        <f>IF(t&lt;Tnet,'2023'!Resal+('2023'!Salim-'2023'!Resal)*(1-EXP(('2023'!Tnet-t)/('2023'!Tau_j))),Resal+(Salim-Resal)*(1-EXP((Tnet-t)/(Tau_j))))*Salcycl</f>
        <v>3.252919263053107E-2</v>
      </c>
      <c r="P322" s="169">
        <f>(INDEX(Models!$BJ322:$BT322,,T322)*(1-R322)+INDEX(Models!$BJ322:$BT322,,T322+1)*R322-ERP_i)*Q322*Ramure*Pc/MaxiM</f>
        <v>4.4088153287364443E-3</v>
      </c>
      <c r="Q322" s="305">
        <f t="shared" si="105"/>
        <v>0.7</v>
      </c>
      <c r="R322" s="177">
        <f t="shared" si="106"/>
        <v>0.49901429532336827</v>
      </c>
      <c r="S322" s="921">
        <f t="shared" si="107"/>
        <v>1</v>
      </c>
      <c r="T322" s="176">
        <f t="shared" si="108"/>
        <v>7</v>
      </c>
      <c r="U322" s="251">
        <f t="shared" si="109"/>
        <v>1.4990142953233683</v>
      </c>
      <c r="V322" s="383">
        <f t="shared" si="110"/>
        <v>33.145412833058721</v>
      </c>
      <c r="W322" s="402">
        <f t="shared" si="111"/>
        <v>12.0608243054083</v>
      </c>
      <c r="X322" s="157">
        <f t="shared" si="112"/>
        <v>45599</v>
      </c>
      <c r="Y322" s="385">
        <f t="shared" si="113"/>
        <v>10.830745908067287</v>
      </c>
      <c r="Z322" s="385">
        <f t="shared" si="114"/>
        <v>11.404316733062311</v>
      </c>
      <c r="AA322" s="386">
        <f t="shared" si="115"/>
        <v>13.126532699435353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0.13120113329296201</v>
      </c>
      <c r="AD322" s="231">
        <f>(INDEX(Models!$BJ322:$BT322,,AH322)*(1-AF322)+INDEX(Models!$BJ322:$BT322,,AH322+1)*AF322-ERP_i)*AE322*Ramure*Pc/MaxiM</f>
        <v>4.4088153287364443E-3</v>
      </c>
      <c r="AE322" s="305">
        <f t="shared" si="117"/>
        <v>0.7</v>
      </c>
      <c r="AF322" s="177">
        <f t="shared" si="118"/>
        <v>0.49901429532336827</v>
      </c>
      <c r="AG322" s="921">
        <f t="shared" si="124"/>
        <v>1</v>
      </c>
      <c r="AH322" s="176">
        <f t="shared" si="119"/>
        <v>7</v>
      </c>
      <c r="AI322" s="225">
        <f t="shared" si="120"/>
        <v>1.4990142953233683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31.682817194014881</v>
      </c>
      <c r="C323" s="955"/>
      <c r="D323" s="393">
        <f t="shared" si="102"/>
        <v>33.361395361984002</v>
      </c>
      <c r="E323" s="385">
        <f t="shared" si="125"/>
        <v>34.486540436300878</v>
      </c>
      <c r="F323" s="385">
        <f t="shared" si="103"/>
        <v>34.63770338629034</v>
      </c>
      <c r="G323" s="110">
        <f t="shared" si="126"/>
        <v>0.96508215721412904</v>
      </c>
      <c r="H323" s="414" t="b">
        <f>Wh_hp&gt;='2023'!Maxi_hp</f>
        <v>0</v>
      </c>
      <c r="I323" s="390">
        <f>IF(H323,Wh_hp,'2023'!Maxi_hp)</f>
        <v>34.642381012250276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5.0314986821021757E-2</v>
      </c>
      <c r="M323" s="959"/>
      <c r="N323" s="959"/>
      <c r="O323" s="48">
        <f>IF(t&lt;Tnet,'2023'!Resal+('2023'!Salim-'2023'!Resal)*(1-EXP(('2023'!Tnet-t)/('2023'!Tau_j))),Resal+(Salim-Resal)*(1-EXP((Tnet-t)/(Tau_j))))*Salcycl</f>
        <v>3.2625629015908458E-2</v>
      </c>
      <c r="P323" s="169">
        <f>(INDEX(Models!$BJ323:$BT323,,T323)*(1-R323)+INDEX(Models!$BJ323:$BT323,,T323+1)*R323-ERP_i)*Q323*Ramure*Pc/MaxiM</f>
        <v>4.5917152071555138E-3</v>
      </c>
      <c r="Q323" s="305">
        <f t="shared" si="105"/>
        <v>0.7</v>
      </c>
      <c r="R323" s="177">
        <f t="shared" si="106"/>
        <v>0.49906204671375765</v>
      </c>
      <c r="S323" s="921">
        <f t="shared" si="107"/>
        <v>1</v>
      </c>
      <c r="T323" s="176">
        <f t="shared" si="108"/>
        <v>7</v>
      </c>
      <c r="U323" s="251">
        <f t="shared" si="109"/>
        <v>1.4990620467137576</v>
      </c>
      <c r="V323" s="383">
        <f t="shared" si="110"/>
        <v>32.821635298656375</v>
      </c>
      <c r="W323" s="402">
        <f t="shared" si="111"/>
        <v>31.682817194014881</v>
      </c>
      <c r="X323" s="157">
        <f t="shared" si="112"/>
        <v>45600</v>
      </c>
      <c r="Y323" s="385">
        <f t="shared" si="113"/>
        <v>28.456400172654028</v>
      </c>
      <c r="Z323" s="385">
        <f t="shared" si="114"/>
        <v>29.964040474218915</v>
      </c>
      <c r="AA323" s="386">
        <f t="shared" si="115"/>
        <v>34.486540436300878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0.1311381166352521</v>
      </c>
      <c r="AD323" s="231">
        <f>(INDEX(Models!$BJ323:$BT323,,AH323)*(1-AF323)+INDEX(Models!$BJ323:$BT323,,AH323+1)*AF323-ERP_i)*AE323*Ramure*Pc/MaxiM</f>
        <v>4.5917152071555138E-3</v>
      </c>
      <c r="AE323" s="305">
        <f t="shared" si="117"/>
        <v>0.7</v>
      </c>
      <c r="AF323" s="177">
        <f t="shared" si="118"/>
        <v>0.49906204671375765</v>
      </c>
      <c r="AG323" s="921">
        <f t="shared" si="124"/>
        <v>1</v>
      </c>
      <c r="AH323" s="176">
        <f t="shared" si="119"/>
        <v>7</v>
      </c>
      <c r="AI323" s="225">
        <f t="shared" si="120"/>
        <v>1.4990620467137576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31.308014619698902</v>
      </c>
      <c r="C324" s="955"/>
      <c r="D324" s="393">
        <f t="shared" si="102"/>
        <v>32.967457552884433</v>
      </c>
      <c r="E324" s="385">
        <f t="shared" si="125"/>
        <v>34.082708899398654</v>
      </c>
      <c r="F324" s="385">
        <f t="shared" si="103"/>
        <v>34.23834407792998</v>
      </c>
      <c r="G324" s="110">
        <f t="shared" si="126"/>
        <v>0.96314593354563305</v>
      </c>
      <c r="H324" s="414" t="b">
        <f>Wh_hp&gt;='2023'!Maxi_hp</f>
        <v>0</v>
      </c>
      <c r="I324" s="390">
        <f>IF(H324,Wh_hp,'2023'!Maxi_hp)</f>
        <v>34.243535630219014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5.0335787360112683E-2</v>
      </c>
      <c r="M324" s="959"/>
      <c r="N324" s="959"/>
      <c r="O324" s="48">
        <f>IF(t&lt;Tnet,'2023'!Resal+('2023'!Salim-'2023'!Resal)*(1-EXP(('2023'!Tnet-t)/('2023'!Tau_j))),Resal+(Salim-Resal)*(1-EXP((Tnet-t)/(Tau_j))))*Salcycl</f>
        <v>3.2721910391749993E-2</v>
      </c>
      <c r="P324" s="169">
        <f>(INDEX(Models!$BJ324:$BT324,,T324)*(1-R324)+INDEX(Models!$BJ324:$BT324,,T324+1)*R324-ERP_i)*Q324*Ramure*Pc/MaxiM</f>
        <v>4.7965058043921583E-3</v>
      </c>
      <c r="Q324" s="305">
        <f t="shared" si="105"/>
        <v>0.7</v>
      </c>
      <c r="R324" s="177">
        <f t="shared" si="106"/>
        <v>0.49910788407822682</v>
      </c>
      <c r="S324" s="921">
        <f t="shared" si="107"/>
        <v>1</v>
      </c>
      <c r="T324" s="176">
        <f t="shared" si="108"/>
        <v>7</v>
      </c>
      <c r="U324" s="251">
        <f t="shared" si="109"/>
        <v>1.4991078840782268</v>
      </c>
      <c r="V324" s="383">
        <f t="shared" si="110"/>
        <v>32.497800745534221</v>
      </c>
      <c r="W324" s="402">
        <f t="shared" si="111"/>
        <v>31.308014619698902</v>
      </c>
      <c r="X324" s="157">
        <f t="shared" si="112"/>
        <v>45601</v>
      </c>
      <c r="Y324" s="385">
        <f t="shared" si="113"/>
        <v>28.124590647198374</v>
      </c>
      <c r="Z324" s="385">
        <f t="shared" si="114"/>
        <v>29.615300095406692</v>
      </c>
      <c r="AA324" s="386">
        <f t="shared" si="115"/>
        <v>34.082708899398654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0.13107552035192796</v>
      </c>
      <c r="AD324" s="231">
        <f>(INDEX(Models!$BJ324:$BT324,,AH324)*(1-AF324)+INDEX(Models!$BJ324:$BT324,,AH324+1)*AF324-ERP_i)*AE324*Ramure*Pc/MaxiM</f>
        <v>4.7965058043921583E-3</v>
      </c>
      <c r="AE324" s="305">
        <f t="shared" si="117"/>
        <v>0.7</v>
      </c>
      <c r="AF324" s="177">
        <f t="shared" si="118"/>
        <v>0.49910788407822682</v>
      </c>
      <c r="AG324" s="921">
        <f t="shared" si="124"/>
        <v>1</v>
      </c>
      <c r="AH324" s="176">
        <f t="shared" si="119"/>
        <v>7</v>
      </c>
      <c r="AI324" s="225">
        <f t="shared" si="120"/>
        <v>1.4991078840782268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29.922040965578198</v>
      </c>
      <c r="C325" s="955"/>
      <c r="D325" s="393">
        <f t="shared" si="102"/>
        <v>31.508712186008754</v>
      </c>
      <c r="E325" s="385">
        <f t="shared" si="125"/>
        <v>32.577854575948599</v>
      </c>
      <c r="F325" s="385">
        <f t="shared" si="103"/>
        <v>32.725568628992228</v>
      </c>
      <c r="G325" s="110">
        <f t="shared" si="126"/>
        <v>0.9294931804591986</v>
      </c>
      <c r="H325" s="414" t="b">
        <f>Wh_hp&gt;='2023'!Maxi_hp</f>
        <v>0</v>
      </c>
      <c r="I325" s="390">
        <f>IF(H325,Wh_hp,'2023'!Maxi_hp)</f>
        <v>32.735646206906857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5.0356587443618483E-2</v>
      </c>
      <c r="M325" s="959"/>
      <c r="N325" s="959"/>
      <c r="O325" s="48">
        <f>IF(t&lt;Tnet,'2023'!Resal+('2023'!Salim-'2023'!Resal)*(1-EXP(('2023'!Tnet-t)/('2023'!Tau_j))),Resal+(Salim-Resal)*(1-EXP((Tnet-t)/(Tau_j))))*Salcycl</f>
        <v>3.2818072394772337E-2</v>
      </c>
      <c r="P325" s="169">
        <f>(INDEX(Models!$BJ325:$BT325,,T325)*(1-R325)+INDEX(Models!$BJ325:$BT325,,T325+1)*R325-ERP_i)*Q325*Ramure*Pc/MaxiM</f>
        <v>5.0155471354611948E-3</v>
      </c>
      <c r="Q325" s="305">
        <f t="shared" si="105"/>
        <v>0.7</v>
      </c>
      <c r="R325" s="177">
        <f t="shared" si="106"/>
        <v>0.49915188380589792</v>
      </c>
      <c r="S325" s="921">
        <f t="shared" si="107"/>
        <v>1</v>
      </c>
      <c r="T325" s="176">
        <f t="shared" si="108"/>
        <v>7</v>
      </c>
      <c r="U325" s="251">
        <f t="shared" si="109"/>
        <v>1.4991518838058979</v>
      </c>
      <c r="V325" s="383">
        <f t="shared" si="110"/>
        <v>32.175553105420875</v>
      </c>
      <c r="W325" s="402">
        <f t="shared" si="111"/>
        <v>29.922040965578198</v>
      </c>
      <c r="X325" s="157">
        <f t="shared" si="112"/>
        <v>45602</v>
      </c>
      <c r="Y325" s="385">
        <f t="shared" si="113"/>
        <v>26.884135748594964</v>
      </c>
      <c r="Z325" s="385">
        <f t="shared" si="114"/>
        <v>28.309716461070927</v>
      </c>
      <c r="AA325" s="386">
        <f t="shared" si="115"/>
        <v>32.577854575948599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0.13101348048955716</v>
      </c>
      <c r="AD325" s="231">
        <f>(INDEX(Models!$BJ325:$BT325,,AH325)*(1-AF325)+INDEX(Models!$BJ325:$BT325,,AH325+1)*AF325-ERP_i)*AE325*Ramure*Pc/MaxiM</f>
        <v>5.0155471354611948E-3</v>
      </c>
      <c r="AE325" s="305">
        <f t="shared" si="117"/>
        <v>0.7</v>
      </c>
      <c r="AF325" s="177">
        <f t="shared" si="118"/>
        <v>0.49915188380589792</v>
      </c>
      <c r="AG325" s="921">
        <f t="shared" si="124"/>
        <v>1</v>
      </c>
      <c r="AH325" s="176">
        <f t="shared" si="119"/>
        <v>7</v>
      </c>
      <c r="AI325" s="225">
        <f t="shared" si="120"/>
        <v>1.4991518838058979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20.466203378978644</v>
      </c>
      <c r="C326" s="955"/>
      <c r="D326" s="393">
        <f t="shared" si="102"/>
        <v>21.551933473724752</v>
      </c>
      <c r="E326" s="385">
        <f t="shared" si="125"/>
        <v>22.285439799619276</v>
      </c>
      <c r="F326" s="385">
        <f t="shared" si="103"/>
        <v>22.342811965649691</v>
      </c>
      <c r="G326" s="110">
        <f t="shared" si="126"/>
        <v>0.64072740753123703</v>
      </c>
      <c r="H326" s="414" t="b">
        <f>Wh_hp&gt;='2023'!Maxi_hp</f>
        <v>0</v>
      </c>
      <c r="I326" s="390">
        <f>IF(H326,Wh_hp,'2023'!Maxi_hp)</f>
        <v>27.419796880522092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5.037738707154904E-2</v>
      </c>
      <c r="M326" s="959"/>
      <c r="N326" s="959"/>
      <c r="O326" s="48">
        <f>IF(t&lt;Tnet,'2023'!Resal+('2023'!Salim-'2023'!Resal)*(1-EXP(('2023'!Tnet-t)/('2023'!Tau_j))),Resal+(Salim-Resal)*(1-EXP((Tnet-t)/(Tau_j))))*Salcycl</f>
        <v>3.2914150785889197E-2</v>
      </c>
      <c r="P326" s="169">
        <f>(INDEX(Models!$BJ326:$BT326,,T326)*(1-R326)+INDEX(Models!$BJ326:$BT326,,T326+1)*R326-ERP_i)*Q326*Ramure*Pc/MaxiM</f>
        <v>5.2487864397190174E-3</v>
      </c>
      <c r="Q326" s="305">
        <f t="shared" si="105"/>
        <v>0.7</v>
      </c>
      <c r="R326" s="177">
        <f t="shared" si="106"/>
        <v>0.49919411926326385</v>
      </c>
      <c r="S326" s="921">
        <f t="shared" si="107"/>
        <v>1</v>
      </c>
      <c r="T326" s="176">
        <f t="shared" si="108"/>
        <v>7</v>
      </c>
      <c r="U326" s="251">
        <f t="shared" si="109"/>
        <v>1.4991941192632638</v>
      </c>
      <c r="V326" s="383">
        <f t="shared" si="110"/>
        <v>31.856281684223713</v>
      </c>
      <c r="W326" s="402">
        <f t="shared" si="111"/>
        <v>20.466203378978644</v>
      </c>
      <c r="X326" s="157">
        <f t="shared" si="112"/>
        <v>45603</v>
      </c>
      <c r="Y326" s="385">
        <f t="shared" si="113"/>
        <v>18.391449354652242</v>
      </c>
      <c r="Z326" s="385">
        <f t="shared" si="114"/>
        <v>19.367113950600437</v>
      </c>
      <c r="AA326" s="386">
        <f t="shared" si="115"/>
        <v>22.285439799619276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0.13095213176222326</v>
      </c>
      <c r="AD326" s="231">
        <f>(INDEX(Models!$BJ326:$BT326,,AH326)*(1-AF326)+INDEX(Models!$BJ326:$BT326,,AH326+1)*AF326-ERP_i)*AE326*Ramure*Pc/MaxiM</f>
        <v>5.2487864397190174E-3</v>
      </c>
      <c r="AE326" s="305">
        <f t="shared" si="117"/>
        <v>0.7</v>
      </c>
      <c r="AF326" s="177">
        <f t="shared" si="118"/>
        <v>0.49919411926326385</v>
      </c>
      <c r="AG326" s="921">
        <f t="shared" si="124"/>
        <v>1</v>
      </c>
      <c r="AH326" s="176">
        <f t="shared" si="119"/>
        <v>7</v>
      </c>
      <c r="AI326" s="225">
        <f t="shared" si="120"/>
        <v>1.4991941192632638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10.823774641551895</v>
      </c>
      <c r="C327" s="955"/>
      <c r="D327" s="393">
        <f t="shared" si="102"/>
        <v>11.398224481837484</v>
      </c>
      <c r="E327" s="385">
        <f t="shared" si="125"/>
        <v>11.787326258506631</v>
      </c>
      <c r="F327" s="385">
        <f t="shared" si="103"/>
        <v>11.791322160232813</v>
      </c>
      <c r="G327" s="110">
        <f t="shared" si="126"/>
        <v>0.34139078921950727</v>
      </c>
      <c r="H327" s="414" t="b">
        <f>Wh_hp&gt;='2023'!Maxi_hp</f>
        <v>0</v>
      </c>
      <c r="I327" s="390">
        <f>IF(H327,Wh_hp,'2023'!Maxi_hp)</f>
        <v>26.175340990445164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5.0398186243914345E-2</v>
      </c>
      <c r="M327" s="959"/>
      <c r="N327" s="959"/>
      <c r="O327" s="48">
        <f>IF(t&lt;Tnet,'2023'!Resal+('2023'!Salim-'2023'!Resal)*(1-EXP(('2023'!Tnet-t)/('2023'!Tau_j))),Resal+(Salim-Resal)*(1-EXP((Tnet-t)/(Tau_j))))*Salcycl</f>
        <v>3.3010181285882546E-2</v>
      </c>
      <c r="P327" s="169">
        <f>(INDEX(Models!$BJ327:$BT327,,T327)*(1-R327)+INDEX(Models!$BJ327:$BT327,,T327+1)*R327-ERP_i)*Q327*Ramure*Pc/MaxiM</f>
        <v>5.4961333419766539E-3</v>
      </c>
      <c r="Q327" s="305">
        <f t="shared" si="105"/>
        <v>0.7</v>
      </c>
      <c r="R327" s="177">
        <f t="shared" si="106"/>
        <v>0.49923466091173352</v>
      </c>
      <c r="S327" s="921">
        <f t="shared" si="107"/>
        <v>1</v>
      </c>
      <c r="T327" s="176">
        <f t="shared" si="108"/>
        <v>7</v>
      </c>
      <c r="U327" s="251">
        <f t="shared" si="109"/>
        <v>1.4992346609117335</v>
      </c>
      <c r="V327" s="383">
        <f t="shared" si="110"/>
        <v>31.541374764758572</v>
      </c>
      <c r="W327" s="402">
        <f t="shared" si="111"/>
        <v>10.823774641551895</v>
      </c>
      <c r="X327" s="157">
        <f t="shared" si="112"/>
        <v>45604</v>
      </c>
      <c r="Y327" s="385">
        <f t="shared" si="113"/>
        <v>9.7281617692683842</v>
      </c>
      <c r="Z327" s="385">
        <f t="shared" si="114"/>
        <v>10.244464183139351</v>
      </c>
      <c r="AA327" s="386">
        <f t="shared" si="115"/>
        <v>11.787326258506631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0.13089160692857163</v>
      </c>
      <c r="AD327" s="231">
        <f>(INDEX(Models!$BJ327:$BT327,,AH327)*(1-AF327)+INDEX(Models!$BJ327:$BT327,,AH327+1)*AF327-ERP_i)*AE327*Ramure*Pc/MaxiM</f>
        <v>5.4961333419766539E-3</v>
      </c>
      <c r="AE327" s="305">
        <f t="shared" si="117"/>
        <v>0.7</v>
      </c>
      <c r="AF327" s="177">
        <f t="shared" si="118"/>
        <v>0.49923466091173352</v>
      </c>
      <c r="AG327" s="921">
        <f t="shared" si="124"/>
        <v>1</v>
      </c>
      <c r="AH327" s="176">
        <f t="shared" si="119"/>
        <v>7</v>
      </c>
      <c r="AI327" s="225">
        <f t="shared" si="120"/>
        <v>1.4992346609117335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24.136528517261333</v>
      </c>
      <c r="C328" s="955"/>
      <c r="D328" s="393">
        <f t="shared" si="102"/>
        <v>25.418082433190833</v>
      </c>
      <c r="E328" s="385">
        <f t="shared" si="125"/>
        <v>26.288391152860882</v>
      </c>
      <c r="F328" s="385">
        <f t="shared" si="103"/>
        <v>26.391021057560568</v>
      </c>
      <c r="G328" s="110">
        <f t="shared" si="126"/>
        <v>0.77135888613407433</v>
      </c>
      <c r="H328" s="414" t="b">
        <f>Wh_hp&gt;='2023'!Maxi_hp</f>
        <v>0</v>
      </c>
      <c r="I328" s="390">
        <f>IF(H328,Wh_hp,'2023'!Maxi_hp)</f>
        <v>26.422176031713878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5.0418984960724389E-2</v>
      </c>
      <c r="M328" s="959"/>
      <c r="N328" s="959"/>
      <c r="O328" s="48">
        <f>IF(t&lt;Tnet,'2023'!Resal+('2023'!Salim-'2023'!Resal)*(1-EXP(('2023'!Tnet-t)/('2023'!Tau_j))),Resal+(Salim-Resal)*(1-EXP((Tnet-t)/(Tau_j))))*Salcycl</f>
        <v>3.3106199409823386E-2</v>
      </c>
      <c r="P328" s="169">
        <f>(INDEX(Models!$BJ328:$BT328,,T328)*(1-R328)+INDEX(Models!$BJ328:$BT328,,T328+1)*R328-ERP_i)*Q328*Ramure*Pc/MaxiM</f>
        <v>5.757452802753301E-3</v>
      </c>
      <c r="Q328" s="305">
        <f t="shared" si="105"/>
        <v>0.7</v>
      </c>
      <c r="R328" s="177">
        <f t="shared" si="106"/>
        <v>0.49927357642076853</v>
      </c>
      <c r="S328" s="921">
        <f t="shared" si="107"/>
        <v>1</v>
      </c>
      <c r="T328" s="176">
        <f t="shared" si="108"/>
        <v>7</v>
      </c>
      <c r="U328" s="251">
        <f t="shared" si="109"/>
        <v>1.4992735764207685</v>
      </c>
      <c r="V328" s="383">
        <f t="shared" si="110"/>
        <v>31.232219577991824</v>
      </c>
      <c r="W328" s="402">
        <f t="shared" si="111"/>
        <v>24.136528517261333</v>
      </c>
      <c r="X328" s="157">
        <f t="shared" si="112"/>
        <v>45605</v>
      </c>
      <c r="Y328" s="385">
        <f t="shared" si="113"/>
        <v>21.69700264115329</v>
      </c>
      <c r="Z328" s="385">
        <f t="shared" si="114"/>
        <v>22.849027410532088</v>
      </c>
      <c r="AA328" s="386">
        <f t="shared" si="115"/>
        <v>26.288391152860882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0.13083203617633712</v>
      </c>
      <c r="AD328" s="231">
        <f>(INDEX(Models!$BJ328:$BT328,,AH328)*(1-AF328)+INDEX(Models!$BJ328:$BT328,,AH328+1)*AF328-ERP_i)*AE328*Ramure*Pc/MaxiM</f>
        <v>5.757452802753301E-3</v>
      </c>
      <c r="AE328" s="305">
        <f t="shared" si="117"/>
        <v>0.7</v>
      </c>
      <c r="AF328" s="177">
        <f t="shared" si="118"/>
        <v>0.49927357642076853</v>
      </c>
      <c r="AG328" s="921">
        <f t="shared" si="124"/>
        <v>1</v>
      </c>
      <c r="AH328" s="176">
        <f t="shared" si="119"/>
        <v>7</v>
      </c>
      <c r="AI328" s="225">
        <f t="shared" si="120"/>
        <v>1.4992735764207685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30.079098616409112</v>
      </c>
      <c r="C329" s="955"/>
      <c r="D329" s="393">
        <f t="shared" si="102"/>
        <v>31.676873235561253</v>
      </c>
      <c r="E329" s="385">
        <f t="shared" si="125"/>
        <v>32.764735869306094</v>
      </c>
      <c r="F329" s="385">
        <f t="shared" si="103"/>
        <v>32.955728110777201</v>
      </c>
      <c r="G329" s="110">
        <f t="shared" si="126"/>
        <v>0.97225112941900727</v>
      </c>
      <c r="H329" s="414" t="b">
        <f>Wh_hp&gt;='2023'!Maxi_hp</f>
        <v>0</v>
      </c>
      <c r="I329" s="390">
        <f>IF(H329,Wh_hp,'2023'!Maxi_hp)</f>
        <v>32.960695638273201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5.0439783221989165E-2</v>
      </c>
      <c r="M329" s="959"/>
      <c r="N329" s="959"/>
      <c r="O329" s="48">
        <f>IF(t&lt;Tnet,'2023'!Resal+('2023'!Salim-'2023'!Resal)*(1-EXP(('2023'!Tnet-t)/('2023'!Tau_j))),Resal+(Salim-Resal)*(1-EXP((Tnet-t)/(Tau_j))))*Salcycl</f>
        <v>3.3202240301407282E-2</v>
      </c>
      <c r="P329" s="169">
        <f>(INDEX(Models!$BJ329:$BT329,,T329)*(1-R329)+INDEX(Models!$BJ329:$BT329,,T329+1)*R329-ERP_i)*Q329*Ramure*Pc/MaxiM</f>
        <v>6.0325577458507544E-3</v>
      </c>
      <c r="Q329" s="305">
        <f t="shared" si="105"/>
        <v>0.7</v>
      </c>
      <c r="R329" s="177">
        <f t="shared" si="106"/>
        <v>0.4993109307767658</v>
      </c>
      <c r="S329" s="921">
        <f t="shared" si="107"/>
        <v>1</v>
      </c>
      <c r="T329" s="176">
        <f t="shared" si="108"/>
        <v>7</v>
      </c>
      <c r="U329" s="251">
        <f t="shared" si="109"/>
        <v>1.4993109307767658</v>
      </c>
      <c r="V329" s="383">
        <f t="shared" si="110"/>
        <v>30.930202287328814</v>
      </c>
      <c r="W329" s="402">
        <f t="shared" si="111"/>
        <v>30.079098616409112</v>
      </c>
      <c r="X329" s="157">
        <f t="shared" si="112"/>
        <v>45606</v>
      </c>
      <c r="Y329" s="385">
        <f t="shared" si="113"/>
        <v>27.043451385744142</v>
      </c>
      <c r="Z329" s="385">
        <f t="shared" si="114"/>
        <v>28.479975158928113</v>
      </c>
      <c r="AA329" s="386">
        <f t="shared" si="115"/>
        <v>32.764735869306094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0.13077354651871106</v>
      </c>
      <c r="AD329" s="231">
        <f>(INDEX(Models!$BJ329:$BT329,,AH329)*(1-AF329)+INDEX(Models!$BJ329:$BT329,,AH329+1)*AF329-ERP_i)*AE329*Ramure*Pc/MaxiM</f>
        <v>6.0325577458507544E-3</v>
      </c>
      <c r="AE329" s="305">
        <f t="shared" si="117"/>
        <v>0.7</v>
      </c>
      <c r="AF329" s="177">
        <f t="shared" si="118"/>
        <v>0.4993109307767658</v>
      </c>
      <c r="AG329" s="921">
        <f t="shared" si="124"/>
        <v>1</v>
      </c>
      <c r="AH329" s="176">
        <f t="shared" si="119"/>
        <v>7</v>
      </c>
      <c r="AI329" s="225">
        <f t="shared" si="120"/>
        <v>1.4993109307767658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28.715948006684933</v>
      </c>
      <c r="C330" s="955"/>
      <c r="D330" s="393">
        <f t="shared" si="102"/>
        <v>30.241975670441544</v>
      </c>
      <c r="E330" s="385">
        <f t="shared" si="125"/>
        <v>31.283669902517069</v>
      </c>
      <c r="F330" s="385">
        <f t="shared" si="103"/>
        <v>31.464751119546463</v>
      </c>
      <c r="G330" s="110">
        <f t="shared" si="126"/>
        <v>0.93677154741771251</v>
      </c>
      <c r="H330" s="414" t="b">
        <f>Wh_hp&gt;='2023'!Maxi_hp</f>
        <v>0</v>
      </c>
      <c r="I330" s="390">
        <f>IF(H330,Wh_hp,'2023'!Maxi_hp)</f>
        <v>32.840746587016881</v>
      </c>
      <c r="J330" s="85">
        <f>IF(H330,An,'2023'!An_max)</f>
        <v>2020</v>
      </c>
      <c r="K330" s="197">
        <f t="shared" si="104"/>
        <v>45607</v>
      </c>
      <c r="L330" s="147">
        <f>IF(t&lt;Tvie,1-EXP((T0-t)*PertePVj)+'2023'!Pspv,1-EXP((T0-t)*PertePVj)+Pspv)</f>
        <v>5.0460581027718665E-2</v>
      </c>
      <c r="M330" s="959"/>
      <c r="N330" s="959"/>
      <c r="O330" s="48">
        <f>IF(t&lt;Tnet,'2023'!Resal+('2023'!Salim-'2023'!Resal)*(1-EXP(('2023'!Tnet-t)/('2023'!Tau_j))),Resal+(Salim-Resal)*(1-EXP((Tnet-t)/(Tau_j))))*Salcycl</f>
        <v>3.329833856838222E-2</v>
      </c>
      <c r="P330" s="169">
        <f>(INDEX(Models!$BJ330:$BT330,,T330)*(1-R330)+INDEX(Models!$BJ330:$BT330,,T330+1)*R330-ERP_i)*Q330*Ramure*Pc/MaxiM</f>
        <v>6.3212014363574782E-3</v>
      </c>
      <c r="Q330" s="305">
        <f t="shared" si="105"/>
        <v>0.7</v>
      </c>
      <c r="R330" s="177">
        <f t="shared" si="106"/>
        <v>0.49934678638782892</v>
      </c>
      <c r="S330" s="921">
        <f t="shared" si="107"/>
        <v>1</v>
      </c>
      <c r="T330" s="176">
        <f t="shared" si="108"/>
        <v>7</v>
      </c>
      <c r="U330" s="251">
        <f t="shared" si="109"/>
        <v>1.4993467863878289</v>
      </c>
      <c r="V330" s="383">
        <f t="shared" si="110"/>
        <v>30.636707964561666</v>
      </c>
      <c r="W330" s="402">
        <f t="shared" si="111"/>
        <v>28.715948006684933</v>
      </c>
      <c r="X330" s="157">
        <f t="shared" si="112"/>
        <v>45607</v>
      </c>
      <c r="Y330" s="385">
        <f t="shared" si="113"/>
        <v>25.822141041191301</v>
      </c>
      <c r="Z330" s="385">
        <f t="shared" si="114"/>
        <v>27.194385536031227</v>
      </c>
      <c r="AA330" s="386">
        <f t="shared" si="115"/>
        <v>31.283669902517069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0.13071626120683549</v>
      </c>
      <c r="AD330" s="231">
        <f>(INDEX(Models!$BJ330:$BT330,,AH330)*(1-AF330)+INDEX(Models!$BJ330:$BT330,,AH330+1)*AF330-ERP_i)*AE330*Ramure*Pc/MaxiM</f>
        <v>6.3212014363574782E-3</v>
      </c>
      <c r="AE330" s="305">
        <f t="shared" si="117"/>
        <v>0.7</v>
      </c>
      <c r="AF330" s="177">
        <f t="shared" si="118"/>
        <v>0.49934678638782892</v>
      </c>
      <c r="AG330" s="921">
        <f t="shared" si="124"/>
        <v>1</v>
      </c>
      <c r="AH330" s="176">
        <f t="shared" si="119"/>
        <v>7</v>
      </c>
      <c r="AI330" s="225">
        <f t="shared" si="120"/>
        <v>1.4993467863878289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28.899263705012217</v>
      </c>
      <c r="C331" s="955"/>
      <c r="D331" s="393">
        <f t="shared" si="102"/>
        <v>30.435699781899132</v>
      </c>
      <c r="E331" s="385">
        <f t="shared" si="125"/>
        <v>31.487199966612017</v>
      </c>
      <c r="F331" s="385">
        <f t="shared" si="103"/>
        <v>31.682746937170844</v>
      </c>
      <c r="G331" s="110">
        <f t="shared" si="126"/>
        <v>0.95180424013641007</v>
      </c>
      <c r="H331" s="414" t="b">
        <f>Wh_hp&gt;='2023'!Maxi_hp</f>
        <v>0</v>
      </c>
      <c r="I331" s="390">
        <f>IF(H331,Wh_hp,'2023'!Maxi_hp)</f>
        <v>31.691903081077836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5.0481378377922881E-2</v>
      </c>
      <c r="M331" s="959"/>
      <c r="N331" s="959"/>
      <c r="O331" s="48">
        <f>IF(t&lt;Tnet,'2023'!Resal+('2023'!Salim-'2023'!Resal)*(1-EXP(('2023'!Tnet-t)/('2023'!Tau_j))),Resal+(Salim-Resal)*(1-EXP((Tnet-t)/(Tau_j))))*Salcycl</f>
        <v>3.3394528120247728E-2</v>
      </c>
      <c r="P331" s="169">
        <f>(INDEX(Models!$BJ331:$BT331,,T331)*(1-R331)+INDEX(Models!$BJ331:$BT331,,T331+1)*R331-ERP_i)*Q331*Ramure*Pc/MaxiM</f>
        <v>6.6240053391868172E-3</v>
      </c>
      <c r="Q331" s="305">
        <f t="shared" si="105"/>
        <v>0.7</v>
      </c>
      <c r="R331" s="177">
        <f t="shared" si="106"/>
        <v>0.49938120318457968</v>
      </c>
      <c r="S331" s="921">
        <f t="shared" si="107"/>
        <v>1</v>
      </c>
      <c r="T331" s="176">
        <f t="shared" si="108"/>
        <v>7</v>
      </c>
      <c r="U331" s="251">
        <f t="shared" si="109"/>
        <v>1.4993812031845797</v>
      </c>
      <c r="V331" s="383">
        <f t="shared" si="110"/>
        <v>30.348804629592465</v>
      </c>
      <c r="W331" s="402">
        <f t="shared" si="111"/>
        <v>28.899263705012217</v>
      </c>
      <c r="X331" s="157">
        <f t="shared" si="112"/>
        <v>45608</v>
      </c>
      <c r="Y331" s="385">
        <f t="shared" si="113"/>
        <v>25.991242543743422</v>
      </c>
      <c r="Z331" s="385">
        <f t="shared" si="114"/>
        <v>27.373072999181613</v>
      </c>
      <c r="AA331" s="386">
        <f t="shared" si="115"/>
        <v>31.487199966612017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0.13066029916260855</v>
      </c>
      <c r="AD331" s="231">
        <f>(INDEX(Models!$BJ331:$BT331,,AH331)*(1-AF331)+INDEX(Models!$BJ331:$BT331,,AH331+1)*AF331-ERP_i)*AE331*Ramure*Pc/MaxiM</f>
        <v>6.6240053391868172E-3</v>
      </c>
      <c r="AE331" s="305">
        <f t="shared" si="117"/>
        <v>0.7</v>
      </c>
      <c r="AF331" s="177">
        <f t="shared" si="118"/>
        <v>0.49938120318457968</v>
      </c>
      <c r="AG331" s="921">
        <f t="shared" si="124"/>
        <v>1</v>
      </c>
      <c r="AH331" s="176">
        <f t="shared" si="119"/>
        <v>7</v>
      </c>
      <c r="AI331" s="225">
        <f t="shared" si="120"/>
        <v>1.4993812031845797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10.799783998195087</v>
      </c>
      <c r="C332" s="955"/>
      <c r="D332" s="393">
        <f t="shared" si="102"/>
        <v>11.374206150810117</v>
      </c>
      <c r="E332" s="385">
        <f t="shared" si="125"/>
        <v>11.768337689067906</v>
      </c>
      <c r="F332" s="385">
        <f t="shared" si="103"/>
        <v>11.775245532375809</v>
      </c>
      <c r="G332" s="110">
        <f t="shared" si="126"/>
        <v>0.35695517178581332</v>
      </c>
      <c r="H332" s="414" t="b">
        <f>Wh_hp&gt;='2023'!Maxi_hp</f>
        <v>0</v>
      </c>
      <c r="I332" s="390">
        <f>IF(H332,Wh_hp,'2023'!Maxi_hp)</f>
        <v>20.754830581758107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5.0502175272611693E-2</v>
      </c>
      <c r="M332" s="959"/>
      <c r="N332" s="959"/>
      <c r="O332" s="48">
        <f>IF(t&lt;Tnet,'2023'!Resal+('2023'!Salim-'2023'!Resal)*(1-EXP(('2023'!Tnet-t)/('2023'!Tau_j))),Resal+(Salim-Resal)*(1-EXP((Tnet-t)/(Tau_j))))*Salcycl</f>
        <v>3.3490842009395609E-2</v>
      </c>
      <c r="P332" s="169">
        <f>(INDEX(Models!$BJ332:$BT332,,T332)*(1-R332)+INDEX(Models!$BJ332:$BT332,,T332+1)*R332-ERP_i)*Q332*Ramure*Pc/MaxiM</f>
        <v>6.9324032560349217E-3</v>
      </c>
      <c r="Q332" s="305">
        <f t="shared" si="105"/>
        <v>0.7</v>
      </c>
      <c r="R332" s="177">
        <f t="shared" si="106"/>
        <v>0.49941423871714141</v>
      </c>
      <c r="S332" s="921">
        <f t="shared" si="107"/>
        <v>1</v>
      </c>
      <c r="T332" s="176">
        <f t="shared" si="108"/>
        <v>7</v>
      </c>
      <c r="U332" s="251">
        <f t="shared" si="109"/>
        <v>1.4994142387171414</v>
      </c>
      <c r="V332" s="383">
        <f t="shared" si="110"/>
        <v>30.063189325468844</v>
      </c>
      <c r="W332" s="402">
        <f t="shared" si="111"/>
        <v>10.799783998195087</v>
      </c>
      <c r="X332" s="157">
        <f t="shared" si="112"/>
        <v>45609</v>
      </c>
      <c r="Y332" s="385">
        <f t="shared" si="113"/>
        <v>9.7146206714600698</v>
      </c>
      <c r="Z332" s="385">
        <f t="shared" si="114"/>
        <v>10.231324831364672</v>
      </c>
      <c r="AA332" s="386">
        <f t="shared" si="115"/>
        <v>11.768337689067906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0.13060577443584309</v>
      </c>
      <c r="AD332" s="231">
        <f>(INDEX(Models!$BJ332:$BT332,,AH332)*(1-AF332)+INDEX(Models!$BJ332:$BT332,,AH332+1)*AF332-ERP_i)*AE332*Ramure*Pc/MaxiM</f>
        <v>6.9324032560349217E-3</v>
      </c>
      <c r="AE332" s="305">
        <f t="shared" si="117"/>
        <v>0.7</v>
      </c>
      <c r="AF332" s="177">
        <f t="shared" si="118"/>
        <v>0.49941423871714141</v>
      </c>
      <c r="AG332" s="921">
        <f t="shared" si="124"/>
        <v>1</v>
      </c>
      <c r="AH332" s="176">
        <f t="shared" si="119"/>
        <v>7</v>
      </c>
      <c r="AI332" s="225">
        <f t="shared" si="120"/>
        <v>1.4994142387171414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12.8951359083123</v>
      </c>
      <c r="C333" s="955"/>
      <c r="D333" s="393">
        <f t="shared" si="102"/>
        <v>13.581303732603946</v>
      </c>
      <c r="E333" s="385">
        <f t="shared" si="125"/>
        <v>14.053316875010362</v>
      </c>
      <c r="F333" s="385">
        <f t="shared" si="103"/>
        <v>14.072657901601124</v>
      </c>
      <c r="G333" s="110">
        <f t="shared" si="126"/>
        <v>0.43046343962868083</v>
      </c>
      <c r="H333" s="414" t="b">
        <f>Wh_hp&gt;='2023'!Maxi_hp</f>
        <v>0</v>
      </c>
      <c r="I333" s="390">
        <f>IF(H333,Wh_hp,'2023'!Maxi_hp)</f>
        <v>29.501536808911666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5.0522971711795095E-2</v>
      </c>
      <c r="M333" s="959"/>
      <c r="N333" s="959"/>
      <c r="O333" s="48">
        <f>IF(t&lt;Tnet,'2023'!Resal+('2023'!Salim-'2023'!Resal)*(1-EXP(('2023'!Tnet-t)/('2023'!Tau_j))),Resal+(Salim-Resal)*(1-EXP((Tnet-t)/(Tau_j))))*Salcycl</f>
        <v>3.3587312276844035E-2</v>
      </c>
      <c r="P333" s="169">
        <f>(INDEX(Models!$BJ333:$BT333,,T333)*(1-R333)+INDEX(Models!$BJ333:$BT333,,T333+1)*R333-ERP_i)*Q333*Ramure*Pc/MaxiM</f>
        <v>7.2333109545780708E-3</v>
      </c>
      <c r="Q333" s="305">
        <f t="shared" si="105"/>
        <v>0.7</v>
      </c>
      <c r="R333" s="177">
        <f t="shared" si="106"/>
        <v>0.49944594824843636</v>
      </c>
      <c r="S333" s="921">
        <f t="shared" si="107"/>
        <v>1</v>
      </c>
      <c r="T333" s="176">
        <f t="shared" si="108"/>
        <v>7</v>
      </c>
      <c r="U333" s="251">
        <f t="shared" si="109"/>
        <v>1.4994459482484364</v>
      </c>
      <c r="V333" s="383">
        <f t="shared" si="110"/>
        <v>29.780647780960077</v>
      </c>
      <c r="W333" s="402">
        <f t="shared" si="111"/>
        <v>12.8951359083123</v>
      </c>
      <c r="X333" s="157">
        <f t="shared" si="112"/>
        <v>45610</v>
      </c>
      <c r="Y333" s="385">
        <f t="shared" si="113"/>
        <v>11.601296223768077</v>
      </c>
      <c r="Z333" s="385">
        <f t="shared" si="114"/>
        <v>12.218617068265303</v>
      </c>
      <c r="AA333" s="386">
        <f t="shared" si="115"/>
        <v>14.053316875010362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0.13055279568964431</v>
      </c>
      <c r="AD333" s="231">
        <f>(INDEX(Models!$BJ333:$BT333,,AH333)*(1-AF333)+INDEX(Models!$BJ333:$BT333,,AH333+1)*AF333-ERP_i)*AE333*Ramure*Pc/MaxiM</f>
        <v>7.2333109545780708E-3</v>
      </c>
      <c r="AE333" s="305">
        <f t="shared" si="117"/>
        <v>0.7</v>
      </c>
      <c r="AF333" s="177">
        <f t="shared" si="118"/>
        <v>0.49944594824843636</v>
      </c>
      <c r="AG333" s="921">
        <f t="shared" si="124"/>
        <v>1</v>
      </c>
      <c r="AH333" s="176">
        <f t="shared" si="119"/>
        <v>7</v>
      </c>
      <c r="AI333" s="225">
        <f t="shared" si="120"/>
        <v>1.4994459482484364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28.566584653615809</v>
      </c>
      <c r="C334" s="955"/>
      <c r="D334" s="393">
        <f t="shared" si="102"/>
        <v>30.087310696017127</v>
      </c>
      <c r="E334" s="385">
        <f t="shared" si="125"/>
        <v>31.136098083672199</v>
      </c>
      <c r="F334" s="385">
        <f t="shared" si="103"/>
        <v>31.361459353948572</v>
      </c>
      <c r="G334" s="110">
        <f t="shared" si="126"/>
        <v>0.96797515045663907</v>
      </c>
      <c r="H334" s="414" t="b">
        <f>Wh_hp&gt;='2023'!Maxi_hp</f>
        <v>0</v>
      </c>
      <c r="I334" s="390">
        <f>IF(H334,Wh_hp,'2023'!Maxi_hp)</f>
        <v>31.368252603975634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5.0543767695483188E-2</v>
      </c>
      <c r="M334" s="959"/>
      <c r="N334" s="959"/>
      <c r="O334" s="48">
        <f>IF(t&lt;Tnet,'2023'!Resal+('2023'!Salim-'2023'!Resal)*(1-EXP(('2023'!Tnet-t)/('2023'!Tau_j))),Resal+(Salim-Resal)*(1-EXP((Tnet-t)/(Tau_j))))*Salcycl</f>
        <v>3.3683969803687659E-2</v>
      </c>
      <c r="P334" s="169">
        <f>(INDEX(Models!$BJ334:$BT334,,T334)*(1-R334)+INDEX(Models!$BJ334:$BT334,,T334+1)*R334-ERP_i)*Q334*Ramure*Pc/MaxiM</f>
        <v>7.5267019145527202E-3</v>
      </c>
      <c r="Q334" s="305">
        <f t="shared" si="105"/>
        <v>0.7</v>
      </c>
      <c r="R334" s="177">
        <f t="shared" si="106"/>
        <v>0.49947638484392609</v>
      </c>
      <c r="S334" s="921">
        <f t="shared" si="107"/>
        <v>1</v>
      </c>
      <c r="T334" s="176">
        <f t="shared" si="108"/>
        <v>7</v>
      </c>
      <c r="U334" s="251">
        <f t="shared" si="109"/>
        <v>1.4994763848439261</v>
      </c>
      <c r="V334" s="383">
        <f t="shared" si="110"/>
        <v>29.501562626273451</v>
      </c>
      <c r="W334" s="402">
        <f t="shared" si="111"/>
        <v>28.566584653615809</v>
      </c>
      <c r="X334" s="157">
        <f t="shared" si="112"/>
        <v>45611</v>
      </c>
      <c r="Y334" s="385">
        <f t="shared" si="113"/>
        <v>25.704430755148657</v>
      </c>
      <c r="Z334" s="385">
        <f t="shared" si="114"/>
        <v>27.072791647024058</v>
      </c>
      <c r="AA334" s="386">
        <f t="shared" si="115"/>
        <v>31.136098083672199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0.130501465717663</v>
      </c>
      <c r="AD334" s="231">
        <f>(INDEX(Models!$BJ334:$BT334,,AH334)*(1-AF334)+INDEX(Models!$BJ334:$BT334,,AH334+1)*AF334-ERP_i)*AE334*Ramure*Pc/MaxiM</f>
        <v>7.5267019145527202E-3</v>
      </c>
      <c r="AE334" s="305">
        <f t="shared" si="117"/>
        <v>0.7</v>
      </c>
      <c r="AF334" s="177">
        <f t="shared" si="118"/>
        <v>0.49947638484392609</v>
      </c>
      <c r="AG334" s="921">
        <f t="shared" si="124"/>
        <v>1</v>
      </c>
      <c r="AH334" s="176">
        <f t="shared" si="119"/>
        <v>7</v>
      </c>
      <c r="AI334" s="225">
        <f t="shared" si="120"/>
        <v>1.4994763848439261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15.261200867507453</v>
      </c>
      <c r="C335" s="955"/>
      <c r="D335" s="393">
        <f t="shared" ref="D335:D380" si="127">Wh/(1-Ppv)</f>
        <v>16.073974360305002</v>
      </c>
      <c r="E335" s="385">
        <f t="shared" si="125"/>
        <v>16.635950822654006</v>
      </c>
      <c r="F335" s="385">
        <f t="shared" ref="F335:F380" si="128">Wh_sa/(1-Pvg*MEDIAN((-Sdif+Wh/Env_an)/Csdif,0,1))</f>
        <v>16.677304259132985</v>
      </c>
      <c r="G335" s="110">
        <f t="shared" si="126"/>
        <v>0.51938163180598484</v>
      </c>
      <c r="H335" s="414" t="b">
        <f>Wh_hp&gt;='2023'!Maxi_hp</f>
        <v>0</v>
      </c>
      <c r="I335" s="390">
        <f>IF(H335,Wh_hp,'2023'!Maxi_hp)</f>
        <v>31.482813740825435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5.0564563223685854E-2</v>
      </c>
      <c r="M335" s="959"/>
      <c r="N335" s="959"/>
      <c r="O335" s="48">
        <f>IF(t&lt;Tnet,'2023'!Resal+('2023'!Salim-'2023'!Resal)*(1-EXP(('2023'!Tnet-t)/('2023'!Tau_j))),Resal+(Salim-Resal)*(1-EXP((Tnet-t)/(Tau_j))))*Salcycl</f>
        <v>3.3780844169347651E-2</v>
      </c>
      <c r="P335" s="169">
        <f>(INDEX(Models!$BJ335:$BT335,,T335)*(1-R335)+INDEX(Models!$BJ335:$BT335,,T335+1)*R335-ERP_i)*Q335*Ramure*Pc/MaxiM</f>
        <v>7.8125356036471069E-3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0.49950559945792028</v>
      </c>
      <c r="S335" s="921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1.4995055994579203</v>
      </c>
      <c r="V335" s="383">
        <f t="shared" ref="V335:V380" si="135">MaxiM*(1-Ppv)*(1-Pvg)*(1-Psa)</f>
        <v>29.226316423356938</v>
      </c>
      <c r="W335" s="402">
        <f t="shared" ref="W335:W380" si="136">Wh*(A335&gt;Tmaj)</f>
        <v>15.261200867507453</v>
      </c>
      <c r="X335" s="157">
        <f t="shared" ref="X335:X380" si="137">t</f>
        <v>45612</v>
      </c>
      <c r="Y335" s="385">
        <f t="shared" ref="Y335:Y380" si="138">Wh_pvt_s*(1-Ppv)</f>
        <v>13.734304922432566</v>
      </c>
      <c r="Z335" s="385">
        <f t="shared" ref="Z335:Z380" si="139">Wh_sa_s*(1-Psa_s)</f>
        <v>14.465759745671207</v>
      </c>
      <c r="AA335" s="386">
        <f t="shared" ref="AA335:AA380" si="140">Wh_hp*(1-Pvg_s*MEDIAN((-Sdif+Wh/Env_an)/Csdif,0,1))</f>
        <v>16.635950822654006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0.1304518809966391</v>
      </c>
      <c r="AD335" s="231">
        <f>(INDEX(Models!$BJ335:$BT335,,AH335)*(1-AF335)+INDEX(Models!$BJ335:$BT335,,AH335+1)*AF335-ERP_i)*AE335*Ramure*Pc/MaxiM</f>
        <v>7.8125356036471069E-3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0.49950559945792028</v>
      </c>
      <c r="AG335" s="921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1.4995055994579203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13.932086916293541</v>
      </c>
      <c r="C336" s="955"/>
      <c r="D336" s="393">
        <f t="shared" si="127"/>
        <v>14.674396522150143</v>
      </c>
      <c r="E336" s="385">
        <f t="shared" si="125"/>
        <v>15.188967819820906</v>
      </c>
      <c r="F336" s="385">
        <f t="shared" si="128"/>
        <v>15.220838294683794</v>
      </c>
      <c r="G336" s="110">
        <f t="shared" si="126"/>
        <v>0.4782670683251819</v>
      </c>
      <c r="H336" s="414" t="b">
        <f>Wh_hp&gt;='2023'!Maxi_hp</f>
        <v>0</v>
      </c>
      <c r="I336" s="390">
        <f>IF(H336,Wh_hp,'2023'!Maxi_hp)</f>
        <v>29.94043779612808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5.0585358296413085E-2</v>
      </c>
      <c r="M336" s="959"/>
      <c r="N336" s="959"/>
      <c r="O336" s="48">
        <f>IF(t&lt;Tnet,'2023'!Resal+('2023'!Salim-'2023'!Resal)*(1-EXP(('2023'!Tnet-t)/('2023'!Tau_j))),Resal+(Salim-Resal)*(1-EXP((Tnet-t)/(Tau_j))))*Salcycl</f>
        <v>3.3877963517657268E-2</v>
      </c>
      <c r="P336" s="169">
        <f>(INDEX(Models!$BJ336:$BT336,,T336)*(1-R336)+INDEX(Models!$BJ336:$BT336,,T336+1)*R336-ERP_i)*Q336*Ramure*Pc/MaxiM</f>
        <v>8.0907560325057786E-3</v>
      </c>
      <c r="Q336" s="305">
        <f t="shared" si="130"/>
        <v>0.7</v>
      </c>
      <c r="R336" s="177">
        <f t="shared" si="131"/>
        <v>0.4995336410165836</v>
      </c>
      <c r="S336" s="921">
        <f t="shared" si="132"/>
        <v>1</v>
      </c>
      <c r="T336" s="176">
        <f t="shared" si="133"/>
        <v>7</v>
      </c>
      <c r="U336" s="251">
        <f t="shared" si="134"/>
        <v>1.4995336410165836</v>
      </c>
      <c r="V336" s="383">
        <f t="shared" si="135"/>
        <v>28.955291728175194</v>
      </c>
      <c r="W336" s="402">
        <f t="shared" si="136"/>
        <v>13.932086916293541</v>
      </c>
      <c r="X336" s="157">
        <f t="shared" si="137"/>
        <v>45613</v>
      </c>
      <c r="Y336" s="385">
        <f t="shared" si="138"/>
        <v>12.54011891624495</v>
      </c>
      <c r="Z336" s="385">
        <f t="shared" si="139"/>
        <v>13.20826366627707</v>
      </c>
      <c r="AA336" s="386">
        <f t="shared" si="140"/>
        <v>15.188967819820906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0.13040413127738074</v>
      </c>
      <c r="AD336" s="231">
        <f>(INDEX(Models!$BJ336:$BT336,,AH336)*(1-AF336)+INDEX(Models!$BJ336:$BT336,,AH336+1)*AF336-ERP_i)*AE336*Ramure*Pc/MaxiM</f>
        <v>8.0907560325057786E-3</v>
      </c>
      <c r="AE336" s="305">
        <f t="shared" si="142"/>
        <v>0.7</v>
      </c>
      <c r="AF336" s="177">
        <f t="shared" si="143"/>
        <v>0.4995336410165836</v>
      </c>
      <c r="AG336" s="921">
        <f t="shared" ref="AG336:AG379" si="149">INDEX(Echel_vg,AH336)</f>
        <v>1</v>
      </c>
      <c r="AH336" s="176">
        <f t="shared" si="144"/>
        <v>7</v>
      </c>
      <c r="AI336" s="225">
        <f t="shared" si="145"/>
        <v>1.4995336410165836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6.007824904336692</v>
      </c>
      <c r="C337" s="955"/>
      <c r="D337" s="393">
        <f t="shared" si="127"/>
        <v>6.3280638723061173</v>
      </c>
      <c r="E337" s="385">
        <f t="shared" si="125"/>
        <v>6.5506236319507085</v>
      </c>
      <c r="F337" s="385">
        <f t="shared" si="128"/>
        <v>6.5506236319507085</v>
      </c>
      <c r="G337" s="110">
        <f t="shared" si="126"/>
        <v>0.20766211777661883</v>
      </c>
      <c r="H337" s="414" t="b">
        <f>Wh_hp&gt;='2023'!Maxi_hp</f>
        <v>0</v>
      </c>
      <c r="I337" s="390">
        <f>IF(H337,Wh_hp,'2023'!Maxi_hp)</f>
        <v>31.549585507891482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5.0606152913674873E-2</v>
      </c>
      <c r="M337" s="959"/>
      <c r="N337" s="959"/>
      <c r="O337" s="48">
        <f>IF(t&lt;Tnet,'2023'!Resal+('2023'!Salim-'2023'!Resal)*(1-EXP(('2023'!Tnet-t)/('2023'!Tau_j))),Resal+(Salim-Resal)*(1-EXP((Tnet-t)/(Tau_j))))*Salcycl</f>
        <v>3.3975354431760453E-2</v>
      </c>
      <c r="P337" s="169">
        <f>(INDEX(Models!$BJ337:$BT337,,T337)*(1-R337)+INDEX(Models!$BJ337:$BT337,,T337+1)*R337-ERP_i)*Q337*Ramure*Pc/MaxiM</f>
        <v>8.3612903250662816E-3</v>
      </c>
      <c r="Q337" s="305">
        <f t="shared" si="130"/>
        <v>0.7</v>
      </c>
      <c r="R337" s="177">
        <f t="shared" si="131"/>
        <v>0.4995605564977541</v>
      </c>
      <c r="S337" s="921">
        <f t="shared" si="132"/>
        <v>1</v>
      </c>
      <c r="T337" s="176">
        <f t="shared" si="133"/>
        <v>7</v>
      </c>
      <c r="U337" s="251">
        <f t="shared" si="134"/>
        <v>1.4995605564977541</v>
      </c>
      <c r="V337" s="383">
        <f t="shared" si="135"/>
        <v>28.688871132952244</v>
      </c>
      <c r="W337" s="402">
        <f t="shared" si="136"/>
        <v>6.007824904336692</v>
      </c>
      <c r="X337" s="157">
        <f t="shared" si="137"/>
        <v>45614</v>
      </c>
      <c r="Y337" s="385">
        <f t="shared" si="138"/>
        <v>5.4084076340934404</v>
      </c>
      <c r="Z337" s="385">
        <f t="shared" si="139"/>
        <v>5.696695476478765</v>
      </c>
      <c r="AA337" s="386">
        <f t="shared" si="140"/>
        <v>6.5506236319507085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0.13035829921702471</v>
      </c>
      <c r="AD337" s="231">
        <f>(INDEX(Models!$BJ337:$BT337,,AH337)*(1-AF337)+INDEX(Models!$BJ337:$BT337,,AH337+1)*AF337-ERP_i)*AE337*Ramure*Pc/MaxiM</f>
        <v>8.3612903250662816E-3</v>
      </c>
      <c r="AE337" s="305">
        <f t="shared" si="142"/>
        <v>0.7</v>
      </c>
      <c r="AF337" s="177">
        <f t="shared" si="143"/>
        <v>0.4995605564977541</v>
      </c>
      <c r="AG337" s="921">
        <f t="shared" si="149"/>
        <v>1</v>
      </c>
      <c r="AH337" s="176">
        <f t="shared" si="144"/>
        <v>7</v>
      </c>
      <c r="AI337" s="225">
        <f t="shared" si="145"/>
        <v>1.4995605564977541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17.790976185627127</v>
      </c>
      <c r="C338" s="955"/>
      <c r="D338" s="393">
        <f t="shared" si="127"/>
        <v>18.739710518244106</v>
      </c>
      <c r="E338" s="385">
        <f t="shared" si="125"/>
        <v>19.400753193107825</v>
      </c>
      <c r="F338" s="385">
        <f t="shared" si="128"/>
        <v>19.47887754535725</v>
      </c>
      <c r="G338" s="110">
        <f t="shared" si="126"/>
        <v>0.62293937733441906</v>
      </c>
      <c r="H338" s="414" t="b">
        <f>Wh_hp&gt;='2023'!Maxi_hp</f>
        <v>0</v>
      </c>
      <c r="I338" s="390">
        <f>IF(H338,Wh_hp,'2023'!Maxi_hp)</f>
        <v>31.724603682982458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5.0626947075481099E-2</v>
      </c>
      <c r="M338" s="959"/>
      <c r="N338" s="959"/>
      <c r="O338" s="48">
        <f>IF(t&lt;Tnet,'2023'!Resal+('2023'!Salim-'2023'!Resal)*(1-EXP(('2023'!Tnet-t)/('2023'!Tau_j))),Resal+(Salim-Resal)*(1-EXP((Tnet-t)/(Tau_j))))*Salcycl</f>
        <v>3.4073041818734912E-2</v>
      </c>
      <c r="P338" s="169">
        <f>(INDEX(Models!$BJ338:$BT338,,T338)*(1-R338)+INDEX(Models!$BJ338:$BT338,,T338+1)*R338-ERP_i)*Q338*Ramure*Pc/MaxiM</f>
        <v>8.6163829764977426E-3</v>
      </c>
      <c r="Q338" s="305">
        <f t="shared" si="130"/>
        <v>0.7</v>
      </c>
      <c r="R338" s="177">
        <f t="shared" si="131"/>
        <v>0.4995863910076932</v>
      </c>
      <c r="S338" s="921">
        <f t="shared" si="132"/>
        <v>1</v>
      </c>
      <c r="T338" s="176">
        <f t="shared" si="133"/>
        <v>7</v>
      </c>
      <c r="U338" s="251">
        <f t="shared" si="134"/>
        <v>1.4995863910076932</v>
      </c>
      <c r="V338" s="383">
        <f t="shared" si="135"/>
        <v>28.427657099415384</v>
      </c>
      <c r="W338" s="402">
        <f t="shared" si="136"/>
        <v>17.790976185627127</v>
      </c>
      <c r="X338" s="157">
        <f t="shared" si="137"/>
        <v>45615</v>
      </c>
      <c r="Y338" s="385">
        <f t="shared" si="138"/>
        <v>16.018348591571627</v>
      </c>
      <c r="Z338" s="385">
        <f t="shared" si="139"/>
        <v>16.872554516085664</v>
      </c>
      <c r="AA338" s="386">
        <f t="shared" si="140"/>
        <v>19.400753193107825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0.13031446005510292</v>
      </c>
      <c r="AD338" s="231">
        <f>(INDEX(Models!$BJ338:$BT338,,AH338)*(1-AF338)+INDEX(Models!$BJ338:$BT338,,AH338+1)*AF338-ERP_i)*AE338*Ramure*Pc/MaxiM</f>
        <v>8.6163829764977426E-3</v>
      </c>
      <c r="AE338" s="305">
        <f t="shared" si="142"/>
        <v>0.7</v>
      </c>
      <c r="AF338" s="177">
        <f t="shared" si="143"/>
        <v>0.4995863910076932</v>
      </c>
      <c r="AG338" s="921">
        <f t="shared" si="149"/>
        <v>1</v>
      </c>
      <c r="AH338" s="176">
        <f t="shared" si="144"/>
        <v>7</v>
      </c>
      <c r="AI338" s="225">
        <f t="shared" si="145"/>
        <v>1.4995863910076932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3.5504511740441025</v>
      </c>
      <c r="C339" s="955"/>
      <c r="D339" s="393">
        <f t="shared" si="127"/>
        <v>3.7398669878008053</v>
      </c>
      <c r="E339" s="385">
        <f t="shared" si="125"/>
        <v>3.8721835612534492</v>
      </c>
      <c r="F339" s="385">
        <f t="shared" si="128"/>
        <v>3.8721835612534492</v>
      </c>
      <c r="G339" s="110">
        <f t="shared" si="126"/>
        <v>0.12491144818278387</v>
      </c>
      <c r="H339" s="414" t="b">
        <f>Wh_hp&gt;='2023'!Maxi_hp</f>
        <v>0</v>
      </c>
      <c r="I339" s="390">
        <f>IF(H339,Wh_hp,'2023'!Maxi_hp)</f>
        <v>30.885830486283265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5.0647740781841866E-2</v>
      </c>
      <c r="M339" s="959"/>
      <c r="N339" s="959"/>
      <c r="O339" s="48">
        <f>IF(t&lt;Tnet,'2023'!Resal+('2023'!Salim-'2023'!Resal)*(1-EXP(('2023'!Tnet-t)/('2023'!Tau_j))),Resal+(Salim-Resal)*(1-EXP((Tnet-t)/(Tau_j))))*Salcycl</f>
        <v>3.4171048804776276E-2</v>
      </c>
      <c r="P339" s="169">
        <f>(INDEX(Models!$BJ339:$BT339,,T339)*(1-R339)+INDEX(Models!$BJ339:$BT339,,T339+1)*R339-ERP_i)*Q339*Ramure*Pc/MaxiM</f>
        <v>8.8556738634255824E-3</v>
      </c>
      <c r="Q339" s="305">
        <f t="shared" si="130"/>
        <v>0.7</v>
      </c>
      <c r="R339" s="177">
        <f t="shared" si="131"/>
        <v>0.49961118785487835</v>
      </c>
      <c r="S339" s="921">
        <f t="shared" si="132"/>
        <v>1</v>
      </c>
      <c r="T339" s="176">
        <f t="shared" si="133"/>
        <v>7</v>
      </c>
      <c r="U339" s="251">
        <f t="shared" si="134"/>
        <v>1.4996111878548783</v>
      </c>
      <c r="V339" s="383">
        <f t="shared" si="135"/>
        <v>28.172033769309586</v>
      </c>
      <c r="W339" s="402">
        <f t="shared" si="136"/>
        <v>3.5504511740441025</v>
      </c>
      <c r="X339" s="157">
        <f t="shared" si="137"/>
        <v>45616</v>
      </c>
      <c r="Y339" s="385">
        <f t="shared" si="138"/>
        <v>3.1971752097811175</v>
      </c>
      <c r="Z339" s="385">
        <f t="shared" si="139"/>
        <v>3.3677438261053494</v>
      </c>
      <c r="AA339" s="386">
        <f t="shared" si="140"/>
        <v>3.8721835612534492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0.13027268133559503</v>
      </c>
      <c r="AD339" s="231">
        <f>(INDEX(Models!$BJ339:$BT339,,AH339)*(1-AF339)+INDEX(Models!$BJ339:$BT339,,AH339+1)*AF339-ERP_i)*AE339*Ramure*Pc/MaxiM</f>
        <v>8.8556738634255824E-3</v>
      </c>
      <c r="AE339" s="305">
        <f t="shared" si="142"/>
        <v>0.7</v>
      </c>
      <c r="AF339" s="177">
        <f t="shared" si="143"/>
        <v>0.49961118785487835</v>
      </c>
      <c r="AG339" s="921">
        <f t="shared" si="149"/>
        <v>1</v>
      </c>
      <c r="AH339" s="176">
        <f t="shared" si="144"/>
        <v>7</v>
      </c>
      <c r="AI339" s="225">
        <f t="shared" si="145"/>
        <v>1.4996111878548783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7.8639774808706671</v>
      </c>
      <c r="C340" s="955"/>
      <c r="D340" s="393">
        <f t="shared" si="127"/>
        <v>8.2837004384537067</v>
      </c>
      <c r="E340" s="385">
        <f t="shared" si="125"/>
        <v>8.5776513757018353</v>
      </c>
      <c r="F340" s="385">
        <f t="shared" si="128"/>
        <v>8.5776513757018353</v>
      </c>
      <c r="G340" s="110">
        <f t="shared" si="126"/>
        <v>0.27908010048072934</v>
      </c>
      <c r="H340" s="414" t="b">
        <f>Wh_hp&gt;='2023'!Maxi_hp</f>
        <v>0</v>
      </c>
      <c r="I340" s="390">
        <f>IF(H340,Wh_hp,'2023'!Maxi_hp)</f>
        <v>31.571381737013635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5.0668534032767054E-2</v>
      </c>
      <c r="M340" s="959"/>
      <c r="N340" s="959"/>
      <c r="O340" s="48">
        <f>IF(t&lt;Tnet,'2023'!Resal+('2023'!Salim-'2023'!Resal)*(1-EXP(('2023'!Tnet-t)/('2023'!Tau_j))),Resal+(Salim-Resal)*(1-EXP((Tnet-t)/(Tau_j))))*Salcycl</f>
        <v>3.4269396641697508E-2</v>
      </c>
      <c r="P340" s="169">
        <f>(INDEX(Models!$BJ340:$BT340,,T340)*(1-R340)+INDEX(Models!$BJ340:$BT340,,T340+1)*R340-ERP_i)*Q340*Ramure*Pc/MaxiM</f>
        <v>9.078970778725725E-3</v>
      </c>
      <c r="Q340" s="305">
        <f t="shared" si="130"/>
        <v>0.7</v>
      </c>
      <c r="R340" s="177">
        <f t="shared" si="131"/>
        <v>0.4996349886209468</v>
      </c>
      <c r="S340" s="921">
        <f t="shared" si="132"/>
        <v>1</v>
      </c>
      <c r="T340" s="176">
        <f t="shared" si="133"/>
        <v>7</v>
      </c>
      <c r="U340" s="251">
        <f t="shared" si="134"/>
        <v>1.4996349886209468</v>
      </c>
      <c r="V340" s="383">
        <f t="shared" si="135"/>
        <v>27.922380154278926</v>
      </c>
      <c r="W340" s="402">
        <f t="shared" si="136"/>
        <v>7.8639774808706671</v>
      </c>
      <c r="X340" s="157">
        <f t="shared" si="137"/>
        <v>45617</v>
      </c>
      <c r="Y340" s="385">
        <f t="shared" si="138"/>
        <v>7.0825423772316887</v>
      </c>
      <c r="Z340" s="385">
        <f t="shared" si="139"/>
        <v>7.4605579095764947</v>
      </c>
      <c r="AA340" s="386">
        <f t="shared" si="140"/>
        <v>8.5776513757018353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0.1302330226767858</v>
      </c>
      <c r="AD340" s="231">
        <f>(INDEX(Models!$BJ340:$BT340,,AH340)*(1-AF340)+INDEX(Models!$BJ340:$BT340,,AH340+1)*AF340-ERP_i)*AE340*Ramure*Pc/MaxiM</f>
        <v>9.078970778725725E-3</v>
      </c>
      <c r="AE340" s="305">
        <f t="shared" si="142"/>
        <v>0.7</v>
      </c>
      <c r="AF340" s="177">
        <f t="shared" si="143"/>
        <v>0.4996349886209468</v>
      </c>
      <c r="AG340" s="921">
        <f t="shared" si="149"/>
        <v>1</v>
      </c>
      <c r="AH340" s="176">
        <f t="shared" si="144"/>
        <v>7</v>
      </c>
      <c r="AI340" s="225">
        <f t="shared" si="145"/>
        <v>1.4996349886209468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12.200319446031527</v>
      </c>
      <c r="C341" s="955"/>
      <c r="D341" s="393">
        <f t="shared" si="127"/>
        <v>12.851766856543549</v>
      </c>
      <c r="E341" s="385">
        <f t="shared" si="125"/>
        <v>13.309178081320574</v>
      </c>
      <c r="F341" s="385">
        <f t="shared" si="128"/>
        <v>13.33407969749025</v>
      </c>
      <c r="G341" s="110">
        <f t="shared" si="126"/>
        <v>0.43750165760657245</v>
      </c>
      <c r="H341" s="414" t="b">
        <f>Wh_hp&gt;='2023'!Maxi_hp</f>
        <v>0</v>
      </c>
      <c r="I341" s="390">
        <f>IF(H341,Wh_hp,'2023'!Maxi_hp)</f>
        <v>31.553325364511156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5.0689326828266767E-2</v>
      </c>
      <c r="M341" s="959"/>
      <c r="N341" s="959"/>
      <c r="O341" s="48">
        <f>IF(t&lt;Tnet,'2023'!Resal+('2023'!Salim-'2023'!Resal)*(1-EXP(('2023'!Tnet-t)/('2023'!Tau_j))),Resal+(Salim-Resal)*(1-EXP((Tnet-t)/(Tau_j))))*Salcycl</f>
        <v>3.4368104625409103E-2</v>
      </c>
      <c r="P341" s="169">
        <f>(INDEX(Models!$BJ341:$BT341,,T341)*(1-R341)+INDEX(Models!$BJ341:$BT341,,T341+1)*R341-ERP_i)*Q341*Ramure*Pc/MaxiM</f>
        <v>9.2860010961555283E-3</v>
      </c>
      <c r="Q341" s="305">
        <f t="shared" si="130"/>
        <v>0.7</v>
      </c>
      <c r="R341" s="177">
        <f t="shared" si="131"/>
        <v>0.49965783322889656</v>
      </c>
      <c r="S341" s="921">
        <f t="shared" si="132"/>
        <v>1</v>
      </c>
      <c r="T341" s="176">
        <f t="shared" si="133"/>
        <v>7</v>
      </c>
      <c r="U341" s="251">
        <f t="shared" si="134"/>
        <v>1.4996578332288966</v>
      </c>
      <c r="V341" s="383">
        <f t="shared" si="135"/>
        <v>27.679077357794551</v>
      </c>
      <c r="W341" s="402">
        <f t="shared" si="136"/>
        <v>12.200319446031527</v>
      </c>
      <c r="X341" s="157">
        <f t="shared" si="137"/>
        <v>45618</v>
      </c>
      <c r="Y341" s="385">
        <f t="shared" si="138"/>
        <v>10.989583476077387</v>
      </c>
      <c r="Z341" s="385">
        <f t="shared" si="139"/>
        <v>11.576382512755481</v>
      </c>
      <c r="AA341" s="386">
        <f t="shared" si="140"/>
        <v>13.309178081320574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0.13019553559036615</v>
      </c>
      <c r="AD341" s="231">
        <f>(INDEX(Models!$BJ341:$BT341,,AH341)*(1-AF341)+INDEX(Models!$BJ341:$BT341,,AH341+1)*AF341-ERP_i)*AE341*Ramure*Pc/MaxiM</f>
        <v>9.2860010961555283E-3</v>
      </c>
      <c r="AE341" s="305">
        <f t="shared" si="142"/>
        <v>0.7</v>
      </c>
      <c r="AF341" s="177">
        <f t="shared" si="143"/>
        <v>0.49965783322889656</v>
      </c>
      <c r="AG341" s="921">
        <f t="shared" si="149"/>
        <v>1</v>
      </c>
      <c r="AH341" s="176">
        <f t="shared" si="144"/>
        <v>7</v>
      </c>
      <c r="AI341" s="225">
        <f t="shared" si="145"/>
        <v>1.4996578332288966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14.409729703450532</v>
      </c>
      <c r="C342" s="955"/>
      <c r="D342" s="393">
        <f t="shared" si="127"/>
        <v>15.179483100385024</v>
      </c>
      <c r="E342" s="385">
        <f t="shared" si="125"/>
        <v>15.721353996047753</v>
      </c>
      <c r="F342" s="385">
        <f t="shared" si="128"/>
        <v>15.76940669150234</v>
      </c>
      <c r="G342" s="110">
        <f t="shared" si="126"/>
        <v>0.52170170437201313</v>
      </c>
      <c r="H342" s="414" t="b">
        <f>Wh_hp&gt;='2023'!Maxi_hp</f>
        <v>0</v>
      </c>
      <c r="I342" s="390">
        <f>IF(H342,Wh_hp,'2023'!Maxi_hp)</f>
        <v>29.21125181785667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5.0710119168350776E-2</v>
      </c>
      <c r="M342" s="959"/>
      <c r="N342" s="959"/>
      <c r="O342" s="48">
        <f>IF(t&lt;Tnet,'2023'!Resal+('2023'!Salim-'2023'!Resal)*(1-EXP(('2023'!Tnet-t)/('2023'!Tau_j))),Resal+(Salim-Resal)*(1-EXP((Tnet-t)/(Tau_j))))*Salcycl</f>
        <v>3.446719002695009E-2</v>
      </c>
      <c r="P342" s="169">
        <f>(INDEX(Models!$BJ342:$BT342,,T342)*(1-R342)+INDEX(Models!$BJ342:$BT342,,T342+1)*R342-ERP_i)*Q342*Ramure*Pc/MaxiM</f>
        <v>9.4765042039475847E-3</v>
      </c>
      <c r="Q342" s="305">
        <f t="shared" si="130"/>
        <v>0.7</v>
      </c>
      <c r="R342" s="177">
        <f t="shared" si="131"/>
        <v>0.49967976000864467</v>
      </c>
      <c r="S342" s="921">
        <f t="shared" si="132"/>
        <v>1</v>
      </c>
      <c r="T342" s="176">
        <f t="shared" si="133"/>
        <v>7</v>
      </c>
      <c r="U342" s="251">
        <f t="shared" si="134"/>
        <v>1.4996797600086447</v>
      </c>
      <c r="V342" s="383">
        <f t="shared" si="135"/>
        <v>27.442505982927244</v>
      </c>
      <c r="W342" s="402">
        <f t="shared" si="136"/>
        <v>14.409729703450532</v>
      </c>
      <c r="X342" s="157">
        <f t="shared" si="137"/>
        <v>45619</v>
      </c>
      <c r="Y342" s="385">
        <f t="shared" si="138"/>
        <v>12.981594577593889</v>
      </c>
      <c r="Z342" s="385">
        <f t="shared" si="139"/>
        <v>13.675058419690556</v>
      </c>
      <c r="AA342" s="386">
        <f t="shared" si="140"/>
        <v>15.721353996047753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0.13016026335082989</v>
      </c>
      <c r="AD342" s="231">
        <f>(INDEX(Models!$BJ342:$BT342,,AH342)*(1-AF342)+INDEX(Models!$BJ342:$BT342,,AH342+1)*AF342-ERP_i)*AE342*Ramure*Pc/MaxiM</f>
        <v>9.4765042039475847E-3</v>
      </c>
      <c r="AE342" s="305">
        <f t="shared" si="142"/>
        <v>0.7</v>
      </c>
      <c r="AF342" s="177">
        <f t="shared" si="143"/>
        <v>0.49967976000864467</v>
      </c>
      <c r="AG342" s="921">
        <f t="shared" si="149"/>
        <v>1</v>
      </c>
      <c r="AH342" s="176">
        <f t="shared" si="144"/>
        <v>7</v>
      </c>
      <c r="AI342" s="225">
        <f t="shared" si="145"/>
        <v>1.4996797600086447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4.4316892509866292</v>
      </c>
      <c r="C343" s="955"/>
      <c r="D343" s="393">
        <f t="shared" si="127"/>
        <v>4.6685279259463996</v>
      </c>
      <c r="E343" s="385">
        <f t="shared" si="125"/>
        <v>4.8356813167531012</v>
      </c>
      <c r="F343" s="385">
        <f t="shared" si="128"/>
        <v>4.8356813167531012</v>
      </c>
      <c r="G343" s="110">
        <f t="shared" si="126"/>
        <v>0.16128008551828787</v>
      </c>
      <c r="H343" s="414" t="b">
        <f>Wh_hp&gt;='2023'!Maxi_hp</f>
        <v>0</v>
      </c>
      <c r="I343" s="390">
        <f>IF(H343,Wh_hp,'2023'!Maxi_hp)</f>
        <v>27.276647569608237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5.0730911053029293E-2</v>
      </c>
      <c r="M343" s="959"/>
      <c r="N343" s="959"/>
      <c r="O343" s="48">
        <f>IF(t&lt;Tnet,'2023'!Resal+('2023'!Salim-'2023'!Resal)*(1-EXP(('2023'!Tnet-t)/('2023'!Tau_j))),Resal+(Salim-Resal)*(1-EXP((Tnet-t)/(Tau_j))))*Salcycl</f>
        <v>3.4566668036539606E-2</v>
      </c>
      <c r="P343" s="169">
        <f>(INDEX(Models!$BJ343:$BT343,,T343)*(1-R343)+INDEX(Models!$BJ343:$BT343,,T343+1)*R343-ERP_i)*Q343*Ramure*Pc/MaxiM</f>
        <v>9.6502460649885852E-3</v>
      </c>
      <c r="Q343" s="305">
        <f t="shared" si="130"/>
        <v>0.7</v>
      </c>
      <c r="R343" s="177">
        <f t="shared" si="131"/>
        <v>0.49970080576004205</v>
      </c>
      <c r="S343" s="921">
        <f t="shared" si="132"/>
        <v>1</v>
      </c>
      <c r="T343" s="176">
        <f t="shared" si="133"/>
        <v>7</v>
      </c>
      <c r="U343" s="251">
        <f t="shared" si="134"/>
        <v>1.4997008057600421</v>
      </c>
      <c r="V343" s="383">
        <f t="shared" si="135"/>
        <v>27.213045833444674</v>
      </c>
      <c r="W343" s="402">
        <f t="shared" si="136"/>
        <v>4.4316892509866292</v>
      </c>
      <c r="X343" s="157">
        <f t="shared" si="137"/>
        <v>45620</v>
      </c>
      <c r="Y343" s="385">
        <f t="shared" si="138"/>
        <v>3.9930315522867801</v>
      </c>
      <c r="Z343" s="385">
        <f t="shared" si="139"/>
        <v>4.2064274490558535</v>
      </c>
      <c r="AA343" s="386">
        <f t="shared" si="140"/>
        <v>4.8356813167531012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0.13012724091581726</v>
      </c>
      <c r="AD343" s="231">
        <f>(INDEX(Models!$BJ343:$BT343,,AH343)*(1-AF343)+INDEX(Models!$BJ343:$BT343,,AH343+1)*AF343-ERP_i)*AE343*Ramure*Pc/MaxiM</f>
        <v>9.6502460649885852E-3</v>
      </c>
      <c r="AE343" s="305">
        <f t="shared" si="142"/>
        <v>0.7</v>
      </c>
      <c r="AF343" s="177">
        <f t="shared" si="143"/>
        <v>0.49970080576004205</v>
      </c>
      <c r="AG343" s="921">
        <f t="shared" si="149"/>
        <v>1</v>
      </c>
      <c r="AH343" s="176">
        <f t="shared" si="144"/>
        <v>7</v>
      </c>
      <c r="AI343" s="225">
        <f t="shared" si="145"/>
        <v>1.4997008057600421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13.746048692142516</v>
      </c>
      <c r="C344" s="955"/>
      <c r="D344" s="393">
        <f t="shared" si="127"/>
        <v>14.480983245467845</v>
      </c>
      <c r="E344" s="385">
        <f t="shared" si="125"/>
        <v>15.001016769163874</v>
      </c>
      <c r="F344" s="385">
        <f t="shared" si="128"/>
        <v>15.045129421845319</v>
      </c>
      <c r="G344" s="110">
        <f t="shared" si="126"/>
        <v>0.50576963802341213</v>
      </c>
      <c r="H344" s="414" t="b">
        <f>Wh_hp&gt;='2023'!Maxi_hp</f>
        <v>0</v>
      </c>
      <c r="I344" s="390">
        <f>IF(H344,Wh_hp,'2023'!Maxi_hp)</f>
        <v>27.777098112719983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5.0751702482312089E-2</v>
      </c>
      <c r="M344" s="959"/>
      <c r="N344" s="959"/>
      <c r="O344" s="48">
        <f>IF(t&lt;Tnet,'2023'!Resal+('2023'!Salim-'2023'!Resal)*(1-EXP(('2023'!Tnet-t)/('2023'!Tau_j))),Resal+(Salim-Resal)*(1-EXP((Tnet-t)/(Tau_j))))*Salcycl</f>
        <v>3.4666551721014717E-2</v>
      </c>
      <c r="P344" s="169">
        <f>(INDEX(Models!$BJ344:$BT344,,T344)*(1-R344)+INDEX(Models!$BJ344:$BT344,,T344+1)*R344-ERP_i)*Q344*Ramure*Pc/MaxiM</f>
        <v>9.8069741902423943E-3</v>
      </c>
      <c r="Q344" s="305">
        <f t="shared" si="130"/>
        <v>0.7</v>
      </c>
      <c r="R344" s="177">
        <f t="shared" si="131"/>
        <v>0.49972100581344026</v>
      </c>
      <c r="S344" s="921">
        <f t="shared" si="132"/>
        <v>1</v>
      </c>
      <c r="T344" s="176">
        <f t="shared" si="133"/>
        <v>7</v>
      </c>
      <c r="U344" s="251">
        <f t="shared" si="134"/>
        <v>1.4997210058134403</v>
      </c>
      <c r="V344" s="383">
        <f t="shared" si="135"/>
        <v>26.991077240248796</v>
      </c>
      <c r="W344" s="402">
        <f t="shared" si="136"/>
        <v>13.746048692142516</v>
      </c>
      <c r="X344" s="157">
        <f t="shared" si="137"/>
        <v>45621</v>
      </c>
      <c r="Y344" s="385">
        <f t="shared" si="138"/>
        <v>12.38715591997847</v>
      </c>
      <c r="Z344" s="385">
        <f t="shared" si="139"/>
        <v>13.049437067594692</v>
      </c>
      <c r="AA344" s="386">
        <f t="shared" si="140"/>
        <v>15.001016769163874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0.13009649489765615</v>
      </c>
      <c r="AD344" s="231">
        <f>(INDEX(Models!$BJ344:$BT344,,AH344)*(1-AF344)+INDEX(Models!$BJ344:$BT344,,AH344+1)*AF344-ERP_i)*AE344*Ramure*Pc/MaxiM</f>
        <v>9.8069741902423943E-3</v>
      </c>
      <c r="AE344" s="305">
        <f t="shared" si="142"/>
        <v>0.7</v>
      </c>
      <c r="AF344" s="177">
        <f t="shared" si="143"/>
        <v>0.49972100581344026</v>
      </c>
      <c r="AG344" s="921">
        <f t="shared" si="149"/>
        <v>1</v>
      </c>
      <c r="AH344" s="176">
        <f t="shared" si="144"/>
        <v>7</v>
      </c>
      <c r="AI344" s="225">
        <f t="shared" si="145"/>
        <v>1.4997210058134403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14.640676484300393</v>
      </c>
      <c r="C345" s="955"/>
      <c r="D345" s="393">
        <f t="shared" si="127"/>
        <v>15.423780266975411</v>
      </c>
      <c r="E345" s="385">
        <f t="shared" si="125"/>
        <v>15.979331313737781</v>
      </c>
      <c r="F345" s="385">
        <f t="shared" si="128"/>
        <v>16.035588085410502</v>
      </c>
      <c r="G345" s="110">
        <f t="shared" si="126"/>
        <v>0.54332379970201716</v>
      </c>
      <c r="H345" s="414" t="b">
        <f>Wh_hp&gt;='2023'!Maxi_hp</f>
        <v>0</v>
      </c>
      <c r="I345" s="390">
        <f>IF(H345,Wh_hp,'2023'!Maxi_hp)</f>
        <v>27.662208875171967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5.0772493456209267E-2</v>
      </c>
      <c r="M345" s="959"/>
      <c r="N345" s="959"/>
      <c r="O345" s="48">
        <f>IF(t&lt;Tnet,'2023'!Resal+('2023'!Salim-'2023'!Resal)*(1-EXP(('2023'!Tnet-t)/('2023'!Tau_j))),Resal+(Salim-Resal)*(1-EXP((Tnet-t)/(Tau_j))))*Salcycl</f>
        <v>3.4766851994911072E-2</v>
      </c>
      <c r="P345" s="169">
        <f>(INDEX(Models!$BJ345:$BT345,,T345)*(1-R345)+INDEX(Models!$BJ345:$BT345,,T345+1)*R345-ERP_i)*Q345*Ramure*Pc/MaxiM</f>
        <v>9.9481181724106159E-3</v>
      </c>
      <c r="Q345" s="305">
        <f t="shared" si="130"/>
        <v>0.7</v>
      </c>
      <c r="R345" s="177">
        <f t="shared" si="131"/>
        <v>0.49974039408790083</v>
      </c>
      <c r="S345" s="921">
        <f t="shared" si="132"/>
        <v>1</v>
      </c>
      <c r="T345" s="176">
        <f t="shared" si="133"/>
        <v>7</v>
      </c>
      <c r="U345" s="251">
        <f t="shared" si="134"/>
        <v>1.4997403940879008</v>
      </c>
      <c r="V345" s="383">
        <f t="shared" si="135"/>
        <v>26.772360158491793</v>
      </c>
      <c r="W345" s="402">
        <f t="shared" si="136"/>
        <v>14.640676484300393</v>
      </c>
      <c r="X345" s="157">
        <f t="shared" si="137"/>
        <v>45622</v>
      </c>
      <c r="Y345" s="385">
        <f t="shared" si="138"/>
        <v>13.195146026155262</v>
      </c>
      <c r="Z345" s="385">
        <f t="shared" si="139"/>
        <v>13.900930951948272</v>
      </c>
      <c r="AA345" s="386">
        <f t="shared" si="140"/>
        <v>15.979331313737781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0.13006804358594545</v>
      </c>
      <c r="AD345" s="231">
        <f>(INDEX(Models!$BJ345:$BT345,,AH345)*(1-AF345)+INDEX(Models!$BJ345:$BT345,,AH345+1)*AF345-ERP_i)*AE345*Ramure*Pc/MaxiM</f>
        <v>9.9481181724106159E-3</v>
      </c>
      <c r="AE345" s="305">
        <f t="shared" si="142"/>
        <v>0.7</v>
      </c>
      <c r="AF345" s="177">
        <f t="shared" si="143"/>
        <v>0.49974039408790083</v>
      </c>
      <c r="AG345" s="921">
        <f t="shared" si="149"/>
        <v>1</v>
      </c>
      <c r="AH345" s="176">
        <f t="shared" si="144"/>
        <v>7</v>
      </c>
      <c r="AI345" s="225">
        <f t="shared" si="145"/>
        <v>1.4997403940879008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9.4510606640151504</v>
      </c>
      <c r="C346" s="955"/>
      <c r="D346" s="393">
        <f t="shared" si="127"/>
        <v>9.9567991928994637</v>
      </c>
      <c r="E346" s="385">
        <f t="shared" si="125"/>
        <v>10.316510938669811</v>
      </c>
      <c r="F346" s="385">
        <f t="shared" si="128"/>
        <v>10.324812769765336</v>
      </c>
      <c r="G346" s="110">
        <f t="shared" si="126"/>
        <v>0.3526226847279979</v>
      </c>
      <c r="H346" s="414" t="b">
        <f>Wh_hp&gt;='2023'!Maxi_hp</f>
        <v>0</v>
      </c>
      <c r="I346" s="390">
        <f>IF(H346,Wh_hp,'2023'!Maxi_hp)</f>
        <v>20.343286490073936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5.0793283974730818E-2</v>
      </c>
      <c r="M346" s="959"/>
      <c r="N346" s="959"/>
      <c r="O346" s="48">
        <f>IF(t&lt;Tnet,'2023'!Resal+('2023'!Salim-'2023'!Resal)*(1-EXP(('2023'!Tnet-t)/('2023'!Tau_j))),Resal+(Salim-Resal)*(1-EXP((Tnet-t)/(Tau_j))))*Salcycl</f>
        <v>3.4867577605334064E-2</v>
      </c>
      <c r="P346" s="169">
        <f>(INDEX(Models!$BJ346:$BT346,,T346)*(1-R346)+INDEX(Models!$BJ346:$BT346,,T346+1)*R346-ERP_i)*Q346*Ramure*Pc/MaxiM</f>
        <v>1.0064937654314297E-2</v>
      </c>
      <c r="Q346" s="305">
        <f t="shared" si="130"/>
        <v>0.7</v>
      </c>
      <c r="R346" s="177">
        <f t="shared" si="131"/>
        <v>0.49975900314713551</v>
      </c>
      <c r="S346" s="921">
        <f t="shared" si="132"/>
        <v>1</v>
      </c>
      <c r="T346" s="176">
        <f t="shared" si="133"/>
        <v>7</v>
      </c>
      <c r="U346" s="251">
        <f t="shared" si="134"/>
        <v>1.4997590031471355</v>
      </c>
      <c r="V346" s="383">
        <f t="shared" si="135"/>
        <v>26.553779939164819</v>
      </c>
      <c r="W346" s="402">
        <f t="shared" si="136"/>
        <v>9.4510606640151504</v>
      </c>
      <c r="X346" s="157">
        <f t="shared" si="137"/>
        <v>45623</v>
      </c>
      <c r="Y346" s="385">
        <f t="shared" si="138"/>
        <v>8.5190660013361583</v>
      </c>
      <c r="Z346" s="385">
        <f t="shared" si="139"/>
        <v>8.9749322855711533</v>
      </c>
      <c r="AA346" s="386">
        <f t="shared" si="140"/>
        <v>10.316510938669811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0.1300418970206256</v>
      </c>
      <c r="AD346" s="231">
        <f>(INDEX(Models!$BJ346:$BT346,,AH346)*(1-AF346)+INDEX(Models!$BJ346:$BT346,,AH346+1)*AF346-ERP_i)*AE346*Ramure*Pc/MaxiM</f>
        <v>1.0064937654314297E-2</v>
      </c>
      <c r="AE346" s="305">
        <f t="shared" si="142"/>
        <v>0.7</v>
      </c>
      <c r="AF346" s="177">
        <f t="shared" si="143"/>
        <v>0.49975900314713551</v>
      </c>
      <c r="AG346" s="921">
        <f t="shared" si="149"/>
        <v>1</v>
      </c>
      <c r="AH346" s="176">
        <f t="shared" si="144"/>
        <v>7</v>
      </c>
      <c r="AI346" s="225">
        <f t="shared" si="145"/>
        <v>1.4997590031471355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13.297333115985085</v>
      </c>
      <c r="C347" s="955"/>
      <c r="D347" s="393">
        <f t="shared" si="127"/>
        <v>14.009197515762411</v>
      </c>
      <c r="E347" s="385">
        <f t="shared" si="125"/>
        <v>14.516832796768622</v>
      </c>
      <c r="F347" s="385">
        <f t="shared" si="128"/>
        <v>14.560161675634752</v>
      </c>
      <c r="G347" s="110">
        <f t="shared" si="126"/>
        <v>0.501255331400285</v>
      </c>
      <c r="H347" s="414" t="b">
        <f>Wh_hp&gt;='2023'!Maxi_hp</f>
        <v>0</v>
      </c>
      <c r="I347" s="390">
        <f>IF(H347,Wh_hp,'2023'!Maxi_hp)</f>
        <v>29.549892661364552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5.0814074037886514E-2</v>
      </c>
      <c r="M347" s="959"/>
      <c r="N347" s="959"/>
      <c r="O347" s="48">
        <f>IF(t&lt;Tnet,'2023'!Resal+('2023'!Salim-'2023'!Resal)*(1-EXP(('2023'!Tnet-t)/('2023'!Tau_j))),Resal+(Salim-Resal)*(1-EXP((Tnet-t)/(Tau_j))))*Salcycl</f>
        <v>3.4968735130655279E-2</v>
      </c>
      <c r="P347" s="169">
        <f>(INDEX(Models!$BJ347:$BT347,,T347)*(1-R347)+INDEX(Models!$BJ347:$BT347,,T347+1)*R347-ERP_i)*Q347*Ramure*Pc/MaxiM</f>
        <v>1.0166565314576392E-2</v>
      </c>
      <c r="Q347" s="305">
        <f t="shared" si="130"/>
        <v>0.7</v>
      </c>
      <c r="R347" s="177">
        <f t="shared" si="131"/>
        <v>0.49977686425326473</v>
      </c>
      <c r="S347" s="921">
        <f t="shared" si="132"/>
        <v>1</v>
      </c>
      <c r="T347" s="176">
        <f t="shared" si="133"/>
        <v>7</v>
      </c>
      <c r="U347" s="251">
        <f t="shared" si="134"/>
        <v>1.4997768642532647</v>
      </c>
      <c r="V347" s="383">
        <f t="shared" si="135"/>
        <v>26.336738144736163</v>
      </c>
      <c r="W347" s="402">
        <f t="shared" si="136"/>
        <v>13.297333115985085</v>
      </c>
      <c r="X347" s="157">
        <f t="shared" si="137"/>
        <v>45624</v>
      </c>
      <c r="Y347" s="385">
        <f t="shared" si="138"/>
        <v>11.987632028694467</v>
      </c>
      <c r="Z347" s="385">
        <f t="shared" si="139"/>
        <v>12.629382401075498</v>
      </c>
      <c r="AA347" s="386">
        <f t="shared" si="140"/>
        <v>14.516832796768622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0.1300180571145837</v>
      </c>
      <c r="AD347" s="231">
        <f>(INDEX(Models!$BJ347:$BT347,,AH347)*(1-AF347)+INDEX(Models!$BJ347:$BT347,,AH347+1)*AF347-ERP_i)*AE347*Ramure*Pc/MaxiM</f>
        <v>1.0166565314576392E-2</v>
      </c>
      <c r="AE347" s="305">
        <f t="shared" si="142"/>
        <v>0.7</v>
      </c>
      <c r="AF347" s="177">
        <f t="shared" si="143"/>
        <v>0.49977686425326473</v>
      </c>
      <c r="AG347" s="921">
        <f t="shared" si="149"/>
        <v>1</v>
      </c>
      <c r="AH347" s="176">
        <f t="shared" si="144"/>
        <v>7</v>
      </c>
      <c r="AI347" s="225">
        <f t="shared" si="145"/>
        <v>1.4997768642532647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4.3250090110599784</v>
      </c>
      <c r="C348" s="955"/>
      <c r="D348" s="393">
        <f t="shared" si="127"/>
        <v>4.5566454617919065</v>
      </c>
      <c r="E348" s="385">
        <f t="shared" si="125"/>
        <v>4.7222565526836746</v>
      </c>
      <c r="F348" s="385">
        <f t="shared" si="128"/>
        <v>4.7222565526836746</v>
      </c>
      <c r="G348" s="110">
        <f t="shared" si="126"/>
        <v>0.16386646711259345</v>
      </c>
      <c r="H348" s="414" t="b">
        <f>Wh_hp&gt;='2023'!Maxi_hp</f>
        <v>0</v>
      </c>
      <c r="I348" s="390">
        <f>IF(H348,Wh_hp,'2023'!Maxi_hp)</f>
        <v>27.333508248606524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5.0834863645686568E-2</v>
      </c>
      <c r="M348" s="959"/>
      <c r="N348" s="959"/>
      <c r="O348" s="48">
        <f>IF(t&lt;Tnet,'2023'!Resal+('2023'!Salim-'2023'!Resal)*(1-EXP(('2023'!Tnet-t)/('2023'!Tau_j))),Resal+(Salim-Resal)*(1-EXP((Tnet-t)/(Tau_j))))*Salcycl</f>
        <v>3.5070328992957943E-2</v>
      </c>
      <c r="P348" s="169">
        <f>(INDEX(Models!$BJ348:$BT348,,T348)*(1-R348)+INDEX(Models!$BJ348:$BT348,,T348+1)*R348-ERP_i)*Q348*Ramure*Pc/MaxiM</f>
        <v>1.025229414361236E-2</v>
      </c>
      <c r="Q348" s="305">
        <f t="shared" si="130"/>
        <v>0.7</v>
      </c>
      <c r="R348" s="177">
        <f t="shared" si="131"/>
        <v>0.49979400741847391</v>
      </c>
      <c r="S348" s="921">
        <f t="shared" si="132"/>
        <v>1</v>
      </c>
      <c r="T348" s="176">
        <f t="shared" si="133"/>
        <v>7</v>
      </c>
      <c r="U348" s="251">
        <f t="shared" si="134"/>
        <v>1.4997940074184739</v>
      </c>
      <c r="V348" s="383">
        <f t="shared" si="135"/>
        <v>26.122902518936655</v>
      </c>
      <c r="W348" s="402">
        <f t="shared" si="136"/>
        <v>4.3250090110599784</v>
      </c>
      <c r="X348" s="157">
        <f t="shared" si="137"/>
        <v>45625</v>
      </c>
      <c r="Y348" s="385">
        <f t="shared" si="138"/>
        <v>3.8995307255250995</v>
      </c>
      <c r="Z348" s="385">
        <f t="shared" si="139"/>
        <v>4.1083796445610758</v>
      </c>
      <c r="AA348" s="386">
        <f t="shared" si="140"/>
        <v>4.7222565526836746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0.12999651782445626</v>
      </c>
      <c r="AD348" s="231">
        <f>(INDEX(Models!$BJ348:$BT348,,AH348)*(1-AF348)+INDEX(Models!$BJ348:$BT348,,AH348+1)*AF348-ERP_i)*AE348*Ramure*Pc/MaxiM</f>
        <v>1.025229414361236E-2</v>
      </c>
      <c r="AE348" s="305">
        <f t="shared" si="142"/>
        <v>0.7</v>
      </c>
      <c r="AF348" s="177">
        <f t="shared" si="143"/>
        <v>0.49979400741847391</v>
      </c>
      <c r="AG348" s="921">
        <f t="shared" si="149"/>
        <v>1</v>
      </c>
      <c r="AH348" s="176">
        <f t="shared" si="144"/>
        <v>7</v>
      </c>
      <c r="AI348" s="225">
        <f t="shared" si="145"/>
        <v>1.4997940074184739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3.4979226509366037</v>
      </c>
      <c r="C349" s="955"/>
      <c r="D349" s="393">
        <f t="shared" si="127"/>
        <v>3.6853431843625399</v>
      </c>
      <c r="E349" s="385">
        <f t="shared" si="125"/>
        <v>3.8196907273833127</v>
      </c>
      <c r="F349" s="385">
        <f t="shared" si="128"/>
        <v>3.8196907273833127</v>
      </c>
      <c r="G349" s="110">
        <f t="shared" si="126"/>
        <v>0.13358907438788617</v>
      </c>
      <c r="H349" s="414" t="b">
        <f>Wh_hp&gt;='2023'!Maxi_hp</f>
        <v>0</v>
      </c>
      <c r="I349" s="390">
        <f>IF(H349,Wh_hp,'2023'!Maxi_hp)</f>
        <v>28.263329653266126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5.085565279814086E-2</v>
      </c>
      <c r="M349" s="959"/>
      <c r="N349" s="959"/>
      <c r="O349" s="48">
        <f>IF(t&lt;Tnet,'2023'!Resal+('2023'!Salim-'2023'!Resal)*(1-EXP(('2023'!Tnet-t)/('2023'!Tau_j))),Resal+(Salim-Resal)*(1-EXP((Tnet-t)/(Tau_j))))*Salcycl</f>
        <v>3.5172361484042854E-2</v>
      </c>
      <c r="P349" s="169">
        <f>(INDEX(Models!$BJ349:$BT349,,T349)*(1-R349)+INDEX(Models!$BJ349:$BT349,,T349+1)*R349-ERP_i)*Q349*Ramure*Pc/MaxiM</f>
        <v>1.0321349893988772E-2</v>
      </c>
      <c r="Q349" s="305">
        <f t="shared" si="130"/>
        <v>0.7</v>
      </c>
      <c r="R349" s="177">
        <f t="shared" si="131"/>
        <v>0.49981046145464925</v>
      </c>
      <c r="S349" s="921">
        <f t="shared" si="132"/>
        <v>1</v>
      </c>
      <c r="T349" s="176">
        <f t="shared" si="133"/>
        <v>7</v>
      </c>
      <c r="U349" s="251">
        <f t="shared" si="134"/>
        <v>1.4998104614546492</v>
      </c>
      <c r="V349" s="383">
        <f t="shared" si="135"/>
        <v>25.913940816017028</v>
      </c>
      <c r="W349" s="402">
        <f t="shared" si="136"/>
        <v>3.4979226509366037</v>
      </c>
      <c r="X349" s="157">
        <f t="shared" si="137"/>
        <v>45626</v>
      </c>
      <c r="Y349" s="385">
        <f t="shared" si="138"/>
        <v>3.1542133628969751</v>
      </c>
      <c r="Z349" s="385">
        <f t="shared" si="139"/>
        <v>3.3232177720868341</v>
      </c>
      <c r="AA349" s="386">
        <f t="shared" si="140"/>
        <v>3.8196907273833127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0.12997726536791854</v>
      </c>
      <c r="AD349" s="231">
        <f>(INDEX(Models!$BJ349:$BT349,,AH349)*(1-AF349)+INDEX(Models!$BJ349:$BT349,,AH349+1)*AF349-ERP_i)*AE349*Ramure*Pc/MaxiM</f>
        <v>1.0321349893988772E-2</v>
      </c>
      <c r="AE349" s="305">
        <f t="shared" si="142"/>
        <v>0.7</v>
      </c>
      <c r="AF349" s="177">
        <f t="shared" si="143"/>
        <v>0.49981046145464925</v>
      </c>
      <c r="AG349" s="921">
        <f t="shared" si="149"/>
        <v>1</v>
      </c>
      <c r="AH349" s="176">
        <f t="shared" si="144"/>
        <v>7</v>
      </c>
      <c r="AI349" s="225">
        <f t="shared" si="145"/>
        <v>1.4998104614546492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6.6062221053257346</v>
      </c>
      <c r="C350" s="955"/>
      <c r="D350" s="393">
        <f t="shared" si="127"/>
        <v>6.9603394058970016</v>
      </c>
      <c r="E350" s="385">
        <f t="shared" si="125"/>
        <v>7.2148417420605409</v>
      </c>
      <c r="F350" s="385">
        <f t="shared" si="128"/>
        <v>7.2148417420605409</v>
      </c>
      <c r="G350" s="110">
        <f t="shared" si="126"/>
        <v>0.25427109041420998</v>
      </c>
      <c r="H350" s="414" t="b">
        <f>Wh_hp&gt;='2023'!Maxi_hp</f>
        <v>0</v>
      </c>
      <c r="I350" s="390">
        <f>IF(H350,Wh_hp,'2023'!Maxi_hp)</f>
        <v>11.458603807529059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5.0876441495259384E-2</v>
      </c>
      <c r="M350" s="959"/>
      <c r="N350" s="959"/>
      <c r="O350" s="48">
        <f>IF(t&lt;Tnet,'2023'!Resal+('2023'!Salim-'2023'!Resal)*(1-EXP(('2023'!Tnet-t)/('2023'!Tau_j))),Resal+(Salim-Resal)*(1-EXP((Tnet-t)/(Tau_j))))*Salcycl</f>
        <v>3.527483280469762E-2</v>
      </c>
      <c r="P350" s="169">
        <f>(INDEX(Models!$BJ350:$BT350,,T350)*(1-R350)+INDEX(Models!$BJ350:$BT350,,T350+1)*R350-ERP_i)*Q350*Ramure*Pc/MaxiM</f>
        <v>1.0372899899644687E-2</v>
      </c>
      <c r="Q350" s="305">
        <f t="shared" si="130"/>
        <v>0.7</v>
      </c>
      <c r="R350" s="177">
        <f t="shared" si="131"/>
        <v>0.49982625402107139</v>
      </c>
      <c r="S350" s="921">
        <f t="shared" si="132"/>
        <v>1</v>
      </c>
      <c r="T350" s="176">
        <f t="shared" si="133"/>
        <v>7</v>
      </c>
      <c r="U350" s="251">
        <f t="shared" si="134"/>
        <v>1.4998262540210714</v>
      </c>
      <c r="V350" s="383">
        <f t="shared" si="135"/>
        <v>25.71152077911178</v>
      </c>
      <c r="W350" s="402">
        <f t="shared" si="136"/>
        <v>6.6062221053257346</v>
      </c>
      <c r="X350" s="157">
        <f t="shared" si="137"/>
        <v>45627</v>
      </c>
      <c r="Y350" s="385">
        <f t="shared" si="138"/>
        <v>5.9578373574426147</v>
      </c>
      <c r="Z350" s="385">
        <f t="shared" si="139"/>
        <v>6.2771989000343176</v>
      </c>
      <c r="AA350" s="386">
        <f t="shared" si="140"/>
        <v>7.2148417420605409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0.12996027848539257</v>
      </c>
      <c r="AD350" s="231">
        <f>(INDEX(Models!$BJ350:$BT350,,AH350)*(1-AF350)+INDEX(Models!$BJ350:$BT350,,AH350+1)*AF350-ERP_i)*AE350*Ramure*Pc/MaxiM</f>
        <v>1.0372899899644687E-2</v>
      </c>
      <c r="AE350" s="305">
        <f t="shared" si="142"/>
        <v>0.7</v>
      </c>
      <c r="AF350" s="177">
        <f t="shared" si="143"/>
        <v>0.49982625402107139</v>
      </c>
      <c r="AG350" s="921">
        <f t="shared" si="149"/>
        <v>1</v>
      </c>
      <c r="AH350" s="176">
        <f t="shared" si="144"/>
        <v>7</v>
      </c>
      <c r="AI350" s="225">
        <f t="shared" si="145"/>
        <v>1.4998262540210714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7.4354225116662978</v>
      </c>
      <c r="C351" s="955"/>
      <c r="D351" s="393">
        <f t="shared" si="127"/>
        <v>7.8341595290110906</v>
      </c>
      <c r="E351" s="385">
        <f t="shared" si="125"/>
        <v>8.121479114613587</v>
      </c>
      <c r="F351" s="385">
        <f t="shared" si="128"/>
        <v>8.121479114613587</v>
      </c>
      <c r="G351" s="110">
        <f t="shared" si="126"/>
        <v>0.28835519865101916</v>
      </c>
      <c r="H351" s="414" t="b">
        <f>Wh_hp&gt;='2023'!Maxi_hp</f>
        <v>0</v>
      </c>
      <c r="I351" s="390">
        <f>IF(H351,Wh_hp,'2023'!Maxi_hp)</f>
        <v>16.674095051480148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5.0897229737052019E-2</v>
      </c>
      <c r="M351" s="959"/>
      <c r="N351" s="959"/>
      <c r="O351" s="48">
        <f>IF(t&lt;Tnet,'2023'!Resal+('2023'!Salim-'2023'!Resal)*(1-EXP(('2023'!Tnet-t)/('2023'!Tau_j))),Resal+(Salim-Resal)*(1-EXP((Tnet-t)/(Tau_j))))*Salcycl</f>
        <v>3.5377741116824561E-2</v>
      </c>
      <c r="P351" s="169">
        <f>(INDEX(Models!$BJ351:$BT351,,T351)*(1-R351)+INDEX(Models!$BJ351:$BT351,,T351+1)*R351-ERP_i)*Q351*Ramure*Pc/MaxiM</f>
        <v>1.0406063768991195E-2</v>
      </c>
      <c r="Q351" s="305">
        <f t="shared" si="130"/>
        <v>0.7</v>
      </c>
      <c r="R351" s="177">
        <f t="shared" si="131"/>
        <v>0.49984141167023388</v>
      </c>
      <c r="S351" s="921">
        <f t="shared" si="132"/>
        <v>1</v>
      </c>
      <c r="T351" s="176">
        <f t="shared" si="133"/>
        <v>7</v>
      </c>
      <c r="U351" s="251">
        <f t="shared" si="134"/>
        <v>1.4998414116702339</v>
      </c>
      <c r="V351" s="383">
        <f t="shared" si="135"/>
        <v>25.517310127519348</v>
      </c>
      <c r="W351" s="402">
        <f t="shared" si="136"/>
        <v>7.4354225116662978</v>
      </c>
      <c r="X351" s="157">
        <f t="shared" si="137"/>
        <v>45628</v>
      </c>
      <c r="Y351" s="385">
        <f t="shared" si="138"/>
        <v>6.7064828147802169</v>
      </c>
      <c r="Z351" s="385">
        <f t="shared" si="139"/>
        <v>7.0661292168836392</v>
      </c>
      <c r="AA351" s="386">
        <f t="shared" si="140"/>
        <v>8.121479114613587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0.12994552874377005</v>
      </c>
      <c r="AD351" s="231">
        <f>(INDEX(Models!$BJ351:$BT351,,AH351)*(1-AF351)+INDEX(Models!$BJ351:$BT351,,AH351+1)*AF351-ERP_i)*AE351*Ramure*Pc/MaxiM</f>
        <v>1.0406063768991195E-2</v>
      </c>
      <c r="AE351" s="305">
        <f t="shared" si="142"/>
        <v>0.7</v>
      </c>
      <c r="AF351" s="177">
        <f t="shared" si="143"/>
        <v>0.49984141167023388</v>
      </c>
      <c r="AG351" s="921">
        <f t="shared" si="149"/>
        <v>1</v>
      </c>
      <c r="AH351" s="176">
        <f t="shared" si="144"/>
        <v>7</v>
      </c>
      <c r="AI351" s="225">
        <f t="shared" si="145"/>
        <v>1.4998414116702339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20.608186859485276</v>
      </c>
      <c r="C352" s="955"/>
      <c r="D352" s="393">
        <f t="shared" si="127"/>
        <v>21.713811072160116</v>
      </c>
      <c r="E352" s="385">
        <f t="shared" si="125"/>
        <v>22.512581848442245</v>
      </c>
      <c r="F352" s="385">
        <f t="shared" si="128"/>
        <v>22.685977851150824</v>
      </c>
      <c r="G352" s="110">
        <f t="shared" si="126"/>
        <v>0.81121636553883014</v>
      </c>
      <c r="H352" s="414" t="b">
        <f>Wh_hp&gt;='2023'!Maxi_hp</f>
        <v>0</v>
      </c>
      <c r="I352" s="390">
        <f>IF(H352,Wh_hp,'2023'!Maxi_hp)</f>
        <v>22.718598960816383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5.0918017523528758E-2</v>
      </c>
      <c r="M352" s="959"/>
      <c r="N352" s="959"/>
      <c r="O352" s="48">
        <f>IF(t&lt;Tnet,'2023'!Resal+('2023'!Salim-'2023'!Resal)*(1-EXP(('2023'!Tnet-t)/('2023'!Tau_j))),Resal+(Salim-Resal)*(1-EXP((Tnet-t)/(Tau_j))))*Salcycl</f>
        <v>3.5481082607919469E-2</v>
      </c>
      <c r="P352" s="169">
        <f>(INDEX(Models!$BJ352:$BT352,,T352)*(1-R352)+INDEX(Models!$BJ352:$BT352,,T352+1)*R352-ERP_i)*Q352*Ramure*Pc/MaxiM</f>
        <v>1.0419474401030691E-2</v>
      </c>
      <c r="Q352" s="305">
        <f t="shared" si="130"/>
        <v>0.7</v>
      </c>
      <c r="R352" s="177">
        <f t="shared" si="131"/>
        <v>0.49985595989186882</v>
      </c>
      <c r="S352" s="921">
        <f t="shared" si="132"/>
        <v>1</v>
      </c>
      <c r="T352" s="176">
        <f t="shared" si="133"/>
        <v>7</v>
      </c>
      <c r="U352" s="251">
        <f t="shared" si="134"/>
        <v>1.4998559598918688</v>
      </c>
      <c r="V352" s="383">
        <f t="shared" si="135"/>
        <v>25.332988091171831</v>
      </c>
      <c r="W352" s="402">
        <f t="shared" si="136"/>
        <v>20.608186859485276</v>
      </c>
      <c r="X352" s="157">
        <f t="shared" si="137"/>
        <v>45629</v>
      </c>
      <c r="Y352" s="385">
        <f t="shared" si="138"/>
        <v>18.590100605588496</v>
      </c>
      <c r="Z352" s="385">
        <f t="shared" si="139"/>
        <v>19.58745498158202</v>
      </c>
      <c r="AA352" s="386">
        <f t="shared" si="140"/>
        <v>22.512581848442245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0.12993298087942898</v>
      </c>
      <c r="AD352" s="231">
        <f>(INDEX(Models!$BJ352:$BT352,,AH352)*(1-AF352)+INDEX(Models!$BJ352:$BT352,,AH352+1)*AF352-ERP_i)*AE352*Ramure*Pc/MaxiM</f>
        <v>1.0419474401030691E-2</v>
      </c>
      <c r="AE352" s="305">
        <f t="shared" si="142"/>
        <v>0.7</v>
      </c>
      <c r="AF352" s="177">
        <f t="shared" si="143"/>
        <v>0.49985595989186882</v>
      </c>
      <c r="AG352" s="921">
        <f t="shared" si="149"/>
        <v>1</v>
      </c>
      <c r="AH352" s="176">
        <f t="shared" si="144"/>
        <v>7</v>
      </c>
      <c r="AI352" s="225">
        <f t="shared" si="145"/>
        <v>1.4998559598918688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26.167766776276874</v>
      </c>
      <c r="C353" s="955"/>
      <c r="D353" s="393">
        <f t="shared" si="127"/>
        <v>27.572265002648873</v>
      </c>
      <c r="E353" s="385">
        <f t="shared" si="125"/>
        <v>28.589622474778892</v>
      </c>
      <c r="F353" s="385">
        <f t="shared" si="128"/>
        <v>28.890668936148149</v>
      </c>
      <c r="G353" s="110">
        <f t="shared" si="126"/>
        <v>1.0400535542439437</v>
      </c>
      <c r="H353" s="414" t="b">
        <f>Wh_hp&gt;='2023'!Maxi_hp</f>
        <v>1</v>
      </c>
      <c r="I353" s="390">
        <f>IF(H353,Wh_hp,'2023'!Maxi_hp)</f>
        <v>28.890668936148149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5.0938804854699704E-2</v>
      </c>
      <c r="M353" s="959"/>
      <c r="N353" s="959"/>
      <c r="O353" s="48">
        <f>IF(t&lt;Tnet,'2023'!Resal+('2023'!Salim-'2023'!Resal)*(1-EXP(('2023'!Tnet-t)/('2023'!Tau_j))),Resal+(Salim-Resal)*(1-EXP((Tnet-t)/(Tau_j))))*Salcycl</f>
        <v>3.5584851567295427E-2</v>
      </c>
      <c r="P353" s="169">
        <f>(INDEX(Models!$BJ353:$BT353,,T353)*(1-R353)+INDEX(Models!$BJ353:$BT353,,T353+1)*R353-ERP_i)*Q353*Ramure*Pc/MaxiM</f>
        <v>1.0420196985905959E-2</v>
      </c>
      <c r="Q353" s="305">
        <f t="shared" si="130"/>
        <v>0.7</v>
      </c>
      <c r="R353" s="177">
        <f t="shared" si="131"/>
        <v>0.49986992315523793</v>
      </c>
      <c r="S353" s="921">
        <f t="shared" si="132"/>
        <v>1</v>
      </c>
      <c r="T353" s="176">
        <f t="shared" si="133"/>
        <v>7</v>
      </c>
      <c r="U353" s="251">
        <f t="shared" si="134"/>
        <v>1.4998699231552379</v>
      </c>
      <c r="V353" s="383">
        <f t="shared" si="135"/>
        <v>25.160018606252702</v>
      </c>
      <c r="W353" s="402">
        <f t="shared" si="136"/>
        <v>26.167766776276874</v>
      </c>
      <c r="X353" s="157">
        <f t="shared" si="137"/>
        <v>45630</v>
      </c>
      <c r="Y353" s="385">
        <f t="shared" si="138"/>
        <v>23.60807241159457</v>
      </c>
      <c r="Z353" s="385">
        <f t="shared" si="139"/>
        <v>24.875184584888856</v>
      </c>
      <c r="AA353" s="386">
        <f t="shared" si="140"/>
        <v>28.589622474778892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0.12992259317753599</v>
      </c>
      <c r="AD353" s="231">
        <f>(INDEX(Models!$BJ353:$BT353,,AH353)*(1-AF353)+INDEX(Models!$BJ353:$BT353,,AH353+1)*AF353-ERP_i)*AE353*Ramure*Pc/MaxiM</f>
        <v>1.0420196985905959E-2</v>
      </c>
      <c r="AE353" s="305">
        <f t="shared" si="142"/>
        <v>0.7</v>
      </c>
      <c r="AF353" s="177">
        <f t="shared" si="143"/>
        <v>0.49986992315523793</v>
      </c>
      <c r="AG353" s="921">
        <f t="shared" si="149"/>
        <v>1</v>
      </c>
      <c r="AH353" s="176">
        <f t="shared" si="144"/>
        <v>7</v>
      </c>
      <c r="AI353" s="225">
        <f t="shared" si="145"/>
        <v>1.4998699231552379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11.41862983236804</v>
      </c>
      <c r="C354" s="955"/>
      <c r="D354" s="393">
        <f t="shared" si="127"/>
        <v>12.031763592858924</v>
      </c>
      <c r="E354" s="385">
        <f t="shared" si="125"/>
        <v>12.47705781417746</v>
      </c>
      <c r="F354" s="385">
        <f t="shared" si="128"/>
        <v>12.506202436008017</v>
      </c>
      <c r="G354" s="110">
        <f t="shared" si="126"/>
        <v>0.45304618009862729</v>
      </c>
      <c r="H354" s="414" t="b">
        <f>Wh_hp&gt;='2023'!Maxi_hp</f>
        <v>0</v>
      </c>
      <c r="I354" s="390">
        <f>IF(H354,Wh_hp,'2023'!Maxi_hp)</f>
        <v>23.022498392650729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5.0959591730574738E-2</v>
      </c>
      <c r="M354" s="959"/>
      <c r="N354" s="959"/>
      <c r="O354" s="48">
        <f>IF(t&lt;Tnet,'2023'!Resal+('2023'!Salim-'2023'!Resal)*(1-EXP(('2023'!Tnet-t)/('2023'!Tau_j))),Resal+(Salim-Resal)*(1-EXP((Tnet-t)/(Tau_j))))*Salcycl</f>
        <v>3.5689040473352335E-2</v>
      </c>
      <c r="P354" s="169">
        <f>(INDEX(Models!$BJ354:$BT354,,T354)*(1-R354)+INDEX(Models!$BJ354:$BT354,,T354+1)*R354-ERP_i)*Q354*Ramure*Pc/MaxiM</f>
        <v>1.0407355415341409E-2</v>
      </c>
      <c r="Q354" s="305">
        <f t="shared" si="130"/>
        <v>0.7</v>
      </c>
      <c r="R354" s="177">
        <f t="shared" si="131"/>
        <v>0.49988332494976073</v>
      </c>
      <c r="S354" s="921">
        <f t="shared" si="132"/>
        <v>1</v>
      </c>
      <c r="T354" s="176">
        <f t="shared" si="133"/>
        <v>7</v>
      </c>
      <c r="U354" s="251">
        <f t="shared" si="134"/>
        <v>1.4998833249497607</v>
      </c>
      <c r="V354" s="383">
        <f t="shared" si="135"/>
        <v>25.00007126962446</v>
      </c>
      <c r="W354" s="402">
        <f t="shared" si="136"/>
        <v>11.41862983236804</v>
      </c>
      <c r="X354" s="157">
        <f t="shared" si="137"/>
        <v>45631</v>
      </c>
      <c r="Y354" s="385">
        <f t="shared" si="138"/>
        <v>10.302886458325451</v>
      </c>
      <c r="Z354" s="385">
        <f t="shared" si="139"/>
        <v>10.856109359044849</v>
      </c>
      <c r="AA354" s="386">
        <f t="shared" si="140"/>
        <v>12.47705781417746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0.12991431788436186</v>
      </c>
      <c r="AD354" s="231">
        <f>(INDEX(Models!$BJ354:$BT354,,AH354)*(1-AF354)+INDEX(Models!$BJ354:$BT354,,AH354+1)*AF354-ERP_i)*AE354*Ramure*Pc/MaxiM</f>
        <v>1.0407355415341409E-2</v>
      </c>
      <c r="AE354" s="305">
        <f t="shared" si="142"/>
        <v>0.7</v>
      </c>
      <c r="AF354" s="177">
        <f t="shared" si="143"/>
        <v>0.49988332494976073</v>
      </c>
      <c r="AG354" s="921">
        <f t="shared" si="149"/>
        <v>1</v>
      </c>
      <c r="AH354" s="176">
        <f t="shared" si="144"/>
        <v>7</v>
      </c>
      <c r="AI354" s="225">
        <f t="shared" si="145"/>
        <v>1.4998833249497607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20.514034337570145</v>
      </c>
      <c r="C355" s="955"/>
      <c r="D355" s="393">
        <f t="shared" si="127"/>
        <v>21.616027598676677</v>
      </c>
      <c r="E355" s="385">
        <f t="shared" si="125"/>
        <v>22.418466105864674</v>
      </c>
      <c r="F355" s="385">
        <f t="shared" si="128"/>
        <v>22.594484214430846</v>
      </c>
      <c r="G355" s="110">
        <f t="shared" si="126"/>
        <v>0.8232002746249355</v>
      </c>
      <c r="H355" s="414" t="b">
        <f>Wh_hp&gt;='2023'!Maxi_hp</f>
        <v>0</v>
      </c>
      <c r="I355" s="390">
        <f>IF(H355,Wh_hp,'2023'!Maxi_hp)</f>
        <v>23.615013833101326</v>
      </c>
      <c r="J355" s="85">
        <f>IF(H355,An,'2023'!An_max)</f>
        <v>2018</v>
      </c>
      <c r="K355" s="197">
        <f t="shared" si="129"/>
        <v>45632</v>
      </c>
      <c r="L355" s="147">
        <f>IF(t&lt;Tvie,1-EXP((T0-t)*PertePVj)+'2023'!Pspv,1-EXP((T0-t)*PertePVj)+Pspv)</f>
        <v>5.0980378151163852E-2</v>
      </c>
      <c r="M355" s="959"/>
      <c r="N355" s="959"/>
      <c r="O355" s="48">
        <f>IF(t&lt;Tnet,'2023'!Resal+('2023'!Salim-'2023'!Resal)*(1-EXP(('2023'!Tnet-t)/('2023'!Tau_j))),Resal+(Salim-Resal)*(1-EXP((Tnet-t)/(Tau_j))))*Salcycl</f>
        <v>3.5793640091106811E-2</v>
      </c>
      <c r="P355" s="169">
        <f>(INDEX(Models!$BJ355:$BT355,,T355)*(1-R355)+INDEX(Models!$BJ355:$BT355,,T355+1)*R355-ERP_i)*Q355*Ramure*Pc/MaxiM</f>
        <v>1.0380074681846808E-2</v>
      </c>
      <c r="Q355" s="305">
        <f t="shared" si="130"/>
        <v>0.7</v>
      </c>
      <c r="R355" s="177">
        <f t="shared" si="131"/>
        <v>0.49989618782404577</v>
      </c>
      <c r="S355" s="921">
        <f t="shared" si="132"/>
        <v>1</v>
      </c>
      <c r="T355" s="176">
        <f t="shared" si="133"/>
        <v>7</v>
      </c>
      <c r="U355" s="251">
        <f t="shared" si="134"/>
        <v>1.4998961878240458</v>
      </c>
      <c r="V355" s="383">
        <f t="shared" si="135"/>
        <v>24.85481527522521</v>
      </c>
      <c r="W355" s="402">
        <f t="shared" si="136"/>
        <v>20.514034337570145</v>
      </c>
      <c r="X355" s="157">
        <f t="shared" si="137"/>
        <v>45632</v>
      </c>
      <c r="Y355" s="385">
        <f t="shared" si="138"/>
        <v>18.511696066076944</v>
      </c>
      <c r="Z355" s="385">
        <f t="shared" si="139"/>
        <v>19.506125732166964</v>
      </c>
      <c r="AA355" s="386">
        <f t="shared" si="140"/>
        <v>22.418466105864674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0.12990810164910613</v>
      </c>
      <c r="AD355" s="231">
        <f>(INDEX(Models!$BJ355:$BT355,,AH355)*(1-AF355)+INDEX(Models!$BJ355:$BT355,,AH355+1)*AF355-ERP_i)*AE355*Ramure*Pc/MaxiM</f>
        <v>1.0380074681846808E-2</v>
      </c>
      <c r="AE355" s="305">
        <f t="shared" si="142"/>
        <v>0.7</v>
      </c>
      <c r="AF355" s="177">
        <f t="shared" si="143"/>
        <v>0.49989618782404577</v>
      </c>
      <c r="AG355" s="921">
        <f t="shared" si="149"/>
        <v>1</v>
      </c>
      <c r="AH355" s="176">
        <f t="shared" si="144"/>
        <v>7</v>
      </c>
      <c r="AI355" s="225">
        <f t="shared" si="145"/>
        <v>1.4998961878240458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4.7051297403822279</v>
      </c>
      <c r="C356" s="955"/>
      <c r="D356" s="393">
        <f t="shared" si="127"/>
        <v>4.9579931633970098</v>
      </c>
      <c r="E356" s="385">
        <f t="shared" si="125"/>
        <v>5.1426057123626281</v>
      </c>
      <c r="F356" s="385">
        <f t="shared" si="128"/>
        <v>5.1426057123626281</v>
      </c>
      <c r="G356" s="110">
        <f t="shared" si="126"/>
        <v>0.18832426019973922</v>
      </c>
      <c r="H356" s="414" t="b">
        <f>Wh_hp&gt;='2023'!Maxi_hp</f>
        <v>0</v>
      </c>
      <c r="I356" s="390">
        <f>IF(H356,Wh_hp,'2023'!Maxi_hp)</f>
        <v>18.625313050324355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5.1001164116477038E-2</v>
      </c>
      <c r="M356" s="959"/>
      <c r="N356" s="959"/>
      <c r="O356" s="48">
        <f>IF(t&lt;Tnet,'2023'!Resal+('2023'!Salim-'2023'!Resal)*(1-EXP(('2023'!Tnet-t)/('2023'!Tau_j))),Resal+(Salim-Resal)*(1-EXP((Tnet-t)/(Tau_j))))*Salcycl</f>
        <v>3.5898639579117785E-2</v>
      </c>
      <c r="P356" s="169">
        <f>(INDEX(Models!$BJ356:$BT356,,T356)*(1-R356)+INDEX(Models!$BJ356:$BT356,,T356+1)*R356-ERP_i)*Q356*Ramure*Pc/MaxiM</f>
        <v>1.0337496057453396E-2</v>
      </c>
      <c r="Q356" s="305">
        <f t="shared" si="130"/>
        <v>0.7</v>
      </c>
      <c r="R356" s="177">
        <f t="shared" si="131"/>
        <v>0.49990853342337993</v>
      </c>
      <c r="S356" s="921">
        <f t="shared" si="132"/>
        <v>1</v>
      </c>
      <c r="T356" s="176">
        <f t="shared" si="133"/>
        <v>7</v>
      </c>
      <c r="U356" s="251">
        <f t="shared" si="134"/>
        <v>1.4999085334233799</v>
      </c>
      <c r="V356" s="383">
        <f t="shared" si="135"/>
        <v>24.725919407847318</v>
      </c>
      <c r="W356" s="402">
        <f t="shared" si="136"/>
        <v>4.7051297403822279</v>
      </c>
      <c r="X356" s="157">
        <f t="shared" si="137"/>
        <v>45633</v>
      </c>
      <c r="Y356" s="385">
        <f t="shared" si="138"/>
        <v>4.24635341373759</v>
      </c>
      <c r="Z356" s="385">
        <f t="shared" si="139"/>
        <v>4.4745612462044937</v>
      </c>
      <c r="AA356" s="386">
        <f t="shared" si="140"/>
        <v>5.1426057123626281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0.12990388599152775</v>
      </c>
      <c r="AD356" s="231">
        <f>(INDEX(Models!$BJ356:$BT356,,AH356)*(1-AF356)+INDEX(Models!$BJ356:$BT356,,AH356+1)*AF356-ERP_i)*AE356*Ramure*Pc/MaxiM</f>
        <v>1.0337496057453396E-2</v>
      </c>
      <c r="AE356" s="305">
        <f t="shared" si="142"/>
        <v>0.7</v>
      </c>
      <c r="AF356" s="177">
        <f t="shared" si="143"/>
        <v>0.49990853342337993</v>
      </c>
      <c r="AG356" s="921">
        <f t="shared" si="149"/>
        <v>1</v>
      </c>
      <c r="AH356" s="176">
        <f t="shared" si="144"/>
        <v>7</v>
      </c>
      <c r="AI356" s="225">
        <f t="shared" si="145"/>
        <v>1.4999085334233799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5.7294867071726649</v>
      </c>
      <c r="C357" s="955"/>
      <c r="D357" s="393">
        <f t="shared" si="127"/>
        <v>6.0375334339058657</v>
      </c>
      <c r="E357" s="385">
        <f t="shared" si="125"/>
        <v>6.2630276479704357</v>
      </c>
      <c r="F357" s="385">
        <f t="shared" si="128"/>
        <v>6.2630276479704357</v>
      </c>
      <c r="G357" s="110">
        <f t="shared" si="126"/>
        <v>0.23037101420635231</v>
      </c>
      <c r="H357" s="414" t="b">
        <f>Wh_hp&gt;='2023'!Maxi_hp</f>
        <v>0</v>
      </c>
      <c r="I357" s="390">
        <f>IF(H357,Wh_hp,'2023'!Maxi_hp)</f>
        <v>9.4747658981708156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5.1021949626524177E-2</v>
      </c>
      <c r="M357" s="959"/>
      <c r="N357" s="959"/>
      <c r="O357" s="48">
        <f>IF(t&lt;Tnet,'2023'!Resal+('2023'!Salim-'2023'!Resal)*(1-EXP(('2023'!Tnet-t)/('2023'!Tau_j))),Resal+(Salim-Resal)*(1-EXP((Tnet-t)/(Tau_j))))*Salcycl</f>
        <v>3.6004026604871051E-2</v>
      </c>
      <c r="P357" s="169">
        <f>(INDEX(Models!$BJ357:$BT357,,T357)*(1-R357)+INDEX(Models!$BJ357:$BT357,,T357+1)*R357-ERP_i)*Q357*Ramure*Pc/MaxiM</f>
        <v>1.0278793950266121E-2</v>
      </c>
      <c r="Q357" s="305">
        <f t="shared" si="130"/>
        <v>0.7</v>
      </c>
      <c r="R357" s="177">
        <f t="shared" si="131"/>
        <v>0.49992038252573989</v>
      </c>
      <c r="S357" s="921">
        <f t="shared" si="132"/>
        <v>1</v>
      </c>
      <c r="T357" s="176">
        <f t="shared" si="133"/>
        <v>7</v>
      </c>
      <c r="U357" s="251">
        <f t="shared" si="134"/>
        <v>1.4999203825257399</v>
      </c>
      <c r="V357" s="383">
        <f t="shared" si="135"/>
        <v>24.615051999508392</v>
      </c>
      <c r="W357" s="402">
        <f t="shared" si="136"/>
        <v>5.7294867071726649</v>
      </c>
      <c r="X357" s="157">
        <f t="shared" si="137"/>
        <v>45634</v>
      </c>
      <c r="Y357" s="385">
        <f t="shared" si="138"/>
        <v>5.1714087088281682</v>
      </c>
      <c r="Z357" s="385">
        <f t="shared" si="139"/>
        <v>5.4494502868564032</v>
      </c>
      <c r="AA357" s="386">
        <f t="shared" si="140"/>
        <v>6.2630276479704357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0.12990160779150897</v>
      </c>
      <c r="AD357" s="231">
        <f>(INDEX(Models!$BJ357:$BT357,,AH357)*(1-AF357)+INDEX(Models!$BJ357:$BT357,,AH357+1)*AF357-ERP_i)*AE357*Ramure*Pc/MaxiM</f>
        <v>1.0278793950266121E-2</v>
      </c>
      <c r="AE357" s="305">
        <f t="shared" si="142"/>
        <v>0.7</v>
      </c>
      <c r="AF357" s="177">
        <f t="shared" si="143"/>
        <v>0.49992038252573989</v>
      </c>
      <c r="AG357" s="921">
        <f t="shared" si="149"/>
        <v>1</v>
      </c>
      <c r="AH357" s="176">
        <f t="shared" si="144"/>
        <v>7</v>
      </c>
      <c r="AI357" s="225">
        <f t="shared" si="145"/>
        <v>1.4999203825257399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14.276679178966662</v>
      </c>
      <c r="C358" s="955"/>
      <c r="D358" s="393">
        <f t="shared" si="127"/>
        <v>15.044596527929189</v>
      </c>
      <c r="E358" s="385">
        <f t="shared" si="125"/>
        <v>15.608205511707974</v>
      </c>
      <c r="F358" s="385">
        <f t="shared" si="128"/>
        <v>15.672662103099416</v>
      </c>
      <c r="G358" s="110">
        <f t="shared" si="126"/>
        <v>0.57859389397690508</v>
      </c>
      <c r="H358" s="414" t="b">
        <f>Wh_hp&gt;='2023'!Maxi_hp</f>
        <v>0</v>
      </c>
      <c r="I358" s="390">
        <f>IF(H358,Wh_hp,'2023'!Maxi_hp)</f>
        <v>22.134135091685113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5.104273468131526E-2</v>
      </c>
      <c r="M358" s="959"/>
      <c r="N358" s="959"/>
      <c r="O358" s="48">
        <f>IF(t&lt;Tnet,'2023'!Resal+('2023'!Salim-'2023'!Resal)*(1-EXP(('2023'!Tnet-t)/('2023'!Tau_j))),Resal+(Salim-Resal)*(1-EXP((Tnet-t)/(Tau_j))))*Salcycl</f>
        <v>3.6109787467624832E-2</v>
      </c>
      <c r="P358" s="169">
        <f>(INDEX(Models!$BJ358:$BT358,,T358)*(1-R358)+INDEX(Models!$BJ358:$BT358,,T358+1)*R358-ERP_i)*Q358*Ramure*Pc/MaxiM</f>
        <v>1.0203194200972628E-2</v>
      </c>
      <c r="Q358" s="305">
        <f t="shared" si="130"/>
        <v>0.7</v>
      </c>
      <c r="R358" s="177">
        <f t="shared" si="131"/>
        <v>0.49993175507638443</v>
      </c>
      <c r="S358" s="921">
        <f t="shared" si="132"/>
        <v>1</v>
      </c>
      <c r="T358" s="176">
        <f t="shared" si="133"/>
        <v>7</v>
      </c>
      <c r="U358" s="251">
        <f t="shared" si="134"/>
        <v>1.4999317550763844</v>
      </c>
      <c r="V358" s="383">
        <f t="shared" si="135"/>
        <v>24.523880873501177</v>
      </c>
      <c r="W358" s="402">
        <f t="shared" si="136"/>
        <v>14.276679178966662</v>
      </c>
      <c r="X358" s="157">
        <f t="shared" si="137"/>
        <v>45635</v>
      </c>
      <c r="Y358" s="385">
        <f t="shared" si="138"/>
        <v>12.887485797653781</v>
      </c>
      <c r="Z358" s="385">
        <f t="shared" si="139"/>
        <v>13.580680889065984</v>
      </c>
      <c r="AA358" s="386">
        <f t="shared" si="140"/>
        <v>15.608205511707974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0.12990119979654988</v>
      </c>
      <c r="AD358" s="231">
        <f>(INDEX(Models!$BJ358:$BT358,,AH358)*(1-AF358)+INDEX(Models!$BJ358:$BT358,,AH358+1)*AF358-ERP_i)*AE358*Ramure*Pc/MaxiM</f>
        <v>1.0203194200972628E-2</v>
      </c>
      <c r="AE358" s="305">
        <f t="shared" si="142"/>
        <v>0.7</v>
      </c>
      <c r="AF358" s="177">
        <f t="shared" si="143"/>
        <v>0.49993175507638443</v>
      </c>
      <c r="AG358" s="921">
        <f t="shared" si="149"/>
        <v>1</v>
      </c>
      <c r="AH358" s="176">
        <f t="shared" si="144"/>
        <v>7</v>
      </c>
      <c r="AI358" s="225">
        <f t="shared" si="145"/>
        <v>1.4999317550763844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17.407126530654008</v>
      </c>
      <c r="C359" s="955"/>
      <c r="D359" s="393">
        <f t="shared" si="127"/>
        <v>18.343826888668286</v>
      </c>
      <c r="E359" s="385">
        <f t="shared" si="125"/>
        <v>19.033128919882916</v>
      </c>
      <c r="F359" s="385">
        <f t="shared" si="128"/>
        <v>19.147055419737679</v>
      </c>
      <c r="G359" s="110">
        <f t="shared" si="126"/>
        <v>0.70894119451228699</v>
      </c>
      <c r="H359" s="414" t="b">
        <f>Wh_hp&gt;='2023'!Maxi_hp</f>
        <v>0</v>
      </c>
      <c r="I359" s="390">
        <f>IF(H359,Wh_hp,'2023'!Maxi_hp)</f>
        <v>23.016717284204159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5.1063519280860392E-2</v>
      </c>
      <c r="M359" s="959"/>
      <c r="N359" s="959"/>
      <c r="O359" s="48">
        <f>IF(t&lt;Tnet,'2023'!Resal+('2023'!Salim-'2023'!Resal)*(1-EXP(('2023'!Tnet-t)/('2023'!Tau_j))),Resal+(Salim-Resal)*(1-EXP((Tnet-t)/(Tau_j))))*Salcycl</f>
        <v>3.6215907227662943E-2</v>
      </c>
      <c r="P359" s="169">
        <f>(INDEX(Models!$BJ359:$BT359,,T359)*(1-R359)+INDEX(Models!$BJ359:$BT359,,T359+1)*R359-ERP_i)*Q359*Ramure*Pc/MaxiM</f>
        <v>1.0111287677861689E-2</v>
      </c>
      <c r="Q359" s="305">
        <f t="shared" si="130"/>
        <v>0.7</v>
      </c>
      <c r="R359" s="177">
        <f t="shared" si="131"/>
        <v>0.49994267022107586</v>
      </c>
      <c r="S359" s="921">
        <f t="shared" si="132"/>
        <v>1</v>
      </c>
      <c r="T359" s="176">
        <f t="shared" si="133"/>
        <v>7</v>
      </c>
      <c r="U359" s="251">
        <f t="shared" si="134"/>
        <v>1.4999426702210759</v>
      </c>
      <c r="V359" s="383">
        <f t="shared" si="135"/>
        <v>24.450911322106968</v>
      </c>
      <c r="W359" s="402">
        <f t="shared" si="136"/>
        <v>17.407126530654008</v>
      </c>
      <c r="X359" s="157">
        <f t="shared" si="137"/>
        <v>45636</v>
      </c>
      <c r="Y359" s="385">
        <f t="shared" si="138"/>
        <v>15.715029749452507</v>
      </c>
      <c r="Z359" s="385">
        <f t="shared" si="139"/>
        <v>16.560676155629583</v>
      </c>
      <c r="AA359" s="386">
        <f t="shared" si="140"/>
        <v>19.033128919882916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0.12990259114309308</v>
      </c>
      <c r="AD359" s="231">
        <f>(INDEX(Models!$BJ359:$BT359,,AH359)*(1-AF359)+INDEX(Models!$BJ359:$BT359,,AH359+1)*AF359-ERP_i)*AE359*Ramure*Pc/MaxiM</f>
        <v>1.0111287677861689E-2</v>
      </c>
      <c r="AE359" s="305">
        <f t="shared" si="142"/>
        <v>0.7</v>
      </c>
      <c r="AF359" s="177">
        <f t="shared" si="143"/>
        <v>0.49994267022107586</v>
      </c>
      <c r="AG359" s="921">
        <f t="shared" si="149"/>
        <v>1</v>
      </c>
      <c r="AH359" s="176">
        <f t="shared" si="144"/>
        <v>7</v>
      </c>
      <c r="AI359" s="225">
        <f t="shared" si="145"/>
        <v>1.4999426702210759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5.1408750665143472</v>
      </c>
      <c r="C360" s="955"/>
      <c r="D360" s="393">
        <f t="shared" si="127"/>
        <v>5.4176309708761812</v>
      </c>
      <c r="E360" s="385">
        <f t="shared" si="125"/>
        <v>5.6218291276321537</v>
      </c>
      <c r="F360" s="385">
        <f t="shared" si="128"/>
        <v>5.6218291276321537</v>
      </c>
      <c r="G360" s="110">
        <f t="shared" si="126"/>
        <v>0.20864176700250706</v>
      </c>
      <c r="H360" s="414" t="b">
        <f>Wh_hp&gt;='2023'!Maxi_hp</f>
        <v>0</v>
      </c>
      <c r="I360" s="390">
        <f>IF(H360,Wh_hp,'2023'!Maxi_hp)</f>
        <v>26.632515874966092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5.1084303425169453E-2</v>
      </c>
      <c r="M360" s="959"/>
      <c r="N360" s="959"/>
      <c r="O360" s="48">
        <f>IF(t&lt;Tnet,'2023'!Resal+('2023'!Salim-'2023'!Resal)*(1-EXP(('2023'!Tnet-t)/('2023'!Tau_j))),Resal+(Salim-Resal)*(1-EXP((Tnet-t)/(Tau_j))))*Salcycl</f>
        <v>3.6322369840859646E-2</v>
      </c>
      <c r="P360" s="169">
        <f>(INDEX(Models!$BJ360:$BT360,,T360)*(1-R360)+INDEX(Models!$BJ360:$BT360,,T360+1)*R360-ERP_i)*Q360*Ramure*Pc/MaxiM</f>
        <v>1.0004291768758807E-2</v>
      </c>
      <c r="Q360" s="305">
        <f t="shared" si="130"/>
        <v>0.7</v>
      </c>
      <c r="R360" s="177">
        <f t="shared" si="131"/>
        <v>0.49995314633799048</v>
      </c>
      <c r="S360" s="921">
        <f t="shared" si="132"/>
        <v>1</v>
      </c>
      <c r="T360" s="176">
        <f t="shared" si="133"/>
        <v>7</v>
      </c>
      <c r="U360" s="251">
        <f t="shared" si="134"/>
        <v>1.4999531463379905</v>
      </c>
      <c r="V360" s="383">
        <f t="shared" si="135"/>
        <v>24.393218699787205</v>
      </c>
      <c r="W360" s="402">
        <f t="shared" si="136"/>
        <v>5.1408750665143472</v>
      </c>
      <c r="X360" s="157">
        <f t="shared" si="137"/>
        <v>45637</v>
      </c>
      <c r="Y360" s="385">
        <f t="shared" si="138"/>
        <v>4.6416414699787474</v>
      </c>
      <c r="Z360" s="385">
        <f t="shared" si="139"/>
        <v>4.8915214351844289</v>
      </c>
      <c r="AA360" s="386">
        <f t="shared" si="140"/>
        <v>5.6218291276321537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0.1299057078875184</v>
      </c>
      <c r="AD360" s="231">
        <f>(INDEX(Models!$BJ360:$BT360,,AH360)*(1-AF360)+INDEX(Models!$BJ360:$BT360,,AH360+1)*AF360-ERP_i)*AE360*Ramure*Pc/MaxiM</f>
        <v>1.0004291768758807E-2</v>
      </c>
      <c r="AE360" s="305">
        <f t="shared" si="142"/>
        <v>0.7</v>
      </c>
      <c r="AF360" s="177">
        <f t="shared" si="143"/>
        <v>0.49995314633799048</v>
      </c>
      <c r="AG360" s="921">
        <f t="shared" si="149"/>
        <v>1</v>
      </c>
      <c r="AH360" s="176">
        <f t="shared" si="144"/>
        <v>7</v>
      </c>
      <c r="AI360" s="225">
        <f t="shared" si="145"/>
        <v>1.4999531463379905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5.6368814295117335</v>
      </c>
      <c r="C361" s="955"/>
      <c r="D361" s="393">
        <f t="shared" si="127"/>
        <v>5.9404696483923987</v>
      </c>
      <c r="E361" s="385">
        <f t="shared" ref="E361:E380" si="150">Wh_pvt/(1-Psa)</f>
        <v>6.1650575041228208</v>
      </c>
      <c r="F361" s="385">
        <f t="shared" si="128"/>
        <v>6.1650575041228208</v>
      </c>
      <c r="G361" s="110">
        <f t="shared" ref="G361:G380" si="151">+Wh_hp/MaxiM</f>
        <v>0.22920330708323966</v>
      </c>
      <c r="H361" s="414" t="b">
        <f>Wh_hp&gt;='2023'!Maxi_hp</f>
        <v>0</v>
      </c>
      <c r="I361" s="390">
        <f>IF(H361,Wh_hp,'2023'!Maxi_hp)</f>
        <v>27.848923412804474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5.1105087114252323E-2</v>
      </c>
      <c r="M361" s="959"/>
      <c r="N361" s="959"/>
      <c r="O361" s="48">
        <f>IF(t&lt;Tnet,'2023'!Resal+('2023'!Salim-'2023'!Resal)*(1-EXP(('2023'!Tnet-t)/('2023'!Tau_j))),Resal+(Salim-Resal)*(1-EXP((Tnet-t)/(Tau_j))))*Salcycl</f>
        <v>3.6429158297425608E-2</v>
      </c>
      <c r="P361" s="169">
        <f>(INDEX(Models!$BJ361:$BT361,,T361)*(1-R361)+INDEX(Models!$BJ361:$BT361,,T361+1)*R361-ERP_i)*Q361*Ramure*Pc/MaxiM</f>
        <v>9.9000054147052874E-3</v>
      </c>
      <c r="Q361" s="305">
        <f t="shared" si="130"/>
        <v>0.7</v>
      </c>
      <c r="R361" s="177">
        <f t="shared" si="131"/>
        <v>0.49996320106836656</v>
      </c>
      <c r="S361" s="921">
        <f t="shared" si="132"/>
        <v>1</v>
      </c>
      <c r="T361" s="176">
        <f t="shared" si="133"/>
        <v>7</v>
      </c>
      <c r="U361" s="251">
        <f t="shared" si="134"/>
        <v>1.4999632010683666</v>
      </c>
      <c r="V361" s="383">
        <f t="shared" si="135"/>
        <v>24.349894178492978</v>
      </c>
      <c r="W361" s="402">
        <f t="shared" si="136"/>
        <v>5.6368814295117335</v>
      </c>
      <c r="X361" s="157">
        <f t="shared" si="137"/>
        <v>45638</v>
      </c>
      <c r="Y361" s="385">
        <f t="shared" si="138"/>
        <v>5.0900165109127959</v>
      </c>
      <c r="Z361" s="385">
        <f t="shared" si="139"/>
        <v>5.3641519643447202</v>
      </c>
      <c r="AA361" s="386">
        <f t="shared" si="140"/>
        <v>6.1650575041228208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0.12991047354262367</v>
      </c>
      <c r="AD361" s="231">
        <f>(INDEX(Models!$BJ361:$BT361,,AH361)*(1-AF361)+INDEX(Models!$BJ361:$BT361,,AH361+1)*AF361-ERP_i)*AE361*Ramure*Pc/MaxiM</f>
        <v>9.9000054147052874E-3</v>
      </c>
      <c r="AE361" s="305">
        <f t="shared" si="142"/>
        <v>0.7</v>
      </c>
      <c r="AF361" s="177">
        <f t="shared" si="143"/>
        <v>0.49996320106836656</v>
      </c>
      <c r="AG361" s="921">
        <f t="shared" si="149"/>
        <v>1</v>
      </c>
      <c r="AH361" s="176">
        <f t="shared" si="144"/>
        <v>7</v>
      </c>
      <c r="AI361" s="225">
        <f t="shared" si="145"/>
        <v>1.4999632010683666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17.320054286326791</v>
      </c>
      <c r="C362" s="955"/>
      <c r="D362" s="393">
        <f t="shared" si="127"/>
        <v>18.253268526438909</v>
      </c>
      <c r="E362" s="385">
        <f t="shared" si="150"/>
        <v>18.945464857073297</v>
      </c>
      <c r="F362" s="385">
        <f t="shared" si="128"/>
        <v>19.055403998051581</v>
      </c>
      <c r="G362" s="110">
        <f t="shared" si="151"/>
        <v>0.70927360148789953</v>
      </c>
      <c r="H362" s="414" t="b">
        <f>Wh_hp&gt;='2023'!Maxi_hp</f>
        <v>0</v>
      </c>
      <c r="I362" s="390">
        <f>IF(H362,Wh_hp,'2023'!Maxi_hp)</f>
        <v>27.918333223458241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5.1125870348119107E-2</v>
      </c>
      <c r="M362" s="959"/>
      <c r="N362" s="959"/>
      <c r="O362" s="48">
        <f>IF(t&lt;Tnet,'2023'!Resal+('2023'!Salim-'2023'!Resal)*(1-EXP(('2023'!Tnet-t)/('2023'!Tau_j))),Resal+(Salim-Resal)*(1-EXP((Tnet-t)/(Tau_j))))*Salcycl</f>
        <v>3.6536254763680762E-2</v>
      </c>
      <c r="P362" s="169">
        <f>(INDEX(Models!$BJ362:$BT362,,T362)*(1-R362)+INDEX(Models!$BJ362:$BT362,,T362+1)*R362-ERP_i)*Q362*Ramure*Pc/MaxiM</f>
        <v>9.7986602017236836E-3</v>
      </c>
      <c r="Q362" s="305">
        <f t="shared" si="130"/>
        <v>0.7</v>
      </c>
      <c r="R362" s="177">
        <f t="shared" si="131"/>
        <v>0.49997285134593583</v>
      </c>
      <c r="S362" s="921">
        <f t="shared" si="132"/>
        <v>1</v>
      </c>
      <c r="T362" s="176">
        <f t="shared" si="133"/>
        <v>7</v>
      </c>
      <c r="U362" s="251">
        <f t="shared" si="134"/>
        <v>1.4999728513459358</v>
      </c>
      <c r="V362" s="383">
        <f t="shared" si="135"/>
        <v>24.320464052759046</v>
      </c>
      <c r="W362" s="402">
        <f t="shared" si="136"/>
        <v>17.320054286326791</v>
      </c>
      <c r="X362" s="157">
        <f t="shared" si="137"/>
        <v>45639</v>
      </c>
      <c r="Y362" s="385">
        <f t="shared" si="138"/>
        <v>15.641364987101779</v>
      </c>
      <c r="Z362" s="385">
        <f t="shared" si="139"/>
        <v>16.484130506161254</v>
      </c>
      <c r="AA362" s="386">
        <f t="shared" si="140"/>
        <v>18.945464857073297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0.12991680961542121</v>
      </c>
      <c r="AD362" s="231">
        <f>(INDEX(Models!$BJ362:$BT362,,AH362)*(1-AF362)+INDEX(Models!$BJ362:$BT362,,AH362+1)*AF362-ERP_i)*AE362*Ramure*Pc/MaxiM</f>
        <v>9.7986602017236836E-3</v>
      </c>
      <c r="AE362" s="305">
        <f t="shared" si="142"/>
        <v>0.7</v>
      </c>
      <c r="AF362" s="177">
        <f t="shared" si="143"/>
        <v>0.49997285134593583</v>
      </c>
      <c r="AG362" s="921">
        <f t="shared" si="149"/>
        <v>1</v>
      </c>
      <c r="AH362" s="176">
        <f t="shared" si="144"/>
        <v>7</v>
      </c>
      <c r="AI362" s="225">
        <f t="shared" si="145"/>
        <v>1.4999728513459358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7.2545964350015968</v>
      </c>
      <c r="C363" s="955"/>
      <c r="D363" s="393">
        <f t="shared" si="127"/>
        <v>7.6456456194288052</v>
      </c>
      <c r="E363" s="385">
        <f t="shared" si="150"/>
        <v>7.936466652058221</v>
      </c>
      <c r="F363" s="385">
        <f t="shared" si="128"/>
        <v>7.936466652058221</v>
      </c>
      <c r="G363" s="110">
        <f t="shared" si="151"/>
        <v>0.29559286460835743</v>
      </c>
      <c r="H363" s="414" t="b">
        <f>Wh_hp&gt;='2023'!Maxi_hp</f>
        <v>0</v>
      </c>
      <c r="I363" s="390">
        <f>IF(H363,Wh_hp,'2023'!Maxi_hp)</f>
        <v>27.64680505166011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5.1146653126779795E-2</v>
      </c>
      <c r="M363" s="959"/>
      <c r="N363" s="959"/>
      <c r="O363" s="48">
        <f>IF(t&lt;Tnet,'2023'!Resal+('2023'!Salim-'2023'!Resal)*(1-EXP(('2023'!Tnet-t)/('2023'!Tau_j))),Resal+(Salim-Resal)*(1-EXP((Tnet-t)/(Tau_j))))*Salcycl</f>
        <v>3.6643640725686863E-2</v>
      </c>
      <c r="P363" s="169">
        <f>(INDEX(Models!$BJ363:$BT363,,T363)*(1-R363)+INDEX(Models!$BJ363:$BT363,,T363+1)*R363-ERP_i)*Q363*Ramure*Pc/MaxiM</f>
        <v>9.7004788805254271E-3</v>
      </c>
      <c r="Q363" s="305">
        <f t="shared" si="130"/>
        <v>0.7</v>
      </c>
      <c r="R363" s="177">
        <f t="shared" si="131"/>
        <v>0.49998211342519228</v>
      </c>
      <c r="S363" s="921">
        <f t="shared" si="132"/>
        <v>1</v>
      </c>
      <c r="T363" s="176">
        <f t="shared" si="133"/>
        <v>7</v>
      </c>
      <c r="U363" s="251">
        <f t="shared" si="134"/>
        <v>1.4999821134251923</v>
      </c>
      <c r="V363" s="383">
        <f t="shared" si="135"/>
        <v>24.304454659336205</v>
      </c>
      <c r="W363" s="402">
        <f t="shared" si="136"/>
        <v>7.2545964350015968</v>
      </c>
      <c r="X363" s="157">
        <f t="shared" si="137"/>
        <v>45640</v>
      </c>
      <c r="Y363" s="385">
        <f t="shared" si="138"/>
        <v>6.5521398930514483</v>
      </c>
      <c r="Z363" s="385">
        <f t="shared" si="139"/>
        <v>6.9053241100354192</v>
      </c>
      <c r="AA363" s="386">
        <f t="shared" si="140"/>
        <v>7.936466652058221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0.12992463614212854</v>
      </c>
      <c r="AD363" s="231">
        <f>(INDEX(Models!$BJ363:$BT363,,AH363)*(1-AF363)+INDEX(Models!$BJ363:$BT363,,AH363+1)*AF363-ERP_i)*AE363*Ramure*Pc/MaxiM</f>
        <v>9.7004788805254271E-3</v>
      </c>
      <c r="AE363" s="305">
        <f t="shared" si="142"/>
        <v>0.7</v>
      </c>
      <c r="AF363" s="177">
        <f t="shared" si="143"/>
        <v>0.49998211342519228</v>
      </c>
      <c r="AG363" s="921">
        <f t="shared" si="149"/>
        <v>1</v>
      </c>
      <c r="AH363" s="176">
        <f t="shared" si="144"/>
        <v>7</v>
      </c>
      <c r="AI363" s="225">
        <f t="shared" si="145"/>
        <v>1.4999821134251923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4.9284204204313111</v>
      </c>
      <c r="C364" s="955"/>
      <c r="D364" s="393">
        <f t="shared" si="127"/>
        <v>5.1941940070005579</v>
      </c>
      <c r="E364" s="385">
        <f t="shared" si="150"/>
        <v>5.3923706219834013</v>
      </c>
      <c r="F364" s="385">
        <f t="shared" si="128"/>
        <v>5.3923706219834013</v>
      </c>
      <c r="G364" s="110">
        <f t="shared" si="151"/>
        <v>0.20085596506442754</v>
      </c>
      <c r="H364" s="414" t="b">
        <f>Wh_hp&gt;='2023'!Maxi_hp</f>
        <v>0</v>
      </c>
      <c r="I364" s="390">
        <f>IF(H364,Wh_hp,'2023'!Maxi_hp)</f>
        <v>27.611155388131891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5.116743545024427E-2</v>
      </c>
      <c r="M364" s="959"/>
      <c r="N364" s="959"/>
      <c r="O364" s="48">
        <f>IF(t&lt;Tnet,'2023'!Resal+('2023'!Salim-'2023'!Resal)*(1-EXP(('2023'!Tnet-t)/('2023'!Tau_j))),Resal+(Salim-Resal)*(1-EXP((Tnet-t)/(Tau_j))))*Salcycl</f>
        <v>3.6751297133569658E-2</v>
      </c>
      <c r="P364" s="169">
        <f>(INDEX(Models!$BJ364:$BT364,,T364)*(1-R364)+INDEX(Models!$BJ364:$BT364,,T364+1)*R364-ERP_i)*Q364*Ramure*Pc/MaxiM</f>
        <v>9.6056748321217029E-3</v>
      </c>
      <c r="Q364" s="305">
        <f t="shared" si="130"/>
        <v>0.7</v>
      </c>
      <c r="R364" s="177">
        <f t="shared" si="131"/>
        <v>0.49999100290853749</v>
      </c>
      <c r="S364" s="921">
        <f t="shared" si="132"/>
        <v>1</v>
      </c>
      <c r="T364" s="176">
        <f t="shared" si="133"/>
        <v>7</v>
      </c>
      <c r="U364" s="251">
        <f t="shared" si="134"/>
        <v>1.4999910029085375</v>
      </c>
      <c r="V364" s="383">
        <f t="shared" si="135"/>
        <v>24.301392367764535</v>
      </c>
      <c r="W364" s="402">
        <f t="shared" si="136"/>
        <v>4.9284204204313111</v>
      </c>
      <c r="X364" s="157">
        <f t="shared" si="137"/>
        <v>45641</v>
      </c>
      <c r="Y364" s="385">
        <f t="shared" si="138"/>
        <v>4.4516557961971195</v>
      </c>
      <c r="Z364" s="385">
        <f t="shared" si="139"/>
        <v>4.6917190266435878</v>
      </c>
      <c r="AA364" s="386">
        <f t="shared" si="140"/>
        <v>5.3923706219834013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0.12993387221631716</v>
      </c>
      <c r="AD364" s="231">
        <f>(INDEX(Models!$BJ364:$BT364,,AH364)*(1-AF364)+INDEX(Models!$BJ364:$BT364,,AH364+1)*AF364-ERP_i)*AE364*Ramure*Pc/MaxiM</f>
        <v>9.6056748321217029E-3</v>
      </c>
      <c r="AE364" s="305">
        <f t="shared" si="142"/>
        <v>0.7</v>
      </c>
      <c r="AF364" s="177">
        <f t="shared" si="143"/>
        <v>0.49999100290853749</v>
      </c>
      <c r="AG364" s="921">
        <f t="shared" si="149"/>
        <v>1</v>
      </c>
      <c r="AH364" s="176">
        <f t="shared" si="144"/>
        <v>7</v>
      </c>
      <c r="AI364" s="225">
        <f t="shared" si="145"/>
        <v>1.4999910029085375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2.7568091639397667</v>
      </c>
      <c r="C365" s="955"/>
      <c r="D365" s="393">
        <f t="shared" si="127"/>
        <v>2.9055385001107705</v>
      </c>
      <c r="E365" s="385">
        <f t="shared" si="150"/>
        <v>3.0167328741788673</v>
      </c>
      <c r="F365" s="385">
        <f t="shared" si="128"/>
        <v>3.0167328741788673</v>
      </c>
      <c r="G365" s="110">
        <f t="shared" si="151"/>
        <v>0.11231959594983877</v>
      </c>
      <c r="H365" s="414" t="b">
        <f>Wh_hp&gt;='2023'!Maxi_hp</f>
        <v>0</v>
      </c>
      <c r="I365" s="390">
        <f>IF(H365,Wh_hp,'2023'!Maxi_hp)</f>
        <v>27.969819213232515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5.1188217318522411E-2</v>
      </c>
      <c r="M365" s="959"/>
      <c r="N365" s="959"/>
      <c r="O365" s="48">
        <f>IF(t&lt;Tnet,'2023'!Resal+('2023'!Salim-'2023'!Resal)*(1-EXP(('2023'!Tnet-t)/('2023'!Tau_j))),Resal+(Salim-Resal)*(1-EXP((Tnet-t)/(Tau_j))))*Salcycl</f>
        <v>3.6859204545368646E-2</v>
      </c>
      <c r="P365" s="169">
        <f>(INDEX(Models!$BJ365:$BT365,,T365)*(1-R365)+INDEX(Models!$BJ365:$BT365,,T365+1)*R365-ERP_i)*Q365*Ramure*Pc/MaxiM</f>
        <v>9.5144516322108429E-3</v>
      </c>
      <c r="Q365" s="305">
        <f t="shared" si="130"/>
        <v>0.7</v>
      </c>
      <c r="R365" s="177">
        <f t="shared" si="131"/>
        <v>0.49999953477234982</v>
      </c>
      <c r="S365" s="921">
        <f t="shared" si="132"/>
        <v>1</v>
      </c>
      <c r="T365" s="176">
        <f t="shared" si="133"/>
        <v>7</v>
      </c>
      <c r="U365" s="251">
        <f t="shared" si="134"/>
        <v>1.4999995347723498</v>
      </c>
      <c r="V365" s="383">
        <f t="shared" si="135"/>
        <v>24.31080359040542</v>
      </c>
      <c r="W365" s="402">
        <f t="shared" si="136"/>
        <v>2.7568091639397667</v>
      </c>
      <c r="X365" s="157">
        <f t="shared" si="137"/>
        <v>45642</v>
      </c>
      <c r="Y365" s="385">
        <f t="shared" si="138"/>
        <v>2.4903702157523133</v>
      </c>
      <c r="Z365" s="385">
        <f t="shared" si="139"/>
        <v>2.6247252207536582</v>
      </c>
      <c r="AA365" s="386">
        <f t="shared" si="140"/>
        <v>3.0167328741788673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0.1299444365063018</v>
      </c>
      <c r="AD365" s="231">
        <f>(INDEX(Models!$BJ365:$BT365,,AH365)*(1-AF365)+INDEX(Models!$BJ365:$BT365,,AH365+1)*AF365-ERP_i)*AE365*Ramure*Pc/MaxiM</f>
        <v>9.5144516322108429E-3</v>
      </c>
      <c r="AE365" s="305">
        <f t="shared" si="142"/>
        <v>0.7</v>
      </c>
      <c r="AF365" s="177">
        <f t="shared" si="143"/>
        <v>0.49999953477234982</v>
      </c>
      <c r="AG365" s="921">
        <f t="shared" si="149"/>
        <v>1</v>
      </c>
      <c r="AH365" s="176">
        <f t="shared" si="144"/>
        <v>7</v>
      </c>
      <c r="AI365" s="225">
        <f t="shared" si="145"/>
        <v>1.4999995347723498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21.734908771454105</v>
      </c>
      <c r="C366" s="955"/>
      <c r="D366" s="393">
        <f t="shared" si="127"/>
        <v>22.908004758053302</v>
      </c>
      <c r="E366" s="385">
        <f t="shared" si="150"/>
        <v>23.787360270648168</v>
      </c>
      <c r="F366" s="385">
        <f t="shared" si="128"/>
        <v>23.979089006005829</v>
      </c>
      <c r="G366" s="110">
        <f t="shared" si="151"/>
        <v>0.89196763219643016</v>
      </c>
      <c r="H366" s="414" t="b">
        <f>Wh_hp&gt;='2023'!Maxi_hp</f>
        <v>0</v>
      </c>
      <c r="I366" s="390">
        <f>IF(H366,Wh_hp,'2023'!Maxi_hp)</f>
        <v>28.032685021410803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5.1208998731624433E-2</v>
      </c>
      <c r="M366" s="959"/>
      <c r="N366" s="959"/>
      <c r="O366" s="48">
        <f>IF(t&lt;Tnet,'2023'!Resal+('2023'!Salim-'2023'!Resal)*(1-EXP(('2023'!Tnet-t)/('2023'!Tau_j))),Resal+(Salim-Resal)*(1-EXP((Tnet-t)/(Tau_j))))*Salcycl</f>
        <v>3.6967343269270821E-2</v>
      </c>
      <c r="P366" s="169">
        <f>(INDEX(Models!$BJ366:$BT366,,T366)*(1-R366)+INDEX(Models!$BJ366:$BT366,,T366+1)*R366-ERP_i)*Q366*Ramure*Pc/MaxiM</f>
        <v>9.4342051378077663E-3</v>
      </c>
      <c r="Q366" s="305">
        <f t="shared" si="130"/>
        <v>0.7</v>
      </c>
      <c r="R366" s="177">
        <f t="shared" si="131"/>
        <v>0.50000772339201927</v>
      </c>
      <c r="S366" s="921">
        <f t="shared" si="132"/>
        <v>1</v>
      </c>
      <c r="T366" s="176">
        <f t="shared" si="133"/>
        <v>7</v>
      </c>
      <c r="U366" s="251">
        <f t="shared" si="134"/>
        <v>1.5000077233920193</v>
      </c>
      <c r="V366" s="383">
        <f t="shared" si="135"/>
        <v>24.33203785953113</v>
      </c>
      <c r="W366" s="402">
        <f t="shared" si="136"/>
        <v>21.734908771454105</v>
      </c>
      <c r="X366" s="157">
        <f t="shared" si="137"/>
        <v>45643</v>
      </c>
      <c r="Y366" s="385">
        <f t="shared" si="138"/>
        <v>19.636220485346247</v>
      </c>
      <c r="Z366" s="385">
        <f t="shared" si="139"/>
        <v>20.696044185806873</v>
      </c>
      <c r="AA366" s="386">
        <f t="shared" si="140"/>
        <v>23.787360270648168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0.12995624775800571</v>
      </c>
      <c r="AD366" s="231">
        <f>(INDEX(Models!$BJ366:$BT366,,AH366)*(1-AF366)+INDEX(Models!$BJ366:$BT366,,AH366+1)*AF366-ERP_i)*AE366*Ramure*Pc/MaxiM</f>
        <v>9.4342051378077663E-3</v>
      </c>
      <c r="AE366" s="305">
        <f t="shared" si="142"/>
        <v>0.7</v>
      </c>
      <c r="AF366" s="177">
        <f t="shared" si="143"/>
        <v>0.50000772339201927</v>
      </c>
      <c r="AG366" s="921">
        <f t="shared" si="149"/>
        <v>1</v>
      </c>
      <c r="AH366" s="176">
        <f t="shared" si="144"/>
        <v>7</v>
      </c>
      <c r="AI366" s="225">
        <f t="shared" si="145"/>
        <v>1.5000077233920193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18.398979086148632</v>
      </c>
      <c r="C367" s="955"/>
      <c r="D367" s="393">
        <f t="shared" si="127"/>
        <v>19.392450028762962</v>
      </c>
      <c r="E367" s="385">
        <f t="shared" si="150"/>
        <v>20.139121941279662</v>
      </c>
      <c r="F367" s="385">
        <f t="shared" si="128"/>
        <v>20.262512803580496</v>
      </c>
      <c r="G367" s="110">
        <f t="shared" si="151"/>
        <v>0.75266280133813934</v>
      </c>
      <c r="H367" s="414" t="b">
        <f>Wh_hp&gt;='2023'!Maxi_hp</f>
        <v>0</v>
      </c>
      <c r="I367" s="390">
        <f>IF(H367,Wh_hp,'2023'!Maxi_hp)</f>
        <v>27.478360183893841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5.1229779689560107E-2</v>
      </c>
      <c r="M367" s="959"/>
      <c r="N367" s="959"/>
      <c r="O367" s="48">
        <f>IF(t&lt;Tnet,'2023'!Resal+('2023'!Salim-'2023'!Resal)*(1-EXP(('2023'!Tnet-t)/('2023'!Tau_j))),Resal+(Salim-Resal)*(1-EXP((Tnet-t)/(Tau_j))))*Salcycl</f>
        <v>3.7075693503112926E-2</v>
      </c>
      <c r="P367" s="169">
        <f>(INDEX(Models!$BJ367:$BT367,,T367)*(1-R367)+INDEX(Models!$BJ367:$BT367,,T367+1)*R367-ERP_i)*Q367*Ramure*Pc/MaxiM</f>
        <v>9.3655117213237889E-3</v>
      </c>
      <c r="Q367" s="305">
        <f t="shared" si="130"/>
        <v>0.7</v>
      </c>
      <c r="R367" s="177">
        <f t="shared" si="131"/>
        <v>0.50001558256598555</v>
      </c>
      <c r="S367" s="921">
        <f t="shared" si="132"/>
        <v>1</v>
      </c>
      <c r="T367" s="176">
        <f t="shared" si="133"/>
        <v>7</v>
      </c>
      <c r="U367" s="251">
        <f t="shared" si="134"/>
        <v>1.5000155825659856</v>
      </c>
      <c r="V367" s="383">
        <f t="shared" si="135"/>
        <v>24.364611314758974</v>
      </c>
      <c r="W367" s="402">
        <f t="shared" si="136"/>
        <v>18.398979086148632</v>
      </c>
      <c r="X367" s="157">
        <f t="shared" si="137"/>
        <v>45644</v>
      </c>
      <c r="Y367" s="385">
        <f t="shared" si="138"/>
        <v>16.624025295009893</v>
      </c>
      <c r="Z367" s="385">
        <f t="shared" si="139"/>
        <v>17.521655864757719</v>
      </c>
      <c r="AA367" s="386">
        <f t="shared" si="140"/>
        <v>20.139121941279662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0.1299692252797206</v>
      </c>
      <c r="AD367" s="231">
        <f>(INDEX(Models!$BJ367:$BT367,,AH367)*(1-AF367)+INDEX(Models!$BJ367:$BT367,,AH367+1)*AF367-ERP_i)*AE367*Ramure*Pc/MaxiM</f>
        <v>9.3655117213237889E-3</v>
      </c>
      <c r="AE367" s="305">
        <f t="shared" si="142"/>
        <v>0.7</v>
      </c>
      <c r="AF367" s="177">
        <f t="shared" si="143"/>
        <v>0.50001558256598555</v>
      </c>
      <c r="AG367" s="921">
        <f t="shared" si="149"/>
        <v>1</v>
      </c>
      <c r="AH367" s="176">
        <f t="shared" si="144"/>
        <v>7</v>
      </c>
      <c r="AI367" s="225">
        <f t="shared" si="145"/>
        <v>1.5000155825659856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4.4827563915776754</v>
      </c>
      <c r="C368" s="955"/>
      <c r="D368" s="393">
        <f t="shared" si="127"/>
        <v>4.724910712449498</v>
      </c>
      <c r="E368" s="385">
        <f t="shared" si="150"/>
        <v>4.9073881904668859</v>
      </c>
      <c r="F368" s="385">
        <f t="shared" si="128"/>
        <v>4.9073881904668859</v>
      </c>
      <c r="G368" s="110">
        <f t="shared" si="151"/>
        <v>0.18194934011263417</v>
      </c>
      <c r="H368" s="414" t="b">
        <f>Wh_hp&gt;='2023'!Maxi_hp</f>
        <v>0</v>
      </c>
      <c r="I368" s="390">
        <f>IF(H368,Wh_hp,'2023'!Maxi_hp)</f>
        <v>28.081044157306998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5.1250560192339534E-2</v>
      </c>
      <c r="M368" s="959"/>
      <c r="N368" s="959"/>
      <c r="O368" s="48">
        <f>IF(t&lt;Tnet,'2023'!Resal+('2023'!Salim-'2023'!Resal)*(1-EXP(('2023'!Tnet-t)/('2023'!Tau_j))),Resal+(Salim-Resal)*(1-EXP((Tnet-t)/(Tau_j))))*Salcycl</f>
        <v>3.7184235470075482E-2</v>
      </c>
      <c r="P368" s="169">
        <f>(INDEX(Models!$BJ368:$BT368,,T368)*(1-R368)+INDEX(Models!$BJ368:$BT368,,T368+1)*R368-ERP_i)*Q368*Ramure*Pc/MaxiM</f>
        <v>9.30846784152373E-3</v>
      </c>
      <c r="Q368" s="305">
        <f t="shared" si="130"/>
        <v>0.7</v>
      </c>
      <c r="R368" s="177">
        <f t="shared" si="131"/>
        <v>0.50002312553882389</v>
      </c>
      <c r="S368" s="921">
        <f t="shared" si="132"/>
        <v>1</v>
      </c>
      <c r="T368" s="176">
        <f t="shared" si="133"/>
        <v>7</v>
      </c>
      <c r="U368" s="251">
        <f t="shared" si="134"/>
        <v>1.5000231255388239</v>
      </c>
      <c r="V368" s="383">
        <f t="shared" si="135"/>
        <v>24.408051137289693</v>
      </c>
      <c r="W368" s="402">
        <f t="shared" si="136"/>
        <v>4.4827563915776754</v>
      </c>
      <c r="X368" s="157">
        <f t="shared" si="137"/>
        <v>45645</v>
      </c>
      <c r="Y368" s="385">
        <f t="shared" si="138"/>
        <v>4.0506949656162821</v>
      </c>
      <c r="Z368" s="385">
        <f t="shared" si="139"/>
        <v>4.2695097310808192</v>
      </c>
      <c r="AA368" s="386">
        <f t="shared" si="140"/>
        <v>4.9073881904668859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0.12998328940539333</v>
      </c>
      <c r="AD368" s="231">
        <f>(INDEX(Models!$BJ368:$BT368,,AH368)*(1-AF368)+INDEX(Models!$BJ368:$BT368,,AH368+1)*AF368-ERP_i)*AE368*Ramure*Pc/MaxiM</f>
        <v>9.30846784152373E-3</v>
      </c>
      <c r="AE368" s="305">
        <f t="shared" si="142"/>
        <v>0.7</v>
      </c>
      <c r="AF368" s="177">
        <f t="shared" si="143"/>
        <v>0.50002312553882389</v>
      </c>
      <c r="AG368" s="921">
        <f t="shared" si="149"/>
        <v>1</v>
      </c>
      <c r="AH368" s="176">
        <f t="shared" si="144"/>
        <v>7</v>
      </c>
      <c r="AI368" s="225">
        <f t="shared" si="145"/>
        <v>1.5000231255388239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22.655645922812514</v>
      </c>
      <c r="C369" s="955"/>
      <c r="D369" s="393">
        <f t="shared" si="127"/>
        <v>23.8800058264742</v>
      </c>
      <c r="E369" s="385">
        <f t="shared" si="150"/>
        <v>24.805059665139574</v>
      </c>
      <c r="F369" s="385">
        <f t="shared" si="128"/>
        <v>25.012312478469156</v>
      </c>
      <c r="G369" s="110">
        <f t="shared" si="151"/>
        <v>0.92524857906097169</v>
      </c>
      <c r="H369" s="414" t="b">
        <f>Wh_hp&gt;='2023'!Maxi_hp</f>
        <v>0</v>
      </c>
      <c r="I369" s="390">
        <f>IF(H369,Wh_hp,'2023'!Maxi_hp)</f>
        <v>25.024200180199902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5.1271340239972596E-2</v>
      </c>
      <c r="M369" s="959"/>
      <c r="N369" s="959"/>
      <c r="O369" s="48">
        <f>IF(t&lt;Tnet,'2023'!Resal+('2023'!Salim-'2023'!Resal)*(1-EXP(('2023'!Tnet-t)/('2023'!Tau_j))),Resal+(Salim-Resal)*(1-EXP((Tnet-t)/(Tau_j))))*Salcycl</f>
        <v>3.7292949549539815E-2</v>
      </c>
      <c r="P369" s="169">
        <f>(INDEX(Models!$BJ369:$BT369,,T369)*(1-R369)+INDEX(Models!$BJ369:$BT369,,T369+1)*R369-ERP_i)*Q369*Ramure*Pc/MaxiM</f>
        <v>9.2631466747763822E-3</v>
      </c>
      <c r="Q369" s="305">
        <f t="shared" si="130"/>
        <v>0.7</v>
      </c>
      <c r="R369" s="177">
        <f t="shared" si="131"/>
        <v>0.50003036502341081</v>
      </c>
      <c r="S369" s="921">
        <f t="shared" si="132"/>
        <v>1</v>
      </c>
      <c r="T369" s="176">
        <f t="shared" si="133"/>
        <v>7</v>
      </c>
      <c r="U369" s="251">
        <f t="shared" si="134"/>
        <v>1.5000303650234108</v>
      </c>
      <c r="V369" s="383">
        <f t="shared" si="135"/>
        <v>24.461884407644856</v>
      </c>
      <c r="W369" s="402">
        <f t="shared" si="136"/>
        <v>22.655645922812514</v>
      </c>
      <c r="X369" s="157">
        <f t="shared" si="137"/>
        <v>45646</v>
      </c>
      <c r="Y369" s="385">
        <f t="shared" si="138"/>
        <v>20.473984328963905</v>
      </c>
      <c r="Z369" s="385">
        <f t="shared" si="139"/>
        <v>21.58044254101338</v>
      </c>
      <c r="AA369" s="386">
        <f t="shared" si="140"/>
        <v>24.805059665139574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0.12999836193331124</v>
      </c>
      <c r="AD369" s="231">
        <f>(INDEX(Models!$BJ369:$BT369,,AH369)*(1-AF369)+INDEX(Models!$BJ369:$BT369,,AH369+1)*AF369-ERP_i)*AE369*Ramure*Pc/MaxiM</f>
        <v>9.2631466747763822E-3</v>
      </c>
      <c r="AE369" s="305">
        <f t="shared" si="142"/>
        <v>0.7</v>
      </c>
      <c r="AF369" s="177">
        <f t="shared" si="143"/>
        <v>0.50003036502341081</v>
      </c>
      <c r="AG369" s="921">
        <f t="shared" si="149"/>
        <v>1</v>
      </c>
      <c r="AH369" s="176">
        <f t="shared" si="144"/>
        <v>7</v>
      </c>
      <c r="AI369" s="225">
        <f t="shared" si="145"/>
        <v>1.5000303650234108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17.519785275894566</v>
      </c>
      <c r="C370" s="955"/>
      <c r="D370" s="393">
        <f t="shared" si="127"/>
        <v>18.466996682688855</v>
      </c>
      <c r="E370" s="385">
        <f t="shared" si="150"/>
        <v>19.184533066191246</v>
      </c>
      <c r="F370" s="385">
        <f t="shared" si="128"/>
        <v>19.289917894532866</v>
      </c>
      <c r="G370" s="110">
        <f t="shared" si="151"/>
        <v>0.7116404613110574</v>
      </c>
      <c r="H370" s="414" t="b">
        <f>Wh_hp&gt;='2023'!Maxi_hp</f>
        <v>0</v>
      </c>
      <c r="I370" s="390">
        <f>IF(H370,Wh_hp,'2023'!Maxi_hp)</f>
        <v>27.058641236912877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5.1292119832469174E-2</v>
      </c>
      <c r="M370" s="959"/>
      <c r="N370" s="959"/>
      <c r="O370" s="48">
        <f>IF(t&lt;Tnet,'2023'!Resal+('2023'!Salim-'2023'!Resal)*(1-EXP(('2023'!Tnet-t)/('2023'!Tau_j))),Resal+(Salim-Resal)*(1-EXP((Tnet-t)/(Tau_j))))*Salcycl</f>
        <v>3.7401816402135885E-2</v>
      </c>
      <c r="P370" s="169">
        <f>(INDEX(Models!$BJ370:$BT370,,T370)*(1-R370)+INDEX(Models!$BJ370:$BT370,,T370+1)*R370-ERP_i)*Q370*Ramure*Pc/MaxiM</f>
        <v>9.2295997515028944E-3</v>
      </c>
      <c r="Q370" s="305">
        <f t="shared" si="130"/>
        <v>0.7</v>
      </c>
      <c r="R370" s="177">
        <f t="shared" si="131"/>
        <v>0.50003731322220801</v>
      </c>
      <c r="S370" s="921">
        <f t="shared" si="132"/>
        <v>1</v>
      </c>
      <c r="T370" s="176">
        <f t="shared" si="133"/>
        <v>7</v>
      </c>
      <c r="U370" s="251">
        <f t="shared" si="134"/>
        <v>1.500037313222208</v>
      </c>
      <c r="V370" s="383">
        <f t="shared" si="135"/>
        <v>24.525638110117882</v>
      </c>
      <c r="W370" s="402">
        <f t="shared" si="136"/>
        <v>17.519785275894566</v>
      </c>
      <c r="X370" s="157">
        <f t="shared" si="137"/>
        <v>45647</v>
      </c>
      <c r="Y370" s="385">
        <f t="shared" si="138"/>
        <v>15.834188918173467</v>
      </c>
      <c r="Z370" s="385">
        <f t="shared" si="139"/>
        <v>16.690268152276055</v>
      </c>
      <c r="AA370" s="386">
        <f t="shared" si="140"/>
        <v>19.184533066191246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0.13001436653732354</v>
      </c>
      <c r="AD370" s="231">
        <f>(INDEX(Models!$BJ370:$BT370,,AH370)*(1-AF370)+INDEX(Models!$BJ370:$BT370,,AH370+1)*AF370-ERP_i)*AE370*Ramure*Pc/MaxiM</f>
        <v>9.2295997515028944E-3</v>
      </c>
      <c r="AE370" s="305">
        <f t="shared" si="142"/>
        <v>0.7</v>
      </c>
      <c r="AF370" s="177">
        <f t="shared" si="143"/>
        <v>0.50003731322220801</v>
      </c>
      <c r="AG370" s="921">
        <f t="shared" si="149"/>
        <v>1</v>
      </c>
      <c r="AH370" s="176">
        <f t="shared" si="144"/>
        <v>7</v>
      </c>
      <c r="AI370" s="225">
        <f t="shared" si="145"/>
        <v>1.500037313222208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18.072454095870391</v>
      </c>
      <c r="C371" s="955"/>
      <c r="D371" s="393">
        <f t="shared" si="127"/>
        <v>19.049962918485843</v>
      </c>
      <c r="E371" s="385">
        <f t="shared" si="150"/>
        <v>19.792391703407887</v>
      </c>
      <c r="F371" s="385">
        <f t="shared" si="128"/>
        <v>19.906213359729119</v>
      </c>
      <c r="G371" s="110">
        <f t="shared" si="151"/>
        <v>0.73210849855039628</v>
      </c>
      <c r="H371" s="414" t="b">
        <f>Wh_hp&gt;='2023'!Maxi_hp</f>
        <v>0</v>
      </c>
      <c r="I371" s="390">
        <f>IF(H371,Wh_hp,'2023'!Maxi_hp)</f>
        <v>22.375250435644084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5.1312898969839482E-2</v>
      </c>
      <c r="M371" s="959"/>
      <c r="N371" s="959"/>
      <c r="O371" s="48">
        <f>IF(t&lt;Tnet,'2023'!Resal+('2023'!Salim-'2023'!Resal)*(1-EXP(('2023'!Tnet-t)/('2023'!Tau_j))),Resal+(Salim-Resal)*(1-EXP((Tnet-t)/(Tau_j))))*Salcycl</f>
        <v>3.7510817088073807E-2</v>
      </c>
      <c r="P371" s="169">
        <f>(INDEX(Models!$BJ371:$BT371,,T371)*(1-R371)+INDEX(Models!$BJ371:$BT371,,T371+1)*R371-ERP_i)*Q371*Ramure*Pc/MaxiM</f>
        <v>9.2078318456180214E-3</v>
      </c>
      <c r="Q371" s="305">
        <f t="shared" si="130"/>
        <v>0.7</v>
      </c>
      <c r="R371" s="177">
        <f t="shared" si="131"/>
        <v>0.50003731322220801</v>
      </c>
      <c r="S371" s="921">
        <f t="shared" si="132"/>
        <v>1</v>
      </c>
      <c r="T371" s="176">
        <f t="shared" si="133"/>
        <v>7</v>
      </c>
      <c r="U371" s="251">
        <f t="shared" si="134"/>
        <v>1.500037313222208</v>
      </c>
      <c r="V371" s="383">
        <f t="shared" si="135"/>
        <v>24.598839807854119</v>
      </c>
      <c r="W371" s="402">
        <f t="shared" si="136"/>
        <v>18.072454095870391</v>
      </c>
      <c r="X371" s="157">
        <f t="shared" si="137"/>
        <v>45648</v>
      </c>
      <c r="Y371" s="385">
        <f t="shared" si="138"/>
        <v>16.335218052525224</v>
      </c>
      <c r="Z371" s="385">
        <f t="shared" si="139"/>
        <v>17.218762682434637</v>
      </c>
      <c r="AA371" s="386">
        <f t="shared" si="140"/>
        <v>19.792391703407887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0.13003122914802254</v>
      </c>
      <c r="AD371" s="231">
        <f>(INDEX(Models!$BJ371:$BT371,,AH371)*(1-AF371)+INDEX(Models!$BJ371:$BT371,,AH371+1)*AF371-ERP_i)*AE371*Ramure*Pc/MaxiM</f>
        <v>9.2078318456180214E-3</v>
      </c>
      <c r="AE371" s="305">
        <f t="shared" si="142"/>
        <v>0.7</v>
      </c>
      <c r="AF371" s="177">
        <f t="shared" si="143"/>
        <v>0.50003731322220801</v>
      </c>
      <c r="AG371" s="921">
        <f t="shared" si="149"/>
        <v>1</v>
      </c>
      <c r="AH371" s="176">
        <f t="shared" si="144"/>
        <v>7</v>
      </c>
      <c r="AI371" s="225">
        <f t="shared" si="145"/>
        <v>1.500037313222208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23.687896253976064</v>
      </c>
      <c r="C372" s="955"/>
      <c r="D372" s="393">
        <f t="shared" si="127"/>
        <v>24.969681853309158</v>
      </c>
      <c r="E372" s="385">
        <f t="shared" si="150"/>
        <v>25.945759595544047</v>
      </c>
      <c r="F372" s="385">
        <f t="shared" si="128"/>
        <v>26.172654215424533</v>
      </c>
      <c r="G372" s="110">
        <f t="shared" si="151"/>
        <v>0.95924991169121243</v>
      </c>
      <c r="H372" s="414" t="b">
        <f>Wh_hp&gt;='2023'!Maxi_hp</f>
        <v>0</v>
      </c>
      <c r="I372" s="390">
        <f>IF(H372,Wh_hp,'2023'!Maxi_hp)</f>
        <v>26.179386726313346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5.133367765209329E-2</v>
      </c>
      <c r="M372" s="959"/>
      <c r="N372" s="959"/>
      <c r="O372" s="48">
        <f>IF(t&lt;Tnet,'2023'!Resal+('2023'!Salim-'2023'!Resal)*(1-EXP(('2023'!Tnet-t)/('2023'!Tau_j))),Resal+(Salim-Resal)*(1-EXP((Tnet-t)/(Tau_j))))*Salcycl</f>
        <v>3.7619933177925592E-2</v>
      </c>
      <c r="P372" s="169">
        <f>(INDEX(Models!$BJ372:$BT372,,T372)*(1-R372)+INDEX(Models!$BJ372:$BT372,,T372+1)*R372-ERP_i)*Q372*Ramure*Pc/MaxiM</f>
        <v>9.1978708268544099E-3</v>
      </c>
      <c r="Q372" s="305">
        <f t="shared" si="130"/>
        <v>0.7</v>
      </c>
      <c r="R372" s="177">
        <f t="shared" si="131"/>
        <v>0.50003731322220801</v>
      </c>
      <c r="S372" s="921">
        <f t="shared" si="132"/>
        <v>1</v>
      </c>
      <c r="T372" s="176">
        <f t="shared" si="133"/>
        <v>7</v>
      </c>
      <c r="U372" s="251">
        <f t="shared" si="134"/>
        <v>1.500037313222208</v>
      </c>
      <c r="V372" s="383">
        <f t="shared" si="135"/>
        <v>24.681015985003722</v>
      </c>
      <c r="W372" s="402">
        <f t="shared" si="136"/>
        <v>23.687896253976064</v>
      </c>
      <c r="X372" s="157">
        <f t="shared" si="137"/>
        <v>45649</v>
      </c>
      <c r="Y372" s="385">
        <f t="shared" si="138"/>
        <v>21.412862368263649</v>
      </c>
      <c r="Z372" s="385">
        <f t="shared" si="139"/>
        <v>22.571542663460185</v>
      </c>
      <c r="AA372" s="386">
        <f t="shared" si="140"/>
        <v>25.945759595544047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0.1300488783016148</v>
      </c>
      <c r="AD372" s="231">
        <f>(INDEX(Models!$BJ372:$BT372,,AH372)*(1-AF372)+INDEX(Models!$BJ372:$BT372,,AH372+1)*AF372-ERP_i)*AE372*Ramure*Pc/MaxiM</f>
        <v>9.1978708268544099E-3</v>
      </c>
      <c r="AE372" s="305">
        <f t="shared" si="142"/>
        <v>0.7</v>
      </c>
      <c r="AF372" s="177">
        <f t="shared" si="143"/>
        <v>0.50003731322220801</v>
      </c>
      <c r="AG372" s="921">
        <f t="shared" si="149"/>
        <v>1</v>
      </c>
      <c r="AH372" s="176">
        <f t="shared" si="144"/>
        <v>7</v>
      </c>
      <c r="AI372" s="225">
        <f t="shared" si="145"/>
        <v>1.500037313222208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13.875567784932887</v>
      </c>
      <c r="C373" s="955"/>
      <c r="D373" s="393">
        <f t="shared" si="127"/>
        <v>14.626714762881525</v>
      </c>
      <c r="E373" s="385">
        <f t="shared" si="150"/>
        <v>15.200205550317184</v>
      </c>
      <c r="F373" s="385">
        <f t="shared" si="128"/>
        <v>15.252320849914634</v>
      </c>
      <c r="G373" s="110">
        <f t="shared" si="151"/>
        <v>0.55678722175257278</v>
      </c>
      <c r="H373" s="414" t="b">
        <f>Wh_hp&gt;='2023'!Maxi_hp</f>
        <v>0</v>
      </c>
      <c r="I373" s="390">
        <f>IF(H373,Wh_hp,'2023'!Maxi_hp)</f>
        <v>18.791308820692279</v>
      </c>
      <c r="J373" s="85">
        <f>IF(H373,An,'2023'!An_max)</f>
        <v>2019</v>
      </c>
      <c r="K373" s="197">
        <f t="shared" si="129"/>
        <v>45650</v>
      </c>
      <c r="L373" s="147">
        <f>IF(t&lt;Tvie,1-EXP((T0-t)*PertePVj)+'2023'!Pspv,1-EXP((T0-t)*PertePVj)+Pspv)</f>
        <v>5.1354455879240701E-2</v>
      </c>
      <c r="M373" s="959"/>
      <c r="N373" s="959"/>
      <c r="O373" s="48">
        <f>IF(t&lt;Tnet,'2023'!Resal+('2023'!Salim-'2023'!Resal)*(1-EXP(('2023'!Tnet-t)/('2023'!Tau_j))),Resal+(Salim-Resal)*(1-EXP((Tnet-t)/(Tau_j))))*Salcycl</f>
        <v>3.7729146855102473E-2</v>
      </c>
      <c r="P373" s="169">
        <f>(INDEX(Models!$BJ373:$BT373,,T373)*(1-R373)+INDEX(Models!$BJ373:$BT373,,T373+1)*R373-ERP_i)*Q373*Ramure*Pc/MaxiM</f>
        <v>9.1980110499064044E-3</v>
      </c>
      <c r="Q373" s="305">
        <f t="shared" si="130"/>
        <v>0.7</v>
      </c>
      <c r="R373" s="177">
        <f t="shared" si="131"/>
        <v>0.50003731322220801</v>
      </c>
      <c r="S373" s="921">
        <f t="shared" si="132"/>
        <v>1</v>
      </c>
      <c r="T373" s="176">
        <f t="shared" si="133"/>
        <v>7</v>
      </c>
      <c r="U373" s="251">
        <f t="shared" si="134"/>
        <v>1.500037313222208</v>
      </c>
      <c r="V373" s="383">
        <f t="shared" si="135"/>
        <v>24.776208387354529</v>
      </c>
      <c r="W373" s="402">
        <f t="shared" si="136"/>
        <v>13.875567784932887</v>
      </c>
      <c r="X373" s="157">
        <f t="shared" si="137"/>
        <v>45650</v>
      </c>
      <c r="Y373" s="385">
        <f t="shared" si="138"/>
        <v>12.544088667529634</v>
      </c>
      <c r="Z373" s="385">
        <f t="shared" si="139"/>
        <v>13.223156684044694</v>
      </c>
      <c r="AA373" s="386">
        <f t="shared" si="140"/>
        <v>15.200205550317184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0.13006724545453496</v>
      </c>
      <c r="AD373" s="231">
        <f>(INDEX(Models!$BJ373:$BT373,,AH373)*(1-AF373)+INDEX(Models!$BJ373:$BT373,,AH373+1)*AF373-ERP_i)*AE373*Ramure*Pc/MaxiM</f>
        <v>9.1980110499064044E-3</v>
      </c>
      <c r="AE373" s="305">
        <f t="shared" si="142"/>
        <v>0.7</v>
      </c>
      <c r="AF373" s="177">
        <f t="shared" si="143"/>
        <v>0.50003731322220801</v>
      </c>
      <c r="AG373" s="921">
        <f t="shared" si="149"/>
        <v>1</v>
      </c>
      <c r="AH373" s="176">
        <f t="shared" si="144"/>
        <v>7</v>
      </c>
      <c r="AI373" s="225">
        <f t="shared" si="145"/>
        <v>1.500037313222208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22.907408486384508</v>
      </c>
      <c r="C374" s="955"/>
      <c r="D374" s="393">
        <f t="shared" si="127"/>
        <v>24.148018583318208</v>
      </c>
      <c r="E374" s="385">
        <f t="shared" si="150"/>
        <v>25.097675497086797</v>
      </c>
      <c r="F374" s="385">
        <f t="shared" si="128"/>
        <v>25.304162366432724</v>
      </c>
      <c r="G374" s="110">
        <f t="shared" si="151"/>
        <v>0.91945531269175129</v>
      </c>
      <c r="H374" s="414" t="b">
        <f>Wh_hp&gt;='2023'!Maxi_hp</f>
        <v>0</v>
      </c>
      <c r="I374" s="390">
        <f>IF(H374,Wh_hp,'2023'!Maxi_hp)</f>
        <v>26.329619230701343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5.1375233651291485E-2</v>
      </c>
      <c r="M374" s="959"/>
      <c r="N374" s="959"/>
      <c r="O374" s="48">
        <f>IF(t&lt;Tnet,'2023'!Resal+('2023'!Salim-'2023'!Resal)*(1-EXP(('2023'!Tnet-t)/('2023'!Tau_j))),Resal+(Salim-Resal)*(1-EXP((Tnet-t)/(Tau_j))))*Salcycl</f>
        <v>3.7838441009360395E-2</v>
      </c>
      <c r="P374" s="169">
        <f>(INDEX(Models!$BJ374:$BT374,,T374)*(1-R374)+INDEX(Models!$BJ374:$BT374,,T374+1)*R374-ERP_i)*Q374*Ramure*Pc/MaxiM</f>
        <v>9.2067879149724981E-3</v>
      </c>
      <c r="Q374" s="305">
        <f t="shared" si="130"/>
        <v>0.7</v>
      </c>
      <c r="R374" s="177">
        <f t="shared" si="131"/>
        <v>0.50003731322220801</v>
      </c>
      <c r="S374" s="921">
        <f t="shared" si="132"/>
        <v>1</v>
      </c>
      <c r="T374" s="176">
        <f t="shared" si="133"/>
        <v>7</v>
      </c>
      <c r="U374" s="251">
        <f t="shared" si="134"/>
        <v>1.500037313222208</v>
      </c>
      <c r="V374" s="383">
        <f t="shared" si="135"/>
        <v>24.887817998097699</v>
      </c>
      <c r="W374" s="402">
        <f t="shared" si="136"/>
        <v>22.907408486384508</v>
      </c>
      <c r="X374" s="157">
        <f t="shared" si="137"/>
        <v>45651</v>
      </c>
      <c r="Y374" s="385">
        <f t="shared" si="138"/>
        <v>20.711146775038884</v>
      </c>
      <c r="Z374" s="385">
        <f t="shared" si="139"/>
        <v>21.832812624908421</v>
      </c>
      <c r="AA374" s="386">
        <f t="shared" si="140"/>
        <v>25.097675497086797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0.13008626526218905</v>
      </c>
      <c r="AD374" s="231">
        <f>(INDEX(Models!$BJ374:$BT374,,AH374)*(1-AF374)+INDEX(Models!$BJ374:$BT374,,AH374+1)*AF374-ERP_i)*AE374*Ramure*Pc/MaxiM</f>
        <v>9.2067879149724981E-3</v>
      </c>
      <c r="AE374" s="305">
        <f t="shared" si="142"/>
        <v>0.7</v>
      </c>
      <c r="AF374" s="177">
        <f t="shared" si="143"/>
        <v>0.50003731322220801</v>
      </c>
      <c r="AG374" s="921">
        <f t="shared" si="149"/>
        <v>1</v>
      </c>
      <c r="AH374" s="176">
        <f t="shared" si="144"/>
        <v>7</v>
      </c>
      <c r="AI374" s="225">
        <f t="shared" si="145"/>
        <v>1.500037313222208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6.2212878331416599</v>
      </c>
      <c r="C375" s="955"/>
      <c r="D375" s="393">
        <f t="shared" si="127"/>
        <v>6.5583614501682961</v>
      </c>
      <c r="E375" s="385">
        <f t="shared" si="150"/>
        <v>6.8170536334076832</v>
      </c>
      <c r="F375" s="385">
        <f t="shared" si="128"/>
        <v>6.8170536334076832</v>
      </c>
      <c r="G375" s="110">
        <f t="shared" si="151"/>
        <v>0.24641393088281857</v>
      </c>
      <c r="H375" s="414" t="b">
        <f>Wh_hp&gt;='2023'!Maxi_hp</f>
        <v>0</v>
      </c>
      <c r="I375" s="390">
        <f>IF(H375,Wh_hp,'2023'!Maxi_hp)</f>
        <v>27.615988001355355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5.1396010968255856E-2</v>
      </c>
      <c r="M375" s="959"/>
      <c r="N375" s="959"/>
      <c r="O375" s="48">
        <f>IF(t&lt;Tnet,'2023'!Resal+('2023'!Salim-'2023'!Resal)*(1-EXP(('2023'!Tnet-t)/('2023'!Tau_j))),Resal+(Salim-Resal)*(1-EXP((Tnet-t)/(Tau_j))))*Salcycl</f>
        <v>3.7947799320756356E-2</v>
      </c>
      <c r="P375" s="169">
        <f>(INDEX(Models!$BJ375:$BT375,,T375)*(1-R375)+INDEX(Models!$BJ375:$BT375,,T375+1)*R375-ERP_i)*Q375*Ramure*Pc/MaxiM</f>
        <v>9.2240628828597297E-3</v>
      </c>
      <c r="Q375" s="305">
        <f t="shared" si="130"/>
        <v>0.7</v>
      </c>
      <c r="R375" s="177">
        <f t="shared" si="131"/>
        <v>0.50003731322220801</v>
      </c>
      <c r="S375" s="921">
        <f t="shared" si="132"/>
        <v>1</v>
      </c>
      <c r="T375" s="176">
        <f t="shared" si="133"/>
        <v>7</v>
      </c>
      <c r="U375" s="251">
        <f t="shared" si="134"/>
        <v>1.500037313222208</v>
      </c>
      <c r="V375" s="383">
        <f t="shared" si="135"/>
        <v>25.014422930039686</v>
      </c>
      <c r="W375" s="402">
        <f t="shared" si="136"/>
        <v>6.2212878331416599</v>
      </c>
      <c r="X375" s="157">
        <f t="shared" si="137"/>
        <v>45652</v>
      </c>
      <c r="Y375" s="385">
        <f t="shared" si="138"/>
        <v>5.6253306494782729</v>
      </c>
      <c r="Z375" s="385">
        <f t="shared" si="139"/>
        <v>5.9301148999174478</v>
      </c>
      <c r="AA375" s="386">
        <f t="shared" si="140"/>
        <v>6.8170536334076832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0.13010587582055977</v>
      </c>
      <c r="AD375" s="231">
        <f>(INDEX(Models!$BJ375:$BT375,,AH375)*(1-AF375)+INDEX(Models!$BJ375:$BT375,,AH375+1)*AF375-ERP_i)*AE375*Ramure*Pc/MaxiM</f>
        <v>9.2240628828597297E-3</v>
      </c>
      <c r="AE375" s="305">
        <f t="shared" si="142"/>
        <v>0.7</v>
      </c>
      <c r="AF375" s="177">
        <f t="shared" si="143"/>
        <v>0.50003731322220801</v>
      </c>
      <c r="AG375" s="921">
        <f t="shared" si="149"/>
        <v>1</v>
      </c>
      <c r="AH375" s="176">
        <f t="shared" si="144"/>
        <v>7</v>
      </c>
      <c r="AI375" s="225">
        <f t="shared" si="145"/>
        <v>1.500037313222208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24.252947985440567</v>
      </c>
      <c r="C376" s="955"/>
      <c r="D376" s="393">
        <f t="shared" si="127"/>
        <v>25.567549240053129</v>
      </c>
      <c r="E376" s="385">
        <f t="shared" si="150"/>
        <v>26.579074564926</v>
      </c>
      <c r="F376" s="385">
        <f t="shared" si="128"/>
        <v>26.814230431813623</v>
      </c>
      <c r="G376" s="110">
        <f t="shared" si="151"/>
        <v>0.96368875362735495</v>
      </c>
      <c r="H376" s="414" t="b">
        <f>Wh_hp&gt;='2023'!Maxi_hp</f>
        <v>0</v>
      </c>
      <c r="I376" s="390">
        <f>IF(H376,Wh_hp,'2023'!Maxi_hp)</f>
        <v>26.820419872906378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5.1416787830143584E-2</v>
      </c>
      <c r="M376" s="959"/>
      <c r="N376" s="959"/>
      <c r="O376" s="48">
        <f>IF(t&lt;Tnet,'2023'!Resal+('2023'!Salim-'2023'!Resal)*(1-EXP(('2023'!Tnet-t)/('2023'!Tau_j))),Resal+(Salim-Resal)*(1-EXP((Tnet-t)/(Tau_j))))*Salcycl</f>
        <v>3.8057206333575261E-2</v>
      </c>
      <c r="P376" s="169">
        <f>(INDEX(Models!$BJ376:$BT376,,T376)*(1-R376)+INDEX(Models!$BJ376:$BT376,,T376+1)*R376-ERP_i)*Q376*Ramure*Pc/MaxiM</f>
        <v>9.2432107973075481E-3</v>
      </c>
      <c r="Q376" s="305">
        <f t="shared" si="130"/>
        <v>0.7</v>
      </c>
      <c r="R376" s="177">
        <f t="shared" si="131"/>
        <v>0.50003731322220801</v>
      </c>
      <c r="S376" s="921">
        <f t="shared" si="132"/>
        <v>1</v>
      </c>
      <c r="T376" s="176">
        <f t="shared" si="133"/>
        <v>7</v>
      </c>
      <c r="U376" s="251">
        <f t="shared" si="134"/>
        <v>1.500037313222208</v>
      </c>
      <c r="V376" s="383">
        <f t="shared" si="135"/>
        <v>25.154766096028176</v>
      </c>
      <c r="W376" s="402">
        <f t="shared" si="136"/>
        <v>24.252947985440567</v>
      </c>
      <c r="X376" s="157">
        <f t="shared" si="137"/>
        <v>45653</v>
      </c>
      <c r="Y376" s="385">
        <f t="shared" si="138"/>
        <v>21.931666370542764</v>
      </c>
      <c r="Z376" s="385">
        <f t="shared" si="139"/>
        <v>23.120445406549752</v>
      </c>
      <c r="AA376" s="386">
        <f t="shared" si="140"/>
        <v>26.579074564926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0.13012601886975728</v>
      </c>
      <c r="AD376" s="231">
        <f>(INDEX(Models!$BJ376:$BT376,,AH376)*(1-AF376)+INDEX(Models!$BJ376:$BT376,,AH376+1)*AF376-ERP_i)*AE376*Ramure*Pc/MaxiM</f>
        <v>9.2432107973075481E-3</v>
      </c>
      <c r="AE376" s="305">
        <f t="shared" si="142"/>
        <v>0.7</v>
      </c>
      <c r="AF376" s="177">
        <f t="shared" si="143"/>
        <v>0.50003731322220801</v>
      </c>
      <c r="AG376" s="921">
        <f t="shared" si="149"/>
        <v>1</v>
      </c>
      <c r="AH376" s="176">
        <f t="shared" si="144"/>
        <v>7</v>
      </c>
      <c r="AI376" s="225">
        <f t="shared" si="145"/>
        <v>1.500037313222208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10.560271365413854</v>
      </c>
      <c r="C377" s="955"/>
      <c r="D377" s="393">
        <f t="shared" si="127"/>
        <v>11.132921742699038</v>
      </c>
      <c r="E377" s="385">
        <f t="shared" si="150"/>
        <v>11.574688810688478</v>
      </c>
      <c r="F377" s="385">
        <f t="shared" si="128"/>
        <v>11.59268317799223</v>
      </c>
      <c r="G377" s="110">
        <f t="shared" si="151"/>
        <v>0.41405649192281502</v>
      </c>
      <c r="H377" s="414" t="b">
        <f>Wh_hp&gt;='2023'!Maxi_hp</f>
        <v>0</v>
      </c>
      <c r="I377" s="390">
        <f>IF(H377,Wh_hp,'2023'!Maxi_hp)</f>
        <v>27.222037432287717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5.1437564236964772E-2</v>
      </c>
      <c r="M377" s="959"/>
      <c r="N377" s="959"/>
      <c r="O377" s="48">
        <f>IF(t&lt;Tnet,'2023'!Resal+('2023'!Salim-'2023'!Resal)*(1-EXP(('2023'!Tnet-t)/('2023'!Tau_j))),Resal+(Salim-Resal)*(1-EXP((Tnet-t)/(Tau_j))))*Salcycl</f>
        <v>3.8166647519845012E-2</v>
      </c>
      <c r="P377" s="169">
        <f>(INDEX(Models!$BJ377:$BT377,,T377)*(1-R377)+INDEX(Models!$BJ377:$BT377,,T377+1)*R377-ERP_i)*Q377*Ramure*Pc/MaxiM</f>
        <v>9.2646222137479483E-3</v>
      </c>
      <c r="Q377" s="305">
        <f t="shared" si="130"/>
        <v>0.7</v>
      </c>
      <c r="R377" s="177">
        <f t="shared" si="131"/>
        <v>0.50003731322220801</v>
      </c>
      <c r="S377" s="921">
        <f t="shared" si="132"/>
        <v>1</v>
      </c>
      <c r="T377" s="176">
        <f t="shared" si="133"/>
        <v>7</v>
      </c>
      <c r="U377" s="251">
        <f t="shared" si="134"/>
        <v>1.500037313222208</v>
      </c>
      <c r="V377" s="383">
        <f t="shared" si="135"/>
        <v>25.307415455607224</v>
      </c>
      <c r="W377" s="402">
        <f t="shared" si="136"/>
        <v>10.560271365413854</v>
      </c>
      <c r="X377" s="157">
        <f t="shared" si="137"/>
        <v>45654</v>
      </c>
      <c r="Y377" s="385">
        <f t="shared" si="138"/>
        <v>9.5503940536726493</v>
      </c>
      <c r="Z377" s="385">
        <f t="shared" si="139"/>
        <v>10.06828195340689</v>
      </c>
      <c r="AA377" s="386">
        <f t="shared" si="140"/>
        <v>11.574688810688478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0.1301466399589524</v>
      </c>
      <c r="AD377" s="231">
        <f>(INDEX(Models!$BJ377:$BT377,,AH377)*(1-AF377)+INDEX(Models!$BJ377:$BT377,,AH377+1)*AF377-ERP_i)*AE377*Ramure*Pc/MaxiM</f>
        <v>9.2646222137479483E-3</v>
      </c>
      <c r="AE377" s="305">
        <f t="shared" si="142"/>
        <v>0.7</v>
      </c>
      <c r="AF377" s="177">
        <f t="shared" si="143"/>
        <v>0.50003731322220801</v>
      </c>
      <c r="AG377" s="921">
        <f t="shared" si="149"/>
        <v>1</v>
      </c>
      <c r="AH377" s="176">
        <f t="shared" si="144"/>
        <v>7</v>
      </c>
      <c r="AI377" s="225">
        <f t="shared" si="145"/>
        <v>1.500037313222208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15.166720601185256</v>
      </c>
      <c r="C378" s="955"/>
      <c r="D378" s="393">
        <f t="shared" si="127"/>
        <v>15.989514476573381</v>
      </c>
      <c r="E378" s="385">
        <f t="shared" si="150"/>
        <v>16.625888814584766</v>
      </c>
      <c r="F378" s="385">
        <f t="shared" si="128"/>
        <v>16.691327370956376</v>
      </c>
      <c r="G378" s="110">
        <f t="shared" si="151"/>
        <v>0.59224288011677084</v>
      </c>
      <c r="H378" s="414" t="b">
        <f>Wh_hp&gt;='2023'!Maxi_hp</f>
        <v>0</v>
      </c>
      <c r="I378" s="390">
        <f>IF(H378,Wh_hp,'2023'!Maxi_hp)</f>
        <v>27.784365944966957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5.1458340188729301E-2</v>
      </c>
      <c r="M378" s="959"/>
      <c r="N378" s="959"/>
      <c r="O378" s="48">
        <f>IF(t&lt;Tnet,'2023'!Resal+('2023'!Salim-'2023'!Resal)*(1-EXP(('2023'!Tnet-t)/('2023'!Tau_j))),Resal+(Salim-Resal)*(1-EXP((Tnet-t)/(Tau_j))))*Salcycl</f>
        <v>3.8276109332160052E-2</v>
      </c>
      <c r="P378" s="169">
        <f>(INDEX(Models!$BJ378:$BT378,,T378)*(1-R378)+INDEX(Models!$BJ378:$BT378,,T378+1)*R378-ERP_i)*Q378*Ramure*Pc/MaxiM</f>
        <v>9.2886803526660774E-3</v>
      </c>
      <c r="Q378" s="305">
        <f t="shared" si="130"/>
        <v>0.7</v>
      </c>
      <c r="R378" s="177">
        <f t="shared" si="131"/>
        <v>0.50003731322220801</v>
      </c>
      <c r="S378" s="921">
        <f t="shared" si="132"/>
        <v>1</v>
      </c>
      <c r="T378" s="176">
        <f t="shared" si="133"/>
        <v>7</v>
      </c>
      <c r="U378" s="251">
        <f t="shared" si="134"/>
        <v>1.500037313222208</v>
      </c>
      <c r="V378" s="383">
        <f t="shared" si="135"/>
        <v>25.470939626078039</v>
      </c>
      <c r="W378" s="402">
        <f t="shared" si="136"/>
        <v>15.166720601185256</v>
      </c>
      <c r="X378" s="157">
        <f t="shared" si="137"/>
        <v>45655</v>
      </c>
      <c r="Y378" s="385">
        <f t="shared" si="138"/>
        <v>13.717558402488216</v>
      </c>
      <c r="Z378" s="385">
        <f t="shared" si="139"/>
        <v>14.461735297127138</v>
      </c>
      <c r="AA378" s="386">
        <f t="shared" si="140"/>
        <v>16.625888814584766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0.13016768857248473</v>
      </c>
      <c r="AD378" s="231">
        <f>(INDEX(Models!$BJ378:$BT378,,AH378)*(1-AF378)+INDEX(Models!$BJ378:$BT378,,AH378+1)*AF378-ERP_i)*AE378*Ramure*Pc/MaxiM</f>
        <v>9.2886803526660774E-3</v>
      </c>
      <c r="AE378" s="305">
        <f t="shared" si="142"/>
        <v>0.7</v>
      </c>
      <c r="AF378" s="177">
        <f t="shared" si="143"/>
        <v>0.50003731322220801</v>
      </c>
      <c r="AG378" s="921">
        <f t="shared" si="149"/>
        <v>1</v>
      </c>
      <c r="AH378" s="176">
        <f t="shared" si="144"/>
        <v>7</v>
      </c>
      <c r="AI378" s="225">
        <f t="shared" si="145"/>
        <v>1.500037313222208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11.46933017181833</v>
      </c>
      <c r="C379" s="955"/>
      <c r="D379" s="393">
        <f t="shared" si="127"/>
        <v>12.091805632837092</v>
      </c>
      <c r="E379" s="385">
        <f t="shared" si="150"/>
        <v>12.574484504247922</v>
      </c>
      <c r="F379" s="385">
        <f t="shared" si="128"/>
        <v>12.599174915012153</v>
      </c>
      <c r="G379" s="110">
        <f t="shared" si="151"/>
        <v>0.44395711053213621</v>
      </c>
      <c r="H379" s="414" t="b">
        <f>Wh_hp&gt;='2023'!Maxi_hp</f>
        <v>0</v>
      </c>
      <c r="I379" s="390">
        <f>IF(H379,Wh_hp,'2023'!Maxi_hp)</f>
        <v>28.039920073924794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5.1479115685447163E-2</v>
      </c>
      <c r="M379" s="959"/>
      <c r="N379" s="959"/>
      <c r="O379" s="48">
        <f>IF(t&lt;Tnet,'2023'!Resal+('2023'!Salim-'2023'!Resal)*(1-EXP(('2023'!Tnet-t)/('2023'!Tau_j))),Resal+(Salim-Resal)*(1-EXP((Tnet-t)/(Tau_j))))*Salcycl</f>
        <v>3.8385579245635883E-2</v>
      </c>
      <c r="P379" s="169">
        <f>(INDEX(Models!$BJ379:$BT379,,T379)*(1-R379)+INDEX(Models!$BJ379:$BT379,,T379+1)*R379-ERP_i)*Q379*Ramure*Pc/MaxiM</f>
        <v>9.3157606720592548E-3</v>
      </c>
      <c r="Q379" s="306">
        <f t="shared" si="130"/>
        <v>0.7</v>
      </c>
      <c r="R379" s="177">
        <f t="shared" si="131"/>
        <v>0.50003731322220801</v>
      </c>
      <c r="S379" s="921">
        <f t="shared" si="132"/>
        <v>1</v>
      </c>
      <c r="T379" s="176">
        <f t="shared" si="133"/>
        <v>7</v>
      </c>
      <c r="U379" s="307">
        <f t="shared" si="134"/>
        <v>1.500037313222208</v>
      </c>
      <c r="V379" s="383">
        <f t="shared" si="135"/>
        <v>25.643907882648577</v>
      </c>
      <c r="W379" s="402">
        <f t="shared" si="136"/>
        <v>11.46933017181833</v>
      </c>
      <c r="X379" s="157">
        <f t="shared" si="137"/>
        <v>45656</v>
      </c>
      <c r="Y379" s="385">
        <f t="shared" si="138"/>
        <v>10.374374567282736</v>
      </c>
      <c r="Z379" s="385">
        <f t="shared" si="139"/>
        <v>10.937423454602966</v>
      </c>
      <c r="AA379" s="386">
        <f t="shared" si="140"/>
        <v>12.574484504247922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0.13018911821728543</v>
      </c>
      <c r="AD379" s="231">
        <f>(INDEX(Models!$BJ379:$BT379,,AH379)*(1-AF379)+INDEX(Models!$BJ379:$BT379,,AH379+1)*AF379-ERP_i)*AE379*Ramure*Pc/MaxiM</f>
        <v>9.3157606720592548E-3</v>
      </c>
      <c r="AE379" s="306">
        <f t="shared" si="142"/>
        <v>0.7</v>
      </c>
      <c r="AF379" s="177">
        <f t="shared" si="143"/>
        <v>0.50003731322220801</v>
      </c>
      <c r="AG379" s="921">
        <f t="shared" si="149"/>
        <v>1</v>
      </c>
      <c r="AH379" s="176">
        <f t="shared" si="144"/>
        <v>7</v>
      </c>
      <c r="AI379" s="222">
        <f t="shared" si="145"/>
        <v>1.500037313222208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9">
        <f>A379+1</f>
        <v>45657</v>
      </c>
      <c r="B380" s="912">
        <f>AVERAGE(B366:B379)</f>
        <v>16.500425716146502</v>
      </c>
      <c r="C380" s="965"/>
      <c r="D380" s="608">
        <f t="shared" si="127"/>
        <v>17.396335071374814</v>
      </c>
      <c r="E380" s="604">
        <f t="shared" si="150"/>
        <v>18.092818965918518</v>
      </c>
      <c r="F380" s="604">
        <f t="shared" si="128"/>
        <v>18.17506801901466</v>
      </c>
      <c r="G380" s="110">
        <f t="shared" si="151"/>
        <v>0.63584076728107919</v>
      </c>
      <c r="H380" s="605" t="b">
        <f>Wh_hp&gt;='2023'!Maxi_hp</f>
        <v>1</v>
      </c>
      <c r="I380" s="606">
        <f>IF(H380,Wh_hp,'2023'!Maxi_hp)</f>
        <v>18.17506801901466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5.149989072712835E-2</v>
      </c>
      <c r="M380" s="959"/>
      <c r="N380" s="959"/>
      <c r="O380" s="48">
        <f>IF(t&lt;Tnet,'2023'!Resal+('2023'!Salim-'2023'!Resal)*(1-EXP(('2023'!Tnet-t)/('2023'!Tau_j))),Resal+(Salim-Resal)*(1-EXP((Tnet-t)/(Tau_j))))*Salcycl</f>
        <v>3.8495045788921621E-2</v>
      </c>
      <c r="P380" s="231">
        <f>(INDEX(Models!$BJ380:$BT380,,T380)*(1-R380)+INDEX(Models!$BJ380:$BT380,,T380+1)*R380-ERP_i)*Q380*Ramure*Pc/MaxiM</f>
        <v>9.3462309279795566E-3</v>
      </c>
      <c r="Q380" s="328">
        <f t="shared" si="130"/>
        <v>0.7</v>
      </c>
      <c r="R380" s="314">
        <f>(Hp_vg-S380)/(INDEX(Echel_vg,T380+1)-S380)</f>
        <v>0.50003731322220801</v>
      </c>
      <c r="S380" s="922">
        <f>INDEX(Echel_vg,T380)</f>
        <v>1</v>
      </c>
      <c r="T380" s="233">
        <f t="shared" si="133"/>
        <v>7</v>
      </c>
      <c r="U380" s="301">
        <f t="shared" si="134"/>
        <v>1.500037313222208</v>
      </c>
      <c r="V380" s="383">
        <f t="shared" si="135"/>
        <v>25.824890165719566</v>
      </c>
      <c r="W380" s="402">
        <f t="shared" si="136"/>
        <v>16.500425716146502</v>
      </c>
      <c r="X380" s="326">
        <f t="shared" si="137"/>
        <v>45657</v>
      </c>
      <c r="Y380" s="604">
        <f t="shared" si="138"/>
        <v>14.926486435273574</v>
      </c>
      <c r="Z380" s="604">
        <f t="shared" si="139"/>
        <v>15.736936969587012</v>
      </c>
      <c r="AA380" s="607">
        <f t="shared" si="140"/>
        <v>18.092818965918518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0.13021088647210174</v>
      </c>
      <c r="AD380" s="231">
        <f>(INDEX(Models!$BJ380:$BT380,,AH380)*(1-AF380)+INDEX(Models!$BJ380:$BT380,,AH380+1)*AF380-ERP_i)*AE380*Ramure*Pc/MaxiM</f>
        <v>9.3462309279795566E-3</v>
      </c>
      <c r="AE380" s="328">
        <f t="shared" si="142"/>
        <v>0.7</v>
      </c>
      <c r="AF380" s="314">
        <f>(Hp_vg_s-AG380)/(INDEX(Echel_vg,AH380+1)-AG380)</f>
        <v>0.50003731322220801</v>
      </c>
      <c r="AG380" s="922">
        <f>INDEX(Echel_vg,AH380)</f>
        <v>1</v>
      </c>
      <c r="AH380" s="233">
        <f t="shared" si="144"/>
        <v>7</v>
      </c>
      <c r="AI380" s="225">
        <f t="shared" si="145"/>
        <v>1.500037313222208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4.3886692154114559E-2</v>
      </c>
      <c r="M381" s="961"/>
      <c r="N381" s="961"/>
      <c r="O381" s="47">
        <f t="shared" si="152"/>
        <v>8.0926651060319096E-3</v>
      </c>
      <c r="P381" s="168">
        <f t="shared" si="152"/>
        <v>7.485035481504973E-4</v>
      </c>
      <c r="Q381" s="310">
        <f t="shared" si="152"/>
        <v>0.7</v>
      </c>
      <c r="R381" s="311">
        <f t="shared" si="152"/>
        <v>3.8586258378936478E-5</v>
      </c>
      <c r="S381" s="921">
        <f t="shared" si="152"/>
        <v>1</v>
      </c>
      <c r="T381" s="176">
        <f t="shared" si="152"/>
        <v>7</v>
      </c>
      <c r="U381" s="252">
        <f>+MIN(U15:U380)</f>
        <v>1.0000385862583789</v>
      </c>
      <c r="V381" s="373">
        <f>MIN(V15:V380)</f>
        <v>23.930756289566848</v>
      </c>
      <c r="W381" s="913" t="s">
        <v>41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0.12406873139987995</v>
      </c>
      <c r="AD381" s="168">
        <f t="shared" si="153"/>
        <v>7.485035481504973E-4</v>
      </c>
      <c r="AE381" s="310">
        <f t="shared" si="153"/>
        <v>0.7</v>
      </c>
      <c r="AF381" s="311">
        <f t="shared" si="153"/>
        <v>3.8586258378936478E-5</v>
      </c>
      <c r="AG381" s="921">
        <f t="shared" si="153"/>
        <v>1</v>
      </c>
      <c r="AH381" s="176">
        <f t="shared" si="153"/>
        <v>7</v>
      </c>
      <c r="AI381" s="226">
        <f>MIN(AI15:AI380)</f>
        <v>1.0000385862583789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29.409013950802219</v>
      </c>
      <c r="C382" s="375"/>
      <c r="D382" s="375">
        <f>AVERAGE(D15:D380)</f>
        <v>30.880786474884523</v>
      </c>
      <c r="E382" s="375">
        <f>AVERAGE(E15:E380)</f>
        <v>32.462811305806397</v>
      </c>
      <c r="F382" s="376">
        <f>AVERAGE(F15:F380)</f>
        <v>32.562755264943249</v>
      </c>
      <c r="G382" s="126">
        <f>AVERAGE(G15:G380)</f>
        <v>0.67836750592823281</v>
      </c>
      <c r="H382" s="94"/>
      <c r="I382" s="376">
        <f>AVERAGE(I15:I380)</f>
        <v>43.989750682039698</v>
      </c>
      <c r="J382" s="59">
        <f>AVERAGE(J15:J380)</f>
        <v>2020.2677595628415</v>
      </c>
      <c r="K382" s="200" t="s">
        <v>8</v>
      </c>
      <c r="L382" s="147">
        <f t="shared" ref="L382:V382" si="154">AVERAGE(L15:L380)</f>
        <v>4.769834953111407E-2</v>
      </c>
      <c r="M382" s="959"/>
      <c r="N382" s="959"/>
      <c r="O382" s="48">
        <f t="shared" si="154"/>
        <v>5.6034517032703617E-2</v>
      </c>
      <c r="P382" s="169">
        <f t="shared" si="154"/>
        <v>4.4314046677574439E-3</v>
      </c>
      <c r="Q382" s="312">
        <f t="shared" si="154"/>
        <v>0.69999999999999529</v>
      </c>
      <c r="R382" s="177">
        <f t="shared" si="154"/>
        <v>0.28052359071644256</v>
      </c>
      <c r="S382" s="921">
        <f t="shared" si="154"/>
        <v>1</v>
      </c>
      <c r="T382" s="176">
        <f t="shared" si="154"/>
        <v>7</v>
      </c>
      <c r="U382" s="251">
        <f t="shared" si="154"/>
        <v>1.2805235907164416</v>
      </c>
      <c r="V382" s="375">
        <f t="shared" si="154"/>
        <v>41.851752810113723</v>
      </c>
      <c r="X382" s="112" t="s">
        <v>8</v>
      </c>
      <c r="Y382" s="375">
        <f>AVERAGE(Y15:Y380)</f>
        <v>26.716678529336765</v>
      </c>
      <c r="Z382" s="375">
        <f>AVERAGE(Z15:Z380)</f>
        <v>28.052397116082854</v>
      </c>
      <c r="AA382" s="375">
        <f>AVERAGE(AA15:AA380)</f>
        <v>32.462811305806397</v>
      </c>
      <c r="AB382" s="200" t="s">
        <v>8</v>
      </c>
      <c r="AC382" s="48">
        <f t="shared" ref="AC382:AH382" si="155">AVERAGE(AC15:AC380)</f>
        <v>0.13698918765485768</v>
      </c>
      <c r="AD382" s="169">
        <f t="shared" si="155"/>
        <v>4.4314046677574439E-3</v>
      </c>
      <c r="AE382" s="312">
        <f t="shared" si="155"/>
        <v>0.69999999999999529</v>
      </c>
      <c r="AF382" s="177">
        <f t="shared" si="155"/>
        <v>0.28052359071644256</v>
      </c>
      <c r="AG382" s="921">
        <f t="shared" si="155"/>
        <v>1</v>
      </c>
      <c r="AH382" s="176">
        <f t="shared" si="155"/>
        <v>7</v>
      </c>
      <c r="AI382" s="225">
        <f>AVERAGE(AI15:AI380)</f>
        <v>1.2805235907164416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56.423951741060392</v>
      </c>
      <c r="C383" s="377"/>
      <c r="D383" s="377">
        <f>MAX(D15:D380)</f>
        <v>59.205486209218115</v>
      </c>
      <c r="E383" s="377">
        <f>MAX(E15:E380)</f>
        <v>59.936303716235109</v>
      </c>
      <c r="F383" s="378">
        <f>MAX(F15:F380)</f>
        <v>60.251561411651238</v>
      </c>
      <c r="G383" s="127">
        <f>+MAX(G15:G380)</f>
        <v>1.0462551840388286</v>
      </c>
      <c r="H383" s="94"/>
      <c r="I383" s="378">
        <f>MAX(I15:I380)</f>
        <v>61.987907498178245</v>
      </c>
      <c r="J383" s="60">
        <f>MAX(J15:J380)</f>
        <v>2024</v>
      </c>
      <c r="K383" s="200" t="s">
        <v>9</v>
      </c>
      <c r="L383" s="148">
        <f t="shared" ref="L383:T383" si="156">MAX(L15:L380)</f>
        <v>5.149989072712835E-2</v>
      </c>
      <c r="M383" s="962"/>
      <c r="N383" s="962"/>
      <c r="O383" s="49">
        <f t="shared" si="156"/>
        <v>0.12397052847801338</v>
      </c>
      <c r="P383" s="170">
        <f t="shared" si="156"/>
        <v>1.0420196985905959E-2</v>
      </c>
      <c r="Q383" s="313">
        <f t="shared" si="156"/>
        <v>0.7</v>
      </c>
      <c r="R383" s="314">
        <f t="shared" si="156"/>
        <v>0.50003731322220801</v>
      </c>
      <c r="S383" s="922">
        <f t="shared" si="156"/>
        <v>1</v>
      </c>
      <c r="T383" s="233">
        <f t="shared" si="156"/>
        <v>7</v>
      </c>
      <c r="U383" s="253">
        <f>+MAX(U15:U380)</f>
        <v>1.500037313222208</v>
      </c>
      <c r="V383" s="377">
        <f>MAX(V15:V380)</f>
        <v>56.168417186566359</v>
      </c>
      <c r="X383" s="112" t="s">
        <v>9</v>
      </c>
      <c r="Y383" s="377">
        <f>MAX(Y15:Y380)</f>
        <v>49.848696926165367</v>
      </c>
      <c r="Z383" s="377">
        <f>MAX(Z15:Z380)</f>
        <v>52.306090717532435</v>
      </c>
      <c r="AA383" s="377">
        <f>MAX(AA15:AA380)</f>
        <v>59.936303716235109</v>
      </c>
      <c r="AB383" s="200" t="s">
        <v>9</v>
      </c>
      <c r="AC383" s="49">
        <f t="shared" ref="AC383:AH383" si="157">MAX(AC15:AC380)</f>
        <v>0.15217396064187333</v>
      </c>
      <c r="AD383" s="170">
        <f t="shared" si="157"/>
        <v>1.0420196985905959E-2</v>
      </c>
      <c r="AE383" s="313">
        <f t="shared" si="157"/>
        <v>0.7</v>
      </c>
      <c r="AF383" s="314">
        <f t="shared" si="157"/>
        <v>0.50003731322220801</v>
      </c>
      <c r="AG383" s="922">
        <f t="shared" si="157"/>
        <v>1</v>
      </c>
      <c r="AH383" s="233">
        <f t="shared" si="157"/>
        <v>7</v>
      </c>
      <c r="AI383" s="227">
        <f>MAX(AI15:AI380)</f>
        <v>1.500037313222208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0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'2024'!An+1</f>
        <v>2025</v>
      </c>
      <c r="K1" s="1217"/>
      <c r="L1" s="113" t="str">
        <f>"Calcul pertes et enveloppes en "&amp;TEXT(An,0)</f>
        <v>Calcul pertes et enveloppes en 2025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2025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-0.46550507349166992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896.59230599640375</v>
      </c>
      <c r="AK4" s="948">
        <f>AM12-AK12</f>
        <v>29.791000928247289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896.59230599640375</v>
      </c>
      <c r="AA5" s="237">
        <f>Wh_Pvg_s-Wh_Pvg</f>
        <v>29.433576733128277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1972.6768412431811</v>
      </c>
      <c r="AL5" s="517">
        <f>SUMIF(AJ15:AJ380,"VRAI",Wh_s)</f>
        <v>0</v>
      </c>
      <c r="AM5" s="517">
        <f>SUMIF(AK15:AK380,"VRAI",Wh_s)</f>
        <v>1791.9474250424403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10591.372266547036</v>
      </c>
      <c r="AK6" s="517">
        <f>SUMIF(AK15:AK380,"FAUX",Wh)</f>
        <v>8618.6954253038548</v>
      </c>
      <c r="AL6" s="517">
        <f>SUMIF(AJ15:AJ380,"FAUX",Wh_s)</f>
        <v>9659.8122955032431</v>
      </c>
      <c r="AM6" s="517">
        <f>SUMIF(AK15:AK380,"FAUX",Wh_s)</f>
        <v>7867.8648704608031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AND(YEAR(Tnet)=An,Resal_2025="I")</f>
        <v>0</v>
      </c>
      <c r="F7" s="320" t="b">
        <f>YEAR(Tnet)=An</f>
        <v>0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2177.7936414993137</v>
      </c>
      <c r="AL7" s="517">
        <f>SUMIF(AJ15:AJ380,"VRAI",Wh_pvt_s)</f>
        <v>0</v>
      </c>
      <c r="AM7" s="517">
        <f>SUMIF(AK15:AK380,"VRAI",Wh_sa_s)</f>
        <v>2177.7936414993137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AND(YEAR(Tnet)=An,Resal_2025&lt;&gt;"I")</f>
        <v>0</v>
      </c>
      <c r="F8" s="321" t="b">
        <f>YEAR(Ttai)=An</f>
        <v>1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11210.023732554535</v>
      </c>
      <c r="AK8" s="517">
        <f>SUMIF(AK15:AK380,"FAUX",Wh_sa)</f>
        <v>9723.4548837387993</v>
      </c>
      <c r="AL8" s="517">
        <f>SUMIF(AJ15:AJ380,"FAUX",Wh_pvt_s)</f>
        <v>10224.132042214978</v>
      </c>
      <c r="AM8" s="517">
        <f>SUMIF(AK15:AK380,"FAUX",Wh_sa_s)</f>
        <v>9686.5393315715719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11210.023732554535</v>
      </c>
      <c r="E9" s="184">
        <f>SUM(E$15:E$380)</f>
        <v>11901.248525238105</v>
      </c>
      <c r="F9" s="184">
        <f>SUM(F$15:F$380)</f>
        <v>11909.468719699857</v>
      </c>
      <c r="H9" s="1218">
        <f>+SUM(Wh)</f>
        <v>10591.372266547036</v>
      </c>
      <c r="I9" s="1219"/>
      <c r="J9" s="1220"/>
      <c r="K9" s="191"/>
      <c r="L9" s="232"/>
      <c r="M9" s="232"/>
      <c r="N9" s="232"/>
      <c r="O9" s="223">
        <f>Tnet_2025</f>
        <v>45412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9659.8122955032431</v>
      </c>
      <c r="Y9" s="1213"/>
      <c r="Z9" s="517">
        <f>SUM(Z$15:Z$380)</f>
        <v>10224.132042214978</v>
      </c>
      <c r="AA9" s="517">
        <f>SUM(AA$15:AA$380)</f>
        <v>11864.332973070888</v>
      </c>
      <c r="AB9" s="517">
        <f>F9</f>
        <v>11909.468719699857</v>
      </c>
      <c r="AC9" s="325">
        <f>IF(An_Tnet,Tnet,'2024'!Tnet_s)</f>
        <v>45412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2183.402988391741</v>
      </c>
      <c r="AL9" s="517">
        <f>SUMIF(AJ15:AJ380,"VRAI",Wh_sa_s)</f>
        <v>0</v>
      </c>
      <c r="AM9" s="517">
        <f>SUMIF(AK15:AK380,"VRAI",Wh_hp)</f>
        <v>2183.402988391741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8.0000000000000002E-3</v>
      </c>
      <c r="P10" s="422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IF(OR(Inflex,GainD),'2024'!Resal_s+('2024'!Salim-'2024'!Resal_s)*(1-EXP(('2024'!Tnet_s-Tnet)/('2024'!Tau_j))),IF(Acti_net,'2024'!Resal+('2024'!Salim-'2024'!Resal)*(1-EXP(('2024'!Tnet-Tnet)/'2024'!Tau_j)),'2024'!Resal_s))</f>
        <v>0.12264808171281394</v>
      </c>
      <c r="AD10" s="429"/>
      <c r="AE10" s="429"/>
      <c r="AF10" s="260"/>
      <c r="AG10" s="261"/>
      <c r="AH10" s="262"/>
      <c r="AI10" s="474"/>
      <c r="AJ10" s="517">
        <f>SUMIF(AJ15:AJ380,"FAUX",Wh_sa)</f>
        <v>11901.248525238105</v>
      </c>
      <c r="AK10" s="517">
        <f>SUMIF(AK15:AK380,"FAUX",Wh_hp)</f>
        <v>9726.0657313081192</v>
      </c>
      <c r="AL10" s="517">
        <f>SUMIF(AJ15:AJ380,"FAUX",Wh_sa_s)</f>
        <v>11864.332973070888</v>
      </c>
      <c r="AM10" s="517">
        <f>SUMIF(AK15:AK380,"FAUX",Wh_hp)</f>
        <v>9726.0657313081192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618.65146600749904</v>
      </c>
      <c r="E11" s="51">
        <f>(E$9-D$9)*Prod_an/D$9</f>
        <v>653.07793041667139</v>
      </c>
      <c r="F11" s="186">
        <f>(F$9-E$9)*Prod_an/E$9</f>
        <v>7.3154626981524942</v>
      </c>
      <c r="G11" s="185" t="s">
        <v>6</v>
      </c>
      <c r="K11" s="194"/>
      <c r="L11" s="211">
        <f>Tvie_2025</f>
        <v>43243</v>
      </c>
      <c r="M11" s="958"/>
      <c r="N11" s="958"/>
      <c r="O11" s="202">
        <f>IF(An_Tnet,Salim_2025,'2024'!Salim)</f>
        <v>0.16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-1.9999621440122004</v>
      </c>
      <c r="V11" s="429"/>
      <c r="W11" s="520"/>
      <c r="X11" s="527" t="s">
        <v>44</v>
      </c>
      <c r="Y11" s="50">
        <f>Z$9-Prod_an_s</f>
        <v>564.31974671173521</v>
      </c>
      <c r="Z11" s="51">
        <f>(AA$9-Z$9)*Prod_an_s/Z$9</f>
        <v>1549.6702364130751</v>
      </c>
      <c r="AA11" s="186">
        <f>(AB$9-AA$9)*Prod_an_s/AA$9</f>
        <v>36.749039431280771</v>
      </c>
      <c r="AB11" s="528" t="s">
        <v>6</v>
      </c>
      <c r="AC11" s="325"/>
      <c r="AD11" s="429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1.5250254223617785</v>
      </c>
      <c r="AJ11" s="947">
        <f>IF($AJ7=0,0,($AJ9-$AJ7)*$AJ5/$AJ7)</f>
        <v>0</v>
      </c>
      <c r="AK11" s="948">
        <f>IF($AK7=0,0,($AK9-$AK7)*$AK5/$AK7)</f>
        <v>5.081027191158805</v>
      </c>
      <c r="AL11" s="947">
        <f>IF($AL7=0,0,($AL9-$AL7)*$AL5/$AL7)</f>
        <v>0</v>
      </c>
      <c r="AM11" s="948">
        <f>IF($AM7=0,0,($AM9-$AM7)*$AM5/$AM7)</f>
        <v>4.615522117667135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4.6255184038828556E-2</v>
      </c>
      <c r="K12" s="191"/>
      <c r="L12" s="212">
        <f>Pspv_2025</f>
        <v>0</v>
      </c>
      <c r="M12" s="212"/>
      <c r="N12" s="212"/>
      <c r="O12" s="205">
        <f>IF(An_Tnet,Tau_2025*365,'2024'!Tau_j)</f>
        <v>1095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1.500037313222208</v>
      </c>
      <c r="V12" s="40"/>
      <c r="W12" s="34"/>
      <c r="X12" s="54"/>
      <c r="Y12" s="34"/>
      <c r="AB12" s="319" t="s">
        <v>109</v>
      </c>
      <c r="AC12" s="318" t="b">
        <f>NOT(An_Tnet)</f>
        <v>1</v>
      </c>
      <c r="AE12" s="296">
        <f>'2024'!Df_s</f>
        <v>0.7</v>
      </c>
      <c r="AF12" s="203"/>
      <c r="AG12" s="203"/>
      <c r="AH12" s="203"/>
      <c r="AI12" s="297">
        <f>'2024'!Hdf_s</f>
        <v>1.500037313222208</v>
      </c>
      <c r="AJ12" s="947">
        <f>IF($AJ8=0,0,($AJ10-$AJ8)*$AJ6/$AJ8)</f>
        <v>653.07793041667139</v>
      </c>
      <c r="AK12" s="948">
        <f>IF($AK8=0,0,($AK10-$AK8)*$AK6/$AK8)</f>
        <v>2.3142083005388772</v>
      </c>
      <c r="AL12" s="947">
        <f>IF($AL8=0,0,($AL10-$AL8)*$AL6/$AL8)</f>
        <v>1549.6702364130751</v>
      </c>
      <c r="AM12" s="948">
        <f>IF($AM8=0,0,($AM10-$AM8)*$AM6/$AM8)</f>
        <v>32.105209228786165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653.07793041667139</v>
      </c>
      <c r="AK13" s="73">
        <f>+AK11+AK12</f>
        <v>7.3952354916976821</v>
      </c>
      <c r="AL13" s="73">
        <f>+AL11+AL12</f>
        <v>1549.6702364130751</v>
      </c>
      <c r="AM13" s="73">
        <f>+AM11+AM12</f>
        <v>36.720731346453299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2025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2025</v>
      </c>
      <c r="W14" s="952" t="s">
        <v>119</v>
      </c>
      <c r="X14" s="258" t="s">
        <v>2</v>
      </c>
      <c r="Y14" s="107" t="str">
        <f>"Wh / Jour "&amp; TEXT(An,0)</f>
        <v>Wh / Jour 2025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25.365899107564697</v>
      </c>
      <c r="C15" s="955"/>
      <c r="D15" s="393">
        <f t="shared" ref="D15:D78" si="0">Wh/(1-Ppv)</f>
        <v>26.743755166744279</v>
      </c>
      <c r="E15" s="400">
        <f t="shared" ref="E15:E79" si="1">Wh_pvt/(1-Psa)</f>
        <v>27.817685921915267</v>
      </c>
      <c r="F15" s="400">
        <f t="shared" ref="F15:F78" si="2">Wh_sa/(1-Pvg*MEDIAN((-Sdif+Wh/Env_an)/Csdif,0,1))</f>
        <v>28.073455732877196</v>
      </c>
      <c r="G15" s="123">
        <f>+Wh_hp/MaxiM</f>
        <v>0.98212824376004526</v>
      </c>
      <c r="H15" s="414" t="b">
        <f>Wh_hp&gt;='2024'!Maxi_hp</f>
        <v>0</v>
      </c>
      <c r="I15" s="396">
        <f>IF(H15,Wh_hp,'2024'!Maxi_hp)</f>
        <v>28.078120973122783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5.1520665313782743E-2</v>
      </c>
      <c r="M15" s="959"/>
      <c r="N15" s="959"/>
      <c r="O15" s="48">
        <f>IF(t&lt;Tnet,'2024'!Resal+('2024'!Salim-'2024'!Resal)*(1-EXP(('2024'!Tnet-t)/('2024'!Tau_j))),Resal+(Salim-Resal)*(1-EXP((Tnet-t)/(Tau_j))))*Salcycl</f>
        <v>3.8606042148348764E-2</v>
      </c>
      <c r="P15" s="302">
        <f>(INDEX(Models!$BJ15:$BT15,,T15)*(1-R15)+INDEX(Models!$BJ15:$BT15,,T15+1)*R15-ERP_i)*Q15*Ramure*Pc/MaxiM</f>
        <v>9.3462370491496378E-3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0.50003850872043731</v>
      </c>
      <c r="S15" s="92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1.5000385087204373</v>
      </c>
      <c r="V15" s="382">
        <f t="shared" ref="V15:V78" si="9">MaxiM*(1-Ppv)*(1-Pvg)*(1-Psa)</f>
        <v>25.821343208215559</v>
      </c>
      <c r="W15" s="402">
        <f t="shared" ref="W15:W78" si="10">Wh*(A15&gt;Tmaj)</f>
        <v>25.365899107564697</v>
      </c>
      <c r="X15" s="156">
        <f t="shared" ref="X15:X78" si="11">t</f>
        <v>45658</v>
      </c>
      <c r="Y15" s="385">
        <f t="shared" ref="Y15:Y78" si="12">Wh_pvt_s*(1-Ppv)</f>
        <v>22.948231411631017</v>
      </c>
      <c r="Z15" s="385">
        <f>Wh_sa_s*(1-Psa_s)</f>
        <v>24.194761627803853</v>
      </c>
      <c r="AA15" s="386">
        <f t="shared" ref="AA15:AA78" si="13">Wh_hp*(1-Pvg_s*MEDIAN((-Sdif+Wh/Env_an)/Csdif,0,1))</f>
        <v>27.817685921915267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0.13023816230728266</v>
      </c>
      <c r="AD15" s="231">
        <f>(INDEX(Models!$BJ15:$BT15,,AH15)*(1-AF15)+INDEX(Models!$BJ15:$BT15,,AH15+1)*AF15-ERP_i)*AE15*Ramure*Pc/MaxiM</f>
        <v>9.3462370491496378E-3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0.50003850872043731</v>
      </c>
      <c r="AG15" s="92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1.5000385087204373</v>
      </c>
      <c r="AJ15" s="265" t="b">
        <f t="shared" ref="AJ15:AJ78" si="18">t&lt;Tnet</f>
        <v>0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17.725769454353372</v>
      </c>
      <c r="C16" s="955"/>
      <c r="D16" s="393">
        <f t="shared" si="0"/>
        <v>18.689028906005994</v>
      </c>
      <c r="E16" s="385">
        <f t="shared" si="1"/>
        <v>19.441722769139695</v>
      </c>
      <c r="F16" s="385">
        <f t="shared" si="2"/>
        <v>19.541459812984765</v>
      </c>
      <c r="G16" s="110">
        <f t="shared" ref="G16:G79" si="21">+Wh_hp/MaxiM</f>
        <v>0.67859785030824937</v>
      </c>
      <c r="H16" s="414" t="b">
        <f>Wh_hp&gt;='2024'!Maxi_hp</f>
        <v>0</v>
      </c>
      <c r="I16" s="390">
        <f>IF(H16,Wh_hp,'2024'!Maxi_hp)</f>
        <v>25.967841110496515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5.1541439445420445E-2</v>
      </c>
      <c r="M16" s="959"/>
      <c r="N16" s="959"/>
      <c r="O16" s="48">
        <f>IF(t&lt;Tnet,'2024'!Resal+('2024'!Salim-'2024'!Resal)*(1-EXP(('2024'!Tnet-t)/('2024'!Tau_j))),Resal+(Salim-Resal)*(1-EXP((Tnet-t)/(Tau_j))))*Salcycl</f>
        <v>3.8715389169547795E-2</v>
      </c>
      <c r="P16" s="169">
        <f>(INDEX(Models!$BJ16:$BT16,,T16)*(1-R16)+INDEX(Models!$BJ16:$BT16,,T16+1)*R16-ERP_i)*Q16*Ramure*Pc/MaxiM</f>
        <v>9.364493231011595E-3</v>
      </c>
      <c r="Q16" s="305">
        <f t="shared" si="4"/>
        <v>0.7</v>
      </c>
      <c r="R16" s="177">
        <f t="shared" si="5"/>
        <v>0.50006772333443172</v>
      </c>
      <c r="S16" s="921">
        <f t="shared" si="6"/>
        <v>1</v>
      </c>
      <c r="T16" s="176">
        <f t="shared" si="7"/>
        <v>7</v>
      </c>
      <c r="U16" s="251">
        <f t="shared" si="8"/>
        <v>1.5000677233344317</v>
      </c>
      <c r="V16" s="383">
        <f t="shared" si="9"/>
        <v>26.009306043206468</v>
      </c>
      <c r="W16" s="402">
        <f t="shared" si="10"/>
        <v>17.725769454353372</v>
      </c>
      <c r="X16" s="157">
        <f t="shared" si="11"/>
        <v>45659</v>
      </c>
      <c r="Y16" s="385">
        <f t="shared" si="12"/>
        <v>16.037713410227383</v>
      </c>
      <c r="Z16" s="385">
        <f t="shared" ref="Z16:Z78" si="22">Wh_sa_s*(1-Psa_s)</f>
        <v>16.909239978655329</v>
      </c>
      <c r="AA16" s="386">
        <f t="shared" si="13"/>
        <v>19.441722769139695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0.13026020484687889</v>
      </c>
      <c r="AD16" s="231">
        <f>(INDEX(Models!$BJ16:$BT16,,AH16)*(1-AF16)+INDEX(Models!$BJ16:$BT16,,AH16+1)*AF16-ERP_i)*AE16*Ramure*Pc/MaxiM</f>
        <v>9.364493231011595E-3</v>
      </c>
      <c r="AE16" s="305">
        <f t="shared" si="15"/>
        <v>0.7</v>
      </c>
      <c r="AF16" s="177">
        <f t="shared" ref="AF16:AF78" si="23">(Hp_vg_s-AG16)/(INDEX(Echel_vg,AH16+1)-AG16)</f>
        <v>0.50006772333443172</v>
      </c>
      <c r="AG16" s="921">
        <f t="shared" ref="AG16:AG79" si="24">INDEX(Echel_vg,AH16)</f>
        <v>1</v>
      </c>
      <c r="AH16" s="176">
        <f t="shared" si="16"/>
        <v>7</v>
      </c>
      <c r="AI16" s="225">
        <f t="shared" si="17"/>
        <v>1.5000677233344317</v>
      </c>
      <c r="AJ16" s="265" t="b">
        <f t="shared" si="18"/>
        <v>0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18.775695018196892</v>
      </c>
      <c r="C17" s="955"/>
      <c r="D17" s="393">
        <f t="shared" si="0"/>
        <v>19.796443454664963</v>
      </c>
      <c r="E17" s="385">
        <f t="shared" si="1"/>
        <v>20.596080373523261</v>
      </c>
      <c r="F17" s="385">
        <f t="shared" si="2"/>
        <v>20.711578579002492</v>
      </c>
      <c r="G17" s="110">
        <f t="shared" si="21"/>
        <v>0.71381744323120444</v>
      </c>
      <c r="H17" s="414" t="b">
        <f>Wh_hp&gt;='2024'!Maxi_hp</f>
        <v>0</v>
      </c>
      <c r="I17" s="390">
        <f>IF(H17,Wh_hp,'2024'!Maxi_hp)</f>
        <v>30.270872638205173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5.1562213122051337E-2</v>
      </c>
      <c r="M17" s="959"/>
      <c r="N17" s="959"/>
      <c r="O17" s="48">
        <f>IF(t&lt;Tnet,'2024'!Resal+('2024'!Salim-'2024'!Resal)*(1-EXP(('2024'!Tnet-t)/('2024'!Tau_j))),Resal+(Salim-Resal)*(1-EXP((Tnet-t)/(Tau_j))))*Salcycl</f>
        <v>3.8824713457918401E-2</v>
      </c>
      <c r="P17" s="169">
        <f>(INDEX(Models!$BJ17:$BT17,,T17)*(1-R17)+INDEX(Models!$BJ17:$BT17,,T17+1)*R17-ERP_i)*Q17*Ramure*Pc/MaxiM</f>
        <v>9.371112240564609E-3</v>
      </c>
      <c r="Q17" s="305">
        <f t="shared" si="4"/>
        <v>0.7</v>
      </c>
      <c r="R17" s="177">
        <f t="shared" si="5"/>
        <v>0.50009815992992124</v>
      </c>
      <c r="S17" s="921">
        <f t="shared" si="6"/>
        <v>1</v>
      </c>
      <c r="T17" s="176">
        <f t="shared" si="7"/>
        <v>7</v>
      </c>
      <c r="U17" s="251">
        <f t="shared" si="8"/>
        <v>1.5000981599299212</v>
      </c>
      <c r="V17" s="383">
        <f t="shared" si="9"/>
        <v>26.202846762713165</v>
      </c>
      <c r="W17" s="402">
        <f t="shared" si="10"/>
        <v>18.775695018196892</v>
      </c>
      <c r="X17" s="157">
        <f t="shared" si="11"/>
        <v>45660</v>
      </c>
      <c r="Y17" s="385">
        <f t="shared" si="12"/>
        <v>16.989149125850183</v>
      </c>
      <c r="Z17" s="385">
        <f t="shared" si="22"/>
        <v>17.912771254901994</v>
      </c>
      <c r="AA17" s="386">
        <f t="shared" si="13"/>
        <v>20.596080373523261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0.13028251346652939</v>
      </c>
      <c r="AD17" s="231">
        <f>(INDEX(Models!$BJ17:$BT17,,AH17)*(1-AF17)+INDEX(Models!$BJ17:$BT17,,AH17+1)*AF17-ERP_i)*AE17*Ramure*Pc/MaxiM</f>
        <v>9.371112240564609E-3</v>
      </c>
      <c r="AE17" s="305">
        <f t="shared" si="15"/>
        <v>0.7</v>
      </c>
      <c r="AF17" s="177">
        <f>(Hp_vg_s-AG17)/(INDEX(Echel_vg,AH17+1)-AG17)</f>
        <v>0.50009815992992124</v>
      </c>
      <c r="AG17" s="921">
        <f>INDEX(Echel_vg,AH17)</f>
        <v>1</v>
      </c>
      <c r="AH17" s="176">
        <f t="shared" si="16"/>
        <v>7</v>
      </c>
      <c r="AI17" s="225">
        <f t="shared" si="17"/>
        <v>1.5000981599299212</v>
      </c>
      <c r="AJ17" s="265" t="b">
        <f t="shared" si="18"/>
        <v>0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19.629378325728034</v>
      </c>
      <c r="C18" s="955"/>
      <c r="D18" s="393">
        <f t="shared" si="0"/>
        <v>20.69699092602032</v>
      </c>
      <c r="E18" s="385">
        <f t="shared" si="1"/>
        <v>21.535452374202148</v>
      </c>
      <c r="F18" s="385">
        <f t="shared" si="2"/>
        <v>21.664024808805642</v>
      </c>
      <c r="G18" s="110">
        <f t="shared" si="21"/>
        <v>0.74095494085840985</v>
      </c>
      <c r="H18" s="414" t="b">
        <f>Wh_hp&gt;='2024'!Maxi_hp</f>
        <v>0</v>
      </c>
      <c r="I18" s="390">
        <f>IF(H18,Wh_hp,'2024'!Maxi_hp)</f>
        <v>25.910930416910517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5.15829863436853E-2</v>
      </c>
      <c r="M18" s="959"/>
      <c r="N18" s="959"/>
      <c r="O18" s="48">
        <f>IF(t&lt;Tnet,'2024'!Resal+('2024'!Salim-'2024'!Resal)*(1-EXP(('2024'!Tnet-t)/('2024'!Tau_j))),Resal+(Salim-Resal)*(1-EXP((Tnet-t)/(Tau_j))))*Salcycl</f>
        <v>3.8934006753730474E-2</v>
      </c>
      <c r="P18" s="169">
        <f>(INDEX(Models!$BJ18:$BT18,,T18)*(1-R18)+INDEX(Models!$BJ18:$BT18,,T18+1)*R18-ERP_i)*Q18*Ramure*Pc/MaxiM</f>
        <v>9.3668091596549284E-3</v>
      </c>
      <c r="Q18" s="305">
        <f t="shared" si="4"/>
        <v>0.7</v>
      </c>
      <c r="R18" s="177">
        <f t="shared" si="5"/>
        <v>0.5001298694612164</v>
      </c>
      <c r="S18" s="921">
        <f t="shared" si="6"/>
        <v>1</v>
      </c>
      <c r="T18" s="176">
        <f t="shared" si="7"/>
        <v>7</v>
      </c>
      <c r="U18" s="251">
        <f t="shared" si="8"/>
        <v>1.5001298694612164</v>
      </c>
      <c r="V18" s="383">
        <f t="shared" si="9"/>
        <v>26.400537395277009</v>
      </c>
      <c r="W18" s="402">
        <f t="shared" si="10"/>
        <v>19.629378325728034</v>
      </c>
      <c r="X18" s="157">
        <f t="shared" si="11"/>
        <v>45661</v>
      </c>
      <c r="Y18" s="385">
        <f t="shared" si="12"/>
        <v>17.763162120796903</v>
      </c>
      <c r="Z18" s="385">
        <f>Wh_sa_s*(1-Psa_s)</f>
        <v>18.729274006079649</v>
      </c>
      <c r="AA18" s="386">
        <f t="shared" si="13"/>
        <v>21.535452374202148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0.1303050578813979</v>
      </c>
      <c r="AD18" s="231">
        <f>(INDEX(Models!$BJ18:$BT18,,AH18)*(1-AF18)+INDEX(Models!$BJ18:$BT18,,AH18+1)*AF18-ERP_i)*AE18*Ramure*Pc/MaxiM</f>
        <v>9.3668091596549284E-3</v>
      </c>
      <c r="AE18" s="305">
        <f t="shared" si="15"/>
        <v>0.7</v>
      </c>
      <c r="AF18" s="177">
        <f t="shared" si="23"/>
        <v>0.5001298694612164</v>
      </c>
      <c r="AG18" s="921">
        <f t="shared" si="24"/>
        <v>1</v>
      </c>
      <c r="AH18" s="176">
        <f t="shared" si="16"/>
        <v>7</v>
      </c>
      <c r="AI18" s="225">
        <f t="shared" si="17"/>
        <v>1.5001298694612164</v>
      </c>
      <c r="AJ18" s="265" t="b">
        <f t="shared" si="18"/>
        <v>0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13.864758578378368</v>
      </c>
      <c r="C19" s="955"/>
      <c r="D19" s="393">
        <f t="shared" si="0"/>
        <v>14.619162308543288</v>
      </c>
      <c r="E19" s="385">
        <f t="shared" si="1"/>
        <v>15.213132629681335</v>
      </c>
      <c r="F19" s="385">
        <f t="shared" si="2"/>
        <v>15.258228252127548</v>
      </c>
      <c r="G19" s="110">
        <f t="shared" si="21"/>
        <v>0.51786892281051444</v>
      </c>
      <c r="H19" s="414" t="b">
        <f>Wh_hp&gt;='2024'!Maxi_hp</f>
        <v>0</v>
      </c>
      <c r="I19" s="390">
        <f>IF(H19,Wh_hp,'2024'!Maxi_hp)</f>
        <v>29.868700088933423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5.1603759110332548E-2</v>
      </c>
      <c r="M19" s="959"/>
      <c r="N19" s="959"/>
      <c r="O19" s="48">
        <f>IF(t&lt;Tnet,'2024'!Resal+('2024'!Salim-'2024'!Resal)*(1-EXP(('2024'!Tnet-t)/('2024'!Tau_j))),Resal+(Salim-Resal)*(1-EXP((Tnet-t)/(Tau_j))))*Salcycl</f>
        <v>3.9043261870943605E-2</v>
      </c>
      <c r="P19" s="169">
        <f>(INDEX(Models!$BJ19:$BT19,,T19)*(1-R19)+INDEX(Models!$BJ19:$BT19,,T19+1)*R19-ERP_i)*Q19*Ramure*Pc/MaxiM</f>
        <v>9.3522880710301196E-3</v>
      </c>
      <c r="Q19" s="305">
        <f t="shared" si="4"/>
        <v>0.7</v>
      </c>
      <c r="R19" s="177">
        <f t="shared" si="5"/>
        <v>0.50016290499377791</v>
      </c>
      <c r="S19" s="921">
        <f t="shared" si="6"/>
        <v>1</v>
      </c>
      <c r="T19" s="176">
        <f t="shared" si="7"/>
        <v>7</v>
      </c>
      <c r="U19" s="251">
        <f t="shared" si="8"/>
        <v>1.5001629049937779</v>
      </c>
      <c r="V19" s="383">
        <f t="shared" si="9"/>
        <v>26.600950713236873</v>
      </c>
      <c r="W19" s="402">
        <f t="shared" si="10"/>
        <v>13.864758578378368</v>
      </c>
      <c r="X19" s="157">
        <f t="shared" si="11"/>
        <v>45662</v>
      </c>
      <c r="Y19" s="385">
        <f t="shared" si="12"/>
        <v>12.547697991455641</v>
      </c>
      <c r="Z19" s="385">
        <f t="shared" si="22"/>
        <v>13.230438344720715</v>
      </c>
      <c r="AA19" s="386">
        <f t="shared" si="13"/>
        <v>15.213132629681335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0.1303278117152753</v>
      </c>
      <c r="AD19" s="231">
        <f>(INDEX(Models!$BJ19:$BT19,,AH19)*(1-AF19)+INDEX(Models!$BJ19:$BT19,,AH19+1)*AF19-ERP_i)*AE19*Ramure*Pc/MaxiM</f>
        <v>9.3522880710301196E-3</v>
      </c>
      <c r="AE19" s="305">
        <f t="shared" si="15"/>
        <v>0.7</v>
      </c>
      <c r="AF19" s="177">
        <f t="shared" si="23"/>
        <v>0.50016290499377791</v>
      </c>
      <c r="AG19" s="921">
        <f t="shared" si="24"/>
        <v>1</v>
      </c>
      <c r="AH19" s="176">
        <f t="shared" si="16"/>
        <v>7</v>
      </c>
      <c r="AI19" s="225">
        <f t="shared" si="17"/>
        <v>1.5001629049937779</v>
      </c>
      <c r="AJ19" s="265" t="b">
        <f t="shared" si="18"/>
        <v>0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25.498499349004408</v>
      </c>
      <c r="C20" s="955"/>
      <c r="D20" s="393">
        <f t="shared" si="0"/>
        <v>26.886502438994007</v>
      </c>
      <c r="E20" s="385">
        <f t="shared" si="1"/>
        <v>27.982069656638227</v>
      </c>
      <c r="F20" s="385">
        <f t="shared" si="2"/>
        <v>28.227075563412633</v>
      </c>
      <c r="G20" s="110">
        <f t="shared" si="21"/>
        <v>0.95071984302469359</v>
      </c>
      <c r="H20" s="414" t="b">
        <f>Wh_hp&gt;='2024'!Maxi_hp</f>
        <v>0</v>
      </c>
      <c r="I20" s="390">
        <f>IF(H20,Wh_hp,'2024'!Maxi_hp)</f>
        <v>28.521480989437787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5.162453142200274E-2</v>
      </c>
      <c r="M20" s="959"/>
      <c r="N20" s="959"/>
      <c r="O20" s="48">
        <f>IF(t&lt;Tnet,'2024'!Resal+('2024'!Salim-'2024'!Resal)*(1-EXP(('2024'!Tnet-t)/('2024'!Tau_j))),Resal+(Salim-Resal)*(1-EXP((Tnet-t)/(Tau_j))))*Salcycl</f>
        <v>3.9152472675812781E-2</v>
      </c>
      <c r="P20" s="169">
        <f>(INDEX(Models!$BJ20:$BT20,,T20)*(1-R20)+INDEX(Models!$BJ20:$BT20,,T20+1)*R20-ERP_i)*Q20*Ramure*Pc/MaxiM</f>
        <v>9.3282365683412163E-3</v>
      </c>
      <c r="Q20" s="305">
        <f t="shared" si="4"/>
        <v>0.7</v>
      </c>
      <c r="R20" s="177">
        <f t="shared" si="5"/>
        <v>0.50019732179052867</v>
      </c>
      <c r="S20" s="921">
        <f t="shared" si="6"/>
        <v>1</v>
      </c>
      <c r="T20" s="176">
        <f t="shared" si="7"/>
        <v>7</v>
      </c>
      <c r="U20" s="251">
        <f t="shared" si="8"/>
        <v>1.5001973217905287</v>
      </c>
      <c r="V20" s="383">
        <f t="shared" si="9"/>
        <v>26.802660210740004</v>
      </c>
      <c r="W20" s="402">
        <f t="shared" si="10"/>
        <v>25.498499349004408</v>
      </c>
      <c r="X20" s="157">
        <f t="shared" si="11"/>
        <v>45663</v>
      </c>
      <c r="Y20" s="385">
        <f t="shared" si="12"/>
        <v>23.078324233320881</v>
      </c>
      <c r="Z20" s="385">
        <f t="shared" si="22"/>
        <v>24.334585823824323</v>
      </c>
      <c r="AA20" s="386">
        <f t="shared" si="13"/>
        <v>27.982069656638227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0.13035075237719618</v>
      </c>
      <c r="AD20" s="231">
        <f>(INDEX(Models!$BJ20:$BT20,,AH20)*(1-AF20)+INDEX(Models!$BJ20:$BT20,,AH20+1)*AF20-ERP_i)*AE20*Ramure*Pc/MaxiM</f>
        <v>9.3282365683412163E-3</v>
      </c>
      <c r="AE20" s="305">
        <f t="shared" si="15"/>
        <v>0.7</v>
      </c>
      <c r="AF20" s="177">
        <f t="shared" si="23"/>
        <v>0.50019732179052867</v>
      </c>
      <c r="AG20" s="921">
        <f t="shared" si="24"/>
        <v>1</v>
      </c>
      <c r="AH20" s="176">
        <f t="shared" si="16"/>
        <v>7</v>
      </c>
      <c r="AI20" s="225">
        <f t="shared" si="17"/>
        <v>1.5001973217905287</v>
      </c>
      <c r="AJ20" s="265" t="b">
        <f t="shared" si="18"/>
        <v>0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9.267163937141893</v>
      </c>
      <c r="C21" s="955"/>
      <c r="D21" s="393">
        <f t="shared" si="0"/>
        <v>9.7718332277795028</v>
      </c>
      <c r="E21" s="385">
        <f t="shared" si="1"/>
        <v>10.171169981516845</v>
      </c>
      <c r="F21" s="385">
        <f t="shared" si="2"/>
        <v>10.177004602622151</v>
      </c>
      <c r="G21" s="110">
        <f t="shared" si="21"/>
        <v>0.34017951512596833</v>
      </c>
      <c r="H21" s="414" t="b">
        <f>Wh_hp&gt;='2024'!Maxi_hp</f>
        <v>0</v>
      </c>
      <c r="I21" s="390">
        <f>IF(H21,Wh_hp,'2024'!Maxi_hp)</f>
        <v>15.334327230197083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5.164530327870609E-2</v>
      </c>
      <c r="M21" s="959"/>
      <c r="N21" s="959"/>
      <c r="O21" s="48">
        <f>IF(t&lt;Tnet,'2024'!Resal+('2024'!Salim-'2024'!Resal)*(1-EXP(('2024'!Tnet-t)/('2024'!Tau_j))),Resal+(Salim-Resal)*(1-EXP((Tnet-t)/(Tau_j))))*Salcycl</f>
        <v>3.9261634056162863E-2</v>
      </c>
      <c r="P21" s="169">
        <f>(INDEX(Models!$BJ21:$BT21,,T21)*(1-R21)+INDEX(Models!$BJ21:$BT21,,T21+1)*R21-ERP_i)*Q21*Ramure*Pc/MaxiM</f>
        <v>9.2953211721549314E-3</v>
      </c>
      <c r="Q21" s="305">
        <f t="shared" si="4"/>
        <v>0.7</v>
      </c>
      <c r="R21" s="177">
        <f t="shared" si="5"/>
        <v>0.50023317740159179</v>
      </c>
      <c r="S21" s="921">
        <f t="shared" si="6"/>
        <v>1</v>
      </c>
      <c r="T21" s="176">
        <f t="shared" si="7"/>
        <v>7</v>
      </c>
      <c r="U21" s="251">
        <f t="shared" si="8"/>
        <v>1.5002331774015918</v>
      </c>
      <c r="V21" s="383">
        <f t="shared" si="9"/>
        <v>27.004240095289227</v>
      </c>
      <c r="W21" s="402">
        <f t="shared" si="10"/>
        <v>9.267163937141893</v>
      </c>
      <c r="X21" s="157">
        <f t="shared" si="11"/>
        <v>45664</v>
      </c>
      <c r="Y21" s="385">
        <f t="shared" si="12"/>
        <v>8.3883066198370901</v>
      </c>
      <c r="Z21" s="385">
        <f t="shared" si="22"/>
        <v>8.8451152810626912</v>
      </c>
      <c r="AA21" s="386">
        <f t="shared" si="13"/>
        <v>10.171169981516845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0.13037386090920455</v>
      </c>
      <c r="AD21" s="231">
        <f>(INDEX(Models!$BJ21:$BT21,,AH21)*(1-AF21)+INDEX(Models!$BJ21:$BT21,,AH21+1)*AF21-ERP_i)*AE21*Ramure*Pc/MaxiM</f>
        <v>9.2953211721549314E-3</v>
      </c>
      <c r="AE21" s="305">
        <f t="shared" si="15"/>
        <v>0.7</v>
      </c>
      <c r="AF21" s="177">
        <f t="shared" si="23"/>
        <v>0.50023317740159179</v>
      </c>
      <c r="AG21" s="921">
        <f t="shared" si="24"/>
        <v>1</v>
      </c>
      <c r="AH21" s="176">
        <f t="shared" si="16"/>
        <v>7</v>
      </c>
      <c r="AI21" s="225">
        <f t="shared" si="17"/>
        <v>1.5002331774015918</v>
      </c>
      <c r="AJ21" s="265" t="b">
        <f t="shared" si="18"/>
        <v>0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5.3717721591595424</v>
      </c>
      <c r="C22" s="955"/>
      <c r="D22" s="393">
        <f t="shared" si="0"/>
        <v>5.6644310782718099</v>
      </c>
      <c r="E22" s="385">
        <f t="shared" si="1"/>
        <v>5.8965839634831561</v>
      </c>
      <c r="F22" s="385">
        <f t="shared" si="2"/>
        <v>5.8965839634831561</v>
      </c>
      <c r="G22" s="110">
        <f t="shared" si="21"/>
        <v>0.19563332217573665</v>
      </c>
      <c r="H22" s="414" t="b">
        <f>Wh_hp&gt;='2024'!Maxi_hp</f>
        <v>0</v>
      </c>
      <c r="I22" s="390">
        <f>IF(H22,Wh_hp,'2024'!Maxi_hp)</f>
        <v>20.926751067686602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5.1666074680452478E-2</v>
      </c>
      <c r="M22" s="959"/>
      <c r="N22" s="959"/>
      <c r="O22" s="48">
        <f>IF(t&lt;Tnet,'2024'!Resal+('2024'!Salim-'2024'!Resal)*(1-EXP(('2024'!Tnet-t)/('2024'!Tau_j))),Resal+(Salim-Resal)*(1-EXP((Tnet-t)/(Tau_j))))*Salcycl</f>
        <v>3.9370741881916971E-2</v>
      </c>
      <c r="P22" s="169">
        <f>(INDEX(Models!$BJ22:$BT22,,T22)*(1-R22)+INDEX(Models!$BJ22:$BT22,,T22+1)*R22-ERP_i)*Q22*Ramure*Pc/MaxiM</f>
        <v>9.2541835865013623E-3</v>
      </c>
      <c r="Q22" s="305">
        <f t="shared" si="4"/>
        <v>0.7</v>
      </c>
      <c r="R22" s="177">
        <f t="shared" si="5"/>
        <v>0.50027053175758907</v>
      </c>
      <c r="S22" s="921">
        <f t="shared" si="6"/>
        <v>1</v>
      </c>
      <c r="T22" s="176">
        <f t="shared" si="7"/>
        <v>7</v>
      </c>
      <c r="U22" s="251">
        <f t="shared" si="8"/>
        <v>1.5002705317575891</v>
      </c>
      <c r="V22" s="383">
        <f t="shared" si="9"/>
        <v>27.204265276612936</v>
      </c>
      <c r="W22" s="402">
        <f t="shared" si="10"/>
        <v>5.3717721591595424</v>
      </c>
      <c r="X22" s="157">
        <f t="shared" si="11"/>
        <v>45665</v>
      </c>
      <c r="Y22" s="385">
        <f t="shared" si="12"/>
        <v>4.8627589583827673</v>
      </c>
      <c r="Z22" s="385">
        <f t="shared" si="22"/>
        <v>5.1276863861473982</v>
      </c>
      <c r="AA22" s="386">
        <f t="shared" si="13"/>
        <v>5.8965839634831561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0.13039712180771937</v>
      </c>
      <c r="AD22" s="231">
        <f>(INDEX(Models!$BJ22:$BT22,,AH22)*(1-AF22)+INDEX(Models!$BJ22:$BT22,,AH22+1)*AF22-ERP_i)*AE22*Ramure*Pc/MaxiM</f>
        <v>9.2541835865013623E-3</v>
      </c>
      <c r="AE22" s="305">
        <f t="shared" si="15"/>
        <v>0.7</v>
      </c>
      <c r="AF22" s="177">
        <f t="shared" si="23"/>
        <v>0.50027053175758907</v>
      </c>
      <c r="AG22" s="921">
        <f t="shared" si="24"/>
        <v>1</v>
      </c>
      <c r="AH22" s="176">
        <f t="shared" si="16"/>
        <v>7</v>
      </c>
      <c r="AI22" s="225">
        <f t="shared" si="17"/>
        <v>1.5002705317575891</v>
      </c>
      <c r="AJ22" s="265" t="b">
        <f t="shared" si="18"/>
        <v>0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1.5971176261219282</v>
      </c>
      <c r="C23" s="955"/>
      <c r="D23" s="393">
        <f t="shared" si="0"/>
        <v>1.6841669007305133</v>
      </c>
      <c r="E23" s="385">
        <f t="shared" si="1"/>
        <v>1.7533903903138381</v>
      </c>
      <c r="F23" s="385">
        <f t="shared" si="2"/>
        <v>1.7533903903138381</v>
      </c>
      <c r="G23" s="110">
        <f t="shared" si="21"/>
        <v>5.7743182402736973E-2</v>
      </c>
      <c r="H23" s="414" t="b">
        <f>Wh_hp&gt;='2024'!Maxi_hp</f>
        <v>0</v>
      </c>
      <c r="I23" s="390">
        <f>IF(H23,Wh_hp,'2024'!Maxi_hp)</f>
        <v>27.858667670277544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5.1686845627251787E-2</v>
      </c>
      <c r="M23" s="959"/>
      <c r="N23" s="959"/>
      <c r="O23" s="48">
        <f>IF(t&lt;Tnet,'2024'!Resal+('2024'!Salim-'2024'!Resal)*(1-EXP(('2024'!Tnet-t)/('2024'!Tau_j))),Resal+(Salim-Resal)*(1-EXP((Tnet-t)/(Tau_j))))*Salcycl</f>
        <v>3.9479792957536688E-2</v>
      </c>
      <c r="P23" s="169">
        <f>(INDEX(Models!$BJ23:$BT23,,T23)*(1-R23)+INDEX(Models!$BJ23:$BT23,,T23+1)*R23-ERP_i)*Q23*Ramure*Pc/MaxiM</f>
        <v>9.2044107268408771E-3</v>
      </c>
      <c r="Q23" s="305">
        <f t="shared" si="4"/>
        <v>0.7</v>
      </c>
      <c r="R23" s="177">
        <f t="shared" si="5"/>
        <v>0.50030944726662407</v>
      </c>
      <c r="S23" s="921">
        <f t="shared" si="6"/>
        <v>1</v>
      </c>
      <c r="T23" s="176">
        <f t="shared" si="7"/>
        <v>7</v>
      </c>
      <c r="U23" s="251">
        <f t="shared" si="8"/>
        <v>1.5003094472666241</v>
      </c>
      <c r="V23" s="383">
        <f t="shared" si="9"/>
        <v>27.404397084927901</v>
      </c>
      <c r="W23" s="402">
        <f t="shared" si="10"/>
        <v>1.5971176261219282</v>
      </c>
      <c r="X23" s="157">
        <f t="shared" si="11"/>
        <v>45666</v>
      </c>
      <c r="Y23" s="385">
        <f t="shared" si="12"/>
        <v>1.4459047296803524</v>
      </c>
      <c r="Z23" s="385">
        <f t="shared" si="22"/>
        <v>1.5247122988995454</v>
      </c>
      <c r="AA23" s="386">
        <f t="shared" si="13"/>
        <v>1.7533903903138381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0.13042052282113958</v>
      </c>
      <c r="AD23" s="231">
        <f>(INDEX(Models!$BJ23:$BT23,,AH23)*(1-AF23)+INDEX(Models!$BJ23:$BT23,,AH23+1)*AF23-ERP_i)*AE23*Ramure*Pc/MaxiM</f>
        <v>9.2044107268408771E-3</v>
      </c>
      <c r="AE23" s="305">
        <f t="shared" si="15"/>
        <v>0.7</v>
      </c>
      <c r="AF23" s="177">
        <f t="shared" si="23"/>
        <v>0.50030944726662407</v>
      </c>
      <c r="AG23" s="921">
        <f t="shared" si="24"/>
        <v>1</v>
      </c>
      <c r="AH23" s="176">
        <f t="shared" si="16"/>
        <v>7</v>
      </c>
      <c r="AI23" s="225">
        <f t="shared" si="17"/>
        <v>1.5003094472666241</v>
      </c>
      <c r="AJ23" s="265" t="b">
        <f t="shared" si="18"/>
        <v>0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1.4778060737451213</v>
      </c>
      <c r="C24" s="955"/>
      <c r="D24" s="393">
        <f t="shared" si="0"/>
        <v>1.5583865259965508</v>
      </c>
      <c r="E24" s="385">
        <f t="shared" si="1"/>
        <v>1.6226242484508717</v>
      </c>
      <c r="F24" s="385">
        <f t="shared" si="2"/>
        <v>1.6226242484508717</v>
      </c>
      <c r="G24" s="110">
        <f t="shared" si="21"/>
        <v>5.3039679100287132E-2</v>
      </c>
      <c r="H24" s="414" t="b">
        <f>Wh_hp&gt;='2024'!Maxi_hp</f>
        <v>0</v>
      </c>
      <c r="I24" s="390">
        <f>IF(H24,Wh_hp,'2024'!Maxi_hp)</f>
        <v>10.822941868477683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5.1707616119114119E-2</v>
      </c>
      <c r="M24" s="959"/>
      <c r="N24" s="959"/>
      <c r="O24" s="48">
        <f>IF(t&lt;Tnet,'2024'!Resal+('2024'!Salim-'2024'!Resal)*(1-EXP(('2024'!Tnet-t)/('2024'!Tau_j))),Resal+(Salim-Resal)*(1-EXP((Tnet-t)/(Tau_j))))*Salcycl</f>
        <v>3.9588784967098306E-2</v>
      </c>
      <c r="P24" s="169">
        <f>(INDEX(Models!$BJ24:$BT24,,T24)*(1-R24)+INDEX(Models!$BJ24:$BT24,,T24+1)*R24-ERP_i)*Q24*Ramure*Pc/MaxiM</f>
        <v>9.1382474981327282E-3</v>
      </c>
      <c r="Q24" s="305">
        <f t="shared" si="4"/>
        <v>0.7</v>
      </c>
      <c r="R24" s="177">
        <f t="shared" si="5"/>
        <v>0.50034998891509375</v>
      </c>
      <c r="S24" s="921">
        <f t="shared" si="6"/>
        <v>1</v>
      </c>
      <c r="T24" s="176">
        <f t="shared" si="7"/>
        <v>7</v>
      </c>
      <c r="U24" s="251">
        <f t="shared" si="8"/>
        <v>1.5003499889150937</v>
      </c>
      <c r="V24" s="383">
        <f t="shared" si="9"/>
        <v>27.607661677596152</v>
      </c>
      <c r="W24" s="402">
        <f t="shared" si="10"/>
        <v>1.4778060737451213</v>
      </c>
      <c r="X24" s="157">
        <f t="shared" si="11"/>
        <v>45667</v>
      </c>
      <c r="Y24" s="385">
        <f t="shared" si="12"/>
        <v>1.3380050516614916</v>
      </c>
      <c r="Z24" s="385">
        <f t="shared" si="22"/>
        <v>1.4109625621854169</v>
      </c>
      <c r="AA24" s="386">
        <f t="shared" si="13"/>
        <v>1.6226242484508717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0.13044405472648973</v>
      </c>
      <c r="AD24" s="231">
        <f>(INDEX(Models!$BJ24:$BT24,,AH24)*(1-AF24)+INDEX(Models!$BJ24:$BT24,,AH24+1)*AF24-ERP_i)*AE24*Ramure*Pc/MaxiM</f>
        <v>9.1382474981327282E-3</v>
      </c>
      <c r="AE24" s="305">
        <f t="shared" si="15"/>
        <v>0.7</v>
      </c>
      <c r="AF24" s="177">
        <f t="shared" si="23"/>
        <v>0.50034998891509375</v>
      </c>
      <c r="AG24" s="921">
        <f t="shared" si="24"/>
        <v>1</v>
      </c>
      <c r="AH24" s="176">
        <f t="shared" si="16"/>
        <v>7</v>
      </c>
      <c r="AI24" s="225">
        <f t="shared" si="17"/>
        <v>1.5003499889150937</v>
      </c>
      <c r="AJ24" s="265" t="b">
        <f t="shared" si="18"/>
        <v>0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27.416438273876171</v>
      </c>
      <c r="C25" s="955"/>
      <c r="D25" s="393">
        <f t="shared" si="0"/>
        <v>28.912009885796152</v>
      </c>
      <c r="E25" s="385">
        <f t="shared" si="1"/>
        <v>30.107196848262451</v>
      </c>
      <c r="F25" s="385">
        <f t="shared" si="2"/>
        <v>30.376675314379604</v>
      </c>
      <c r="G25" s="110">
        <f t="shared" si="21"/>
        <v>0.9855089124544022</v>
      </c>
      <c r="H25" s="414" t="b">
        <f>Wh_hp&gt;='2024'!Maxi_hp</f>
        <v>0</v>
      </c>
      <c r="I25" s="390">
        <f>IF(H25,Wh_hp,'2024'!Maxi_hp)</f>
        <v>30.380982956889898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5.1728386156049355E-2</v>
      </c>
      <c r="M25" s="959"/>
      <c r="N25" s="959"/>
      <c r="O25" s="48">
        <f>IF(t&lt;Tnet,'2024'!Resal+('2024'!Salim-'2024'!Resal)*(1-EXP(('2024'!Tnet-t)/('2024'!Tau_j))),Resal+(Salim-Resal)*(1-EXP((Tnet-t)/(Tau_j))))*Salcycl</f>
        <v>3.9697716412787735E-2</v>
      </c>
      <c r="P25" s="169">
        <f>(INDEX(Models!$BJ25:$BT25,,T25)*(1-R25)+INDEX(Models!$BJ25:$BT25,,T25+1)*R25-ERP_i)*Q25*Ramure*Pc/MaxiM</f>
        <v>9.0563282281303503E-3</v>
      </c>
      <c r="Q25" s="305">
        <f t="shared" si="4"/>
        <v>0.7</v>
      </c>
      <c r="R25" s="177">
        <f t="shared" si="5"/>
        <v>0.50039222437245967</v>
      </c>
      <c r="S25" s="921">
        <f t="shared" si="6"/>
        <v>1</v>
      </c>
      <c r="T25" s="176">
        <f t="shared" si="7"/>
        <v>7</v>
      </c>
      <c r="U25" s="251">
        <f t="shared" si="8"/>
        <v>1.5003922243724597</v>
      </c>
      <c r="V25" s="383">
        <f t="shared" si="9"/>
        <v>27.814378707945277</v>
      </c>
      <c r="W25" s="402">
        <f t="shared" si="10"/>
        <v>27.416438273876171</v>
      </c>
      <c r="X25" s="157">
        <f t="shared" si="11"/>
        <v>45668</v>
      </c>
      <c r="Y25" s="385">
        <f t="shared" si="12"/>
        <v>24.824973066860373</v>
      </c>
      <c r="Z25" s="385">
        <f t="shared" si="22"/>
        <v>26.179179788192645</v>
      </c>
      <c r="AA25" s="386">
        <f t="shared" si="13"/>
        <v>30.107196848262451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0.13046771108803834</v>
      </c>
      <c r="AD25" s="231">
        <f>(INDEX(Models!$BJ25:$BT25,,AH25)*(1-AF25)+INDEX(Models!$BJ25:$BT25,,AH25+1)*AF25-ERP_i)*AE25*Ramure*Pc/MaxiM</f>
        <v>9.0563282281303503E-3</v>
      </c>
      <c r="AE25" s="305">
        <f t="shared" si="15"/>
        <v>0.7</v>
      </c>
      <c r="AF25" s="177">
        <f t="shared" si="23"/>
        <v>0.50039222437245967</v>
      </c>
      <c r="AG25" s="921">
        <f t="shared" si="24"/>
        <v>1</v>
      </c>
      <c r="AH25" s="176">
        <f t="shared" si="16"/>
        <v>7</v>
      </c>
      <c r="AI25" s="225">
        <f t="shared" si="17"/>
        <v>1.5003922243724597</v>
      </c>
      <c r="AJ25" s="265" t="b">
        <f t="shared" si="18"/>
        <v>0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22.235562202896936</v>
      </c>
      <c r="C26" s="955"/>
      <c r="D26" s="393">
        <f t="shared" si="0"/>
        <v>23.449029692353086</v>
      </c>
      <c r="E26" s="385">
        <f t="shared" si="1"/>
        <v>24.421152409328251</v>
      </c>
      <c r="F26" s="385">
        <f t="shared" si="2"/>
        <v>24.576352734154657</v>
      </c>
      <c r="G26" s="110">
        <f t="shared" si="21"/>
        <v>0.79131121410188732</v>
      </c>
      <c r="H26" s="414" t="b">
        <f>Wh_hp&gt;='2024'!Maxi_hp</f>
        <v>0</v>
      </c>
      <c r="I26" s="390">
        <f>IF(H26,Wh_hp,'2024'!Maxi_hp)</f>
        <v>30.267889314428743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5.1749155738067487E-2</v>
      </c>
      <c r="M26" s="959"/>
      <c r="N26" s="959"/>
      <c r="O26" s="48">
        <f>IF(t&lt;Tnet,'2024'!Resal+('2024'!Salim-'2024'!Resal)*(1-EXP(('2024'!Tnet-t)/('2024'!Tau_j))),Resal+(Salim-Resal)*(1-EXP((Tnet-t)/(Tau_j))))*Salcycl</f>
        <v>3.9806586547645469E-2</v>
      </c>
      <c r="P26" s="169">
        <f>(INDEX(Models!$BJ26:$BT26,,T26)*(1-R26)+INDEX(Models!$BJ26:$BT26,,T26+1)*R26-ERP_i)*Q26*Ramure*Pc/MaxiM</f>
        <v>8.9588961992141999E-3</v>
      </c>
      <c r="Q26" s="305">
        <f t="shared" si="4"/>
        <v>0.7</v>
      </c>
      <c r="R26" s="177">
        <f t="shared" si="5"/>
        <v>0.50043622410013078</v>
      </c>
      <c r="S26" s="921">
        <f t="shared" si="6"/>
        <v>1</v>
      </c>
      <c r="T26" s="176">
        <f t="shared" si="7"/>
        <v>7</v>
      </c>
      <c r="U26" s="251">
        <f t="shared" si="8"/>
        <v>1.5004362241001308</v>
      </c>
      <c r="V26" s="383">
        <f t="shared" si="9"/>
        <v>28.02487855265478</v>
      </c>
      <c r="W26" s="402">
        <f t="shared" si="10"/>
        <v>22.235562202896936</v>
      </c>
      <c r="X26" s="157">
        <f t="shared" si="11"/>
        <v>45669</v>
      </c>
      <c r="Y26" s="385">
        <f t="shared" si="12"/>
        <v>20.135537625684055</v>
      </c>
      <c r="Z26" s="385">
        <f t="shared" si="22"/>
        <v>21.234399892737745</v>
      </c>
      <c r="AA26" s="386">
        <f t="shared" si="13"/>
        <v>24.421152409328251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0.13049148800092036</v>
      </c>
      <c r="AD26" s="231">
        <f>(INDEX(Models!$BJ26:$BT26,,AH26)*(1-AF26)+INDEX(Models!$BJ26:$BT26,,AH26+1)*AF26-ERP_i)*AE26*Ramure*Pc/MaxiM</f>
        <v>8.9588961992141999E-3</v>
      </c>
      <c r="AE26" s="305">
        <f t="shared" si="15"/>
        <v>0.7</v>
      </c>
      <c r="AF26" s="177">
        <f t="shared" si="23"/>
        <v>0.50043622410013078</v>
      </c>
      <c r="AG26" s="921">
        <f t="shared" si="24"/>
        <v>1</v>
      </c>
      <c r="AH26" s="176">
        <f t="shared" si="16"/>
        <v>7</v>
      </c>
      <c r="AI26" s="225">
        <f t="shared" si="17"/>
        <v>1.5004362241001308</v>
      </c>
      <c r="AJ26" s="265" t="b">
        <f t="shared" si="18"/>
        <v>0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5.1953229532433722</v>
      </c>
      <c r="C27" s="955"/>
      <c r="D27" s="393">
        <f t="shared" si="0"/>
        <v>5.4789687539753364</v>
      </c>
      <c r="E27" s="385">
        <f t="shared" si="1"/>
        <v>5.7067561829167799</v>
      </c>
      <c r="F27" s="385">
        <f t="shared" si="2"/>
        <v>5.7067561829167799</v>
      </c>
      <c r="G27" s="110">
        <f t="shared" si="21"/>
        <v>0.18234620455800835</v>
      </c>
      <c r="H27" s="414" t="b">
        <f>Wh_hp&gt;='2024'!Maxi_hp</f>
        <v>0</v>
      </c>
      <c r="I27" s="390">
        <f>IF(H27,Wh_hp,'2024'!Maxi_hp)</f>
        <v>17.075177344016367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5.1769924865178507E-2</v>
      </c>
      <c r="M27" s="959"/>
      <c r="N27" s="959"/>
      <c r="O27" s="48">
        <f>IF(t&lt;Tnet,'2024'!Resal+('2024'!Salim-'2024'!Resal)*(1-EXP(('2024'!Tnet-t)/('2024'!Tau_j))),Resal+(Salim-Resal)*(1-EXP((Tnet-t)/(Tau_j))))*Salcycl</f>
        <v>3.9915395303434645E-2</v>
      </c>
      <c r="P27" s="169">
        <f>(INDEX(Models!$BJ27:$BT27,,T27)*(1-R27)+INDEX(Models!$BJ27:$BT27,,T27+1)*R27-ERP_i)*Q27*Ramure*Pc/MaxiM</f>
        <v>8.8462052656641445E-3</v>
      </c>
      <c r="Q27" s="305">
        <f t="shared" si="4"/>
        <v>0.7</v>
      </c>
      <c r="R27" s="177">
        <f t="shared" si="5"/>
        <v>0.50048206146459995</v>
      </c>
      <c r="S27" s="921">
        <f t="shared" si="6"/>
        <v>1</v>
      </c>
      <c r="T27" s="176">
        <f t="shared" si="7"/>
        <v>7</v>
      </c>
      <c r="U27" s="251">
        <f t="shared" si="8"/>
        <v>1.5004820614645999</v>
      </c>
      <c r="V27" s="383">
        <f t="shared" si="9"/>
        <v>28.239491315211001</v>
      </c>
      <c r="W27" s="402">
        <f t="shared" si="10"/>
        <v>5.1953229532433722</v>
      </c>
      <c r="X27" s="157">
        <f t="shared" si="11"/>
        <v>45670</v>
      </c>
      <c r="Y27" s="385">
        <f t="shared" si="12"/>
        <v>4.7050576186926083</v>
      </c>
      <c r="Z27" s="385">
        <f t="shared" si="22"/>
        <v>4.9619367093198692</v>
      </c>
      <c r="AA27" s="386">
        <f t="shared" si="13"/>
        <v>5.7067561829167799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0.13051538382286831</v>
      </c>
      <c r="AD27" s="231">
        <f>(INDEX(Models!$BJ27:$BT27,,AH27)*(1-AF27)+INDEX(Models!$BJ27:$BT27,,AH27+1)*AF27-ERP_i)*AE27*Ramure*Pc/MaxiM</f>
        <v>8.8462052656641445E-3</v>
      </c>
      <c r="AE27" s="305">
        <f t="shared" si="15"/>
        <v>0.7</v>
      </c>
      <c r="AF27" s="177">
        <f t="shared" si="23"/>
        <v>0.50048206146459995</v>
      </c>
      <c r="AG27" s="921">
        <f t="shared" si="24"/>
        <v>1</v>
      </c>
      <c r="AH27" s="176">
        <f t="shared" si="16"/>
        <v>7</v>
      </c>
      <c r="AI27" s="225">
        <f t="shared" si="17"/>
        <v>1.5004820614645999</v>
      </c>
      <c r="AJ27" s="265" t="b">
        <f t="shared" si="18"/>
        <v>0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28.456350298594515</v>
      </c>
      <c r="C28" s="955"/>
      <c r="D28" s="393">
        <f t="shared" si="0"/>
        <v>30.010621183158236</v>
      </c>
      <c r="E28" s="385">
        <f t="shared" si="1"/>
        <v>31.261849942404371</v>
      </c>
      <c r="F28" s="385">
        <f t="shared" si="2"/>
        <v>31.536773650296528</v>
      </c>
      <c r="G28" s="110">
        <f t="shared" si="21"/>
        <v>0.99992184678217988</v>
      </c>
      <c r="H28" s="414" t="b">
        <f>Wh_hp&gt;='2024'!Maxi_hp</f>
        <v>0</v>
      </c>
      <c r="I28" s="390">
        <f>IF(H28,Wh_hp,'2024'!Maxi_hp)</f>
        <v>31.536797669864139</v>
      </c>
      <c r="J28" s="85">
        <f>IF(H28,An,'2024'!An_max)</f>
        <v>2022</v>
      </c>
      <c r="K28" s="197">
        <f t="shared" si="3"/>
        <v>45671</v>
      </c>
      <c r="L28" s="147">
        <f>IF(t&lt;Tvie,1-EXP((T0-t)*PertePVj)+'2024'!Pspv,1-EXP((T0-t)*PertePVj)+Pspv)</f>
        <v>5.1790693537392296E-2</v>
      </c>
      <c r="M28" s="959"/>
      <c r="N28" s="959"/>
      <c r="O28" s="48">
        <f>IF(t&lt;Tnet,'2024'!Resal+('2024'!Salim-'2024'!Resal)*(1-EXP(('2024'!Tnet-t)/('2024'!Tau_j))),Resal+(Salim-Resal)*(1-EXP((Tnet-t)/(Tau_j))))*Salcycl</f>
        <v>4.0024143214536234E-2</v>
      </c>
      <c r="P28" s="169">
        <f>(INDEX(Models!$BJ28:$BT28,,T28)*(1-R28)+INDEX(Models!$BJ28:$BT28,,T28+1)*R28-ERP_i)*Q28*Ramure*Pc/MaxiM</f>
        <v>8.7185210499700194E-3</v>
      </c>
      <c r="Q28" s="305">
        <f t="shared" si="4"/>
        <v>0.7</v>
      </c>
      <c r="R28" s="177">
        <f t="shared" si="5"/>
        <v>0.50052981285498954</v>
      </c>
      <c r="S28" s="921">
        <f t="shared" si="6"/>
        <v>1</v>
      </c>
      <c r="T28" s="176">
        <f t="shared" si="7"/>
        <v>7</v>
      </c>
      <c r="U28" s="251">
        <f t="shared" si="8"/>
        <v>1.5005298128549895</v>
      </c>
      <c r="V28" s="383">
        <f t="shared" si="9"/>
        <v>28.458546829286913</v>
      </c>
      <c r="W28" s="402">
        <f t="shared" si="10"/>
        <v>28.456350298594515</v>
      </c>
      <c r="X28" s="157">
        <f t="shared" si="11"/>
        <v>45671</v>
      </c>
      <c r="Y28" s="385">
        <f t="shared" si="12"/>
        <v>25.773226754532182</v>
      </c>
      <c r="Z28" s="385">
        <f t="shared" si="22"/>
        <v>27.1809468425087</v>
      </c>
      <c r="AA28" s="386">
        <f t="shared" si="13"/>
        <v>31.261849942404371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0.13053939889719171</v>
      </c>
      <c r="AD28" s="231">
        <f>(INDEX(Models!$BJ28:$BT28,,AH28)*(1-AF28)+INDEX(Models!$BJ28:$BT28,,AH28+1)*AF28-ERP_i)*AE28*Ramure*Pc/MaxiM</f>
        <v>8.7185210499700194E-3</v>
      </c>
      <c r="AE28" s="305">
        <f t="shared" si="15"/>
        <v>0.7</v>
      </c>
      <c r="AF28" s="177">
        <f t="shared" si="23"/>
        <v>0.50052981285498954</v>
      </c>
      <c r="AG28" s="921">
        <f t="shared" si="24"/>
        <v>1</v>
      </c>
      <c r="AH28" s="176">
        <f t="shared" si="16"/>
        <v>7</v>
      </c>
      <c r="AI28" s="225">
        <f t="shared" si="17"/>
        <v>1.5005298128549895</v>
      </c>
      <c r="AJ28" s="265" t="b">
        <f t="shared" si="18"/>
        <v>0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28.29775211994988</v>
      </c>
      <c r="C29" s="955"/>
      <c r="D29" s="393">
        <f t="shared" si="0"/>
        <v>29.844014115924384</v>
      </c>
      <c r="E29" s="385">
        <f t="shared" si="1"/>
        <v>31.091816753718167</v>
      </c>
      <c r="F29" s="385">
        <f t="shared" si="2"/>
        <v>31.355574561297068</v>
      </c>
      <c r="G29" s="110">
        <f t="shared" si="21"/>
        <v>0.98642682021576045</v>
      </c>
      <c r="H29" s="414" t="b">
        <f>Wh_hp&gt;='2024'!Maxi_hp</f>
        <v>0</v>
      </c>
      <c r="I29" s="390">
        <f>IF(H29,Wh_hp,'2024'!Maxi_hp)</f>
        <v>31.359702932617143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5.1811461754718846E-2</v>
      </c>
      <c r="M29" s="959"/>
      <c r="N29" s="959"/>
      <c r="O29" s="48">
        <f>IF(t&lt;Tnet,'2024'!Resal+('2024'!Salim-'2024'!Resal)*(1-EXP(('2024'!Tnet-t)/('2024'!Tau_j))),Resal+(Salim-Resal)*(1-EXP((Tnet-t)/(Tau_j))))*Salcycl</f>
        <v>4.0132831338797872E-2</v>
      </c>
      <c r="P29" s="169">
        <f>(INDEX(Models!$BJ29:$BT29,,T29)*(1-R29)+INDEX(Models!$BJ29:$BT29,,T29+1)*R29-ERP_i)*Q29*Ramure*Pc/MaxiM</f>
        <v>8.5761219596305893E-3</v>
      </c>
      <c r="Q29" s="305">
        <f t="shared" si="4"/>
        <v>0.7</v>
      </c>
      <c r="R29" s="177">
        <f t="shared" si="5"/>
        <v>0.50057955780516172</v>
      </c>
      <c r="S29" s="921">
        <f t="shared" si="6"/>
        <v>1</v>
      </c>
      <c r="T29" s="176">
        <f t="shared" si="7"/>
        <v>7</v>
      </c>
      <c r="U29" s="251">
        <f t="shared" si="8"/>
        <v>1.5005795578051617</v>
      </c>
      <c r="V29" s="383">
        <f t="shared" si="9"/>
        <v>28.682374656295956</v>
      </c>
      <c r="W29" s="402">
        <f t="shared" si="10"/>
        <v>28.29775211994988</v>
      </c>
      <c r="X29" s="157">
        <f t="shared" si="11"/>
        <v>45672</v>
      </c>
      <c r="Y29" s="385">
        <f t="shared" si="12"/>
        <v>25.631773193458073</v>
      </c>
      <c r="Z29" s="385">
        <f t="shared" si="22"/>
        <v>27.032359240380888</v>
      </c>
      <c r="AA29" s="386">
        <f t="shared" si="13"/>
        <v>31.091816753718167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0.13056353527015505</v>
      </c>
      <c r="AD29" s="231">
        <f>(INDEX(Models!$BJ29:$BT29,,AH29)*(1-AF29)+INDEX(Models!$BJ29:$BT29,,AH29+1)*AF29-ERP_i)*AE29*Ramure*Pc/MaxiM</f>
        <v>8.5761219596305893E-3</v>
      </c>
      <c r="AE29" s="305">
        <f t="shared" si="15"/>
        <v>0.7</v>
      </c>
      <c r="AF29" s="177">
        <f t="shared" si="23"/>
        <v>0.50057955780516172</v>
      </c>
      <c r="AG29" s="921">
        <f t="shared" si="24"/>
        <v>1</v>
      </c>
      <c r="AH29" s="176">
        <f t="shared" si="16"/>
        <v>7</v>
      </c>
      <c r="AI29" s="225">
        <f t="shared" si="17"/>
        <v>1.5005795578051617</v>
      </c>
      <c r="AJ29" s="265" t="b">
        <f t="shared" si="18"/>
        <v>0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27.991323879615557</v>
      </c>
      <c r="C30" s="955"/>
      <c r="D30" s="393">
        <f t="shared" si="0"/>
        <v>29.521488444351618</v>
      </c>
      <c r="E30" s="385">
        <f t="shared" si="1"/>
        <v>30.759287102079877</v>
      </c>
      <c r="F30" s="385">
        <f t="shared" si="2"/>
        <v>31.008236018978195</v>
      </c>
      <c r="G30" s="110">
        <f t="shared" si="21"/>
        <v>0.96779777251134724</v>
      </c>
      <c r="H30" s="414" t="b">
        <f>Wh_hp&gt;='2024'!Maxi_hp</f>
        <v>0</v>
      </c>
      <c r="I30" s="390">
        <f>IF(H30,Wh_hp,'2024'!Maxi_hp)</f>
        <v>32.204114318448951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5.1832229517168149E-2</v>
      </c>
      <c r="M30" s="959"/>
      <c r="N30" s="959"/>
      <c r="O30" s="48">
        <f>IF(t&lt;Tnet,'2024'!Resal+('2024'!Salim-'2024'!Resal)*(1-EXP(('2024'!Tnet-t)/('2024'!Tau_j))),Resal+(Salim-Resal)*(1-EXP((Tnet-t)/(Tau_j))))*Salcycl</f>
        <v>4.0241461176275431E-2</v>
      </c>
      <c r="P30" s="169">
        <f>(INDEX(Models!$BJ30:$BT30,,T30)*(1-R30)+INDEX(Models!$BJ30:$BT30,,T30+1)*R30-ERP_i)*Q30*Ramure*Pc/MaxiM</f>
        <v>8.4109213379851069E-3</v>
      </c>
      <c r="Q30" s="305">
        <f t="shared" si="4"/>
        <v>0.7</v>
      </c>
      <c r="R30" s="177">
        <f t="shared" si="5"/>
        <v>0.500631379120555</v>
      </c>
      <c r="S30" s="921">
        <f t="shared" si="6"/>
        <v>1</v>
      </c>
      <c r="T30" s="176">
        <f t="shared" si="7"/>
        <v>7</v>
      </c>
      <c r="U30" s="251">
        <f t="shared" si="8"/>
        <v>1.500631379120555</v>
      </c>
      <c r="V30" s="383">
        <f t="shared" si="9"/>
        <v>28.911548379369624</v>
      </c>
      <c r="W30" s="402">
        <f t="shared" si="10"/>
        <v>27.991323879615557</v>
      </c>
      <c r="X30" s="157">
        <f t="shared" si="11"/>
        <v>45673</v>
      </c>
      <c r="Y30" s="385">
        <f t="shared" si="12"/>
        <v>25.356376204289205</v>
      </c>
      <c r="Z30" s="385">
        <f t="shared" si="22"/>
        <v>26.74249958040345</v>
      </c>
      <c r="AA30" s="386">
        <f t="shared" si="13"/>
        <v>30.759287102079877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0.13058779640588042</v>
      </c>
      <c r="AD30" s="231">
        <f>(INDEX(Models!$BJ30:$BT30,,AH30)*(1-AF30)+INDEX(Models!$BJ30:$BT30,,AH30+1)*AF30-ERP_i)*AE30*Ramure*Pc/MaxiM</f>
        <v>8.4109213379851069E-3</v>
      </c>
      <c r="AE30" s="305">
        <f t="shared" si="15"/>
        <v>0.7</v>
      </c>
      <c r="AF30" s="177">
        <f t="shared" si="23"/>
        <v>0.500631379120555</v>
      </c>
      <c r="AG30" s="921">
        <f t="shared" si="24"/>
        <v>1</v>
      </c>
      <c r="AH30" s="176">
        <f t="shared" si="16"/>
        <v>7</v>
      </c>
      <c r="AI30" s="225">
        <f t="shared" si="17"/>
        <v>1.500631379120555</v>
      </c>
      <c r="AJ30" s="265" t="b">
        <f t="shared" si="18"/>
        <v>0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19.401670074446749</v>
      </c>
      <c r="C31" s="955"/>
      <c r="D31" s="393">
        <f t="shared" si="0"/>
        <v>20.462723617194897</v>
      </c>
      <c r="E31" s="385">
        <f t="shared" si="1"/>
        <v>21.32311192069329</v>
      </c>
      <c r="F31" s="385">
        <f t="shared" si="2"/>
        <v>21.415201255064492</v>
      </c>
      <c r="G31" s="110">
        <f t="shared" si="21"/>
        <v>0.66303989343767544</v>
      </c>
      <c r="H31" s="414" t="b">
        <f>Wh_hp&gt;='2024'!Maxi_hp</f>
        <v>0</v>
      </c>
      <c r="I31" s="390">
        <f>IF(H31,Wh_hp,'2024'!Maxi_hp)</f>
        <v>21.48400633043217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5.1852996824750197E-2</v>
      </c>
      <c r="M31" s="959"/>
      <c r="N31" s="959"/>
      <c r="O31" s="48">
        <f>IF(t&lt;Tnet,'2024'!Resal+('2024'!Salim-'2024'!Resal)*(1-EXP(('2024'!Tnet-t)/('2024'!Tau_j))),Resal+(Salim-Resal)*(1-EXP((Tnet-t)/(Tau_j))))*Salcycl</f>
        <v>4.0350034586809844E-2</v>
      </c>
      <c r="P31" s="169">
        <f>(INDEX(Models!$BJ31:$BT31,,T31)*(1-R31)+INDEX(Models!$BJ31:$BT31,,T31+1)*R31-ERP_i)*Q31*Ramure*Pc/MaxiM</f>
        <v>8.2318566534098046E-3</v>
      </c>
      <c r="Q31" s="305">
        <f t="shared" si="4"/>
        <v>0.7</v>
      </c>
      <c r="R31" s="177">
        <f t="shared" si="5"/>
        <v>0.50068536300990907</v>
      </c>
      <c r="S31" s="921">
        <f t="shared" si="6"/>
        <v>1</v>
      </c>
      <c r="T31" s="176">
        <f t="shared" si="7"/>
        <v>7</v>
      </c>
      <c r="U31" s="251">
        <f t="shared" si="8"/>
        <v>1.5006853630099091</v>
      </c>
      <c r="V31" s="383">
        <f t="shared" si="9"/>
        <v>29.146149178803654</v>
      </c>
      <c r="W31" s="402">
        <f t="shared" si="10"/>
        <v>19.401670074446749</v>
      </c>
      <c r="X31" s="157">
        <f t="shared" si="11"/>
        <v>45674</v>
      </c>
      <c r="Y31" s="385">
        <f t="shared" si="12"/>
        <v>17.576800004585575</v>
      </c>
      <c r="Z31" s="385">
        <f t="shared" si="22"/>
        <v>18.53805364117866</v>
      </c>
      <c r="AA31" s="386">
        <f t="shared" si="13"/>
        <v>21.32311192069329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0.13061218690184856</v>
      </c>
      <c r="AD31" s="231">
        <f>(INDEX(Models!$BJ31:$BT31,,AH31)*(1-AF31)+INDEX(Models!$BJ31:$BT31,,AH31+1)*AF31-ERP_i)*AE31*Ramure*Pc/MaxiM</f>
        <v>8.2318566534098046E-3</v>
      </c>
      <c r="AE31" s="305">
        <f t="shared" si="15"/>
        <v>0.7</v>
      </c>
      <c r="AF31" s="177">
        <f t="shared" si="23"/>
        <v>0.50068536300990907</v>
      </c>
      <c r="AG31" s="921">
        <f t="shared" si="24"/>
        <v>1</v>
      </c>
      <c r="AH31" s="176">
        <f t="shared" si="16"/>
        <v>7</v>
      </c>
      <c r="AI31" s="225">
        <f t="shared" si="17"/>
        <v>1.5006853630099091</v>
      </c>
      <c r="AJ31" s="265" t="b">
        <f t="shared" si="18"/>
        <v>0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4.1514577494930842</v>
      </c>
      <c r="C32" s="955"/>
      <c r="D32" s="393">
        <f t="shared" si="0"/>
        <v>4.378591784987667</v>
      </c>
      <c r="E32" s="385">
        <f t="shared" si="1"/>
        <v>4.5632127740862138</v>
      </c>
      <c r="F32" s="385">
        <f t="shared" si="2"/>
        <v>4.5632127740862138</v>
      </c>
      <c r="G32" s="110">
        <f t="shared" si="21"/>
        <v>0.14013517565868963</v>
      </c>
      <c r="H32" s="414" t="b">
        <f>Wh_hp&gt;='2024'!Maxi_hp</f>
        <v>0</v>
      </c>
      <c r="I32" s="390">
        <f>IF(H32,Wh_hp,'2024'!Maxi_hp)</f>
        <v>30.961638796552403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5.1873763677474871E-2</v>
      </c>
      <c r="M32" s="959"/>
      <c r="N32" s="959"/>
      <c r="O32" s="48">
        <f>IF(t&lt;Tnet,'2024'!Resal+('2024'!Salim-'2024'!Resal)*(1-EXP(('2024'!Tnet-t)/('2024'!Tau_j))),Resal+(Salim-Resal)*(1-EXP((Tnet-t)/(Tau_j))))*Salcycl</f>
        <v>4.0458553707375042E-2</v>
      </c>
      <c r="P32" s="169">
        <f>(INDEX(Models!$BJ32:$BT32,,T32)*(1-R32)+INDEX(Models!$BJ32:$BT32,,T32+1)*R32-ERP_i)*Q32*Ramure*Pc/MaxiM</f>
        <v>8.039246540777336E-3</v>
      </c>
      <c r="Q32" s="305">
        <f t="shared" si="4"/>
        <v>0.7</v>
      </c>
      <c r="R32" s="177">
        <f t="shared" si="5"/>
        <v>0.50074159922205075</v>
      </c>
      <c r="S32" s="921">
        <f t="shared" si="6"/>
        <v>1</v>
      </c>
      <c r="T32" s="176">
        <f t="shared" si="7"/>
        <v>7</v>
      </c>
      <c r="U32" s="251">
        <f t="shared" si="8"/>
        <v>1.5007415992220507</v>
      </c>
      <c r="V32" s="383">
        <f t="shared" si="9"/>
        <v>29.386505834703541</v>
      </c>
      <c r="W32" s="402">
        <f t="shared" si="10"/>
        <v>4.1514577494930842</v>
      </c>
      <c r="X32" s="157">
        <f t="shared" si="11"/>
        <v>45675</v>
      </c>
      <c r="Y32" s="385">
        <f t="shared" si="12"/>
        <v>3.7613017886548623</v>
      </c>
      <c r="Z32" s="385">
        <f t="shared" si="22"/>
        <v>3.967089660174087</v>
      </c>
      <c r="AA32" s="386">
        <f t="shared" si="13"/>
        <v>4.5632127740862138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0.13063671220799059</v>
      </c>
      <c r="AD32" s="231">
        <f>(INDEX(Models!$BJ32:$BT32,,AH32)*(1-AF32)+INDEX(Models!$BJ32:$BT32,,AH32+1)*AF32-ERP_i)*AE32*Ramure*Pc/MaxiM</f>
        <v>8.039246540777336E-3</v>
      </c>
      <c r="AE32" s="305">
        <f t="shared" si="15"/>
        <v>0.7</v>
      </c>
      <c r="AF32" s="177">
        <f t="shared" si="23"/>
        <v>0.50074159922205075</v>
      </c>
      <c r="AG32" s="921">
        <f t="shared" si="24"/>
        <v>1</v>
      </c>
      <c r="AH32" s="176">
        <f t="shared" si="16"/>
        <v>7</v>
      </c>
      <c r="AI32" s="225">
        <f t="shared" si="17"/>
        <v>1.5007415992220507</v>
      </c>
      <c r="AJ32" s="265" t="b">
        <f t="shared" si="18"/>
        <v>0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10.057944442879663</v>
      </c>
      <c r="C33" s="955"/>
      <c r="D33" s="393">
        <f t="shared" si="0"/>
        <v>10.608465789865164</v>
      </c>
      <c r="E33" s="385">
        <f t="shared" si="1"/>
        <v>11.057015988220538</v>
      </c>
      <c r="F33" s="385">
        <f t="shared" si="2"/>
        <v>11.061895469477433</v>
      </c>
      <c r="G33" s="110">
        <f t="shared" si="21"/>
        <v>0.33690743465286443</v>
      </c>
      <c r="H33" s="414" t="b">
        <f>Wh_hp&gt;='2024'!Maxi_hp</f>
        <v>0</v>
      </c>
      <c r="I33" s="390">
        <f>IF(H33,Wh_hp,'2024'!Maxi_hp)</f>
        <v>32.578902251016416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5.1894530075352163E-2</v>
      </c>
      <c r="M33" s="959"/>
      <c r="N33" s="959"/>
      <c r="O33" s="48">
        <f>IF(t&lt;Tnet,'2024'!Resal+('2024'!Salim-'2024'!Resal)*(1-EXP(('2024'!Tnet-t)/('2024'!Tau_j))),Resal+(Salim-Resal)*(1-EXP((Tnet-t)/(Tau_j))))*Salcycl</f>
        <v>4.0567020870118216E-2</v>
      </c>
      <c r="P33" s="169">
        <f>(INDEX(Models!$BJ33:$BT33,,T33)*(1-R33)+INDEX(Models!$BJ33:$BT33,,T33+1)*R33-ERP_i)*Q33*Ramure*Pc/MaxiM</f>
        <v>7.8334250338346276E-3</v>
      </c>
      <c r="Q33" s="305">
        <f t="shared" si="4"/>
        <v>0.7</v>
      </c>
      <c r="R33" s="177">
        <f t="shared" si="5"/>
        <v>0.5008001811879117</v>
      </c>
      <c r="S33" s="921">
        <f t="shared" si="6"/>
        <v>1</v>
      </c>
      <c r="T33" s="176">
        <f t="shared" si="7"/>
        <v>7</v>
      </c>
      <c r="U33" s="251">
        <f t="shared" si="8"/>
        <v>1.5008001811879117</v>
      </c>
      <c r="V33" s="383">
        <f t="shared" si="9"/>
        <v>29.632946863255466</v>
      </c>
      <c r="W33" s="402">
        <f t="shared" si="10"/>
        <v>10.057944442879663</v>
      </c>
      <c r="X33" s="157">
        <f t="shared" si="11"/>
        <v>45676</v>
      </c>
      <c r="Y33" s="385">
        <f t="shared" si="12"/>
        <v>9.1134657123339782</v>
      </c>
      <c r="Z33" s="385">
        <f t="shared" si="22"/>
        <v>9.6122910387367408</v>
      </c>
      <c r="AA33" s="386">
        <f t="shared" si="13"/>
        <v>11.057015988220538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0.13066137835225319</v>
      </c>
      <c r="AD33" s="231">
        <f>(INDEX(Models!$BJ33:$BT33,,AH33)*(1-AF33)+INDEX(Models!$BJ33:$BT33,,AH33+1)*AF33-ERP_i)*AE33*Ramure*Pc/MaxiM</f>
        <v>7.8334250338346276E-3</v>
      </c>
      <c r="AE33" s="305">
        <f t="shared" si="15"/>
        <v>0.7</v>
      </c>
      <c r="AF33" s="177">
        <f t="shared" si="23"/>
        <v>0.5008001811879117</v>
      </c>
      <c r="AG33" s="921">
        <f t="shared" si="24"/>
        <v>1</v>
      </c>
      <c r="AH33" s="176">
        <f t="shared" si="16"/>
        <v>7</v>
      </c>
      <c r="AI33" s="225">
        <f t="shared" si="17"/>
        <v>1.5008001811879117</v>
      </c>
      <c r="AJ33" s="265" t="b">
        <f t="shared" si="18"/>
        <v>0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5.5528605331643757</v>
      </c>
      <c r="C34" s="955"/>
      <c r="D34" s="393">
        <f t="shared" si="0"/>
        <v>5.8569245024673418</v>
      </c>
      <c r="E34" s="385">
        <f t="shared" si="1"/>
        <v>6.1052585721809276</v>
      </c>
      <c r="F34" s="385">
        <f t="shared" si="2"/>
        <v>6.1052585721809276</v>
      </c>
      <c r="G34" s="110">
        <f t="shared" si="21"/>
        <v>0.1843877975093306</v>
      </c>
      <c r="H34" s="414" t="b">
        <f>Wh_hp&gt;='2024'!Maxi_hp</f>
        <v>0</v>
      </c>
      <c r="I34" s="390">
        <f>IF(H34,Wh_hp,'2024'!Maxi_hp)</f>
        <v>11.984563264269097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5.1915296018392065E-2</v>
      </c>
      <c r="M34" s="959"/>
      <c r="N34" s="959"/>
      <c r="O34" s="48">
        <f>IF(t&lt;Tnet,'2024'!Resal+('2024'!Salim-'2024'!Resal)*(1-EXP(('2024'!Tnet-t)/('2024'!Tau_j))),Resal+(Salim-Resal)*(1-EXP((Tnet-t)/(Tau_j))))*Salcycl</f>
        <v>4.0675438521988107E-2</v>
      </c>
      <c r="P34" s="169">
        <f>(INDEX(Models!$BJ34:$BT34,,T34)*(1-R34)+INDEX(Models!$BJ34:$BT34,,T34+1)*R34-ERP_i)*Q34*Ramure*Pc/MaxiM</f>
        <v>7.6147843020614829E-3</v>
      </c>
      <c r="Q34" s="305">
        <f t="shared" si="4"/>
        <v>0.7</v>
      </c>
      <c r="R34" s="177">
        <f t="shared" si="5"/>
        <v>0.50086120616795449</v>
      </c>
      <c r="S34" s="921">
        <f t="shared" si="6"/>
        <v>1</v>
      </c>
      <c r="T34" s="176">
        <f t="shared" si="7"/>
        <v>7</v>
      </c>
      <c r="U34" s="251">
        <f t="shared" si="8"/>
        <v>1.5008612061679545</v>
      </c>
      <c r="V34" s="383">
        <f t="shared" si="9"/>
        <v>29.885799236069548</v>
      </c>
      <c r="W34" s="402">
        <f t="shared" si="10"/>
        <v>5.5528605331643757</v>
      </c>
      <c r="X34" s="157">
        <f t="shared" si="11"/>
        <v>45677</v>
      </c>
      <c r="Y34" s="385">
        <f t="shared" si="12"/>
        <v>5.0318510867098363</v>
      </c>
      <c r="Z34" s="385">
        <f t="shared" si="22"/>
        <v>5.3073855801890986</v>
      </c>
      <c r="AA34" s="386">
        <f t="shared" si="13"/>
        <v>6.1052585721809276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0.13068619167538573</v>
      </c>
      <c r="AD34" s="231">
        <f>(INDEX(Models!$BJ34:$BT34,,AH34)*(1-AF34)+INDEX(Models!$BJ34:$BT34,,AH34+1)*AF34-ERP_i)*AE34*Ramure*Pc/MaxiM</f>
        <v>7.6147843020614829E-3</v>
      </c>
      <c r="AE34" s="305">
        <f t="shared" si="15"/>
        <v>0.7</v>
      </c>
      <c r="AF34" s="177">
        <f t="shared" si="23"/>
        <v>0.50086120616795449</v>
      </c>
      <c r="AG34" s="921">
        <f t="shared" si="24"/>
        <v>1</v>
      </c>
      <c r="AH34" s="176">
        <f t="shared" si="16"/>
        <v>7</v>
      </c>
      <c r="AI34" s="225">
        <f t="shared" si="17"/>
        <v>1.5008612061679545</v>
      </c>
      <c r="AJ34" s="265" t="b">
        <f t="shared" si="18"/>
        <v>0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16.338931756106529</v>
      </c>
      <c r="C35" s="955"/>
      <c r="D35" s="393">
        <f t="shared" si="0"/>
        <v>17.2339977217901</v>
      </c>
      <c r="E35" s="385">
        <f t="shared" si="1"/>
        <v>17.966750234335738</v>
      </c>
      <c r="F35" s="385">
        <f t="shared" si="2"/>
        <v>18.012731553340551</v>
      </c>
      <c r="G35" s="110">
        <f t="shared" si="21"/>
        <v>0.53937919669989653</v>
      </c>
      <c r="H35" s="414" t="b">
        <f>Wh_hp&gt;='2024'!Maxi_hp</f>
        <v>0</v>
      </c>
      <c r="I35" s="390">
        <f>IF(H35,Wh_hp,'2024'!Maxi_hp)</f>
        <v>18.085651439803524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5.1936061506604458E-2</v>
      </c>
      <c r="M35" s="959"/>
      <c r="N35" s="959"/>
      <c r="O35" s="48">
        <f>IF(t&lt;Tnet,'2024'!Resal+('2024'!Salim-'2024'!Resal)*(1-EXP(('2024'!Tnet-t)/('2024'!Tau_j))),Resal+(Salim-Resal)*(1-EXP((Tnet-t)/(Tau_j))))*Salcycl</f>
        <v>4.0783809146814773E-2</v>
      </c>
      <c r="P35" s="169">
        <f>(INDEX(Models!$BJ35:$BT35,,T35)*(1-R35)+INDEX(Models!$BJ35:$BT35,,T35+1)*R35-ERP_i)*Q35*Ramure*Pc/MaxiM</f>
        <v>7.3837457780882342E-3</v>
      </c>
      <c r="Q35" s="305">
        <f t="shared" si="4"/>
        <v>0.7</v>
      </c>
      <c r="R35" s="177">
        <f t="shared" si="5"/>
        <v>0.50092477540519065</v>
      </c>
      <c r="S35" s="921">
        <f t="shared" si="6"/>
        <v>1</v>
      </c>
      <c r="T35" s="176">
        <f t="shared" si="7"/>
        <v>7</v>
      </c>
      <c r="U35" s="251">
        <f t="shared" si="8"/>
        <v>1.5009247754051906</v>
      </c>
      <c r="V35" s="383">
        <f t="shared" si="9"/>
        <v>30.145389210108767</v>
      </c>
      <c r="W35" s="402">
        <f t="shared" si="10"/>
        <v>16.338931756106529</v>
      </c>
      <c r="X35" s="157">
        <f t="shared" si="11"/>
        <v>45678</v>
      </c>
      <c r="Y35" s="385">
        <f t="shared" si="12"/>
        <v>14.807142739858582</v>
      </c>
      <c r="Z35" s="385">
        <f t="shared" si="22"/>
        <v>15.618295495332493</v>
      </c>
      <c r="AA35" s="386">
        <f t="shared" si="13"/>
        <v>17.966750234335738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0.13071115857753621</v>
      </c>
      <c r="AD35" s="231">
        <f>(INDEX(Models!$BJ35:$BT35,,AH35)*(1-AF35)+INDEX(Models!$BJ35:$BT35,,AH35+1)*AF35-ERP_i)*AE35*Ramure*Pc/MaxiM</f>
        <v>7.3837457780882342E-3</v>
      </c>
      <c r="AE35" s="305">
        <f t="shared" si="15"/>
        <v>0.7</v>
      </c>
      <c r="AF35" s="177">
        <f t="shared" si="23"/>
        <v>0.50092477540519065</v>
      </c>
      <c r="AG35" s="921">
        <f t="shared" si="24"/>
        <v>1</v>
      </c>
      <c r="AH35" s="176">
        <f t="shared" si="16"/>
        <v>7</v>
      </c>
      <c r="AI35" s="225">
        <f t="shared" si="17"/>
        <v>1.5009247754051906</v>
      </c>
      <c r="AJ35" s="265" t="b">
        <f t="shared" si="18"/>
        <v>0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29.520520632363255</v>
      </c>
      <c r="C36" s="955"/>
      <c r="D36" s="393">
        <f t="shared" si="0"/>
        <v>31.138371604559392</v>
      </c>
      <c r="E36" s="385">
        <f t="shared" si="1"/>
        <v>32.465974628150335</v>
      </c>
      <c r="F36" s="385">
        <f t="shared" si="2"/>
        <v>32.689626163253344</v>
      </c>
      <c r="G36" s="110">
        <f t="shared" si="21"/>
        <v>0.97039291606594891</v>
      </c>
      <c r="H36" s="414" t="b">
        <f>Wh_hp&gt;='2024'!Maxi_hp</f>
        <v>0</v>
      </c>
      <c r="I36" s="390">
        <f>IF(H36,Wh_hp,'2024'!Maxi_hp)</f>
        <v>32.697849500824447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5.1956826539999446E-2</v>
      </c>
      <c r="M36" s="959"/>
      <c r="N36" s="959"/>
      <c r="O36" s="48">
        <f>IF(t&lt;Tnet,'2024'!Resal+('2024'!Salim-'2024'!Resal)*(1-EXP(('2024'!Tnet-t)/('2024'!Tau_j))),Resal+(Salim-Resal)*(1-EXP((Tnet-t)/(Tau_j))))*Salcycl</f>
        <v>4.0892135190662593E-2</v>
      </c>
      <c r="P36" s="169">
        <f>(INDEX(Models!$BJ36:$BT36,,T36)*(1-R36)+INDEX(Models!$BJ36:$BT36,,T36+1)*R36-ERP_i)*Q36*Ramure*Pc/MaxiM</f>
        <v>7.1407076517317611E-3</v>
      </c>
      <c r="Q36" s="305">
        <f t="shared" si="4"/>
        <v>0.7</v>
      </c>
      <c r="R36" s="177">
        <f t="shared" si="5"/>
        <v>0.50099099428397276</v>
      </c>
      <c r="S36" s="921">
        <f t="shared" si="6"/>
        <v>1</v>
      </c>
      <c r="T36" s="176">
        <f t="shared" si="7"/>
        <v>7</v>
      </c>
      <c r="U36" s="251">
        <f t="shared" si="8"/>
        <v>1.5009909942839728</v>
      </c>
      <c r="V36" s="383">
        <f t="shared" si="9"/>
        <v>30.412043919047733</v>
      </c>
      <c r="W36" s="402">
        <f t="shared" si="10"/>
        <v>29.520520632363255</v>
      </c>
      <c r="X36" s="157">
        <f t="shared" si="11"/>
        <v>45679</v>
      </c>
      <c r="Y36" s="385">
        <f t="shared" si="12"/>
        <v>26.755194454051669</v>
      </c>
      <c r="Z36" s="385">
        <f t="shared" si="22"/>
        <v>28.221493707301626</v>
      </c>
      <c r="AA36" s="386">
        <f t="shared" si="13"/>
        <v>32.465974628150335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0.13073628527906378</v>
      </c>
      <c r="AD36" s="231">
        <f>(INDEX(Models!$BJ36:$BT36,,AH36)*(1-AF36)+INDEX(Models!$BJ36:$BT36,,AH36+1)*AF36-ERP_i)*AE36*Ramure*Pc/MaxiM</f>
        <v>7.1407076517317611E-3</v>
      </c>
      <c r="AE36" s="305">
        <f t="shared" si="15"/>
        <v>0.7</v>
      </c>
      <c r="AF36" s="177">
        <f t="shared" si="23"/>
        <v>0.50099099428397276</v>
      </c>
      <c r="AG36" s="921">
        <f t="shared" si="24"/>
        <v>1</v>
      </c>
      <c r="AH36" s="176">
        <f t="shared" si="16"/>
        <v>7</v>
      </c>
      <c r="AI36" s="225">
        <f t="shared" si="17"/>
        <v>1.5009909942839728</v>
      </c>
      <c r="AJ36" s="265" t="b">
        <f t="shared" si="18"/>
        <v>0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29.58503667767329</v>
      </c>
      <c r="C37" s="955"/>
      <c r="D37" s="393">
        <f t="shared" si="0"/>
        <v>31.207106921218404</v>
      </c>
      <c r="E37" s="385">
        <f t="shared" si="1"/>
        <v>32.541314448116523</v>
      </c>
      <c r="F37" s="385">
        <f t="shared" si="2"/>
        <v>32.755282502679648</v>
      </c>
      <c r="G37" s="110">
        <f t="shared" si="21"/>
        <v>0.9637284797241461</v>
      </c>
      <c r="H37" s="414" t="b">
        <f>Wh_hp&gt;='2024'!Maxi_hp</f>
        <v>0</v>
      </c>
      <c r="I37" s="390">
        <f>IF(H37,Wh_hp,'2024'!Maxi_hp)</f>
        <v>32.765037654429378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5.1977591118586908E-2</v>
      </c>
      <c r="M37" s="959"/>
      <c r="N37" s="959"/>
      <c r="O37" s="48">
        <f>IF(t&lt;Tnet,'2024'!Resal+('2024'!Salim-'2024'!Resal)*(1-EXP(('2024'!Tnet-t)/('2024'!Tau_j))),Resal+(Salim-Resal)*(1-EXP((Tnet-t)/(Tau_j))))*Salcycl</f>
        <v>4.1000418991229352E-2</v>
      </c>
      <c r="P37" s="169">
        <f>(INDEX(Models!$BJ37:$BT37,,T37)*(1-R37)+INDEX(Models!$BJ37:$BT37,,T37+1)*R37-ERP_i)*Q37*Ramure*Pc/MaxiM</f>
        <v>6.8857432281799131E-3</v>
      </c>
      <c r="Q37" s="305">
        <f t="shared" si="4"/>
        <v>0.7</v>
      </c>
      <c r="R37" s="177">
        <f t="shared" si="5"/>
        <v>0.50105997249474998</v>
      </c>
      <c r="S37" s="921">
        <f t="shared" si="6"/>
        <v>1</v>
      </c>
      <c r="T37" s="176">
        <f t="shared" si="7"/>
        <v>7</v>
      </c>
      <c r="U37" s="251">
        <f t="shared" si="8"/>
        <v>1.50105997249475</v>
      </c>
      <c r="V37" s="383">
        <f t="shared" si="9"/>
        <v>30.687597773468461</v>
      </c>
      <c r="W37" s="402">
        <f t="shared" si="10"/>
        <v>29.58503667767329</v>
      </c>
      <c r="X37" s="157">
        <f t="shared" si="11"/>
        <v>45680</v>
      </c>
      <c r="Y37" s="385">
        <f t="shared" si="12"/>
        <v>26.815914331643111</v>
      </c>
      <c r="Z37" s="385">
        <f t="shared" si="22"/>
        <v>28.286160833775689</v>
      </c>
      <c r="AA37" s="386">
        <f t="shared" si="13"/>
        <v>32.541314448116523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0.1307615775977703</v>
      </c>
      <c r="AD37" s="231">
        <f>(INDEX(Models!$BJ37:$BT37,,AH37)*(1-AF37)+INDEX(Models!$BJ37:$BT37,,AH37+1)*AF37-ERP_i)*AE37*Ramure*Pc/MaxiM</f>
        <v>6.8857432281799131E-3</v>
      </c>
      <c r="AE37" s="305">
        <f t="shared" si="15"/>
        <v>0.7</v>
      </c>
      <c r="AF37" s="177">
        <f t="shared" si="23"/>
        <v>0.50105997249474998</v>
      </c>
      <c r="AG37" s="921">
        <f t="shared" si="24"/>
        <v>1</v>
      </c>
      <c r="AH37" s="176">
        <f t="shared" si="16"/>
        <v>7</v>
      </c>
      <c r="AI37" s="225">
        <f t="shared" si="17"/>
        <v>1.50105997249475</v>
      </c>
      <c r="AJ37" s="265" t="b">
        <f t="shared" si="18"/>
        <v>0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29.869497930710157</v>
      </c>
      <c r="C38" s="955"/>
      <c r="D38" s="393">
        <f t="shared" si="0"/>
        <v>31.507854544225953</v>
      </c>
      <c r="E38" s="385">
        <f t="shared" si="1"/>
        <v>32.858628834148021</v>
      </c>
      <c r="F38" s="385">
        <f t="shared" si="2"/>
        <v>33.066366437496896</v>
      </c>
      <c r="G38" s="110">
        <f t="shared" si="21"/>
        <v>0.96404699485611423</v>
      </c>
      <c r="H38" s="414" t="b">
        <f>Wh_hp&gt;='2024'!Maxi_hp</f>
        <v>0</v>
      </c>
      <c r="I38" s="390">
        <f>IF(H38,Wh_hp,'2024'!Maxi_hp)</f>
        <v>33.075754899751203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5.1998355242376726E-2</v>
      </c>
      <c r="M38" s="959"/>
      <c r="N38" s="959"/>
      <c r="O38" s="48">
        <f>IF(t&lt;Tnet,'2024'!Resal+('2024'!Salim-'2024'!Resal)*(1-EXP(('2024'!Tnet-t)/('2024'!Tau_j))),Resal+(Salim-Resal)*(1-EXP((Tnet-t)/(Tau_j))))*Salcycl</f>
        <v>4.1108662712008574E-2</v>
      </c>
      <c r="P38" s="169">
        <f>(INDEX(Models!$BJ38:$BT38,,T38)*(1-R38)+INDEX(Models!$BJ38:$BT38,,T38+1)*R38-ERP_i)*Q38*Ramure*Pc/MaxiM</f>
        <v>6.619330989801245E-3</v>
      </c>
      <c r="Q38" s="305">
        <f t="shared" si="4"/>
        <v>0.7</v>
      </c>
      <c r="R38" s="177">
        <f t="shared" si="5"/>
        <v>0.50113182420497937</v>
      </c>
      <c r="S38" s="921">
        <f t="shared" si="6"/>
        <v>1</v>
      </c>
      <c r="T38" s="176">
        <f t="shared" si="7"/>
        <v>7</v>
      </c>
      <c r="U38" s="251">
        <f t="shared" si="8"/>
        <v>1.5011318242049794</v>
      </c>
      <c r="V38" s="383">
        <f t="shared" si="9"/>
        <v>30.972942018704138</v>
      </c>
      <c r="W38" s="402">
        <f t="shared" si="10"/>
        <v>29.869497930710157</v>
      </c>
      <c r="X38" s="157">
        <f t="shared" si="11"/>
        <v>45681</v>
      </c>
      <c r="Y38" s="385">
        <f t="shared" si="12"/>
        <v>27.076013389856971</v>
      </c>
      <c r="Z38" s="385">
        <f t="shared" si="22"/>
        <v>28.561146006006698</v>
      </c>
      <c r="AA38" s="386">
        <f t="shared" si="13"/>
        <v>32.858628834148021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0.13078704074453659</v>
      </c>
      <c r="AD38" s="231">
        <f>(INDEX(Models!$BJ38:$BT38,,AH38)*(1-AF38)+INDEX(Models!$BJ38:$BT38,,AH38+1)*AF38-ERP_i)*AE38*Ramure*Pc/MaxiM</f>
        <v>6.619330989801245E-3</v>
      </c>
      <c r="AE38" s="305">
        <f t="shared" si="15"/>
        <v>0.7</v>
      </c>
      <c r="AF38" s="177">
        <f t="shared" si="23"/>
        <v>0.50113182420497937</v>
      </c>
      <c r="AG38" s="921">
        <f t="shared" si="24"/>
        <v>1</v>
      </c>
      <c r="AH38" s="176">
        <f t="shared" si="16"/>
        <v>7</v>
      </c>
      <c r="AI38" s="225">
        <f t="shared" si="17"/>
        <v>1.5011318242049794</v>
      </c>
      <c r="AJ38" s="265" t="b">
        <f t="shared" si="18"/>
        <v>0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29.426621395410329</v>
      </c>
      <c r="C39" s="955"/>
      <c r="D39" s="393">
        <f t="shared" si="0"/>
        <v>31.04136589929751</v>
      </c>
      <c r="E39" s="385">
        <f t="shared" si="1"/>
        <v>32.375794767761143</v>
      </c>
      <c r="F39" s="385">
        <f t="shared" si="2"/>
        <v>32.565150017551339</v>
      </c>
      <c r="G39" s="110">
        <f t="shared" si="21"/>
        <v>0.94064059805601863</v>
      </c>
      <c r="H39" s="414" t="b">
        <f>Wh_hp&gt;='2024'!Maxi_hp</f>
        <v>0</v>
      </c>
      <c r="I39" s="390">
        <f>IF(H39,Wh_hp,'2024'!Maxi_hp)</f>
        <v>32.57978354288494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5.2019118911379003E-2</v>
      </c>
      <c r="M39" s="959"/>
      <c r="N39" s="959"/>
      <c r="O39" s="48">
        <f>IF(t&lt;Tnet,'2024'!Resal+('2024'!Salim-'2024'!Resal)*(1-EXP(('2024'!Tnet-t)/('2024'!Tau_j))),Resal+(Salim-Resal)*(1-EXP((Tnet-t)/(Tau_j))))*Salcycl</f>
        <v>4.1216868281868983E-2</v>
      </c>
      <c r="P39" s="169">
        <f>(INDEX(Models!$BJ39:$BT39,,T39)*(1-R39)+INDEX(Models!$BJ39:$BT39,,T39+1)*R39-ERP_i)*Q39*Ramure*Pc/MaxiM</f>
        <v>6.3484170764785E-3</v>
      </c>
      <c r="Q39" s="305">
        <f t="shared" si="4"/>
        <v>0.7</v>
      </c>
      <c r="R39" s="177">
        <f t="shared" si="5"/>
        <v>0.5012066682363876</v>
      </c>
      <c r="S39" s="921">
        <f t="shared" si="6"/>
        <v>1</v>
      </c>
      <c r="T39" s="176">
        <f t="shared" si="7"/>
        <v>7</v>
      </c>
      <c r="U39" s="251">
        <f t="shared" si="8"/>
        <v>1.5012066682363876</v>
      </c>
      <c r="V39" s="383">
        <f t="shared" si="9"/>
        <v>31.266801478289072</v>
      </c>
      <c r="W39" s="402">
        <f t="shared" si="10"/>
        <v>29.426621395410329</v>
      </c>
      <c r="X39" s="157">
        <f t="shared" si="11"/>
        <v>45682</v>
      </c>
      <c r="Y39" s="385">
        <f t="shared" si="12"/>
        <v>26.676779520338666</v>
      </c>
      <c r="Z39" s="385">
        <f t="shared" si="22"/>
        <v>28.140630314932285</v>
      </c>
      <c r="AA39" s="386">
        <f t="shared" si="13"/>
        <v>32.375794767761143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0.13081267913911127</v>
      </c>
      <c r="AD39" s="231">
        <f>(INDEX(Models!$BJ39:$BT39,,AH39)*(1-AF39)+INDEX(Models!$BJ39:$BT39,,AH39+1)*AF39-ERP_i)*AE39*Ramure*Pc/MaxiM</f>
        <v>6.3484170764785E-3</v>
      </c>
      <c r="AE39" s="305">
        <f t="shared" si="15"/>
        <v>0.7</v>
      </c>
      <c r="AF39" s="177">
        <f t="shared" si="23"/>
        <v>0.5012066682363876</v>
      </c>
      <c r="AG39" s="921">
        <f t="shared" si="24"/>
        <v>1</v>
      </c>
      <c r="AH39" s="176">
        <f t="shared" si="16"/>
        <v>7</v>
      </c>
      <c r="AI39" s="225">
        <f t="shared" si="17"/>
        <v>1.5012066682363876</v>
      </c>
      <c r="AJ39" s="265" t="b">
        <f t="shared" si="18"/>
        <v>0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30.191403896146497</v>
      </c>
      <c r="C40" s="955"/>
      <c r="D40" s="393">
        <f t="shared" si="0"/>
        <v>31.848812335949798</v>
      </c>
      <c r="E40" s="385">
        <f t="shared" si="1"/>
        <v>33.221700343149955</v>
      </c>
      <c r="F40" s="385">
        <f t="shared" si="2"/>
        <v>33.411987170634461</v>
      </c>
      <c r="G40" s="110">
        <f t="shared" si="21"/>
        <v>0.95602581029021294</v>
      </c>
      <c r="H40" s="414" t="b">
        <f>Wh_hp&gt;='2024'!Maxi_hp</f>
        <v>0</v>
      </c>
      <c r="I40" s="390">
        <f>IF(H40,Wh_hp,'2024'!Maxi_hp)</f>
        <v>33.422605659814721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5.2039882125603731E-2</v>
      </c>
      <c r="M40" s="959"/>
      <c r="N40" s="959"/>
      <c r="O40" s="48">
        <f>IF(t&lt;Tnet,'2024'!Resal+('2024'!Salim-'2024'!Resal)*(1-EXP(('2024'!Tnet-t)/('2024'!Tau_j))),Resal+(Salim-Resal)*(1-EXP((Tnet-t)/(Tau_j))))*Salcycl</f>
        <v>4.132503734063802E-2</v>
      </c>
      <c r="P40" s="169">
        <f>(INDEX(Models!$BJ40:$BT40,,T40)*(1-R40)+INDEX(Models!$BJ40:$BT40,,T40+1)*R40-ERP_i)*Q40*Ramure*Pc/MaxiM</f>
        <v>6.0735506611817956E-3</v>
      </c>
      <c r="Q40" s="305">
        <f t="shared" si="4"/>
        <v>0.7</v>
      </c>
      <c r="R40" s="177">
        <f t="shared" si="5"/>
        <v>0.5012846282487804</v>
      </c>
      <c r="S40" s="921">
        <f t="shared" si="6"/>
        <v>1</v>
      </c>
      <c r="T40" s="176">
        <f t="shared" si="7"/>
        <v>7</v>
      </c>
      <c r="U40" s="251">
        <f t="shared" si="8"/>
        <v>1.5012846282487804</v>
      </c>
      <c r="V40" s="383">
        <f t="shared" si="9"/>
        <v>31.56809595096912</v>
      </c>
      <c r="W40" s="402">
        <f t="shared" si="10"/>
        <v>30.191403896146497</v>
      </c>
      <c r="X40" s="157">
        <f t="shared" si="11"/>
        <v>45683</v>
      </c>
      <c r="Y40" s="385">
        <f t="shared" si="12"/>
        <v>27.372370232741975</v>
      </c>
      <c r="Z40" s="385">
        <f t="shared" si="22"/>
        <v>28.875023027465367</v>
      </c>
      <c r="AA40" s="386">
        <f t="shared" si="13"/>
        <v>33.221700343149955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0.130838496247554</v>
      </c>
      <c r="AD40" s="231">
        <f>(INDEX(Models!$BJ40:$BT40,,AH40)*(1-AF40)+INDEX(Models!$BJ40:$BT40,,AH40+1)*AF40-ERP_i)*AE40*Ramure*Pc/MaxiM</f>
        <v>6.0735506611817956E-3</v>
      </c>
      <c r="AE40" s="305">
        <f t="shared" si="15"/>
        <v>0.7</v>
      </c>
      <c r="AF40" s="177">
        <f t="shared" si="23"/>
        <v>0.5012846282487804</v>
      </c>
      <c r="AG40" s="921">
        <f t="shared" si="24"/>
        <v>1</v>
      </c>
      <c r="AH40" s="176">
        <f t="shared" si="16"/>
        <v>7</v>
      </c>
      <c r="AI40" s="225">
        <f t="shared" si="17"/>
        <v>1.5012846282487804</v>
      </c>
      <c r="AJ40" s="265" t="b">
        <f t="shared" si="18"/>
        <v>0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29.921047361317502</v>
      </c>
      <c r="C41" s="955"/>
      <c r="D41" s="393">
        <f t="shared" si="0"/>
        <v>31.564305458854509</v>
      </c>
      <c r="E41" s="385">
        <f t="shared" si="1"/>
        <v>32.928643585632081</v>
      </c>
      <c r="F41" s="385">
        <f t="shared" si="2"/>
        <v>33.103680784199469</v>
      </c>
      <c r="G41" s="110">
        <f t="shared" si="21"/>
        <v>0.93819847621898211</v>
      </c>
      <c r="H41" s="414" t="b">
        <f>Wh_hp&gt;='2024'!Maxi_hp</f>
        <v>0</v>
      </c>
      <c r="I41" s="390">
        <f>IF(H41,Wh_hp,'2024'!Maxi_hp)</f>
        <v>33.117741356998614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5.2060644885060681E-2</v>
      </c>
      <c r="M41" s="959"/>
      <c r="N41" s="959"/>
      <c r="O41" s="48">
        <f>IF(t&lt;Tnet,'2024'!Resal+('2024'!Salim-'2024'!Resal)*(1-EXP(('2024'!Tnet-t)/('2024'!Tau_j))),Resal+(Salim-Resal)*(1-EXP((Tnet-t)/(Tau_j))))*Salcycl</f>
        <v>4.1433171191202198E-2</v>
      </c>
      <c r="P41" s="169">
        <f>(INDEX(Models!$BJ41:$BT41,,T41)*(1-R41)+INDEX(Models!$BJ41:$BT41,,T41+1)*R41-ERP_i)*Q41*Ramure*Pc/MaxiM</f>
        <v>5.7952269939604961E-3</v>
      </c>
      <c r="Q41" s="305">
        <f t="shared" si="4"/>
        <v>0.7</v>
      </c>
      <c r="R41" s="177">
        <f t="shared" si="5"/>
        <v>0.50136583293060211</v>
      </c>
      <c r="S41" s="921">
        <f t="shared" si="6"/>
        <v>1</v>
      </c>
      <c r="T41" s="176">
        <f t="shared" si="7"/>
        <v>7</v>
      </c>
      <c r="U41" s="251">
        <f t="shared" si="8"/>
        <v>1.5013658329306021</v>
      </c>
      <c r="V41" s="383">
        <f t="shared" si="9"/>
        <v>31.875745903098963</v>
      </c>
      <c r="W41" s="402">
        <f t="shared" si="10"/>
        <v>29.921047361317502</v>
      </c>
      <c r="X41" s="157">
        <f t="shared" si="11"/>
        <v>45684</v>
      </c>
      <c r="Y41" s="385">
        <f t="shared" si="12"/>
        <v>27.129506095577117</v>
      </c>
      <c r="Z41" s="385">
        <f t="shared" si="22"/>
        <v>28.61945329011856</v>
      </c>
      <c r="AA41" s="386">
        <f t="shared" si="13"/>
        <v>32.928643585632081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0.13086449444257617</v>
      </c>
      <c r="AD41" s="231">
        <f>(INDEX(Models!$BJ41:$BT41,,AH41)*(1-AF41)+INDEX(Models!$BJ41:$BT41,,AH41+1)*AF41-ERP_i)*AE41*Ramure*Pc/MaxiM</f>
        <v>5.7952269939604961E-3</v>
      </c>
      <c r="AE41" s="305">
        <f t="shared" si="15"/>
        <v>0.7</v>
      </c>
      <c r="AF41" s="177">
        <f t="shared" si="23"/>
        <v>0.50136583293060211</v>
      </c>
      <c r="AG41" s="921">
        <f t="shared" si="24"/>
        <v>1</v>
      </c>
      <c r="AH41" s="176">
        <f t="shared" si="16"/>
        <v>7</v>
      </c>
      <c r="AI41" s="225">
        <f t="shared" si="17"/>
        <v>1.5013658329306021</v>
      </c>
      <c r="AJ41" s="265" t="b">
        <f t="shared" si="18"/>
        <v>0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4.054454295943188</v>
      </c>
      <c r="C42" s="955"/>
      <c r="D42" s="393">
        <f t="shared" si="0"/>
        <v>4.2772178188035941</v>
      </c>
      <c r="E42" s="385">
        <f t="shared" si="1"/>
        <v>4.4625998890831182</v>
      </c>
      <c r="F42" s="385">
        <f t="shared" si="2"/>
        <v>4.4625998890831182</v>
      </c>
      <c r="G42" s="110">
        <f t="shared" si="21"/>
        <v>0.12526451636662753</v>
      </c>
      <c r="H42" s="414" t="b">
        <f>Wh_hp&gt;='2024'!Maxi_hp</f>
        <v>0</v>
      </c>
      <c r="I42" s="390">
        <f>IF(H42,Wh_hp,'2024'!Maxi_hp)</f>
        <v>17.427879917759782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5.2081407189759843E-2</v>
      </c>
      <c r="M42" s="959"/>
      <c r="N42" s="959"/>
      <c r="O42" s="48">
        <f>IF(t&lt;Tnet,'2024'!Resal+('2024'!Salim-'2024'!Resal)*(1-EXP(('2024'!Tnet-t)/('2024'!Tau_j))),Resal+(Salim-Resal)*(1-EXP((Tnet-t)/(Tau_j))))*Salcycl</f>
        <v>4.1541270758560629E-2</v>
      </c>
      <c r="P42" s="169">
        <f>(INDEX(Models!$BJ42:$BT42,,T42)*(1-R42)+INDEX(Models!$BJ42:$BT42,,T42+1)*R42-ERP_i)*Q42*Ramure*Pc/MaxiM</f>
        <v>5.5138875330104781E-3</v>
      </c>
      <c r="Q42" s="305">
        <f t="shared" si="4"/>
        <v>0.7</v>
      </c>
      <c r="R42" s="177">
        <f t="shared" si="5"/>
        <v>0.50145041619644815</v>
      </c>
      <c r="S42" s="921">
        <f t="shared" si="6"/>
        <v>1</v>
      </c>
      <c r="T42" s="176">
        <f t="shared" si="7"/>
        <v>7</v>
      </c>
      <c r="U42" s="251">
        <f t="shared" si="8"/>
        <v>1.5014504161964481</v>
      </c>
      <c r="V42" s="383">
        <f t="shared" si="9"/>
        <v>32.188672482048887</v>
      </c>
      <c r="W42" s="402">
        <f t="shared" si="10"/>
        <v>4.054454295943188</v>
      </c>
      <c r="X42" s="157">
        <f t="shared" si="11"/>
        <v>45685</v>
      </c>
      <c r="Y42" s="385">
        <f t="shared" si="12"/>
        <v>3.6764901078572856</v>
      </c>
      <c r="Z42" s="385">
        <f t="shared" si="22"/>
        <v>3.8784871778469974</v>
      </c>
      <c r="AA42" s="386">
        <f t="shared" si="13"/>
        <v>4.4625998890831182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0.13089067488775746</v>
      </c>
      <c r="AD42" s="231">
        <f>(INDEX(Models!$BJ42:$BT42,,AH42)*(1-AF42)+INDEX(Models!$BJ42:$BT42,,AH42+1)*AF42-ERP_i)*AE42*Ramure*Pc/MaxiM</f>
        <v>5.5138875330104781E-3</v>
      </c>
      <c r="AE42" s="305">
        <f t="shared" si="15"/>
        <v>0.7</v>
      </c>
      <c r="AF42" s="177">
        <f t="shared" si="23"/>
        <v>0.50145041619644815</v>
      </c>
      <c r="AG42" s="921">
        <f t="shared" si="24"/>
        <v>1</v>
      </c>
      <c r="AH42" s="176">
        <f t="shared" si="16"/>
        <v>7</v>
      </c>
      <c r="AI42" s="225">
        <f t="shared" si="17"/>
        <v>1.5014504161964481</v>
      </c>
      <c r="AJ42" s="265" t="b">
        <f t="shared" si="18"/>
        <v>0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6.0288442064189045</v>
      </c>
      <c r="C43" s="955"/>
      <c r="D43" s="393">
        <f t="shared" si="0"/>
        <v>6.3602257643223554</v>
      </c>
      <c r="E43" s="385">
        <f t="shared" si="1"/>
        <v>6.6366373050413721</v>
      </c>
      <c r="F43" s="385">
        <f t="shared" si="2"/>
        <v>6.6366373050413721</v>
      </c>
      <c r="G43" s="110">
        <f t="shared" si="21"/>
        <v>0.18449982126527753</v>
      </c>
      <c r="H43" s="414" t="b">
        <f>Wh_hp&gt;='2024'!Maxi_hp</f>
        <v>0</v>
      </c>
      <c r="I43" s="390">
        <f>IF(H43,Wh_hp,'2024'!Maxi_hp)</f>
        <v>22.511927090396647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5.2102169039711321E-2</v>
      </c>
      <c r="M43" s="959"/>
      <c r="N43" s="959"/>
      <c r="O43" s="48">
        <f>IF(t&lt;Tnet,'2024'!Resal+('2024'!Salim-'2024'!Resal)*(1-EXP(('2024'!Tnet-t)/('2024'!Tau_j))),Resal+(Salim-Resal)*(1-EXP((Tnet-t)/(Tau_j))))*Salcycl</f>
        <v>4.1649336556187438E-2</v>
      </c>
      <c r="P43" s="169">
        <f>(INDEX(Models!$BJ43:$BT43,,T43)*(1-R43)+INDEX(Models!$BJ43:$BT43,,T43+1)*R43-ERP_i)*Q43*Ramure*Pc/MaxiM</f>
        <v>5.2299205739054482E-3</v>
      </c>
      <c r="Q43" s="305">
        <f t="shared" si="4"/>
        <v>0.7</v>
      </c>
      <c r="R43" s="177">
        <f t="shared" si="5"/>
        <v>0.50153851739173327</v>
      </c>
      <c r="S43" s="921">
        <f t="shared" si="6"/>
        <v>1</v>
      </c>
      <c r="T43" s="176">
        <f t="shared" si="7"/>
        <v>7</v>
      </c>
      <c r="U43" s="251">
        <f t="shared" si="8"/>
        <v>1.5015385173917333</v>
      </c>
      <c r="V43" s="383">
        <f t="shared" si="9"/>
        <v>32.505797506675222</v>
      </c>
      <c r="W43" s="402">
        <f t="shared" si="10"/>
        <v>6.0288442064189045</v>
      </c>
      <c r="X43" s="157">
        <f t="shared" si="11"/>
        <v>45686</v>
      </c>
      <c r="Y43" s="385">
        <f t="shared" si="12"/>
        <v>5.4672741237124001</v>
      </c>
      <c r="Z43" s="385">
        <f t="shared" si="22"/>
        <v>5.7677884104594463</v>
      </c>
      <c r="AA43" s="386">
        <f t="shared" si="13"/>
        <v>6.6366373050413721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0.13091703744634714</v>
      </c>
      <c r="AD43" s="231">
        <f>(INDEX(Models!$BJ43:$BT43,,AH43)*(1-AF43)+INDEX(Models!$BJ43:$BT43,,AH43+1)*AF43-ERP_i)*AE43*Ramure*Pc/MaxiM</f>
        <v>5.2299205739054482E-3</v>
      </c>
      <c r="AE43" s="305">
        <f t="shared" si="15"/>
        <v>0.7</v>
      </c>
      <c r="AF43" s="177">
        <f t="shared" si="23"/>
        <v>0.50153851739173327</v>
      </c>
      <c r="AG43" s="921">
        <f t="shared" si="24"/>
        <v>1</v>
      </c>
      <c r="AH43" s="176">
        <f t="shared" si="16"/>
        <v>7</v>
      </c>
      <c r="AI43" s="225">
        <f t="shared" si="17"/>
        <v>1.5015385173917333</v>
      </c>
      <c r="AJ43" s="265" t="b">
        <f t="shared" si="18"/>
        <v>0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4.9446122306903817</v>
      </c>
      <c r="C44" s="955"/>
      <c r="D44" s="393">
        <f t="shared" si="0"/>
        <v>5.2165121295308614</v>
      </c>
      <c r="E44" s="385">
        <f t="shared" si="1"/>
        <v>5.4438322392690823</v>
      </c>
      <c r="F44" s="385">
        <f t="shared" si="2"/>
        <v>5.4438322392690823</v>
      </c>
      <c r="G44" s="110">
        <f t="shared" si="21"/>
        <v>0.14988610312055622</v>
      </c>
      <c r="H44" s="414" t="b">
        <f>Wh_hp&gt;='2024'!Maxi_hp</f>
        <v>0</v>
      </c>
      <c r="I44" s="390">
        <f>IF(H44,Wh_hp,'2024'!Maxi_hp)</f>
        <v>10.423685229998675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5.2122930434925108E-2</v>
      </c>
      <c r="M44" s="959"/>
      <c r="N44" s="959"/>
      <c r="O44" s="48">
        <f>IF(t&lt;Tnet,'2024'!Resal+('2024'!Salim-'2024'!Resal)*(1-EXP(('2024'!Tnet-t)/('2024'!Tau_j))),Resal+(Salim-Resal)*(1-EXP((Tnet-t)/(Tau_j))))*Salcycl</f>
        <v>4.1757368659975862E-2</v>
      </c>
      <c r="P44" s="169">
        <f>(INDEX(Models!$BJ44:$BT44,,T44)*(1-R44)+INDEX(Models!$BJ44:$BT44,,T44+1)*R44-ERP_i)*Q44*Ramure*Pc/MaxiM</f>
        <v>4.9538963223103149E-3</v>
      </c>
      <c r="Q44" s="305">
        <f t="shared" si="4"/>
        <v>0.7</v>
      </c>
      <c r="R44" s="177">
        <f t="shared" si="5"/>
        <v>0.50163028150472688</v>
      </c>
      <c r="S44" s="921">
        <f t="shared" si="6"/>
        <v>1</v>
      </c>
      <c r="T44" s="176">
        <f t="shared" si="7"/>
        <v>7</v>
      </c>
      <c r="U44" s="251">
        <f t="shared" si="8"/>
        <v>1.5016302815047269</v>
      </c>
      <c r="V44" s="383">
        <f t="shared" si="9"/>
        <v>32.825705865394141</v>
      </c>
      <c r="W44" s="402">
        <f t="shared" si="10"/>
        <v>4.9446122306903817</v>
      </c>
      <c r="X44" s="157">
        <f t="shared" si="11"/>
        <v>45687</v>
      </c>
      <c r="Y44" s="385">
        <f t="shared" si="12"/>
        <v>4.4844039076422799</v>
      </c>
      <c r="Z44" s="385">
        <f t="shared" si="22"/>
        <v>4.7309973535913361</v>
      </c>
      <c r="AA44" s="386">
        <f t="shared" si="13"/>
        <v>5.4438322392690823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0.13094358061508804</v>
      </c>
      <c r="AD44" s="231">
        <f>(INDEX(Models!$BJ44:$BT44,,AH44)*(1-AF44)+INDEX(Models!$BJ44:$BT44,,AH44+1)*AF44-ERP_i)*AE44*Ramure*Pc/MaxiM</f>
        <v>4.9538963223103149E-3</v>
      </c>
      <c r="AE44" s="305">
        <f t="shared" si="15"/>
        <v>0.7</v>
      </c>
      <c r="AF44" s="177">
        <f t="shared" si="23"/>
        <v>0.50163028150472688</v>
      </c>
      <c r="AG44" s="921">
        <f t="shared" si="24"/>
        <v>1</v>
      </c>
      <c r="AH44" s="176">
        <f t="shared" si="16"/>
        <v>7</v>
      </c>
      <c r="AI44" s="225">
        <f t="shared" si="17"/>
        <v>1.5016302815047269</v>
      </c>
      <c r="AJ44" s="265" t="b">
        <f t="shared" si="18"/>
        <v>0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6.7860856613686993</v>
      </c>
      <c r="C45" s="955"/>
      <c r="D45" s="393">
        <f t="shared" si="0"/>
        <v>7.1594033817381248</v>
      </c>
      <c r="E45" s="385">
        <f t="shared" si="1"/>
        <v>7.4722310757149941</v>
      </c>
      <c r="F45" s="385">
        <f t="shared" si="2"/>
        <v>7.4722310757149941</v>
      </c>
      <c r="G45" s="110">
        <f t="shared" si="21"/>
        <v>0.20376571017365169</v>
      </c>
      <c r="H45" s="414" t="b">
        <f>Wh_hp&gt;='2024'!Maxi_hp</f>
        <v>0</v>
      </c>
      <c r="I45" s="390">
        <f>IF(H45,Wh_hp,'2024'!Maxi_hp)</f>
        <v>26.210661022055326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5.2143691375410861E-2</v>
      </c>
      <c r="M45" s="959"/>
      <c r="N45" s="959"/>
      <c r="O45" s="48">
        <f>IF(t&lt;Tnet,'2024'!Resal+('2024'!Salim-'2024'!Resal)*(1-EXP(('2024'!Tnet-t)/('2024'!Tau_j))),Resal+(Salim-Resal)*(1-EXP((Tnet-t)/(Tau_j))))*Salcycl</f>
        <v>4.1865366689952908E-2</v>
      </c>
      <c r="P45" s="169">
        <f>(INDEX(Models!$BJ45:$BT45,,T45)*(1-R45)+INDEX(Models!$BJ45:$BT45,,T45+1)*R45-ERP_i)*Q45*Ramure*Pc/MaxiM</f>
        <v>4.6931361417768729E-3</v>
      </c>
      <c r="Q45" s="305">
        <f t="shared" si="4"/>
        <v>0.7</v>
      </c>
      <c r="R45" s="177">
        <f t="shared" si="5"/>
        <v>0.50172585938615688</v>
      </c>
      <c r="S45" s="921">
        <f t="shared" si="6"/>
        <v>1</v>
      </c>
      <c r="T45" s="176">
        <f t="shared" si="7"/>
        <v>7</v>
      </c>
      <c r="U45" s="251">
        <f t="shared" si="8"/>
        <v>1.5017258593861569</v>
      </c>
      <c r="V45" s="383">
        <f t="shared" si="9"/>
        <v>33.147076766420071</v>
      </c>
      <c r="W45" s="402">
        <f t="shared" si="10"/>
        <v>6.7860856613686993</v>
      </c>
      <c r="X45" s="157">
        <f t="shared" si="11"/>
        <v>45688</v>
      </c>
      <c r="Y45" s="385">
        <f t="shared" si="12"/>
        <v>6.1549909286076971</v>
      </c>
      <c r="Z45" s="385">
        <f t="shared" si="22"/>
        <v>6.4935907189762254</v>
      </c>
      <c r="AA45" s="386">
        <f t="shared" si="13"/>
        <v>7.4722310757149941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0.13097030148323205</v>
      </c>
      <c r="AD45" s="231">
        <f>(INDEX(Models!$BJ45:$BT45,,AH45)*(1-AF45)+INDEX(Models!$BJ45:$BT45,,AH45+1)*AF45-ERP_i)*AE45*Ramure*Pc/MaxiM</f>
        <v>4.6931361417768729E-3</v>
      </c>
      <c r="AE45" s="305">
        <f t="shared" si="15"/>
        <v>0.7</v>
      </c>
      <c r="AF45" s="177">
        <f t="shared" si="23"/>
        <v>0.50172585938615688</v>
      </c>
      <c r="AG45" s="921">
        <f t="shared" si="24"/>
        <v>1</v>
      </c>
      <c r="AH45" s="176">
        <f t="shared" si="16"/>
        <v>7</v>
      </c>
      <c r="AI45" s="225">
        <f t="shared" si="17"/>
        <v>1.5017258593861569</v>
      </c>
      <c r="AJ45" s="265" t="b">
        <f t="shared" si="18"/>
        <v>0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14.042138980495361</v>
      </c>
      <c r="C46" s="955"/>
      <c r="D46" s="393">
        <f t="shared" si="0"/>
        <v>14.81495287665528</v>
      </c>
      <c r="E46" s="385">
        <f t="shared" si="1"/>
        <v>15.464029695081907</v>
      </c>
      <c r="F46" s="385">
        <f t="shared" si="2"/>
        <v>15.47578518256738</v>
      </c>
      <c r="G46" s="110">
        <f t="shared" si="21"/>
        <v>0.41801023604849663</v>
      </c>
      <c r="H46" s="414" t="b">
        <f>Wh_hp&gt;='2024'!Maxi_hp</f>
        <v>0</v>
      </c>
      <c r="I46" s="390">
        <f>IF(H46,Wh_hp,'2024'!Maxi_hp)</f>
        <v>29.47119267155292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5.2164451861178907E-2</v>
      </c>
      <c r="M46" s="959"/>
      <c r="N46" s="959"/>
      <c r="O46" s="48">
        <f>IF(t&lt;Tnet,'2024'!Resal+('2024'!Salim-'2024'!Resal)*(1-EXP(('2024'!Tnet-t)/('2024'!Tau_j))),Resal+(Salim-Resal)*(1-EXP((Tnet-t)/(Tau_j))))*Salcycl</f>
        <v>4.1973329799868148E-2</v>
      </c>
      <c r="P46" s="169">
        <f>(INDEX(Models!$BJ46:$BT46,,T46)*(1-R46)+INDEX(Models!$BJ46:$BT46,,T46+1)*R46-ERP_i)*Q46*Ramure*Pc/MaxiM</f>
        <v>4.4473875560710049E-3</v>
      </c>
      <c r="Q46" s="305">
        <f t="shared" si="4"/>
        <v>0.7</v>
      </c>
      <c r="R46" s="177">
        <f t="shared" si="5"/>
        <v>0.50182540797659736</v>
      </c>
      <c r="S46" s="921">
        <f t="shared" si="6"/>
        <v>1</v>
      </c>
      <c r="T46" s="176">
        <f t="shared" si="7"/>
        <v>7</v>
      </c>
      <c r="U46" s="251">
        <f t="shared" si="8"/>
        <v>1.5018254079765974</v>
      </c>
      <c r="V46" s="383">
        <f t="shared" si="9"/>
        <v>33.468834149467192</v>
      </c>
      <c r="W46" s="402">
        <f t="shared" si="10"/>
        <v>14.042138980495361</v>
      </c>
      <c r="X46" s="157">
        <f t="shared" si="11"/>
        <v>45689</v>
      </c>
      <c r="Y46" s="385">
        <f t="shared" si="12"/>
        <v>12.737284390671398</v>
      </c>
      <c r="Z46" s="385">
        <f t="shared" si="22"/>
        <v>13.438285170547202</v>
      </c>
      <c r="AA46" s="386">
        <f t="shared" si="13"/>
        <v>15.464029695081907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0.13099719571664825</v>
      </c>
      <c r="AD46" s="231">
        <f>(INDEX(Models!$BJ46:$BT46,,AH46)*(1-AF46)+INDEX(Models!$BJ46:$BT46,,AH46+1)*AF46-ERP_i)*AE46*Ramure*Pc/MaxiM</f>
        <v>4.4473875560710049E-3</v>
      </c>
      <c r="AE46" s="305">
        <f t="shared" si="15"/>
        <v>0.7</v>
      </c>
      <c r="AF46" s="177">
        <f t="shared" si="23"/>
        <v>0.50182540797659736</v>
      </c>
      <c r="AG46" s="921">
        <f t="shared" si="24"/>
        <v>1</v>
      </c>
      <c r="AH46" s="176">
        <f t="shared" si="16"/>
        <v>7</v>
      </c>
      <c r="AI46" s="225">
        <f t="shared" si="17"/>
        <v>1.5018254079765974</v>
      </c>
      <c r="AJ46" s="265" t="b">
        <f t="shared" si="18"/>
        <v>0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5.2852855086668749</v>
      </c>
      <c r="C47" s="955"/>
      <c r="D47" s="393">
        <f t="shared" si="0"/>
        <v>5.5762851297335621</v>
      </c>
      <c r="E47" s="385">
        <f t="shared" si="1"/>
        <v>5.821250673492429</v>
      </c>
      <c r="F47" s="385">
        <f t="shared" si="2"/>
        <v>5.821250673492429</v>
      </c>
      <c r="G47" s="110">
        <f t="shared" si="21"/>
        <v>0.1557566129105902</v>
      </c>
      <c r="H47" s="414" t="b">
        <f>Wh_hp&gt;='2024'!Maxi_hp</f>
        <v>0</v>
      </c>
      <c r="I47" s="390">
        <f>IF(H47,Wh_hp,'2024'!Maxi_hp)</f>
        <v>31.55257955620117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5.2185211892238903E-2</v>
      </c>
      <c r="M47" s="959"/>
      <c r="N47" s="959"/>
      <c r="O47" s="48">
        <f>IF(t&lt;Tnet,'2024'!Resal+('2024'!Salim-'2024'!Resal)*(1-EXP(('2024'!Tnet-t)/('2024'!Tau_j))),Resal+(Salim-Resal)*(1-EXP((Tnet-t)/(Tau_j))))*Salcycl</f>
        <v>4.2081256674676229E-2</v>
      </c>
      <c r="P47" s="169">
        <f>(INDEX(Models!$BJ47:$BT47,,T47)*(1-R47)+INDEX(Models!$BJ47:$BT47,,T47+1)*R47-ERP_i)*Q47*Ramure*Pc/MaxiM</f>
        <v>4.2163722310063333E-3</v>
      </c>
      <c r="Q47" s="305">
        <f t="shared" si="4"/>
        <v>0.7</v>
      </c>
      <c r="R47" s="177">
        <f t="shared" si="5"/>
        <v>0.50192909054184209</v>
      </c>
      <c r="S47" s="921">
        <f t="shared" si="6"/>
        <v>1</v>
      </c>
      <c r="T47" s="176">
        <f t="shared" si="7"/>
        <v>7</v>
      </c>
      <c r="U47" s="251">
        <f t="shared" si="8"/>
        <v>1.5019290905418421</v>
      </c>
      <c r="V47" s="383">
        <f t="shared" si="9"/>
        <v>33.78990258754753</v>
      </c>
      <c r="W47" s="402">
        <f t="shared" si="10"/>
        <v>5.2852855086668749</v>
      </c>
      <c r="X47" s="157">
        <f t="shared" si="11"/>
        <v>45690</v>
      </c>
      <c r="Y47" s="385">
        <f t="shared" si="12"/>
        <v>4.7945453942392948</v>
      </c>
      <c r="Z47" s="385">
        <f t="shared" si="22"/>
        <v>5.0585256258886124</v>
      </c>
      <c r="AA47" s="386">
        <f t="shared" si="13"/>
        <v>5.821250673492429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0.13102425756666888</v>
      </c>
      <c r="AD47" s="231">
        <f>(INDEX(Models!$BJ47:$BT47,,AH47)*(1-AF47)+INDEX(Models!$BJ47:$BT47,,AH47+1)*AF47-ERP_i)*AE47*Ramure*Pc/MaxiM</f>
        <v>4.2163722310063333E-3</v>
      </c>
      <c r="AE47" s="305">
        <f t="shared" si="15"/>
        <v>0.7</v>
      </c>
      <c r="AF47" s="177">
        <f t="shared" si="23"/>
        <v>0.50192909054184209</v>
      </c>
      <c r="AG47" s="921">
        <f t="shared" si="24"/>
        <v>1</v>
      </c>
      <c r="AH47" s="176">
        <f t="shared" si="16"/>
        <v>7</v>
      </c>
      <c r="AI47" s="225">
        <f t="shared" si="17"/>
        <v>1.5019290905418421</v>
      </c>
      <c r="AJ47" s="265" t="b">
        <f t="shared" si="18"/>
        <v>0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11.562188545065199</v>
      </c>
      <c r="C48" s="955"/>
      <c r="D48" s="393">
        <f t="shared" si="0"/>
        <v>12.199051900528154</v>
      </c>
      <c r="E48" s="385">
        <f t="shared" si="1"/>
        <v>12.736389281527753</v>
      </c>
      <c r="F48" s="385">
        <f t="shared" si="2"/>
        <v>12.739226384447127</v>
      </c>
      <c r="G48" s="110">
        <f t="shared" si="21"/>
        <v>0.33769496142346661</v>
      </c>
      <c r="H48" s="414" t="b">
        <f>Wh_hp&gt;='2024'!Maxi_hp</f>
        <v>0</v>
      </c>
      <c r="I48" s="390">
        <f>IF(H48,Wh_hp,'2024'!Maxi_hp)</f>
        <v>28.70079034414249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5.2205971468600954E-2</v>
      </c>
      <c r="M48" s="959"/>
      <c r="N48" s="959"/>
      <c r="O48" s="48">
        <f>IF(t&lt;Tnet,'2024'!Resal+('2024'!Salim-'2024'!Resal)*(1-EXP(('2024'!Tnet-t)/('2024'!Tau_j))),Resal+(Salim-Resal)*(1-EXP((Tnet-t)/(Tau_j))))*Salcycl</f>
        <v>4.218914553584871E-2</v>
      </c>
      <c r="P48" s="169">
        <f>(INDEX(Models!$BJ48:$BT48,,T48)*(1-R48)+INDEX(Models!$BJ48:$BT48,,T48+1)*R48-ERP_i)*Q48*Ramure*Pc/MaxiM</f>
        <v>3.9997920728881689E-3</v>
      </c>
      <c r="Q48" s="305">
        <f t="shared" si="4"/>
        <v>0.7</v>
      </c>
      <c r="R48" s="177">
        <f t="shared" si="5"/>
        <v>0.50203707691647526</v>
      </c>
      <c r="S48" s="921">
        <f t="shared" si="6"/>
        <v>1</v>
      </c>
      <c r="T48" s="176">
        <f t="shared" si="7"/>
        <v>7</v>
      </c>
      <c r="U48" s="251">
        <f t="shared" si="8"/>
        <v>1.5020370769164753</v>
      </c>
      <c r="V48" s="383">
        <f t="shared" si="9"/>
        <v>34.10920727936184</v>
      </c>
      <c r="W48" s="402">
        <f t="shared" si="10"/>
        <v>11.562188545065199</v>
      </c>
      <c r="X48" s="157">
        <f t="shared" si="11"/>
        <v>45691</v>
      </c>
      <c r="Y48" s="385">
        <f t="shared" si="12"/>
        <v>10.48948921229017</v>
      </c>
      <c r="Z48" s="385">
        <f t="shared" si="22"/>
        <v>11.067266617562012</v>
      </c>
      <c r="AA48" s="386">
        <f t="shared" si="13"/>
        <v>12.736389281527753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0.13105147990306457</v>
      </c>
      <c r="AD48" s="231">
        <f>(INDEX(Models!$BJ48:$BT48,,AH48)*(1-AF48)+INDEX(Models!$BJ48:$BT48,,AH48+1)*AF48-ERP_i)*AE48*Ramure*Pc/MaxiM</f>
        <v>3.9997920728881689E-3</v>
      </c>
      <c r="AE48" s="305">
        <f t="shared" si="15"/>
        <v>0.7</v>
      </c>
      <c r="AF48" s="177">
        <f t="shared" si="23"/>
        <v>0.50203707691647526</v>
      </c>
      <c r="AG48" s="921">
        <f t="shared" si="24"/>
        <v>1</v>
      </c>
      <c r="AH48" s="176">
        <f t="shared" si="16"/>
        <v>7</v>
      </c>
      <c r="AI48" s="225">
        <f t="shared" si="17"/>
        <v>1.5020370769164753</v>
      </c>
      <c r="AJ48" s="265" t="b">
        <f t="shared" si="18"/>
        <v>0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11.090494672851788</v>
      </c>
      <c r="C49" s="955"/>
      <c r="D49" s="393">
        <f t="shared" si="0"/>
        <v>11.701632690863892</v>
      </c>
      <c r="E49" s="385">
        <f t="shared" si="1"/>
        <v>12.218435798404554</v>
      </c>
      <c r="F49" s="385">
        <f t="shared" si="2"/>
        <v>12.219904632022397</v>
      </c>
      <c r="G49" s="110">
        <f t="shared" si="21"/>
        <v>0.32097290276711593</v>
      </c>
      <c r="H49" s="414" t="b">
        <f>Wh_hp&gt;='2024'!Maxi_hp</f>
        <v>0</v>
      </c>
      <c r="I49" s="390">
        <f>IF(H49,Wh_hp,'2024'!Maxi_hp)</f>
        <v>29.923583051666235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5.222673059027505E-2</v>
      </c>
      <c r="M49" s="959"/>
      <c r="N49" s="959"/>
      <c r="O49" s="48">
        <f>IF(t&lt;Tnet,'2024'!Resal+('2024'!Salim-'2024'!Resal)*(1-EXP(('2024'!Tnet-t)/('2024'!Tau_j))),Resal+(Salim-Resal)*(1-EXP((Tnet-t)/(Tau_j))))*Salcycl</f>
        <v>4.2296994154369924E-2</v>
      </c>
      <c r="P49" s="169">
        <f>(INDEX(Models!$BJ49:$BT49,,T49)*(1-R49)+INDEX(Models!$BJ49:$BT49,,T49+1)*R49-ERP_i)*Q49*Ramure*Pc/MaxiM</f>
        <v>3.7973347913252803E-3</v>
      </c>
      <c r="Q49" s="305">
        <f t="shared" si="4"/>
        <v>0.7</v>
      </c>
      <c r="R49" s="177">
        <f t="shared" si="5"/>
        <v>0.5021495437558412</v>
      </c>
      <c r="S49" s="921">
        <f t="shared" si="6"/>
        <v>1</v>
      </c>
      <c r="T49" s="176">
        <f t="shared" si="7"/>
        <v>7</v>
      </c>
      <c r="U49" s="251">
        <f t="shared" si="8"/>
        <v>1.5021495437558412</v>
      </c>
      <c r="V49" s="383">
        <f t="shared" si="9"/>
        <v>34.425674043697406</v>
      </c>
      <c r="W49" s="402">
        <f t="shared" si="10"/>
        <v>11.090494672851788</v>
      </c>
      <c r="X49" s="157">
        <f t="shared" si="11"/>
        <v>45692</v>
      </c>
      <c r="Y49" s="385">
        <f t="shared" si="12"/>
        <v>10.062373490552446</v>
      </c>
      <c r="Z49" s="385">
        <f t="shared" si="22"/>
        <v>10.616857232974413</v>
      </c>
      <c r="AA49" s="386">
        <f t="shared" si="13"/>
        <v>12.218435798404554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0.13107885427030452</v>
      </c>
      <c r="AD49" s="231">
        <f>(INDEX(Models!$BJ49:$BT49,,AH49)*(1-AF49)+INDEX(Models!$BJ49:$BT49,,AH49+1)*AF49-ERP_i)*AE49*Ramure*Pc/MaxiM</f>
        <v>3.7973347913252803E-3</v>
      </c>
      <c r="AE49" s="305">
        <f t="shared" si="15"/>
        <v>0.7</v>
      </c>
      <c r="AF49" s="177">
        <f t="shared" si="23"/>
        <v>0.5021495437558412</v>
      </c>
      <c r="AG49" s="921">
        <f t="shared" si="24"/>
        <v>1</v>
      </c>
      <c r="AH49" s="176">
        <f t="shared" si="16"/>
        <v>7</v>
      </c>
      <c r="AI49" s="225">
        <f t="shared" si="17"/>
        <v>1.5021495437558412</v>
      </c>
      <c r="AJ49" s="265" t="b">
        <f t="shared" si="18"/>
        <v>0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10.47961038360334</v>
      </c>
      <c r="C50" s="955"/>
      <c r="D50" s="393">
        <f t="shared" si="0"/>
        <v>11.057328010021038</v>
      </c>
      <c r="E50" s="385">
        <f t="shared" si="1"/>
        <v>11.546975181719485</v>
      </c>
      <c r="F50" s="385">
        <f t="shared" si="2"/>
        <v>11.547074814307239</v>
      </c>
      <c r="G50" s="110">
        <f t="shared" si="21"/>
        <v>0.3005876562357423</v>
      </c>
      <c r="H50" s="414" t="b">
        <f>Wh_hp&gt;='2024'!Maxi_hp</f>
        <v>0</v>
      </c>
      <c r="I50" s="390">
        <f>IF(H50,Wh_hp,'2024'!Maxi_hp)</f>
        <v>37.591562892350396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5.2247489257271185E-2</v>
      </c>
      <c r="M50" s="959"/>
      <c r="N50" s="959"/>
      <c r="O50" s="48">
        <f>IF(t&lt;Tnet,'2024'!Resal+('2024'!Salim-'2024'!Resal)*(1-EXP(('2024'!Tnet-t)/('2024'!Tau_j))),Resal+(Salim-Resal)*(1-EXP((Tnet-t)/(Tau_j))))*Salcycl</f>
        <v>4.2404799871193014E-2</v>
      </c>
      <c r="P50" s="169">
        <f>(INDEX(Models!$BJ50:$BT50,,T50)*(1-R50)+INDEX(Models!$BJ50:$BT50,,T50+1)*R50-ERP_i)*Q50*Ramure*Pc/MaxiM</f>
        <v>3.6086789429695563E-3</v>
      </c>
      <c r="Q50" s="305">
        <f t="shared" si="4"/>
        <v>0.7</v>
      </c>
      <c r="R50" s="177">
        <f t="shared" si="5"/>
        <v>0.50226667479662201</v>
      </c>
      <c r="S50" s="921">
        <f t="shared" si="6"/>
        <v>1</v>
      </c>
      <c r="T50" s="176">
        <f t="shared" si="7"/>
        <v>7</v>
      </c>
      <c r="U50" s="251">
        <f t="shared" si="8"/>
        <v>1.502266674796622</v>
      </c>
      <c r="V50" s="383">
        <f t="shared" si="9"/>
        <v>34.738229312586178</v>
      </c>
      <c r="W50" s="402">
        <f t="shared" si="10"/>
        <v>10.47961038360334</v>
      </c>
      <c r="X50" s="157">
        <f t="shared" si="11"/>
        <v>45693</v>
      </c>
      <c r="Y50" s="385">
        <f t="shared" si="12"/>
        <v>9.5088892423921525</v>
      </c>
      <c r="Z50" s="385">
        <f t="shared" si="22"/>
        <v>10.033093170009421</v>
      </c>
      <c r="AA50" s="386">
        <f t="shared" si="13"/>
        <v>11.546975181719485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0.13110637096603073</v>
      </c>
      <c r="AD50" s="231">
        <f>(INDEX(Models!$BJ50:$BT50,,AH50)*(1-AF50)+INDEX(Models!$BJ50:$BT50,,AH50+1)*AF50-ERP_i)*AE50*Ramure*Pc/MaxiM</f>
        <v>3.6086789429695563E-3</v>
      </c>
      <c r="AE50" s="305">
        <f t="shared" si="15"/>
        <v>0.7</v>
      </c>
      <c r="AF50" s="177">
        <f t="shared" si="23"/>
        <v>0.50226667479662201</v>
      </c>
      <c r="AG50" s="921">
        <f t="shared" si="24"/>
        <v>1</v>
      </c>
      <c r="AH50" s="176">
        <f t="shared" si="16"/>
        <v>7</v>
      </c>
      <c r="AI50" s="225">
        <f t="shared" si="17"/>
        <v>1.502266674796622</v>
      </c>
      <c r="AJ50" s="265" t="b">
        <f t="shared" si="18"/>
        <v>0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23.128772543750834</v>
      </c>
      <c r="C51" s="955"/>
      <c r="D51" s="393">
        <f t="shared" si="0"/>
        <v>24.404344881342276</v>
      </c>
      <c r="E51" s="385">
        <f t="shared" si="1"/>
        <v>25.487900783096094</v>
      </c>
      <c r="F51" s="385">
        <f t="shared" si="2"/>
        <v>25.532968042261185</v>
      </c>
      <c r="G51" s="110">
        <f t="shared" si="21"/>
        <v>0.65878524642635639</v>
      </c>
      <c r="H51" s="414" t="b">
        <f>Wh_hp&gt;='2024'!Maxi_hp</f>
        <v>0</v>
      </c>
      <c r="I51" s="390">
        <f>IF(H51,Wh_hp,'2024'!Maxi_hp)</f>
        <v>39.747861870771352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5.2268247469599127E-2</v>
      </c>
      <c r="M51" s="959"/>
      <c r="N51" s="959"/>
      <c r="O51" s="48">
        <f>IF(t&lt;Tnet,'2024'!Resal+('2024'!Salim-'2024'!Resal)*(1-EXP(('2024'!Tnet-t)/('2024'!Tau_j))),Resal+(Salim-Resal)*(1-EXP((Tnet-t)/(Tau_j))))*Salcycl</f>
        <v>4.2512559624857171E-2</v>
      </c>
      <c r="P51" s="169">
        <f>(INDEX(Models!$BJ51:$BT51,,T51)*(1-R51)+INDEX(Models!$BJ51:$BT51,,T51+1)*R51-ERP_i)*Q51*Ramure*Pc/MaxiM</f>
        <v>3.4331327763635149E-3</v>
      </c>
      <c r="Q51" s="305">
        <f t="shared" si="4"/>
        <v>0.7</v>
      </c>
      <c r="R51" s="177">
        <f t="shared" si="5"/>
        <v>0.50238866112621605</v>
      </c>
      <c r="S51" s="921">
        <f t="shared" si="6"/>
        <v>1</v>
      </c>
      <c r="T51" s="176">
        <f t="shared" si="7"/>
        <v>7</v>
      </c>
      <c r="U51" s="251">
        <f t="shared" si="8"/>
        <v>1.5023886611262161</v>
      </c>
      <c r="V51" s="383">
        <f t="shared" si="9"/>
        <v>35.049546131875431</v>
      </c>
      <c r="W51" s="402">
        <f t="shared" si="10"/>
        <v>23.128772543750834</v>
      </c>
      <c r="X51" s="157">
        <f t="shared" si="11"/>
        <v>45694</v>
      </c>
      <c r="Y51" s="385">
        <f t="shared" si="12"/>
        <v>20.988059785337303</v>
      </c>
      <c r="Z51" s="385">
        <f t="shared" si="22"/>
        <v>22.145569913955224</v>
      </c>
      <c r="AA51" s="386">
        <f t="shared" si="13"/>
        <v>25.487900783096094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0.13113401914046785</v>
      </c>
      <c r="AD51" s="231">
        <f>(INDEX(Models!$BJ51:$BT51,,AH51)*(1-AF51)+INDEX(Models!$BJ51:$BT51,,AH51+1)*AF51-ERP_i)*AE51*Ramure*Pc/MaxiM</f>
        <v>3.4331327763635149E-3</v>
      </c>
      <c r="AE51" s="305">
        <f t="shared" si="15"/>
        <v>0.7</v>
      </c>
      <c r="AF51" s="177">
        <f t="shared" si="23"/>
        <v>0.50238866112621605</v>
      </c>
      <c r="AG51" s="921">
        <f t="shared" si="24"/>
        <v>1</v>
      </c>
      <c r="AH51" s="176">
        <f t="shared" si="16"/>
        <v>7</v>
      </c>
      <c r="AI51" s="225">
        <f t="shared" si="17"/>
        <v>1.5023886611262161</v>
      </c>
      <c r="AJ51" s="265" t="b">
        <f t="shared" si="18"/>
        <v>0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9.109748754745743</v>
      </c>
      <c r="C52" s="955"/>
      <c r="D52" s="393">
        <f t="shared" si="0"/>
        <v>9.6123700210213734</v>
      </c>
      <c r="E52" s="385">
        <f t="shared" si="1"/>
        <v>10.040289886730497</v>
      </c>
      <c r="F52" s="385">
        <f t="shared" si="2"/>
        <v>10.040289886730497</v>
      </c>
      <c r="G52" s="110">
        <f t="shared" si="21"/>
        <v>0.2567666714547277</v>
      </c>
      <c r="H52" s="414" t="b">
        <f>Wh_hp&gt;='2024'!Maxi_hp</f>
        <v>0</v>
      </c>
      <c r="I52" s="390">
        <f>IF(H52,Wh_hp,'2024'!Maxi_hp)</f>
        <v>25.290736794333089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5.2289005227268981E-2</v>
      </c>
      <c r="M52" s="959"/>
      <c r="N52" s="959"/>
      <c r="O52" s="48">
        <f>IF(t&lt;Tnet,'2024'!Resal+('2024'!Salim-'2024'!Resal)*(1-EXP(('2024'!Tnet-t)/('2024'!Tau_j))),Resal+(Salim-Resal)*(1-EXP((Tnet-t)/(Tau_j))))*Salcycl</f>
        <v>4.2620269985896901E-2</v>
      </c>
      <c r="P52" s="169">
        <f>(INDEX(Models!$BJ52:$BT52,,T52)*(1-R52)+INDEX(Models!$BJ52:$BT52,,T52+1)*R52-ERP_i)*Q52*Ramure*Pc/MaxiM</f>
        <v>3.2757304516568162E-3</v>
      </c>
      <c r="Q52" s="305">
        <f t="shared" si="4"/>
        <v>0.7</v>
      </c>
      <c r="R52" s="177">
        <f t="shared" si="5"/>
        <v>0.50251570146111768</v>
      </c>
      <c r="S52" s="921">
        <f t="shared" si="6"/>
        <v>1</v>
      </c>
      <c r="T52" s="176">
        <f t="shared" si="7"/>
        <v>7</v>
      </c>
      <c r="U52" s="251">
        <f t="shared" si="8"/>
        <v>1.5025157014611177</v>
      </c>
      <c r="V52" s="383">
        <f t="shared" si="9"/>
        <v>35.362485410976788</v>
      </c>
      <c r="W52" s="402">
        <f t="shared" si="10"/>
        <v>9.109748754745743</v>
      </c>
      <c r="X52" s="157">
        <f t="shared" si="11"/>
        <v>45695</v>
      </c>
      <c r="Y52" s="385">
        <f t="shared" si="12"/>
        <v>8.267250268195351</v>
      </c>
      <c r="Z52" s="385">
        <f t="shared" si="22"/>
        <v>8.723387524039337</v>
      </c>
      <c r="AA52" s="386">
        <f t="shared" si="13"/>
        <v>10.040289886730497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0.13116178691529734</v>
      </c>
      <c r="AD52" s="231">
        <f>(INDEX(Models!$BJ52:$BT52,,AH52)*(1-AF52)+INDEX(Models!$BJ52:$BT52,,AH52+1)*AF52-ERP_i)*AE52*Ramure*Pc/MaxiM</f>
        <v>3.2757304516568162E-3</v>
      </c>
      <c r="AE52" s="305">
        <f t="shared" si="15"/>
        <v>0.7</v>
      </c>
      <c r="AF52" s="177">
        <f t="shared" si="23"/>
        <v>0.50251570146111768</v>
      </c>
      <c r="AG52" s="921">
        <f t="shared" si="24"/>
        <v>1</v>
      </c>
      <c r="AH52" s="176">
        <f t="shared" si="16"/>
        <v>7</v>
      </c>
      <c r="AI52" s="225">
        <f t="shared" si="17"/>
        <v>1.5025157014611177</v>
      </c>
      <c r="AJ52" s="265" t="b">
        <f t="shared" si="18"/>
        <v>0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35.188707052162663</v>
      </c>
      <c r="C53" s="955"/>
      <c r="D53" s="393">
        <f t="shared" si="0"/>
        <v>37.131021995240701</v>
      </c>
      <c r="E53" s="385">
        <f t="shared" si="1"/>
        <v>38.788368584221324</v>
      </c>
      <c r="F53" s="385">
        <f t="shared" si="2"/>
        <v>38.907999405483913</v>
      </c>
      <c r="G53" s="110">
        <f t="shared" si="21"/>
        <v>0.98626501766534047</v>
      </c>
      <c r="H53" s="414" t="b">
        <f>Wh_hp&gt;='2024'!Maxi_hp</f>
        <v>0</v>
      </c>
      <c r="I53" s="390">
        <f>IF(H53,Wh_hp,'2024'!Maxi_hp)</f>
        <v>38.909731663461848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5.2309762530290627E-2</v>
      </c>
      <c r="M53" s="959"/>
      <c r="N53" s="959"/>
      <c r="O53" s="48">
        <f>IF(t&lt;Tnet,'2024'!Resal+('2024'!Salim-'2024'!Resal)*(1-EXP(('2024'!Tnet-t)/('2024'!Tau_j))),Resal+(Salim-Resal)*(1-EXP((Tnet-t)/(Tau_j))))*Salcycl</f>
        <v>4.2727927197608789E-2</v>
      </c>
      <c r="P53" s="169">
        <f>(INDEX(Models!$BJ53:$BT53,,T53)*(1-R53)+INDEX(Models!$BJ53:$BT53,,T53+1)*R53-ERP_i)*Q53*Ramure*Pc/MaxiM</f>
        <v>3.1359707853621786E-3</v>
      </c>
      <c r="Q53" s="305">
        <f t="shared" si="4"/>
        <v>0.7</v>
      </c>
      <c r="R53" s="177">
        <f t="shared" si="5"/>
        <v>0.50264800243448393</v>
      </c>
      <c r="S53" s="921">
        <f t="shared" si="6"/>
        <v>1</v>
      </c>
      <c r="T53" s="176">
        <f t="shared" si="7"/>
        <v>7</v>
      </c>
      <c r="U53" s="251">
        <f t="shared" si="8"/>
        <v>1.5026480024344839</v>
      </c>
      <c r="V53" s="383">
        <f t="shared" si="9"/>
        <v>35.676561665832331</v>
      </c>
      <c r="W53" s="402">
        <f t="shared" si="10"/>
        <v>35.188707052162663</v>
      </c>
      <c r="X53" s="157">
        <f t="shared" si="11"/>
        <v>45696</v>
      </c>
      <c r="Y53" s="385">
        <f t="shared" si="12"/>
        <v>31.936910470135032</v>
      </c>
      <c r="Z53" s="385">
        <f t="shared" si="22"/>
        <v>33.699735638730601</v>
      </c>
      <c r="AA53" s="386">
        <f t="shared" si="13"/>
        <v>38.788368584221324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0.13118966152035391</v>
      </c>
      <c r="AD53" s="231">
        <f>(INDEX(Models!$BJ53:$BT53,,AH53)*(1-AF53)+INDEX(Models!$BJ53:$BT53,,AH53+1)*AF53-ERP_i)*AE53*Ramure*Pc/MaxiM</f>
        <v>3.1359707853621786E-3</v>
      </c>
      <c r="AE53" s="305">
        <f t="shared" si="15"/>
        <v>0.7</v>
      </c>
      <c r="AF53" s="177">
        <f t="shared" si="23"/>
        <v>0.50264800243448393</v>
      </c>
      <c r="AG53" s="921">
        <f t="shared" si="24"/>
        <v>1</v>
      </c>
      <c r="AH53" s="176">
        <f t="shared" si="16"/>
        <v>7</v>
      </c>
      <c r="AI53" s="225">
        <f t="shared" si="17"/>
        <v>1.5026480024344839</v>
      </c>
      <c r="AJ53" s="265" t="b">
        <f t="shared" si="18"/>
        <v>0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35.269904054834782</v>
      </c>
      <c r="C54" s="955"/>
      <c r="D54" s="393">
        <f t="shared" si="0"/>
        <v>37.217515996938694</v>
      </c>
      <c r="E54" s="385">
        <f t="shared" si="1"/>
        <v>38.883093820801705</v>
      </c>
      <c r="F54" s="385">
        <f t="shared" si="2"/>
        <v>38.997245458697655</v>
      </c>
      <c r="G54" s="110">
        <f t="shared" si="21"/>
        <v>0.97987195510926772</v>
      </c>
      <c r="H54" s="414" t="b">
        <f>Wh_hp&gt;='2024'!Maxi_hp</f>
        <v>0</v>
      </c>
      <c r="I54" s="390">
        <f>IF(H54,Wh_hp,'2024'!Maxi_hp)</f>
        <v>38.999655191950957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5.2330519378674056E-2</v>
      </c>
      <c r="M54" s="959"/>
      <c r="N54" s="959"/>
      <c r="O54" s="48">
        <f>IF(t&lt;Tnet,'2024'!Resal+('2024'!Salim-'2024'!Resal)*(1-EXP(('2024'!Tnet-t)/('2024'!Tau_j))),Resal+(Salim-Resal)*(1-EXP((Tnet-t)/(Tau_j))))*Salcycl</f>
        <v>4.2835527222680879E-2</v>
      </c>
      <c r="P54" s="169">
        <f>(INDEX(Models!$BJ54:$BT54,,T54)*(1-R54)+INDEX(Models!$BJ54:$BT54,,T54+1)*R54-ERP_i)*Q54*Ramure*Pc/MaxiM</f>
        <v>3.0134567326022973E-3</v>
      </c>
      <c r="Q54" s="305">
        <f t="shared" si="4"/>
        <v>0.7</v>
      </c>
      <c r="R54" s="177">
        <f t="shared" si="5"/>
        <v>0.50278577889307496</v>
      </c>
      <c r="S54" s="921">
        <f t="shared" si="6"/>
        <v>1</v>
      </c>
      <c r="T54" s="176">
        <f t="shared" si="7"/>
        <v>7</v>
      </c>
      <c r="U54" s="251">
        <f t="shared" si="8"/>
        <v>1.502785778893075</v>
      </c>
      <c r="V54" s="383">
        <f t="shared" si="9"/>
        <v>35.991286081814998</v>
      </c>
      <c r="W54" s="402">
        <f t="shared" si="10"/>
        <v>35.269904054834782</v>
      </c>
      <c r="X54" s="157">
        <f t="shared" si="11"/>
        <v>45697</v>
      </c>
      <c r="Y54" s="385">
        <f t="shared" si="12"/>
        <v>32.01317195261997</v>
      </c>
      <c r="Z54" s="385">
        <f t="shared" si="22"/>
        <v>33.780946424096079</v>
      </c>
      <c r="AA54" s="386">
        <f t="shared" si="13"/>
        <v>38.883093820801705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0.1312176294463501</v>
      </c>
      <c r="AD54" s="231">
        <f>(INDEX(Models!$BJ54:$BT54,,AH54)*(1-AF54)+INDEX(Models!$BJ54:$BT54,,AH54+1)*AF54-ERP_i)*AE54*Ramure*Pc/MaxiM</f>
        <v>3.0134567326022973E-3</v>
      </c>
      <c r="AE54" s="305">
        <f t="shared" si="15"/>
        <v>0.7</v>
      </c>
      <c r="AF54" s="177">
        <f t="shared" si="23"/>
        <v>0.50278577889307496</v>
      </c>
      <c r="AG54" s="921">
        <f t="shared" si="24"/>
        <v>1</v>
      </c>
      <c r="AH54" s="176">
        <f t="shared" si="16"/>
        <v>7</v>
      </c>
      <c r="AI54" s="225">
        <f t="shared" si="17"/>
        <v>1.502785778893075</v>
      </c>
      <c r="AJ54" s="265" t="b">
        <f t="shared" si="18"/>
        <v>0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32.772977999390669</v>
      </c>
      <c r="C55" s="955"/>
      <c r="D55" s="393">
        <f t="shared" si="0"/>
        <v>34.583466596342383</v>
      </c>
      <c r="E55" s="385">
        <f t="shared" si="1"/>
        <v>36.135223893524</v>
      </c>
      <c r="F55" s="385">
        <f t="shared" si="2"/>
        <v>36.225917036475934</v>
      </c>
      <c r="G55" s="110">
        <f t="shared" si="21"/>
        <v>0.90231759833382241</v>
      </c>
      <c r="H55" s="414" t="b">
        <f>Wh_hp&gt;='2024'!Maxi_hp</f>
        <v>0</v>
      </c>
      <c r="I55" s="390">
        <f>IF(H55,Wh_hp,'2024'!Maxi_hp)</f>
        <v>36.23625864148525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5.2351275772429262E-2</v>
      </c>
      <c r="M55" s="959"/>
      <c r="N55" s="959"/>
      <c r="O55" s="48">
        <f>IF(t&lt;Tnet,'2024'!Resal+('2024'!Salim-'2024'!Resal)*(1-EXP(('2024'!Tnet-t)/('2024'!Tau_j))),Resal+(Salim-Resal)*(1-EXP((Tnet-t)/(Tau_j))))*Salcycl</f>
        <v>4.2943065795137229E-2</v>
      </c>
      <c r="P55" s="169">
        <f>(INDEX(Models!$BJ55:$BT55,,T55)*(1-R55)+INDEX(Models!$BJ55:$BT55,,T55+1)*R55-ERP_i)*Q55*Ramure*Pc/MaxiM</f>
        <v>2.9077954716564729E-3</v>
      </c>
      <c r="Q55" s="305">
        <f t="shared" si="4"/>
        <v>0.7</v>
      </c>
      <c r="R55" s="177">
        <f t="shared" si="5"/>
        <v>0.50292925420373757</v>
      </c>
      <c r="S55" s="921">
        <f t="shared" si="6"/>
        <v>1</v>
      </c>
      <c r="T55" s="176">
        <f t="shared" si="7"/>
        <v>7</v>
      </c>
      <c r="U55" s="251">
        <f t="shared" si="8"/>
        <v>1.5029292542037376</v>
      </c>
      <c r="V55" s="383">
        <f t="shared" si="9"/>
        <v>36.306170081021769</v>
      </c>
      <c r="W55" s="402">
        <f t="shared" si="10"/>
        <v>32.772977999390669</v>
      </c>
      <c r="X55" s="157">
        <f t="shared" si="11"/>
        <v>45698</v>
      </c>
      <c r="Y55" s="385">
        <f t="shared" si="12"/>
        <v>29.749187649880781</v>
      </c>
      <c r="Z55" s="385">
        <f t="shared" si="22"/>
        <v>31.392631984102938</v>
      </c>
      <c r="AA55" s="386">
        <f t="shared" si="13"/>
        <v>36.135223893524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0.13124567661170652</v>
      </c>
      <c r="AD55" s="231">
        <f>(INDEX(Models!$BJ55:$BT55,,AH55)*(1-AF55)+INDEX(Models!$BJ55:$BT55,,AH55+1)*AF55-ERP_i)*AE55*Ramure*Pc/MaxiM</f>
        <v>2.9077954716564729E-3</v>
      </c>
      <c r="AE55" s="305">
        <f t="shared" si="15"/>
        <v>0.7</v>
      </c>
      <c r="AF55" s="177">
        <f t="shared" si="23"/>
        <v>0.50292925420373757</v>
      </c>
      <c r="AG55" s="921">
        <f t="shared" si="24"/>
        <v>1</v>
      </c>
      <c r="AH55" s="176">
        <f t="shared" si="16"/>
        <v>7</v>
      </c>
      <c r="AI55" s="225">
        <f t="shared" si="17"/>
        <v>1.5029292542037376</v>
      </c>
      <c r="AJ55" s="265" t="b">
        <f t="shared" si="18"/>
        <v>0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16.498676315393286</v>
      </c>
      <c r="C56" s="955"/>
      <c r="D56" s="393">
        <f t="shared" si="0"/>
        <v>17.410499549936784</v>
      </c>
      <c r="E56" s="385">
        <f t="shared" si="1"/>
        <v>18.193750297144994</v>
      </c>
      <c r="F56" s="385">
        <f t="shared" si="2"/>
        <v>18.204784461839786</v>
      </c>
      <c r="G56" s="110">
        <f t="shared" si="21"/>
        <v>0.44953099438442068</v>
      </c>
      <c r="H56" s="414" t="b">
        <f>Wh_hp&gt;='2024'!Maxi_hp</f>
        <v>0</v>
      </c>
      <c r="I56" s="390">
        <f>IF(H56,Wh_hp,'2024'!Maxi_hp)</f>
        <v>32.069160070810902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5.2372031711566236E-2</v>
      </c>
      <c r="M56" s="959"/>
      <c r="N56" s="959"/>
      <c r="O56" s="48">
        <f>IF(t&lt;Tnet,'2024'!Resal+('2024'!Salim-'2024'!Resal)*(1-EXP(('2024'!Tnet-t)/('2024'!Tau_j))),Resal+(Salim-Resal)*(1-EXP((Tnet-t)/(Tau_j))))*Salcycl</f>
        <v>4.3050538477002159E-2</v>
      </c>
      <c r="P56" s="169">
        <f>(INDEX(Models!$BJ56:$BT56,,T56)*(1-R56)+INDEX(Models!$BJ56:$BT56,,T56+1)*R56-ERP_i)*Q56*Ramure*Pc/MaxiM</f>
        <v>2.8186006772094011E-3</v>
      </c>
      <c r="Q56" s="305">
        <f t="shared" si="4"/>
        <v>0.7</v>
      </c>
      <c r="R56" s="177">
        <f t="shared" si="5"/>
        <v>0.50307866056959871</v>
      </c>
      <c r="S56" s="921">
        <f t="shared" si="6"/>
        <v>1</v>
      </c>
      <c r="T56" s="176">
        <f t="shared" si="7"/>
        <v>7</v>
      </c>
      <c r="U56" s="251">
        <f t="shared" si="8"/>
        <v>1.5030786605695987</v>
      </c>
      <c r="V56" s="383">
        <f t="shared" si="9"/>
        <v>36.620725315855161</v>
      </c>
      <c r="W56" s="402">
        <f t="shared" si="10"/>
        <v>16.498676315393286</v>
      </c>
      <c r="X56" s="157">
        <f t="shared" si="11"/>
        <v>45699</v>
      </c>
      <c r="Y56" s="385">
        <f t="shared" si="12"/>
        <v>14.977627498469468</v>
      </c>
      <c r="Z56" s="385">
        <f t="shared" si="22"/>
        <v>15.805387767861513</v>
      </c>
      <c r="AA56" s="386">
        <f t="shared" si="13"/>
        <v>18.193750297144994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0.13127378854145702</v>
      </c>
      <c r="AD56" s="231">
        <f>(INDEX(Models!$BJ56:$BT56,,AH56)*(1-AF56)+INDEX(Models!$BJ56:$BT56,,AH56+1)*AF56-ERP_i)*AE56*Ramure*Pc/MaxiM</f>
        <v>2.8186006772094011E-3</v>
      </c>
      <c r="AE56" s="305">
        <f t="shared" si="15"/>
        <v>0.7</v>
      </c>
      <c r="AF56" s="177">
        <f t="shared" si="23"/>
        <v>0.50307866056959871</v>
      </c>
      <c r="AG56" s="921">
        <f t="shared" si="24"/>
        <v>1</v>
      </c>
      <c r="AH56" s="176">
        <f t="shared" si="16"/>
        <v>7</v>
      </c>
      <c r="AI56" s="225">
        <f t="shared" si="17"/>
        <v>1.5030786605695987</v>
      </c>
      <c r="AJ56" s="265" t="b">
        <f t="shared" si="18"/>
        <v>0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27.442070953698661</v>
      </c>
      <c r="C57" s="955"/>
      <c r="D57" s="393">
        <f t="shared" si="0"/>
        <v>28.959331021235521</v>
      </c>
      <c r="E57" s="385">
        <f t="shared" si="1"/>
        <v>30.26552892438481</v>
      </c>
      <c r="F57" s="385">
        <f t="shared" si="2"/>
        <v>30.318206226471371</v>
      </c>
      <c r="G57" s="110">
        <f t="shared" si="21"/>
        <v>0.74224337117313177</v>
      </c>
      <c r="H57" s="414" t="b">
        <f>Wh_hp&gt;='2024'!Maxi_hp</f>
        <v>0</v>
      </c>
      <c r="I57" s="390">
        <f>IF(H57,Wh_hp,'2024'!Maxi_hp)</f>
        <v>40.986650074876621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5.2392787196094859E-2</v>
      </c>
      <c r="M57" s="959"/>
      <c r="N57" s="959"/>
      <c r="O57" s="48">
        <f>IF(t&lt;Tnet,'2024'!Resal+('2024'!Salim-'2024'!Resal)*(1-EXP(('2024'!Tnet-t)/('2024'!Tau_j))),Resal+(Salim-Resal)*(1-EXP((Tnet-t)/(Tau_j))))*Salcycl</f>
        <v>4.315794071904986E-2</v>
      </c>
      <c r="P57" s="169">
        <f>(INDEX(Models!$BJ57:$BT57,,T57)*(1-R57)+INDEX(Models!$BJ57:$BT57,,T57+1)*R57-ERP_i)*Q57*Ramure*Pc/MaxiM</f>
        <v>2.7454945590812889E-3</v>
      </c>
      <c r="Q57" s="305">
        <f t="shared" si="4"/>
        <v>0.7</v>
      </c>
      <c r="R57" s="177">
        <f t="shared" si="5"/>
        <v>0.50323423935612155</v>
      </c>
      <c r="S57" s="921">
        <f t="shared" si="6"/>
        <v>1</v>
      </c>
      <c r="T57" s="176">
        <f t="shared" si="7"/>
        <v>7</v>
      </c>
      <c r="U57" s="251">
        <f t="shared" si="8"/>
        <v>1.5032342393561215</v>
      </c>
      <c r="V57" s="383">
        <f t="shared" si="9"/>
        <v>36.934463665529499</v>
      </c>
      <c r="W57" s="402">
        <f t="shared" si="10"/>
        <v>27.442070953698661</v>
      </c>
      <c r="X57" s="157">
        <f t="shared" si="11"/>
        <v>45700</v>
      </c>
      <c r="Y57" s="385">
        <f t="shared" si="12"/>
        <v>24.914115426837682</v>
      </c>
      <c r="Z57" s="385">
        <f t="shared" si="22"/>
        <v>26.291605942000498</v>
      </c>
      <c r="AA57" s="386">
        <f t="shared" si="13"/>
        <v>30.26552892438481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0.13130195055611726</v>
      </c>
      <c r="AD57" s="231">
        <f>(INDEX(Models!$BJ57:$BT57,,AH57)*(1-AF57)+INDEX(Models!$BJ57:$BT57,,AH57+1)*AF57-ERP_i)*AE57*Ramure*Pc/MaxiM</f>
        <v>2.7454945590812889E-3</v>
      </c>
      <c r="AE57" s="305">
        <f t="shared" si="15"/>
        <v>0.7</v>
      </c>
      <c r="AF57" s="177">
        <f t="shared" si="23"/>
        <v>0.50323423935612155</v>
      </c>
      <c r="AG57" s="921">
        <f t="shared" si="24"/>
        <v>1</v>
      </c>
      <c r="AH57" s="176">
        <f t="shared" si="16"/>
        <v>7</v>
      </c>
      <c r="AI57" s="225">
        <f t="shared" si="17"/>
        <v>1.5032342393561215</v>
      </c>
      <c r="AJ57" s="265" t="b">
        <f t="shared" si="18"/>
        <v>0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33.536154805074879</v>
      </c>
      <c r="C58" s="955"/>
      <c r="D58" s="393">
        <f t="shared" si="0"/>
        <v>35.391129252581784</v>
      </c>
      <c r="E58" s="385">
        <f t="shared" si="1"/>
        <v>36.991579866472733</v>
      </c>
      <c r="F58" s="385">
        <f t="shared" si="2"/>
        <v>37.077083975599777</v>
      </c>
      <c r="G58" s="110">
        <f t="shared" si="21"/>
        <v>0.90002972419592253</v>
      </c>
      <c r="H58" s="414" t="b">
        <f>Wh_hp&gt;='2024'!Maxi_hp</f>
        <v>0</v>
      </c>
      <c r="I58" s="390">
        <f>IF(H58,Wh_hp,'2024'!Maxi_hp)</f>
        <v>42.930559585857665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5.2413542226025012E-2</v>
      </c>
      <c r="M58" s="959"/>
      <c r="N58" s="959"/>
      <c r="O58" s="48">
        <f>IF(t&lt;Tnet,'2024'!Resal+('2024'!Salim-'2024'!Resal)*(1-EXP(('2024'!Tnet-t)/('2024'!Tau_j))),Resal+(Salim-Resal)*(1-EXP((Tnet-t)/(Tau_j))))*Salcycl</f>
        <v>4.3265267924972151E-2</v>
      </c>
      <c r="P58" s="169">
        <f>(INDEX(Models!$BJ58:$BT58,,T58)*(1-R58)+INDEX(Models!$BJ58:$BT58,,T58+1)*R58-ERP_i)*Q58*Ramure*Pc/MaxiM</f>
        <v>2.6887895170631978E-3</v>
      </c>
      <c r="Q58" s="305">
        <f t="shared" si="4"/>
        <v>0.7</v>
      </c>
      <c r="R58" s="177">
        <f t="shared" si="5"/>
        <v>0.50339624142716066</v>
      </c>
      <c r="S58" s="921">
        <f t="shared" si="6"/>
        <v>1</v>
      </c>
      <c r="T58" s="176">
        <f t="shared" si="7"/>
        <v>7</v>
      </c>
      <c r="U58" s="251">
        <f t="shared" si="8"/>
        <v>1.5033962414271607</v>
      </c>
      <c r="V58" s="383">
        <f t="shared" si="9"/>
        <v>37.246871841499228</v>
      </c>
      <c r="W58" s="402">
        <f t="shared" si="10"/>
        <v>33.536154805074879</v>
      </c>
      <c r="X58" s="157">
        <f t="shared" si="11"/>
        <v>45701</v>
      </c>
      <c r="Y58" s="385">
        <f t="shared" si="12"/>
        <v>30.449241211356554</v>
      </c>
      <c r="Z58" s="385">
        <f t="shared" si="22"/>
        <v>32.133470209026058</v>
      </c>
      <c r="AA58" s="386">
        <f t="shared" si="13"/>
        <v>36.991579866472733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0.13133014796834391</v>
      </c>
      <c r="AD58" s="231">
        <f>(INDEX(Models!$BJ58:$BT58,,AH58)*(1-AF58)+INDEX(Models!$BJ58:$BT58,,AH58+1)*AF58-ERP_i)*AE58*Ramure*Pc/MaxiM</f>
        <v>2.6887895170631978E-3</v>
      </c>
      <c r="AE58" s="305">
        <f t="shared" si="15"/>
        <v>0.7</v>
      </c>
      <c r="AF58" s="177">
        <f t="shared" si="23"/>
        <v>0.50339624142716066</v>
      </c>
      <c r="AG58" s="921">
        <f t="shared" si="24"/>
        <v>1</v>
      </c>
      <c r="AH58" s="176">
        <f t="shared" si="16"/>
        <v>7</v>
      </c>
      <c r="AI58" s="225">
        <f t="shared" si="17"/>
        <v>1.5033962414271607</v>
      </c>
      <c r="AJ58" s="265" t="b">
        <f t="shared" si="18"/>
        <v>0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18.604569067589516</v>
      </c>
      <c r="C59" s="955"/>
      <c r="D59" s="393">
        <f t="shared" si="0"/>
        <v>19.634067595299552</v>
      </c>
      <c r="E59" s="385">
        <f t="shared" si="1"/>
        <v>20.524256216552992</v>
      </c>
      <c r="F59" s="385">
        <f t="shared" si="2"/>
        <v>20.539384350848355</v>
      </c>
      <c r="G59" s="110">
        <f t="shared" si="21"/>
        <v>0.49441516647466865</v>
      </c>
      <c r="H59" s="414" t="b">
        <f>Wh_hp&gt;='2024'!Maxi_hp</f>
        <v>0</v>
      </c>
      <c r="I59" s="390">
        <f>IF(H59,Wh_hp,'2024'!Maxi_hp)</f>
        <v>42.898613753230741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5.2434296801366798E-2</v>
      </c>
      <c r="M59" s="959"/>
      <c r="N59" s="959"/>
      <c r="O59" s="48">
        <f>IF(t&lt;Tnet,'2024'!Resal+('2024'!Salim-'2024'!Resal)*(1-EXP(('2024'!Tnet-t)/('2024'!Tau_j))),Resal+(Salim-Resal)*(1-EXP((Tnet-t)/(Tau_j))))*Salcycl</f>
        <v>4.3372515518272238E-2</v>
      </c>
      <c r="P59" s="169">
        <f>(INDEX(Models!$BJ59:$BT59,,T59)*(1-R59)+INDEX(Models!$BJ59:$BT59,,T59+1)*R59-ERP_i)*Q59*Ramure*Pc/MaxiM</f>
        <v>2.6391498351283353E-3</v>
      </c>
      <c r="Q59" s="305">
        <f t="shared" si="4"/>
        <v>0.7</v>
      </c>
      <c r="R59" s="177">
        <f t="shared" si="5"/>
        <v>0.50356492749114246</v>
      </c>
      <c r="S59" s="921">
        <f t="shared" si="6"/>
        <v>1</v>
      </c>
      <c r="T59" s="176">
        <f t="shared" si="7"/>
        <v>7</v>
      </c>
      <c r="U59" s="251">
        <f t="shared" si="8"/>
        <v>1.5035649274911425</v>
      </c>
      <c r="V59" s="383">
        <f t="shared" si="9"/>
        <v>37.55779970102256</v>
      </c>
      <c r="W59" s="402">
        <f t="shared" si="10"/>
        <v>18.604569067589516</v>
      </c>
      <c r="X59" s="157">
        <f t="shared" si="11"/>
        <v>45702</v>
      </c>
      <c r="Y59" s="385">
        <f t="shared" si="12"/>
        <v>16.893413090871608</v>
      </c>
      <c r="Z59" s="385">
        <f t="shared" si="22"/>
        <v>17.828223450728178</v>
      </c>
      <c r="AA59" s="386">
        <f t="shared" si="13"/>
        <v>20.524256216552992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0.13135836628517822</v>
      </c>
      <c r="AD59" s="231">
        <f>(INDEX(Models!$BJ59:$BT59,,AH59)*(1-AF59)+INDEX(Models!$BJ59:$BT59,,AH59+1)*AF59-ERP_i)*AE59*Ramure*Pc/MaxiM</f>
        <v>2.6391498351283353E-3</v>
      </c>
      <c r="AE59" s="305">
        <f t="shared" si="15"/>
        <v>0.7</v>
      </c>
      <c r="AF59" s="177">
        <f t="shared" si="23"/>
        <v>0.50356492749114246</v>
      </c>
      <c r="AG59" s="921">
        <f t="shared" si="24"/>
        <v>1</v>
      </c>
      <c r="AH59" s="176">
        <f t="shared" si="16"/>
        <v>7</v>
      </c>
      <c r="AI59" s="225">
        <f t="shared" si="17"/>
        <v>1.5035649274911425</v>
      </c>
      <c r="AJ59" s="265" t="b">
        <f t="shared" si="18"/>
        <v>0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18.334262429463351</v>
      </c>
      <c r="C60" s="955"/>
      <c r="D60" s="393">
        <f t="shared" si="0"/>
        <v>19.349227123532089</v>
      </c>
      <c r="E60" s="385">
        <f t="shared" si="1"/>
        <v>20.228767438552055</v>
      </c>
      <c r="F60" s="385">
        <f t="shared" si="2"/>
        <v>20.242596220389249</v>
      </c>
      <c r="G60" s="110">
        <f t="shared" si="21"/>
        <v>0.48325127163397158</v>
      </c>
      <c r="H60" s="414" t="b">
        <f>Wh_hp&gt;='2024'!Maxi_hp</f>
        <v>0</v>
      </c>
      <c r="I60" s="390">
        <f>IF(H60,Wh_hp,'2024'!Maxi_hp)</f>
        <v>43.307632323541206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5.2455050922130098E-2</v>
      </c>
      <c r="M60" s="959"/>
      <c r="N60" s="959"/>
      <c r="O60" s="48">
        <f>IF(t&lt;Tnet,'2024'!Resal+('2024'!Salim-'2024'!Resal)*(1-EXP(('2024'!Tnet-t)/('2024'!Tau_j))),Resal+(Salim-Resal)*(1-EXP((Tnet-t)/(Tau_j))))*Salcycl</f>
        <v>4.3479679011175817E-2</v>
      </c>
      <c r="P60" s="169">
        <f>(INDEX(Models!$BJ60:$BT60,,T60)*(1-R60)+INDEX(Models!$BJ60:$BT60,,T60+1)*R60-ERP_i)*Q60*Ramure*Pc/MaxiM</f>
        <v>2.5964343930384346E-3</v>
      </c>
      <c r="Q60" s="305">
        <f t="shared" si="4"/>
        <v>0.7</v>
      </c>
      <c r="R60" s="177">
        <f t="shared" si="5"/>
        <v>0.50374056845747295</v>
      </c>
      <c r="S60" s="921">
        <f t="shared" si="6"/>
        <v>1</v>
      </c>
      <c r="T60" s="176">
        <f t="shared" si="7"/>
        <v>7</v>
      </c>
      <c r="U60" s="251">
        <f t="shared" si="8"/>
        <v>1.5037405684574729</v>
      </c>
      <c r="V60" s="383">
        <f t="shared" si="9"/>
        <v>37.866759825184921</v>
      </c>
      <c r="W60" s="402">
        <f t="shared" si="10"/>
        <v>18.334262429463351</v>
      </c>
      <c r="X60" s="157">
        <f t="shared" si="11"/>
        <v>45703</v>
      </c>
      <c r="Y60" s="385">
        <f t="shared" si="12"/>
        <v>16.649292057182333</v>
      </c>
      <c r="Z60" s="385">
        <f t="shared" si="22"/>
        <v>17.57097863630117</v>
      </c>
      <c r="AA60" s="386">
        <f t="shared" si="13"/>
        <v>20.228767438552055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0.13138659141365494</v>
      </c>
      <c r="AD60" s="231">
        <f>(INDEX(Models!$BJ60:$BT60,,AH60)*(1-AF60)+INDEX(Models!$BJ60:$BT60,,AH60+1)*AF60-ERP_i)*AE60*Ramure*Pc/MaxiM</f>
        <v>2.5964343930384346E-3</v>
      </c>
      <c r="AE60" s="305">
        <f t="shared" si="15"/>
        <v>0.7</v>
      </c>
      <c r="AF60" s="177">
        <f t="shared" si="23"/>
        <v>0.50374056845747295</v>
      </c>
      <c r="AG60" s="921">
        <f t="shared" si="24"/>
        <v>1</v>
      </c>
      <c r="AH60" s="176">
        <f t="shared" si="16"/>
        <v>7</v>
      </c>
      <c r="AI60" s="225">
        <f t="shared" si="17"/>
        <v>1.5037405684574729</v>
      </c>
      <c r="AJ60" s="265" t="b">
        <f t="shared" si="18"/>
        <v>0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7.9741917496730643</v>
      </c>
      <c r="C61" s="955"/>
      <c r="D61" s="393">
        <f t="shared" si="0"/>
        <v>8.4158186020869703</v>
      </c>
      <c r="E61" s="385">
        <f t="shared" si="1"/>
        <v>8.7993538754747878</v>
      </c>
      <c r="F61" s="385">
        <f t="shared" si="2"/>
        <v>8.7993538754747878</v>
      </c>
      <c r="G61" s="110">
        <f t="shared" si="21"/>
        <v>0.20835979765462506</v>
      </c>
      <c r="H61" s="414" t="b">
        <f>Wh_hp&gt;='2024'!Maxi_hp</f>
        <v>0</v>
      </c>
      <c r="I61" s="390">
        <f>IF(H61,Wh_hp,'2024'!Maxi_hp)</f>
        <v>43.625435149292962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5.2475804588324904E-2</v>
      </c>
      <c r="M61" s="959"/>
      <c r="N61" s="959"/>
      <c r="O61" s="48">
        <f>IF(t&lt;Tnet,'2024'!Resal+('2024'!Salim-'2024'!Resal)*(1-EXP(('2024'!Tnet-t)/('2024'!Tau_j))),Resal+(Salim-Resal)*(1-EXP((Tnet-t)/(Tau_j))))*Salcycl</f>
        <v>4.3586754074840896E-2</v>
      </c>
      <c r="P61" s="169">
        <f>(INDEX(Models!$BJ61:$BT61,,T61)*(1-R61)+INDEX(Models!$BJ61:$BT61,,T61+1)*R61-ERP_i)*Q61*Ramure*Pc/MaxiM</f>
        <v>2.5605070485299132E-3</v>
      </c>
      <c r="Q61" s="305">
        <f t="shared" si="4"/>
        <v>0.7</v>
      </c>
      <c r="R61" s="177">
        <f t="shared" si="5"/>
        <v>0.50392344580326087</v>
      </c>
      <c r="S61" s="921">
        <f t="shared" si="6"/>
        <v>1</v>
      </c>
      <c r="T61" s="176">
        <f t="shared" si="7"/>
        <v>7</v>
      </c>
      <c r="U61" s="251">
        <f t="shared" si="8"/>
        <v>1.5039234458032609</v>
      </c>
      <c r="V61" s="383">
        <f t="shared" si="9"/>
        <v>38.173265020518912</v>
      </c>
      <c r="W61" s="402">
        <f t="shared" si="10"/>
        <v>7.9741917496730643</v>
      </c>
      <c r="X61" s="157">
        <f t="shared" si="11"/>
        <v>45704</v>
      </c>
      <c r="Y61" s="385">
        <f t="shared" si="12"/>
        <v>7.2419164901279611</v>
      </c>
      <c r="Z61" s="385">
        <f t="shared" si="22"/>
        <v>7.6429884589717876</v>
      </c>
      <c r="AA61" s="386">
        <f t="shared" si="13"/>
        <v>8.7993538754747878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0.13141480986757181</v>
      </c>
      <c r="AD61" s="231">
        <f>(INDEX(Models!$BJ61:$BT61,,AH61)*(1-AF61)+INDEX(Models!$BJ61:$BT61,,AH61+1)*AF61-ERP_i)*AE61*Ramure*Pc/MaxiM</f>
        <v>2.5605070485299132E-3</v>
      </c>
      <c r="AE61" s="305">
        <f t="shared" si="15"/>
        <v>0.7</v>
      </c>
      <c r="AF61" s="177">
        <f t="shared" si="23"/>
        <v>0.50392344580326087</v>
      </c>
      <c r="AG61" s="921">
        <f t="shared" si="24"/>
        <v>1</v>
      </c>
      <c r="AH61" s="176">
        <f t="shared" si="16"/>
        <v>7</v>
      </c>
      <c r="AI61" s="225">
        <f t="shared" si="17"/>
        <v>1.5039234458032609</v>
      </c>
      <c r="AJ61" s="265" t="b">
        <f t="shared" si="18"/>
        <v>0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9.3186770607179401</v>
      </c>
      <c r="C62" s="955"/>
      <c r="D62" s="393">
        <f t="shared" si="0"/>
        <v>9.834979637731557</v>
      </c>
      <c r="E62" s="385">
        <f t="shared" si="1"/>
        <v>10.284340921149205</v>
      </c>
      <c r="F62" s="385">
        <f t="shared" si="2"/>
        <v>10.284340921149205</v>
      </c>
      <c r="G62" s="110">
        <f t="shared" si="21"/>
        <v>0.2415762859245531</v>
      </c>
      <c r="H62" s="414" t="b">
        <f>Wh_hp&gt;='2024'!Maxi_hp</f>
        <v>0</v>
      </c>
      <c r="I62" s="390">
        <f>IF(H62,Wh_hp,'2024'!Maxi_hp)</f>
        <v>44.343925318135149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5.2496557799961208E-2</v>
      </c>
      <c r="M62" s="959"/>
      <c r="N62" s="959"/>
      <c r="O62" s="48">
        <f>IF(t&lt;Tnet,'2024'!Resal+('2024'!Salim-'2024'!Resal)*(1-EXP(('2024'!Tnet-t)/('2024'!Tau_j))),Resal+(Salim-Resal)*(1-EXP((Tnet-t)/(Tau_j))))*Salcycl</f>
        <v>4.369373661014684E-2</v>
      </c>
      <c r="P62" s="169">
        <f>(INDEX(Models!$BJ62:$BT62,,T62)*(1-R62)+INDEX(Models!$BJ62:$BT62,,T62+1)*R62-ERP_i)*Q62*Ramure*Pc/MaxiM</f>
        <v>2.5312373050343268E-3</v>
      </c>
      <c r="Q62" s="305">
        <f t="shared" si="4"/>
        <v>0.7</v>
      </c>
      <c r="R62" s="177">
        <f t="shared" si="5"/>
        <v>0.50411385195041736</v>
      </c>
      <c r="S62" s="921">
        <f t="shared" si="6"/>
        <v>1</v>
      </c>
      <c r="T62" s="176">
        <f t="shared" si="7"/>
        <v>7</v>
      </c>
      <c r="U62" s="251">
        <f t="shared" si="8"/>
        <v>1.5041138519504174</v>
      </c>
      <c r="V62" s="383">
        <f t="shared" si="9"/>
        <v>38.476828311745969</v>
      </c>
      <c r="W62" s="402">
        <f t="shared" si="10"/>
        <v>9.3186770607179401</v>
      </c>
      <c r="X62" s="157">
        <f t="shared" si="11"/>
        <v>45705</v>
      </c>
      <c r="Y62" s="385">
        <f t="shared" si="12"/>
        <v>8.463608801971878</v>
      </c>
      <c r="Z62" s="385">
        <f t="shared" si="22"/>
        <v>8.9325362051666559</v>
      </c>
      <c r="AA62" s="386">
        <f t="shared" si="13"/>
        <v>10.284340921149205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0.13144300897324721</v>
      </c>
      <c r="AD62" s="231">
        <f>(INDEX(Models!$BJ62:$BT62,,AH62)*(1-AF62)+INDEX(Models!$BJ62:$BT62,,AH62+1)*AF62-ERP_i)*AE62*Ramure*Pc/MaxiM</f>
        <v>2.5312373050343268E-3</v>
      </c>
      <c r="AE62" s="305">
        <f t="shared" si="15"/>
        <v>0.7</v>
      </c>
      <c r="AF62" s="177">
        <f t="shared" si="23"/>
        <v>0.50411385195041736</v>
      </c>
      <c r="AG62" s="921">
        <f t="shared" si="24"/>
        <v>1</v>
      </c>
      <c r="AH62" s="176">
        <f t="shared" si="16"/>
        <v>7</v>
      </c>
      <c r="AI62" s="225">
        <f t="shared" si="17"/>
        <v>1.5041138519504174</v>
      </c>
      <c r="AJ62" s="265" t="b">
        <f t="shared" si="18"/>
        <v>0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30.540891606297023</v>
      </c>
      <c r="C63" s="955"/>
      <c r="D63" s="393">
        <f t="shared" si="0"/>
        <v>32.233719883845879</v>
      </c>
      <c r="E63" s="385">
        <f t="shared" si="1"/>
        <v>33.710249821384657</v>
      </c>
      <c r="F63" s="385">
        <f t="shared" si="2"/>
        <v>33.769257020670516</v>
      </c>
      <c r="G63" s="110">
        <f t="shared" si="21"/>
        <v>0.787003489130506</v>
      </c>
      <c r="H63" s="414" t="b">
        <f>Wh_hp&gt;='2024'!Maxi_hp</f>
        <v>0</v>
      </c>
      <c r="I63" s="390">
        <f>IF(H63,Wh_hp,'2024'!Maxi_hp)</f>
        <v>43.682090944826165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5.2517310557048891E-2</v>
      </c>
      <c r="M63" s="959"/>
      <c r="N63" s="959"/>
      <c r="O63" s="48">
        <f>IF(t&lt;Tnet,'2024'!Resal+('2024'!Salim-'2024'!Resal)*(1-EXP(('2024'!Tnet-t)/('2024'!Tau_j))),Resal+(Salim-Resal)*(1-EXP((Tnet-t)/(Tau_j))))*Salcycl</f>
        <v>4.3800622818348893E-2</v>
      </c>
      <c r="P63" s="169">
        <f>(INDEX(Models!$BJ63:$BT63,,T63)*(1-R63)+INDEX(Models!$BJ63:$BT63,,T63+1)*R63-ERP_i)*Q63*Ramure*Pc/MaxiM</f>
        <v>2.5085009243801751E-3</v>
      </c>
      <c r="Q63" s="305">
        <f t="shared" si="4"/>
        <v>0.7</v>
      </c>
      <c r="R63" s="177">
        <f t="shared" si="5"/>
        <v>0.50431209065316551</v>
      </c>
      <c r="S63" s="921">
        <f t="shared" si="6"/>
        <v>1</v>
      </c>
      <c r="T63" s="176">
        <f t="shared" si="7"/>
        <v>7</v>
      </c>
      <c r="U63" s="251">
        <f t="shared" si="8"/>
        <v>1.5043120906531655</v>
      </c>
      <c r="V63" s="383">
        <f t="shared" si="9"/>
        <v>38.776962937673048</v>
      </c>
      <c r="W63" s="402">
        <f t="shared" si="10"/>
        <v>30.540891606297023</v>
      </c>
      <c r="X63" s="157">
        <f t="shared" si="11"/>
        <v>45706</v>
      </c>
      <c r="Y63" s="385">
        <f t="shared" si="12"/>
        <v>27.740704784986431</v>
      </c>
      <c r="Z63" s="385">
        <f t="shared" si="22"/>
        <v>29.278323597970839</v>
      </c>
      <c r="AA63" s="386">
        <f t="shared" si="13"/>
        <v>33.710249821384657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0.1314711770721543</v>
      </c>
      <c r="AD63" s="231">
        <f>(INDEX(Models!$BJ63:$BT63,,AH63)*(1-AF63)+INDEX(Models!$BJ63:$BT63,,AH63+1)*AF63-ERP_i)*AE63*Ramure*Pc/MaxiM</f>
        <v>2.5085009243801751E-3</v>
      </c>
      <c r="AE63" s="305">
        <f t="shared" si="15"/>
        <v>0.7</v>
      </c>
      <c r="AF63" s="177">
        <f t="shared" si="23"/>
        <v>0.50431209065316551</v>
      </c>
      <c r="AG63" s="921">
        <f t="shared" si="24"/>
        <v>1</v>
      </c>
      <c r="AH63" s="176">
        <f t="shared" si="16"/>
        <v>7</v>
      </c>
      <c r="AI63" s="225">
        <f t="shared" si="17"/>
        <v>1.5043120906531655</v>
      </c>
      <c r="AJ63" s="265" t="b">
        <f t="shared" si="18"/>
        <v>0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18.621964886659768</v>
      </c>
      <c r="C64" s="955"/>
      <c r="D64" s="393">
        <f t="shared" si="0"/>
        <v>19.654578360017247</v>
      </c>
      <c r="E64" s="385">
        <f t="shared" si="1"/>
        <v>20.557191375187791</v>
      </c>
      <c r="F64" s="385">
        <f t="shared" si="2"/>
        <v>20.570124078408998</v>
      </c>
      <c r="G64" s="110">
        <f t="shared" si="21"/>
        <v>0.47570329609921752</v>
      </c>
      <c r="H64" s="414" t="b">
        <f>Wh_hp&gt;='2024'!Maxi_hp</f>
        <v>0</v>
      </c>
      <c r="I64" s="390">
        <f>IF(H64,Wh_hp,'2024'!Maxi_hp)</f>
        <v>40.826390842051637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5.2538062859597945E-2</v>
      </c>
      <c r="M64" s="959"/>
      <c r="N64" s="959"/>
      <c r="O64" s="48">
        <f>IF(t&lt;Tnet,'2024'!Resal+('2024'!Salim-'2024'!Resal)*(1-EXP(('2024'!Tnet-t)/('2024'!Tau_j))),Resal+(Salim-Resal)*(1-EXP((Tnet-t)/(Tau_j))))*Salcycl</f>
        <v>4.3907409270897979E-2</v>
      </c>
      <c r="P64" s="169">
        <f>(INDEX(Models!$BJ64:$BT64,,T64)*(1-R64)+INDEX(Models!$BJ64:$BT64,,T64+1)*R64-ERP_i)*Q64*Ramure*Pc/MaxiM</f>
        <v>2.4921804937313159E-3</v>
      </c>
      <c r="Q64" s="305">
        <f t="shared" si="4"/>
        <v>0.7</v>
      </c>
      <c r="R64" s="177">
        <f t="shared" si="5"/>
        <v>0.50451847739597455</v>
      </c>
      <c r="S64" s="921">
        <f t="shared" si="6"/>
        <v>1</v>
      </c>
      <c r="T64" s="176">
        <f t="shared" si="7"/>
        <v>7</v>
      </c>
      <c r="U64" s="251">
        <f t="shared" si="8"/>
        <v>1.5045184773959746</v>
      </c>
      <c r="V64" s="383">
        <f t="shared" si="9"/>
        <v>39.073182340322639</v>
      </c>
      <c r="W64" s="402">
        <f t="shared" si="10"/>
        <v>18.621964886659768</v>
      </c>
      <c r="X64" s="157">
        <f t="shared" si="11"/>
        <v>45707</v>
      </c>
      <c r="Y64" s="385">
        <f t="shared" si="12"/>
        <v>16.915923862418165</v>
      </c>
      <c r="Z64" s="385">
        <f t="shared" si="22"/>
        <v>17.853935022944817</v>
      </c>
      <c r="AA64" s="386">
        <f t="shared" si="13"/>
        <v>20.557191375187791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0.13149930371839422</v>
      </c>
      <c r="AD64" s="231">
        <f>(INDEX(Models!$BJ64:$BT64,,AH64)*(1-AF64)+INDEX(Models!$BJ64:$BT64,,AH64+1)*AF64-ERP_i)*AE64*Ramure*Pc/MaxiM</f>
        <v>2.4921804937313159E-3</v>
      </c>
      <c r="AE64" s="305">
        <f t="shared" si="15"/>
        <v>0.7</v>
      </c>
      <c r="AF64" s="177">
        <f t="shared" si="23"/>
        <v>0.50451847739597455</v>
      </c>
      <c r="AG64" s="921">
        <f t="shared" si="24"/>
        <v>1</v>
      </c>
      <c r="AH64" s="176">
        <f t="shared" si="16"/>
        <v>7</v>
      </c>
      <c r="AI64" s="225">
        <f t="shared" si="17"/>
        <v>1.5045184773959746</v>
      </c>
      <c r="AJ64" s="265" t="b">
        <f t="shared" si="18"/>
        <v>0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21.949418368445134</v>
      </c>
      <c r="C65" s="955"/>
      <c r="D65" s="393">
        <f t="shared" si="0"/>
        <v>23.167051115338111</v>
      </c>
      <c r="E65" s="385">
        <f t="shared" si="1"/>
        <v>24.233674309592981</v>
      </c>
      <c r="F65" s="385">
        <f t="shared" si="2"/>
        <v>24.255827583038755</v>
      </c>
      <c r="G65" s="110">
        <f t="shared" si="21"/>
        <v>0.55669736534827685</v>
      </c>
      <c r="H65" s="414" t="b">
        <f>Wh_hp&gt;='2024'!Maxi_hp</f>
        <v>0</v>
      </c>
      <c r="I65" s="390">
        <f>IF(H65,Wh_hp,'2024'!Maxi_hp)</f>
        <v>43.218540620250515</v>
      </c>
      <c r="J65" s="85">
        <f>IF(H65,An,'2024'!An_max)</f>
        <v>2019</v>
      </c>
      <c r="K65" s="197">
        <f t="shared" si="3"/>
        <v>45708</v>
      </c>
      <c r="L65" s="147">
        <f>IF(t&lt;Tvie,1-EXP((T0-t)*PertePVj)+'2024'!Pspv,1-EXP((T0-t)*PertePVj)+Pspv)</f>
        <v>5.2558814707618251E-2</v>
      </c>
      <c r="M65" s="959"/>
      <c r="N65" s="959"/>
      <c r="O65" s="48">
        <f>IF(t&lt;Tnet,'2024'!Resal+('2024'!Salim-'2024'!Resal)*(1-EXP(('2024'!Tnet-t)/('2024'!Tau_j))),Resal+(Salim-Resal)*(1-EXP((Tnet-t)/(Tau_j))))*Salcycl</f>
        <v>4.4014092977747159E-2</v>
      </c>
      <c r="P65" s="169">
        <f>(INDEX(Models!$BJ65:$BT65,,T65)*(1-R65)+INDEX(Models!$BJ65:$BT65,,T65+1)*R65-ERP_i)*Q65*Ramure*Pc/MaxiM</f>
        <v>2.4821025601302143E-3</v>
      </c>
      <c r="Q65" s="305">
        <f t="shared" si="4"/>
        <v>0.7</v>
      </c>
      <c r="R65" s="177">
        <f t="shared" si="5"/>
        <v>0.50473333980188473</v>
      </c>
      <c r="S65" s="921">
        <f t="shared" si="6"/>
        <v>1</v>
      </c>
      <c r="T65" s="176">
        <f t="shared" si="7"/>
        <v>7</v>
      </c>
      <c r="U65" s="251">
        <f t="shared" si="8"/>
        <v>1.5047333398018847</v>
      </c>
      <c r="V65" s="383">
        <f t="shared" si="9"/>
        <v>39.366008062117928</v>
      </c>
      <c r="W65" s="402">
        <f t="shared" si="10"/>
        <v>21.949418368445134</v>
      </c>
      <c r="X65" s="157">
        <f t="shared" si="11"/>
        <v>45708</v>
      </c>
      <c r="Y65" s="385">
        <f t="shared" si="12"/>
        <v>19.940114954382629</v>
      </c>
      <c r="Z65" s="385">
        <f t="shared" si="22"/>
        <v>21.046282623051773</v>
      </c>
      <c r="AA65" s="386">
        <f t="shared" si="13"/>
        <v>24.233674309592981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0.13152737986907206</v>
      </c>
      <c r="AD65" s="231">
        <f>(INDEX(Models!$BJ65:$BT65,,AH65)*(1-AF65)+INDEX(Models!$BJ65:$BT65,,AH65+1)*AF65-ERP_i)*AE65*Ramure*Pc/MaxiM</f>
        <v>2.4821025601302143E-3</v>
      </c>
      <c r="AE65" s="305">
        <f t="shared" si="15"/>
        <v>0.7</v>
      </c>
      <c r="AF65" s="177">
        <f t="shared" si="23"/>
        <v>0.50473333980188473</v>
      </c>
      <c r="AG65" s="921">
        <f t="shared" si="24"/>
        <v>1</v>
      </c>
      <c r="AH65" s="176">
        <f t="shared" si="16"/>
        <v>7</v>
      </c>
      <c r="AI65" s="225">
        <f t="shared" si="17"/>
        <v>1.5047333398018847</v>
      </c>
      <c r="AJ65" s="265" t="b">
        <f t="shared" si="18"/>
        <v>0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21.611428381118532</v>
      </c>
      <c r="C66" s="955"/>
      <c r="D66" s="393">
        <f t="shared" si="0"/>
        <v>22.810810921801544</v>
      </c>
      <c r="E66" s="385">
        <f t="shared" si="1"/>
        <v>23.863693084028952</v>
      </c>
      <c r="F66" s="385">
        <f t="shared" si="2"/>
        <v>23.884398710696026</v>
      </c>
      <c r="G66" s="110">
        <f t="shared" si="21"/>
        <v>0.54408884672868774</v>
      </c>
      <c r="H66" s="414" t="b">
        <f>Wh_hp&gt;='2024'!Maxi_hp</f>
        <v>0</v>
      </c>
      <c r="I66" s="390">
        <f>IF(H66,Wh_hp,'2024'!Maxi_hp)</f>
        <v>42.441850727741603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5.2579566101119801E-2</v>
      </c>
      <c r="M66" s="959"/>
      <c r="N66" s="959"/>
      <c r="O66" s="48">
        <f>IF(t&lt;Tnet,'2024'!Resal+('2024'!Salim-'2024'!Resal)*(1-EXP(('2024'!Tnet-t)/('2024'!Tau_j))),Resal+(Salim-Resal)*(1-EXP((Tnet-t)/(Tau_j))))*Salcycl</f>
        <v>4.4120671453491973E-2</v>
      </c>
      <c r="P66" s="169">
        <f>(INDEX(Models!$BJ66:$BT66,,T66)*(1-R66)+INDEX(Models!$BJ66:$BT66,,T66+1)*R66-ERP_i)*Q66*Ramure*Pc/MaxiM</f>
        <v>2.4772179392201473E-3</v>
      </c>
      <c r="Q66" s="305">
        <f t="shared" si="4"/>
        <v>0.7</v>
      </c>
      <c r="R66" s="177">
        <f t="shared" si="5"/>
        <v>0.50495701805117155</v>
      </c>
      <c r="S66" s="921">
        <f t="shared" si="6"/>
        <v>1</v>
      </c>
      <c r="T66" s="176">
        <f t="shared" si="7"/>
        <v>7</v>
      </c>
      <c r="U66" s="251">
        <f t="shared" si="8"/>
        <v>1.5049570180511715</v>
      </c>
      <c r="V66" s="383">
        <f t="shared" si="9"/>
        <v>39.656385649000576</v>
      </c>
      <c r="W66" s="402">
        <f t="shared" si="10"/>
        <v>21.611428381118532</v>
      </c>
      <c r="X66" s="157">
        <f t="shared" si="11"/>
        <v>45709</v>
      </c>
      <c r="Y66" s="385">
        <f t="shared" si="12"/>
        <v>19.634620978999248</v>
      </c>
      <c r="Z66" s="385">
        <f t="shared" si="22"/>
        <v>20.724295441040578</v>
      </c>
      <c r="AA66" s="386">
        <f t="shared" si="13"/>
        <v>23.863693084028952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0.13155539806575259</v>
      </c>
      <c r="AD66" s="231">
        <f>(INDEX(Models!$BJ66:$BT66,,AH66)*(1-AF66)+INDEX(Models!$BJ66:$BT66,,AH66+1)*AF66-ERP_i)*AE66*Ramure*Pc/MaxiM</f>
        <v>2.4772179392201473E-3</v>
      </c>
      <c r="AE66" s="305">
        <f t="shared" si="15"/>
        <v>0.7</v>
      </c>
      <c r="AF66" s="177">
        <f t="shared" si="23"/>
        <v>0.50495701805117155</v>
      </c>
      <c r="AG66" s="921">
        <f t="shared" si="24"/>
        <v>1</v>
      </c>
      <c r="AH66" s="176">
        <f t="shared" si="16"/>
        <v>7</v>
      </c>
      <c r="AI66" s="225">
        <f t="shared" si="17"/>
        <v>1.5049570180511715</v>
      </c>
      <c r="AJ66" s="265" t="b">
        <f t="shared" si="18"/>
        <v>0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35.38776535115985</v>
      </c>
      <c r="C67" s="955"/>
      <c r="D67" s="393">
        <f t="shared" si="0"/>
        <v>37.352519731271812</v>
      </c>
      <c r="E67" s="385">
        <f t="shared" si="1"/>
        <v>39.080958879649842</v>
      </c>
      <c r="F67" s="385">
        <f t="shared" si="2"/>
        <v>39.162001748102767</v>
      </c>
      <c r="G67" s="110">
        <f t="shared" si="21"/>
        <v>0.8855630774990304</v>
      </c>
      <c r="H67" s="414" t="b">
        <f>Wh_hp&gt;='2024'!Maxi_hp</f>
        <v>0</v>
      </c>
      <c r="I67" s="390">
        <f>IF(H67,Wh_hp,'2024'!Maxi_hp)</f>
        <v>42.464770609772728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5.2600317040112698E-2</v>
      </c>
      <c r="M67" s="959"/>
      <c r="N67" s="959"/>
      <c r="O67" s="48">
        <f>IF(t&lt;Tnet,'2024'!Resal+('2024'!Salim-'2024'!Resal)*(1-EXP(('2024'!Tnet-t)/('2024'!Tau_j))),Resal+(Salim-Resal)*(1-EXP((Tnet-t)/(Tau_j))))*Salcycl</f>
        <v>4.4227142780727972E-2</v>
      </c>
      <c r="P67" s="169">
        <f>(INDEX(Models!$BJ67:$BT67,,T67)*(1-R67)+INDEX(Models!$BJ67:$BT67,,T67+1)*R67-ERP_i)*Q67*Ramure*Pc/MaxiM</f>
        <v>2.4723449616113669E-3</v>
      </c>
      <c r="Q67" s="305">
        <f t="shared" si="4"/>
        <v>0.7</v>
      </c>
      <c r="R67" s="177">
        <f t="shared" si="5"/>
        <v>0.50518986531024068</v>
      </c>
      <c r="S67" s="921">
        <f t="shared" si="6"/>
        <v>1</v>
      </c>
      <c r="T67" s="176">
        <f t="shared" si="7"/>
        <v>7</v>
      </c>
      <c r="U67" s="251">
        <f t="shared" si="8"/>
        <v>1.5051898653102407</v>
      </c>
      <c r="V67" s="383">
        <f t="shared" si="9"/>
        <v>39.944616350713289</v>
      </c>
      <c r="W67" s="402">
        <f t="shared" si="10"/>
        <v>35.38776535115985</v>
      </c>
      <c r="X67" s="157">
        <f t="shared" si="11"/>
        <v>45710</v>
      </c>
      <c r="Y67" s="385">
        <f t="shared" si="12"/>
        <v>32.153376519243423</v>
      </c>
      <c r="Z67" s="385">
        <f t="shared" si="22"/>
        <v>33.938555287235395</v>
      </c>
      <c r="AA67" s="386">
        <f t="shared" si="13"/>
        <v>39.080958879649842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0.13158335260530643</v>
      </c>
      <c r="AD67" s="231">
        <f>(INDEX(Models!$BJ67:$BT67,,AH67)*(1-AF67)+INDEX(Models!$BJ67:$BT67,,AH67+1)*AF67-ERP_i)*AE67*Ramure*Pc/MaxiM</f>
        <v>2.4723449616113669E-3</v>
      </c>
      <c r="AE67" s="305">
        <f t="shared" si="15"/>
        <v>0.7</v>
      </c>
      <c r="AF67" s="177">
        <f t="shared" si="23"/>
        <v>0.50518986531024068</v>
      </c>
      <c r="AG67" s="921">
        <f t="shared" si="24"/>
        <v>1</v>
      </c>
      <c r="AH67" s="176">
        <f t="shared" si="16"/>
        <v>7</v>
      </c>
      <c r="AI67" s="225">
        <f t="shared" si="17"/>
        <v>1.5051898653102407</v>
      </c>
      <c r="AJ67" s="265" t="b">
        <f t="shared" si="18"/>
        <v>0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36.9115471631209</v>
      </c>
      <c r="C68" s="955"/>
      <c r="D68" s="393">
        <f t="shared" si="0"/>
        <v>38.961756376274096</v>
      </c>
      <c r="E68" s="385">
        <f t="shared" si="1"/>
        <v>40.769197839871282</v>
      </c>
      <c r="F68" s="385">
        <f t="shared" si="2"/>
        <v>40.858131183554036</v>
      </c>
      <c r="G68" s="110">
        <f t="shared" si="21"/>
        <v>0.91722733974030957</v>
      </c>
      <c r="H68" s="414" t="b">
        <f>Wh_hp&gt;='2024'!Maxi_hp</f>
        <v>0</v>
      </c>
      <c r="I68" s="390">
        <f>IF(H68,Wh_hp,'2024'!Maxi_hp)</f>
        <v>43.491209699160983</v>
      </c>
      <c r="J68" s="85">
        <f>IF(H68,An,'2024'!An_max)</f>
        <v>2019</v>
      </c>
      <c r="K68" s="197">
        <f t="shared" si="3"/>
        <v>45711</v>
      </c>
      <c r="L68" s="147">
        <f>IF(t&lt;Tvie,1-EXP((T0-t)*PertePVj)+'2024'!Pspv,1-EXP((T0-t)*PertePVj)+Pspv)</f>
        <v>5.2621067524606713E-2</v>
      </c>
      <c r="M68" s="959"/>
      <c r="N68" s="959"/>
      <c r="O68" s="48">
        <f>IF(t&lt;Tnet,'2024'!Resal+('2024'!Salim-'2024'!Resal)*(1-EXP(('2024'!Tnet-t)/('2024'!Tau_j))),Resal+(Salim-Resal)*(1-EXP((Tnet-t)/(Tau_j))))*Salcycl</f>
        <v>4.4333505670046736E-2</v>
      </c>
      <c r="P68" s="169">
        <f>(INDEX(Models!$BJ68:$BT68,,T68)*(1-R68)+INDEX(Models!$BJ68:$BT68,,T68+1)*R68-ERP_i)*Q68*Ramure*Pc/MaxiM</f>
        <v>2.4674643707673582E-3</v>
      </c>
      <c r="Q68" s="305">
        <f t="shared" si="4"/>
        <v>0.7</v>
      </c>
      <c r="R68" s="177">
        <f t="shared" si="5"/>
        <v>0.5054322481706186</v>
      </c>
      <c r="S68" s="921">
        <f t="shared" si="6"/>
        <v>1</v>
      </c>
      <c r="T68" s="176">
        <f t="shared" si="7"/>
        <v>7</v>
      </c>
      <c r="U68" s="251">
        <f t="shared" si="8"/>
        <v>1.5054322481706186</v>
      </c>
      <c r="V68" s="383">
        <f t="shared" si="9"/>
        <v>40.23079914930328</v>
      </c>
      <c r="W68" s="402">
        <f t="shared" si="10"/>
        <v>36.9115471631209</v>
      </c>
      <c r="X68" s="157">
        <f t="shared" si="11"/>
        <v>45711</v>
      </c>
      <c r="Y68" s="385">
        <f t="shared" si="12"/>
        <v>33.540542513487175</v>
      </c>
      <c r="Z68" s="385">
        <f t="shared" si="22"/>
        <v>35.403513170648154</v>
      </c>
      <c r="AA68" s="386">
        <f t="shared" si="13"/>
        <v>40.769197839871282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0.1316112396986045</v>
      </c>
      <c r="AD68" s="231">
        <f>(INDEX(Models!$BJ68:$BT68,,AH68)*(1-AF68)+INDEX(Models!$BJ68:$BT68,,AH68+1)*AF68-ERP_i)*AE68*Ramure*Pc/MaxiM</f>
        <v>2.4674643707673582E-3</v>
      </c>
      <c r="AE68" s="305">
        <f t="shared" si="15"/>
        <v>0.7</v>
      </c>
      <c r="AF68" s="177">
        <f t="shared" si="23"/>
        <v>0.5054322481706186</v>
      </c>
      <c r="AG68" s="921">
        <f t="shared" si="24"/>
        <v>1</v>
      </c>
      <c r="AH68" s="176">
        <f t="shared" si="16"/>
        <v>7</v>
      </c>
      <c r="AI68" s="225">
        <f t="shared" si="17"/>
        <v>1.5054322481706186</v>
      </c>
      <c r="AJ68" s="265" t="b">
        <f t="shared" si="18"/>
        <v>0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20.996065944388992</v>
      </c>
      <c r="C69" s="955"/>
      <c r="D69" s="393">
        <f t="shared" si="0"/>
        <v>22.16275357456929</v>
      </c>
      <c r="E69" s="385">
        <f t="shared" si="1"/>
        <v>23.193465608559478</v>
      </c>
      <c r="F69" s="385">
        <f t="shared" si="2"/>
        <v>23.21128538562472</v>
      </c>
      <c r="G69" s="110">
        <f t="shared" si="21"/>
        <v>0.51735003450474037</v>
      </c>
      <c r="H69" s="414" t="b">
        <f>Wh_hp&gt;='2024'!Maxi_hp</f>
        <v>0</v>
      </c>
      <c r="I69" s="390">
        <f>IF(H69,Wh_hp,'2024'!Maxi_hp)</f>
        <v>44.144707241290959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5.2641817554611836E-2</v>
      </c>
      <c r="M69" s="959"/>
      <c r="N69" s="959"/>
      <c r="O69" s="48">
        <f>IF(t&lt;Tnet,'2024'!Resal+('2024'!Salim-'2024'!Resal)*(1-EXP(('2024'!Tnet-t)/('2024'!Tau_j))),Resal+(Salim-Resal)*(1-EXP((Tnet-t)/(Tau_j))))*Salcycl</f>
        <v>4.4439759516137468E-2</v>
      </c>
      <c r="P69" s="169">
        <f>(INDEX(Models!$BJ69:$BT69,,T69)*(1-R69)+INDEX(Models!$BJ69:$BT69,,T69+1)*R69-ERP_i)*Q69*Ramure*Pc/MaxiM</f>
        <v>2.4625700523211529E-3</v>
      </c>
      <c r="Q69" s="305">
        <f t="shared" si="4"/>
        <v>0.7</v>
      </c>
      <c r="R69" s="177">
        <f t="shared" si="5"/>
        <v>0.50568454709783683</v>
      </c>
      <c r="S69" s="921">
        <f t="shared" si="6"/>
        <v>1</v>
      </c>
      <c r="T69" s="176">
        <f t="shared" si="7"/>
        <v>7</v>
      </c>
      <c r="U69" s="251">
        <f t="shared" si="8"/>
        <v>1.5056845470978368</v>
      </c>
      <c r="V69" s="383">
        <f t="shared" si="9"/>
        <v>40.515032435865166</v>
      </c>
      <c r="W69" s="402">
        <f t="shared" si="10"/>
        <v>20.996065944388992</v>
      </c>
      <c r="X69" s="157">
        <f t="shared" si="11"/>
        <v>45712</v>
      </c>
      <c r="Y69" s="385">
        <f t="shared" si="12"/>
        <v>19.080077673178305</v>
      </c>
      <c r="Z69" s="385">
        <f t="shared" si="22"/>
        <v>20.140299653007119</v>
      </c>
      <c r="AA69" s="386">
        <f t="shared" si="13"/>
        <v>23.193465608559478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0.13163905761567588</v>
      </c>
      <c r="AD69" s="231">
        <f>(INDEX(Models!$BJ69:$BT69,,AH69)*(1-AF69)+INDEX(Models!$BJ69:$BT69,,AH69+1)*AF69-ERP_i)*AE69*Ramure*Pc/MaxiM</f>
        <v>2.4625700523211529E-3</v>
      </c>
      <c r="AE69" s="305">
        <f t="shared" si="15"/>
        <v>0.7</v>
      </c>
      <c r="AF69" s="177">
        <f t="shared" si="23"/>
        <v>0.50568454709783683</v>
      </c>
      <c r="AG69" s="921">
        <f t="shared" si="24"/>
        <v>1</v>
      </c>
      <c r="AH69" s="176">
        <f t="shared" si="16"/>
        <v>7</v>
      </c>
      <c r="AI69" s="225">
        <f t="shared" si="17"/>
        <v>1.5056845470978368</v>
      </c>
      <c r="AJ69" s="265" t="b">
        <f t="shared" si="18"/>
        <v>0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30.535814412821768</v>
      </c>
      <c r="C70" s="955"/>
      <c r="D70" s="393">
        <f t="shared" si="0"/>
        <v>32.233302890097605</v>
      </c>
      <c r="E70" s="385">
        <f t="shared" si="1"/>
        <v>33.736108349115682</v>
      </c>
      <c r="F70" s="385">
        <f t="shared" si="2"/>
        <v>33.789311830452363</v>
      </c>
      <c r="G70" s="110">
        <f t="shared" si="21"/>
        <v>0.74781224138115632</v>
      </c>
      <c r="H70" s="414" t="b">
        <f>Wh_hp&gt;='2024'!Maxi_hp</f>
        <v>0</v>
      </c>
      <c r="I70" s="390">
        <f>IF(H70,Wh_hp,'2024'!Maxi_hp)</f>
        <v>44.223095559004854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5.266256713013806E-2</v>
      </c>
      <c r="M70" s="959"/>
      <c r="N70" s="959"/>
      <c r="O70" s="48">
        <f>IF(t&lt;Tnet,'2024'!Resal+('2024'!Salim-'2024'!Resal)*(1-EXP(('2024'!Tnet-t)/('2024'!Tau_j))),Resal+(Salim-Resal)*(1-EXP((Tnet-t)/(Tau_j))))*Salcycl</f>
        <v>4.4545904449511557E-2</v>
      </c>
      <c r="P70" s="169">
        <f>(INDEX(Models!$BJ70:$BT70,,T70)*(1-R70)+INDEX(Models!$BJ70:$BT70,,T70+1)*R70-ERP_i)*Q70*Ramure*Pc/MaxiM</f>
        <v>2.4576567522968536E-3</v>
      </c>
      <c r="Q70" s="305">
        <f t="shared" si="4"/>
        <v>0.7</v>
      </c>
      <c r="R70" s="177">
        <f t="shared" si="5"/>
        <v>0.50594715688997294</v>
      </c>
      <c r="S70" s="921">
        <f t="shared" si="6"/>
        <v>1</v>
      </c>
      <c r="T70" s="176">
        <f t="shared" si="7"/>
        <v>7</v>
      </c>
      <c r="U70" s="251">
        <f t="shared" si="8"/>
        <v>1.5059471568899729</v>
      </c>
      <c r="V70" s="383">
        <f t="shared" si="9"/>
        <v>40.79741449044797</v>
      </c>
      <c r="W70" s="402">
        <f t="shared" si="10"/>
        <v>30.535814412821768</v>
      </c>
      <c r="X70" s="157">
        <f t="shared" si="11"/>
        <v>45713</v>
      </c>
      <c r="Y70" s="385">
        <f t="shared" si="12"/>
        <v>27.751475826035431</v>
      </c>
      <c r="Z70" s="385">
        <f t="shared" si="22"/>
        <v>29.294182688385035</v>
      </c>
      <c r="AA70" s="386">
        <f t="shared" si="13"/>
        <v>33.736108349115682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0.1316668068161182</v>
      </c>
      <c r="AD70" s="231">
        <f>(INDEX(Models!$BJ70:$BT70,,AH70)*(1-AF70)+INDEX(Models!$BJ70:$BT70,,AH70+1)*AF70-ERP_i)*AE70*Ramure*Pc/MaxiM</f>
        <v>2.4576567522968536E-3</v>
      </c>
      <c r="AE70" s="305">
        <f t="shared" si="15"/>
        <v>0.7</v>
      </c>
      <c r="AF70" s="177">
        <f t="shared" si="23"/>
        <v>0.50594715688997294</v>
      </c>
      <c r="AG70" s="921">
        <f t="shared" si="24"/>
        <v>1</v>
      </c>
      <c r="AH70" s="176">
        <f t="shared" si="16"/>
        <v>7</v>
      </c>
      <c r="AI70" s="225">
        <f t="shared" si="17"/>
        <v>1.5059471568899729</v>
      </c>
      <c r="AJ70" s="265" t="b">
        <f t="shared" si="18"/>
        <v>0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41.213735427185171</v>
      </c>
      <c r="C71" s="955"/>
      <c r="D71" s="393">
        <f t="shared" si="0"/>
        <v>43.505763314640006</v>
      </c>
      <c r="E71" s="385">
        <f t="shared" si="1"/>
        <v>45.539175928864942</v>
      </c>
      <c r="F71" s="385">
        <f t="shared" si="2"/>
        <v>45.651145410531825</v>
      </c>
      <c r="G71" s="110">
        <f t="shared" si="21"/>
        <v>1.0033032719379253</v>
      </c>
      <c r="H71" s="414" t="b">
        <f>Wh_hp&gt;='2024'!Maxi_hp</f>
        <v>1</v>
      </c>
      <c r="I71" s="390">
        <f>IF(H71,Wh_hp,'2024'!Maxi_hp)</f>
        <v>45.651145410531825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5.2683316251195378E-2</v>
      </c>
      <c r="M71" s="959"/>
      <c r="N71" s="959"/>
      <c r="O71" s="48">
        <f>IF(t&lt;Tnet,'2024'!Resal+('2024'!Salim-'2024'!Resal)*(1-EXP(('2024'!Tnet-t)/('2024'!Tau_j))),Resal+(Salim-Resal)*(1-EXP((Tnet-t)/(Tau_j))))*Salcycl</f>
        <v>4.4651941383420199E-2</v>
      </c>
      <c r="P71" s="169">
        <f>(INDEX(Models!$BJ71:$BT71,,T71)*(1-R71)+INDEX(Models!$BJ71:$BT71,,T71+1)*R71-ERP_i)*Q71*Ramure*Pc/MaxiM</f>
        <v>2.4527200940954877E-3</v>
      </c>
      <c r="Q71" s="305">
        <f t="shared" si="4"/>
        <v>0.7</v>
      </c>
      <c r="R71" s="177">
        <f t="shared" si="5"/>
        <v>0.50622048714553824</v>
      </c>
      <c r="S71" s="921">
        <f t="shared" si="6"/>
        <v>1</v>
      </c>
      <c r="T71" s="176">
        <f t="shared" si="7"/>
        <v>7</v>
      </c>
      <c r="U71" s="251">
        <f t="shared" si="8"/>
        <v>1.5062204871455382</v>
      </c>
      <c r="V71" s="383">
        <f t="shared" si="9"/>
        <v>41.078043478896454</v>
      </c>
      <c r="W71" s="402">
        <f t="shared" si="10"/>
        <v>41.213735427185171</v>
      </c>
      <c r="X71" s="157">
        <f t="shared" si="11"/>
        <v>45714</v>
      </c>
      <c r="Y71" s="385">
        <f t="shared" si="12"/>
        <v>37.458718038640171</v>
      </c>
      <c r="Z71" s="385">
        <f t="shared" si="22"/>
        <v>39.541917376990817</v>
      </c>
      <c r="AA71" s="386">
        <f t="shared" si="13"/>
        <v>45.539175928864942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0.13169449006372488</v>
      </c>
      <c r="AD71" s="231">
        <f>(INDEX(Models!$BJ71:$BT71,,AH71)*(1-AF71)+INDEX(Models!$BJ71:$BT71,,AH71+1)*AF71-ERP_i)*AE71*Ramure*Pc/MaxiM</f>
        <v>2.4527200940954877E-3</v>
      </c>
      <c r="AE71" s="305">
        <f t="shared" si="15"/>
        <v>0.7</v>
      </c>
      <c r="AF71" s="177">
        <f t="shared" si="23"/>
        <v>0.50622048714553824</v>
      </c>
      <c r="AG71" s="921">
        <f t="shared" si="24"/>
        <v>1</v>
      </c>
      <c r="AH71" s="176">
        <f t="shared" si="16"/>
        <v>7</v>
      </c>
      <c r="AI71" s="225">
        <f t="shared" si="17"/>
        <v>1.5062204871455382</v>
      </c>
      <c r="AJ71" s="265" t="b">
        <f t="shared" si="18"/>
        <v>0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28.442265907825259</v>
      </c>
      <c r="C72" s="955"/>
      <c r="D72" s="393">
        <f t="shared" si="0"/>
        <v>30.024689069690815</v>
      </c>
      <c r="E72" s="385">
        <f t="shared" si="1"/>
        <v>31.431495943652727</v>
      </c>
      <c r="F72" s="385">
        <f t="shared" si="2"/>
        <v>31.474133176149543</v>
      </c>
      <c r="G72" s="110">
        <f t="shared" si="21"/>
        <v>0.68697250869222837</v>
      </c>
      <c r="H72" s="414" t="b">
        <f>Wh_hp&gt;='2024'!Maxi_hp</f>
        <v>0</v>
      </c>
      <c r="I72" s="390">
        <f>IF(H72,Wh_hp,'2024'!Maxi_hp)</f>
        <v>44.962572405256154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5.2704064917793669E-2</v>
      </c>
      <c r="M72" s="959"/>
      <c r="N72" s="959"/>
      <c r="O72" s="48">
        <f>IF(t&lt;Tnet,'2024'!Resal+('2024'!Salim-'2024'!Resal)*(1-EXP(('2024'!Tnet-t)/('2024'!Tau_j))),Resal+(Salim-Resal)*(1-EXP((Tnet-t)/(Tau_j))))*Salcycl</f>
        <v>4.4757872055593451E-2</v>
      </c>
      <c r="P72" s="169">
        <f>(INDEX(Models!$BJ72:$BT72,,T72)*(1-R72)+INDEX(Models!$BJ72:$BT72,,T72+1)*R72-ERP_i)*Q72*Ramure*Pc/MaxiM</f>
        <v>2.4457424418473164E-3</v>
      </c>
      <c r="Q72" s="305">
        <f t="shared" si="4"/>
        <v>0.7</v>
      </c>
      <c r="R72" s="177">
        <f t="shared" si="5"/>
        <v>0.5065049627403484</v>
      </c>
      <c r="S72" s="921">
        <f t="shared" si="6"/>
        <v>1</v>
      </c>
      <c r="T72" s="176">
        <f t="shared" si="7"/>
        <v>7</v>
      </c>
      <c r="U72" s="251">
        <f t="shared" si="8"/>
        <v>1.5065049627403484</v>
      </c>
      <c r="V72" s="383">
        <f t="shared" si="9"/>
        <v>41.357100949773148</v>
      </c>
      <c r="W72" s="402">
        <f t="shared" si="10"/>
        <v>28.442265907825259</v>
      </c>
      <c r="X72" s="157">
        <f t="shared" si="11"/>
        <v>45715</v>
      </c>
      <c r="Y72" s="385">
        <f t="shared" si="12"/>
        <v>25.852911879636828</v>
      </c>
      <c r="Z72" s="385">
        <f t="shared" si="22"/>
        <v>27.291272898150158</v>
      </c>
      <c r="AA72" s="386">
        <f t="shared" si="13"/>
        <v>31.431495943652727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0.13172211252448027</v>
      </c>
      <c r="AD72" s="231">
        <f>(INDEX(Models!$BJ72:$BT72,,AH72)*(1-AF72)+INDEX(Models!$BJ72:$BT72,,AH72+1)*AF72-ERP_i)*AE72*Ramure*Pc/MaxiM</f>
        <v>2.4457424418473164E-3</v>
      </c>
      <c r="AE72" s="305">
        <f t="shared" si="15"/>
        <v>0.7</v>
      </c>
      <c r="AF72" s="177">
        <f t="shared" si="23"/>
        <v>0.5065049627403484</v>
      </c>
      <c r="AG72" s="921">
        <f t="shared" si="24"/>
        <v>1</v>
      </c>
      <c r="AH72" s="176">
        <f t="shared" si="16"/>
        <v>7</v>
      </c>
      <c r="AI72" s="225">
        <f t="shared" si="17"/>
        <v>1.5065049627403484</v>
      </c>
      <c r="AJ72" s="265" t="b">
        <f t="shared" si="18"/>
        <v>0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32.95249456521681</v>
      </c>
      <c r="C73" s="955"/>
      <c r="D73" s="393">
        <f t="shared" si="0"/>
        <v>34.786612192489613</v>
      </c>
      <c r="E73" s="385">
        <f t="shared" si="1"/>
        <v>36.420573857802019</v>
      </c>
      <c r="F73" s="385">
        <f t="shared" si="2"/>
        <v>36.482974609424701</v>
      </c>
      <c r="G73" s="110">
        <f t="shared" si="21"/>
        <v>0.79089150113810569</v>
      </c>
      <c r="H73" s="414" t="b">
        <f>Wh_hp&gt;='2024'!Maxi_hp</f>
        <v>0</v>
      </c>
      <c r="I73" s="390">
        <f>IF(H73,Wh_hp,'2024'!Maxi_hp)</f>
        <v>37.080698817786207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5.2724813129942816E-2</v>
      </c>
      <c r="M73" s="959"/>
      <c r="N73" s="959"/>
      <c r="O73" s="48">
        <f>IF(t&lt;Tnet,'2024'!Resal+('2024'!Salim-'2024'!Resal)*(1-EXP(('2024'!Tnet-t)/('2024'!Tau_j))),Resal+(Salim-Resal)*(1-EXP((Tnet-t)/(Tau_j))))*Salcycl</f>
        <v>4.4863699064488366E-2</v>
      </c>
      <c r="P73" s="169">
        <f>(INDEX(Models!$BJ73:$BT73,,T73)*(1-R73)+INDEX(Models!$BJ73:$BT73,,T73+1)*R73-ERP_i)*Q73*Ramure*Pc/MaxiM</f>
        <v>2.4361462718223304E-3</v>
      </c>
      <c r="Q73" s="305">
        <f t="shared" si="4"/>
        <v>0.7</v>
      </c>
      <c r="R73" s="177">
        <f t="shared" si="5"/>
        <v>0.50680102431293594</v>
      </c>
      <c r="S73" s="921">
        <f t="shared" si="6"/>
        <v>1</v>
      </c>
      <c r="T73" s="176">
        <f t="shared" si="7"/>
        <v>7</v>
      </c>
      <c r="U73" s="251">
        <f t="shared" si="8"/>
        <v>1.5068010243129359</v>
      </c>
      <c r="V73" s="383">
        <f t="shared" si="9"/>
        <v>41.634710499460454</v>
      </c>
      <c r="W73" s="402">
        <f t="shared" si="10"/>
        <v>32.95249456521681</v>
      </c>
      <c r="X73" s="157">
        <f t="shared" si="11"/>
        <v>45716</v>
      </c>
      <c r="Y73" s="385">
        <f t="shared" si="12"/>
        <v>29.954901580175182</v>
      </c>
      <c r="Z73" s="385">
        <f t="shared" si="22"/>
        <v>31.622174839341863</v>
      </c>
      <c r="AA73" s="386">
        <f t="shared" si="13"/>
        <v>36.420573857802019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0.13174968184726288</v>
      </c>
      <c r="AD73" s="231">
        <f>(INDEX(Models!$BJ73:$BT73,,AH73)*(1-AF73)+INDEX(Models!$BJ73:$BT73,,AH73+1)*AF73-ERP_i)*AE73*Ramure*Pc/MaxiM</f>
        <v>2.4361462718223304E-3</v>
      </c>
      <c r="AE73" s="305">
        <f t="shared" si="15"/>
        <v>0.7</v>
      </c>
      <c r="AF73" s="177">
        <f t="shared" si="23"/>
        <v>0.50680102431293594</v>
      </c>
      <c r="AG73" s="921">
        <f t="shared" si="24"/>
        <v>1</v>
      </c>
      <c r="AH73" s="176">
        <f t="shared" si="16"/>
        <v>7</v>
      </c>
      <c r="AI73" s="225">
        <f t="shared" si="17"/>
        <v>1.5068010243129359</v>
      </c>
      <c r="AJ73" s="265" t="b">
        <f t="shared" si="18"/>
        <v>0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42.117341357125696</v>
      </c>
      <c r="C74" s="955"/>
      <c r="D74" s="393">
        <f t="shared" si="0"/>
        <v>44.46254313317656</v>
      </c>
      <c r="E74" s="385">
        <f t="shared" si="1"/>
        <v>46.556146304601363</v>
      </c>
      <c r="F74" s="385">
        <f t="shared" si="2"/>
        <v>46.669271608719839</v>
      </c>
      <c r="G74" s="110">
        <f t="shared" si="21"/>
        <v>1.0049240409767168</v>
      </c>
      <c r="H74" s="414" t="b">
        <f>Wh_hp&gt;='2024'!Maxi_hp</f>
        <v>1</v>
      </c>
      <c r="I74" s="390">
        <f>IF(H74,Wh_hp,'2024'!Maxi_hp)</f>
        <v>46.669271608719839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5.2745560887653031E-2</v>
      </c>
      <c r="M74" s="959"/>
      <c r="N74" s="959"/>
      <c r="O74" s="48">
        <f>IF(t&lt;Tnet,'2024'!Resal+('2024'!Salim-'2024'!Resal)*(1-EXP(('2024'!Tnet-t)/('2024'!Tau_j))),Resal+(Salim-Resal)*(1-EXP((Tnet-t)/(Tau_j))))*Salcycl</f>
        <v>4.4969425899795405E-2</v>
      </c>
      <c r="P74" s="169">
        <f>(INDEX(Models!$BJ74:$BT74,,T74)*(1-R74)+INDEX(Models!$BJ74:$BT74,,T74+1)*R74-ERP_i)*Q74*Ramure*Pc/MaxiM</f>
        <v>2.4239783527569315E-3</v>
      </c>
      <c r="Q74" s="305">
        <f t="shared" si="4"/>
        <v>0.7</v>
      </c>
      <c r="R74" s="177">
        <f t="shared" si="5"/>
        <v>0.50710912875799474</v>
      </c>
      <c r="S74" s="921">
        <f t="shared" si="6"/>
        <v>1</v>
      </c>
      <c r="T74" s="176">
        <f t="shared" si="7"/>
        <v>7</v>
      </c>
      <c r="U74" s="251">
        <f t="shared" si="8"/>
        <v>1.5071091287579947</v>
      </c>
      <c r="V74" s="383">
        <f t="shared" si="9"/>
        <v>41.910970023356739</v>
      </c>
      <c r="W74" s="402">
        <f t="shared" si="10"/>
        <v>42.117341357125696</v>
      </c>
      <c r="X74" s="157">
        <f t="shared" si="11"/>
        <v>45717</v>
      </c>
      <c r="Y74" s="385">
        <f t="shared" si="12"/>
        <v>38.28907334155393</v>
      </c>
      <c r="Z74" s="385">
        <f t="shared" si="22"/>
        <v>40.421107318783164</v>
      </c>
      <c r="AA74" s="386">
        <f t="shared" si="13"/>
        <v>46.556146304601363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0.13177720822678674</v>
      </c>
      <c r="AD74" s="231">
        <f>(INDEX(Models!$BJ74:$BT74,,AH74)*(1-AF74)+INDEX(Models!$BJ74:$BT74,,AH74+1)*AF74-ERP_i)*AE74*Ramure*Pc/MaxiM</f>
        <v>2.4239783527569315E-3</v>
      </c>
      <c r="AE74" s="305">
        <f t="shared" si="15"/>
        <v>0.7</v>
      </c>
      <c r="AF74" s="177">
        <f t="shared" si="23"/>
        <v>0.50710912875799474</v>
      </c>
      <c r="AG74" s="921">
        <f t="shared" si="24"/>
        <v>1</v>
      </c>
      <c r="AH74" s="176">
        <f t="shared" si="16"/>
        <v>7</v>
      </c>
      <c r="AI74" s="225">
        <f t="shared" si="17"/>
        <v>1.5071091287579947</v>
      </c>
      <c r="AJ74" s="265" t="b">
        <f t="shared" si="18"/>
        <v>0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10.621456942405128</v>
      </c>
      <c r="C75" s="955"/>
      <c r="D75" s="393">
        <f t="shared" si="0"/>
        <v>11.213132550342284</v>
      </c>
      <c r="E75" s="385">
        <f t="shared" si="1"/>
        <v>11.74242293297702</v>
      </c>
      <c r="F75" s="385">
        <f t="shared" si="2"/>
        <v>11.74242293297702</v>
      </c>
      <c r="G75" s="110">
        <f t="shared" si="21"/>
        <v>0.25117035355422263</v>
      </c>
      <c r="H75" s="414" t="b">
        <f>Wh_hp&gt;='2024'!Maxi_hp</f>
        <v>0</v>
      </c>
      <c r="I75" s="390">
        <f>IF(H75,Wh_hp,'2024'!Maxi_hp)</f>
        <v>32.956677810715547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5.2766308190933975E-2</v>
      </c>
      <c r="M75" s="959"/>
      <c r="N75" s="959"/>
      <c r="O75" s="48">
        <f>IF(t&lt;Tnet,'2024'!Resal+('2024'!Salim-'2024'!Resal)*(1-EXP(('2024'!Tnet-t)/('2024'!Tau_j))),Resal+(Salim-Resal)*(1-EXP((Tnet-t)/(Tau_j))))*Salcycl</f>
        <v>4.5075056967016039E-2</v>
      </c>
      <c r="P75" s="169">
        <f>(INDEX(Models!$BJ75:$BT75,,T75)*(1-R75)+INDEX(Models!$BJ75:$BT75,,T75+1)*R75-ERP_i)*Q75*Ramure*Pc/MaxiM</f>
        <v>2.4092844404529474E-3</v>
      </c>
      <c r="Q75" s="305">
        <f t="shared" si="4"/>
        <v>0.7</v>
      </c>
      <c r="R75" s="177">
        <f t="shared" si="5"/>
        <v>0.50742974972725641</v>
      </c>
      <c r="S75" s="921">
        <f t="shared" si="6"/>
        <v>1</v>
      </c>
      <c r="T75" s="176">
        <f t="shared" si="7"/>
        <v>7</v>
      </c>
      <c r="U75" s="251">
        <f t="shared" si="8"/>
        <v>1.5074297497272564</v>
      </c>
      <c r="V75" s="383">
        <f t="shared" si="9"/>
        <v>42.185977291987278</v>
      </c>
      <c r="W75" s="402">
        <f t="shared" si="10"/>
        <v>10.621456942405128</v>
      </c>
      <c r="X75" s="157">
        <f t="shared" si="11"/>
        <v>45718</v>
      </c>
      <c r="Y75" s="385">
        <f t="shared" si="12"/>
        <v>9.6567788040074323</v>
      </c>
      <c r="Z75" s="385">
        <f t="shared" si="22"/>
        <v>10.194716348786663</v>
      </c>
      <c r="AA75" s="386">
        <f t="shared" si="13"/>
        <v>11.74242293297702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0.13180470444850262</v>
      </c>
      <c r="AD75" s="231">
        <f>(INDEX(Models!$BJ75:$BT75,,AH75)*(1-AF75)+INDEX(Models!$BJ75:$BT75,,AH75+1)*AF75-ERP_i)*AE75*Ramure*Pc/MaxiM</f>
        <v>2.4092844404529474E-3</v>
      </c>
      <c r="AE75" s="305">
        <f t="shared" si="15"/>
        <v>0.7</v>
      </c>
      <c r="AF75" s="177">
        <f t="shared" si="23"/>
        <v>0.50742974972725641</v>
      </c>
      <c r="AG75" s="921">
        <f t="shared" si="24"/>
        <v>1</v>
      </c>
      <c r="AH75" s="176">
        <f t="shared" si="16"/>
        <v>7</v>
      </c>
      <c r="AI75" s="225">
        <f t="shared" si="17"/>
        <v>1.5074297497272564</v>
      </c>
      <c r="AJ75" s="265" t="b">
        <f t="shared" si="18"/>
        <v>0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39.82215469125623</v>
      </c>
      <c r="C76" s="955"/>
      <c r="D76" s="393">
        <f t="shared" si="0"/>
        <v>42.041396185658442</v>
      </c>
      <c r="E76" s="385">
        <f t="shared" si="1"/>
        <v>44.030730921730623</v>
      </c>
      <c r="F76" s="385">
        <f t="shared" si="2"/>
        <v>44.126919710803108</v>
      </c>
      <c r="G76" s="110">
        <f t="shared" si="21"/>
        <v>0.93767880114885138</v>
      </c>
      <c r="H76" s="414" t="b">
        <f>Wh_hp&gt;='2024'!Maxi_hp</f>
        <v>0</v>
      </c>
      <c r="I76" s="390">
        <f>IF(H76,Wh_hp,'2024'!Maxi_hp)</f>
        <v>44.133139315873827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5.2787055039795749E-2</v>
      </c>
      <c r="M76" s="959"/>
      <c r="N76" s="959"/>
      <c r="O76" s="48">
        <f>IF(t&lt;Tnet,'2024'!Resal+('2024'!Salim-'2024'!Resal)*(1-EXP(('2024'!Tnet-t)/('2024'!Tau_j))),Resal+(Salim-Resal)*(1-EXP((Tnet-t)/(Tau_j))))*Salcycl</f>
        <v>4.5180597605986618E-2</v>
      </c>
      <c r="P76" s="169">
        <f>(INDEX(Models!$BJ76:$BT76,,T76)*(1-R76)+INDEX(Models!$BJ76:$BT76,,T76+1)*R76-ERP_i)*Q76*Ramure*Pc/MaxiM</f>
        <v>2.392109367827926E-3</v>
      </c>
      <c r="Q76" s="305">
        <f t="shared" si="4"/>
        <v>0.7</v>
      </c>
      <c r="R76" s="177">
        <f t="shared" si="5"/>
        <v>0.50776337813711425</v>
      </c>
      <c r="S76" s="921">
        <f t="shared" si="6"/>
        <v>1</v>
      </c>
      <c r="T76" s="176">
        <f t="shared" si="7"/>
        <v>7</v>
      </c>
      <c r="U76" s="251">
        <f t="shared" si="8"/>
        <v>1.5077633781371143</v>
      </c>
      <c r="V76" s="383">
        <f t="shared" si="9"/>
        <v>42.459829951173212</v>
      </c>
      <c r="W76" s="402">
        <f t="shared" si="10"/>
        <v>39.82215469125623</v>
      </c>
      <c r="X76" s="157">
        <f t="shared" si="11"/>
        <v>45719</v>
      </c>
      <c r="Y76" s="385">
        <f t="shared" si="12"/>
        <v>36.208222103326605</v>
      </c>
      <c r="Z76" s="385">
        <f t="shared" si="22"/>
        <v>38.226063416867511</v>
      </c>
      <c r="AA76" s="386">
        <f t="shared" si="13"/>
        <v>44.030730921730623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0.13183218591536749</v>
      </c>
      <c r="AD76" s="231">
        <f>(INDEX(Models!$BJ76:$BT76,,AH76)*(1-AF76)+INDEX(Models!$BJ76:$BT76,,AH76+1)*AF76-ERP_i)*AE76*Ramure*Pc/MaxiM</f>
        <v>2.392109367827926E-3</v>
      </c>
      <c r="AE76" s="305">
        <f t="shared" si="15"/>
        <v>0.7</v>
      </c>
      <c r="AF76" s="177">
        <f t="shared" si="23"/>
        <v>0.50776337813711425</v>
      </c>
      <c r="AG76" s="921">
        <f t="shared" si="24"/>
        <v>1</v>
      </c>
      <c r="AH76" s="176">
        <f t="shared" si="16"/>
        <v>7</v>
      </c>
      <c r="AI76" s="225">
        <f t="shared" si="17"/>
        <v>1.5077633781371143</v>
      </c>
      <c r="AJ76" s="265" t="b">
        <f t="shared" si="18"/>
        <v>0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4.2576112825892363</v>
      </c>
      <c r="C77" s="955"/>
      <c r="D77" s="393">
        <f t="shared" si="0"/>
        <v>4.4949813660164812</v>
      </c>
      <c r="E77" s="385">
        <f t="shared" si="1"/>
        <v>4.7081970315145876</v>
      </c>
      <c r="F77" s="385">
        <f t="shared" si="2"/>
        <v>4.7081970315145876</v>
      </c>
      <c r="G77" s="110">
        <f t="shared" si="21"/>
        <v>9.939735882050782E-2</v>
      </c>
      <c r="H77" s="414" t="b">
        <f>Wh_hp&gt;='2024'!Maxi_hp</f>
        <v>0</v>
      </c>
      <c r="I77" s="390">
        <f>IF(H77,Wh_hp,'2024'!Maxi_hp)</f>
        <v>33.323703114447028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5.2807801434248347E-2</v>
      </c>
      <c r="M77" s="959"/>
      <c r="N77" s="959"/>
      <c r="O77" s="48">
        <f>IF(t&lt;Tnet,'2024'!Resal+('2024'!Salim-'2024'!Resal)*(1-EXP(('2024'!Tnet-t)/('2024'!Tau_j))),Resal+(Salim-Resal)*(1-EXP((Tnet-t)/(Tau_j))))*Salcycl</f>
        <v>4.5286054103287343E-2</v>
      </c>
      <c r="P77" s="169">
        <f>(INDEX(Models!$BJ77:$BT77,,T77)*(1-R77)+INDEX(Models!$BJ77:$BT77,,T77+1)*R77-ERP_i)*Q77*Ramure*Pc/MaxiM</f>
        <v>2.3724971139744556E-3</v>
      </c>
      <c r="Q77" s="305">
        <f t="shared" si="4"/>
        <v>0.7</v>
      </c>
      <c r="R77" s="177">
        <f t="shared" si="5"/>
        <v>0.50811052268221246</v>
      </c>
      <c r="S77" s="921">
        <f t="shared" si="6"/>
        <v>1</v>
      </c>
      <c r="T77" s="176">
        <f t="shared" si="7"/>
        <v>7</v>
      </c>
      <c r="U77" s="251">
        <f t="shared" si="8"/>
        <v>1.5081105226822125</v>
      </c>
      <c r="V77" s="383">
        <f t="shared" si="9"/>
        <v>42.732625519547661</v>
      </c>
      <c r="W77" s="402">
        <f t="shared" si="10"/>
        <v>4.2576112825892363</v>
      </c>
      <c r="X77" s="157">
        <f t="shared" si="11"/>
        <v>45720</v>
      </c>
      <c r="Y77" s="385">
        <f t="shared" si="12"/>
        <v>3.8715303960618801</v>
      </c>
      <c r="Z77" s="385">
        <f t="shared" si="22"/>
        <v>4.0873757215528084</v>
      </c>
      <c r="AA77" s="386">
        <f t="shared" si="13"/>
        <v>4.7081970315145876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0.13185967065657531</v>
      </c>
      <c r="AD77" s="231">
        <f>(INDEX(Models!$BJ77:$BT77,,AH77)*(1-AF77)+INDEX(Models!$BJ77:$BT77,,AH77+1)*AF77-ERP_i)*AE77*Ramure*Pc/MaxiM</f>
        <v>2.3724971139744556E-3</v>
      </c>
      <c r="AE77" s="305">
        <f t="shared" si="15"/>
        <v>0.7</v>
      </c>
      <c r="AF77" s="177">
        <f t="shared" si="23"/>
        <v>0.50811052268221246</v>
      </c>
      <c r="AG77" s="921">
        <f t="shared" si="24"/>
        <v>1</v>
      </c>
      <c r="AH77" s="176">
        <f t="shared" si="16"/>
        <v>7</v>
      </c>
      <c r="AI77" s="225">
        <f t="shared" si="17"/>
        <v>1.5081105226822125</v>
      </c>
      <c r="AJ77" s="265" t="b">
        <f t="shared" si="18"/>
        <v>0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15.136901549918266</v>
      </c>
      <c r="C78" s="955"/>
      <c r="D78" s="393">
        <f t="shared" si="0"/>
        <v>15.981163186407858</v>
      </c>
      <c r="E78" s="385">
        <f t="shared" si="1"/>
        <v>16.74106408695377</v>
      </c>
      <c r="F78" s="385">
        <f t="shared" si="2"/>
        <v>16.743986844737826</v>
      </c>
      <c r="G78" s="110">
        <f t="shared" si="21"/>
        <v>0.35121841768806505</v>
      </c>
      <c r="H78" s="414" t="b">
        <f>Wh_hp&gt;='2024'!Maxi_hp</f>
        <v>0</v>
      </c>
      <c r="I78" s="390">
        <f>IF(H78,Wh_hp,'2024'!Maxi_hp)</f>
        <v>47.032781812856342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5.2828547374301649E-2</v>
      </c>
      <c r="M78" s="959"/>
      <c r="N78" s="959"/>
      <c r="O78" s="48">
        <f>IF(t&lt;Tnet,'2024'!Resal+('2024'!Salim-'2024'!Resal)*(1-EXP(('2024'!Tnet-t)/('2024'!Tau_j))),Resal+(Salim-Resal)*(1-EXP((Tnet-t)/(Tau_j))))*Salcycl</f>
        <v>4.5391433698536335E-2</v>
      </c>
      <c r="P78" s="169">
        <f>(INDEX(Models!$BJ78:$BT78,,T78)*(1-R78)+INDEX(Models!$BJ78:$BT78,,T78+1)*R78-ERP_i)*Q78*Ramure*Pc/MaxiM</f>
        <v>2.3504908529506357E-3</v>
      </c>
      <c r="Q78" s="305">
        <f t="shared" si="4"/>
        <v>0.7</v>
      </c>
      <c r="R78" s="177">
        <f t="shared" si="5"/>
        <v>0.5084717103541081</v>
      </c>
      <c r="S78" s="921">
        <f t="shared" si="6"/>
        <v>1</v>
      </c>
      <c r="T78" s="176">
        <f t="shared" si="7"/>
        <v>7</v>
      </c>
      <c r="U78" s="251">
        <f t="shared" si="8"/>
        <v>1.5084717103541081</v>
      </c>
      <c r="V78" s="383">
        <f t="shared" si="9"/>
        <v>43.004461389914383</v>
      </c>
      <c r="W78" s="402">
        <f t="shared" si="10"/>
        <v>15.136901549918266</v>
      </c>
      <c r="X78" s="157">
        <f t="shared" si="11"/>
        <v>45721</v>
      </c>
      <c r="Y78" s="385">
        <f t="shared" si="12"/>
        <v>13.765368094054692</v>
      </c>
      <c r="Z78" s="385">
        <f t="shared" si="22"/>
        <v>14.533132365734915</v>
      </c>
      <c r="AA78" s="386">
        <f t="shared" si="13"/>
        <v>16.74106408695377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0.13188717931851693</v>
      </c>
      <c r="AD78" s="231">
        <f>(INDEX(Models!$BJ78:$BT78,,AH78)*(1-AF78)+INDEX(Models!$BJ78:$BT78,,AH78+1)*AF78-ERP_i)*AE78*Ramure*Pc/MaxiM</f>
        <v>2.3504908529506357E-3</v>
      </c>
      <c r="AE78" s="305">
        <f t="shared" si="15"/>
        <v>0.7</v>
      </c>
      <c r="AF78" s="177">
        <f t="shared" si="23"/>
        <v>0.5084717103541081</v>
      </c>
      <c r="AG78" s="921">
        <f t="shared" si="24"/>
        <v>1</v>
      </c>
      <c r="AH78" s="176">
        <f t="shared" si="16"/>
        <v>7</v>
      </c>
      <c r="AI78" s="225">
        <f t="shared" si="17"/>
        <v>1.5084717103541081</v>
      </c>
      <c r="AJ78" s="265" t="b">
        <f t="shared" si="18"/>
        <v>0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21.430770013819441</v>
      </c>
      <c r="C79" s="955"/>
      <c r="D79" s="393">
        <f t="shared" ref="D79:D142" si="25">Wh/(1-Ppv)</f>
        <v>22.626568139858808</v>
      </c>
      <c r="E79" s="385">
        <f t="shared" si="1"/>
        <v>23.705071733896204</v>
      </c>
      <c r="F79" s="385">
        <f t="shared" ref="F79:F142" si="26">Wh_sa/(1-Pvg*MEDIAN((-Sdif+Wh/Env_an)/Csdif,0,1))</f>
        <v>23.720459140038695</v>
      </c>
      <c r="G79" s="110">
        <f t="shared" si="21"/>
        <v>0.49438222749637339</v>
      </c>
      <c r="H79" s="414" t="b">
        <f>Wh_hp&gt;='2024'!Maxi_hp</f>
        <v>0</v>
      </c>
      <c r="I79" s="390">
        <f>IF(H79,Wh_hp,'2024'!Maxi_hp)</f>
        <v>24.181479709212134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5.2849292859965646E-2</v>
      </c>
      <c r="M79" s="959"/>
      <c r="N79" s="959"/>
      <c r="O79" s="48">
        <f>IF(t&lt;Tnet,'2024'!Resal+('2024'!Salim-'2024'!Resal)*(1-EXP(('2024'!Tnet-t)/('2024'!Tau_j))),Resal+(Salim-Resal)*(1-EXP((Tnet-t)/(Tau_j))))*Salcycl</f>
        <v>4.5496744584629448E-2</v>
      </c>
      <c r="P79" s="169">
        <f>(INDEX(Models!$BJ79:$BT79,,T79)*(1-R79)+INDEX(Models!$BJ79:$BT79,,T79+1)*R79-ERP_i)*Q79*Ramure*Pc/MaxiM</f>
        <v>2.3261120998736592E-3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0.50884748696400628</v>
      </c>
      <c r="S79" s="92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1.5088474869640063</v>
      </c>
      <c r="V79" s="383">
        <f t="shared" ref="V79:V142" si="33">MaxiM*(1-Ppv)*(1-Pvg)*(1-Psa)</f>
        <v>43.275824262951716</v>
      </c>
      <c r="W79" s="402">
        <f t="shared" ref="W79:W142" si="34">Wh*(A79&gt;Tmaj)</f>
        <v>21.430770013819441</v>
      </c>
      <c r="X79" s="157">
        <f t="shared" ref="X79:X142" si="35">t</f>
        <v>45722</v>
      </c>
      <c r="Y79" s="385">
        <f t="shared" ref="Y79:Y142" si="36">Wh_pvt_s*(1-Ppv)</f>
        <v>19.49048948558961</v>
      </c>
      <c r="Z79" s="385">
        <f t="shared" ref="Z79:Z142" si="37">Wh_sa_s*(1-Psa_s)</f>
        <v>20.578023474682343</v>
      </c>
      <c r="AA79" s="386">
        <f t="shared" ref="AA79:AA142" si="38">Wh_hp*(1-Pvg_s*MEDIAN((-Sdif+Wh/Env_an)/Csdif,0,1))</f>
        <v>23.705071733896204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0.13191473513840724</v>
      </c>
      <c r="AD79" s="231">
        <f>(INDEX(Models!$BJ79:$BT79,,AH79)*(1-AF79)+INDEX(Models!$BJ79:$BT79,,AH79+1)*AF79-ERP_i)*AE79*Ramure*Pc/MaxiM</f>
        <v>2.3261120998736592E-3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0.50884748696400628</v>
      </c>
      <c r="AG79" s="92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1.5088474869640063</v>
      </c>
      <c r="AJ79" s="265" t="b">
        <f t="shared" ref="AJ79:AJ142" si="44">t&lt;Tnet</f>
        <v>0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32.51675505085344</v>
      </c>
      <c r="C80" s="955"/>
      <c r="D80" s="393">
        <f t="shared" si="25"/>
        <v>34.331883006273067</v>
      </c>
      <c r="E80" s="385">
        <f t="shared" ref="E80:E143" si="47">Wh_pvt/(1-Psa)</f>
        <v>35.972291286088378</v>
      </c>
      <c r="F80" s="385">
        <f t="shared" si="26"/>
        <v>36.025127391605018</v>
      </c>
      <c r="G80" s="110">
        <f t="shared" ref="G80:G143" si="48">+Wh_hp/MaxiM</f>
        <v>0.74608310557055069</v>
      </c>
      <c r="H80" s="414" t="b">
        <f>Wh_hp&gt;='2024'!Maxi_hp</f>
        <v>0</v>
      </c>
      <c r="I80" s="390">
        <f>IF(H80,Wh_hp,'2024'!Maxi_hp)</f>
        <v>43.018931785268983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5.2870037891250221E-2</v>
      </c>
      <c r="M80" s="959"/>
      <c r="N80" s="959"/>
      <c r="O80" s="48">
        <f>IF(t&lt;Tnet,'2024'!Resal+('2024'!Salim-'2024'!Resal)*(1-EXP(('2024'!Tnet-t)/('2024'!Tau_j))),Resal+(Salim-Resal)*(1-EXP((Tnet-t)/(Tau_j))))*Salcycl</f>
        <v>4.5601995902043377E-2</v>
      </c>
      <c r="P80" s="169">
        <f>(INDEX(Models!$BJ80:$BT80,,T80)*(1-R80)+INDEX(Models!$BJ80:$BT80,,T80+1)*R80-ERP_i)*Q80*Ramure*Pc/MaxiM</f>
        <v>2.2982776767871672E-3</v>
      </c>
      <c r="Q80" s="305">
        <f t="shared" si="28"/>
        <v>0.7</v>
      </c>
      <c r="R80" s="177">
        <f t="shared" si="29"/>
        <v>0.50923841766844191</v>
      </c>
      <c r="S80" s="921">
        <f t="shared" si="30"/>
        <v>1</v>
      </c>
      <c r="T80" s="176">
        <f t="shared" si="31"/>
        <v>7</v>
      </c>
      <c r="U80" s="251">
        <f t="shared" si="32"/>
        <v>1.5092384176684419</v>
      </c>
      <c r="V80" s="383">
        <f t="shared" si="33"/>
        <v>43.546989768792201</v>
      </c>
      <c r="W80" s="402">
        <f t="shared" si="34"/>
        <v>32.51675505085344</v>
      </c>
      <c r="X80" s="157">
        <f t="shared" si="35"/>
        <v>45723</v>
      </c>
      <c r="Y80" s="385">
        <f t="shared" si="36"/>
        <v>29.575101165185743</v>
      </c>
      <c r="Z80" s="385">
        <f t="shared" si="37"/>
        <v>31.226022138860305</v>
      </c>
      <c r="AA80" s="386">
        <f t="shared" si="38"/>
        <v>35.972291286088378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0.13194236390117317</v>
      </c>
      <c r="AD80" s="231">
        <f>(INDEX(Models!$BJ80:$BT80,,AH80)*(1-AF80)+INDEX(Models!$BJ80:$BT80,,AH80+1)*AF80-ERP_i)*AE80*Ramure*Pc/MaxiM</f>
        <v>2.2982776767871672E-3</v>
      </c>
      <c r="AE80" s="305">
        <f t="shared" si="40"/>
        <v>0.7</v>
      </c>
      <c r="AF80" s="177">
        <f t="shared" si="41"/>
        <v>0.50923841766844191</v>
      </c>
      <c r="AG80" s="921">
        <f t="shared" ref="AG80:AG143" si="49">INDEX(Echel_vg,AH80)</f>
        <v>1</v>
      </c>
      <c r="AH80" s="176">
        <f t="shared" si="42"/>
        <v>7</v>
      </c>
      <c r="AI80" s="225">
        <f t="shared" si="43"/>
        <v>1.5092384176684419</v>
      </c>
      <c r="AJ80" s="265" t="b">
        <f t="shared" si="44"/>
        <v>0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31.192951705128259</v>
      </c>
      <c r="C81" s="955"/>
      <c r="D81" s="393">
        <f t="shared" si="25"/>
        <v>32.934904578816209</v>
      </c>
      <c r="E81" s="385">
        <f t="shared" si="47"/>
        <v>34.512368216948204</v>
      </c>
      <c r="F81" s="385">
        <f t="shared" si="26"/>
        <v>34.558483312535287</v>
      </c>
      <c r="G81" s="110">
        <f t="shared" si="48"/>
        <v>0.7112158993570028</v>
      </c>
      <c r="H81" s="414" t="b">
        <f>Wh_hp&gt;='2024'!Maxi_hp</f>
        <v>0</v>
      </c>
      <c r="I81" s="390">
        <f>IF(H81,Wh_hp,'2024'!Maxi_hp)</f>
        <v>34.580370202974152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5.2890782468165365E-2</v>
      </c>
      <c r="M81" s="959"/>
      <c r="N81" s="959"/>
      <c r="O81" s="48">
        <f>IF(t&lt;Tnet,'2024'!Resal+('2024'!Salim-'2024'!Resal)*(1-EXP(('2024'!Tnet-t)/('2024'!Tau_j))),Resal+(Salim-Resal)*(1-EXP((Tnet-t)/(Tau_j))))*Salcycl</f>
        <v>4.5707197727374131E-2</v>
      </c>
      <c r="P81" s="169">
        <f>(INDEX(Models!$BJ81:$BT81,,T81)*(1-R81)+INDEX(Models!$BJ81:$BT81,,T81+1)*R81-ERP_i)*Q81*Ramure*Pc/MaxiM</f>
        <v>2.2678504747964817E-3</v>
      </c>
      <c r="Q81" s="305">
        <f t="shared" si="28"/>
        <v>0.7</v>
      </c>
      <c r="R81" s="177">
        <f t="shared" si="29"/>
        <v>0.50964508749665205</v>
      </c>
      <c r="S81" s="921">
        <f t="shared" si="30"/>
        <v>1</v>
      </c>
      <c r="T81" s="176">
        <f t="shared" si="31"/>
        <v>7</v>
      </c>
      <c r="U81" s="251">
        <f t="shared" si="32"/>
        <v>1.509645087496652</v>
      </c>
      <c r="V81" s="383">
        <f t="shared" si="33"/>
        <v>43.817631161861257</v>
      </c>
      <c r="W81" s="402">
        <f t="shared" si="34"/>
        <v>31.192951705128259</v>
      </c>
      <c r="X81" s="157">
        <f t="shared" si="35"/>
        <v>45724</v>
      </c>
      <c r="Y81" s="385">
        <f t="shared" si="36"/>
        <v>28.373277966380577</v>
      </c>
      <c r="Z81" s="385">
        <f t="shared" si="37"/>
        <v>29.957767743324577</v>
      </c>
      <c r="AA81" s="386">
        <f t="shared" si="38"/>
        <v>34.512368216948204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0.13197009388034323</v>
      </c>
      <c r="AD81" s="231">
        <f>(INDEX(Models!$BJ81:$BT81,,AH81)*(1-AF81)+INDEX(Models!$BJ81:$BT81,,AH81+1)*AF81-ERP_i)*AE81*Ramure*Pc/MaxiM</f>
        <v>2.2678504747964817E-3</v>
      </c>
      <c r="AE81" s="305">
        <f t="shared" si="40"/>
        <v>0.7</v>
      </c>
      <c r="AF81" s="177">
        <f t="shared" si="41"/>
        <v>0.50964508749665205</v>
      </c>
      <c r="AG81" s="921">
        <f t="shared" si="49"/>
        <v>1</v>
      </c>
      <c r="AH81" s="176">
        <f t="shared" si="42"/>
        <v>7</v>
      </c>
      <c r="AI81" s="225">
        <f t="shared" si="43"/>
        <v>1.509645087496652</v>
      </c>
      <c r="AJ81" s="265" t="b">
        <f t="shared" si="44"/>
        <v>0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32.924868331189664</v>
      </c>
      <c r="C82" s="955"/>
      <c r="D82" s="393">
        <f t="shared" si="25"/>
        <v>34.764300543821911</v>
      </c>
      <c r="E82" s="385">
        <f t="shared" si="47"/>
        <v>36.43340064885745</v>
      </c>
      <c r="F82" s="385">
        <f t="shared" si="26"/>
        <v>36.485448149727837</v>
      </c>
      <c r="G82" s="110">
        <f t="shared" si="48"/>
        <v>0.74620351986109401</v>
      </c>
      <c r="H82" s="414" t="b">
        <f>Wh_hp&gt;='2024'!Maxi_hp</f>
        <v>0</v>
      </c>
      <c r="I82" s="390">
        <f>IF(H82,Wh_hp,'2024'!Maxi_hp)</f>
        <v>44.616353864796501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5.2911526590720959E-2</v>
      </c>
      <c r="M82" s="959"/>
      <c r="N82" s="959"/>
      <c r="O82" s="48">
        <f>IF(t&lt;Tnet,'2024'!Resal+('2024'!Salim-'2024'!Resal)*(1-EXP(('2024'!Tnet-t)/('2024'!Tau_j))),Resal+(Salim-Resal)*(1-EXP((Tnet-t)/(Tau_j))))*Salcycl</f>
        <v>4.5812361056334239E-2</v>
      </c>
      <c r="P82" s="169">
        <f>(INDEX(Models!$BJ82:$BT82,,T82)*(1-R82)+INDEX(Models!$BJ82:$BT82,,T82+1)*R82-ERP_i)*Q82*Ramure*Pc/MaxiM</f>
        <v>2.234895494056074E-3</v>
      </c>
      <c r="Q82" s="305">
        <f t="shared" si="28"/>
        <v>0.7</v>
      </c>
      <c r="R82" s="177">
        <f t="shared" si="29"/>
        <v>0.51006810187823892</v>
      </c>
      <c r="S82" s="921">
        <f t="shared" si="30"/>
        <v>1</v>
      </c>
      <c r="T82" s="176">
        <f t="shared" si="31"/>
        <v>7</v>
      </c>
      <c r="U82" s="251">
        <f t="shared" si="32"/>
        <v>1.5100681018782389</v>
      </c>
      <c r="V82" s="383">
        <f t="shared" si="33"/>
        <v>44.08745607481395</v>
      </c>
      <c r="W82" s="402">
        <f t="shared" si="34"/>
        <v>32.924868331189664</v>
      </c>
      <c r="X82" s="157">
        <f t="shared" si="35"/>
        <v>45725</v>
      </c>
      <c r="Y82" s="385">
        <f t="shared" si="36"/>
        <v>29.950978037525424</v>
      </c>
      <c r="Z82" s="385">
        <f t="shared" si="37"/>
        <v>31.624266241684342</v>
      </c>
      <c r="AA82" s="386">
        <f t="shared" si="38"/>
        <v>36.43340064885745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0.13199795576381157</v>
      </c>
      <c r="AD82" s="231">
        <f>(INDEX(Models!$BJ82:$BT82,,AH82)*(1-AF82)+INDEX(Models!$BJ82:$BT82,,AH82+1)*AF82-ERP_i)*AE82*Ramure*Pc/MaxiM</f>
        <v>2.234895494056074E-3</v>
      </c>
      <c r="AE82" s="305">
        <f t="shared" si="40"/>
        <v>0.7</v>
      </c>
      <c r="AF82" s="177">
        <f t="shared" si="41"/>
        <v>0.51006810187823892</v>
      </c>
      <c r="AG82" s="921">
        <f t="shared" si="49"/>
        <v>1</v>
      </c>
      <c r="AH82" s="176">
        <f t="shared" si="42"/>
        <v>7</v>
      </c>
      <c r="AI82" s="225">
        <f t="shared" si="43"/>
        <v>1.5100681018782389</v>
      </c>
      <c r="AJ82" s="265" t="b">
        <f t="shared" si="44"/>
        <v>0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23.829128894662265</v>
      </c>
      <c r="C83" s="955"/>
      <c r="D83" s="393">
        <f t="shared" si="25"/>
        <v>25.160955385078026</v>
      </c>
      <c r="E83" s="385">
        <f t="shared" si="47"/>
        <v>26.371886421322472</v>
      </c>
      <c r="F83" s="385">
        <f t="shared" si="26"/>
        <v>26.391558112291683</v>
      </c>
      <c r="G83" s="110">
        <f t="shared" si="48"/>
        <v>0.53644063464379255</v>
      </c>
      <c r="H83" s="414" t="b">
        <f>Wh_hp&gt;='2024'!Maxi_hp</f>
        <v>0</v>
      </c>
      <c r="I83" s="390">
        <f>IF(H83,Wh_hp,'2024'!Maxi_hp)</f>
        <v>45.293809105395539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5.2932270258927216E-2</v>
      </c>
      <c r="M83" s="959"/>
      <c r="N83" s="959"/>
      <c r="O83" s="48">
        <f>IF(t&lt;Tnet,'2024'!Resal+('2024'!Salim-'2024'!Resal)*(1-EXP(('2024'!Tnet-t)/('2024'!Tau_j))),Resal+(Salim-Resal)*(1-EXP((Tnet-t)/(Tau_j))))*Salcycl</f>
        <v>4.5917497781477211E-2</v>
      </c>
      <c r="P83" s="169">
        <f>(INDEX(Models!$BJ83:$BT83,,T83)*(1-R83)+INDEX(Models!$BJ83:$BT83,,T83+1)*R83-ERP_i)*Q83*Ramure*Pc/MaxiM</f>
        <v>2.1994749692251358E-3</v>
      </c>
      <c r="Q83" s="305">
        <f t="shared" si="28"/>
        <v>0.7</v>
      </c>
      <c r="R83" s="177">
        <f t="shared" si="29"/>
        <v>0.51050808716957574</v>
      </c>
      <c r="S83" s="921">
        <f t="shared" si="30"/>
        <v>1</v>
      </c>
      <c r="T83" s="176">
        <f t="shared" si="31"/>
        <v>7</v>
      </c>
      <c r="U83" s="251">
        <f t="shared" si="32"/>
        <v>1.5105080871695757</v>
      </c>
      <c r="V83" s="383">
        <f t="shared" si="33"/>
        <v>44.356172241882476</v>
      </c>
      <c r="W83" s="402">
        <f t="shared" si="34"/>
        <v>23.829128894662265</v>
      </c>
      <c r="X83" s="157">
        <f t="shared" si="35"/>
        <v>45726</v>
      </c>
      <c r="Y83" s="385">
        <f t="shared" si="36"/>
        <v>21.678486598979767</v>
      </c>
      <c r="Z83" s="385">
        <f t="shared" si="37"/>
        <v>22.890112204442485</v>
      </c>
      <c r="AA83" s="386">
        <f t="shared" si="38"/>
        <v>26.371886421322472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0.13202598256546669</v>
      </c>
      <c r="AD83" s="231">
        <f>(INDEX(Models!$BJ83:$BT83,,AH83)*(1-AF83)+INDEX(Models!$BJ83:$BT83,,AH83+1)*AF83-ERP_i)*AE83*Ramure*Pc/MaxiM</f>
        <v>2.1994749692251358E-3</v>
      </c>
      <c r="AE83" s="305">
        <f t="shared" si="40"/>
        <v>0.7</v>
      </c>
      <c r="AF83" s="177">
        <f t="shared" si="41"/>
        <v>0.51050808716957574</v>
      </c>
      <c r="AG83" s="921">
        <f t="shared" si="49"/>
        <v>1</v>
      </c>
      <c r="AH83" s="176">
        <f t="shared" si="42"/>
        <v>7</v>
      </c>
      <c r="AI83" s="225">
        <f t="shared" si="43"/>
        <v>1.5105080871695757</v>
      </c>
      <c r="AJ83" s="265" t="b">
        <f t="shared" si="44"/>
        <v>0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15.887838896470475</v>
      </c>
      <c r="C84" s="955"/>
      <c r="D84" s="393">
        <f t="shared" si="25"/>
        <v>16.77618863952117</v>
      </c>
      <c r="E84" s="385">
        <f t="shared" si="47"/>
        <v>17.58552037283615</v>
      </c>
      <c r="F84" s="385">
        <f t="shared" si="26"/>
        <v>17.588564280916483</v>
      </c>
      <c r="G84" s="110">
        <f t="shared" si="48"/>
        <v>0.35533392780683931</v>
      </c>
      <c r="H84" s="414" t="b">
        <f>Wh_hp&gt;='2024'!Maxi_hp</f>
        <v>0</v>
      </c>
      <c r="I84" s="390">
        <f>IF(H84,Wh_hp,'2024'!Maxi_hp)</f>
        <v>36.273412618426136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5.2953013472793797E-2</v>
      </c>
      <c r="M84" s="959"/>
      <c r="N84" s="959"/>
      <c r="O84" s="48">
        <f>IF(t&lt;Tnet,'2024'!Resal+('2024'!Salim-'2024'!Resal)*(1-EXP(('2024'!Tnet-t)/('2024'!Tau_j))),Resal+(Salim-Resal)*(1-EXP((Tnet-t)/(Tau_j))))*Salcycl</f>
        <v>4.6022620664960989E-2</v>
      </c>
      <c r="P84" s="169">
        <f>(INDEX(Models!$BJ84:$BT84,,T84)*(1-R84)+INDEX(Models!$BJ84:$BT84,,T84+1)*R84-ERP_i)*Q84*Ramure*Pc/MaxiM</f>
        <v>2.1616481668301187E-3</v>
      </c>
      <c r="Q84" s="305">
        <f t="shared" si="28"/>
        <v>0.7</v>
      </c>
      <c r="R84" s="177">
        <f t="shared" si="29"/>
        <v>0.51096569117724044</v>
      </c>
      <c r="S84" s="921">
        <f t="shared" si="30"/>
        <v>1</v>
      </c>
      <c r="T84" s="176">
        <f t="shared" si="31"/>
        <v>7</v>
      </c>
      <c r="U84" s="251">
        <f t="shared" si="32"/>
        <v>1.5109656911772404</v>
      </c>
      <c r="V84" s="383">
        <f t="shared" si="33"/>
        <v>44.623487504630504</v>
      </c>
      <c r="W84" s="402">
        <f t="shared" si="34"/>
        <v>15.887838896470475</v>
      </c>
      <c r="X84" s="157">
        <f t="shared" si="35"/>
        <v>45727</v>
      </c>
      <c r="Y84" s="385">
        <f t="shared" si="36"/>
        <v>14.455041795192228</v>
      </c>
      <c r="Z84" s="385">
        <f t="shared" si="37"/>
        <v>15.263278380936987</v>
      </c>
      <c r="AA84" s="386">
        <f t="shared" si="38"/>
        <v>17.58552037283615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0.13205420952377753</v>
      </c>
      <c r="AD84" s="231">
        <f>(INDEX(Models!$BJ84:$BT84,,AH84)*(1-AF84)+INDEX(Models!$BJ84:$BT84,,AH84+1)*AF84-ERP_i)*AE84*Ramure*Pc/MaxiM</f>
        <v>2.1616481668301187E-3</v>
      </c>
      <c r="AE84" s="305">
        <f t="shared" si="40"/>
        <v>0.7</v>
      </c>
      <c r="AF84" s="177">
        <f t="shared" si="41"/>
        <v>0.51096569117724044</v>
      </c>
      <c r="AG84" s="921">
        <f t="shared" si="49"/>
        <v>1</v>
      </c>
      <c r="AH84" s="176">
        <f t="shared" si="42"/>
        <v>7</v>
      </c>
      <c r="AI84" s="225">
        <f t="shared" si="43"/>
        <v>1.5109656911772404</v>
      </c>
      <c r="AJ84" s="265" t="b">
        <f t="shared" si="44"/>
        <v>0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13.119512383471111</v>
      </c>
      <c r="C85" s="955"/>
      <c r="D85" s="393">
        <f t="shared" si="25"/>
        <v>13.853377844394434</v>
      </c>
      <c r="E85" s="385">
        <f t="shared" si="47"/>
        <v>14.523305135656853</v>
      </c>
      <c r="F85" s="385">
        <f t="shared" si="26"/>
        <v>14.523305135656853</v>
      </c>
      <c r="G85" s="110">
        <f t="shared" si="48"/>
        <v>0.29164489492092688</v>
      </c>
      <c r="H85" s="414" t="b">
        <f>Wh_hp&gt;='2024'!Maxi_hp</f>
        <v>0</v>
      </c>
      <c r="I85" s="390">
        <f>IF(H85,Wh_hp,'2024'!Maxi_hp)</f>
        <v>43.935491435363161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5.2973756232330693E-2</v>
      </c>
      <c r="M85" s="959"/>
      <c r="N85" s="959"/>
      <c r="O85" s="48">
        <f>IF(t&lt;Tnet,'2024'!Resal+('2024'!Salim-'2024'!Resal)*(1-EXP(('2024'!Tnet-t)/('2024'!Tau_j))),Resal+(Salim-Resal)*(1-EXP((Tnet-t)/(Tau_j))))*Salcycl</f>
        <v>4.6127743306697493E-2</v>
      </c>
      <c r="P85" s="169">
        <f>(INDEX(Models!$BJ85:$BT85,,T85)*(1-R85)+INDEX(Models!$BJ85:$BT85,,T85+1)*R85-ERP_i)*Q85*Ramure*Pc/MaxiM</f>
        <v>2.1214711853404498E-3</v>
      </c>
      <c r="Q85" s="305">
        <f t="shared" si="28"/>
        <v>0.7</v>
      </c>
      <c r="R85" s="177">
        <f t="shared" si="29"/>
        <v>0.51144158367659576</v>
      </c>
      <c r="S85" s="921">
        <f t="shared" si="30"/>
        <v>1</v>
      </c>
      <c r="T85" s="176">
        <f t="shared" si="31"/>
        <v>7</v>
      </c>
      <c r="U85" s="251">
        <f t="shared" si="32"/>
        <v>1.5114415836765958</v>
      </c>
      <c r="V85" s="383">
        <f t="shared" si="33"/>
        <v>44.889109818066181</v>
      </c>
      <c r="W85" s="402">
        <f t="shared" si="34"/>
        <v>13.119512383471111</v>
      </c>
      <c r="X85" s="157">
        <f t="shared" si="35"/>
        <v>45728</v>
      </c>
      <c r="Y85" s="385">
        <f t="shared" si="36"/>
        <v>11.937292469234631</v>
      </c>
      <c r="Z85" s="385">
        <f t="shared" si="37"/>
        <v>12.605028158188155</v>
      </c>
      <c r="AA85" s="386">
        <f t="shared" si="38"/>
        <v>14.523305135656853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0.13208267398851556</v>
      </c>
      <c r="AD85" s="231">
        <f>(INDEX(Models!$BJ85:$BT85,,AH85)*(1-AF85)+INDEX(Models!$BJ85:$BT85,,AH85+1)*AF85-ERP_i)*AE85*Ramure*Pc/MaxiM</f>
        <v>2.1214711853404498E-3</v>
      </c>
      <c r="AE85" s="305">
        <f t="shared" si="40"/>
        <v>0.7</v>
      </c>
      <c r="AF85" s="177">
        <f t="shared" si="41"/>
        <v>0.51144158367659576</v>
      </c>
      <c r="AG85" s="921">
        <f t="shared" si="49"/>
        <v>1</v>
      </c>
      <c r="AH85" s="176">
        <f t="shared" si="42"/>
        <v>7</v>
      </c>
      <c r="AI85" s="225">
        <f t="shared" si="43"/>
        <v>1.5114415836765958</v>
      </c>
      <c r="AJ85" s="265" t="b">
        <f t="shared" si="44"/>
        <v>0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12.349535935441432</v>
      </c>
      <c r="C86" s="955"/>
      <c r="D86" s="393">
        <f t="shared" si="25"/>
        <v>13.040616888043582</v>
      </c>
      <c r="E86" s="385">
        <f t="shared" si="47"/>
        <v>13.672747378336851</v>
      </c>
      <c r="F86" s="385">
        <f t="shared" si="26"/>
        <v>13.672747378336851</v>
      </c>
      <c r="G86" s="110">
        <f t="shared" si="48"/>
        <v>0.27293713092309974</v>
      </c>
      <c r="H86" s="414" t="b">
        <f>Wh_hp&gt;='2024'!Maxi_hp</f>
        <v>0</v>
      </c>
      <c r="I86" s="390">
        <f>IF(H86,Wh_hp,'2024'!Maxi_hp)</f>
        <v>42.800557177693996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5.2994498537548007E-2</v>
      </c>
      <c r="M86" s="959"/>
      <c r="N86" s="959"/>
      <c r="O86" s="48">
        <f>IF(t&lt;Tnet,'2024'!Resal+('2024'!Salim-'2024'!Resal)*(1-EXP(('2024'!Tnet-t)/('2024'!Tau_j))),Resal+(Salim-Resal)*(1-EXP((Tnet-t)/(Tau_j))))*Salcycl</f>
        <v>4.6232880108266934E-2</v>
      </c>
      <c r="P86" s="169">
        <f>(INDEX(Models!$BJ86:$BT86,,T86)*(1-R86)+INDEX(Models!$BJ86:$BT86,,T86+1)*R86-ERP_i)*Q86*Ramure*Pc/MaxiM</f>
        <v>2.079425711040151E-3</v>
      </c>
      <c r="Q86" s="305">
        <f t="shared" si="28"/>
        <v>0.7</v>
      </c>
      <c r="R86" s="177">
        <f t="shared" si="29"/>
        <v>0.51193645692344147</v>
      </c>
      <c r="S86" s="921">
        <f t="shared" si="30"/>
        <v>1</v>
      </c>
      <c r="T86" s="176">
        <f t="shared" si="31"/>
        <v>7</v>
      </c>
      <c r="U86" s="251">
        <f t="shared" si="32"/>
        <v>1.5119364569234415</v>
      </c>
      <c r="V86" s="383">
        <f t="shared" si="33"/>
        <v>45.152727850613033</v>
      </c>
      <c r="W86" s="402">
        <f t="shared" si="34"/>
        <v>12.349535935441432</v>
      </c>
      <c r="X86" s="157">
        <f t="shared" si="35"/>
        <v>45729</v>
      </c>
      <c r="Y86" s="385">
        <f t="shared" si="36"/>
        <v>11.237566321186979</v>
      </c>
      <c r="Z86" s="385">
        <f t="shared" si="37"/>
        <v>11.866421371188348</v>
      </c>
      <c r="AA86" s="386">
        <f t="shared" si="38"/>
        <v>13.672747378336851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0.13211141529685927</v>
      </c>
      <c r="AD86" s="231">
        <f>(INDEX(Models!$BJ86:$BT86,,AH86)*(1-AF86)+INDEX(Models!$BJ86:$BT86,,AH86+1)*AF86-ERP_i)*AE86*Ramure*Pc/MaxiM</f>
        <v>2.079425711040151E-3</v>
      </c>
      <c r="AE86" s="305">
        <f t="shared" si="40"/>
        <v>0.7</v>
      </c>
      <c r="AF86" s="177">
        <f t="shared" si="41"/>
        <v>0.51193645692344147</v>
      </c>
      <c r="AG86" s="921">
        <f t="shared" si="49"/>
        <v>1</v>
      </c>
      <c r="AH86" s="176">
        <f t="shared" si="42"/>
        <v>7</v>
      </c>
      <c r="AI86" s="225">
        <f t="shared" si="43"/>
        <v>1.5119364569234415</v>
      </c>
      <c r="AJ86" s="265" t="b">
        <f t="shared" si="44"/>
        <v>0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13.0469052551374</v>
      </c>
      <c r="C87" s="955"/>
      <c r="D87" s="393">
        <f t="shared" si="25"/>
        <v>13.777312805423895</v>
      </c>
      <c r="E87" s="385">
        <f t="shared" si="47"/>
        <v>14.446746827849234</v>
      </c>
      <c r="F87" s="385">
        <f t="shared" si="26"/>
        <v>14.446746827849234</v>
      </c>
      <c r="G87" s="110">
        <f t="shared" si="48"/>
        <v>0.28670307173034559</v>
      </c>
      <c r="H87" s="414" t="b">
        <f>Wh_hp&gt;='2024'!Maxi_hp</f>
        <v>0</v>
      </c>
      <c r="I87" s="390">
        <f>IF(H87,Wh_hp,'2024'!Maxi_hp)</f>
        <v>36.891466840324576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5.301524038845562E-2</v>
      </c>
      <c r="M87" s="959"/>
      <c r="N87" s="959"/>
      <c r="O87" s="48">
        <f>IF(t&lt;Tnet,'2024'!Resal+('2024'!Salim-'2024'!Resal)*(1-EXP(('2024'!Tnet-t)/('2024'!Tau_j))),Resal+(Salim-Resal)*(1-EXP((Tnet-t)/(Tau_j))))*Salcycl</f>
        <v>4.6338046233001036E-2</v>
      </c>
      <c r="P87" s="169">
        <f>(INDEX(Models!$BJ87:$BT87,,T87)*(1-R87)+INDEX(Models!$BJ87:$BT87,,T87+1)*R87-ERP_i)*Q87*Ramure*Pc/MaxiM</f>
        <v>2.0373941059135411E-3</v>
      </c>
      <c r="Q87" s="305">
        <f t="shared" si="28"/>
        <v>0.7</v>
      </c>
      <c r="R87" s="177">
        <f t="shared" si="29"/>
        <v>0.51245102615647919</v>
      </c>
      <c r="S87" s="921">
        <f t="shared" si="30"/>
        <v>1</v>
      </c>
      <c r="T87" s="176">
        <f t="shared" si="31"/>
        <v>7</v>
      </c>
      <c r="U87" s="251">
        <f t="shared" si="32"/>
        <v>1.5124510261564792</v>
      </c>
      <c r="V87" s="383">
        <f t="shared" si="33"/>
        <v>45.413966054455969</v>
      </c>
      <c r="W87" s="402">
        <f t="shared" si="34"/>
        <v>13.0469052551374</v>
      </c>
      <c r="X87" s="157">
        <f t="shared" si="35"/>
        <v>45730</v>
      </c>
      <c r="Y87" s="385">
        <f t="shared" si="36"/>
        <v>11.873055182092898</v>
      </c>
      <c r="Z87" s="385">
        <f t="shared" si="37"/>
        <v>12.537746845010744</v>
      </c>
      <c r="AA87" s="386">
        <f t="shared" si="38"/>
        <v>14.446746827849234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0.13214047464017839</v>
      </c>
      <c r="AD87" s="231">
        <f>(INDEX(Models!$BJ87:$BT87,,AH87)*(1-AF87)+INDEX(Models!$BJ87:$BT87,,AH87+1)*AF87-ERP_i)*AE87*Ramure*Pc/MaxiM</f>
        <v>2.0373941059135411E-3</v>
      </c>
      <c r="AE87" s="305">
        <f t="shared" si="40"/>
        <v>0.7</v>
      </c>
      <c r="AF87" s="177">
        <f t="shared" si="41"/>
        <v>0.51245102615647919</v>
      </c>
      <c r="AG87" s="921">
        <f t="shared" si="49"/>
        <v>1</v>
      </c>
      <c r="AH87" s="176">
        <f t="shared" si="42"/>
        <v>7</v>
      </c>
      <c r="AI87" s="225">
        <f t="shared" si="43"/>
        <v>1.5124510261564792</v>
      </c>
      <c r="AJ87" s="265" t="b">
        <f t="shared" si="44"/>
        <v>0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14.812094004473922</v>
      </c>
      <c r="C88" s="955"/>
      <c r="D88" s="393">
        <f t="shared" si="25"/>
        <v>15.641665068114506</v>
      </c>
      <c r="E88" s="385">
        <f t="shared" si="47"/>
        <v>16.403496899548504</v>
      </c>
      <c r="F88" s="385">
        <f t="shared" si="26"/>
        <v>16.404633725571038</v>
      </c>
      <c r="G88" s="110">
        <f t="shared" si="48"/>
        <v>0.32368607084708617</v>
      </c>
      <c r="H88" s="414" t="b">
        <f>Wh_hp&gt;='2024'!Maxi_hp</f>
        <v>0</v>
      </c>
      <c r="I88" s="390">
        <f>IF(H88,Wh_hp,'2024'!Maxi_hp)</f>
        <v>34.951737117929945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5.3035981785063413E-2</v>
      </c>
      <c r="M88" s="959"/>
      <c r="N88" s="959"/>
      <c r="O88" s="48">
        <f>IF(t&lt;Tnet,'2024'!Resal+('2024'!Salim-'2024'!Resal)*(1-EXP(('2024'!Tnet-t)/('2024'!Tau_j))),Resal+(Salim-Resal)*(1-EXP((Tnet-t)/(Tau_j))))*Salcycl</f>
        <v>4.6443257562658248E-2</v>
      </c>
      <c r="P88" s="169">
        <f>(INDEX(Models!$BJ88:$BT88,,T88)*(1-R88)+INDEX(Models!$BJ88:$BT88,,T88+1)*R88-ERP_i)*Q88*Ramure*Pc/MaxiM</f>
        <v>1.9953858416323403E-3</v>
      </c>
      <c r="Q88" s="305">
        <f t="shared" si="28"/>
        <v>0.7</v>
      </c>
      <c r="R88" s="177">
        <f t="shared" si="29"/>
        <v>0.51298603008811083</v>
      </c>
      <c r="S88" s="921">
        <f t="shared" si="30"/>
        <v>1</v>
      </c>
      <c r="T88" s="176">
        <f t="shared" si="31"/>
        <v>7</v>
      </c>
      <c r="U88" s="251">
        <f t="shared" si="32"/>
        <v>1.5129860300881108</v>
      </c>
      <c r="V88" s="383">
        <f t="shared" si="33"/>
        <v>45.6725326808548</v>
      </c>
      <c r="W88" s="402">
        <f t="shared" si="34"/>
        <v>14.812094004473922</v>
      </c>
      <c r="X88" s="157">
        <f t="shared" si="35"/>
        <v>45731</v>
      </c>
      <c r="Y88" s="385">
        <f t="shared" si="36"/>
        <v>13.480457453909931</v>
      </c>
      <c r="Z88" s="385">
        <f t="shared" si="37"/>
        <v>14.235448437968223</v>
      </c>
      <c r="AA88" s="386">
        <f t="shared" si="38"/>
        <v>16.403496899548504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0.13216989492282918</v>
      </c>
      <c r="AD88" s="231">
        <f>(INDEX(Models!$BJ88:$BT88,,AH88)*(1-AF88)+INDEX(Models!$BJ88:$BT88,,AH88+1)*AF88-ERP_i)*AE88*Ramure*Pc/MaxiM</f>
        <v>1.9953858416323403E-3</v>
      </c>
      <c r="AE88" s="305">
        <f t="shared" si="40"/>
        <v>0.7</v>
      </c>
      <c r="AF88" s="177">
        <f t="shared" si="41"/>
        <v>0.51298603008811083</v>
      </c>
      <c r="AG88" s="921">
        <f t="shared" si="49"/>
        <v>1</v>
      </c>
      <c r="AH88" s="176">
        <f t="shared" si="42"/>
        <v>7</v>
      </c>
      <c r="AI88" s="225">
        <f t="shared" si="43"/>
        <v>1.5129860300881108</v>
      </c>
      <c r="AJ88" s="265" t="b">
        <f t="shared" si="44"/>
        <v>0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10.167240058289057</v>
      </c>
      <c r="C89" s="955"/>
      <c r="D89" s="393">
        <f t="shared" si="25"/>
        <v>10.736905052615921</v>
      </c>
      <c r="E89" s="385">
        <f t="shared" si="47"/>
        <v>11.261092355280892</v>
      </c>
      <c r="F89" s="385">
        <f t="shared" si="26"/>
        <v>11.261092355280892</v>
      </c>
      <c r="G89" s="110">
        <f t="shared" si="48"/>
        <v>0.22094036779578044</v>
      </c>
      <c r="H89" s="414" t="b">
        <f>Wh_hp&gt;='2024'!Maxi_hp</f>
        <v>0</v>
      </c>
      <c r="I89" s="390">
        <f>IF(H89,Wh_hp,'2024'!Maxi_hp)</f>
        <v>52.275659986289419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5.3056722727381378E-2</v>
      </c>
      <c r="M89" s="959"/>
      <c r="N89" s="959"/>
      <c r="O89" s="48">
        <f>IF(t&lt;Tnet,'2024'!Resal+('2024'!Salim-'2024'!Resal)*(1-EXP(('2024'!Tnet-t)/('2024'!Tau_j))),Resal+(Salim-Resal)*(1-EXP((Tnet-t)/(Tau_j))))*Salcycl</f>
        <v>4.654853065112758E-2</v>
      </c>
      <c r="P89" s="169">
        <f>(INDEX(Models!$BJ89:$BT89,,T89)*(1-R89)+INDEX(Models!$BJ89:$BT89,,T89+1)*R89-ERP_i)*Q89*Ramure*Pc/MaxiM</f>
        <v>1.9534086935123693E-3</v>
      </c>
      <c r="Q89" s="305">
        <f t="shared" si="28"/>
        <v>0.7</v>
      </c>
      <c r="R89" s="177">
        <f t="shared" si="29"/>
        <v>0.51354223138088262</v>
      </c>
      <c r="S89" s="921">
        <f t="shared" si="30"/>
        <v>1</v>
      </c>
      <c r="T89" s="176">
        <f t="shared" si="31"/>
        <v>7</v>
      </c>
      <c r="U89" s="251">
        <f t="shared" si="32"/>
        <v>1.5135422313808826</v>
      </c>
      <c r="V89" s="383">
        <f t="shared" si="33"/>
        <v>45.928136104804494</v>
      </c>
      <c r="W89" s="402">
        <f t="shared" si="34"/>
        <v>10.167240058289057</v>
      </c>
      <c r="X89" s="157">
        <f t="shared" si="35"/>
        <v>45732</v>
      </c>
      <c r="Y89" s="385">
        <f t="shared" si="36"/>
        <v>9.2538886842243997</v>
      </c>
      <c r="Z89" s="385">
        <f t="shared" si="37"/>
        <v>9.772379092100854</v>
      </c>
      <c r="AA89" s="386">
        <f t="shared" si="38"/>
        <v>11.261092355280892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0.13219972061430663</v>
      </c>
      <c r="AD89" s="231">
        <f>(INDEX(Models!$BJ89:$BT89,,AH89)*(1-AF89)+INDEX(Models!$BJ89:$BT89,,AH89+1)*AF89-ERP_i)*AE89*Ramure*Pc/MaxiM</f>
        <v>1.9534086935123693E-3</v>
      </c>
      <c r="AE89" s="305">
        <f t="shared" si="40"/>
        <v>0.7</v>
      </c>
      <c r="AF89" s="177">
        <f t="shared" si="41"/>
        <v>0.51354223138088262</v>
      </c>
      <c r="AG89" s="921">
        <f t="shared" si="49"/>
        <v>1</v>
      </c>
      <c r="AH89" s="176">
        <f t="shared" si="42"/>
        <v>7</v>
      </c>
      <c r="AI89" s="225">
        <f t="shared" si="43"/>
        <v>1.5135422313808826</v>
      </c>
      <c r="AJ89" s="265" t="b">
        <f t="shared" si="44"/>
        <v>0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11.010060803825832</v>
      </c>
      <c r="C90" s="955"/>
      <c r="D90" s="393">
        <f t="shared" si="25"/>
        <v>11.627203256997312</v>
      </c>
      <c r="E90" s="385">
        <f t="shared" si="47"/>
        <v>12.196203504378383</v>
      </c>
      <c r="F90" s="385">
        <f t="shared" si="26"/>
        <v>12.196203504378383</v>
      </c>
      <c r="G90" s="110">
        <f t="shared" si="48"/>
        <v>0.23795799148457972</v>
      </c>
      <c r="H90" s="414" t="b">
        <f>Wh_hp&gt;='2024'!Maxi_hp</f>
        <v>0</v>
      </c>
      <c r="I90" s="390">
        <f>IF(H90,Wh_hp,'2024'!Maxi_hp)</f>
        <v>27.107916637934526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5.3077463215419507E-2</v>
      </c>
      <c r="M90" s="959"/>
      <c r="N90" s="959"/>
      <c r="O90" s="48">
        <f>IF(t&lt;Tnet,'2024'!Resal+('2024'!Salim-'2024'!Resal)*(1-EXP(('2024'!Tnet-t)/('2024'!Tau_j))),Resal+(Salim-Resal)*(1-EXP((Tnet-t)/(Tau_j))))*Salcycl</f>
        <v>4.6653882675605031E-2</v>
      </c>
      <c r="P90" s="169">
        <f>(INDEX(Models!$BJ90:$BT90,,T90)*(1-R90)+INDEX(Models!$BJ90:$BT90,,T90+1)*R90-ERP_i)*Q90*Ramure*Pc/MaxiM</f>
        <v>1.9114687078010896E-3</v>
      </c>
      <c r="Q90" s="305">
        <f t="shared" si="28"/>
        <v>0.7</v>
      </c>
      <c r="R90" s="177">
        <f t="shared" si="29"/>
        <v>0.51412041710664691</v>
      </c>
      <c r="S90" s="921">
        <f t="shared" si="30"/>
        <v>1</v>
      </c>
      <c r="T90" s="176">
        <f t="shared" si="31"/>
        <v>7</v>
      </c>
      <c r="U90" s="251">
        <f t="shared" si="32"/>
        <v>1.5141204171066469</v>
      </c>
      <c r="V90" s="383">
        <f t="shared" si="33"/>
        <v>46.18048483503209</v>
      </c>
      <c r="W90" s="402">
        <f t="shared" si="34"/>
        <v>11.010060803825832</v>
      </c>
      <c r="X90" s="157">
        <f t="shared" si="35"/>
        <v>45733</v>
      </c>
      <c r="Y90" s="385">
        <f t="shared" si="36"/>
        <v>10.021754236559239</v>
      </c>
      <c r="Z90" s="385">
        <f t="shared" si="37"/>
        <v>10.583499544312918</v>
      </c>
      <c r="AA90" s="386">
        <f t="shared" si="38"/>
        <v>12.196203504378383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0.13222999759609713</v>
      </c>
      <c r="AD90" s="231">
        <f>(INDEX(Models!$BJ90:$BT90,,AH90)*(1-AF90)+INDEX(Models!$BJ90:$BT90,,AH90+1)*AF90-ERP_i)*AE90*Ramure*Pc/MaxiM</f>
        <v>1.9114687078010896E-3</v>
      </c>
      <c r="AE90" s="305">
        <f t="shared" si="40"/>
        <v>0.7</v>
      </c>
      <c r="AF90" s="177">
        <f t="shared" si="41"/>
        <v>0.51412041710664691</v>
      </c>
      <c r="AG90" s="921">
        <f t="shared" si="49"/>
        <v>1</v>
      </c>
      <c r="AH90" s="176">
        <f t="shared" si="42"/>
        <v>7</v>
      </c>
      <c r="AI90" s="225">
        <f t="shared" si="43"/>
        <v>1.5141204171066469</v>
      </c>
      <c r="AJ90" s="265" t="b">
        <f t="shared" si="44"/>
        <v>0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13.504017961104456</v>
      </c>
      <c r="C91" s="955"/>
      <c r="D91" s="393">
        <f t="shared" si="25"/>
        <v>14.26126553718874</v>
      </c>
      <c r="E91" s="385">
        <f t="shared" si="47"/>
        <v>14.960823647945865</v>
      </c>
      <c r="F91" s="385">
        <f t="shared" si="26"/>
        <v>14.960823647945865</v>
      </c>
      <c r="G91" s="110">
        <f t="shared" si="48"/>
        <v>0.29030751867933952</v>
      </c>
      <c r="H91" s="414" t="b">
        <f>Wh_hp&gt;='2024'!Maxi_hp</f>
        <v>0</v>
      </c>
      <c r="I91" s="390">
        <f>IF(H91,Wh_hp,'2024'!Maxi_hp)</f>
        <v>38.270489516966428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5.3098203249187681E-2</v>
      </c>
      <c r="M91" s="959"/>
      <c r="N91" s="959"/>
      <c r="O91" s="48">
        <f>IF(t&lt;Tnet,'2024'!Resal+('2024'!Salim-'2024'!Resal)*(1-EXP(('2024'!Tnet-t)/('2024'!Tau_j))),Resal+(Salim-Resal)*(1-EXP((Tnet-t)/(Tau_j))))*Salcycl</f>
        <v>4.6759331385687247E-2</v>
      </c>
      <c r="P91" s="169">
        <f>(INDEX(Models!$BJ91:$BT91,,T91)*(1-R91)+INDEX(Models!$BJ91:$BT91,,T91+1)*R91-ERP_i)*Q91*Ramure*Pc/MaxiM</f>
        <v>1.8695701700727884E-3</v>
      </c>
      <c r="Q91" s="305">
        <f t="shared" si="28"/>
        <v>0.7</v>
      </c>
      <c r="R91" s="177">
        <f t="shared" si="29"/>
        <v>0.51472139918527238</v>
      </c>
      <c r="S91" s="921">
        <f t="shared" si="30"/>
        <v>1</v>
      </c>
      <c r="T91" s="176">
        <f t="shared" si="31"/>
        <v>7</v>
      </c>
      <c r="U91" s="251">
        <f t="shared" si="32"/>
        <v>1.5147213991852724</v>
      </c>
      <c r="V91" s="383">
        <f t="shared" si="33"/>
        <v>46.429287512998535</v>
      </c>
      <c r="W91" s="402">
        <f t="shared" si="34"/>
        <v>13.504017961104456</v>
      </c>
      <c r="X91" s="157">
        <f t="shared" si="35"/>
        <v>45734</v>
      </c>
      <c r="Y91" s="385">
        <f t="shared" si="36"/>
        <v>12.292767705699415</v>
      </c>
      <c r="Z91" s="385">
        <f t="shared" si="37"/>
        <v>12.982093547483672</v>
      </c>
      <c r="AA91" s="386">
        <f t="shared" si="38"/>
        <v>14.960823647945865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0.13226077300455821</v>
      </c>
      <c r="AD91" s="231">
        <f>(INDEX(Models!$BJ91:$BT91,,AH91)*(1-AF91)+INDEX(Models!$BJ91:$BT91,,AH91+1)*AF91-ERP_i)*AE91*Ramure*Pc/MaxiM</f>
        <v>1.8695701700727884E-3</v>
      </c>
      <c r="AE91" s="305">
        <f t="shared" si="40"/>
        <v>0.7</v>
      </c>
      <c r="AF91" s="177">
        <f t="shared" si="41"/>
        <v>0.51472139918527238</v>
      </c>
      <c r="AG91" s="921">
        <f t="shared" si="49"/>
        <v>1</v>
      </c>
      <c r="AH91" s="176">
        <f t="shared" si="42"/>
        <v>7</v>
      </c>
      <c r="AI91" s="225">
        <f t="shared" si="43"/>
        <v>1.5147213991852724</v>
      </c>
      <c r="AJ91" s="265" t="b">
        <f t="shared" si="44"/>
        <v>0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30.942782558112551</v>
      </c>
      <c r="C92" s="955"/>
      <c r="D92" s="393">
        <f t="shared" si="25"/>
        <v>32.678637220339461</v>
      </c>
      <c r="E92" s="385">
        <f t="shared" si="47"/>
        <v>34.285419822074367</v>
      </c>
      <c r="F92" s="385">
        <f t="shared" si="26"/>
        <v>34.317942090487982</v>
      </c>
      <c r="G92" s="110">
        <f t="shared" si="48"/>
        <v>0.66236787729016444</v>
      </c>
      <c r="H92" s="414" t="b">
        <f>Wh_hp&gt;='2024'!Maxi_hp</f>
        <v>0</v>
      </c>
      <c r="I92" s="390">
        <f>IF(H92,Wh_hp,'2024'!Maxi_hp)</f>
        <v>46.831517578729603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5.3118942828696003E-2</v>
      </c>
      <c r="M92" s="959"/>
      <c r="N92" s="959"/>
      <c r="O92" s="48">
        <f>IF(t&lt;Tnet,'2024'!Resal+('2024'!Salim-'2024'!Resal)*(1-EXP(('2024'!Tnet-t)/('2024'!Tau_j))),Resal+(Salim-Resal)*(1-EXP((Tnet-t)/(Tau_j))))*Salcycl</f>
        <v>4.6864895050822634E-2</v>
      </c>
      <c r="P92" s="169">
        <f>(INDEX(Models!$BJ92:$BT92,,T92)*(1-R92)+INDEX(Models!$BJ92:$BT92,,T92+1)*R92-ERP_i)*Q92*Ramure*Pc/MaxiM</f>
        <v>1.8277155737068884E-3</v>
      </c>
      <c r="Q92" s="305">
        <f t="shared" si="28"/>
        <v>0.7</v>
      </c>
      <c r="R92" s="177">
        <f t="shared" si="29"/>
        <v>0.51534601479947884</v>
      </c>
      <c r="S92" s="921">
        <f t="shared" si="30"/>
        <v>1</v>
      </c>
      <c r="T92" s="176">
        <f t="shared" si="31"/>
        <v>7</v>
      </c>
      <c r="U92" s="251">
        <f t="shared" si="32"/>
        <v>1.5153460147994788</v>
      </c>
      <c r="V92" s="383">
        <f t="shared" si="33"/>
        <v>46.674252926261921</v>
      </c>
      <c r="W92" s="402">
        <f t="shared" si="34"/>
        <v>30.942782558112551</v>
      </c>
      <c r="X92" s="157">
        <f t="shared" si="35"/>
        <v>45735</v>
      </c>
      <c r="Y92" s="385">
        <f t="shared" si="36"/>
        <v>28.169455606822495</v>
      </c>
      <c r="Z92" s="385">
        <f t="shared" si="37"/>
        <v>29.749729803419488</v>
      </c>
      <c r="AA92" s="386">
        <f t="shared" si="38"/>
        <v>34.285419822074367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0.13229209507111289</v>
      </c>
      <c r="AD92" s="231">
        <f>(INDEX(Models!$BJ92:$BT92,,AH92)*(1-AF92)+INDEX(Models!$BJ92:$BT92,,AH92+1)*AF92-ERP_i)*AE92*Ramure*Pc/MaxiM</f>
        <v>1.8277155737068884E-3</v>
      </c>
      <c r="AE92" s="305">
        <f t="shared" si="40"/>
        <v>0.7</v>
      </c>
      <c r="AF92" s="177">
        <f t="shared" si="41"/>
        <v>0.51534601479947884</v>
      </c>
      <c r="AG92" s="921">
        <f t="shared" si="49"/>
        <v>1</v>
      </c>
      <c r="AH92" s="176">
        <f t="shared" si="42"/>
        <v>7</v>
      </c>
      <c r="AI92" s="225">
        <f t="shared" si="43"/>
        <v>1.5153460147994788</v>
      </c>
      <c r="AJ92" s="265" t="b">
        <f t="shared" si="44"/>
        <v>0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31.903055749424738</v>
      </c>
      <c r="C93" s="955"/>
      <c r="D93" s="393">
        <f t="shared" si="25"/>
        <v>33.693518612397163</v>
      </c>
      <c r="E93" s="385">
        <f t="shared" si="47"/>
        <v>35.354122699611764</v>
      </c>
      <c r="F93" s="385">
        <f t="shared" si="26"/>
        <v>35.388428523959973</v>
      </c>
      <c r="G93" s="110">
        <f t="shared" si="48"/>
        <v>0.67942932212842799</v>
      </c>
      <c r="H93" s="414" t="b">
        <f>Wh_hp&gt;='2024'!Maxi_hp</f>
        <v>0</v>
      </c>
      <c r="I93" s="390">
        <f>IF(H93,Wh_hp,'2024'!Maxi_hp)</f>
        <v>53.139538604347429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5.3139681953954243E-2</v>
      </c>
      <c r="M93" s="959"/>
      <c r="N93" s="959"/>
      <c r="O93" s="48">
        <f>IF(t&lt;Tnet,'2024'!Resal+('2024'!Salim-'2024'!Resal)*(1-EXP(('2024'!Tnet-t)/('2024'!Tau_j))),Resal+(Salim-Resal)*(1-EXP((Tnet-t)/(Tau_j))))*Salcycl</f>
        <v>4.6970592406549411E-2</v>
      </c>
      <c r="P93" s="169">
        <f>(INDEX(Models!$BJ93:$BT93,,T93)*(1-R93)+INDEX(Models!$BJ93:$BT93,,T93+1)*R93-ERP_i)*Q93*Ramure*Pc/MaxiM</f>
        <v>1.7858219531539825E-3</v>
      </c>
      <c r="Q93" s="305">
        <f t="shared" si="28"/>
        <v>0.7</v>
      </c>
      <c r="R93" s="177">
        <f t="shared" si="29"/>
        <v>0.51599512678210036</v>
      </c>
      <c r="S93" s="921">
        <f t="shared" si="30"/>
        <v>1</v>
      </c>
      <c r="T93" s="176">
        <f t="shared" si="31"/>
        <v>7</v>
      </c>
      <c r="U93" s="251">
        <f t="shared" si="32"/>
        <v>1.5159951267821004</v>
      </c>
      <c r="V93" s="383">
        <f t="shared" si="33"/>
        <v>46.917292698920932</v>
      </c>
      <c r="W93" s="402">
        <f t="shared" si="34"/>
        <v>31.903055749424738</v>
      </c>
      <c r="X93" s="157">
        <f t="shared" si="35"/>
        <v>45736</v>
      </c>
      <c r="Y93" s="385">
        <f t="shared" si="36"/>
        <v>29.04581450098436</v>
      </c>
      <c r="Z93" s="385">
        <f t="shared" si="37"/>
        <v>30.675923309283579</v>
      </c>
      <c r="AA93" s="386">
        <f t="shared" si="38"/>
        <v>35.354122699611764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0.13232401296099922</v>
      </c>
      <c r="AD93" s="231">
        <f>(INDEX(Models!$BJ93:$BT93,,AH93)*(1-AF93)+INDEX(Models!$BJ93:$BT93,,AH93+1)*AF93-ERP_i)*AE93*Ramure*Pc/MaxiM</f>
        <v>1.7858219531539825E-3</v>
      </c>
      <c r="AE93" s="305">
        <f t="shared" si="40"/>
        <v>0.7</v>
      </c>
      <c r="AF93" s="177">
        <f t="shared" si="41"/>
        <v>0.51599512678210036</v>
      </c>
      <c r="AG93" s="921">
        <f t="shared" si="49"/>
        <v>1</v>
      </c>
      <c r="AH93" s="176">
        <f t="shared" si="42"/>
        <v>7</v>
      </c>
      <c r="AI93" s="225">
        <f t="shared" si="43"/>
        <v>1.5159951267821004</v>
      </c>
      <c r="AJ93" s="265" t="b">
        <f t="shared" si="44"/>
        <v>0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46.004958453336975</v>
      </c>
      <c r="C94" s="955"/>
      <c r="D94" s="393">
        <f t="shared" si="25"/>
        <v>48.587912308971156</v>
      </c>
      <c r="E94" s="385">
        <f t="shared" si="47"/>
        <v>50.988258115411952</v>
      </c>
      <c r="F94" s="385">
        <f t="shared" si="26"/>
        <v>51.074210574438347</v>
      </c>
      <c r="G94" s="110">
        <f t="shared" si="48"/>
        <v>0.9754472803323031</v>
      </c>
      <c r="H94" s="414" t="b">
        <f>Wh_hp&gt;='2024'!Maxi_hp</f>
        <v>0</v>
      </c>
      <c r="I94" s="390">
        <f>IF(H94,Wh_hp,'2024'!Maxi_hp)</f>
        <v>53.219933275475654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5.3160420624972393E-2</v>
      </c>
      <c r="M94" s="959"/>
      <c r="N94" s="959"/>
      <c r="O94" s="48">
        <f>IF(t&lt;Tnet,'2024'!Resal+('2024'!Salim-'2024'!Resal)*(1-EXP(('2024'!Tnet-t)/('2024'!Tau_j))),Resal+(Salim-Resal)*(1-EXP((Tnet-t)/(Tau_j))))*Salcycl</f>
        <v>4.707644259993371E-2</v>
      </c>
      <c r="P94" s="169">
        <f>(INDEX(Models!$BJ94:$BT94,,T94)*(1-R94)+INDEX(Models!$BJ94:$BT94,,T94+1)*R94-ERP_i)*Q94*Ramure*Pc/MaxiM</f>
        <v>1.7439133006937242E-3</v>
      </c>
      <c r="Q94" s="305">
        <f t="shared" si="28"/>
        <v>0.7</v>
      </c>
      <c r="R94" s="177">
        <f t="shared" si="29"/>
        <v>0.51666962397180072</v>
      </c>
      <c r="S94" s="921">
        <f t="shared" si="30"/>
        <v>1</v>
      </c>
      <c r="T94" s="176">
        <f t="shared" si="31"/>
        <v>7</v>
      </c>
      <c r="U94" s="251">
        <f t="shared" si="32"/>
        <v>1.5166696239718007</v>
      </c>
      <c r="V94" s="383">
        <f t="shared" si="33"/>
        <v>47.160054097335795</v>
      </c>
      <c r="W94" s="402">
        <f t="shared" si="34"/>
        <v>46.004958453336975</v>
      </c>
      <c r="X94" s="157">
        <f t="shared" si="35"/>
        <v>45737</v>
      </c>
      <c r="Y94" s="385">
        <f t="shared" si="36"/>
        <v>41.887829653611661</v>
      </c>
      <c r="Z94" s="385">
        <f t="shared" si="37"/>
        <v>44.239626823859865</v>
      </c>
      <c r="AA94" s="386">
        <f t="shared" si="38"/>
        <v>50.988258115411952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0.13235657661174771</v>
      </c>
      <c r="AD94" s="231">
        <f>(INDEX(Models!$BJ94:$BT94,,AH94)*(1-AF94)+INDEX(Models!$BJ94:$BT94,,AH94+1)*AF94-ERP_i)*AE94*Ramure*Pc/MaxiM</f>
        <v>1.7439133006937242E-3</v>
      </c>
      <c r="AE94" s="305">
        <f t="shared" si="40"/>
        <v>0.7</v>
      </c>
      <c r="AF94" s="177">
        <f t="shared" si="41"/>
        <v>0.51666962397180072</v>
      </c>
      <c r="AG94" s="921">
        <f t="shared" si="49"/>
        <v>1</v>
      </c>
      <c r="AH94" s="176">
        <f t="shared" si="42"/>
        <v>7</v>
      </c>
      <c r="AI94" s="225">
        <f t="shared" si="43"/>
        <v>1.5166696239718007</v>
      </c>
      <c r="AJ94" s="265" t="b">
        <f t="shared" si="44"/>
        <v>0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40.597723761148572</v>
      </c>
      <c r="C95" s="955"/>
      <c r="D95" s="393">
        <f t="shared" si="25"/>
        <v>42.878026921692374</v>
      </c>
      <c r="E95" s="385">
        <f t="shared" si="47"/>
        <v>45.001299149841486</v>
      </c>
      <c r="F95" s="385">
        <f t="shared" si="26"/>
        <v>45.06230586236822</v>
      </c>
      <c r="G95" s="110">
        <f t="shared" si="48"/>
        <v>0.85615991697895877</v>
      </c>
      <c r="H95" s="414" t="b">
        <f>Wh_hp&gt;='2024'!Maxi_hp</f>
        <v>0</v>
      </c>
      <c r="I95" s="390">
        <f>IF(H95,Wh_hp,'2024'!Maxi_hp)</f>
        <v>52.117627843898426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5.3181158841760445E-2</v>
      </c>
      <c r="M95" s="959"/>
      <c r="N95" s="959"/>
      <c r="O95" s="48">
        <f>IF(t&lt;Tnet,'2024'!Resal+('2024'!Salim-'2024'!Resal)*(1-EXP(('2024'!Tnet-t)/('2024'!Tau_j))),Resal+(Salim-Resal)*(1-EXP((Tnet-t)/(Tau_j))))*Salcycl</f>
        <v>4.718246513460022E-2</v>
      </c>
      <c r="P95" s="169">
        <f>(INDEX(Models!$BJ95:$BT95,,T95)*(1-R95)+INDEX(Models!$BJ95:$BT95,,T95+1)*R95-ERP_i)*Q95*Ramure*Pc/MaxiM</f>
        <v>1.7030553123530687E-3</v>
      </c>
      <c r="Q95" s="305">
        <f t="shared" si="28"/>
        <v>0.7</v>
      </c>
      <c r="R95" s="177">
        <f t="shared" si="29"/>
        <v>0.5173704215329753</v>
      </c>
      <c r="S95" s="921">
        <f t="shared" si="30"/>
        <v>1</v>
      </c>
      <c r="T95" s="176">
        <f t="shared" si="31"/>
        <v>7</v>
      </c>
      <c r="U95" s="251">
        <f t="shared" si="32"/>
        <v>1.5173704215329753</v>
      </c>
      <c r="V95" s="383">
        <f t="shared" si="33"/>
        <v>47.401806593802156</v>
      </c>
      <c r="W95" s="402">
        <f t="shared" si="34"/>
        <v>40.597723761148572</v>
      </c>
      <c r="X95" s="157">
        <f t="shared" si="35"/>
        <v>45738</v>
      </c>
      <c r="Y95" s="385">
        <f t="shared" si="36"/>
        <v>36.967201440274863</v>
      </c>
      <c r="Z95" s="385">
        <f t="shared" si="37"/>
        <v>39.043584509844607</v>
      </c>
      <c r="AA95" s="386">
        <f t="shared" si="38"/>
        <v>45.001299149841486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0.13238983657248177</v>
      </c>
      <c r="AD95" s="231">
        <f>(INDEX(Models!$BJ95:$BT95,,AH95)*(1-AF95)+INDEX(Models!$BJ95:$BT95,,AH95+1)*AF95-ERP_i)*AE95*Ramure*Pc/MaxiM</f>
        <v>1.7030553123530687E-3</v>
      </c>
      <c r="AE95" s="305">
        <f t="shared" si="40"/>
        <v>0.7</v>
      </c>
      <c r="AF95" s="177">
        <f t="shared" si="41"/>
        <v>0.5173704215329753</v>
      </c>
      <c r="AG95" s="921">
        <f t="shared" si="49"/>
        <v>1</v>
      </c>
      <c r="AH95" s="176">
        <f t="shared" si="42"/>
        <v>7</v>
      </c>
      <c r="AI95" s="225">
        <f t="shared" si="43"/>
        <v>1.5173704215329753</v>
      </c>
      <c r="AJ95" s="265" t="b">
        <f t="shared" si="44"/>
        <v>0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47.806397290844465</v>
      </c>
      <c r="C96" s="955"/>
      <c r="D96" s="393">
        <f t="shared" si="25"/>
        <v>50.492704959365483</v>
      </c>
      <c r="E96" s="385">
        <f t="shared" si="47"/>
        <v>52.998955601366092</v>
      </c>
      <c r="F96" s="385">
        <f t="shared" si="26"/>
        <v>53.087253194145482</v>
      </c>
      <c r="G96" s="110">
        <f t="shared" si="48"/>
        <v>1.0034534301766029</v>
      </c>
      <c r="H96" s="414" t="b">
        <f>Wh_hp&gt;='2024'!Maxi_hp</f>
        <v>1</v>
      </c>
      <c r="I96" s="390">
        <f>IF(H96,Wh_hp,'2024'!Maxi_hp)</f>
        <v>53.087253194145482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5.320189660432828E-2</v>
      </c>
      <c r="M96" s="959"/>
      <c r="N96" s="959"/>
      <c r="O96" s="48">
        <f>IF(t&lt;Tnet,'2024'!Resal+('2024'!Salim-'2024'!Resal)*(1-EXP(('2024'!Tnet-t)/('2024'!Tau_j))),Resal+(Salim-Resal)*(1-EXP((Tnet-t)/(Tau_j))))*Salcycl</f>
        <v>4.7288679815720977E-2</v>
      </c>
      <c r="P96" s="169">
        <f>(INDEX(Models!$BJ96:$BT96,,T96)*(1-R96)+INDEX(Models!$BJ96:$BT96,,T96+1)*R96-ERP_i)*Q96*Ramure*Pc/MaxiM</f>
        <v>1.6632541234800108E-3</v>
      </c>
      <c r="Q96" s="305">
        <f t="shared" si="28"/>
        <v>0.7</v>
      </c>
      <c r="R96" s="177">
        <f t="shared" si="29"/>
        <v>0.51809846123526992</v>
      </c>
      <c r="S96" s="921">
        <f t="shared" si="30"/>
        <v>1</v>
      </c>
      <c r="T96" s="176">
        <f t="shared" si="31"/>
        <v>7</v>
      </c>
      <c r="U96" s="251">
        <f t="shared" si="32"/>
        <v>1.5180984612352699</v>
      </c>
      <c r="V96" s="383">
        <f t="shared" si="33"/>
        <v>47.641869421315121</v>
      </c>
      <c r="W96" s="402">
        <f t="shared" si="34"/>
        <v>47.806397290844465</v>
      </c>
      <c r="X96" s="157">
        <f t="shared" si="35"/>
        <v>45739</v>
      </c>
      <c r="Y96" s="385">
        <f t="shared" si="36"/>
        <v>43.534373448176275</v>
      </c>
      <c r="Z96" s="385">
        <f t="shared" si="37"/>
        <v>45.98063018086026</v>
      </c>
      <c r="AA96" s="386">
        <f t="shared" si="38"/>
        <v>52.998955601366092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0.13242384384504607</v>
      </c>
      <c r="AD96" s="231">
        <f>(INDEX(Models!$BJ96:$BT96,,AH96)*(1-AF96)+INDEX(Models!$BJ96:$BT96,,AH96+1)*AF96-ERP_i)*AE96*Ramure*Pc/MaxiM</f>
        <v>1.6632541234800108E-3</v>
      </c>
      <c r="AE96" s="305">
        <f t="shared" si="40"/>
        <v>0.7</v>
      </c>
      <c r="AF96" s="177">
        <f t="shared" si="41"/>
        <v>0.51809846123526992</v>
      </c>
      <c r="AG96" s="921">
        <f t="shared" si="49"/>
        <v>1</v>
      </c>
      <c r="AH96" s="176">
        <f t="shared" si="42"/>
        <v>7</v>
      </c>
      <c r="AI96" s="225">
        <f t="shared" si="43"/>
        <v>1.5180984612352699</v>
      </c>
      <c r="AJ96" s="265" t="b">
        <f t="shared" si="44"/>
        <v>0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44.997957870464191</v>
      </c>
      <c r="C97" s="955"/>
      <c r="D97" s="393">
        <f t="shared" si="25"/>
        <v>47.527496412830779</v>
      </c>
      <c r="E97" s="385">
        <f t="shared" si="47"/>
        <v>49.892139697028163</v>
      </c>
      <c r="F97" s="385">
        <f t="shared" si="26"/>
        <v>49.966331765953498</v>
      </c>
      <c r="G97" s="110">
        <f t="shared" si="48"/>
        <v>0.93968410601711894</v>
      </c>
      <c r="H97" s="414" t="b">
        <f>Wh_hp&gt;='2024'!Maxi_hp</f>
        <v>0</v>
      </c>
      <c r="I97" s="390">
        <f>IF(H97,Wh_hp,'2024'!Maxi_hp)</f>
        <v>52.635831121779191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5.3222633912685891E-2</v>
      </c>
      <c r="M97" s="959"/>
      <c r="N97" s="959"/>
      <c r="O97" s="48">
        <f>IF(t&lt;Tnet,'2024'!Resal+('2024'!Salim-'2024'!Resal)*(1-EXP(('2024'!Tnet-t)/('2024'!Tau_j))),Resal+(Salim-Resal)*(1-EXP((Tnet-t)/(Tau_j))))*Salcycl</f>
        <v>4.7395106695298443E-2</v>
      </c>
      <c r="P97" s="169">
        <f>(INDEX(Models!$BJ97:$BT97,,T97)*(1-R97)+INDEX(Models!$BJ97:$BT97,,T97+1)*R97-ERP_i)*Q97*Ramure*Pc/MaxiM</f>
        <v>1.6245132286082794E-3</v>
      </c>
      <c r="Q97" s="305">
        <f t="shared" si="28"/>
        <v>0.7</v>
      </c>
      <c r="R97" s="177">
        <f t="shared" si="29"/>
        <v>0.51885471168782971</v>
      </c>
      <c r="S97" s="921">
        <f t="shared" si="30"/>
        <v>1</v>
      </c>
      <c r="T97" s="176">
        <f t="shared" si="31"/>
        <v>7</v>
      </c>
      <c r="U97" s="251">
        <f t="shared" si="32"/>
        <v>1.5188547116878297</v>
      </c>
      <c r="V97" s="383">
        <f t="shared" si="33"/>
        <v>47.879562164653471</v>
      </c>
      <c r="W97" s="402">
        <f t="shared" si="34"/>
        <v>44.997957870464191</v>
      </c>
      <c r="X97" s="157">
        <f t="shared" si="35"/>
        <v>45740</v>
      </c>
      <c r="Y97" s="385">
        <f t="shared" si="36"/>
        <v>40.979832672289717</v>
      </c>
      <c r="Z97" s="385">
        <f t="shared" si="37"/>
        <v>43.283494240725709</v>
      </c>
      <c r="AA97" s="386">
        <f t="shared" si="38"/>
        <v>49.892139697028163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0.13245864972786681</v>
      </c>
      <c r="AD97" s="231">
        <f>(INDEX(Models!$BJ97:$BT97,,AH97)*(1-AF97)+INDEX(Models!$BJ97:$BT97,,AH97+1)*AF97-ERP_i)*AE97*Ramure*Pc/MaxiM</f>
        <v>1.6245132286082794E-3</v>
      </c>
      <c r="AE97" s="305">
        <f t="shared" si="40"/>
        <v>0.7</v>
      </c>
      <c r="AF97" s="177">
        <f t="shared" si="41"/>
        <v>0.51885471168782971</v>
      </c>
      <c r="AG97" s="921">
        <f t="shared" si="49"/>
        <v>1</v>
      </c>
      <c r="AH97" s="176">
        <f t="shared" si="42"/>
        <v>7</v>
      </c>
      <c r="AI97" s="225">
        <f t="shared" si="43"/>
        <v>1.5188547116878297</v>
      </c>
      <c r="AJ97" s="265" t="b">
        <f t="shared" si="44"/>
        <v>0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40.965258920066553</v>
      </c>
      <c r="C98" s="955"/>
      <c r="D98" s="393">
        <f t="shared" si="25"/>
        <v>43.269048935255022</v>
      </c>
      <c r="E98" s="385">
        <f t="shared" si="47"/>
        <v>45.426907254585743</v>
      </c>
      <c r="F98" s="385">
        <f t="shared" si="26"/>
        <v>45.48376243219132</v>
      </c>
      <c r="G98" s="110">
        <f t="shared" si="48"/>
        <v>0.85113001032524616</v>
      </c>
      <c r="H98" s="414" t="b">
        <f>Wh_hp&gt;='2024'!Maxi_hp</f>
        <v>0</v>
      </c>
      <c r="I98" s="390">
        <f>IF(H98,Wh_hp,'2024'!Maxi_hp)</f>
        <v>47.578792902284313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5.3243370766843268E-2</v>
      </c>
      <c r="M98" s="959"/>
      <c r="N98" s="959"/>
      <c r="O98" s="48">
        <f>IF(t&lt;Tnet,'2024'!Resal+('2024'!Salim-'2024'!Resal)*(1-EXP(('2024'!Tnet-t)/('2024'!Tau_j))),Resal+(Salim-Resal)*(1-EXP((Tnet-t)/(Tau_j))))*Salcycl</f>
        <v>4.7501766018044123E-2</v>
      </c>
      <c r="P98" s="169">
        <f>(INDEX(Models!$BJ98:$BT98,,T98)*(1-R98)+INDEX(Models!$BJ98:$BT98,,T98+1)*R98-ERP_i)*Q98*Ramure*Pc/MaxiM</f>
        <v>1.5868336873757316E-3</v>
      </c>
      <c r="Q98" s="305">
        <f t="shared" si="28"/>
        <v>0.7</v>
      </c>
      <c r="R98" s="177">
        <f t="shared" si="29"/>
        <v>0.51964016852307693</v>
      </c>
      <c r="S98" s="921">
        <f t="shared" si="30"/>
        <v>1</v>
      </c>
      <c r="T98" s="176">
        <f t="shared" si="31"/>
        <v>7</v>
      </c>
      <c r="U98" s="251">
        <f t="shared" si="32"/>
        <v>1.5196401685230769</v>
      </c>
      <c r="V98" s="383">
        <f t="shared" si="33"/>
        <v>48.114204765645873</v>
      </c>
      <c r="W98" s="402">
        <f t="shared" si="34"/>
        <v>40.965258920066553</v>
      </c>
      <c r="X98" s="157">
        <f t="shared" si="35"/>
        <v>45741</v>
      </c>
      <c r="Y98" s="385">
        <f t="shared" si="36"/>
        <v>37.309880601633395</v>
      </c>
      <c r="Z98" s="385">
        <f t="shared" si="37"/>
        <v>39.40810071945652</v>
      </c>
      <c r="AA98" s="386">
        <f t="shared" si="38"/>
        <v>45.426907254585743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0.1324943056633387</v>
      </c>
      <c r="AD98" s="231">
        <f>(INDEX(Models!$BJ98:$BT98,,AH98)*(1-AF98)+INDEX(Models!$BJ98:$BT98,,AH98+1)*AF98-ERP_i)*AE98*Ramure*Pc/MaxiM</f>
        <v>1.5868336873757316E-3</v>
      </c>
      <c r="AE98" s="305">
        <f t="shared" si="40"/>
        <v>0.7</v>
      </c>
      <c r="AF98" s="177">
        <f t="shared" si="41"/>
        <v>0.51964016852307693</v>
      </c>
      <c r="AG98" s="921">
        <f t="shared" si="49"/>
        <v>1</v>
      </c>
      <c r="AH98" s="176">
        <f t="shared" si="42"/>
        <v>7</v>
      </c>
      <c r="AI98" s="225">
        <f t="shared" si="43"/>
        <v>1.5196401685230769</v>
      </c>
      <c r="AJ98" s="265" t="b">
        <f t="shared" si="44"/>
        <v>0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44.497183570295405</v>
      </c>
      <c r="C99" s="955"/>
      <c r="D99" s="393">
        <f t="shared" si="25"/>
        <v>47.000630172722936</v>
      </c>
      <c r="E99" s="385">
        <f t="shared" si="47"/>
        <v>49.350124360981461</v>
      </c>
      <c r="F99" s="385">
        <f t="shared" si="26"/>
        <v>49.418022166888406</v>
      </c>
      <c r="G99" s="110">
        <f t="shared" si="48"/>
        <v>0.92024451916474048</v>
      </c>
      <c r="H99" s="414" t="b">
        <f>Wh_hp&gt;='2024'!Maxi_hp</f>
        <v>0</v>
      </c>
      <c r="I99" s="390">
        <f>IF(H99,Wh_hp,'2024'!Maxi_hp)</f>
        <v>56.081839676566283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5.3264107166810293E-2</v>
      </c>
      <c r="M99" s="959"/>
      <c r="N99" s="959"/>
      <c r="O99" s="48">
        <f>IF(t&lt;Tnet,'2024'!Resal+('2024'!Salim-'2024'!Resal)*(1-EXP(('2024'!Tnet-t)/('2024'!Tau_j))),Resal+(Salim-Resal)*(1-EXP((Tnet-t)/(Tau_j))))*Salcycl</f>
        <v>4.7608678168117202E-2</v>
      </c>
      <c r="P99" s="169">
        <f>(INDEX(Models!$BJ99:$BT99,,T99)*(1-R99)+INDEX(Models!$BJ99:$BT99,,T99+1)*R99-ERP_i)*Q99*Ramure*Pc/MaxiM</f>
        <v>1.5502143262705985E-3</v>
      </c>
      <c r="Q99" s="305">
        <f t="shared" si="28"/>
        <v>0.7</v>
      </c>
      <c r="R99" s="177">
        <f t="shared" si="29"/>
        <v>0.52045585452448062</v>
      </c>
      <c r="S99" s="921">
        <f t="shared" si="30"/>
        <v>1</v>
      </c>
      <c r="T99" s="176">
        <f t="shared" si="31"/>
        <v>7</v>
      </c>
      <c r="U99" s="251">
        <f t="shared" si="32"/>
        <v>1.5204558545244806</v>
      </c>
      <c r="V99" s="383">
        <f t="shared" si="33"/>
        <v>48.34511753060827</v>
      </c>
      <c r="W99" s="402">
        <f t="shared" si="34"/>
        <v>44.497183570295405</v>
      </c>
      <c r="X99" s="157">
        <f t="shared" si="35"/>
        <v>45742</v>
      </c>
      <c r="Y99" s="385">
        <f t="shared" si="36"/>
        <v>40.52948881603691</v>
      </c>
      <c r="Z99" s="385">
        <f t="shared" si="37"/>
        <v>42.809709785850501</v>
      </c>
      <c r="AA99" s="386">
        <f t="shared" si="38"/>
        <v>49.350124360981461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0.13253086308941747</v>
      </c>
      <c r="AD99" s="231">
        <f>(INDEX(Models!$BJ99:$BT99,,AH99)*(1-AF99)+INDEX(Models!$BJ99:$BT99,,AH99+1)*AF99-ERP_i)*AE99*Ramure*Pc/MaxiM</f>
        <v>1.5502143262705985E-3</v>
      </c>
      <c r="AE99" s="305">
        <f t="shared" si="40"/>
        <v>0.7</v>
      </c>
      <c r="AF99" s="177">
        <f t="shared" si="41"/>
        <v>0.52045585452448062</v>
      </c>
      <c r="AG99" s="921">
        <f t="shared" si="49"/>
        <v>1</v>
      </c>
      <c r="AH99" s="176">
        <f t="shared" si="42"/>
        <v>7</v>
      </c>
      <c r="AI99" s="225">
        <f t="shared" si="43"/>
        <v>1.5204558545244806</v>
      </c>
      <c r="AJ99" s="265" t="b">
        <f t="shared" si="44"/>
        <v>0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45.22955131470755</v>
      </c>
      <c r="C100" s="955"/>
      <c r="D100" s="393">
        <f t="shared" si="25"/>
        <v>47.775247903934108</v>
      </c>
      <c r="E100" s="385">
        <f t="shared" si="47"/>
        <v>50.169110330235192</v>
      </c>
      <c r="F100" s="385">
        <f t="shared" si="26"/>
        <v>50.237742530117551</v>
      </c>
      <c r="G100" s="110">
        <f t="shared" si="48"/>
        <v>0.93105447819875065</v>
      </c>
      <c r="H100" s="414" t="b">
        <f>Wh_hp&gt;='2024'!Maxi_hp</f>
        <v>0</v>
      </c>
      <c r="I100" s="390">
        <f>IF(H100,Wh_hp,'2024'!Maxi_hp)</f>
        <v>55.275486537639232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5.3284843112596958E-2</v>
      </c>
      <c r="M100" s="959"/>
      <c r="N100" s="959"/>
      <c r="O100" s="48">
        <f>IF(t&lt;Tnet,'2024'!Resal+('2024'!Salim-'2024'!Resal)*(1-EXP(('2024'!Tnet-t)/('2024'!Tau_j))),Resal+(Salim-Resal)*(1-EXP((Tnet-t)/(Tau_j))))*Salcycl</f>
        <v>4.7715863616947393E-2</v>
      </c>
      <c r="P100" s="169">
        <f>(INDEX(Models!$BJ100:$BT100,,T100)*(1-R100)+INDEX(Models!$BJ100:$BT100,,T100+1)*R100-ERP_i)*Q100*Ramure*Pc/MaxiM</f>
        <v>1.5150725592193578E-3</v>
      </c>
      <c r="Q100" s="305">
        <f t="shared" si="28"/>
        <v>0.7</v>
      </c>
      <c r="R100" s="177">
        <f t="shared" si="29"/>
        <v>0.52130281969244519</v>
      </c>
      <c r="S100" s="921">
        <f t="shared" si="30"/>
        <v>1</v>
      </c>
      <c r="T100" s="176">
        <f t="shared" si="31"/>
        <v>7</v>
      </c>
      <c r="U100" s="251">
        <f t="shared" si="32"/>
        <v>1.5213028196924452</v>
      </c>
      <c r="V100" s="383">
        <f t="shared" si="33"/>
        <v>48.571600669490351</v>
      </c>
      <c r="W100" s="402">
        <f t="shared" si="34"/>
        <v>45.22955131470755</v>
      </c>
      <c r="X100" s="157">
        <f t="shared" si="35"/>
        <v>45743</v>
      </c>
      <c r="Y100" s="385">
        <f t="shared" si="36"/>
        <v>41.199408635563408</v>
      </c>
      <c r="Z100" s="385">
        <f t="shared" si="37"/>
        <v>43.518272984049659</v>
      </c>
      <c r="AA100" s="386">
        <f t="shared" si="38"/>
        <v>50.169110330235192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0.13256837329597412</v>
      </c>
      <c r="AD100" s="231">
        <f>(INDEX(Models!$BJ100:$BT100,,AH100)*(1-AF100)+INDEX(Models!$BJ100:$BT100,,AH100+1)*AF100-ERP_i)*AE100*Ramure*Pc/MaxiM</f>
        <v>1.5150725592193578E-3</v>
      </c>
      <c r="AE100" s="305">
        <f t="shared" si="40"/>
        <v>0.7</v>
      </c>
      <c r="AF100" s="177">
        <f t="shared" si="41"/>
        <v>0.52130281969244519</v>
      </c>
      <c r="AG100" s="921">
        <f t="shared" si="49"/>
        <v>1</v>
      </c>
      <c r="AH100" s="176">
        <f t="shared" si="42"/>
        <v>7</v>
      </c>
      <c r="AI100" s="225">
        <f t="shared" si="43"/>
        <v>1.5213028196924452</v>
      </c>
      <c r="AJ100" s="265" t="b">
        <f t="shared" si="44"/>
        <v>0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34.699852829222159</v>
      </c>
      <c r="C101" s="955"/>
      <c r="D101" s="393">
        <f t="shared" si="25"/>
        <v>36.65369948843832</v>
      </c>
      <c r="E101" s="385">
        <f t="shared" si="47"/>
        <v>38.494641949118346</v>
      </c>
      <c r="F101" s="385">
        <f t="shared" si="26"/>
        <v>38.528157877856401</v>
      </c>
      <c r="G101" s="110">
        <f t="shared" si="48"/>
        <v>0.7107296812839965</v>
      </c>
      <c r="H101" s="414" t="b">
        <f>Wh_hp&gt;='2024'!Maxi_hp</f>
        <v>0</v>
      </c>
      <c r="I101" s="390">
        <f>IF(H101,Wh_hp,'2024'!Maxi_hp)</f>
        <v>54.062253279945516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5.3305578604213255E-2</v>
      </c>
      <c r="M101" s="959"/>
      <c r="N101" s="959"/>
      <c r="O101" s="48">
        <f>IF(t&lt;Tnet,'2024'!Resal+('2024'!Salim-'2024'!Resal)*(1-EXP(('2024'!Tnet-t)/('2024'!Tau_j))),Resal+(Salim-Resal)*(1-EXP((Tnet-t)/(Tau_j))))*Salcycl</f>
        <v>4.7823342872323857E-2</v>
      </c>
      <c r="P101" s="169">
        <f>(INDEX(Models!$BJ101:$BT101,,T101)*(1-R101)+INDEX(Models!$BJ101:$BT101,,T101+1)*R101-ERP_i)*Q101*Ramure*Pc/MaxiM</f>
        <v>1.4810007789364107E-3</v>
      </c>
      <c r="Q101" s="305">
        <f t="shared" si="28"/>
        <v>0.7</v>
      </c>
      <c r="R101" s="177">
        <f t="shared" si="29"/>
        <v>0.52218214124210949</v>
      </c>
      <c r="S101" s="921">
        <f t="shared" si="30"/>
        <v>1</v>
      </c>
      <c r="T101" s="176">
        <f t="shared" si="31"/>
        <v>7</v>
      </c>
      <c r="U101" s="251">
        <f t="shared" si="32"/>
        <v>1.5221821412421095</v>
      </c>
      <c r="V101" s="383">
        <f t="shared" si="33"/>
        <v>48.792994620856675</v>
      </c>
      <c r="W101" s="402">
        <f t="shared" si="34"/>
        <v>34.699852829222159</v>
      </c>
      <c r="X101" s="157">
        <f t="shared" si="35"/>
        <v>45744</v>
      </c>
      <c r="Y101" s="385">
        <f t="shared" si="36"/>
        <v>31.610114710267375</v>
      </c>
      <c r="Z101" s="385">
        <f t="shared" si="37"/>
        <v>33.389987303043441</v>
      </c>
      <c r="AA101" s="386">
        <f t="shared" si="38"/>
        <v>38.494641949118346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0.1326068872863439</v>
      </c>
      <c r="AD101" s="231">
        <f>(INDEX(Models!$BJ101:$BT101,,AH101)*(1-AF101)+INDEX(Models!$BJ101:$BT101,,AH101+1)*AF101-ERP_i)*AE101*Ramure*Pc/MaxiM</f>
        <v>1.4810007789364107E-3</v>
      </c>
      <c r="AE101" s="305">
        <f t="shared" si="40"/>
        <v>0.7</v>
      </c>
      <c r="AF101" s="177">
        <f t="shared" si="41"/>
        <v>0.52218214124210949</v>
      </c>
      <c r="AG101" s="921">
        <f t="shared" si="49"/>
        <v>1</v>
      </c>
      <c r="AH101" s="176">
        <f t="shared" si="42"/>
        <v>7</v>
      </c>
      <c r="AI101" s="225">
        <f t="shared" si="43"/>
        <v>1.5221821412421095</v>
      </c>
      <c r="AJ101" s="265" t="b">
        <f t="shared" si="44"/>
        <v>0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27.346942146982386</v>
      </c>
      <c r="C102" s="955"/>
      <c r="D102" s="393">
        <f t="shared" si="25"/>
        <v>28.887400739087546</v>
      </c>
      <c r="E102" s="385">
        <f t="shared" si="47"/>
        <v>30.341713550776081</v>
      </c>
      <c r="F102" s="385">
        <f t="shared" si="26"/>
        <v>30.357915399998745</v>
      </c>
      <c r="G102" s="110">
        <f t="shared" si="48"/>
        <v>0.55749223496949063</v>
      </c>
      <c r="H102" s="414" t="b">
        <f>Wh_hp&gt;='2024'!Maxi_hp</f>
        <v>0</v>
      </c>
      <c r="I102" s="390">
        <f>IF(H102,Wh_hp,'2024'!Maxi_hp)</f>
        <v>54.934926813744624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5.3326313641668954E-2</v>
      </c>
      <c r="M102" s="959"/>
      <c r="N102" s="959"/>
      <c r="O102" s="48">
        <f>IF(t&lt;Tnet,'2024'!Resal+('2024'!Salim-'2024'!Resal)*(1-EXP(('2024'!Tnet-t)/('2024'!Tau_j))),Resal+(Salim-Resal)*(1-EXP((Tnet-t)/(Tau_j))))*Salcycl</f>
        <v>4.7931136428889611E-2</v>
      </c>
      <c r="P102" s="169">
        <f>(INDEX(Models!$BJ102:$BT102,,T102)*(1-R102)+INDEX(Models!$BJ102:$BT102,,T102+1)*R102-ERP_i)*Q102*Ramure*Pc/MaxiM</f>
        <v>1.4479929535800183E-3</v>
      </c>
      <c r="Q102" s="305">
        <f t="shared" si="28"/>
        <v>0.7</v>
      </c>
      <c r="R102" s="177">
        <f t="shared" si="29"/>
        <v>0.52309492352649589</v>
      </c>
      <c r="S102" s="921">
        <f t="shared" si="30"/>
        <v>1</v>
      </c>
      <c r="T102" s="176">
        <f t="shared" si="31"/>
        <v>7</v>
      </c>
      <c r="U102" s="251">
        <f t="shared" si="32"/>
        <v>1.5230949235264959</v>
      </c>
      <c r="V102" s="383">
        <f t="shared" si="33"/>
        <v>49.008620770112458</v>
      </c>
      <c r="W102" s="402">
        <f t="shared" si="34"/>
        <v>27.346942146982386</v>
      </c>
      <c r="X102" s="157">
        <f t="shared" si="35"/>
        <v>45745</v>
      </c>
      <c r="Y102" s="385">
        <f t="shared" si="36"/>
        <v>24.913604578458926</v>
      </c>
      <c r="Z102" s="385">
        <f t="shared" si="37"/>
        <v>26.31699279008874</v>
      </c>
      <c r="AA102" s="386">
        <f t="shared" si="38"/>
        <v>30.341713550776081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0.13264645564437477</v>
      </c>
      <c r="AD102" s="231">
        <f>(INDEX(Models!$BJ102:$BT102,,AH102)*(1-AF102)+INDEX(Models!$BJ102:$BT102,,AH102+1)*AF102-ERP_i)*AE102*Ramure*Pc/MaxiM</f>
        <v>1.4479929535800183E-3</v>
      </c>
      <c r="AE102" s="305">
        <f t="shared" si="40"/>
        <v>0.7</v>
      </c>
      <c r="AF102" s="177">
        <f t="shared" si="41"/>
        <v>0.52309492352649589</v>
      </c>
      <c r="AG102" s="921">
        <f t="shared" si="49"/>
        <v>1</v>
      </c>
      <c r="AH102" s="176">
        <f t="shared" si="42"/>
        <v>7</v>
      </c>
      <c r="AI102" s="225">
        <f t="shared" si="43"/>
        <v>1.5230949235264959</v>
      </c>
      <c r="AJ102" s="265" t="b">
        <f t="shared" si="44"/>
        <v>0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7.1386105682938261</v>
      </c>
      <c r="C103" s="955"/>
      <c r="D103" s="393">
        <f t="shared" si="25"/>
        <v>7.5408950607596399</v>
      </c>
      <c r="E103" s="385">
        <f t="shared" si="47"/>
        <v>7.921434972360192</v>
      </c>
      <c r="F103" s="385">
        <f t="shared" si="26"/>
        <v>7.921434972360192</v>
      </c>
      <c r="G103" s="110">
        <f t="shared" si="48"/>
        <v>0.14483584943229216</v>
      </c>
      <c r="H103" s="414" t="b">
        <f>Wh_hp&gt;='2024'!Maxi_hp</f>
        <v>0</v>
      </c>
      <c r="I103" s="390">
        <f>IF(H103,Wh_hp,'2024'!Maxi_hp)</f>
        <v>56.1503147173473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5.3347048224974158E-2</v>
      </c>
      <c r="M103" s="959"/>
      <c r="N103" s="959"/>
      <c r="O103" s="48">
        <f>IF(t&lt;Tnet,'2024'!Resal+('2024'!Salim-'2024'!Resal)*(1-EXP(('2024'!Tnet-t)/('2024'!Tau_j))),Resal+(Salim-Resal)*(1-EXP((Tnet-t)/(Tau_j))))*Salcycl</f>
        <v>4.8039264720135741E-2</v>
      </c>
      <c r="P103" s="169">
        <f>(INDEX(Models!$BJ103:$BT103,,T103)*(1-R103)+INDEX(Models!$BJ103:$BT103,,T103+1)*R103-ERP_i)*Q103*Ramure*Pc/MaxiM</f>
        <v>1.416041659936974E-3</v>
      </c>
      <c r="Q103" s="305">
        <f t="shared" si="28"/>
        <v>0.7</v>
      </c>
      <c r="R103" s="177">
        <f t="shared" si="29"/>
        <v>0.52404229787811407</v>
      </c>
      <c r="S103" s="921">
        <f t="shared" si="30"/>
        <v>1</v>
      </c>
      <c r="T103" s="176">
        <f t="shared" si="31"/>
        <v>7</v>
      </c>
      <c r="U103" s="251">
        <f t="shared" si="32"/>
        <v>1.5240422978781141</v>
      </c>
      <c r="V103" s="383">
        <f t="shared" si="33"/>
        <v>49.217800884769801</v>
      </c>
      <c r="W103" s="402">
        <f t="shared" si="34"/>
        <v>7.1386105682938261</v>
      </c>
      <c r="X103" s="157">
        <f t="shared" si="35"/>
        <v>45746</v>
      </c>
      <c r="Y103" s="385">
        <f t="shared" si="36"/>
        <v>6.5038489527089043</v>
      </c>
      <c r="Z103" s="385">
        <f t="shared" si="37"/>
        <v>6.8703625130137009</v>
      </c>
      <c r="AA103" s="386">
        <f t="shared" si="38"/>
        <v>7.921434972360192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0.13268712840715585</v>
      </c>
      <c r="AD103" s="231">
        <f>(INDEX(Models!$BJ103:$BT103,,AH103)*(1-AF103)+INDEX(Models!$BJ103:$BT103,,AH103+1)*AF103-ERP_i)*AE103*Ramure*Pc/MaxiM</f>
        <v>1.416041659936974E-3</v>
      </c>
      <c r="AE103" s="305">
        <f t="shared" si="40"/>
        <v>0.7</v>
      </c>
      <c r="AF103" s="177">
        <f t="shared" si="41"/>
        <v>0.52404229787811407</v>
      </c>
      <c r="AG103" s="921">
        <f t="shared" si="49"/>
        <v>1</v>
      </c>
      <c r="AH103" s="176">
        <f t="shared" si="42"/>
        <v>7</v>
      </c>
      <c r="AI103" s="225">
        <f t="shared" si="43"/>
        <v>1.5240422978781141</v>
      </c>
      <c r="AJ103" s="265" t="b">
        <f t="shared" si="44"/>
        <v>0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21.279010152157827</v>
      </c>
      <c r="C104" s="955"/>
      <c r="D104" s="393">
        <f t="shared" si="25"/>
        <v>22.478645619177932</v>
      </c>
      <c r="E104" s="385">
        <f t="shared" si="47"/>
        <v>23.615687806217423</v>
      </c>
      <c r="F104" s="385">
        <f t="shared" si="26"/>
        <v>23.615687806217423</v>
      </c>
      <c r="G104" s="110">
        <f t="shared" si="48"/>
        <v>0.42997970899331023</v>
      </c>
      <c r="H104" s="414" t="b">
        <f>Wh_hp&gt;='2024'!Maxi_hp</f>
        <v>0</v>
      </c>
      <c r="I104" s="390">
        <f>IF(H104,Wh_hp,'2024'!Maxi_hp)</f>
        <v>49.506417533337903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5.336778235413886E-2</v>
      </c>
      <c r="M104" s="959"/>
      <c r="N104" s="959"/>
      <c r="O104" s="48">
        <f>IF(t&lt;Tnet,'2024'!Resal+('2024'!Salim-'2024'!Resal)*(1-EXP(('2024'!Tnet-t)/('2024'!Tau_j))),Resal+(Salim-Resal)*(1-EXP((Tnet-t)/(Tau_j))))*Salcycl</f>
        <v>4.8147748071946377E-2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3.7855987799595425E-5</v>
      </c>
      <c r="S104" s="921">
        <f t="shared" si="30"/>
        <v>-2</v>
      </c>
      <c r="T104" s="176">
        <f t="shared" si="31"/>
        <v>4</v>
      </c>
      <c r="U104" s="251">
        <f t="shared" si="32"/>
        <v>-1.9999621440122004</v>
      </c>
      <c r="V104" s="383">
        <f t="shared" si="33"/>
        <v>49.488405399355472</v>
      </c>
      <c r="W104" s="402">
        <f t="shared" si="34"/>
        <v>21.279010152157827</v>
      </c>
      <c r="X104" s="157">
        <f t="shared" si="35"/>
        <v>45747</v>
      </c>
      <c r="Y104" s="385">
        <f t="shared" si="36"/>
        <v>19.383179267140001</v>
      </c>
      <c r="Z104" s="385">
        <f t="shared" si="37"/>
        <v>20.475934482077097</v>
      </c>
      <c r="AA104" s="386">
        <f t="shared" si="38"/>
        <v>23.609613855772974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0.13272895494348103</v>
      </c>
      <c r="AD104" s="231">
        <f>(INDEX(Models!$BJ104:$BT104,,AH104)*(1-AF104)+INDEX(Models!$BJ104:$BT104,,AH104+1)*AF104-ERP_i)*AE104*Ramure*Pc/MaxiM</f>
        <v>1.3851382589992749E-3</v>
      </c>
      <c r="AE104" s="305">
        <f t="shared" si="40"/>
        <v>0.7</v>
      </c>
      <c r="AF104" s="177">
        <f t="shared" si="41"/>
        <v>0.52502542236177852</v>
      </c>
      <c r="AG104" s="921">
        <f t="shared" si="49"/>
        <v>1</v>
      </c>
      <c r="AH104" s="176">
        <f t="shared" si="42"/>
        <v>7</v>
      </c>
      <c r="AI104" s="225">
        <f t="shared" si="43"/>
        <v>1.5250254223617785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31.696101922848801</v>
      </c>
      <c r="C105" s="955"/>
      <c r="D105" s="393">
        <f t="shared" si="25"/>
        <v>33.483749626500007</v>
      </c>
      <c r="E105" s="385">
        <f t="shared" si="47"/>
        <v>35.181488897877159</v>
      </c>
      <c r="F105" s="385">
        <f t="shared" si="26"/>
        <v>35.181490336213805</v>
      </c>
      <c r="G105" s="110">
        <f t="shared" si="48"/>
        <v>0.63798675540216221</v>
      </c>
      <c r="H105" s="414" t="b">
        <f>Wh_hp&gt;='2024'!Maxi_hp</f>
        <v>0</v>
      </c>
      <c r="I105" s="390">
        <f>IF(H105,Wh_hp,'2024'!Maxi_hp)</f>
        <v>49.445909039564896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5.3388516029172828E-2</v>
      </c>
      <c r="M105" s="959"/>
      <c r="N105" s="959"/>
      <c r="O105" s="48">
        <f>IF(t&lt;Tnet,'2024'!Resal+('2024'!Salim-'2024'!Resal)*(1-EXP(('2024'!Tnet-t)/('2024'!Tau_j))),Resal+(Salim-Resal)*(1-EXP((Tnet-t)/(Tau_j))))*Salcycl</f>
        <v>4.8256606657701533E-2</v>
      </c>
      <c r="P105" s="169">
        <f>(INDEX(Models!$BJ105:$BT105,,T105)*(1-R105)+INDEX(Models!$BJ105:$BT105,,T105+1)*R105-ERP_i)*Q105*Ramure*Pc/MaxiM</f>
        <v>8.4672939368854748E-8</v>
      </c>
      <c r="Q105" s="305">
        <f t="shared" si="28"/>
        <v>0.7</v>
      </c>
      <c r="R105" s="177">
        <f t="shared" si="29"/>
        <v>1.0579150570848572E-3</v>
      </c>
      <c r="S105" s="921">
        <f t="shared" si="30"/>
        <v>-2</v>
      </c>
      <c r="T105" s="176">
        <f t="shared" si="31"/>
        <v>4</v>
      </c>
      <c r="U105" s="251">
        <f t="shared" si="32"/>
        <v>-1.9989420849429151</v>
      </c>
      <c r="V105" s="383">
        <f t="shared" si="33"/>
        <v>49.681439726611536</v>
      </c>
      <c r="W105" s="402">
        <f t="shared" si="34"/>
        <v>31.696101922848801</v>
      </c>
      <c r="X105" s="157">
        <f t="shared" si="35"/>
        <v>45748</v>
      </c>
      <c r="Y105" s="385">
        <f t="shared" si="36"/>
        <v>28.862571084861028</v>
      </c>
      <c r="Z105" s="385">
        <f t="shared" si="37"/>
        <v>30.49040876177509</v>
      </c>
      <c r="AA105" s="386">
        <f t="shared" si="38"/>
        <v>35.158468353816247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0.1327719838379838</v>
      </c>
      <c r="AD105" s="231">
        <f>(INDEX(Models!$BJ105:$BT105,,AH105)*(1-AF105)+INDEX(Models!$BJ105:$BT105,,AH105+1)*AF105-ERP_i)*AE105*Ramure*Pc/MaxiM</f>
        <v>1.3552730638870453E-3</v>
      </c>
      <c r="AE105" s="305">
        <f t="shared" si="40"/>
        <v>0.7</v>
      </c>
      <c r="AF105" s="177">
        <f t="shared" si="41"/>
        <v>0.52604548143106378</v>
      </c>
      <c r="AG105" s="921">
        <f t="shared" si="49"/>
        <v>1</v>
      </c>
      <c r="AH105" s="176">
        <f t="shared" si="42"/>
        <v>7</v>
      </c>
      <c r="AI105" s="225">
        <f t="shared" si="43"/>
        <v>1.5260454814310638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19.441877605290081</v>
      </c>
      <c r="C106" s="955"/>
      <c r="D106" s="393">
        <f t="shared" si="25"/>
        <v>20.538841722135693</v>
      </c>
      <c r="E106" s="385">
        <f t="shared" si="47"/>
        <v>21.582707963749328</v>
      </c>
      <c r="F106" s="385">
        <f t="shared" si="26"/>
        <v>21.582708426606693</v>
      </c>
      <c r="G106" s="110">
        <f t="shared" si="48"/>
        <v>0.38988219061752089</v>
      </c>
      <c r="H106" s="414" t="b">
        <f>Wh_hp&gt;='2024'!Maxi_hp</f>
        <v>0</v>
      </c>
      <c r="I106" s="390">
        <f>IF(H106,Wh_hp,'2024'!Maxi_hp)</f>
        <v>44.480418756560418</v>
      </c>
      <c r="J106" s="85">
        <f>IF(H106,An,'2024'!An_max)</f>
        <v>2020</v>
      </c>
      <c r="K106" s="197">
        <f t="shared" si="27"/>
        <v>45749</v>
      </c>
      <c r="L106" s="147">
        <f>IF(t&lt;Tvie,1-EXP((T0-t)*PertePVj)+'2024'!Pspv,1-EXP((T0-t)*PertePVj)+Pspv)</f>
        <v>5.3409249250086055E-2</v>
      </c>
      <c r="M106" s="959"/>
      <c r="N106" s="959"/>
      <c r="O106" s="48">
        <f>IF(t&lt;Tnet,'2024'!Resal+('2024'!Salim-'2024'!Resal)*(1-EXP(('2024'!Tnet-t)/('2024'!Tau_j))),Resal+(Salim-Resal)*(1-EXP((Tnet-t)/(Tau_j))))*Salcycl</f>
        <v>4.8365860454903521E-2</v>
      </c>
      <c r="P106" s="169">
        <f>(INDEX(Models!$BJ106:$BT106,,T106)*(1-R106)+INDEX(Models!$BJ106:$BT106,,T106+1)*R106-ERP_i)*Q106*Ramure*Pc/MaxiM</f>
        <v>1.6701879748435409E-7</v>
      </c>
      <c r="Q106" s="305">
        <f t="shared" si="28"/>
        <v>0.7</v>
      </c>
      <c r="R106" s="177">
        <f t="shared" si="29"/>
        <v>2.1161191065242058E-3</v>
      </c>
      <c r="S106" s="921">
        <f t="shared" si="30"/>
        <v>-2</v>
      </c>
      <c r="T106" s="176">
        <f t="shared" si="31"/>
        <v>4</v>
      </c>
      <c r="U106" s="251">
        <f t="shared" si="32"/>
        <v>-1.9978838808934758</v>
      </c>
      <c r="V106" s="383">
        <f t="shared" si="33"/>
        <v>49.866024257951693</v>
      </c>
      <c r="W106" s="402">
        <f t="shared" si="34"/>
        <v>19.441877605290081</v>
      </c>
      <c r="X106" s="157">
        <f t="shared" si="35"/>
        <v>45749</v>
      </c>
      <c r="Y106" s="385">
        <f t="shared" si="36"/>
        <v>17.713539504962888</v>
      </c>
      <c r="Z106" s="385">
        <f t="shared" si="37"/>
        <v>18.712986040619729</v>
      </c>
      <c r="AA106" s="386">
        <f t="shared" si="38"/>
        <v>21.579032490422343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0.13281626278076566</v>
      </c>
      <c r="AD106" s="231">
        <f>(INDEX(Models!$BJ106:$BT106,,AH106)*(1-AF106)+INDEX(Models!$BJ106:$BT106,,AH106+1)*AF106-ERP_i)*AE106*Ramure*Pc/MaxiM</f>
        <v>1.3264355008544969E-3</v>
      </c>
      <c r="AE106" s="305">
        <f t="shared" si="40"/>
        <v>0.7</v>
      </c>
      <c r="AF106" s="177">
        <f t="shared" si="41"/>
        <v>0.52710368548050313</v>
      </c>
      <c r="AG106" s="921">
        <f t="shared" si="49"/>
        <v>1</v>
      </c>
      <c r="AH106" s="176">
        <f t="shared" si="42"/>
        <v>7</v>
      </c>
      <c r="AI106" s="225">
        <f t="shared" si="43"/>
        <v>1.5271036854805031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24.828338511789692</v>
      </c>
      <c r="C107" s="955"/>
      <c r="D107" s="393">
        <f t="shared" si="25"/>
        <v>26.22979604265543</v>
      </c>
      <c r="E107" s="385">
        <f t="shared" si="47"/>
        <v>27.56607617320887</v>
      </c>
      <c r="F107" s="385">
        <f t="shared" si="26"/>
        <v>27.566078084445397</v>
      </c>
      <c r="G107" s="110">
        <f t="shared" si="48"/>
        <v>0.49614863878632931</v>
      </c>
      <c r="H107" s="414" t="b">
        <f>Wh_hp&gt;='2024'!Maxi_hp</f>
        <v>0</v>
      </c>
      <c r="I107" s="390">
        <f>IF(H107,Wh_hp,'2024'!Maxi_hp)</f>
        <v>52.947397962650761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5.3429982016888644E-2</v>
      </c>
      <c r="M107" s="959"/>
      <c r="N107" s="959"/>
      <c r="O107" s="48">
        <f>IF(t&lt;Tnet,'2024'!Resal+('2024'!Salim-'2024'!Resal)*(1-EXP(('2024'!Tnet-t)/('2024'!Tau_j))),Resal+(Salim-Resal)*(1-EXP((Tnet-t)/(Tau_j))))*Salcycl</f>
        <v>4.8475529203251509E-2</v>
      </c>
      <c r="P107" s="169">
        <f>(INDEX(Models!$BJ107:$BT107,,T107)*(1-R107)+INDEX(Models!$BJ107:$BT107,,T107+1)*R107-ERP_i)*Q107*Ramure*Pc/MaxiM</f>
        <v>2.4742979810446907E-7</v>
      </c>
      <c r="Q107" s="305">
        <f t="shared" si="28"/>
        <v>0.7</v>
      </c>
      <c r="R107" s="177">
        <f t="shared" si="29"/>
        <v>3.2137039113377952E-3</v>
      </c>
      <c r="S107" s="921">
        <f t="shared" si="30"/>
        <v>-2</v>
      </c>
      <c r="T107" s="176">
        <f t="shared" si="31"/>
        <v>4</v>
      </c>
      <c r="U107" s="251">
        <f t="shared" si="32"/>
        <v>-1.9967862960886622</v>
      </c>
      <c r="V107" s="383">
        <f t="shared" si="33"/>
        <v>50.042128807758765</v>
      </c>
      <c r="W107" s="402">
        <f t="shared" si="34"/>
        <v>24.828338511789692</v>
      </c>
      <c r="X107" s="157">
        <f t="shared" si="35"/>
        <v>45750</v>
      </c>
      <c r="Y107" s="385">
        <f t="shared" si="36"/>
        <v>22.618196067542076</v>
      </c>
      <c r="Z107" s="385">
        <f t="shared" si="37"/>
        <v>23.894900153012905</v>
      </c>
      <c r="AA107" s="386">
        <f t="shared" si="38"/>
        <v>27.556047251614572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0.13286183846223279</v>
      </c>
      <c r="AD107" s="231">
        <f>(INDEX(Models!$BJ107:$BT107,,AH107)*(1-AF107)+INDEX(Models!$BJ107:$BT107,,AH107+1)*AF107-ERP_i)*AE107*Ramure*Pc/MaxiM</f>
        <v>1.2985974821363294E-3</v>
      </c>
      <c r="AE107" s="305">
        <f t="shared" si="40"/>
        <v>0.7</v>
      </c>
      <c r="AF107" s="177">
        <f t="shared" si="41"/>
        <v>0.52820127028531672</v>
      </c>
      <c r="AG107" s="921">
        <f t="shared" si="49"/>
        <v>1</v>
      </c>
      <c r="AH107" s="176">
        <f t="shared" si="42"/>
        <v>7</v>
      </c>
      <c r="AI107" s="225">
        <f t="shared" si="43"/>
        <v>1.5282012702853167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43.540261673490157</v>
      </c>
      <c r="C108" s="955"/>
      <c r="D108" s="393">
        <f t="shared" si="25"/>
        <v>45.998937754891472</v>
      </c>
      <c r="E108" s="385">
        <f t="shared" si="47"/>
        <v>48.347953656815776</v>
      </c>
      <c r="F108" s="385">
        <f t="shared" si="26"/>
        <v>48.347966501975492</v>
      </c>
      <c r="G108" s="110">
        <f t="shared" si="48"/>
        <v>0.86715447631758191</v>
      </c>
      <c r="H108" s="414" t="b">
        <f>Wh_hp&gt;='2024'!Maxi_hp</f>
        <v>0</v>
      </c>
      <c r="I108" s="390">
        <f>IF(H108,Wh_hp,'2024'!Maxi_hp)</f>
        <v>55.741875297523443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5.3450714329590365E-2</v>
      </c>
      <c r="M108" s="959"/>
      <c r="N108" s="959"/>
      <c r="O108" s="48">
        <f>IF(t&lt;Tnet,'2024'!Resal+('2024'!Salim-'2024'!Resal)*(1-EXP(('2024'!Tnet-t)/('2024'!Tau_j))),Resal+(Salim-Resal)*(1-EXP((Tnet-t)/(Tau_j))))*Salcycl</f>
        <v>4.8585632364052507E-2</v>
      </c>
      <c r="P108" s="169">
        <f>(INDEX(Models!$BJ108:$BT108,,T108)*(1-R108)+INDEX(Models!$BJ108:$BT108,,T108+1)*R108-ERP_i)*Q108*Ramure*Pc/MaxiM</f>
        <v>3.2791246855601411E-7</v>
      </c>
      <c r="Q108" s="305">
        <f t="shared" si="28"/>
        <v>0.7</v>
      </c>
      <c r="R108" s="177">
        <f t="shared" si="29"/>
        <v>4.3519299461904914E-3</v>
      </c>
      <c r="S108" s="921">
        <f t="shared" si="30"/>
        <v>-2</v>
      </c>
      <c r="T108" s="176">
        <f t="shared" si="31"/>
        <v>4</v>
      </c>
      <c r="U108" s="251">
        <f t="shared" si="32"/>
        <v>-1.9956480700538095</v>
      </c>
      <c r="V108" s="383">
        <f t="shared" si="33"/>
        <v>50.210498997632286</v>
      </c>
      <c r="W108" s="402">
        <f t="shared" si="34"/>
        <v>43.540261673490157</v>
      </c>
      <c r="X108" s="157">
        <f t="shared" si="35"/>
        <v>45751</v>
      </c>
      <c r="Y108" s="385">
        <f t="shared" si="36"/>
        <v>39.64040217155663</v>
      </c>
      <c r="Z108" s="385">
        <f t="shared" si="37"/>
        <v>41.878856993147103</v>
      </c>
      <c r="AA108" s="386">
        <f t="shared" si="38"/>
        <v>48.298097006248213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0.13290875647275852</v>
      </c>
      <c r="AD108" s="231">
        <f>(INDEX(Models!$BJ108:$BT108,,AH108)*(1-AF108)+INDEX(Models!$BJ108:$BT108,,AH108+1)*AF108-ERP_i)*AE108*Ramure*Pc/MaxiM</f>
        <v>1.2730732674734149E-3</v>
      </c>
      <c r="AE108" s="305">
        <f t="shared" si="40"/>
        <v>0.7</v>
      </c>
      <c r="AF108" s="177">
        <f t="shared" si="41"/>
        <v>0.52933949632016941</v>
      </c>
      <c r="AG108" s="921">
        <f t="shared" si="49"/>
        <v>1</v>
      </c>
      <c r="AH108" s="176">
        <f t="shared" si="42"/>
        <v>7</v>
      </c>
      <c r="AI108" s="225">
        <f t="shared" si="43"/>
        <v>1.5293394963201694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50.175047467700651</v>
      </c>
      <c r="C109" s="955"/>
      <c r="D109" s="393">
        <f t="shared" si="25"/>
        <v>53.009544472418646</v>
      </c>
      <c r="E109" s="385">
        <f t="shared" si="47"/>
        <v>55.723044377588735</v>
      </c>
      <c r="F109" s="385">
        <f t="shared" si="26"/>
        <v>55.723067093711649</v>
      </c>
      <c r="G109" s="110">
        <f t="shared" si="48"/>
        <v>0.9960975218254009</v>
      </c>
      <c r="H109" s="414" t="b">
        <f>Wh_hp&gt;='2024'!Maxi_hp</f>
        <v>0</v>
      </c>
      <c r="I109" s="390">
        <f>IF(H109,Wh_hp,'2024'!Maxi_hp)</f>
        <v>58.256884739736201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5.347144618820121E-2</v>
      </c>
      <c r="M109" s="959"/>
      <c r="N109" s="959"/>
      <c r="O109" s="48">
        <f>IF(t&lt;Tnet,'2024'!Resal+('2024'!Salim-'2024'!Resal)*(1-EXP(('2024'!Tnet-t)/('2024'!Tau_j))),Resal+(Salim-Resal)*(1-EXP((Tnet-t)/(Tau_j))))*Salcycl</f>
        <v>4.8696189080821843E-2</v>
      </c>
      <c r="P109" s="169">
        <f>(INDEX(Models!$BJ109:$BT109,,T109)*(1-R109)+INDEX(Models!$BJ109:$BT109,,T109+1)*R109-ERP_i)*Q109*Ramure*Pc/MaxiM</f>
        <v>4.0994646731341917E-7</v>
      </c>
      <c r="Q109" s="305">
        <f t="shared" si="28"/>
        <v>0.7</v>
      </c>
      <c r="R109" s="177">
        <f t="shared" si="29"/>
        <v>5.5320815742092577E-3</v>
      </c>
      <c r="S109" s="921">
        <f t="shared" si="30"/>
        <v>-2</v>
      </c>
      <c r="T109" s="176">
        <f t="shared" si="31"/>
        <v>4</v>
      </c>
      <c r="U109" s="251">
        <f t="shared" si="32"/>
        <v>-1.9944679184257907</v>
      </c>
      <c r="V109" s="383">
        <f t="shared" si="33"/>
        <v>50.371621506577256</v>
      </c>
      <c r="W109" s="402">
        <f t="shared" si="34"/>
        <v>50.175047467700651</v>
      </c>
      <c r="X109" s="157">
        <f t="shared" si="35"/>
        <v>45752</v>
      </c>
      <c r="Y109" s="385">
        <f t="shared" si="36"/>
        <v>45.674023493953186</v>
      </c>
      <c r="Z109" s="385">
        <f t="shared" si="37"/>
        <v>48.254247914674842</v>
      </c>
      <c r="AA109" s="386">
        <f t="shared" si="38"/>
        <v>55.653815694332749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0.13295706120670187</v>
      </c>
      <c r="AD109" s="231">
        <f>(INDEX(Models!$BJ109:$BT109,,AH109)*(1-AF109)+INDEX(Models!$BJ109:$BT109,,AH109+1)*AF109-ERP_i)*AE109*Ramure*Pc/MaxiM</f>
        <v>1.2497452418696968E-3</v>
      </c>
      <c r="AE109" s="305">
        <f t="shared" si="40"/>
        <v>0.7</v>
      </c>
      <c r="AF109" s="177">
        <f t="shared" si="41"/>
        <v>0.53051964794818818</v>
      </c>
      <c r="AG109" s="921">
        <f t="shared" si="49"/>
        <v>1</v>
      </c>
      <c r="AH109" s="176">
        <f t="shared" si="42"/>
        <v>7</v>
      </c>
      <c r="AI109" s="225">
        <f t="shared" si="43"/>
        <v>1.5305196479481882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11.783673987925342</v>
      </c>
      <c r="C110" s="955"/>
      <c r="D110" s="393">
        <f t="shared" si="25"/>
        <v>12.449631908963767</v>
      </c>
      <c r="E110" s="385">
        <f t="shared" si="47"/>
        <v>13.088442370884053</v>
      </c>
      <c r="F110" s="385">
        <f t="shared" si="26"/>
        <v>13.088442370884053</v>
      </c>
      <c r="G110" s="110">
        <f t="shared" si="48"/>
        <v>0.23321996939314743</v>
      </c>
      <c r="H110" s="414" t="b">
        <f>Wh_hp&gt;='2024'!Maxi_hp</f>
        <v>0</v>
      </c>
      <c r="I110" s="390">
        <f>IF(H110,Wh_hp,'2024'!Maxi_hp)</f>
        <v>57.685469912803519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5.3492177592731283E-2</v>
      </c>
      <c r="M110" s="959"/>
      <c r="N110" s="959"/>
      <c r="O110" s="48">
        <f>IF(t&lt;Tnet,'2024'!Resal+('2024'!Salim-'2024'!Resal)*(1-EXP(('2024'!Tnet-t)/('2024'!Tau_j))),Resal+(Salim-Resal)*(1-EXP((Tnet-t)/(Tau_j))))*Salcycl</f>
        <v>4.8807218140896134E-2</v>
      </c>
      <c r="P110" s="169">
        <f>(INDEX(Models!$BJ110:$BT110,,T110)*(1-R110)+INDEX(Models!$BJ110:$BT110,,T110+1)*R110-ERP_i)*Q110*Ramure*Pc/MaxiM</f>
        <v>4.9521386526344105E-7</v>
      </c>
      <c r="Q110" s="305">
        <f t="shared" si="28"/>
        <v>0.7</v>
      </c>
      <c r="R110" s="177">
        <f t="shared" si="29"/>
        <v>6.7554660972493075E-3</v>
      </c>
      <c r="S110" s="921">
        <f t="shared" si="30"/>
        <v>-2</v>
      </c>
      <c r="T110" s="176">
        <f t="shared" si="31"/>
        <v>4</v>
      </c>
      <c r="U110" s="251">
        <f t="shared" si="32"/>
        <v>-1.9932445339027507</v>
      </c>
      <c r="V110" s="383">
        <f t="shared" si="33"/>
        <v>50.525982758459413</v>
      </c>
      <c r="W110" s="402">
        <f t="shared" si="34"/>
        <v>11.783673987925342</v>
      </c>
      <c r="X110" s="157">
        <f t="shared" si="35"/>
        <v>45753</v>
      </c>
      <c r="Y110" s="385">
        <f t="shared" si="36"/>
        <v>10.740583258445731</v>
      </c>
      <c r="Z110" s="385">
        <f t="shared" si="37"/>
        <v>11.347590589509373</v>
      </c>
      <c r="AA110" s="386">
        <f t="shared" si="38"/>
        <v>13.088442370884053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0.13300679577023616</v>
      </c>
      <c r="AD110" s="231">
        <f>(INDEX(Models!$BJ110:$BT110,,AH110)*(1-AF110)+INDEX(Models!$BJ110:$BT110,,AH110+1)*AF110-ERP_i)*AE110*Ramure*Pc/MaxiM</f>
        <v>1.2285777868780191E-3</v>
      </c>
      <c r="AE110" s="305">
        <f t="shared" si="40"/>
        <v>0.7</v>
      </c>
      <c r="AF110" s="177">
        <f t="shared" si="41"/>
        <v>0.53174303247122823</v>
      </c>
      <c r="AG110" s="921">
        <f t="shared" si="49"/>
        <v>1</v>
      </c>
      <c r="AH110" s="176">
        <f t="shared" si="42"/>
        <v>7</v>
      </c>
      <c r="AI110" s="225">
        <f t="shared" si="43"/>
        <v>1.5317430324712282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38.813805519949291</v>
      </c>
      <c r="C111" s="955"/>
      <c r="D111" s="393">
        <f t="shared" si="25"/>
        <v>41.008277735946756</v>
      </c>
      <c r="E111" s="385">
        <f t="shared" si="47"/>
        <v>43.117533035013381</v>
      </c>
      <c r="F111" s="385">
        <f t="shared" si="26"/>
        <v>43.117549839738373</v>
      </c>
      <c r="G111" s="110">
        <f t="shared" si="48"/>
        <v>0.76594989785456868</v>
      </c>
      <c r="H111" s="414" t="b">
        <f>Wh_hp&gt;='2024'!Maxi_hp</f>
        <v>0</v>
      </c>
      <c r="I111" s="390">
        <f>IF(H111,Wh_hp,'2024'!Maxi_hp)</f>
        <v>56.268394657199678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5.3512908543190241E-2</v>
      </c>
      <c r="M111" s="959"/>
      <c r="N111" s="959"/>
      <c r="O111" s="48">
        <f>IF(t&lt;Tnet,'2024'!Resal+('2024'!Salim-'2024'!Resal)*(1-EXP(('2024'!Tnet-t)/('2024'!Tau_j))),Resal+(Salim-Resal)*(1-EXP((Tnet-t)/(Tau_j))))*Salcycl</f>
        <v>4.8918737937855117E-2</v>
      </c>
      <c r="P111" s="169">
        <f>(INDEX(Models!$BJ111:$BT111,,T111)*(1-R111)+INDEX(Models!$BJ111:$BT111,,T111+1)*R111-ERP_i)*Q111*Ramure*Pc/MaxiM</f>
        <v>5.8551228941260738E-7</v>
      </c>
      <c r="Q111" s="305">
        <f t="shared" si="28"/>
        <v>0.7</v>
      </c>
      <c r="R111" s="177">
        <f t="shared" si="29"/>
        <v>8.0234126581983922E-3</v>
      </c>
      <c r="S111" s="921">
        <f t="shared" si="30"/>
        <v>-2</v>
      </c>
      <c r="T111" s="176">
        <f t="shared" si="31"/>
        <v>4</v>
      </c>
      <c r="U111" s="251">
        <f t="shared" si="32"/>
        <v>-1.9919765873418016</v>
      </c>
      <c r="V111" s="383">
        <f t="shared" si="33"/>
        <v>50.674068930720559</v>
      </c>
      <c r="W111" s="402">
        <f t="shared" si="34"/>
        <v>38.813805519949291</v>
      </c>
      <c r="X111" s="157">
        <f t="shared" si="35"/>
        <v>45754</v>
      </c>
      <c r="Y111" s="385">
        <f t="shared" si="36"/>
        <v>35.351594837376986</v>
      </c>
      <c r="Z111" s="385">
        <f t="shared" si="37"/>
        <v>37.350319044462275</v>
      </c>
      <c r="AA111" s="386">
        <f t="shared" si="38"/>
        <v>43.082834983183801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0.13305800189237899</v>
      </c>
      <c r="AD111" s="231">
        <f>(INDEX(Models!$BJ111:$BT111,,AH111)*(1-AF111)+INDEX(Models!$BJ111:$BT111,,AH111+1)*AF111-ERP_i)*AE111*Ramure*Pc/MaxiM</f>
        <v>1.2095392902399613E-3</v>
      </c>
      <c r="AE111" s="305">
        <f t="shared" si="40"/>
        <v>0.7</v>
      </c>
      <c r="AF111" s="177">
        <f t="shared" si="41"/>
        <v>0.53301097903217731</v>
      </c>
      <c r="AG111" s="921">
        <f t="shared" si="49"/>
        <v>1</v>
      </c>
      <c r="AH111" s="176">
        <f t="shared" si="42"/>
        <v>7</v>
      </c>
      <c r="AI111" s="225">
        <f t="shared" si="43"/>
        <v>1.5330109790321773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31.491912829800171</v>
      </c>
      <c r="C112" s="955"/>
      <c r="D112" s="393">
        <f t="shared" si="25"/>
        <v>33.27314538452719</v>
      </c>
      <c r="E112" s="385">
        <f t="shared" si="47"/>
        <v>34.988666520551938</v>
      </c>
      <c r="F112" s="385">
        <f t="shared" si="26"/>
        <v>34.988677431697766</v>
      </c>
      <c r="G112" s="110">
        <f t="shared" si="48"/>
        <v>0.61971966227411124</v>
      </c>
      <c r="H112" s="414" t="b">
        <f>Wh_hp&gt;='2024'!Maxi_hp</f>
        <v>0</v>
      </c>
      <c r="I112" s="390">
        <f>IF(H112,Wh_hp,'2024'!Maxi_hp)</f>
        <v>56.211155978326396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5.3533639039588299E-2</v>
      </c>
      <c r="M112" s="959"/>
      <c r="N112" s="959"/>
      <c r="O112" s="48">
        <f>IF(t&lt;Tnet,'2024'!Resal+('2024'!Salim-'2024'!Resal)*(1-EXP(('2024'!Tnet-t)/('2024'!Tau_j))),Resal+(Salim-Resal)*(1-EXP((Tnet-t)/(Tau_j))))*Salcycl</f>
        <v>4.9030766434527251E-2</v>
      </c>
      <c r="P112" s="169">
        <f>(INDEX(Models!$BJ112:$BT112,,T112)*(1-R112)+INDEX(Models!$BJ112:$BT112,,T112+1)*R112-ERP_i)*Q112*Ramure*Pc/MaxiM</f>
        <v>6.8276494610138397E-7</v>
      </c>
      <c r="Q112" s="305">
        <f t="shared" si="28"/>
        <v>0.7</v>
      </c>
      <c r="R112" s="177">
        <f t="shared" si="29"/>
        <v>9.3372709859420588E-3</v>
      </c>
      <c r="S112" s="921">
        <f t="shared" si="30"/>
        <v>-2</v>
      </c>
      <c r="T112" s="176">
        <f t="shared" si="31"/>
        <v>4</v>
      </c>
      <c r="U112" s="251">
        <f t="shared" si="32"/>
        <v>-1.9906627290140579</v>
      </c>
      <c r="V112" s="383">
        <f t="shared" si="33"/>
        <v>50.816365957064185</v>
      </c>
      <c r="W112" s="402">
        <f t="shared" si="34"/>
        <v>31.491912829800171</v>
      </c>
      <c r="X112" s="157">
        <f t="shared" si="35"/>
        <v>45755</v>
      </c>
      <c r="Y112" s="385">
        <f t="shared" si="36"/>
        <v>28.691926663047553</v>
      </c>
      <c r="Z112" s="385">
        <f t="shared" si="37"/>
        <v>30.314787557724582</v>
      </c>
      <c r="AA112" s="386">
        <f t="shared" si="38"/>
        <v>34.969618671578509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0.13311071983856471</v>
      </c>
      <c r="AD112" s="231">
        <f>(INDEX(Models!$BJ112:$BT112,,AH112)*(1-AF112)+INDEX(Models!$BJ112:$BT112,,AH112+1)*AF112-ERP_i)*AE112*Ramure*Pc/MaxiM</f>
        <v>1.1926019074394584E-3</v>
      </c>
      <c r="AE112" s="305">
        <f t="shared" si="40"/>
        <v>0.7</v>
      </c>
      <c r="AF112" s="177">
        <f t="shared" si="41"/>
        <v>0.53432483735992098</v>
      </c>
      <c r="AG112" s="921">
        <f t="shared" si="49"/>
        <v>1</v>
      </c>
      <c r="AH112" s="176">
        <f t="shared" si="42"/>
        <v>7</v>
      </c>
      <c r="AI112" s="225">
        <f t="shared" si="43"/>
        <v>1.534324837359921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34.369851823600499</v>
      </c>
      <c r="C113" s="955"/>
      <c r="D113" s="393">
        <f t="shared" si="25"/>
        <v>36.314660558220638</v>
      </c>
      <c r="E113" s="385">
        <f t="shared" si="47"/>
        <v>38.191518622172545</v>
      </c>
      <c r="F113" s="385">
        <f t="shared" si="26"/>
        <v>38.191534745554058</v>
      </c>
      <c r="G113" s="110">
        <f t="shared" si="48"/>
        <v>0.67453529143934998</v>
      </c>
      <c r="H113" s="414" t="b">
        <f>Wh_hp&gt;='2024'!Maxi_hp</f>
        <v>0</v>
      </c>
      <c r="I113" s="390">
        <f>IF(H113,Wh_hp,'2024'!Maxi_hp)</f>
        <v>45.992596170964376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5.3554369081935116E-2</v>
      </c>
      <c r="M113" s="959"/>
      <c r="N113" s="959"/>
      <c r="O113" s="48">
        <f>IF(t&lt;Tnet,'2024'!Resal+('2024'!Salim-'2024'!Resal)*(1-EXP(('2024'!Tnet-t)/('2024'!Tau_j))),Resal+(Salim-Resal)*(1-EXP((Tnet-t)/(Tau_j))))*Salcycl</f>
        <v>4.9143321126337111E-2</v>
      </c>
      <c r="P113" s="169">
        <f>(INDEX(Models!$BJ113:$BT113,,T113)*(1-R113)+INDEX(Models!$BJ113:$BT113,,T113+1)*R113-ERP_i)*Q113*Ramure*Pc/MaxiM</f>
        <v>7.8903092685065151E-7</v>
      </c>
      <c r="Q113" s="305">
        <f t="shared" si="28"/>
        <v>0.7</v>
      </c>
      <c r="R113" s="177">
        <f t="shared" si="29"/>
        <v>1.0698409973507905E-2</v>
      </c>
      <c r="S113" s="921">
        <f t="shared" si="30"/>
        <v>-2</v>
      </c>
      <c r="T113" s="176">
        <f t="shared" si="31"/>
        <v>4</v>
      </c>
      <c r="U113" s="251">
        <f t="shared" si="32"/>
        <v>-1.9893015900264921</v>
      </c>
      <c r="V113" s="383">
        <f t="shared" si="33"/>
        <v>50.953359521567684</v>
      </c>
      <c r="W113" s="402">
        <f t="shared" si="34"/>
        <v>34.369851823600499</v>
      </c>
      <c r="X113" s="157">
        <f t="shared" si="35"/>
        <v>45756</v>
      </c>
      <c r="Y113" s="385">
        <f t="shared" si="36"/>
        <v>31.313056996804782</v>
      </c>
      <c r="Z113" s="385">
        <f t="shared" si="37"/>
        <v>33.084897826017432</v>
      </c>
      <c r="AA113" s="386">
        <f t="shared" si="38"/>
        <v>38.1674682961036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0.1331649883260671</v>
      </c>
      <c r="AD113" s="231">
        <f>(INDEX(Models!$BJ113:$BT113,,AH113)*(1-AF113)+INDEX(Models!$BJ113:$BT113,,AH113+1)*AF113-ERP_i)*AE113*Ramure*Pc/MaxiM</f>
        <v>1.1777413378148652E-3</v>
      </c>
      <c r="AE113" s="305">
        <f t="shared" si="40"/>
        <v>0.7</v>
      </c>
      <c r="AF113" s="177">
        <f t="shared" si="41"/>
        <v>0.53568597634748683</v>
      </c>
      <c r="AG113" s="921">
        <f t="shared" si="49"/>
        <v>1</v>
      </c>
      <c r="AH113" s="176">
        <f t="shared" si="42"/>
        <v>7</v>
      </c>
      <c r="AI113" s="225">
        <f t="shared" si="43"/>
        <v>1.5356859763474868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52.541704236581104</v>
      </c>
      <c r="C114" s="955"/>
      <c r="D114" s="393">
        <f t="shared" si="25"/>
        <v>55.515978249048842</v>
      </c>
      <c r="E114" s="385">
        <f t="shared" si="47"/>
        <v>58.392167308596022</v>
      </c>
      <c r="F114" s="385">
        <f t="shared" si="26"/>
        <v>58.392220786132832</v>
      </c>
      <c r="G114" s="110">
        <f t="shared" si="48"/>
        <v>1.0285045397372836</v>
      </c>
      <c r="H114" s="414" t="b">
        <f>Wh_hp&gt;='2024'!Maxi_hp</f>
        <v>1</v>
      </c>
      <c r="I114" s="390">
        <f>IF(H114,Wh_hp,'2024'!Maxi_hp)</f>
        <v>58.392220786132832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5.3575098670240906E-2</v>
      </c>
      <c r="M114" s="959"/>
      <c r="N114" s="959"/>
      <c r="O114" s="48">
        <f>IF(t&lt;Tnet,'2024'!Resal+('2024'!Salim-'2024'!Resal)*(1-EXP(('2024'!Tnet-t)/('2024'!Tau_j))),Resal+(Salim-Resal)*(1-EXP((Tnet-t)/(Tau_j))))*Salcycl</f>
        <v>4.9256419004741515E-2</v>
      </c>
      <c r="P114" s="169">
        <f>(INDEX(Models!$BJ114:$BT114,,T114)*(1-R114)+INDEX(Models!$BJ114:$BT114,,T114+1)*R114-ERP_i)*Q114*Ramure*Pc/MaxiM</f>
        <v>9.1583324100495871E-7</v>
      </c>
      <c r="Q114" s="305">
        <f t="shared" si="28"/>
        <v>0.7</v>
      </c>
      <c r="R114" s="177">
        <f t="shared" si="29"/>
        <v>1.2108216079850465E-2</v>
      </c>
      <c r="S114" s="921">
        <f t="shared" si="30"/>
        <v>-2</v>
      </c>
      <c r="T114" s="176">
        <f t="shared" si="31"/>
        <v>4</v>
      </c>
      <c r="U114" s="251">
        <f t="shared" si="32"/>
        <v>-1.9878917839201495</v>
      </c>
      <c r="V114" s="383">
        <f t="shared" si="33"/>
        <v>51.085534585974806</v>
      </c>
      <c r="W114" s="402">
        <f t="shared" si="34"/>
        <v>52.541704236581104</v>
      </c>
      <c r="X114" s="157">
        <f t="shared" si="35"/>
        <v>45757</v>
      </c>
      <c r="Y114" s="385">
        <f t="shared" si="36"/>
        <v>47.845638310508249</v>
      </c>
      <c r="Z114" s="385">
        <f t="shared" si="37"/>
        <v>50.55407802910036</v>
      </c>
      <c r="AA114" s="386">
        <f t="shared" si="38"/>
        <v>58.324058331180609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0.13322084444055818</v>
      </c>
      <c r="AD114" s="231">
        <f>(INDEX(Models!$BJ114:$BT114,,AH114)*(1-AF114)+INDEX(Models!$BJ114:$BT114,,AH114+1)*AF114-ERP_i)*AE114*Ramure*Pc/MaxiM</f>
        <v>1.1673208183308242E-3</v>
      </c>
      <c r="AE114" s="305">
        <f t="shared" si="40"/>
        <v>0.7</v>
      </c>
      <c r="AF114" s="177">
        <f t="shared" si="41"/>
        <v>0.53709578245382938</v>
      </c>
      <c r="AG114" s="921">
        <f t="shared" si="49"/>
        <v>1</v>
      </c>
      <c r="AH114" s="176">
        <f t="shared" si="42"/>
        <v>7</v>
      </c>
      <c r="AI114" s="225">
        <f t="shared" si="43"/>
        <v>1.5370957824538294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43.356025542095793</v>
      </c>
      <c r="C115" s="955"/>
      <c r="D115" s="393">
        <f t="shared" si="25"/>
        <v>45.811321226023075</v>
      </c>
      <c r="E115" s="385">
        <f t="shared" si="47"/>
        <v>48.190489373976398</v>
      </c>
      <c r="F115" s="385">
        <f t="shared" si="26"/>
        <v>48.190529541039169</v>
      </c>
      <c r="G115" s="110">
        <f t="shared" si="48"/>
        <v>0.84657600382344345</v>
      </c>
      <c r="H115" s="414" t="b">
        <f>Wh_hp&gt;='2024'!Maxi_hp</f>
        <v>0</v>
      </c>
      <c r="I115" s="390">
        <f>IF(H115,Wh_hp,'2024'!Maxi_hp)</f>
        <v>56.926003902955259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5.359582780451555E-2</v>
      </c>
      <c r="M115" s="959"/>
      <c r="N115" s="959"/>
      <c r="O115" s="48">
        <f>IF(t&lt;Tnet,'2024'!Resal+('2024'!Salim-'2024'!Resal)*(1-EXP(('2024'!Tnet-t)/('2024'!Tau_j))),Resal+(Salim-Resal)*(1-EXP((Tnet-t)/(Tau_j))))*Salcycl</f>
        <v>4.9370076520495146E-2</v>
      </c>
      <c r="P115" s="169">
        <f>(INDEX(Models!$BJ115:$BT115,,T115)*(1-R115)+INDEX(Models!$BJ115:$BT115,,T115+1)*R115-ERP_i)*Q115*Ramure*Pc/MaxiM</f>
        <v>1.067470047894431E-6</v>
      </c>
      <c r="Q115" s="305">
        <f t="shared" si="28"/>
        <v>0.7</v>
      </c>
      <c r="R115" s="177">
        <f t="shared" si="29"/>
        <v>1.3568091545747674E-2</v>
      </c>
      <c r="S115" s="921">
        <f t="shared" si="30"/>
        <v>-2</v>
      </c>
      <c r="T115" s="176">
        <f t="shared" si="31"/>
        <v>4</v>
      </c>
      <c r="U115" s="251">
        <f t="shared" si="32"/>
        <v>-1.9864319084542523</v>
      </c>
      <c r="V115" s="383">
        <f t="shared" si="33"/>
        <v>51.21337623851278</v>
      </c>
      <c r="W115" s="402">
        <f t="shared" si="34"/>
        <v>43.356025542095793</v>
      </c>
      <c r="X115" s="157">
        <f t="shared" si="35"/>
        <v>45758</v>
      </c>
      <c r="Y115" s="385">
        <f t="shared" si="36"/>
        <v>39.493365929266268</v>
      </c>
      <c r="Z115" s="385">
        <f t="shared" si="37"/>
        <v>41.729915283074973</v>
      </c>
      <c r="AA115" s="386">
        <f t="shared" si="38"/>
        <v>48.146846233435404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0.13327832355308489</v>
      </c>
      <c r="AD115" s="231">
        <f>(INDEX(Models!$BJ115:$BT115,,AH115)*(1-AF115)+INDEX(Models!$BJ115:$BT115,,AH115+1)*AF115-ERP_i)*AE115*Ramure*Pc/MaxiM</f>
        <v>1.1609169114958678E-3</v>
      </c>
      <c r="AE115" s="305">
        <f t="shared" si="40"/>
        <v>0.7</v>
      </c>
      <c r="AF115" s="177">
        <f t="shared" si="41"/>
        <v>0.53855565791972659</v>
      </c>
      <c r="AG115" s="921">
        <f t="shared" si="49"/>
        <v>1</v>
      </c>
      <c r="AH115" s="176">
        <f t="shared" si="42"/>
        <v>7</v>
      </c>
      <c r="AI115" s="225">
        <f t="shared" si="43"/>
        <v>1.5385556579197266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2.4497658011521959</v>
      </c>
      <c r="C116" s="955"/>
      <c r="D116" s="393">
        <f t="shared" si="25"/>
        <v>2.588555218224049</v>
      </c>
      <c r="E116" s="385">
        <f t="shared" si="47"/>
        <v>2.7233166629674357</v>
      </c>
      <c r="F116" s="385">
        <f t="shared" si="26"/>
        <v>2.7233166629674357</v>
      </c>
      <c r="G116" s="110">
        <f t="shared" si="48"/>
        <v>4.7718899022909454E-2</v>
      </c>
      <c r="H116" s="414" t="b">
        <f>Wh_hp&gt;='2024'!Maxi_hp</f>
        <v>0</v>
      </c>
      <c r="I116" s="390">
        <f>IF(H116,Wh_hp,'2024'!Maxi_hp)</f>
        <v>56.893751444283453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5.3616556484768929E-2</v>
      </c>
      <c r="M116" s="959"/>
      <c r="N116" s="959"/>
      <c r="O116" s="48">
        <f>IF(t&lt;Tnet,'2024'!Resal+('2024'!Salim-'2024'!Resal)*(1-EXP(('2024'!Tnet-t)/('2024'!Tau_j))),Resal+(Salim-Resal)*(1-EXP((Tnet-t)/(Tau_j))))*Salcycl</f>
        <v>4.9484309546486957E-2</v>
      </c>
      <c r="P116" s="169">
        <f>(INDEX(Models!$BJ116:$BT116,,T116)*(1-R116)+INDEX(Models!$BJ116:$BT116,,T116+1)*R116-ERP_i)*Q116*Ramure*Pc/MaxiM</f>
        <v>1.2496324086908855E-6</v>
      </c>
      <c r="Q116" s="305">
        <f t="shared" si="28"/>
        <v>0.7</v>
      </c>
      <c r="R116" s="177">
        <f t="shared" si="29"/>
        <v>1.5079452414376027E-2</v>
      </c>
      <c r="S116" s="921">
        <f t="shared" si="30"/>
        <v>-2</v>
      </c>
      <c r="T116" s="176">
        <f t="shared" si="31"/>
        <v>4</v>
      </c>
      <c r="U116" s="251">
        <f t="shared" si="32"/>
        <v>-1.984920547585624</v>
      </c>
      <c r="V116" s="383">
        <f t="shared" si="33"/>
        <v>51.337369260538601</v>
      </c>
      <c r="W116" s="402">
        <f t="shared" si="34"/>
        <v>2.4497658011521959</v>
      </c>
      <c r="X116" s="157">
        <f t="shared" si="35"/>
        <v>45759</v>
      </c>
      <c r="Y116" s="385">
        <f t="shared" si="36"/>
        <v>2.2336509274123331</v>
      </c>
      <c r="Z116" s="385">
        <f t="shared" si="37"/>
        <v>2.3601965384302339</v>
      </c>
      <c r="AA116" s="386">
        <f t="shared" si="38"/>
        <v>2.7233166629674357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0.13333745923675713</v>
      </c>
      <c r="AD116" s="231">
        <f>(INDEX(Models!$BJ116:$BT116,,AH116)*(1-AF116)+INDEX(Models!$BJ116:$BT116,,AH116+1)*AF116-ERP_i)*AE116*Ramure*Pc/MaxiM</f>
        <v>1.1585226774567939E-3</v>
      </c>
      <c r="AE116" s="305">
        <f t="shared" si="40"/>
        <v>0.7</v>
      </c>
      <c r="AF116" s="177">
        <f t="shared" si="41"/>
        <v>0.54006701878835495</v>
      </c>
      <c r="AG116" s="921">
        <f t="shared" si="49"/>
        <v>1</v>
      </c>
      <c r="AH116" s="176">
        <f t="shared" si="42"/>
        <v>7</v>
      </c>
      <c r="AI116" s="225">
        <f t="shared" si="43"/>
        <v>1.5400670187883549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Wh_hp&gt;='2024'!Maxi_hp</f>
        <v>0</v>
      </c>
      <c r="I117" s="390">
        <f>IF(H117,Wh_hp,'2024'!Maxi_hp)</f>
        <v>58.336070770675065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5.3637284711010924E-2</v>
      </c>
      <c r="M117" s="959"/>
      <c r="N117" s="959"/>
      <c r="O117" s="48">
        <f>IF(t&lt;Tnet,'2024'!Resal+('2024'!Salim-'2024'!Resal)*(1-EXP(('2024'!Tnet-t)/('2024'!Tau_j))),Resal+(Salim-Resal)*(1-EXP((Tnet-t)/(Tau_j))))*Salcycl</f>
        <v>4.9599133339893894E-2</v>
      </c>
      <c r="P117" s="169">
        <f>(INDEX(Models!$BJ117:$BT117,,T117)*(1-R117)+INDEX(Models!$BJ117:$BT117,,T117+1)*R117-ERP_i)*Q117*Ramure*Pc/MaxiM</f>
        <v>1.4684306747975587E-6</v>
      </c>
      <c r="Q117" s="305">
        <f t="shared" si="28"/>
        <v>0.7</v>
      </c>
      <c r="R117" s="177">
        <f t="shared" si="29"/>
        <v>1.6643726347297605E-2</v>
      </c>
      <c r="S117" s="921">
        <f t="shared" si="30"/>
        <v>-2</v>
      </c>
      <c r="T117" s="176">
        <f t="shared" si="31"/>
        <v>4</v>
      </c>
      <c r="U117" s="251">
        <f t="shared" si="32"/>
        <v>-1.9833562736527024</v>
      </c>
      <c r="V117" s="383">
        <f t="shared" si="33"/>
        <v>51.457998168782169</v>
      </c>
      <c r="W117" s="402">
        <f t="shared" si="34"/>
        <v>0</v>
      </c>
      <c r="X117" s="157">
        <f t="shared" si="35"/>
        <v>45760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0.13339828318246499</v>
      </c>
      <c r="AD117" s="231">
        <f>(INDEX(Models!$BJ117:$BT117,,AH117)*(1-AF117)+INDEX(Models!$BJ117:$BT117,,AH117+1)*AF117-ERP_i)*AE117*Ramure*Pc/MaxiM</f>
        <v>1.1601365976092568E-3</v>
      </c>
      <c r="AE117" s="305">
        <f t="shared" si="40"/>
        <v>0.7</v>
      </c>
      <c r="AF117" s="177">
        <f t="shared" si="41"/>
        <v>0.54163129272127652</v>
      </c>
      <c r="AG117" s="921">
        <f t="shared" si="49"/>
        <v>1</v>
      </c>
      <c r="AH117" s="176">
        <f t="shared" si="42"/>
        <v>7</v>
      </c>
      <c r="AI117" s="225">
        <f t="shared" si="43"/>
        <v>1.5416312927212765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41.147225818201292</v>
      </c>
      <c r="C118" s="955"/>
      <c r="D118" s="393">
        <f t="shared" si="25"/>
        <v>43.480291861691349</v>
      </c>
      <c r="E118" s="385">
        <f t="shared" si="47"/>
        <v>45.754980710043135</v>
      </c>
      <c r="F118" s="385">
        <f t="shared" si="26"/>
        <v>45.755037015357985</v>
      </c>
      <c r="G118" s="110">
        <f t="shared" si="48"/>
        <v>0.79780143709720952</v>
      </c>
      <c r="H118" s="414" t="b">
        <f>Wh_hp&gt;='2024'!Maxi_hp</f>
        <v>0</v>
      </c>
      <c r="I118" s="390">
        <f>IF(H118,Wh_hp,'2024'!Maxi_hp)</f>
        <v>56.615625243922842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5.3658012483251638E-2</v>
      </c>
      <c r="M118" s="959"/>
      <c r="N118" s="959"/>
      <c r="O118" s="48">
        <f>IF(t&lt;Tnet,'2024'!Resal+('2024'!Salim-'2024'!Resal)*(1-EXP(('2024'!Tnet-t)/('2024'!Tau_j))),Resal+(Salim-Resal)*(1-EXP((Tnet-t)/(Tau_j))))*Salcycl</f>
        <v>4.9714562503410532E-2</v>
      </c>
      <c r="P118" s="169">
        <f>(INDEX(Models!$BJ118:$BT118,,T118)*(1-R118)+INDEX(Models!$BJ118:$BT118,,T118+1)*R118-ERP_i)*Q118*Ramure*Pc/MaxiM</f>
        <v>1.7304219937093135E-6</v>
      </c>
      <c r="Q118" s="305">
        <f t="shared" si="28"/>
        <v>0.7</v>
      </c>
      <c r="R118" s="177">
        <f t="shared" si="29"/>
        <v>1.8262350226861068E-2</v>
      </c>
      <c r="S118" s="921">
        <f t="shared" si="30"/>
        <v>-2</v>
      </c>
      <c r="T118" s="176">
        <f t="shared" si="31"/>
        <v>4</v>
      </c>
      <c r="U118" s="251">
        <f t="shared" si="32"/>
        <v>-1.9817376497731389</v>
      </c>
      <c r="V118" s="383">
        <f t="shared" si="33"/>
        <v>51.57574721957306</v>
      </c>
      <c r="W118" s="402">
        <f t="shared" si="34"/>
        <v>41.147225818201292</v>
      </c>
      <c r="X118" s="157">
        <f t="shared" si="35"/>
        <v>45761</v>
      </c>
      <c r="Y118" s="385">
        <f t="shared" si="36"/>
        <v>37.489964632542218</v>
      </c>
      <c r="Z118" s="385">
        <f t="shared" si="37"/>
        <v>39.615662336739256</v>
      </c>
      <c r="AA118" s="386">
        <f t="shared" si="38"/>
        <v>45.717104875154256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0.13346082511298599</v>
      </c>
      <c r="AD118" s="231">
        <f>(INDEX(Models!$BJ118:$BT118,,AH118)*(1-AF118)+INDEX(Models!$BJ118:$BT118,,AH118+1)*AF118-ERP_i)*AE118*Ramure*Pc/MaxiM</f>
        <v>1.1657622349419115E-3</v>
      </c>
      <c r="AE118" s="305">
        <f t="shared" si="40"/>
        <v>0.7</v>
      </c>
      <c r="AF118" s="177">
        <f t="shared" si="41"/>
        <v>0.54324991660083999</v>
      </c>
      <c r="AG118" s="921">
        <f t="shared" si="49"/>
        <v>1</v>
      </c>
      <c r="AH118" s="176">
        <f t="shared" si="42"/>
        <v>7</v>
      </c>
      <c r="AI118" s="225">
        <f t="shared" si="43"/>
        <v>1.54324991660084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45.795808862870899</v>
      </c>
      <c r="C119" s="955"/>
      <c r="D119" s="393">
        <f t="shared" si="25"/>
        <v>48.393511579001022</v>
      </c>
      <c r="E119" s="385">
        <f t="shared" si="47"/>
        <v>50.931457208012212</v>
      </c>
      <c r="F119" s="385">
        <f t="shared" si="26"/>
        <v>50.931544292722762</v>
      </c>
      <c r="G119" s="110">
        <f t="shared" si="48"/>
        <v>0.88595122297514628</v>
      </c>
      <c r="H119" s="414" t="b">
        <f>Wh_hp&gt;='2024'!Maxi_hp</f>
        <v>0</v>
      </c>
      <c r="I119" s="390">
        <f>IF(H119,Wh_hp,'2024'!Maxi_hp)</f>
        <v>56.990205602590848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5.3678739801500952E-2</v>
      </c>
      <c r="M119" s="959"/>
      <c r="N119" s="959"/>
      <c r="O119" s="48">
        <f>IF(t&lt;Tnet,'2024'!Resal+('2024'!Salim-'2024'!Resal)*(1-EXP(('2024'!Tnet-t)/('2024'!Tau_j))),Resal+(Salim-Resal)*(1-EXP((Tnet-t)/(Tau_j))))*Salcycl</f>
        <v>4.9830610945330131E-2</v>
      </c>
      <c r="P119" s="169">
        <f>(INDEX(Models!$BJ119:$BT119,,T119)*(1-R119)+INDEX(Models!$BJ119:$BT119,,T119+1)*R119-ERP_i)*Q119*Ramure*Pc/MaxiM</f>
        <v>2.0426380824087133E-6</v>
      </c>
      <c r="Q119" s="305">
        <f t="shared" si="28"/>
        <v>0.7</v>
      </c>
      <c r="R119" s="177">
        <f t="shared" si="29"/>
        <v>1.9936767536392619E-2</v>
      </c>
      <c r="S119" s="921">
        <f t="shared" si="30"/>
        <v>-2</v>
      </c>
      <c r="T119" s="176">
        <f t="shared" si="31"/>
        <v>4</v>
      </c>
      <c r="U119" s="251">
        <f t="shared" si="32"/>
        <v>-1.9800632324636074</v>
      </c>
      <c r="V119" s="383">
        <f t="shared" si="33"/>
        <v>51.691100406437648</v>
      </c>
      <c r="W119" s="402">
        <f t="shared" si="34"/>
        <v>45.795808862870899</v>
      </c>
      <c r="X119" s="157">
        <f t="shared" si="35"/>
        <v>45762</v>
      </c>
      <c r="Y119" s="385">
        <f t="shared" si="36"/>
        <v>41.720923016796043</v>
      </c>
      <c r="Z119" s="385">
        <f t="shared" si="37"/>
        <v>44.087483576185022</v>
      </c>
      <c r="AA119" s="386">
        <f t="shared" si="38"/>
        <v>50.881432597897053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0.13352511269489745</v>
      </c>
      <c r="AD119" s="231">
        <f>(INDEX(Models!$BJ119:$BT119,,AH119)*(1-AF119)+INDEX(Models!$BJ119:$BT119,,AH119+1)*AF119-ERP_i)*AE119*Ramure*Pc/MaxiM</f>
        <v>1.1754078939998842E-3</v>
      </c>
      <c r="AE119" s="305">
        <f t="shared" si="40"/>
        <v>0.7</v>
      </c>
      <c r="AF119" s="177">
        <f t="shared" si="41"/>
        <v>0.54492433391037154</v>
      </c>
      <c r="AG119" s="921">
        <f t="shared" si="49"/>
        <v>1</v>
      </c>
      <c r="AH119" s="176">
        <f t="shared" si="42"/>
        <v>7</v>
      </c>
      <c r="AI119" s="225">
        <f t="shared" si="43"/>
        <v>1.5449243339103715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41.203902837415185</v>
      </c>
      <c r="C120" s="955"/>
      <c r="D120" s="393">
        <f t="shared" si="25"/>
        <v>43.542089839298505</v>
      </c>
      <c r="E120" s="385">
        <f t="shared" si="47"/>
        <v>45.831235956949129</v>
      </c>
      <c r="F120" s="385">
        <f t="shared" si="26"/>
        <v>45.831314206844574</v>
      </c>
      <c r="G120" s="110">
        <f t="shared" si="48"/>
        <v>0.79537184618380075</v>
      </c>
      <c r="H120" s="414" t="b">
        <f>Wh_hp&gt;='2024'!Maxi_hp</f>
        <v>0</v>
      </c>
      <c r="I120" s="390">
        <f>IF(H120,Wh_hp,'2024'!Maxi_hp)</f>
        <v>53.394011325702145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5.3699466665768858E-2</v>
      </c>
      <c r="M120" s="959"/>
      <c r="N120" s="959"/>
      <c r="O120" s="48">
        <f>IF(t&lt;Tnet,'2024'!Resal+('2024'!Salim-'2024'!Resal)*(1-EXP(('2024'!Tnet-t)/('2024'!Tau_j))),Resal+(Salim-Resal)*(1-EXP((Tnet-t)/(Tau_j))))*Salcycl</f>
        <v>4.9947291838275988E-2</v>
      </c>
      <c r="P120" s="169">
        <f>(INDEX(Models!$BJ120:$BT120,,T120)*(1-R120)+INDEX(Models!$BJ120:$BT120,,T120+1)*R120-ERP_i)*Q120*Ramure*Pc/MaxiM</f>
        <v>2.4126131077094475E-6</v>
      </c>
      <c r="Q120" s="305">
        <f t="shared" si="28"/>
        <v>0.7</v>
      </c>
      <c r="R120" s="177">
        <f t="shared" si="29"/>
        <v>2.1668425510035005E-2</v>
      </c>
      <c r="S120" s="921">
        <f t="shared" si="30"/>
        <v>-2</v>
      </c>
      <c r="T120" s="176">
        <f t="shared" si="31"/>
        <v>4</v>
      </c>
      <c r="U120" s="251">
        <f t="shared" si="32"/>
        <v>-1.978331574489965</v>
      </c>
      <c r="V120" s="383">
        <f t="shared" si="33"/>
        <v>51.804541454780761</v>
      </c>
      <c r="W120" s="402">
        <f t="shared" si="34"/>
        <v>41.203902837415185</v>
      </c>
      <c r="X120" s="157">
        <f t="shared" si="35"/>
        <v>45763</v>
      </c>
      <c r="Y120" s="385">
        <f t="shared" si="36"/>
        <v>37.544701677466499</v>
      </c>
      <c r="Z120" s="385">
        <f t="shared" si="37"/>
        <v>39.675240956675864</v>
      </c>
      <c r="AA120" s="386">
        <f t="shared" si="38"/>
        <v>45.792747775866637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0.13359117144778063</v>
      </c>
      <c r="AD120" s="231">
        <f>(INDEX(Models!$BJ120:$BT120,,AH120)*(1-AF120)+INDEX(Models!$BJ120:$BT120,,AH120+1)*AF120-ERP_i)*AE120*Ramure*Pc/MaxiM</f>
        <v>1.1890862775578266E-3</v>
      </c>
      <c r="AE120" s="305">
        <f t="shared" si="40"/>
        <v>0.7</v>
      </c>
      <c r="AF120" s="177">
        <f t="shared" si="41"/>
        <v>0.54665599188401393</v>
      </c>
      <c r="AG120" s="921">
        <f t="shared" si="49"/>
        <v>1</v>
      </c>
      <c r="AH120" s="176">
        <f t="shared" si="42"/>
        <v>7</v>
      </c>
      <c r="AI120" s="225">
        <f t="shared" si="43"/>
        <v>1.5466559918840139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52.031271830788675</v>
      </c>
      <c r="C121" s="955"/>
      <c r="D121" s="393">
        <f t="shared" si="25"/>
        <v>54.985080998321592</v>
      </c>
      <c r="E121" s="385">
        <f t="shared" si="47"/>
        <v>57.882969742675542</v>
      </c>
      <c r="F121" s="385">
        <f t="shared" si="26"/>
        <v>57.883134620837687</v>
      </c>
      <c r="G121" s="110">
        <f t="shared" si="48"/>
        <v>1.0022289716869432</v>
      </c>
      <c r="H121" s="414" t="b">
        <f>Wh_hp&gt;='2024'!Maxi_hp</f>
        <v>1</v>
      </c>
      <c r="I121" s="390">
        <f>IF(H121,Wh_hp,'2024'!Maxi_hp)</f>
        <v>57.883134620837687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5.3720193076065126E-2</v>
      </c>
      <c r="M121" s="959"/>
      <c r="N121" s="959"/>
      <c r="O121" s="48">
        <f>IF(t&lt;Tnet,'2024'!Resal+('2024'!Salim-'2024'!Resal)*(1-EXP(('2024'!Tnet-t)/('2024'!Tau_j))),Resal+(Salim-Resal)*(1-EXP((Tnet-t)/(Tau_j))))*Salcycl</f>
        <v>5.0064617576409738E-2</v>
      </c>
      <c r="P121" s="169">
        <f>(INDEX(Models!$BJ121:$BT121,,T121)*(1-R121)+INDEX(Models!$BJ121:$BT121,,T121+1)*R121-ERP_i)*Q121*Ramure*Pc/MaxiM</f>
        <v>2.8484663663451923E-6</v>
      </c>
      <c r="Q121" s="305">
        <f t="shared" si="28"/>
        <v>0.7</v>
      </c>
      <c r="R121" s="177">
        <f t="shared" si="29"/>
        <v>2.3458772044711695E-2</v>
      </c>
      <c r="S121" s="921">
        <f t="shared" si="30"/>
        <v>-2</v>
      </c>
      <c r="T121" s="176">
        <f t="shared" si="31"/>
        <v>4</v>
      </c>
      <c r="U121" s="251">
        <f t="shared" si="32"/>
        <v>-1.9765412279552883</v>
      </c>
      <c r="V121" s="383">
        <f t="shared" si="33"/>
        <v>51.915553531854187</v>
      </c>
      <c r="W121" s="402">
        <f t="shared" si="34"/>
        <v>52.031271830788675</v>
      </c>
      <c r="X121" s="157">
        <f t="shared" si="35"/>
        <v>45764</v>
      </c>
      <c r="Y121" s="385">
        <f t="shared" si="36"/>
        <v>47.395382327773959</v>
      </c>
      <c r="Z121" s="385">
        <f t="shared" si="37"/>
        <v>50.086012594775532</v>
      </c>
      <c r="AA121" s="386">
        <f t="shared" si="38"/>
        <v>57.813279089745613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0.13365902465028451</v>
      </c>
      <c r="AD121" s="231">
        <f>(INDEX(Models!$BJ121:$BT121,,AH121)*(1-AF121)+INDEX(Models!$BJ121:$BT121,,AH121+1)*AF121-ERP_i)*AE121*Ramure*Pc/MaxiM</f>
        <v>1.206837389675921E-3</v>
      </c>
      <c r="AE121" s="305">
        <f t="shared" si="40"/>
        <v>0.7</v>
      </c>
      <c r="AF121" s="177">
        <f t="shared" si="41"/>
        <v>0.54844633841869062</v>
      </c>
      <c r="AG121" s="921">
        <f t="shared" si="49"/>
        <v>1</v>
      </c>
      <c r="AH121" s="176">
        <f t="shared" si="42"/>
        <v>7</v>
      </c>
      <c r="AI121" s="225">
        <f t="shared" si="43"/>
        <v>1.5484463384186906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37.102652288923373</v>
      </c>
      <c r="C122" s="955"/>
      <c r="D122" s="393">
        <f t="shared" si="25"/>
        <v>39.209824280876589</v>
      </c>
      <c r="E122" s="385">
        <f t="shared" si="47"/>
        <v>41.281433957485874</v>
      </c>
      <c r="F122" s="385">
        <f t="shared" si="26"/>
        <v>41.281516280892561</v>
      </c>
      <c r="G122" s="110">
        <f t="shared" si="48"/>
        <v>0.71319292437233472</v>
      </c>
      <c r="H122" s="414" t="b">
        <f>Wh_hp&gt;='2024'!Maxi_hp</f>
        <v>0</v>
      </c>
      <c r="I122" s="390">
        <f>IF(H122,Wh_hp,'2024'!Maxi_hp)</f>
        <v>42.269665111428111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5.3740919032399859E-2</v>
      </c>
      <c r="M122" s="959"/>
      <c r="N122" s="959"/>
      <c r="O122" s="48">
        <f>IF(t&lt;Tnet,'2024'!Resal+('2024'!Salim-'2024'!Resal)*(1-EXP(('2024'!Tnet-t)/('2024'!Tau_j))),Resal+(Salim-Resal)*(1-EXP((Tnet-t)/(Tau_j))))*Salcycl</f>
        <v>5.0182599730977329E-2</v>
      </c>
      <c r="P122" s="169">
        <f>(INDEX(Models!$BJ122:$BT122,,T122)*(1-R122)+INDEX(Models!$BJ122:$BT122,,T122+1)*R122-ERP_i)*Q122*Ramure*Pc/MaxiM</f>
        <v>3.3784058449170209E-6</v>
      </c>
      <c r="Q122" s="305">
        <f t="shared" si="28"/>
        <v>0.7</v>
      </c>
      <c r="R122" s="177">
        <f t="shared" si="29"/>
        <v>2.5309252367434754E-2</v>
      </c>
      <c r="S122" s="921">
        <f t="shared" si="30"/>
        <v>-2</v>
      </c>
      <c r="T122" s="176">
        <f t="shared" si="31"/>
        <v>4</v>
      </c>
      <c r="U122" s="251">
        <f t="shared" si="32"/>
        <v>-1.9746907476325652</v>
      </c>
      <c r="V122" s="383">
        <f t="shared" si="33"/>
        <v>52.023231951708482</v>
      </c>
      <c r="W122" s="402">
        <f t="shared" si="34"/>
        <v>37.102652288923373</v>
      </c>
      <c r="X122" s="157">
        <f t="shared" si="35"/>
        <v>45765</v>
      </c>
      <c r="Y122" s="385">
        <f t="shared" si="36"/>
        <v>33.814577247818868</v>
      </c>
      <c r="Z122" s="385">
        <f t="shared" si="37"/>
        <v>35.735009499979292</v>
      </c>
      <c r="AA122" s="386">
        <f t="shared" si="38"/>
        <v>41.251521574397003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0.13372869324271339</v>
      </c>
      <c r="AD122" s="231">
        <f>(INDEX(Models!$BJ122:$BT122,,AH122)*(1-AF122)+INDEX(Models!$BJ122:$BT122,,AH122+1)*AF122-ERP_i)*AE122*Ramure*Pc/MaxiM</f>
        <v>1.2309292802561687E-3</v>
      </c>
      <c r="AE122" s="305">
        <f t="shared" si="40"/>
        <v>0.7</v>
      </c>
      <c r="AF122" s="177">
        <f t="shared" si="41"/>
        <v>0.55029681874141367</v>
      </c>
      <c r="AG122" s="921">
        <f t="shared" si="49"/>
        <v>1</v>
      </c>
      <c r="AH122" s="176">
        <f t="shared" si="42"/>
        <v>7</v>
      </c>
      <c r="AI122" s="225">
        <f t="shared" si="43"/>
        <v>1.5502968187414137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8.8813710882746175</v>
      </c>
      <c r="C123" s="955"/>
      <c r="D123" s="393">
        <f t="shared" si="25"/>
        <v>9.3859766273246255</v>
      </c>
      <c r="E123" s="385">
        <f t="shared" si="47"/>
        <v>9.8831093728215826</v>
      </c>
      <c r="F123" s="385">
        <f t="shared" si="26"/>
        <v>9.8831093728215826</v>
      </c>
      <c r="G123" s="110">
        <f t="shared" si="48"/>
        <v>0.17037722621845494</v>
      </c>
      <c r="H123" s="414" t="b">
        <f>Wh_hp&gt;='2024'!Maxi_hp</f>
        <v>0</v>
      </c>
      <c r="I123" s="390">
        <f>IF(H123,Wh_hp,'2024'!Maxi_hp)</f>
        <v>56.035337326864806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5.3761644534782937E-2</v>
      </c>
      <c r="M123" s="959"/>
      <c r="N123" s="959"/>
      <c r="O123" s="48">
        <f>IF(t&lt;Tnet,'2024'!Resal+('2024'!Salim-'2024'!Resal)*(1-EXP(('2024'!Tnet-t)/('2024'!Tau_j))),Resal+(Salim-Resal)*(1-EXP((Tnet-t)/(Tau_j))))*Salcycl</f>
        <v>5.0301249004090276E-2</v>
      </c>
      <c r="P123" s="169">
        <f>(INDEX(Models!$BJ123:$BT123,,T123)*(1-R123)+INDEX(Models!$BJ123:$BT123,,T123+1)*R123-ERP_i)*Q123*Ramure*Pc/MaxiM</f>
        <v>4.0061654596031832E-6</v>
      </c>
      <c r="Q123" s="305">
        <f t="shared" si="28"/>
        <v>0.7</v>
      </c>
      <c r="R123" s="177">
        <f t="shared" si="29"/>
        <v>2.7221305452071576E-2</v>
      </c>
      <c r="S123" s="921">
        <f t="shared" si="30"/>
        <v>-2</v>
      </c>
      <c r="T123" s="176">
        <f t="shared" si="31"/>
        <v>4</v>
      </c>
      <c r="U123" s="251">
        <f t="shared" si="32"/>
        <v>-1.9727786945479284</v>
      </c>
      <c r="V123" s="383">
        <f t="shared" si="33"/>
        <v>52.127480327946088</v>
      </c>
      <c r="W123" s="402">
        <f t="shared" si="34"/>
        <v>8.8813710882746175</v>
      </c>
      <c r="X123" s="157">
        <f t="shared" si="35"/>
        <v>45766</v>
      </c>
      <c r="Y123" s="385">
        <f t="shared" si="36"/>
        <v>8.1005075454523698</v>
      </c>
      <c r="Z123" s="385">
        <f t="shared" si="37"/>
        <v>8.5607474043575031</v>
      </c>
      <c r="AA123" s="386">
        <f t="shared" si="38"/>
        <v>9.8831093728215826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0.13380019572590765</v>
      </c>
      <c r="AD123" s="231">
        <f>(INDEX(Models!$BJ123:$BT123,,AH123)*(1-AF123)+INDEX(Models!$BJ123:$BT123,,AH123+1)*AF123-ERP_i)*AE123*Ramure*Pc/MaxiM</f>
        <v>1.2600387091808787E-3</v>
      </c>
      <c r="AE123" s="305">
        <f t="shared" si="40"/>
        <v>0.7</v>
      </c>
      <c r="AF123" s="177">
        <f t="shared" si="41"/>
        <v>0.5522088718260505</v>
      </c>
      <c r="AG123" s="921">
        <f t="shared" si="49"/>
        <v>1</v>
      </c>
      <c r="AH123" s="176">
        <f t="shared" si="42"/>
        <v>7</v>
      </c>
      <c r="AI123" s="225">
        <f t="shared" si="43"/>
        <v>1.5522088718260505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10.020447907753468</v>
      </c>
      <c r="C124" s="955"/>
      <c r="D124" s="393">
        <f t="shared" si="25"/>
        <v>10.590003383618853</v>
      </c>
      <c r="E124" s="385">
        <f t="shared" si="47"/>
        <v>11.152309229566438</v>
      </c>
      <c r="F124" s="385">
        <f t="shared" si="26"/>
        <v>11.152309229566438</v>
      </c>
      <c r="G124" s="110">
        <f t="shared" si="48"/>
        <v>0.1918580383351603</v>
      </c>
      <c r="H124" s="414" t="b">
        <f>Wh_hp&gt;='2024'!Maxi_hp</f>
        <v>0</v>
      </c>
      <c r="I124" s="390">
        <f>IF(H124,Wh_hp,'2024'!Maxi_hp)</f>
        <v>54.638540839726012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5.3782369583224354E-2</v>
      </c>
      <c r="M124" s="959"/>
      <c r="N124" s="959"/>
      <c r="O124" s="48">
        <f>IF(t&lt;Tnet,'2024'!Resal+('2024'!Salim-'2024'!Resal)*(1-EXP(('2024'!Tnet-t)/('2024'!Tau_j))),Resal+(Salim-Resal)*(1-EXP((Tnet-t)/(Tau_j))))*Salcycl</f>
        <v>5.0420575180683429E-2</v>
      </c>
      <c r="P124" s="169">
        <f>(INDEX(Models!$BJ124:$BT124,,T124)*(1-R124)+INDEX(Models!$BJ124:$BT124,,T124+1)*R124-ERP_i)*Q124*Ramure*Pc/MaxiM</f>
        <v>4.7443656788360165E-6</v>
      </c>
      <c r="Q124" s="305">
        <f t="shared" si="28"/>
        <v>0.7</v>
      </c>
      <c r="R124" s="177">
        <f t="shared" si="29"/>
        <v>2.9196360180740788E-2</v>
      </c>
      <c r="S124" s="921">
        <f t="shared" si="30"/>
        <v>-2</v>
      </c>
      <c r="T124" s="176">
        <f t="shared" si="31"/>
        <v>4</v>
      </c>
      <c r="U124" s="251">
        <f t="shared" si="32"/>
        <v>-1.9708036398192592</v>
      </c>
      <c r="V124" s="383">
        <f t="shared" si="33"/>
        <v>52.228201924901931</v>
      </c>
      <c r="W124" s="402">
        <f t="shared" si="34"/>
        <v>10.020447907753468</v>
      </c>
      <c r="X124" s="157">
        <f t="shared" si="35"/>
        <v>45767</v>
      </c>
      <c r="Y124" s="385">
        <f t="shared" si="36"/>
        <v>9.1398094423545153</v>
      </c>
      <c r="Z124" s="385">
        <f t="shared" si="37"/>
        <v>9.6593100239833305</v>
      </c>
      <c r="AA124" s="386">
        <f t="shared" si="38"/>
        <v>11.152309229566438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0.13387354805630233</v>
      </c>
      <c r="AD124" s="231">
        <f>(INDEX(Models!$BJ124:$BT124,,AH124)*(1-AF124)+INDEX(Models!$BJ124:$BT124,,AH124+1)*AF124-ERP_i)*AE124*Ramure*Pc/MaxiM</f>
        <v>1.2942197437451949E-3</v>
      </c>
      <c r="AE124" s="305">
        <f t="shared" si="40"/>
        <v>0.7</v>
      </c>
      <c r="AF124" s="177">
        <f t="shared" si="41"/>
        <v>0.55418392655471971</v>
      </c>
      <c r="AG124" s="921">
        <f t="shared" si="49"/>
        <v>1</v>
      </c>
      <c r="AH124" s="176">
        <f t="shared" si="42"/>
        <v>7</v>
      </c>
      <c r="AI124" s="225">
        <f t="shared" si="43"/>
        <v>1.5541839265547197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9.0498544172644593</v>
      </c>
      <c r="C125" s="955"/>
      <c r="D125" s="393">
        <f t="shared" si="25"/>
        <v>9.5644515021954515</v>
      </c>
      <c r="E125" s="385">
        <f t="shared" si="47"/>
        <v>10.073575944406993</v>
      </c>
      <c r="F125" s="385">
        <f t="shared" si="26"/>
        <v>10.073575944406993</v>
      </c>
      <c r="G125" s="110">
        <f t="shared" si="48"/>
        <v>0.17295273348478443</v>
      </c>
      <c r="H125" s="414" t="b">
        <f>Wh_hp&gt;='2024'!Maxi_hp</f>
        <v>0</v>
      </c>
      <c r="I125" s="390">
        <f>IF(H125,Wh_hp,'2024'!Maxi_hp)</f>
        <v>49.293646269634195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5.3803094177734101E-2</v>
      </c>
      <c r="M125" s="959"/>
      <c r="N125" s="959"/>
      <c r="O125" s="48">
        <f>IF(t&lt;Tnet,'2024'!Resal+('2024'!Salim-'2024'!Resal)*(1-EXP(('2024'!Tnet-t)/('2024'!Tau_j))),Resal+(Salim-Resal)*(1-EXP((Tnet-t)/(Tau_j))))*Salcycl</f>
        <v>5.0540587078634784E-2</v>
      </c>
      <c r="P125" s="169">
        <f>(INDEX(Models!$BJ125:$BT125,,T125)*(1-R125)+INDEX(Models!$BJ125:$BT125,,T125+1)*R125-ERP_i)*Q125*Ramure*Pc/MaxiM</f>
        <v>5.6065523667496606E-6</v>
      </c>
      <c r="Q125" s="305">
        <f t="shared" si="28"/>
        <v>0.7</v>
      </c>
      <c r="R125" s="177">
        <f t="shared" si="29"/>
        <v>3.1235831246213763E-2</v>
      </c>
      <c r="S125" s="921">
        <f t="shared" si="30"/>
        <v>-2</v>
      </c>
      <c r="T125" s="176">
        <f t="shared" si="31"/>
        <v>4</v>
      </c>
      <c r="U125" s="251">
        <f t="shared" si="32"/>
        <v>-1.9687641687537862</v>
      </c>
      <c r="V125" s="383">
        <f t="shared" si="33"/>
        <v>52.32530007730648</v>
      </c>
      <c r="W125" s="402">
        <f t="shared" si="34"/>
        <v>9.0498544172644593</v>
      </c>
      <c r="X125" s="157">
        <f t="shared" si="35"/>
        <v>45768</v>
      </c>
      <c r="Y125" s="385">
        <f t="shared" si="36"/>
        <v>8.2548421777873315</v>
      </c>
      <c r="Z125" s="385">
        <f t="shared" si="37"/>
        <v>8.724232902255892</v>
      </c>
      <c r="AA125" s="386">
        <f t="shared" si="38"/>
        <v>10.073575944406993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0.13394876353717056</v>
      </c>
      <c r="AD125" s="231">
        <f>(INDEX(Models!$BJ125:$BT125,,AH125)*(1-AF125)+INDEX(Models!$BJ125:$BT125,,AH125+1)*AF125-ERP_i)*AE125*Ramure*Pc/MaxiM</f>
        <v>1.3335367654056783E-3</v>
      </c>
      <c r="AE125" s="305">
        <f t="shared" si="40"/>
        <v>0.7</v>
      </c>
      <c r="AF125" s="177">
        <f t="shared" si="41"/>
        <v>0.55622339762019268</v>
      </c>
      <c r="AG125" s="921">
        <f t="shared" si="49"/>
        <v>1</v>
      </c>
      <c r="AH125" s="176">
        <f t="shared" si="42"/>
        <v>7</v>
      </c>
      <c r="AI125" s="225">
        <f t="shared" si="43"/>
        <v>1.5562233976201927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27.362757512606148</v>
      </c>
      <c r="C126" s="955"/>
      <c r="D126" s="393">
        <f t="shared" si="25"/>
        <v>28.919304926882845</v>
      </c>
      <c r="E126" s="385">
        <f t="shared" si="47"/>
        <v>30.462578527900163</v>
      </c>
      <c r="F126" s="385">
        <f t="shared" si="26"/>
        <v>30.46264236172507</v>
      </c>
      <c r="G126" s="110">
        <f t="shared" si="48"/>
        <v>0.52200160326738321</v>
      </c>
      <c r="H126" s="414" t="b">
        <f>Wh_hp&gt;='2024'!Maxi_hp</f>
        <v>0</v>
      </c>
      <c r="I126" s="390">
        <f>IF(H126,Wh_hp,'2024'!Maxi_hp)</f>
        <v>60.094501166563738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5.3823818318321948E-2</v>
      </c>
      <c r="M126" s="959"/>
      <c r="N126" s="959"/>
      <c r="O126" s="48">
        <f>IF(t&lt;Tnet,'2024'!Resal+('2024'!Salim-'2024'!Resal)*(1-EXP(('2024'!Tnet-t)/('2024'!Tau_j))),Resal+(Salim-Resal)*(1-EXP((Tnet-t)/(Tau_j))))*Salcycl</f>
        <v>5.0661292497083232E-2</v>
      </c>
      <c r="P126" s="169">
        <f>(INDEX(Models!$BJ126:$BT126,,T126)*(1-R126)+INDEX(Models!$BJ126:$BT126,,T126+1)*R126-ERP_i)*Q126*Ramure*Pc/MaxiM</f>
        <v>6.6072481507047488E-6</v>
      </c>
      <c r="Q126" s="305">
        <f t="shared" si="28"/>
        <v>0.7</v>
      </c>
      <c r="R126" s="177">
        <f t="shared" si="29"/>
        <v>3.3341114793096205E-2</v>
      </c>
      <c r="S126" s="921">
        <f t="shared" si="30"/>
        <v>-2</v>
      </c>
      <c r="T126" s="176">
        <f t="shared" si="31"/>
        <v>4</v>
      </c>
      <c r="U126" s="251">
        <f t="shared" si="32"/>
        <v>-1.9666588852069038</v>
      </c>
      <c r="V126" s="383">
        <f t="shared" si="33"/>
        <v>52.418678192994271</v>
      </c>
      <c r="W126" s="402">
        <f t="shared" si="34"/>
        <v>27.362757512606148</v>
      </c>
      <c r="X126" s="157">
        <f t="shared" si="35"/>
        <v>45769</v>
      </c>
      <c r="Y126" s="385">
        <f t="shared" si="36"/>
        <v>24.949087142734708</v>
      </c>
      <c r="Z126" s="385">
        <f t="shared" si="37"/>
        <v>26.368331422581008</v>
      </c>
      <c r="AA126" s="386">
        <f t="shared" si="38"/>
        <v>30.449328660656533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0.13402585270619016</v>
      </c>
      <c r="AD126" s="231">
        <f>(INDEX(Models!$BJ126:$BT126,,AH126)*(1-AF126)+INDEX(Models!$BJ126:$BT126,,AH126+1)*AF126-ERP_i)*AE126*Ramure*Pc/MaxiM</f>
        <v>1.3780613474214084E-3</v>
      </c>
      <c r="AE126" s="305">
        <f t="shared" si="40"/>
        <v>0.7</v>
      </c>
      <c r="AF126" s="177">
        <f t="shared" si="41"/>
        <v>0.55832868116707512</v>
      </c>
      <c r="AG126" s="921">
        <f t="shared" si="49"/>
        <v>1</v>
      </c>
      <c r="AH126" s="176">
        <f t="shared" si="42"/>
        <v>7</v>
      </c>
      <c r="AI126" s="225">
        <f t="shared" si="43"/>
        <v>1.5583286811670751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9.4022172950136902</v>
      </c>
      <c r="C127" s="955"/>
      <c r="D127" s="393">
        <f t="shared" si="25"/>
        <v>9.9372859032467318</v>
      </c>
      <c r="E127" s="385">
        <f t="shared" si="47"/>
        <v>10.46892622375892</v>
      </c>
      <c r="F127" s="385">
        <f t="shared" si="26"/>
        <v>10.46892622375892</v>
      </c>
      <c r="G127" s="110">
        <f t="shared" si="48"/>
        <v>0.17906036004827239</v>
      </c>
      <c r="H127" s="414" t="b">
        <f>Wh_hp&gt;='2024'!Maxi_hp</f>
        <v>0</v>
      </c>
      <c r="I127" s="390">
        <f>IF(H127,Wh_hp,'2024'!Maxi_hp)</f>
        <v>60.511949341362161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5.3844542004997886E-2</v>
      </c>
      <c r="M127" s="959"/>
      <c r="N127" s="959"/>
      <c r="O127" s="48">
        <f>IF(t&lt;Tnet,'2024'!Resal+('2024'!Salim-'2024'!Resal)*(1-EXP(('2024'!Tnet-t)/('2024'!Tau_j))),Resal+(Salim-Resal)*(1-EXP((Tnet-t)/(Tau_j))))*Salcycl</f>
        <v>5.0782698163030909E-2</v>
      </c>
      <c r="P127" s="169">
        <f>(INDEX(Models!$BJ127:$BT127,,T127)*(1-R127)+INDEX(Models!$BJ127:$BT127,,T127+1)*R127-ERP_i)*Q127*Ramure*Pc/MaxiM</f>
        <v>7.7619919555793961E-6</v>
      </c>
      <c r="Q127" s="305">
        <f t="shared" si="28"/>
        <v>0.7</v>
      </c>
      <c r="R127" s="177">
        <f t="shared" si="29"/>
        <v>3.5513583797129655E-2</v>
      </c>
      <c r="S127" s="921">
        <f t="shared" si="30"/>
        <v>-2</v>
      </c>
      <c r="T127" s="176">
        <f t="shared" si="31"/>
        <v>4</v>
      </c>
      <c r="U127" s="251">
        <f t="shared" si="32"/>
        <v>-1.9644864162028703</v>
      </c>
      <c r="V127" s="383">
        <f t="shared" si="33"/>
        <v>52.508239749679845</v>
      </c>
      <c r="W127" s="402">
        <f t="shared" si="34"/>
        <v>9.4022172950136902</v>
      </c>
      <c r="X127" s="157">
        <f t="shared" si="35"/>
        <v>45770</v>
      </c>
      <c r="Y127" s="385">
        <f t="shared" si="36"/>
        <v>8.5768923417621021</v>
      </c>
      <c r="Z127" s="385">
        <f t="shared" si="37"/>
        <v>9.0649927232226659</v>
      </c>
      <c r="AA127" s="386">
        <f t="shared" si="38"/>
        <v>10.46892622375892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0.13410482321960279</v>
      </c>
      <c r="AD127" s="231">
        <f>(INDEX(Models!$BJ127:$BT127,,AH127)*(1-AF127)+INDEX(Models!$BJ127:$BT127,,AH127+1)*AF127-ERP_i)*AE127*Ramure*Pc/MaxiM</f>
        <v>1.4278683644477102E-3</v>
      </c>
      <c r="AE127" s="305">
        <f t="shared" si="40"/>
        <v>0.7</v>
      </c>
      <c r="AF127" s="177">
        <f t="shared" si="41"/>
        <v>0.56050115017110858</v>
      </c>
      <c r="AG127" s="921">
        <f t="shared" si="49"/>
        <v>1</v>
      </c>
      <c r="AH127" s="176">
        <f t="shared" si="42"/>
        <v>7</v>
      </c>
      <c r="AI127" s="225">
        <f t="shared" si="43"/>
        <v>1.5605011501711086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24.168826726395675</v>
      </c>
      <c r="C128" s="955"/>
      <c r="D128" s="393">
        <f t="shared" si="25"/>
        <v>25.54480439032768</v>
      </c>
      <c r="E128" s="385">
        <f t="shared" si="47"/>
        <v>26.914902373087802</v>
      </c>
      <c r="F128" s="385">
        <f t="shared" si="26"/>
        <v>26.9149582147083</v>
      </c>
      <c r="G128" s="110">
        <f t="shared" si="48"/>
        <v>0.45953356973119036</v>
      </c>
      <c r="H128" s="414" t="b">
        <f>Wh_hp&gt;='2024'!Maxi_hp</f>
        <v>0</v>
      </c>
      <c r="I128" s="390">
        <f>IF(H128,Wh_hp,'2024'!Maxi_hp)</f>
        <v>59.112989516648078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5.386526523777202E-2</v>
      </c>
      <c r="M128" s="959"/>
      <c r="N128" s="959"/>
      <c r="O128" s="48">
        <f>IF(t&lt;Tnet,'2024'!Resal+('2024'!Salim-'2024'!Resal)*(1-EXP(('2024'!Tnet-t)/('2024'!Tau_j))),Resal+(Salim-Resal)*(1-EXP((Tnet-t)/(Tau_j))))*Salcycl</f>
        <v>5.0904809676370281E-2</v>
      </c>
      <c r="P128" s="169">
        <f>(INDEX(Models!$BJ128:$BT128,,T128)*(1-R128)+INDEX(Models!$BJ128:$BT128,,T128+1)*R128-ERP_i)*Q128*Ramure*Pc/MaxiM</f>
        <v>9.1033547505629342E-6</v>
      </c>
      <c r="Q128" s="305">
        <f t="shared" si="28"/>
        <v>0.7</v>
      </c>
      <c r="R128" s="177">
        <f t="shared" si="29"/>
        <v>3.7754583183711166E-2</v>
      </c>
      <c r="S128" s="921">
        <f t="shared" si="30"/>
        <v>-2</v>
      </c>
      <c r="T128" s="176">
        <f t="shared" si="31"/>
        <v>4</v>
      </c>
      <c r="U128" s="251">
        <f t="shared" si="32"/>
        <v>-1.9622454168162888</v>
      </c>
      <c r="V128" s="383">
        <f t="shared" si="33"/>
        <v>52.593887464806684</v>
      </c>
      <c r="W128" s="402">
        <f t="shared" si="34"/>
        <v>24.168826726395675</v>
      </c>
      <c r="X128" s="157">
        <f t="shared" si="35"/>
        <v>45771</v>
      </c>
      <c r="Y128" s="385">
        <f t="shared" si="36"/>
        <v>22.040655846235062</v>
      </c>
      <c r="Z128" s="385">
        <f t="shared" si="37"/>
        <v>23.295472659899833</v>
      </c>
      <c r="AA128" s="386">
        <f t="shared" si="38"/>
        <v>26.905852807708268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0.13418567973337373</v>
      </c>
      <c r="AD128" s="231">
        <f>(INDEX(Models!$BJ128:$BT128,,AH128)*(1-AF128)+INDEX(Models!$BJ128:$BT128,,AH128+1)*AF128-ERP_i)*AE128*Ramure*Pc/MaxiM</f>
        <v>1.4843722179826758E-3</v>
      </c>
      <c r="AE128" s="305">
        <f t="shared" si="40"/>
        <v>0.7</v>
      </c>
      <c r="AF128" s="177">
        <f t="shared" si="41"/>
        <v>0.56274214955769009</v>
      </c>
      <c r="AG128" s="921">
        <f t="shared" si="49"/>
        <v>1</v>
      </c>
      <c r="AH128" s="176">
        <f t="shared" si="42"/>
        <v>7</v>
      </c>
      <c r="AI128" s="225">
        <f t="shared" si="43"/>
        <v>1.5627421495576901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45.839035529713854</v>
      </c>
      <c r="C129" s="955"/>
      <c r="D129" s="393">
        <f t="shared" si="25"/>
        <v>48.449800921583581</v>
      </c>
      <c r="E129" s="385">
        <f t="shared" si="47"/>
        <v>51.055017540493409</v>
      </c>
      <c r="F129" s="385">
        <f t="shared" si="26"/>
        <v>51.05545923921462</v>
      </c>
      <c r="G129" s="110">
        <f t="shared" si="48"/>
        <v>0.8702133292980968</v>
      </c>
      <c r="H129" s="414" t="b">
        <f>Wh_hp&gt;='2024'!Maxi_hp</f>
        <v>0</v>
      </c>
      <c r="I129" s="390">
        <f>IF(H129,Wh_hp,'2024'!Maxi_hp)</f>
        <v>55.415664195239167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5.3885988016654007E-2</v>
      </c>
      <c r="M129" s="959"/>
      <c r="N129" s="959"/>
      <c r="O129" s="48">
        <f>IF(t&lt;Tnet,'2024'!Resal+('2024'!Salim-'2024'!Resal)*(1-EXP(('2024'!Tnet-t)/('2024'!Tau_j))),Resal+(Salim-Resal)*(1-EXP((Tnet-t)/(Tau_j))))*Salcycl</f>
        <v>5.1027631453530432E-2</v>
      </c>
      <c r="P129" s="169">
        <f>(INDEX(Models!$BJ129:$BT129,,T129)*(1-R129)+INDEX(Models!$BJ129:$BT129,,T129+1)*R129-ERP_i)*Q129*Ramure*Pc/MaxiM</f>
        <v>1.0620459928861486E-5</v>
      </c>
      <c r="Q129" s="305">
        <f t="shared" si="28"/>
        <v>0.7</v>
      </c>
      <c r="R129" s="177">
        <f t="shared" si="29"/>
        <v>4.0065424688676909E-2</v>
      </c>
      <c r="S129" s="921">
        <f t="shared" si="30"/>
        <v>-2</v>
      </c>
      <c r="T129" s="176">
        <f t="shared" si="31"/>
        <v>4</v>
      </c>
      <c r="U129" s="251">
        <f t="shared" si="32"/>
        <v>-1.9599345753113231</v>
      </c>
      <c r="V129" s="383">
        <f t="shared" si="33"/>
        <v>52.675526475643004</v>
      </c>
      <c r="W129" s="402">
        <f t="shared" si="34"/>
        <v>45.839035529713854</v>
      </c>
      <c r="X129" s="157">
        <f t="shared" si="35"/>
        <v>45772</v>
      </c>
      <c r="Y129" s="385">
        <f t="shared" si="36"/>
        <v>41.765907385453353</v>
      </c>
      <c r="Z129" s="385">
        <f t="shared" si="37"/>
        <v>44.144687486341276</v>
      </c>
      <c r="AA129" s="386">
        <f t="shared" si="38"/>
        <v>50.991194844924877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0.13426842378189596</v>
      </c>
      <c r="AD129" s="231">
        <f>(INDEX(Models!$BJ129:$BT129,,AH129)*(1-AF129)+INDEX(Models!$BJ129:$BT129,,AH129+1)*AF129-ERP_i)*AE129*Ramure*Pc/MaxiM</f>
        <v>1.5452103246589824E-3</v>
      </c>
      <c r="AE129" s="305">
        <f t="shared" si="40"/>
        <v>0.7</v>
      </c>
      <c r="AF129" s="177">
        <f t="shared" si="41"/>
        <v>0.56505299106265583</v>
      </c>
      <c r="AG129" s="921">
        <f t="shared" si="49"/>
        <v>1</v>
      </c>
      <c r="AH129" s="176">
        <f t="shared" si="42"/>
        <v>7</v>
      </c>
      <c r="AI129" s="225">
        <f t="shared" si="43"/>
        <v>1.5650529910626558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51.267579555498081</v>
      </c>
      <c r="C130" s="955"/>
      <c r="D130" s="393">
        <f t="shared" si="25"/>
        <v>54.188714914162297</v>
      </c>
      <c r="E130" s="385">
        <f t="shared" si="47"/>
        <v>57.109955780823057</v>
      </c>
      <c r="F130" s="385">
        <f t="shared" si="26"/>
        <v>57.110631606618483</v>
      </c>
      <c r="G130" s="110">
        <f t="shared" si="48"/>
        <v>0.97184037301342174</v>
      </c>
      <c r="H130" s="414" t="b">
        <f>Wh_hp&gt;='2024'!Maxi_hp</f>
        <v>1</v>
      </c>
      <c r="I130" s="390">
        <f>IF(H130,Wh_hp,'2024'!Maxi_hp)</f>
        <v>57.110631606618483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5.3906710341654063E-2</v>
      </c>
      <c r="M130" s="959"/>
      <c r="N130" s="959"/>
      <c r="O130" s="48">
        <f>IF(t&lt;Tnet,'2024'!Resal+('2024'!Salim-'2024'!Resal)*(1-EXP(('2024'!Tnet-t)/('2024'!Tau_j))),Resal+(Salim-Resal)*(1-EXP((Tnet-t)/(Tau_j))))*Salcycl</f>
        <v>5.1151166669992046E-2</v>
      </c>
      <c r="P130" s="169">
        <f>(INDEX(Models!$BJ130:$BT130,,T130)*(1-R130)+INDEX(Models!$BJ130:$BT130,,T130+1)*R130-ERP_i)*Q130*Ramure*Pc/MaxiM</f>
        <v>1.2329612596370386E-5</v>
      </c>
      <c r="Q130" s="305">
        <f t="shared" si="28"/>
        <v>0.7</v>
      </c>
      <c r="R130" s="177">
        <f t="shared" si="29"/>
        <v>4.2447381466536038E-2</v>
      </c>
      <c r="S130" s="921">
        <f t="shared" si="30"/>
        <v>-2</v>
      </c>
      <c r="T130" s="176">
        <f t="shared" si="31"/>
        <v>4</v>
      </c>
      <c r="U130" s="251">
        <f t="shared" si="32"/>
        <v>-1.957552618533464</v>
      </c>
      <c r="V130" s="383">
        <f t="shared" si="33"/>
        <v>52.753060637051064</v>
      </c>
      <c r="W130" s="402">
        <f t="shared" si="34"/>
        <v>51.267579555498081</v>
      </c>
      <c r="X130" s="157">
        <f t="shared" si="35"/>
        <v>45773</v>
      </c>
      <c r="Y130" s="385">
        <f t="shared" si="36"/>
        <v>46.700327560010727</v>
      </c>
      <c r="Z130" s="385">
        <f t="shared" si="37"/>
        <v>49.361229035748885</v>
      </c>
      <c r="AA130" s="386">
        <f t="shared" si="38"/>
        <v>57.022356798185456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0.13435305365491945</v>
      </c>
      <c r="AD130" s="231">
        <f>(INDEX(Models!$BJ130:$BT130,,AH130)*(1-AF130)+INDEX(Models!$BJ130:$BT130,,AH130+1)*AF130-ERP_i)*AE130*Ramure*Pc/MaxiM</f>
        <v>1.6104655924225617E-3</v>
      </c>
      <c r="AE130" s="305">
        <f t="shared" si="40"/>
        <v>0.7</v>
      </c>
      <c r="AF130" s="177">
        <f t="shared" si="41"/>
        <v>0.56743494784051496</v>
      </c>
      <c r="AG130" s="921">
        <f t="shared" si="49"/>
        <v>1</v>
      </c>
      <c r="AH130" s="176">
        <f t="shared" si="42"/>
        <v>7</v>
      </c>
      <c r="AI130" s="225">
        <f t="shared" si="43"/>
        <v>1.567434947840515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37.790171714447766</v>
      </c>
      <c r="C131" s="955"/>
      <c r="D131" s="393">
        <f t="shared" si="25"/>
        <v>39.944263263901327</v>
      </c>
      <c r="E131" s="385">
        <f t="shared" si="47"/>
        <v>42.103118215927054</v>
      </c>
      <c r="F131" s="385">
        <f t="shared" si="26"/>
        <v>42.103474182693475</v>
      </c>
      <c r="G131" s="110">
        <f t="shared" si="48"/>
        <v>0.71536120458079477</v>
      </c>
      <c r="H131" s="414" t="b">
        <f>Wh_hp&gt;='2024'!Maxi_hp</f>
        <v>1</v>
      </c>
      <c r="I131" s="390">
        <f>IF(H131,Wh_hp,'2024'!Maxi_hp)</f>
        <v>42.103474182693475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5.3927432212782067E-2</v>
      </c>
      <c r="M131" s="959"/>
      <c r="N131" s="959"/>
      <c r="O131" s="48">
        <f>IF(t&lt;Tnet,'2024'!Resal+('2024'!Salim-'2024'!Resal)*(1-EXP(('2024'!Tnet-t)/('2024'!Tau_j))),Resal+(Salim-Resal)*(1-EXP((Tnet-t)/(Tau_j))))*Salcycl</f>
        <v>5.1275417201974906E-2</v>
      </c>
      <c r="P131" s="169">
        <f>(INDEX(Models!$BJ131:$BT131,,T131)*(1-R131)+INDEX(Models!$BJ131:$BT131,,T131+1)*R131-ERP_i)*Q131*Ramure*Pc/MaxiM</f>
        <v>1.4248176833007025E-5</v>
      </c>
      <c r="Q131" s="305">
        <f t="shared" si="28"/>
        <v>0.7</v>
      </c>
      <c r="R131" s="177">
        <f t="shared" si="29"/>
        <v>4.4901682453670988E-2</v>
      </c>
      <c r="S131" s="921">
        <f t="shared" si="30"/>
        <v>-2</v>
      </c>
      <c r="T131" s="176">
        <f t="shared" si="31"/>
        <v>4</v>
      </c>
      <c r="U131" s="251">
        <f t="shared" si="32"/>
        <v>-1.955098317546329</v>
      </c>
      <c r="V131" s="383">
        <f t="shared" si="33"/>
        <v>52.826393896132181</v>
      </c>
      <c r="W131" s="402">
        <f t="shared" si="34"/>
        <v>37.790171714447766</v>
      </c>
      <c r="X131" s="157">
        <f t="shared" si="35"/>
        <v>45774</v>
      </c>
      <c r="Y131" s="385">
        <f t="shared" si="36"/>
        <v>34.443443808270189</v>
      </c>
      <c r="Z131" s="385">
        <f t="shared" si="37"/>
        <v>36.406767283011312</v>
      </c>
      <c r="AA131" s="386">
        <f t="shared" si="38"/>
        <v>42.061496552178269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0.1344395642735188</v>
      </c>
      <c r="AD131" s="231">
        <f>(INDEX(Models!$BJ131:$BT131,,AH131)*(1-AF131)+INDEX(Models!$BJ131:$BT131,,AH131+1)*AF131-ERP_i)*AE131*Ramure*Pc/MaxiM</f>
        <v>1.6802262430930777E-3</v>
      </c>
      <c r="AE131" s="305">
        <f t="shared" si="40"/>
        <v>0.7</v>
      </c>
      <c r="AF131" s="177">
        <f t="shared" si="41"/>
        <v>0.56988924882764991</v>
      </c>
      <c r="AG131" s="921">
        <f t="shared" si="49"/>
        <v>1</v>
      </c>
      <c r="AH131" s="176">
        <f t="shared" si="42"/>
        <v>7</v>
      </c>
      <c r="AI131" s="225">
        <f t="shared" si="43"/>
        <v>1.5698892488276499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20.324504548132147</v>
      </c>
      <c r="C132" s="955"/>
      <c r="D132" s="393">
        <f t="shared" si="25"/>
        <v>21.483499689914751</v>
      </c>
      <c r="E132" s="385">
        <f t="shared" si="47"/>
        <v>22.647594746784272</v>
      </c>
      <c r="F132" s="385">
        <f t="shared" si="26"/>
        <v>22.647639429679511</v>
      </c>
      <c r="G132" s="110">
        <f t="shared" si="48"/>
        <v>0.38423378582509293</v>
      </c>
      <c r="H132" s="414" t="b">
        <f>Wh_hp&gt;='2024'!Maxi_hp</f>
        <v>0</v>
      </c>
      <c r="I132" s="390">
        <f>IF(H132,Wh_hp,'2024'!Maxi_hp)</f>
        <v>44.927139058198264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5.394815363004779E-2</v>
      </c>
      <c r="M132" s="959"/>
      <c r="N132" s="959"/>
      <c r="O132" s="48">
        <f>IF(t&lt;Tnet,'2024'!Resal+('2024'!Salim-'2024'!Resal)*(1-EXP(('2024'!Tnet-t)/('2024'!Tau_j))),Resal+(Salim-Resal)*(1-EXP((Tnet-t)/(Tau_j))))*Salcycl</f>
        <v>5.1400383567654952E-2</v>
      </c>
      <c r="P132" s="169">
        <f>(INDEX(Models!$BJ132:$BT132,,T132)*(1-R132)+INDEX(Models!$BJ132:$BT132,,T132+1)*R132-ERP_i)*Q132*Ramure*Pc/MaxiM</f>
        <v>1.6394626003533572E-5</v>
      </c>
      <c r="Q132" s="305">
        <f t="shared" si="28"/>
        <v>0.7</v>
      </c>
      <c r="R132" s="177">
        <f t="shared" si="29"/>
        <v>4.7429506496548202E-2</v>
      </c>
      <c r="S132" s="921">
        <f t="shared" si="30"/>
        <v>-2</v>
      </c>
      <c r="T132" s="176">
        <f t="shared" si="31"/>
        <v>4</v>
      </c>
      <c r="U132" s="251">
        <f t="shared" si="32"/>
        <v>-1.9525704935034518</v>
      </c>
      <c r="V132" s="383">
        <f t="shared" si="33"/>
        <v>52.895430293048264</v>
      </c>
      <c r="W132" s="402">
        <f t="shared" si="34"/>
        <v>20.324504548132147</v>
      </c>
      <c r="X132" s="157">
        <f t="shared" si="35"/>
        <v>45775</v>
      </c>
      <c r="Y132" s="385">
        <f t="shared" si="36"/>
        <v>18.53955122488308</v>
      </c>
      <c r="Z132" s="385">
        <f t="shared" si="37"/>
        <v>19.596760257929052</v>
      </c>
      <c r="AA132" s="386">
        <f t="shared" si="38"/>
        <v>22.642857376498537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0.1345279470660399</v>
      </c>
      <c r="AD132" s="231">
        <f>(INDEX(Models!$BJ132:$BT132,,AH132)*(1-AF132)+INDEX(Models!$BJ132:$BT132,,AH132+1)*AF132-ERP_i)*AE132*Ramure*Pc/MaxiM</f>
        <v>1.7545857985838413E-3</v>
      </c>
      <c r="AE132" s="305">
        <f t="shared" si="40"/>
        <v>0.7</v>
      </c>
      <c r="AF132" s="177">
        <f t="shared" si="41"/>
        <v>0.57241707287052712</v>
      </c>
      <c r="AG132" s="921">
        <f t="shared" si="49"/>
        <v>1</v>
      </c>
      <c r="AH132" s="176">
        <f t="shared" si="42"/>
        <v>7</v>
      </c>
      <c r="AI132" s="225">
        <f t="shared" si="43"/>
        <v>1.5724170728705271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41.147475968724457</v>
      </c>
      <c r="C133" s="955"/>
      <c r="D133" s="393">
        <f t="shared" si="25"/>
        <v>43.494843735761997</v>
      </c>
      <c r="E133" s="385">
        <f t="shared" si="47"/>
        <v>45.857711134384957</v>
      </c>
      <c r="F133" s="385">
        <f t="shared" si="26"/>
        <v>45.858298203894662</v>
      </c>
      <c r="G133" s="110">
        <f t="shared" si="48"/>
        <v>0.77694811474236147</v>
      </c>
      <c r="H133" s="414" t="b">
        <f>Wh_hp&gt;='2024'!Maxi_hp</f>
        <v>0</v>
      </c>
      <c r="I133" s="390">
        <f>IF(H133,Wh_hp,'2024'!Maxi_hp)</f>
        <v>53.012856919854819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5.3968874593461336E-2</v>
      </c>
      <c r="M133" s="959"/>
      <c r="N133" s="959"/>
      <c r="O133" s="48">
        <f>IF(t&lt;Tnet,'2024'!Resal+('2024'!Salim-'2024'!Resal)*(1-EXP(('2024'!Tnet-t)/('2024'!Tau_j))),Resal+(Salim-Resal)*(1-EXP((Tnet-t)/(Tau_j))))*Salcycl</f>
        <v>5.1526064868319101E-2</v>
      </c>
      <c r="P133" s="169">
        <f>(INDEX(Models!$BJ133:$BT133,,T133)*(1-R133)+INDEX(Models!$BJ133:$BT133,,T133+1)*R133-ERP_i)*Q133*Ramure*Pc/MaxiM</f>
        <v>1.8788593018594429E-5</v>
      </c>
      <c r="Q133" s="305">
        <f t="shared" si="28"/>
        <v>0.7</v>
      </c>
      <c r="R133" s="177">
        <f t="shared" si="29"/>
        <v>5.0031976257680189E-2</v>
      </c>
      <c r="S133" s="921">
        <f t="shared" si="30"/>
        <v>-2</v>
      </c>
      <c r="T133" s="176">
        <f t="shared" si="31"/>
        <v>4</v>
      </c>
      <c r="U133" s="251">
        <f t="shared" si="32"/>
        <v>-1.9499680237423198</v>
      </c>
      <c r="V133" s="383">
        <f t="shared" si="33"/>
        <v>52.960073966412089</v>
      </c>
      <c r="W133" s="402">
        <f t="shared" si="34"/>
        <v>41.147475968724457</v>
      </c>
      <c r="X133" s="157">
        <f t="shared" si="35"/>
        <v>45776</v>
      </c>
      <c r="Y133" s="385">
        <f t="shared" si="36"/>
        <v>37.496280272117161</v>
      </c>
      <c r="Z133" s="385">
        <f t="shared" si="37"/>
        <v>39.63535581982449</v>
      </c>
      <c r="AA133" s="386">
        <f t="shared" si="38"/>
        <v>45.801004082497812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0.13461818984508758</v>
      </c>
      <c r="AD133" s="231">
        <f>(INDEX(Models!$BJ133:$BT133,,AH133)*(1-AF133)+INDEX(Models!$BJ133:$BT133,,AH133+1)*AF133-ERP_i)*AE133*Ramure*Pc/MaxiM</f>
        <v>1.8336430550239106E-3</v>
      </c>
      <c r="AE133" s="305">
        <f t="shared" si="40"/>
        <v>0.7</v>
      </c>
      <c r="AF133" s="177">
        <f t="shared" si="41"/>
        <v>0.57501954263165933</v>
      </c>
      <c r="AG133" s="921">
        <f t="shared" si="49"/>
        <v>1</v>
      </c>
      <c r="AH133" s="176">
        <f t="shared" si="42"/>
        <v>7</v>
      </c>
      <c r="AI133" s="225">
        <f t="shared" si="43"/>
        <v>1.5750195426316593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40.124104705180045</v>
      </c>
      <c r="C134" s="955"/>
      <c r="D134" s="393">
        <f t="shared" si="25"/>
        <v>42.414020498590688</v>
      </c>
      <c r="E134" s="385">
        <f t="shared" si="47"/>
        <v>44.724131874467943</v>
      </c>
      <c r="F134" s="385">
        <f t="shared" si="26"/>
        <v>44.724757901671161</v>
      </c>
      <c r="G134" s="110">
        <f t="shared" si="48"/>
        <v>0.75676409309088255</v>
      </c>
      <c r="H134" s="414" t="b">
        <f>Wh_hp&gt;='2024'!Maxi_hp</f>
        <v>0</v>
      </c>
      <c r="I134" s="390">
        <f>IF(H134,Wh_hp,'2024'!Maxi_hp)</f>
        <v>59.629748537925202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5.3989595103032695E-2</v>
      </c>
      <c r="M134" s="959"/>
      <c r="N134" s="959"/>
      <c r="O134" s="48">
        <f>IF(t&lt;Tnet,'2024'!Resal+('2024'!Salim-'2024'!Resal)*(1-EXP(('2024'!Tnet-t)/('2024'!Tau_j))),Resal+(Salim-Resal)*(1-EXP((Tnet-t)/(Tau_j))))*Salcycl</f>
        <v>5.1652458729915501E-2</v>
      </c>
      <c r="P134" s="169">
        <f>(INDEX(Models!$BJ134:$BT134,,T134)*(1-R134)+INDEX(Models!$BJ134:$BT134,,T134+1)*R134-ERP_i)*Q134*Ramure*Pc/MaxiM</f>
        <v>2.1450920223024696E-5</v>
      </c>
      <c r="Q134" s="305">
        <f t="shared" si="28"/>
        <v>0.7</v>
      </c>
      <c r="R134" s="177">
        <f t="shared" si="29"/>
        <v>5.2710151914959535E-2</v>
      </c>
      <c r="S134" s="921">
        <f t="shared" si="30"/>
        <v>-2</v>
      </c>
      <c r="T134" s="176">
        <f t="shared" si="31"/>
        <v>4</v>
      </c>
      <c r="U134" s="251">
        <f t="shared" si="32"/>
        <v>-1.9472898480850405</v>
      </c>
      <c r="V134" s="383">
        <f t="shared" si="33"/>
        <v>53.020229155544222</v>
      </c>
      <c r="W134" s="402">
        <f t="shared" si="34"/>
        <v>40.124104705180045</v>
      </c>
      <c r="X134" s="157">
        <f t="shared" si="35"/>
        <v>45777</v>
      </c>
      <c r="Y134" s="385">
        <f t="shared" si="36"/>
        <v>36.564674975121989</v>
      </c>
      <c r="Z134" s="385">
        <f t="shared" si="37"/>
        <v>38.651451174159497</v>
      </c>
      <c r="AA134" s="386">
        <f t="shared" si="38"/>
        <v>44.668797204894155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0.1347102766867285</v>
      </c>
      <c r="AD134" s="231">
        <f>(INDEX(Models!$BJ134:$BT134,,AH134)*(1-AF134)+INDEX(Models!$BJ134:$BT134,,AH134+1)*AF134-ERP_i)*AE134*Ramure*Pc/MaxiM</f>
        <v>1.917502044667339E-3</v>
      </c>
      <c r="AE134" s="305">
        <f t="shared" si="40"/>
        <v>0.7</v>
      </c>
      <c r="AF134" s="177">
        <f t="shared" si="41"/>
        <v>0.57769771828893823</v>
      </c>
      <c r="AG134" s="921">
        <f t="shared" si="49"/>
        <v>1</v>
      </c>
      <c r="AH134" s="176">
        <f t="shared" si="42"/>
        <v>7</v>
      </c>
      <c r="AI134" s="225">
        <f t="shared" si="43"/>
        <v>1.5776977182889382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44.91374523275433</v>
      </c>
      <c r="C135" s="955"/>
      <c r="D135" s="393">
        <f t="shared" si="25"/>
        <v>47.478049657901394</v>
      </c>
      <c r="E135" s="385">
        <f t="shared" si="47"/>
        <v>50.07068790909473</v>
      </c>
      <c r="F135" s="385">
        <f t="shared" si="26"/>
        <v>50.071641417225514</v>
      </c>
      <c r="G135" s="110">
        <f t="shared" si="48"/>
        <v>0.84622052325325448</v>
      </c>
      <c r="H135" s="414" t="b">
        <f>Wh_hp&gt;='2024'!Maxi_hp</f>
        <v>0</v>
      </c>
      <c r="I135" s="390">
        <f>IF(H135,Wh_hp,'2024'!Maxi_hp)</f>
        <v>57.486763345827086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5.4010315158771638E-2</v>
      </c>
      <c r="M135" s="959"/>
      <c r="N135" s="959"/>
      <c r="O135" s="48">
        <f>IF(t&lt;Tnet,'2024'!Resal+('2024'!Salim-'2024'!Resal)*(1-EXP(('2024'!Tnet-t)/('2024'!Tau_j))),Resal+(Salim-Resal)*(1-EXP((Tnet-t)/(Tau_j))))*Salcycl</f>
        <v>5.1779561245500941E-2</v>
      </c>
      <c r="P135" s="169">
        <f>(INDEX(Models!$BJ135:$BT135,,T135)*(1-R135)+INDEX(Models!$BJ135:$BT135,,T135+1)*R135-ERP_i)*Q135*Ramure*Pc/MaxiM</f>
        <v>2.4403886210911224E-5</v>
      </c>
      <c r="Q135" s="305">
        <f t="shared" si="28"/>
        <v>0.7</v>
      </c>
      <c r="R135" s="177">
        <f t="shared" si="29"/>
        <v>5.5465024673019503E-2</v>
      </c>
      <c r="S135" s="921">
        <f t="shared" si="30"/>
        <v>-2</v>
      </c>
      <c r="T135" s="176">
        <f t="shared" si="31"/>
        <v>4</v>
      </c>
      <c r="U135" s="251">
        <f t="shared" si="32"/>
        <v>-1.9445349753269805</v>
      </c>
      <c r="V135" s="383">
        <f t="shared" si="33"/>
        <v>53.075413808825083</v>
      </c>
      <c r="W135" s="402">
        <f t="shared" si="34"/>
        <v>44.91374523275433</v>
      </c>
      <c r="X135" s="157">
        <f t="shared" si="35"/>
        <v>45778</v>
      </c>
      <c r="Y135" s="385">
        <f t="shared" si="36"/>
        <v>40.917792534664578</v>
      </c>
      <c r="Z135" s="385">
        <f t="shared" si="37"/>
        <v>43.253952120558353</v>
      </c>
      <c r="AA135" s="386">
        <f t="shared" si="38"/>
        <v>49.993251829585624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0.13480418781318412</v>
      </c>
      <c r="AD135" s="231">
        <f>(INDEX(Models!$BJ135:$BT135,,AH135)*(1-AF135)+INDEX(Models!$BJ135:$BT135,,AH135+1)*AF135-ERP_i)*AE135*Ramure*Pc/MaxiM</f>
        <v>2.0062865906645159E-3</v>
      </c>
      <c r="AE135" s="305">
        <f t="shared" si="40"/>
        <v>0.7</v>
      </c>
      <c r="AF135" s="177">
        <f t="shared" si="41"/>
        <v>0.58045259104699842</v>
      </c>
      <c r="AG135" s="921">
        <f t="shared" si="49"/>
        <v>1</v>
      </c>
      <c r="AH135" s="176">
        <f t="shared" si="42"/>
        <v>7</v>
      </c>
      <c r="AI135" s="225">
        <f t="shared" si="43"/>
        <v>1.5804525910469984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26.310386535494022</v>
      </c>
      <c r="C136" s="955"/>
      <c r="D136" s="393">
        <f t="shared" si="25"/>
        <v>27.81316037026437</v>
      </c>
      <c r="E136" s="385">
        <f t="shared" si="47"/>
        <v>29.335910226286888</v>
      </c>
      <c r="F136" s="385">
        <f t="shared" si="26"/>
        <v>29.336136843236993</v>
      </c>
      <c r="G136" s="110">
        <f t="shared" si="48"/>
        <v>0.49524069223140915</v>
      </c>
      <c r="H136" s="414" t="b">
        <f>Wh_hp&gt;='2024'!Maxi_hp</f>
        <v>0</v>
      </c>
      <c r="I136" s="390">
        <f>IF(H136,Wh_hp,'2024'!Maxi_hp)</f>
        <v>52.039309618554178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5.4031034760688157E-2</v>
      </c>
      <c r="M136" s="959"/>
      <c r="N136" s="959"/>
      <c r="O136" s="48">
        <f>IF(t&lt;Tnet,'2024'!Resal+('2024'!Salim-'2024'!Resal)*(1-EXP(('2024'!Tnet-t)/('2024'!Tau_j))),Resal+(Salim-Resal)*(1-EXP((Tnet-t)/(Tau_j))))*Salcycl</f>
        <v>5.190736691912954E-2</v>
      </c>
      <c r="P136" s="169">
        <f>(INDEX(Models!$BJ136:$BT136,,T136)*(1-R136)+INDEX(Models!$BJ136:$BT136,,T136+1)*R136-ERP_i)*Q136*Ramure*Pc/MaxiM</f>
        <v>2.7694604643223608E-5</v>
      </c>
      <c r="Q136" s="305">
        <f t="shared" si="28"/>
        <v>0.7</v>
      </c>
      <c r="R136" s="177">
        <f t="shared" si="29"/>
        <v>5.8297510108454409E-2</v>
      </c>
      <c r="S136" s="921">
        <f t="shared" si="30"/>
        <v>-2</v>
      </c>
      <c r="T136" s="176">
        <f t="shared" si="31"/>
        <v>4</v>
      </c>
      <c r="U136" s="251">
        <f t="shared" si="32"/>
        <v>-1.9417024898915456</v>
      </c>
      <c r="V136" s="383">
        <f t="shared" si="33"/>
        <v>53.12540252024143</v>
      </c>
      <c r="W136" s="402">
        <f t="shared" si="34"/>
        <v>26.310386535494022</v>
      </c>
      <c r="X136" s="157">
        <f t="shared" si="35"/>
        <v>45779</v>
      </c>
      <c r="Y136" s="385">
        <f t="shared" si="36"/>
        <v>23.993385913991254</v>
      </c>
      <c r="Z136" s="385">
        <f t="shared" si="37"/>
        <v>25.363819317181711</v>
      </c>
      <c r="AA136" s="386">
        <f t="shared" si="38"/>
        <v>29.318941590628594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0.13489989948037842</v>
      </c>
      <c r="AD136" s="231">
        <f>(INDEX(Models!$BJ136:$BT136,,AH136)*(1-AF136)+INDEX(Models!$BJ136:$BT136,,AH136+1)*AF136-ERP_i)*AE136*Ramure*Pc/MaxiM</f>
        <v>2.1014126370776831E-3</v>
      </c>
      <c r="AE136" s="305">
        <f t="shared" si="40"/>
        <v>0.7</v>
      </c>
      <c r="AF136" s="177">
        <f t="shared" si="41"/>
        <v>0.58328507648243333</v>
      </c>
      <c r="AG136" s="921">
        <f t="shared" si="49"/>
        <v>1</v>
      </c>
      <c r="AH136" s="176">
        <f t="shared" si="42"/>
        <v>7</v>
      </c>
      <c r="AI136" s="225">
        <f t="shared" si="43"/>
        <v>1.5832850764824333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30.051730798946835</v>
      </c>
      <c r="C137" s="955"/>
      <c r="D137" s="393">
        <f t="shared" si="25"/>
        <v>31.768895310208404</v>
      </c>
      <c r="E137" s="385">
        <f t="shared" si="47"/>
        <v>33.512760935041626</v>
      </c>
      <c r="F137" s="385">
        <f t="shared" si="26"/>
        <v>33.513158360141496</v>
      </c>
      <c r="G137" s="110">
        <f t="shared" si="48"/>
        <v>0.56518469501527913</v>
      </c>
      <c r="H137" s="414" t="b">
        <f>Wh_hp&gt;='2024'!Maxi_hp</f>
        <v>0</v>
      </c>
      <c r="I137" s="390">
        <f>IF(H137,Wh_hp,'2024'!Maxi_hp)</f>
        <v>59.632265422182535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5.4051753908792244E-2</v>
      </c>
      <c r="M137" s="959"/>
      <c r="N137" s="959"/>
      <c r="O137" s="48">
        <f>IF(t&lt;Tnet,'2024'!Resal+('2024'!Salim-'2024'!Resal)*(1-EXP(('2024'!Tnet-t)/('2024'!Tau_j))),Resal+(Salim-Resal)*(1-EXP((Tnet-t)/(Tau_j))))*Salcycl</f>
        <v>5.2035868611762258E-2</v>
      </c>
      <c r="P137" s="169">
        <f>(INDEX(Models!$BJ137:$BT137,,T137)*(1-R137)+INDEX(Models!$BJ137:$BT137,,T137+1)*R137-ERP_i)*Q137*Ramure*Pc/MaxiM</f>
        <v>3.130195919938207E-5</v>
      </c>
      <c r="Q137" s="305">
        <f t="shared" si="28"/>
        <v>0.7</v>
      </c>
      <c r="R137" s="177">
        <f t="shared" si="29"/>
        <v>6.1208441374018374E-2</v>
      </c>
      <c r="S137" s="921">
        <f t="shared" si="30"/>
        <v>-2</v>
      </c>
      <c r="T137" s="176">
        <f t="shared" si="31"/>
        <v>4</v>
      </c>
      <c r="U137" s="251">
        <f t="shared" si="32"/>
        <v>-1.9387915586259816</v>
      </c>
      <c r="V137" s="383">
        <f t="shared" si="33"/>
        <v>53.170488790311822</v>
      </c>
      <c r="W137" s="402">
        <f t="shared" si="34"/>
        <v>30.051730798946835</v>
      </c>
      <c r="X137" s="157">
        <f t="shared" si="35"/>
        <v>45780</v>
      </c>
      <c r="Y137" s="385">
        <f t="shared" si="36"/>
        <v>27.399202642006021</v>
      </c>
      <c r="Z137" s="385">
        <f t="shared" si="37"/>
        <v>28.964800934113899</v>
      </c>
      <c r="AA137" s="386">
        <f t="shared" si="38"/>
        <v>33.485217725422963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0.13499738387178029</v>
      </c>
      <c r="AD137" s="231">
        <f>(INDEX(Models!$BJ137:$BT137,,AH137)*(1-AF137)+INDEX(Models!$BJ137:$BT137,,AH137+1)*AF137-ERP_i)*AE137*Ramure*Pc/MaxiM</f>
        <v>2.2006577044455427E-3</v>
      </c>
      <c r="AE137" s="305">
        <f t="shared" si="40"/>
        <v>0.7</v>
      </c>
      <c r="AF137" s="177">
        <f t="shared" si="41"/>
        <v>0.58619600774799729</v>
      </c>
      <c r="AG137" s="921">
        <f t="shared" si="49"/>
        <v>1</v>
      </c>
      <c r="AH137" s="176">
        <f t="shared" si="42"/>
        <v>7</v>
      </c>
      <c r="AI137" s="225">
        <f t="shared" si="43"/>
        <v>1.5861960077479973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17.725791466246537</v>
      </c>
      <c r="C138" s="955"/>
      <c r="D138" s="393">
        <f t="shared" si="25"/>
        <v>18.739058704662149</v>
      </c>
      <c r="E138" s="385">
        <f t="shared" si="47"/>
        <v>19.770381808286889</v>
      </c>
      <c r="F138" s="385">
        <f t="shared" si="26"/>
        <v>19.770414782990517</v>
      </c>
      <c r="G138" s="110">
        <f t="shared" si="48"/>
        <v>0.333111730685965</v>
      </c>
      <c r="H138" s="414" t="b">
        <f>Wh_hp&gt;='2024'!Maxi_hp</f>
        <v>0</v>
      </c>
      <c r="I138" s="390">
        <f>IF(H138,Wh_hp,'2024'!Maxi_hp)</f>
        <v>56.02715044671482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5.407247260309378E-2</v>
      </c>
      <c r="M138" s="959"/>
      <c r="N138" s="959"/>
      <c r="O138" s="48">
        <f>IF(t&lt;Tnet,'2024'!Resal+('2024'!Salim-'2024'!Resal)*(1-EXP(('2024'!Tnet-t)/('2024'!Tau_j))),Resal+(Salim-Resal)*(1-EXP((Tnet-t)/(Tau_j))))*Salcycl</f>
        <v>5.2165057489808014E-2</v>
      </c>
      <c r="P138" s="169">
        <f>(INDEX(Models!$BJ138:$BT138,,T138)*(1-R138)+INDEX(Models!$BJ138:$BT138,,T138+1)*R138-ERP_i)*Q138*Ramure*Pc/MaxiM</f>
        <v>3.5248008411539347E-5</v>
      </c>
      <c r="Q138" s="305">
        <f t="shared" si="28"/>
        <v>0.7</v>
      </c>
      <c r="R138" s="177">
        <f t="shared" si="29"/>
        <v>6.4198562290308736E-2</v>
      </c>
      <c r="S138" s="921">
        <f t="shared" si="30"/>
        <v>-2</v>
      </c>
      <c r="T138" s="176">
        <f t="shared" si="31"/>
        <v>4</v>
      </c>
      <c r="U138" s="251">
        <f t="shared" si="32"/>
        <v>-1.9358014377096913</v>
      </c>
      <c r="V138" s="383">
        <f t="shared" si="33"/>
        <v>53.210963764082933</v>
      </c>
      <c r="W138" s="402">
        <f t="shared" si="34"/>
        <v>17.725791466246537</v>
      </c>
      <c r="X138" s="157">
        <f t="shared" si="35"/>
        <v>45781</v>
      </c>
      <c r="Y138" s="385">
        <f t="shared" si="36"/>
        <v>16.17312310664559</v>
      </c>
      <c r="Z138" s="385">
        <f t="shared" si="37"/>
        <v>17.097634478565539</v>
      </c>
      <c r="AA138" s="386">
        <f t="shared" si="38"/>
        <v>19.768259272053594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0.13509660900004067</v>
      </c>
      <c r="AD138" s="231">
        <f>(INDEX(Models!$BJ138:$BT138,,AH138)*(1-AF138)+INDEX(Models!$BJ138:$BT138,,AH138+1)*AF138-ERP_i)*AE138*Ramure*Pc/MaxiM</f>
        <v>2.3041137379871063E-3</v>
      </c>
      <c r="AE138" s="305">
        <f t="shared" si="40"/>
        <v>0.7</v>
      </c>
      <c r="AF138" s="177">
        <f t="shared" si="41"/>
        <v>0.58918612866428766</v>
      </c>
      <c r="AG138" s="921">
        <f t="shared" si="49"/>
        <v>1</v>
      </c>
      <c r="AH138" s="176">
        <f t="shared" si="42"/>
        <v>7</v>
      </c>
      <c r="AI138" s="225">
        <f t="shared" si="43"/>
        <v>1.5891861286642877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37.227798945695213</v>
      </c>
      <c r="C139" s="955"/>
      <c r="D139" s="393">
        <f t="shared" si="25"/>
        <v>39.35673005557139</v>
      </c>
      <c r="E139" s="385">
        <f t="shared" si="47"/>
        <v>41.528457544195916</v>
      </c>
      <c r="F139" s="385">
        <f t="shared" si="26"/>
        <v>41.529394255526533</v>
      </c>
      <c r="G139" s="110">
        <f t="shared" si="48"/>
        <v>0.69913954240286125</v>
      </c>
      <c r="H139" s="414" t="b">
        <f>Wh_hp&gt;='2024'!Maxi_hp</f>
        <v>0</v>
      </c>
      <c r="I139" s="390">
        <f>IF(H139,Wh_hp,'2024'!Maxi_hp)</f>
        <v>58.496922298592779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5.4093190843602756E-2</v>
      </c>
      <c r="M139" s="959"/>
      <c r="N139" s="959"/>
      <c r="O139" s="48">
        <f>IF(t&lt;Tnet,'2024'!Resal+('2024'!Salim-'2024'!Resal)*(1-EXP(('2024'!Tnet-t)/('2024'!Tau_j))),Resal+(Salim-Resal)*(1-EXP((Tnet-t)/(Tau_j))))*Salcycl</f>
        <v>5.2294922976932244E-2</v>
      </c>
      <c r="P139" s="169">
        <f>(INDEX(Models!$BJ139:$BT139,,T139)*(1-R139)+INDEX(Models!$BJ139:$BT139,,T139+1)*R139-ERP_i)*Q139*Ramure*Pc/MaxiM</f>
        <v>3.9555832487495107E-5</v>
      </c>
      <c r="Q139" s="305">
        <f t="shared" si="28"/>
        <v>0.7</v>
      </c>
      <c r="R139" s="177">
        <f t="shared" si="29"/>
        <v>6.726852035688502E-2</v>
      </c>
      <c r="S139" s="921">
        <f t="shared" si="30"/>
        <v>-2</v>
      </c>
      <c r="T139" s="176">
        <f t="shared" si="31"/>
        <v>4</v>
      </c>
      <c r="U139" s="251">
        <f t="shared" si="32"/>
        <v>-1.932731479643115</v>
      </c>
      <c r="V139" s="383">
        <f t="shared" si="33"/>
        <v>53.247118470946141</v>
      </c>
      <c r="W139" s="402">
        <f t="shared" si="34"/>
        <v>37.227798945695213</v>
      </c>
      <c r="X139" s="157">
        <f t="shared" si="35"/>
        <v>45782</v>
      </c>
      <c r="Y139" s="385">
        <f t="shared" si="36"/>
        <v>33.925259135923149</v>
      </c>
      <c r="Z139" s="385">
        <f t="shared" si="37"/>
        <v>35.865329234894965</v>
      </c>
      <c r="AA139" s="386">
        <f t="shared" si="38"/>
        <v>41.472279319810163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0.13519753861796821</v>
      </c>
      <c r="AD139" s="231">
        <f>(INDEX(Models!$BJ139:$BT139,,AH139)*(1-AF139)+INDEX(Models!$BJ139:$BT139,,AH139+1)*AF139-ERP_i)*AE139*Ramure*Pc/MaxiM</f>
        <v>2.4118730668510283E-3</v>
      </c>
      <c r="AE139" s="305">
        <f t="shared" si="40"/>
        <v>0.7</v>
      </c>
      <c r="AF139" s="177">
        <f t="shared" si="41"/>
        <v>0.59225608673086394</v>
      </c>
      <c r="AG139" s="921">
        <f t="shared" si="49"/>
        <v>1</v>
      </c>
      <c r="AH139" s="176">
        <f t="shared" si="42"/>
        <v>7</v>
      </c>
      <c r="AI139" s="225">
        <f t="shared" si="43"/>
        <v>1.5922560867308639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34.768043467617652</v>
      </c>
      <c r="C140" s="955"/>
      <c r="D140" s="393">
        <f t="shared" si="25"/>
        <v>36.757114609088397</v>
      </c>
      <c r="E140" s="385">
        <f t="shared" si="47"/>
        <v>38.790736532764626</v>
      </c>
      <c r="F140" s="385">
        <f t="shared" si="26"/>
        <v>38.791601071796059</v>
      </c>
      <c r="G140" s="110">
        <f t="shared" si="48"/>
        <v>0.65254829748069154</v>
      </c>
      <c r="H140" s="414" t="b">
        <f>Wh_hp&gt;='2024'!Maxi_hp</f>
        <v>0</v>
      </c>
      <c r="I140" s="390">
        <f>IF(H140,Wh_hp,'2024'!Maxi_hp)</f>
        <v>61.787025291973102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5.4113908630329166E-2</v>
      </c>
      <c r="M140" s="959"/>
      <c r="N140" s="959"/>
      <c r="O140" s="48">
        <f>IF(t&lt;Tnet,'2024'!Resal+('2024'!Salim-'2024'!Resal)*(1-EXP(('2024'!Tnet-t)/('2024'!Tau_j))),Resal+(Salim-Resal)*(1-EXP((Tnet-t)/(Tau_j))))*Salcycl</f>
        <v>5.2425452709786234E-2</v>
      </c>
      <c r="P140" s="169">
        <f>(INDEX(Models!$BJ140:$BT140,,T140)*(1-R140)+INDEX(Models!$BJ140:$BT140,,T140+1)*R140-ERP_i)*Q140*Ramure*Pc/MaxiM</f>
        <v>4.4249530109949172E-5</v>
      </c>
      <c r="Q140" s="305">
        <f t="shared" si="28"/>
        <v>0.7</v>
      </c>
      <c r="R140" s="177">
        <f t="shared" si="29"/>
        <v>7.0418859718226479E-2</v>
      </c>
      <c r="S140" s="921">
        <f t="shared" si="30"/>
        <v>-2</v>
      </c>
      <c r="T140" s="176">
        <f t="shared" si="31"/>
        <v>4</v>
      </c>
      <c r="U140" s="251">
        <f t="shared" si="32"/>
        <v>-1.9295811402817735</v>
      </c>
      <c r="V140" s="383">
        <f t="shared" si="33"/>
        <v>53.279243823355003</v>
      </c>
      <c r="W140" s="402">
        <f t="shared" si="34"/>
        <v>34.768043467617652</v>
      </c>
      <c r="X140" s="157">
        <f t="shared" si="35"/>
        <v>45783</v>
      </c>
      <c r="Y140" s="385">
        <f t="shared" si="36"/>
        <v>31.687610205096561</v>
      </c>
      <c r="Z140" s="385">
        <f t="shared" si="37"/>
        <v>33.500450523817271</v>
      </c>
      <c r="AA140" s="386">
        <f t="shared" si="38"/>
        <v>38.742287085970986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0.13530013214041359</v>
      </c>
      <c r="AD140" s="231">
        <f>(INDEX(Models!$BJ140:$BT140,,AH140)*(1-AF140)+INDEX(Models!$BJ140:$BT140,,AH140+1)*AF140-ERP_i)*AE140*Ramure*Pc/MaxiM</f>
        <v>2.5240279747586578E-3</v>
      </c>
      <c r="AE140" s="305">
        <f t="shared" si="40"/>
        <v>0.7</v>
      </c>
      <c r="AF140" s="177">
        <f t="shared" si="41"/>
        <v>0.5954064260922054</v>
      </c>
      <c r="AG140" s="921">
        <f t="shared" si="49"/>
        <v>1</v>
      </c>
      <c r="AH140" s="176">
        <f t="shared" si="42"/>
        <v>7</v>
      </c>
      <c r="AI140" s="225">
        <f t="shared" si="43"/>
        <v>1.5954064260922054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44.990573682533643</v>
      </c>
      <c r="C141" s="955"/>
      <c r="D141" s="393">
        <f t="shared" si="25"/>
        <v>47.565515048431372</v>
      </c>
      <c r="E141" s="385">
        <f t="shared" si="47"/>
        <v>50.204072011034661</v>
      </c>
      <c r="F141" s="385">
        <f t="shared" si="26"/>
        <v>50.205997604824972</v>
      </c>
      <c r="G141" s="110">
        <f t="shared" si="48"/>
        <v>0.84397070795351592</v>
      </c>
      <c r="H141" s="414" t="b">
        <f>Wh_hp&gt;='2024'!Maxi_hp</f>
        <v>0</v>
      </c>
      <c r="I141" s="390">
        <f>IF(H141,Wh_hp,'2024'!Maxi_hp)</f>
        <v>57.268675300754929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5.4134625963282779E-2</v>
      </c>
      <c r="M141" s="959"/>
      <c r="N141" s="959"/>
      <c r="O141" s="48">
        <f>IF(t&lt;Tnet,'2024'!Resal+('2024'!Salim-'2024'!Resal)*(1-EXP(('2024'!Tnet-t)/('2024'!Tau_j))),Resal+(Salim-Resal)*(1-EXP((Tnet-t)/(Tau_j))))*Salcycl</f>
        <v>5.2556632498322944E-2</v>
      </c>
      <c r="P141" s="169">
        <f>(INDEX(Models!$BJ141:$BT141,,T141)*(1-R141)+INDEX(Models!$BJ141:$BT141,,T141+1)*R141-ERP_i)*Q141*Ramure*Pc/MaxiM</f>
        <v>4.9354208233487753E-5</v>
      </c>
      <c r="Q141" s="305">
        <f t="shared" si="28"/>
        <v>0.7</v>
      </c>
      <c r="R141" s="177">
        <f t="shared" si="29"/>
        <v>7.3650014123378682E-2</v>
      </c>
      <c r="S141" s="921">
        <f t="shared" si="30"/>
        <v>-2</v>
      </c>
      <c r="T141" s="176">
        <f t="shared" si="31"/>
        <v>4</v>
      </c>
      <c r="U141" s="251">
        <f t="shared" si="32"/>
        <v>-1.9263499858766213</v>
      </c>
      <c r="V141" s="383">
        <f t="shared" si="33"/>
        <v>53.307630617483127</v>
      </c>
      <c r="W141" s="402">
        <f t="shared" si="34"/>
        <v>44.990573682533643</v>
      </c>
      <c r="X141" s="157">
        <f t="shared" si="35"/>
        <v>45784</v>
      </c>
      <c r="Y141" s="385">
        <f t="shared" si="36"/>
        <v>40.973762394286155</v>
      </c>
      <c r="Z141" s="385">
        <f t="shared" si="37"/>
        <v>43.318809969140077</v>
      </c>
      <c r="AA141" s="386">
        <f t="shared" si="38"/>
        <v>50.10296974951688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0.13540434457864087</v>
      </c>
      <c r="AD141" s="231">
        <f>(INDEX(Models!$BJ141:$BT141,,AH141)*(1-AF141)+INDEX(Models!$BJ141:$BT141,,AH141+1)*AF141-ERP_i)*AE141*Ramure*Pc/MaxiM</f>
        <v>2.6406702443223318E-3</v>
      </c>
      <c r="AE141" s="305">
        <f t="shared" si="40"/>
        <v>0.7</v>
      </c>
      <c r="AF141" s="177">
        <f t="shared" si="41"/>
        <v>0.5986375804973576</v>
      </c>
      <c r="AG141" s="921">
        <f t="shared" si="49"/>
        <v>1</v>
      </c>
      <c r="AH141" s="176">
        <f t="shared" si="42"/>
        <v>7</v>
      </c>
      <c r="AI141" s="225">
        <f t="shared" si="43"/>
        <v>1.5986375804973576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46.937378589816923</v>
      </c>
      <c r="C142" s="955"/>
      <c r="D142" s="393">
        <f t="shared" si="25"/>
        <v>49.624828173025996</v>
      </c>
      <c r="E142" s="385">
        <f t="shared" si="47"/>
        <v>52.384907561561612</v>
      </c>
      <c r="F142" s="385">
        <f t="shared" si="26"/>
        <v>52.387290965820291</v>
      </c>
      <c r="G142" s="110">
        <f t="shared" si="48"/>
        <v>0.88008017921093773</v>
      </c>
      <c r="H142" s="414" t="b">
        <f>Wh_hp&gt;='2024'!Maxi_hp</f>
        <v>0</v>
      </c>
      <c r="I142" s="390">
        <f>IF(H142,Wh_hp,'2024'!Maxi_hp)</f>
        <v>59.229596839292704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5.4155342842473697E-2</v>
      </c>
      <c r="M142" s="959"/>
      <c r="N142" s="959"/>
      <c r="O142" s="48">
        <f>IF(t&lt;Tnet,'2024'!Resal+('2024'!Salim-'2024'!Resal)*(1-EXP(('2024'!Tnet-t)/('2024'!Tau_j))),Resal+(Salim-Resal)*(1-EXP((Tnet-t)/(Tau_j))))*Salcycl</f>
        <v>5.2688446291368048E-2</v>
      </c>
      <c r="P142" s="169">
        <f>(INDEX(Models!$BJ142:$BT142,,T142)*(1-R142)+INDEX(Models!$BJ142:$BT142,,T142+1)*R142-ERP_i)*Q142*Ramure*Pc/MaxiM</f>
        <v>5.4900409879354984E-5</v>
      </c>
      <c r="Q142" s="305">
        <f t="shared" si="28"/>
        <v>0.7</v>
      </c>
      <c r="R142" s="177">
        <f t="shared" si="29"/>
        <v>7.6962299921511823E-2</v>
      </c>
      <c r="S142" s="921">
        <f t="shared" si="30"/>
        <v>-2</v>
      </c>
      <c r="T142" s="176">
        <f t="shared" si="31"/>
        <v>4</v>
      </c>
      <c r="U142" s="251">
        <f t="shared" si="32"/>
        <v>-1.9230377000784882</v>
      </c>
      <c r="V142" s="383">
        <f t="shared" si="33"/>
        <v>53.332569296541557</v>
      </c>
      <c r="W142" s="402">
        <f t="shared" si="34"/>
        <v>46.937378589816923</v>
      </c>
      <c r="X142" s="157">
        <f t="shared" si="35"/>
        <v>45785</v>
      </c>
      <c r="Y142" s="385">
        <f t="shared" si="36"/>
        <v>42.737633687991931</v>
      </c>
      <c r="Z142" s="385">
        <f t="shared" si="37"/>
        <v>45.184622405573478</v>
      </c>
      <c r="AA142" s="386">
        <f t="shared" si="38"/>
        <v>52.267381944047244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0.1355101264887523</v>
      </c>
      <c r="AD142" s="231">
        <f>(INDEX(Models!$BJ142:$BT142,,AH142)*(1-AF142)+INDEX(Models!$BJ142:$BT142,,AH142+1)*AF142-ERP_i)*AE142*Ramure*Pc/MaxiM</f>
        <v>2.7620385503630278E-3</v>
      </c>
      <c r="AE142" s="305">
        <f t="shared" si="40"/>
        <v>0.7</v>
      </c>
      <c r="AF142" s="177">
        <f t="shared" si="41"/>
        <v>0.60194986629549074</v>
      </c>
      <c r="AG142" s="921">
        <f t="shared" si="49"/>
        <v>1</v>
      </c>
      <c r="AH142" s="176">
        <f t="shared" si="42"/>
        <v>7</v>
      </c>
      <c r="AI142" s="225">
        <f t="shared" si="43"/>
        <v>1.6019498662954907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51.061780199297822</v>
      </c>
      <c r="C143" s="955"/>
      <c r="D143" s="393">
        <f t="shared" ref="D143:D206" si="50">Wh/(1-Ppv)</f>
        <v>53.986559231916779</v>
      </c>
      <c r="E143" s="385">
        <f t="shared" si="47"/>
        <v>56.997201344947186</v>
      </c>
      <c r="F143" s="385">
        <f t="shared" ref="F143:F206" si="51">Wh_sa/(1-Pvg*MEDIAN((-Sdif+Wh/Env_an)/Csdif,0,1))</f>
        <v>57.000458488064048</v>
      </c>
      <c r="G143" s="110">
        <f t="shared" si="48"/>
        <v>0.95702763008727532</v>
      </c>
      <c r="H143" s="414" t="b">
        <f>Wh_hp&gt;='2024'!Maxi_hp</f>
        <v>1</v>
      </c>
      <c r="I143" s="390">
        <f>IF(H143,Wh_hp,'2024'!Maxi_hp)</f>
        <v>57.000458488064048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5.4176059267911802E-2</v>
      </c>
      <c r="M143" s="959"/>
      <c r="N143" s="959"/>
      <c r="O143" s="48">
        <f>IF(t&lt;Tnet,'2024'!Resal+('2024'!Salim-'2024'!Resal)*(1-EXP(('2024'!Tnet-t)/('2024'!Tau_j))),Resal+(Salim-Resal)*(1-EXP((Tnet-t)/(Tau_j))))*Salcycl</f>
        <v>5.2820876148111165E-2</v>
      </c>
      <c r="P143" s="169">
        <f>(INDEX(Models!$BJ143:$BT143,,T143)*(1-R143)+INDEX(Models!$BJ143:$BT143,,T143+1)*R143-ERP_i)*Q143*Ramure*Pc/MaxiM</f>
        <v>6.0879424045298798E-5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8.035590913885704E-2</v>
      </c>
      <c r="S143" s="92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-1.919644090861143</v>
      </c>
      <c r="V143" s="383">
        <f t="shared" ref="V143:V206" si="58">MaxiM*(1-Ppv)*(1-Pvg)*(1-Psa)</f>
        <v>53.354352334364592</v>
      </c>
      <c r="W143" s="402">
        <f t="shared" ref="W143:W206" si="59">Wh*(A143&gt;Tmaj)</f>
        <v>51.061780199297822</v>
      </c>
      <c r="X143" s="157">
        <f t="shared" ref="X143:X206" si="60">t</f>
        <v>45786</v>
      </c>
      <c r="Y143" s="385">
        <f t="shared" ref="Y143:Y206" si="61">Wh_pvt_s*(1-Ppv)</f>
        <v>46.474668837820573</v>
      </c>
      <c r="Z143" s="385">
        <f t="shared" ref="Z143:Z206" si="62">Wh_sa_s*(1-Psa_s)</f>
        <v>49.136701701426773</v>
      </c>
      <c r="AA143" s="386">
        <f t="shared" ref="AA143:AA206" si="63">Wh_hp*(1-Pvg_s*MEDIAN((-Sdif+Wh/Env_an)/Csdif,0,1))</f>
        <v>56.846011317298654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0.13561742393570328</v>
      </c>
      <c r="AD143" s="231">
        <f>(INDEX(Models!$BJ143:$BT143,,AH143)*(1-AF143)+INDEX(Models!$BJ143:$BT143,,AH143+1)*AF143-ERP_i)*AE143*Ramure*Pc/MaxiM</f>
        <v>2.8867797527725152E-3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0.60534347551283596</v>
      </c>
      <c r="AG143" s="92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1.605343475512836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48.668220350559416</v>
      </c>
      <c r="C144" s="955"/>
      <c r="D144" s="393">
        <f t="shared" si="50"/>
        <v>51.457025178666399</v>
      </c>
      <c r="E144" s="385">
        <f t="shared" ref="E144:E169" si="72">Wh_pvt/(1-Psa)</f>
        <v>54.334234942818902</v>
      </c>
      <c r="F144" s="385">
        <f t="shared" si="51"/>
        <v>54.337432013839013</v>
      </c>
      <c r="G144" s="110">
        <f t="shared" ref="G144:G169" si="73">+Wh_hp/MaxiM</f>
        <v>0.91183859186690264</v>
      </c>
      <c r="H144" s="414" t="b">
        <f>Wh_hp&gt;='2024'!Maxi_hp</f>
        <v>1</v>
      </c>
      <c r="I144" s="390">
        <f>IF(H144,Wh_hp,'2024'!Maxi_hp)</f>
        <v>54.337432013839013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5.4196775239606976E-2</v>
      </c>
      <c r="M144" s="959"/>
      <c r="N144" s="959"/>
      <c r="O144" s="48">
        <f>IF(t&lt;Tnet,'2024'!Resal+('2024'!Salim-'2024'!Resal)*(1-EXP(('2024'!Tnet-t)/('2024'!Tau_j))),Resal+(Salim-Resal)*(1-EXP((Tnet-t)/(Tau_j))))*Salcycl</f>
        <v>5.2953902216171203E-2</v>
      </c>
      <c r="P144" s="169">
        <f>(INDEX(Models!$BJ144:$BT144,,T144)*(1-R144)+INDEX(Models!$BJ144:$BT144,,T144+1)*R144-ERP_i)*Q144*Ramure*Pc/MaxiM</f>
        <v>6.7314536567120514E-5</v>
      </c>
      <c r="Q144" s="305">
        <f t="shared" si="53"/>
        <v>0.7</v>
      </c>
      <c r="R144" s="177">
        <f t="shared" si="54"/>
        <v>8.383090268557547E-2</v>
      </c>
      <c r="S144" s="921">
        <f t="shared" si="55"/>
        <v>-2</v>
      </c>
      <c r="T144" s="176">
        <f t="shared" si="56"/>
        <v>4</v>
      </c>
      <c r="U144" s="251">
        <f t="shared" si="57"/>
        <v>-1.9161690973144245</v>
      </c>
      <c r="V144" s="383">
        <f t="shared" si="58"/>
        <v>53.373270435415471</v>
      </c>
      <c r="W144" s="402">
        <f t="shared" si="59"/>
        <v>48.668220350559416</v>
      </c>
      <c r="X144" s="157">
        <f t="shared" si="60"/>
        <v>45787</v>
      </c>
      <c r="Y144" s="385">
        <f t="shared" si="61"/>
        <v>44.300156952275621</v>
      </c>
      <c r="Z144" s="385">
        <f t="shared" si="62"/>
        <v>46.838661354214025</v>
      </c>
      <c r="AA144" s="386">
        <f t="shared" si="63"/>
        <v>54.194238200498731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0.13572617847439383</v>
      </c>
      <c r="AD144" s="231">
        <f>(INDEX(Models!$BJ144:$BT144,,AH144)*(1-AF144)+INDEX(Models!$BJ144:$BT144,,AH144+1)*AF144-ERP_i)*AE144*Ramure*Pc/MaxiM</f>
        <v>3.0149549771148463E-3</v>
      </c>
      <c r="AE144" s="305">
        <f t="shared" si="65"/>
        <v>0.7</v>
      </c>
      <c r="AF144" s="177">
        <f t="shared" si="66"/>
        <v>0.60881846905955417</v>
      </c>
      <c r="AG144" s="921">
        <f t="shared" ref="AG144:AG207" si="74">INDEX(Echel_vg,AH144)</f>
        <v>1</v>
      </c>
      <c r="AH144" s="176">
        <f t="shared" si="67"/>
        <v>7</v>
      </c>
      <c r="AI144" s="225">
        <f t="shared" si="68"/>
        <v>1.6088184690595542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52.210503097899391</v>
      </c>
      <c r="C145" s="955"/>
      <c r="D145" s="393">
        <f t="shared" si="50"/>
        <v>55.203498254286664</v>
      </c>
      <c r="E145" s="385">
        <f t="shared" si="72"/>
        <v>58.298415548084776</v>
      </c>
      <c r="F145" s="385">
        <f t="shared" si="51"/>
        <v>58.302606785219012</v>
      </c>
      <c r="G145" s="110">
        <f t="shared" si="73"/>
        <v>0.97791268196548076</v>
      </c>
      <c r="H145" s="414" t="b">
        <f>Wh_hp&gt;='2024'!Maxi_hp</f>
        <v>1</v>
      </c>
      <c r="I145" s="390">
        <f>IF(H145,Wh_hp,'2024'!Maxi_hp)</f>
        <v>58.302606785219012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5.4217490757569209E-2</v>
      </c>
      <c r="M145" s="959"/>
      <c r="N145" s="959"/>
      <c r="O145" s="48">
        <f>IF(t&lt;Tnet,'2024'!Resal+('2024'!Salim-'2024'!Resal)*(1-EXP(('2024'!Tnet-t)/('2024'!Tau_j))),Resal+(Salim-Resal)*(1-EXP((Tnet-t)/(Tau_j))))*Salcycl</f>
        <v>5.3087502716869031E-2</v>
      </c>
      <c r="P145" s="169">
        <f>(INDEX(Models!$BJ145:$BT145,,T145)*(1-R145)+INDEX(Models!$BJ145:$BT145,,T145+1)*R145-ERP_i)*Q145*Ramure*Pc/MaxiM</f>
        <v>7.4229592166097499E-5</v>
      </c>
      <c r="Q145" s="305">
        <f t="shared" si="53"/>
        <v>0.7</v>
      </c>
      <c r="R145" s="177">
        <f t="shared" si="54"/>
        <v>8.7387203743939601E-2</v>
      </c>
      <c r="S145" s="921">
        <f t="shared" si="55"/>
        <v>-2</v>
      </c>
      <c r="T145" s="176">
        <f t="shared" si="56"/>
        <v>4</v>
      </c>
      <c r="U145" s="251">
        <f t="shared" si="57"/>
        <v>-1.9126127962560604</v>
      </c>
      <c r="V145" s="383">
        <f t="shared" si="58"/>
        <v>53.389614203554601</v>
      </c>
      <c r="W145" s="402">
        <f t="shared" si="59"/>
        <v>52.210503097899391</v>
      </c>
      <c r="X145" s="157">
        <f t="shared" si="60"/>
        <v>45788</v>
      </c>
      <c r="Y145" s="385">
        <f t="shared" si="61"/>
        <v>47.506145120592663</v>
      </c>
      <c r="Z145" s="385">
        <f t="shared" si="62"/>
        <v>50.229460427054164</v>
      </c>
      <c r="AA145" s="386">
        <f t="shared" si="63"/>
        <v>58.124938602608239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0.13583632714925192</v>
      </c>
      <c r="AD145" s="231">
        <f>(INDEX(Models!$BJ145:$BT145,,AH145)*(1-AF145)+INDEX(Models!$BJ145:$BT145,,AH145+1)*AF145-ERP_i)*AE145*Ramure*Pc/MaxiM</f>
        <v>3.1466214661010029E-3</v>
      </c>
      <c r="AE145" s="305">
        <f t="shared" si="65"/>
        <v>0.7</v>
      </c>
      <c r="AF145" s="177">
        <f t="shared" si="66"/>
        <v>0.61237477011791852</v>
      </c>
      <c r="AG145" s="921">
        <f t="shared" si="74"/>
        <v>1</v>
      </c>
      <c r="AH145" s="176">
        <f t="shared" si="67"/>
        <v>7</v>
      </c>
      <c r="AI145" s="225">
        <f t="shared" si="68"/>
        <v>1.6123747701179185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40.194521963467373</v>
      </c>
      <c r="C146" s="955"/>
      <c r="D146" s="393">
        <f t="shared" si="50"/>
        <v>42.499625392875934</v>
      </c>
      <c r="E146" s="385">
        <f t="shared" si="72"/>
        <v>44.88867491494878</v>
      </c>
      <c r="F146" s="385">
        <f t="shared" si="51"/>
        <v>44.891045082984604</v>
      </c>
      <c r="G146" s="110">
        <f t="shared" si="73"/>
        <v>0.75263290218597168</v>
      </c>
      <c r="H146" s="414" t="b">
        <f>Wh_hp&gt;='2024'!Maxi_hp</f>
        <v>0</v>
      </c>
      <c r="I146" s="390">
        <f>IF(H146,Wh_hp,'2024'!Maxi_hp)</f>
        <v>54.342875304504368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5.4238205821808494E-2</v>
      </c>
      <c r="M146" s="959"/>
      <c r="N146" s="959"/>
      <c r="O146" s="48">
        <f>IF(t&lt;Tnet,'2024'!Resal+('2024'!Salim-'2024'!Resal)*(1-EXP(('2024'!Tnet-t)/('2024'!Tau_j))),Resal+(Salim-Resal)*(1-EXP((Tnet-t)/(Tau_j))))*Salcycl</f>
        <v>5.3221653938313289E-2</v>
      </c>
      <c r="P146" s="169">
        <f>(INDEX(Models!$BJ146:$BT146,,T146)*(1-R146)+INDEX(Models!$BJ146:$BT146,,T146+1)*R146-ERP_i)*Q146*Ramure*Pc/MaxiM</f>
        <v>8.1648931457896113E-5</v>
      </c>
      <c r="Q146" s="305">
        <f t="shared" si="53"/>
        <v>0.7</v>
      </c>
      <c r="R146" s="177">
        <f t="shared" si="54"/>
        <v>9.1024591391768439E-2</v>
      </c>
      <c r="S146" s="921">
        <f t="shared" si="55"/>
        <v>-2</v>
      </c>
      <c r="T146" s="176">
        <f t="shared" si="56"/>
        <v>4</v>
      </c>
      <c r="U146" s="251">
        <f t="shared" si="57"/>
        <v>-1.9089754086082316</v>
      </c>
      <c r="V146" s="383">
        <f t="shared" si="58"/>
        <v>53.403674149276164</v>
      </c>
      <c r="W146" s="402">
        <f t="shared" si="59"/>
        <v>40.194521963467373</v>
      </c>
      <c r="X146" s="157">
        <f t="shared" si="60"/>
        <v>45789</v>
      </c>
      <c r="Y146" s="385">
        <f t="shared" si="61"/>
        <v>36.606551986722039</v>
      </c>
      <c r="Z146" s="385">
        <f t="shared" si="62"/>
        <v>38.705890015921895</v>
      </c>
      <c r="AA146" s="386">
        <f t="shared" si="63"/>
        <v>44.79577753348952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0.13594780251363647</v>
      </c>
      <c r="AD146" s="231">
        <f>(INDEX(Models!$BJ146:$BT146,,AH146)*(1-AF146)+INDEX(Models!$BJ146:$BT146,,AH146+1)*AF146-ERP_i)*AE146*Ramure*Pc/MaxiM</f>
        <v>3.2818321322853664E-3</v>
      </c>
      <c r="AE146" s="305">
        <f t="shared" si="65"/>
        <v>0.7</v>
      </c>
      <c r="AF146" s="177">
        <f t="shared" si="66"/>
        <v>0.61601215776574736</v>
      </c>
      <c r="AG146" s="921">
        <f t="shared" si="74"/>
        <v>1</v>
      </c>
      <c r="AH146" s="176">
        <f t="shared" si="67"/>
        <v>7</v>
      </c>
      <c r="AI146" s="225">
        <f t="shared" si="68"/>
        <v>1.6160121577657474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36.8068908960825</v>
      </c>
      <c r="C147" s="955"/>
      <c r="D147" s="393">
        <f t="shared" si="50"/>
        <v>38.918570517110609</v>
      </c>
      <c r="E147" s="385">
        <f t="shared" si="72"/>
        <v>41.112164756617268</v>
      </c>
      <c r="F147" s="385">
        <f t="shared" si="51"/>
        <v>41.114212193661196</v>
      </c>
      <c r="G147" s="110">
        <f t="shared" si="73"/>
        <v>0.68903707951048077</v>
      </c>
      <c r="H147" s="414" t="b">
        <f>Wh_hp&gt;='2024'!Maxi_hp</f>
        <v>0</v>
      </c>
      <c r="I147" s="390">
        <f>IF(H147,Wh_hp,'2024'!Maxi_hp)</f>
        <v>61.987907498178245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5.4258920432334601E-2</v>
      </c>
      <c r="M147" s="959"/>
      <c r="N147" s="959"/>
      <c r="O147" s="48">
        <f>IF(t&lt;Tnet,'2024'!Resal+('2024'!Salim-'2024'!Resal)*(1-EXP(('2024'!Tnet-t)/('2024'!Tau_j))),Resal+(Salim-Resal)*(1-EXP((Tnet-t)/(Tau_j))))*Salcycl</f>
        <v>5.3356330236869622E-2</v>
      </c>
      <c r="P147" s="169">
        <f>(INDEX(Models!$BJ147:$BT147,,T147)*(1-R147)+INDEX(Models!$BJ147:$BT147,,T147+1)*R147-ERP_i)*Q147*Ramure*Pc/MaxiM</f>
        <v>8.9597318649114801E-5</v>
      </c>
      <c r="Q147" s="305">
        <f t="shared" si="53"/>
        <v>0.7</v>
      </c>
      <c r="R147" s="177">
        <f t="shared" si="54"/>
        <v>9.4742694517220505E-2</v>
      </c>
      <c r="S147" s="921">
        <f t="shared" si="55"/>
        <v>-2</v>
      </c>
      <c r="T147" s="176">
        <f t="shared" si="56"/>
        <v>4</v>
      </c>
      <c r="U147" s="251">
        <f t="shared" si="57"/>
        <v>-1.9052573054827795</v>
      </c>
      <c r="V147" s="383">
        <f t="shared" si="58"/>
        <v>53.415740685978555</v>
      </c>
      <c r="W147" s="402">
        <f t="shared" si="59"/>
        <v>36.8068908960825</v>
      </c>
      <c r="X147" s="157">
        <f t="shared" si="60"/>
        <v>45790</v>
      </c>
      <c r="Y147" s="385">
        <f t="shared" si="61"/>
        <v>33.529036190265934</v>
      </c>
      <c r="Z147" s="385">
        <f t="shared" si="62"/>
        <v>35.452659205195303</v>
      </c>
      <c r="AA147" s="386">
        <f t="shared" si="63"/>
        <v>41.036045401158617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0.13606053267027712</v>
      </c>
      <c r="AD147" s="231">
        <f>(INDEX(Models!$BJ147:$BT147,,AH147)*(1-AF147)+INDEX(Models!$BJ147:$BT147,,AH147+1)*AF147-ERP_i)*AE147*Ramure*Pc/MaxiM</f>
        <v>3.4206350990915345E-3</v>
      </c>
      <c r="AE147" s="305">
        <f t="shared" si="65"/>
        <v>0.7</v>
      </c>
      <c r="AF147" s="177">
        <f t="shared" si="66"/>
        <v>0.61973026089119942</v>
      </c>
      <c r="AG147" s="921">
        <f t="shared" si="74"/>
        <v>1</v>
      </c>
      <c r="AH147" s="176">
        <f t="shared" si="67"/>
        <v>7</v>
      </c>
      <c r="AI147" s="225">
        <f t="shared" si="68"/>
        <v>1.6197302608911994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48.042591928465121</v>
      </c>
      <c r="C148" s="955"/>
      <c r="D148" s="393">
        <f t="shared" si="50"/>
        <v>50.799997214392576</v>
      </c>
      <c r="E148" s="385">
        <f t="shared" si="72"/>
        <v>53.67093632189016</v>
      </c>
      <c r="F148" s="385">
        <f t="shared" si="51"/>
        <v>53.675443894632629</v>
      </c>
      <c r="G148" s="110">
        <f t="shared" si="73"/>
        <v>0.8992217234471569</v>
      </c>
      <c r="H148" s="414" t="b">
        <f>Wh_hp&gt;='2024'!Maxi_hp</f>
        <v>0</v>
      </c>
      <c r="I148" s="390">
        <f>IF(H148,Wh_hp,'2024'!Maxi_hp)</f>
        <v>60.924968033525275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5.4279634589157633E-2</v>
      </c>
      <c r="M148" s="959"/>
      <c r="N148" s="959"/>
      <c r="O148" s="48">
        <f>IF(t&lt;Tnet,'2024'!Resal+('2024'!Salim-'2024'!Resal)*(1-EXP(('2024'!Tnet-t)/('2024'!Tau_j))),Resal+(Salim-Resal)*(1-EXP((Tnet-t)/(Tau_j))))*Salcycl</f>
        <v>5.3491504047538781E-2</v>
      </c>
      <c r="P148" s="169">
        <f>(INDEX(Models!$BJ148:$BT148,,T148)*(1-R148)+INDEX(Models!$BJ148:$BT148,,T148+1)*R148-ERP_i)*Q148*Ramure*Pc/MaxiM</f>
        <v>9.8099859594712275E-5</v>
      </c>
      <c r="Q148" s="305">
        <f t="shared" si="53"/>
        <v>0.7</v>
      </c>
      <c r="R148" s="177">
        <f t="shared" si="54"/>
        <v>9.8540986082822801E-2</v>
      </c>
      <c r="S148" s="921">
        <f t="shared" si="55"/>
        <v>-2</v>
      </c>
      <c r="T148" s="176">
        <f t="shared" si="56"/>
        <v>4</v>
      </c>
      <c r="U148" s="251">
        <f t="shared" si="57"/>
        <v>-1.9014590139171772</v>
      </c>
      <c r="V148" s="383">
        <f t="shared" si="58"/>
        <v>53.426104132786534</v>
      </c>
      <c r="W148" s="402">
        <f t="shared" si="59"/>
        <v>48.042591928465121</v>
      </c>
      <c r="X148" s="157">
        <f t="shared" si="60"/>
        <v>45791</v>
      </c>
      <c r="Y148" s="385">
        <f t="shared" si="61"/>
        <v>43.715730628136157</v>
      </c>
      <c r="Z148" s="385">
        <f t="shared" si="62"/>
        <v>46.224795644688328</v>
      </c>
      <c r="AA148" s="386">
        <f t="shared" si="63"/>
        <v>53.511724885825998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0.13617444133384324</v>
      </c>
      <c r="AD148" s="231">
        <f>(INDEX(Models!$BJ148:$BT148,,AH148)*(1-AF148)+INDEX(Models!$BJ148:$BT148,,AH148+1)*AF148-ERP_i)*AE148*Ramure*Pc/MaxiM</f>
        <v>3.5630732313182492E-3</v>
      </c>
      <c r="AE148" s="305">
        <f t="shared" si="65"/>
        <v>0.7</v>
      </c>
      <c r="AF148" s="177">
        <f t="shared" si="66"/>
        <v>0.62352855245680172</v>
      </c>
      <c r="AG148" s="921">
        <f t="shared" si="74"/>
        <v>1</v>
      </c>
      <c r="AH148" s="176">
        <f t="shared" si="67"/>
        <v>7</v>
      </c>
      <c r="AI148" s="225">
        <f t="shared" si="68"/>
        <v>1.6235285524568017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49.01715053785496</v>
      </c>
      <c r="C149" s="955"/>
      <c r="D149" s="393">
        <f t="shared" si="50"/>
        <v>51.831625875447287</v>
      </c>
      <c r="E149" s="385">
        <f t="shared" si="72"/>
        <v>54.768715787967956</v>
      </c>
      <c r="F149" s="385">
        <f t="shared" si="51"/>
        <v>54.773893377680849</v>
      </c>
      <c r="G149" s="110">
        <f t="shared" si="73"/>
        <v>0.91732636890573316</v>
      </c>
      <c r="H149" s="414" t="b">
        <f>Wh_hp&gt;='2024'!Maxi_hp</f>
        <v>0</v>
      </c>
      <c r="I149" s="390">
        <f>IF(H149,Wh_hp,'2024'!Maxi_hp)</f>
        <v>61.115724809852011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5.430034829228747E-2</v>
      </c>
      <c r="M149" s="959"/>
      <c r="N149" s="959"/>
      <c r="O149" s="48">
        <f>IF(t&lt;Tnet,'2024'!Resal+('2024'!Salim-'2024'!Resal)*(1-EXP(('2024'!Tnet-t)/('2024'!Tau_j))),Resal+(Salim-Resal)*(1-EXP((Tnet-t)/(Tau_j))))*Salcycl</f>
        <v>5.3627145903718865E-2</v>
      </c>
      <c r="P149" s="169">
        <f>(INDEX(Models!$BJ149:$BT149,,T149)*(1-R149)+INDEX(Models!$BJ149:$BT149,,T149+1)*R149-ERP_i)*Q149*Ramure*Pc/MaxiM</f>
        <v>1.0718377862620764E-4</v>
      </c>
      <c r="Q149" s="305">
        <f t="shared" si="53"/>
        <v>0.7</v>
      </c>
      <c r="R149" s="177">
        <f t="shared" si="54"/>
        <v>0.10241877779786246</v>
      </c>
      <c r="S149" s="921">
        <f t="shared" si="55"/>
        <v>-2</v>
      </c>
      <c r="T149" s="176">
        <f t="shared" si="56"/>
        <v>4</v>
      </c>
      <c r="U149" s="251">
        <f t="shared" si="57"/>
        <v>-1.8975812222021375</v>
      </c>
      <c r="V149" s="383">
        <f t="shared" si="58"/>
        <v>53.434123035913856</v>
      </c>
      <c r="W149" s="402">
        <f t="shared" si="59"/>
        <v>49.01715053785496</v>
      </c>
      <c r="X149" s="157">
        <f t="shared" si="60"/>
        <v>45792</v>
      </c>
      <c r="Y149" s="385">
        <f t="shared" si="61"/>
        <v>44.593551481250827</v>
      </c>
      <c r="Z149" s="385">
        <f t="shared" si="62"/>
        <v>47.154031833178003</v>
      </c>
      <c r="AA149" s="386">
        <f t="shared" si="63"/>
        <v>54.594715462760966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0.13628944791658912</v>
      </c>
      <c r="AD149" s="231">
        <f>(INDEX(Models!$BJ149:$BT149,,AH149)*(1-AF149)+INDEX(Models!$BJ149:$BT149,,AH149+1)*AF149-ERP_i)*AE149*Ramure*Pc/MaxiM</f>
        <v>3.7092483244935883E-3</v>
      </c>
      <c r="AE149" s="305">
        <f t="shared" si="65"/>
        <v>0.7</v>
      </c>
      <c r="AF149" s="177">
        <f t="shared" si="66"/>
        <v>0.62740634417184138</v>
      </c>
      <c r="AG149" s="921">
        <f t="shared" si="74"/>
        <v>1</v>
      </c>
      <c r="AH149" s="176">
        <f t="shared" si="67"/>
        <v>7</v>
      </c>
      <c r="AI149" s="225">
        <f t="shared" si="68"/>
        <v>1.6274063441718414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47.201770264293486</v>
      </c>
      <c r="C150" s="955"/>
      <c r="D150" s="393">
        <f t="shared" si="50"/>
        <v>49.913103004330637</v>
      </c>
      <c r="E150" s="385">
        <f t="shared" si="72"/>
        <v>52.749062702834721</v>
      </c>
      <c r="F150" s="385">
        <f t="shared" si="51"/>
        <v>52.754200308672509</v>
      </c>
      <c r="G150" s="110">
        <f t="shared" si="73"/>
        <v>0.88326550845132079</v>
      </c>
      <c r="H150" s="414" t="b">
        <f>Wh_hp&gt;='2024'!Maxi_hp</f>
        <v>0</v>
      </c>
      <c r="I150" s="390">
        <f>IF(H150,Wh_hp,'2024'!Maxi_hp)</f>
        <v>53.059049152756259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5.4321061541733995E-2</v>
      </c>
      <c r="M150" s="959"/>
      <c r="N150" s="959"/>
      <c r="O150" s="48">
        <f>IF(t&lt;Tnet,'2024'!Resal+('2024'!Salim-'2024'!Resal)*(1-EXP(('2024'!Tnet-t)/('2024'!Tau_j))),Resal+(Salim-Resal)*(1-EXP((Tnet-t)/(Tau_j))))*Salcycl</f>
        <v>5.3763224466767331E-2</v>
      </c>
      <c r="P150" s="169">
        <f>(INDEX(Models!$BJ150:$BT150,,T150)*(1-R150)+INDEX(Models!$BJ150:$BT150,,T150+1)*R150-ERP_i)*Q150*Ramure*Pc/MaxiM</f>
        <v>1.1687528013023897E-4</v>
      </c>
      <c r="Q150" s="305">
        <f t="shared" si="53"/>
        <v>0.7</v>
      </c>
      <c r="R150" s="177">
        <f t="shared" si="54"/>
        <v>0.10637521525898852</v>
      </c>
      <c r="S150" s="921">
        <f t="shared" si="55"/>
        <v>-2</v>
      </c>
      <c r="T150" s="176">
        <f t="shared" si="56"/>
        <v>4</v>
      </c>
      <c r="U150" s="251">
        <f t="shared" si="57"/>
        <v>-1.8936247847410115</v>
      </c>
      <c r="V150" s="383">
        <f t="shared" si="58"/>
        <v>53.43902809614876</v>
      </c>
      <c r="W150" s="402">
        <f t="shared" si="59"/>
        <v>47.201770264293486</v>
      </c>
      <c r="X150" s="157">
        <f t="shared" si="60"/>
        <v>45793</v>
      </c>
      <c r="Y150" s="385">
        <f t="shared" si="61"/>
        <v>42.944932404036329</v>
      </c>
      <c r="Z150" s="385">
        <f t="shared" si="62"/>
        <v>45.411746690741744</v>
      </c>
      <c r="AA150" s="386">
        <f t="shared" si="63"/>
        <v>52.584569481385856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0.1364054676378626</v>
      </c>
      <c r="AD150" s="231">
        <f>(INDEX(Models!$BJ150:$BT150,,AH150)*(1-AF150)+INDEX(Models!$BJ150:$BT150,,AH150+1)*AF150-ERP_i)*AE150*Ramure*Pc/MaxiM</f>
        <v>3.8589278904993655E-3</v>
      </c>
      <c r="AE150" s="305">
        <f t="shared" si="65"/>
        <v>0.7</v>
      </c>
      <c r="AF150" s="177">
        <f t="shared" si="66"/>
        <v>0.63136278163296744</v>
      </c>
      <c r="AG150" s="921">
        <f t="shared" si="74"/>
        <v>1</v>
      </c>
      <c r="AH150" s="176">
        <f t="shared" si="67"/>
        <v>7</v>
      </c>
      <c r="AI150" s="225">
        <f t="shared" si="68"/>
        <v>1.6313627816329674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50.543510634287877</v>
      </c>
      <c r="C151" s="955"/>
      <c r="D151" s="393">
        <f t="shared" si="50"/>
        <v>53.447968053023587</v>
      </c>
      <c r="E151" s="385">
        <f t="shared" si="72"/>
        <v>56.492919856319574</v>
      </c>
      <c r="F151" s="385">
        <f t="shared" si="51"/>
        <v>56.499547485861797</v>
      </c>
      <c r="G151" s="110">
        <f t="shared" si="73"/>
        <v>0.94577362347051652</v>
      </c>
      <c r="H151" s="414" t="b">
        <f>Wh_hp&gt;='2024'!Maxi_hp</f>
        <v>1</v>
      </c>
      <c r="I151" s="390">
        <f>IF(H151,Wh_hp,'2024'!Maxi_hp)</f>
        <v>56.499547485861797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5.4341774337507309E-2</v>
      </c>
      <c r="M151" s="959"/>
      <c r="N151" s="959"/>
      <c r="O151" s="48">
        <f>IF(t&lt;Tnet,'2024'!Resal+('2024'!Salim-'2024'!Resal)*(1-EXP(('2024'!Tnet-t)/('2024'!Tau_j))),Resal+(Salim-Resal)*(1-EXP((Tnet-t)/(Tau_j))))*Salcycl</f>
        <v>5.3899706565713371E-2</v>
      </c>
      <c r="P151" s="169">
        <f>(INDEX(Models!$BJ151:$BT151,,T151)*(1-R151)+INDEX(Models!$BJ151:$BT151,,T151+1)*R151-ERP_i)*Q151*Ramure*Pc/MaxiM</f>
        <v>1.2715244877957275E-4</v>
      </c>
      <c r="Q151" s="305">
        <f t="shared" si="53"/>
        <v>0.7</v>
      </c>
      <c r="R151" s="177">
        <f t="shared" si="54"/>
        <v>0.11040927361896236</v>
      </c>
      <c r="S151" s="921">
        <f t="shared" si="55"/>
        <v>-2</v>
      </c>
      <c r="T151" s="176">
        <f t="shared" si="56"/>
        <v>4</v>
      </c>
      <c r="U151" s="251">
        <f t="shared" si="57"/>
        <v>-1.8895907263810376</v>
      </c>
      <c r="V151" s="383">
        <f t="shared" si="58"/>
        <v>53.440920271357427</v>
      </c>
      <c r="W151" s="402">
        <f t="shared" si="59"/>
        <v>50.543510634287877</v>
      </c>
      <c r="X151" s="157">
        <f t="shared" si="60"/>
        <v>45794</v>
      </c>
      <c r="Y151" s="385">
        <f t="shared" si="61"/>
        <v>45.964266942447111</v>
      </c>
      <c r="Z151" s="385">
        <f t="shared" si="62"/>
        <v>48.605580425471651</v>
      </c>
      <c r="AA151" s="386">
        <f t="shared" si="63"/>
        <v>56.290494486146756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0.13652241165808873</v>
      </c>
      <c r="AD151" s="231">
        <f>(INDEX(Models!$BJ151:$BT151,,AH151)*(1-AF151)+INDEX(Models!$BJ151:$BT151,,AH151+1)*AF151-ERP_i)*AE151*Ramure*Pc/MaxiM</f>
        <v>4.0107252025979034E-3</v>
      </c>
      <c r="AE151" s="305">
        <f t="shared" si="65"/>
        <v>0.7</v>
      </c>
      <c r="AF151" s="177">
        <f t="shared" si="66"/>
        <v>0.63539683999294128</v>
      </c>
      <c r="AG151" s="921">
        <f t="shared" si="74"/>
        <v>1</v>
      </c>
      <c r="AH151" s="176">
        <f t="shared" si="67"/>
        <v>7</v>
      </c>
      <c r="AI151" s="225">
        <f t="shared" si="68"/>
        <v>1.6353968399929413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48.968560139799195</v>
      </c>
      <c r="C152" s="955"/>
      <c r="D152" s="393">
        <f t="shared" si="50"/>
        <v>51.783648015250222</v>
      </c>
      <c r="E152" s="385">
        <f t="shared" si="72"/>
        <v>54.741701079449925</v>
      </c>
      <c r="F152" s="385">
        <f t="shared" si="51"/>
        <v>54.748355008466127</v>
      </c>
      <c r="G152" s="110">
        <f t="shared" si="73"/>
        <v>0.91631447009428024</v>
      </c>
      <c r="H152" s="414" t="b">
        <f>Wh_hp&gt;='2024'!Maxi_hp</f>
        <v>0</v>
      </c>
      <c r="I152" s="390">
        <f>IF(H152,Wh_hp,'2024'!Maxi_hp)</f>
        <v>59.62470514235855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5.4362486679617184E-2</v>
      </c>
      <c r="M152" s="959"/>
      <c r="N152" s="959"/>
      <c r="O152" s="48">
        <f>IF(t&lt;Tnet,'2024'!Resal+('2024'!Salim-'2024'!Resal)*(1-EXP(('2024'!Tnet-t)/('2024'!Tau_j))),Resal+(Salim-Resal)*(1-EXP((Tnet-t)/(Tau_j))))*Salcycl</f>
        <v>5.4036557247399059E-2</v>
      </c>
      <c r="P152" s="169">
        <f>(INDEX(Models!$BJ152:$BT152,,T152)*(1-R152)+INDEX(Models!$BJ152:$BT152,,T152+1)*R152-ERP_i)*Q152*Ramure*Pc/MaxiM</f>
        <v>1.3803591854934057E-4</v>
      </c>
      <c r="Q152" s="305">
        <f t="shared" si="53"/>
        <v>0.7</v>
      </c>
      <c r="R152" s="177">
        <f t="shared" si="54"/>
        <v>0.11451975384291946</v>
      </c>
      <c r="S152" s="921">
        <f t="shared" si="55"/>
        <v>-2</v>
      </c>
      <c r="T152" s="176">
        <f t="shared" si="56"/>
        <v>4</v>
      </c>
      <c r="U152" s="251">
        <f t="shared" si="57"/>
        <v>-1.8854802461570805</v>
      </c>
      <c r="V152" s="383">
        <f t="shared" si="58"/>
        <v>53.439898301250373</v>
      </c>
      <c r="W152" s="402">
        <f t="shared" si="59"/>
        <v>48.968560139799195</v>
      </c>
      <c r="X152" s="157">
        <f t="shared" si="60"/>
        <v>45795</v>
      </c>
      <c r="Y152" s="385">
        <f t="shared" si="61"/>
        <v>44.534048238168673</v>
      </c>
      <c r="Z152" s="385">
        <f t="shared" si="62"/>
        <v>47.094206406636594</v>
      </c>
      <c r="AA152" s="386">
        <f t="shared" si="63"/>
        <v>54.547600792255011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0.13664018723765195</v>
      </c>
      <c r="AD152" s="231">
        <f>(INDEX(Models!$BJ152:$BT152,,AH152)*(1-AF152)+INDEX(Models!$BJ152:$BT152,,AH152+1)*AF152-ERP_i)*AE152*Ramure*Pc/MaxiM</f>
        <v>4.1646510760614298E-3</v>
      </c>
      <c r="AE152" s="305">
        <f t="shared" si="65"/>
        <v>0.7</v>
      </c>
      <c r="AF152" s="177">
        <f t="shared" si="66"/>
        <v>0.63950732021689838</v>
      </c>
      <c r="AG152" s="921">
        <f t="shared" si="74"/>
        <v>1</v>
      </c>
      <c r="AH152" s="176">
        <f t="shared" si="67"/>
        <v>7</v>
      </c>
      <c r="AI152" s="225">
        <f t="shared" si="68"/>
        <v>1.6395073202168984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51.158404245996003</v>
      </c>
      <c r="C153" s="955"/>
      <c r="D153" s="393">
        <f t="shared" si="50"/>
        <v>54.100566073411528</v>
      </c>
      <c r="E153" s="385">
        <f t="shared" si="72"/>
        <v>57.199264127116066</v>
      </c>
      <c r="F153" s="385">
        <f t="shared" si="51"/>
        <v>57.20729831950954</v>
      </c>
      <c r="G153" s="110">
        <f t="shared" si="73"/>
        <v>0.95736731684592602</v>
      </c>
      <c r="H153" s="414" t="b">
        <f>Wh_hp&gt;='2024'!Maxi_hp</f>
        <v>0</v>
      </c>
      <c r="I153" s="390">
        <f>IF(H153,Wh_hp,'2024'!Maxi_hp)</f>
        <v>59.775748831066402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5.438319856807361E-2</v>
      </c>
      <c r="M153" s="959"/>
      <c r="N153" s="959"/>
      <c r="O153" s="48">
        <f>IF(t&lt;Tnet,'2024'!Resal+('2024'!Salim-'2024'!Resal)*(1-EXP(('2024'!Tnet-t)/('2024'!Tau_j))),Resal+(Salim-Resal)*(1-EXP((Tnet-t)/(Tau_j))))*Salcycl</f>
        <v>5.4173739837250046E-2</v>
      </c>
      <c r="P153" s="169">
        <f>(INDEX(Models!$BJ153:$BT153,,T153)*(1-R153)+INDEX(Models!$BJ153:$BT153,,T153+1)*R153-ERP_i)*Q153*Ramure*Pc/MaxiM</f>
        <v>1.4954605505624005E-4</v>
      </c>
      <c r="Q153" s="305">
        <f t="shared" si="53"/>
        <v>0.7</v>
      </c>
      <c r="R153" s="177">
        <f t="shared" si="54"/>
        <v>0.11870527961021593</v>
      </c>
      <c r="S153" s="921">
        <f t="shared" si="55"/>
        <v>-2</v>
      </c>
      <c r="T153" s="176">
        <f t="shared" si="56"/>
        <v>4</v>
      </c>
      <c r="U153" s="251">
        <f t="shared" si="57"/>
        <v>-1.8812947203897841</v>
      </c>
      <c r="V153" s="383">
        <f t="shared" si="58"/>
        <v>53.436060985805646</v>
      </c>
      <c r="W153" s="402">
        <f t="shared" si="59"/>
        <v>51.158404245996003</v>
      </c>
      <c r="X153" s="157">
        <f t="shared" si="60"/>
        <v>45796</v>
      </c>
      <c r="Y153" s="385">
        <f t="shared" si="61"/>
        <v>46.508576159423811</v>
      </c>
      <c r="Z153" s="385">
        <f t="shared" si="62"/>
        <v>49.183322556237279</v>
      </c>
      <c r="AA153" s="386">
        <f t="shared" si="63"/>
        <v>56.97517303421435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0.13675869792089906</v>
      </c>
      <c r="AD153" s="231">
        <f>(INDEX(Models!$BJ153:$BT153,,AH153)*(1-AF153)+INDEX(Models!$BJ153:$BT153,,AH153+1)*AF153-ERP_i)*AE153*Ramure*Pc/MaxiM</f>
        <v>4.3207106569795508E-3</v>
      </c>
      <c r="AE153" s="305">
        <f t="shared" si="65"/>
        <v>0.7</v>
      </c>
      <c r="AF153" s="177">
        <f t="shared" si="66"/>
        <v>0.64369284598419485</v>
      </c>
      <c r="AG153" s="921">
        <f t="shared" si="74"/>
        <v>1</v>
      </c>
      <c r="AH153" s="176">
        <f t="shared" si="67"/>
        <v>7</v>
      </c>
      <c r="AI153" s="225">
        <f t="shared" si="68"/>
        <v>1.6436928459841949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46.40515501234097</v>
      </c>
      <c r="C154" s="955"/>
      <c r="D154" s="393">
        <f t="shared" si="50"/>
        <v>49.075028443151268</v>
      </c>
      <c r="E154" s="385">
        <f t="shared" si="72"/>
        <v>51.893423369300969</v>
      </c>
      <c r="F154" s="385">
        <f t="shared" si="51"/>
        <v>51.900239575906383</v>
      </c>
      <c r="G154" s="110">
        <f t="shared" si="73"/>
        <v>0.86850408973042825</v>
      </c>
      <c r="H154" s="414" t="b">
        <f>Wh_hp&gt;='2024'!Maxi_hp</f>
        <v>0</v>
      </c>
      <c r="I154" s="390">
        <f>IF(H154,Wh_hp,'2024'!Maxi_hp)</f>
        <v>61.745336141235896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5.4403910002886469E-2</v>
      </c>
      <c r="M154" s="959"/>
      <c r="N154" s="959"/>
      <c r="O154" s="48">
        <f>IF(t&lt;Tnet,'2024'!Resal+('2024'!Salim-'2024'!Resal)*(1-EXP(('2024'!Tnet-t)/('2024'!Tau_j))),Resal+(Salim-Resal)*(1-EXP((Tnet-t)/(Tau_j))))*Salcycl</f>
        <v>5.4311216010794118E-2</v>
      </c>
      <c r="P154" s="169">
        <f>(INDEX(Models!$BJ154:$BT154,,T154)*(1-R154)+INDEX(Models!$BJ154:$BT154,,T154+1)*R154-ERP_i)*Q154*Ramure*Pc/MaxiM</f>
        <v>1.6170285117060753E-4</v>
      </c>
      <c r="Q154" s="305">
        <f t="shared" si="53"/>
        <v>0.7</v>
      </c>
      <c r="R154" s="177">
        <f t="shared" si="54"/>
        <v>0.12296429491787664</v>
      </c>
      <c r="S154" s="921">
        <f t="shared" si="55"/>
        <v>-2</v>
      </c>
      <c r="T154" s="176">
        <f t="shared" si="56"/>
        <v>4</v>
      </c>
      <c r="U154" s="251">
        <f t="shared" si="57"/>
        <v>-1.8770357050821234</v>
      </c>
      <c r="V154" s="383">
        <f t="shared" si="58"/>
        <v>53.429507185417378</v>
      </c>
      <c r="W154" s="402">
        <f t="shared" si="59"/>
        <v>46.40515501234097</v>
      </c>
      <c r="X154" s="157">
        <f t="shared" si="60"/>
        <v>45797</v>
      </c>
      <c r="Y154" s="385">
        <f t="shared" si="61"/>
        <v>42.205065638516324</v>
      </c>
      <c r="Z154" s="385">
        <f t="shared" si="62"/>
        <v>44.633291195869006</v>
      </c>
      <c r="AA154" s="386">
        <f t="shared" si="63"/>
        <v>51.711441853772641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0.13687784374527634</v>
      </c>
      <c r="AD154" s="231">
        <f>(INDEX(Models!$BJ154:$BT154,,AH154)*(1-AF154)+INDEX(Models!$BJ154:$BT154,,AH154+1)*AF154-ERP_i)*AE154*Ramure*Pc/MaxiM</f>
        <v>4.4789032567332104E-3</v>
      </c>
      <c r="AE154" s="305">
        <f t="shared" si="65"/>
        <v>0.7</v>
      </c>
      <c r="AF154" s="177">
        <f t="shared" si="66"/>
        <v>0.64795186129185556</v>
      </c>
      <c r="AG154" s="921">
        <f t="shared" si="74"/>
        <v>1</v>
      </c>
      <c r="AH154" s="176">
        <f t="shared" si="67"/>
        <v>7</v>
      </c>
      <c r="AI154" s="225">
        <f t="shared" si="68"/>
        <v>1.6479518612918556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46.976099308562922</v>
      </c>
      <c r="C155" s="955"/>
      <c r="D155" s="393">
        <f t="shared" si="50"/>
        <v>49.679909556709511</v>
      </c>
      <c r="E155" s="385">
        <f t="shared" si="72"/>
        <v>52.540695015916363</v>
      </c>
      <c r="F155" s="385">
        <f t="shared" si="51"/>
        <v>52.548285582823802</v>
      </c>
      <c r="G155" s="110">
        <f t="shared" si="73"/>
        <v>0.8793409009030545</v>
      </c>
      <c r="H155" s="414" t="b">
        <f>Wh_hp&gt;='2024'!Maxi_hp</f>
        <v>0</v>
      </c>
      <c r="I155" s="390">
        <f>IF(H155,Wh_hp,'2024'!Maxi_hp)</f>
        <v>58.246676654523853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5.4424620984065863E-2</v>
      </c>
      <c r="M155" s="959"/>
      <c r="N155" s="959"/>
      <c r="O155" s="48">
        <f>IF(t&lt;Tnet,'2024'!Resal+('2024'!Salim-'2024'!Resal)*(1-EXP(('2024'!Tnet-t)/('2024'!Tau_j))),Resal+(Salim-Resal)*(1-EXP((Tnet-t)/(Tau_j))))*Salcycl</f>
        <v>5.4448945875958048E-2</v>
      </c>
      <c r="P155" s="169">
        <f>(INDEX(Models!$BJ155:$BT155,,T155)*(1-R155)+INDEX(Models!$BJ155:$BT155,,T155+1)*R155-ERP_i)*Q155*Ramure*Pc/MaxiM</f>
        <v>1.7452581789260041E-4</v>
      </c>
      <c r="Q155" s="305">
        <f t="shared" si="53"/>
        <v>0.7</v>
      </c>
      <c r="R155" s="177">
        <f t="shared" si="54"/>
        <v>0.12729506243881961</v>
      </c>
      <c r="S155" s="921">
        <f t="shared" si="55"/>
        <v>-2</v>
      </c>
      <c r="T155" s="176">
        <f t="shared" si="56"/>
        <v>4</v>
      </c>
      <c r="U155" s="251">
        <f t="shared" si="57"/>
        <v>-1.8727049375611804</v>
      </c>
      <c r="V155" s="383">
        <f t="shared" si="58"/>
        <v>53.420335824415247</v>
      </c>
      <c r="W155" s="402">
        <f t="shared" si="59"/>
        <v>46.976099308562922</v>
      </c>
      <c r="X155" s="157">
        <f t="shared" si="60"/>
        <v>45798</v>
      </c>
      <c r="Y155" s="385">
        <f t="shared" si="61"/>
        <v>42.716529859118673</v>
      </c>
      <c r="Z155" s="385">
        <f t="shared" si="62"/>
        <v>45.175171442782293</v>
      </c>
      <c r="AA155" s="386">
        <f t="shared" si="63"/>
        <v>52.346514137495973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0.13699752147539512</v>
      </c>
      <c r="AD155" s="231">
        <f>(INDEX(Models!$BJ155:$BT155,,AH155)*(1-AF155)+INDEX(Models!$BJ155:$BT155,,AH155+1)*AF155-ERP_i)*AE155*Ramure*Pc/MaxiM</f>
        <v>4.6392222020600138E-3</v>
      </c>
      <c r="AE155" s="305">
        <f t="shared" si="65"/>
        <v>0.7</v>
      </c>
      <c r="AF155" s="177">
        <f t="shared" si="66"/>
        <v>0.6522826288127983</v>
      </c>
      <c r="AG155" s="921">
        <f t="shared" si="74"/>
        <v>1</v>
      </c>
      <c r="AH155" s="176">
        <f t="shared" si="67"/>
        <v>7</v>
      </c>
      <c r="AI155" s="225">
        <f t="shared" si="68"/>
        <v>1.6522826288127983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35.936565420377789</v>
      </c>
      <c r="C156" s="955"/>
      <c r="D156" s="393">
        <f t="shared" si="50"/>
        <v>38.005804019590087</v>
      </c>
      <c r="E156" s="385">
        <f t="shared" si="72"/>
        <v>40.200208289735102</v>
      </c>
      <c r="F156" s="385">
        <f t="shared" si="51"/>
        <v>40.204235098293317</v>
      </c>
      <c r="G156" s="110">
        <f t="shared" si="73"/>
        <v>0.67280131485341521</v>
      </c>
      <c r="H156" s="414" t="b">
        <f>Wh_hp&gt;='2024'!Maxi_hp</f>
        <v>0</v>
      </c>
      <c r="I156" s="390">
        <f>IF(H156,Wh_hp,'2024'!Maxi_hp)</f>
        <v>58.677512490213942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5.4445331511621453E-2</v>
      </c>
      <c r="M156" s="959"/>
      <c r="N156" s="959"/>
      <c r="O156" s="48">
        <f>IF(t&lt;Tnet,'2024'!Resal+('2024'!Salim-'2024'!Resal)*(1-EXP(('2024'!Tnet-t)/('2024'!Tau_j))),Resal+(Salim-Resal)*(1-EXP((Tnet-t)/(Tau_j))))*Salcycl</f>
        <v>5.4586888066083611E-2</v>
      </c>
      <c r="P156" s="169">
        <f>(INDEX(Models!$BJ156:$BT156,,T156)*(1-R156)+INDEX(Models!$BJ156:$BT156,,T156+1)*R156-ERP_i)*Q156*Ramure*Pc/MaxiM</f>
        <v>1.8803595488613736E-4</v>
      </c>
      <c r="Q156" s="305">
        <f t="shared" si="53"/>
        <v>0.7</v>
      </c>
      <c r="R156" s="177">
        <f t="shared" si="54"/>
        <v>0.13169566268437505</v>
      </c>
      <c r="S156" s="921">
        <f t="shared" si="55"/>
        <v>-2</v>
      </c>
      <c r="T156" s="176">
        <f t="shared" si="56"/>
        <v>4</v>
      </c>
      <c r="U156" s="251">
        <f t="shared" si="57"/>
        <v>-1.868304337315625</v>
      </c>
      <c r="V156" s="383">
        <f t="shared" si="58"/>
        <v>53.408645774270163</v>
      </c>
      <c r="W156" s="402">
        <f t="shared" si="59"/>
        <v>35.936565420377789</v>
      </c>
      <c r="X156" s="157">
        <f t="shared" si="60"/>
        <v>45799</v>
      </c>
      <c r="Y156" s="385">
        <f t="shared" si="61"/>
        <v>32.71883529836385</v>
      </c>
      <c r="Z156" s="385">
        <f t="shared" si="62"/>
        <v>34.602795997686925</v>
      </c>
      <c r="AA156" s="386">
        <f t="shared" si="63"/>
        <v>40.101405469241151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0.13711762486159762</v>
      </c>
      <c r="AD156" s="231">
        <f>(INDEX(Models!$BJ156:$BT156,,AH156)*(1-AF156)+INDEX(Models!$BJ156:$BT156,,AH156+1)*AF156-ERP_i)*AE156*Ramure*Pc/MaxiM</f>
        <v>4.8017349744530445E-3</v>
      </c>
      <c r="AE156" s="305">
        <f t="shared" si="65"/>
        <v>0.7</v>
      </c>
      <c r="AF156" s="177">
        <f t="shared" si="66"/>
        <v>0.65668322905835397</v>
      </c>
      <c r="AG156" s="921">
        <f t="shared" si="74"/>
        <v>1</v>
      </c>
      <c r="AH156" s="176">
        <f t="shared" si="67"/>
        <v>7</v>
      </c>
      <c r="AI156" s="225">
        <f t="shared" si="68"/>
        <v>1.656683229058354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16.785809869668409</v>
      </c>
      <c r="C157" s="955"/>
      <c r="D157" s="393">
        <f t="shared" si="50"/>
        <v>17.752730846194556</v>
      </c>
      <c r="E157" s="385">
        <f t="shared" si="72"/>
        <v>18.780493341361598</v>
      </c>
      <c r="F157" s="385">
        <f t="shared" si="51"/>
        <v>18.780571330590334</v>
      </c>
      <c r="G157" s="110">
        <f t="shared" si="73"/>
        <v>0.31431089844349108</v>
      </c>
      <c r="H157" s="414" t="b">
        <f>Wh_hp&gt;='2024'!Maxi_hp</f>
        <v>0</v>
      </c>
      <c r="I157" s="390">
        <f>IF(H157,Wh_hp,'2024'!Maxi_hp)</f>
        <v>53.955691624579302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5.4466041585563452E-2</v>
      </c>
      <c r="M157" s="959"/>
      <c r="N157" s="959"/>
      <c r="O157" s="48">
        <f>IF(t&lt;Tnet,'2024'!Resal+('2024'!Salim-'2024'!Resal)*(1-EXP(('2024'!Tnet-t)/('2024'!Tau_j))),Resal+(Salim-Resal)*(1-EXP((Tnet-t)/(Tau_j))))*Salcycl</f>
        <v>5.4724999843509405E-2</v>
      </c>
      <c r="P157" s="169">
        <f>(INDEX(Models!$BJ157:$BT157,,T157)*(1-R157)+INDEX(Models!$BJ157:$BT157,,T157+1)*R157-ERP_i)*Q157*Ramure*Pc/MaxiM</f>
        <v>2.022419401502523E-4</v>
      </c>
      <c r="Q157" s="305">
        <f t="shared" si="53"/>
        <v>0.7</v>
      </c>
      <c r="R157" s="177">
        <f t="shared" si="54"/>
        <v>0.13616399401614743</v>
      </c>
      <c r="S157" s="921">
        <f t="shared" si="55"/>
        <v>-2</v>
      </c>
      <c r="T157" s="176">
        <f t="shared" si="56"/>
        <v>4</v>
      </c>
      <c r="U157" s="251">
        <f t="shared" si="57"/>
        <v>-1.8638360059838526</v>
      </c>
      <c r="V157" s="383">
        <f t="shared" si="58"/>
        <v>53.394536587460117</v>
      </c>
      <c r="W157" s="402">
        <f t="shared" si="59"/>
        <v>16.785809869668409</v>
      </c>
      <c r="X157" s="157">
        <f t="shared" si="60"/>
        <v>45800</v>
      </c>
      <c r="Y157" s="385">
        <f t="shared" si="61"/>
        <v>15.319078043371213</v>
      </c>
      <c r="Z157" s="385">
        <f t="shared" si="62"/>
        <v>16.20151017004163</v>
      </c>
      <c r="AA157" s="386">
        <f t="shared" si="63"/>
        <v>18.778656238479805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0.1372380449223668</v>
      </c>
      <c r="AD157" s="231">
        <f>(INDEX(Models!$BJ157:$BT157,,AH157)*(1-AF157)+INDEX(Models!$BJ157:$BT157,,AH157+1)*AF157-ERP_i)*AE157*Ramure*Pc/MaxiM</f>
        <v>4.9662235449360534E-3</v>
      </c>
      <c r="AE157" s="305">
        <f t="shared" si="65"/>
        <v>0.7</v>
      </c>
      <c r="AF157" s="177">
        <f t="shared" si="66"/>
        <v>0.66115156039012635</v>
      </c>
      <c r="AG157" s="921">
        <f t="shared" si="74"/>
        <v>1</v>
      </c>
      <c r="AH157" s="176">
        <f t="shared" si="67"/>
        <v>7</v>
      </c>
      <c r="AI157" s="225">
        <f t="shared" si="68"/>
        <v>1.6611515603901263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15.957558068955864</v>
      </c>
      <c r="C158" s="955"/>
      <c r="D158" s="393">
        <f t="shared" si="50"/>
        <v>16.87713851636456</v>
      </c>
      <c r="E158" s="385">
        <f t="shared" si="72"/>
        <v>17.85682155311153</v>
      </c>
      <c r="F158" s="385">
        <f t="shared" si="51"/>
        <v>17.85682155311153</v>
      </c>
      <c r="G158" s="110">
        <f t="shared" si="73"/>
        <v>0.29888831761210216</v>
      </c>
      <c r="H158" s="414" t="b">
        <f>Wh_hp&gt;='2024'!Maxi_hp</f>
        <v>0</v>
      </c>
      <c r="I158" s="390">
        <f>IF(H158,Wh_hp,'2024'!Maxi_hp)</f>
        <v>25.770368698840517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5.448675120590174E-2</v>
      </c>
      <c r="M158" s="959"/>
      <c r="N158" s="959"/>
      <c r="O158" s="48">
        <f>IF(t&lt;Tnet,'2024'!Resal+('2024'!Salim-'2024'!Resal)*(1-EXP(('2024'!Tnet-t)/('2024'!Tau_j))),Resal+(Salim-Resal)*(1-EXP((Tnet-t)/(Tau_j))))*Salcycl</f>
        <v>5.4863237213470403E-2</v>
      </c>
      <c r="P158" s="169">
        <f>(INDEX(Models!$BJ158:$BT158,,T158)*(1-R158)+INDEX(Models!$BJ158:$BT158,,T158+1)*R158-ERP_i)*Q158*Ramure*Pc/MaxiM</f>
        <v>2.1715914941062488E-4</v>
      </c>
      <c r="Q158" s="305">
        <f t="shared" si="53"/>
        <v>0.7</v>
      </c>
      <c r="R158" s="177">
        <f t="shared" si="54"/>
        <v>0.14069777354697699</v>
      </c>
      <c r="S158" s="921">
        <f t="shared" si="55"/>
        <v>-2</v>
      </c>
      <c r="T158" s="176">
        <f t="shared" si="56"/>
        <v>4</v>
      </c>
      <c r="U158" s="251">
        <f t="shared" si="57"/>
        <v>-1.859302226453023</v>
      </c>
      <c r="V158" s="383">
        <f t="shared" si="58"/>
        <v>53.378107470644565</v>
      </c>
      <c r="W158" s="402">
        <f t="shared" si="59"/>
        <v>15.957558068955864</v>
      </c>
      <c r="X158" s="157">
        <f t="shared" si="60"/>
        <v>45801</v>
      </c>
      <c r="Y158" s="385">
        <f t="shared" si="61"/>
        <v>14.564716614753976</v>
      </c>
      <c r="Z158" s="385">
        <f t="shared" si="62"/>
        <v>15.404032289689992</v>
      </c>
      <c r="AA158" s="386">
        <f t="shared" si="63"/>
        <v>17.85682155311153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0.1373586702496975</v>
      </c>
      <c r="AD158" s="231">
        <f>(INDEX(Models!$BJ158:$BT158,,AH158)*(1-AF158)+INDEX(Models!$BJ158:$BT158,,AH158+1)*AF158-ERP_i)*AE158*Ramure*Pc/MaxiM</f>
        <v>5.1326306497492848E-3</v>
      </c>
      <c r="AE158" s="305">
        <f t="shared" si="65"/>
        <v>0.7</v>
      </c>
      <c r="AF158" s="177">
        <f t="shared" si="66"/>
        <v>0.66568533992095591</v>
      </c>
      <c r="AG158" s="921">
        <f t="shared" si="74"/>
        <v>1</v>
      </c>
      <c r="AH158" s="176">
        <f t="shared" si="67"/>
        <v>7</v>
      </c>
      <c r="AI158" s="225">
        <f t="shared" si="68"/>
        <v>1.6656853399209559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37.1750553535405</v>
      </c>
      <c r="C159" s="955"/>
      <c r="D159" s="393">
        <f t="shared" si="50"/>
        <v>39.318190039016351</v>
      </c>
      <c r="E159" s="385">
        <f t="shared" si="72"/>
        <v>41.606618771750774</v>
      </c>
      <c r="F159" s="385">
        <f t="shared" si="51"/>
        <v>41.612108650584808</v>
      </c>
      <c r="G159" s="110">
        <f t="shared" si="73"/>
        <v>0.69662074056683054</v>
      </c>
      <c r="H159" s="414" t="b">
        <f>Wh_hp&gt;='2024'!Maxi_hp</f>
        <v>0</v>
      </c>
      <c r="I159" s="390">
        <f>IF(H159,Wh_hp,'2024'!Maxi_hp)</f>
        <v>55.122596698708996</v>
      </c>
      <c r="J159" s="85">
        <f>IF(H159,An,'2024'!An_max)</f>
        <v>2021</v>
      </c>
      <c r="K159" s="197">
        <f t="shared" si="52"/>
        <v>45802</v>
      </c>
      <c r="L159" s="147">
        <f>IF(t&lt;Tvie,1-EXP((T0-t)*PertePVj)+'2024'!Pspv,1-EXP((T0-t)*PertePVj)+Pspv)</f>
        <v>5.4507460372646088E-2</v>
      </c>
      <c r="M159" s="959"/>
      <c r="N159" s="959"/>
      <c r="O159" s="48">
        <f>IF(t&lt;Tnet,'2024'!Resal+('2024'!Salim-'2024'!Resal)*(1-EXP(('2024'!Tnet-t)/('2024'!Tau_j))),Resal+(Salim-Resal)*(1-EXP((Tnet-t)/(Tau_j))))*Salcycl</f>
        <v>5.5001555047971731E-2</v>
      </c>
      <c r="P159" s="169">
        <f>(INDEX(Models!$BJ159:$BT159,,T159)*(1-R159)+INDEX(Models!$BJ159:$BT159,,T159+1)*R159-ERP_i)*Q159*Ramure*Pc/MaxiM</f>
        <v>2.3280306738225344E-4</v>
      </c>
      <c r="Q159" s="305">
        <f t="shared" si="53"/>
        <v>0.7</v>
      </c>
      <c r="R159" s="177">
        <f t="shared" si="54"/>
        <v>0.14529453896469402</v>
      </c>
      <c r="S159" s="921">
        <f t="shared" si="55"/>
        <v>-2</v>
      </c>
      <c r="T159" s="176">
        <f t="shared" si="56"/>
        <v>4</v>
      </c>
      <c r="U159" s="251">
        <f t="shared" si="57"/>
        <v>-1.854705461035306</v>
      </c>
      <c r="V159" s="383">
        <f t="shared" si="58"/>
        <v>53.35945763068024</v>
      </c>
      <c r="W159" s="402">
        <f t="shared" si="59"/>
        <v>37.1750553535405</v>
      </c>
      <c r="X159" s="157">
        <f t="shared" si="60"/>
        <v>45802</v>
      </c>
      <c r="Y159" s="385">
        <f t="shared" si="61"/>
        <v>33.833015790881248</v>
      </c>
      <c r="Z159" s="385">
        <f t="shared" si="62"/>
        <v>35.783482547853652</v>
      </c>
      <c r="AA159" s="386">
        <f t="shared" si="63"/>
        <v>41.48710421811856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0.13747938733631782</v>
      </c>
      <c r="AD159" s="231">
        <f>(INDEX(Models!$BJ159:$BT159,,AH159)*(1-AF159)+INDEX(Models!$BJ159:$BT159,,AH159+1)*AF159-ERP_i)*AE159*Ramure*Pc/MaxiM</f>
        <v>5.3009212396657275E-3</v>
      </c>
      <c r="AE159" s="305">
        <f t="shared" si="65"/>
        <v>0.7</v>
      </c>
      <c r="AF159" s="177">
        <f t="shared" si="66"/>
        <v>0.67028210533867294</v>
      </c>
      <c r="AG159" s="921">
        <f t="shared" si="74"/>
        <v>1</v>
      </c>
      <c r="AH159" s="176">
        <f t="shared" si="67"/>
        <v>7</v>
      </c>
      <c r="AI159" s="225">
        <f t="shared" si="68"/>
        <v>1.6702821053386729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25.299324947688046</v>
      </c>
      <c r="C160" s="955"/>
      <c r="D160" s="393">
        <f t="shared" si="50"/>
        <v>26.758412171016964</v>
      </c>
      <c r="E160" s="385">
        <f t="shared" si="72"/>
        <v>28.31997284620698</v>
      </c>
      <c r="F160" s="385">
        <f t="shared" si="51"/>
        <v>28.321730297068768</v>
      </c>
      <c r="G160" s="110">
        <f t="shared" si="73"/>
        <v>0.47422597006215572</v>
      </c>
      <c r="H160" s="414" t="b">
        <f>Wh_hp&gt;='2024'!Maxi_hp</f>
        <v>0</v>
      </c>
      <c r="I160" s="390">
        <f>IF(H160,Wh_hp,'2024'!Maxi_hp)</f>
        <v>58.823190702914935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5.4528169085806599E-2</v>
      </c>
      <c r="M160" s="959"/>
      <c r="N160" s="959"/>
      <c r="O160" s="48">
        <f>IF(t&lt;Tnet,'2024'!Resal+('2024'!Salim-'2024'!Resal)*(1-EXP(('2024'!Tnet-t)/('2024'!Tau_j))),Resal+(Salim-Resal)*(1-EXP((Tnet-t)/(Tau_j))))*Salcycl</f>
        <v>5.5139907219196482E-2</v>
      </c>
      <c r="P160" s="169">
        <f>(INDEX(Models!$BJ160:$BT160,,T160)*(1-R160)+INDEX(Models!$BJ160:$BT160,,T160+1)*R160-ERP_i)*Q160*Ramure*Pc/MaxiM</f>
        <v>2.4918812632080209E-4</v>
      </c>
      <c r="Q160" s="305">
        <f t="shared" si="53"/>
        <v>0.7</v>
      </c>
      <c r="R160" s="177">
        <f t="shared" si="54"/>
        <v>0.14995165130552635</v>
      </c>
      <c r="S160" s="921">
        <f t="shared" si="55"/>
        <v>-2</v>
      </c>
      <c r="T160" s="176">
        <f t="shared" si="56"/>
        <v>4</v>
      </c>
      <c r="U160" s="251">
        <f t="shared" si="57"/>
        <v>-1.8500483486944737</v>
      </c>
      <c r="V160" s="383">
        <f t="shared" si="58"/>
        <v>53.338686323869091</v>
      </c>
      <c r="W160" s="402">
        <f t="shared" si="59"/>
        <v>25.299324947688046</v>
      </c>
      <c r="X160" s="157">
        <f t="shared" si="60"/>
        <v>45803</v>
      </c>
      <c r="Y160" s="385">
        <f t="shared" si="61"/>
        <v>23.061364194142847</v>
      </c>
      <c r="Z160" s="385">
        <f t="shared" si="62"/>
        <v>24.39138157277981</v>
      </c>
      <c r="AA160" s="386">
        <f t="shared" si="63"/>
        <v>28.283144551888714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0.13760008092342815</v>
      </c>
      <c r="AD160" s="231">
        <f>(INDEX(Models!$BJ160:$BT160,,AH160)*(1-AF160)+INDEX(Models!$BJ160:$BT160,,AH160+1)*AF160-ERP_i)*AE160*Ramure*Pc/MaxiM</f>
        <v>5.4710545558771988E-3</v>
      </c>
      <c r="AE160" s="305">
        <f t="shared" si="65"/>
        <v>0.7</v>
      </c>
      <c r="AF160" s="177">
        <f t="shared" si="66"/>
        <v>0.67493921767950527</v>
      </c>
      <c r="AG160" s="921">
        <f t="shared" si="74"/>
        <v>1</v>
      </c>
      <c r="AH160" s="176">
        <f t="shared" si="67"/>
        <v>7</v>
      </c>
      <c r="AI160" s="225">
        <f t="shared" si="68"/>
        <v>1.6749392176795053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40.322114302767993</v>
      </c>
      <c r="C161" s="955"/>
      <c r="D161" s="393">
        <f t="shared" si="50"/>
        <v>42.648544527138398</v>
      </c>
      <c r="E161" s="385">
        <f t="shared" si="72"/>
        <v>45.144027201718664</v>
      </c>
      <c r="F161" s="385">
        <f t="shared" si="51"/>
        <v>45.151865682241144</v>
      </c>
      <c r="G161" s="110">
        <f t="shared" si="73"/>
        <v>0.75621681687821884</v>
      </c>
      <c r="H161" s="414" t="b">
        <f>Wh_hp&gt;='2024'!Maxi_hp</f>
        <v>0</v>
      </c>
      <c r="I161" s="390">
        <f>IF(H161,Wh_hp,'2024'!Maxi_hp)</f>
        <v>60.55384086599669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5.4548877345393043E-2</v>
      </c>
      <c r="M161" s="959"/>
      <c r="N161" s="959"/>
      <c r="O161" s="48">
        <f>IF(t&lt;Tnet,'2024'!Resal+('2024'!Salim-'2024'!Resal)*(1-EXP(('2024'!Tnet-t)/('2024'!Tau_j))),Resal+(Salim-Resal)*(1-EXP((Tnet-t)/(Tau_j))))*Salcycl</f>
        <v>5.5278246741913749E-2</v>
      </c>
      <c r="P161" s="169">
        <f>(INDEX(Models!$BJ161:$BT161,,T161)*(1-R161)+INDEX(Models!$BJ161:$BT161,,T161+1)*R161-ERP_i)*Q161*Ramure*Pc/MaxiM</f>
        <v>2.6632759661574044E-4</v>
      </c>
      <c r="Q161" s="305">
        <f t="shared" si="53"/>
        <v>0.7</v>
      </c>
      <c r="R161" s="177">
        <f t="shared" si="54"/>
        <v>0.15466629869650217</v>
      </c>
      <c r="S161" s="921">
        <f t="shared" si="55"/>
        <v>-2</v>
      </c>
      <c r="T161" s="176">
        <f t="shared" si="56"/>
        <v>4</v>
      </c>
      <c r="U161" s="251">
        <f t="shared" si="57"/>
        <v>-1.8453337013034978</v>
      </c>
      <c r="V161" s="383">
        <f t="shared" si="58"/>
        <v>53.315892856538497</v>
      </c>
      <c r="W161" s="402">
        <f t="shared" si="59"/>
        <v>40.322114302767993</v>
      </c>
      <c r="X161" s="157">
        <f t="shared" si="60"/>
        <v>45804</v>
      </c>
      <c r="Y161" s="385">
        <f t="shared" si="61"/>
        <v>36.674344372045653</v>
      </c>
      <c r="Z161" s="385">
        <f t="shared" si="62"/>
        <v>38.790312363343141</v>
      </c>
      <c r="AA161" s="386">
        <f t="shared" si="63"/>
        <v>44.985782925334696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0.13772063436740684</v>
      </c>
      <c r="AD161" s="231">
        <f>(INDEX(Models!$BJ161:$BT161,,AH161)*(1-AF161)+INDEX(Models!$BJ161:$BT161,,AH161+1)*AF161-ERP_i)*AE161*Ramure*Pc/MaxiM</f>
        <v>5.6429841675770618E-3</v>
      </c>
      <c r="AE161" s="305">
        <f t="shared" si="65"/>
        <v>0.7</v>
      </c>
      <c r="AF161" s="177">
        <f t="shared" si="66"/>
        <v>0.67965386507048109</v>
      </c>
      <c r="AG161" s="921">
        <f t="shared" si="74"/>
        <v>1</v>
      </c>
      <c r="AH161" s="176">
        <f t="shared" si="67"/>
        <v>7</v>
      </c>
      <c r="AI161" s="225">
        <f t="shared" si="68"/>
        <v>1.6796538650704811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49.669096022293104</v>
      </c>
      <c r="C162" s="955"/>
      <c r="D162" s="393">
        <f t="shared" si="50"/>
        <v>52.535961655356587</v>
      </c>
      <c r="E162" s="385">
        <f t="shared" si="72"/>
        <v>55.618124916659404</v>
      </c>
      <c r="F162" s="385">
        <f t="shared" si="51"/>
        <v>55.632402156468615</v>
      </c>
      <c r="G162" s="110">
        <f t="shared" si="73"/>
        <v>0.93200653626354935</v>
      </c>
      <c r="H162" s="414" t="b">
        <f>Wh_hp&gt;='2024'!Maxi_hp</f>
        <v>0</v>
      </c>
      <c r="I162" s="390">
        <f>IF(H162,Wh_hp,'2024'!Maxi_hp)</f>
        <v>57.676626455771242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5.4569585151415523E-2</v>
      </c>
      <c r="M162" s="959"/>
      <c r="N162" s="959"/>
      <c r="O162" s="48">
        <f>IF(t&lt;Tnet,'2024'!Resal+('2024'!Salim-'2024'!Resal)*(1-EXP(('2024'!Tnet-t)/('2024'!Tau_j))),Resal+(Salim-Resal)*(1-EXP((Tnet-t)/(Tau_j))))*Salcycl</f>
        <v>5.541652592426044E-2</v>
      </c>
      <c r="P162" s="169">
        <f>(INDEX(Models!$BJ162:$BT162,,T162)*(1-R162)+INDEX(Models!$BJ162:$BT162,,T162+1)*R162-ERP_i)*Q162*Ramure*Pc/MaxiM</f>
        <v>2.8423347970349129E-4</v>
      </c>
      <c r="Q162" s="305">
        <f t="shared" si="53"/>
        <v>0.7</v>
      </c>
      <c r="R162" s="177">
        <f t="shared" si="54"/>
        <v>0.15943550107804461</v>
      </c>
      <c r="S162" s="921">
        <f t="shared" si="55"/>
        <v>-2</v>
      </c>
      <c r="T162" s="176">
        <f t="shared" si="56"/>
        <v>4</v>
      </c>
      <c r="U162" s="251">
        <f t="shared" si="57"/>
        <v>-1.8405644989219554</v>
      </c>
      <c r="V162" s="383">
        <f t="shared" si="58"/>
        <v>53.291176577277</v>
      </c>
      <c r="W162" s="402">
        <f t="shared" si="59"/>
        <v>49.669096022293104</v>
      </c>
      <c r="X162" s="157">
        <f t="shared" si="60"/>
        <v>45805</v>
      </c>
      <c r="Y162" s="385">
        <f t="shared" si="61"/>
        <v>45.108450704917438</v>
      </c>
      <c r="Z162" s="385">
        <f t="shared" si="62"/>
        <v>47.712079066275635</v>
      </c>
      <c r="AA162" s="386">
        <f t="shared" si="63"/>
        <v>55.340227491417053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0.13784093002372463</v>
      </c>
      <c r="AD162" s="231">
        <f>(INDEX(Models!$BJ162:$BT162,,AH162)*(1-AF162)+INDEX(Models!$BJ162:$BT162,,AH162+1)*AF162-ERP_i)*AE162*Ramure*Pc/MaxiM</f>
        <v>5.8166580402497755E-3</v>
      </c>
      <c r="AE162" s="305">
        <f t="shared" si="65"/>
        <v>0.7</v>
      </c>
      <c r="AF162" s="177">
        <f t="shared" si="66"/>
        <v>0.68442306745202353</v>
      </c>
      <c r="AG162" s="921">
        <f t="shared" si="74"/>
        <v>1</v>
      </c>
      <c r="AH162" s="176">
        <f t="shared" si="67"/>
        <v>7</v>
      </c>
      <c r="AI162" s="225">
        <f t="shared" si="68"/>
        <v>1.6844230674520235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53.78158532041499</v>
      </c>
      <c r="C163" s="955"/>
      <c r="D163" s="393">
        <f t="shared" si="50"/>
        <v>56.887066944609238</v>
      </c>
      <c r="E163" s="385">
        <f t="shared" si="72"/>
        <v>60.233310214333848</v>
      </c>
      <c r="F163" s="385">
        <f t="shared" si="51"/>
        <v>60.251561411651238</v>
      </c>
      <c r="G163" s="110">
        <f t="shared" si="73"/>
        <v>1.0097058919531765</v>
      </c>
      <c r="H163" s="414" t="b">
        <f>Wh_hp&gt;='2024'!Maxi_hp</f>
        <v>0</v>
      </c>
      <c r="I163" s="390">
        <f>IF(H163,Wh_hp,'2024'!Maxi_hp)</f>
        <v>60.251561411651252</v>
      </c>
      <c r="J163" s="85">
        <f>IF(H163,An,'2024'!An_max)</f>
        <v>2023</v>
      </c>
      <c r="K163" s="197">
        <f t="shared" si="52"/>
        <v>45806</v>
      </c>
      <c r="L163" s="147">
        <f>IF(t&lt;Tvie,1-EXP((T0-t)*PertePVj)+'2024'!Pspv,1-EXP((T0-t)*PertePVj)+Pspv)</f>
        <v>5.4590292503883919E-2</v>
      </c>
      <c r="M163" s="959"/>
      <c r="N163" s="959"/>
      <c r="O163" s="48">
        <f>IF(t&lt;Tnet,'2024'!Resal+('2024'!Salim-'2024'!Resal)*(1-EXP(('2024'!Tnet-t)/('2024'!Tau_j))),Resal+(Salim-Resal)*(1-EXP((Tnet-t)/(Tau_j))))*Salcycl</f>
        <v>5.5554696526180648E-2</v>
      </c>
      <c r="P163" s="169">
        <f>(INDEX(Models!$BJ163:$BT163,,T163)*(1-R163)+INDEX(Models!$BJ163:$BT163,,T163+1)*R163-ERP_i)*Q163*Ramure*Pc/MaxiM</f>
        <v>3.0291658655442078E-4</v>
      </c>
      <c r="Q163" s="305">
        <f t="shared" si="53"/>
        <v>0.7</v>
      </c>
      <c r="R163" s="177">
        <f t="shared" si="54"/>
        <v>0.16425611590926659</v>
      </c>
      <c r="S163" s="921">
        <f t="shared" si="55"/>
        <v>-2</v>
      </c>
      <c r="T163" s="176">
        <f t="shared" si="56"/>
        <v>4</v>
      </c>
      <c r="U163" s="251">
        <f t="shared" si="57"/>
        <v>-1.8357438840907334</v>
      </c>
      <c r="V163" s="383">
        <f t="shared" si="58"/>
        <v>53.264604821092817</v>
      </c>
      <c r="W163" s="402">
        <f t="shared" si="59"/>
        <v>53.78158532041499</v>
      </c>
      <c r="X163" s="157">
        <f t="shared" si="60"/>
        <v>45806</v>
      </c>
      <c r="Y163" s="385">
        <f t="shared" si="61"/>
        <v>48.809597192060139</v>
      </c>
      <c r="Z163" s="385">
        <f t="shared" si="62"/>
        <v>51.627983936541774</v>
      </c>
      <c r="AA163" s="386">
        <f t="shared" si="63"/>
        <v>59.890532715767172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0.13796084964611025</v>
      </c>
      <c r="AD163" s="231">
        <f>(INDEX(Models!$BJ163:$BT163,,AH163)*(1-AF163)+INDEX(Models!$BJ163:$BT163,,AH163+1)*AF163-ERP_i)*AE163*Ramure*Pc/MaxiM</f>
        <v>5.9920222385183679E-3</v>
      </c>
      <c r="AE163" s="305">
        <f t="shared" si="65"/>
        <v>0.7</v>
      </c>
      <c r="AF163" s="177">
        <f t="shared" si="66"/>
        <v>0.68924368228324551</v>
      </c>
      <c r="AG163" s="921">
        <f t="shared" si="74"/>
        <v>1</v>
      </c>
      <c r="AH163" s="176">
        <f t="shared" si="67"/>
        <v>7</v>
      </c>
      <c r="AI163" s="225">
        <f t="shared" si="68"/>
        <v>1.6892436822832455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45.067101591817668</v>
      </c>
      <c r="C164" s="955"/>
      <c r="D164" s="393">
        <f t="shared" si="50"/>
        <v>47.670431497879996</v>
      </c>
      <c r="E164" s="385">
        <f t="shared" si="72"/>
        <v>50.481905624259056</v>
      </c>
      <c r="F164" s="385">
        <f t="shared" si="51"/>
        <v>50.494610557244684</v>
      </c>
      <c r="G164" s="110">
        <f t="shared" si="73"/>
        <v>0.84649132528689874</v>
      </c>
      <c r="H164" s="414" t="b">
        <f>Wh_hp&gt;='2024'!Maxi_hp</f>
        <v>0</v>
      </c>
      <c r="I164" s="390">
        <f>IF(H164,Wh_hp,'2024'!Maxi_hp)</f>
        <v>58.524365554999449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5.4610999402808114E-2</v>
      </c>
      <c r="M164" s="959"/>
      <c r="N164" s="959"/>
      <c r="O164" s="48">
        <f>IF(t&lt;Tnet,'2024'!Resal+('2024'!Salim-'2024'!Resal)*(1-EXP(('2024'!Tnet-t)/('2024'!Tau_j))),Resal+(Salim-Resal)*(1-EXP((Tnet-t)/(Tau_j))))*Salcycl</f>
        <v>5.5692709924722174E-2</v>
      </c>
      <c r="P164" s="169">
        <f>(INDEX(Models!$BJ164:$BT164,,T164)*(1-R164)+INDEX(Models!$BJ164:$BT164,,T164+1)*R164-ERP_i)*Q164*Ramure*Pc/MaxiM</f>
        <v>3.2225123136027492E-4</v>
      </c>
      <c r="Q164" s="305">
        <f t="shared" si="53"/>
        <v>0.7</v>
      </c>
      <c r="R164" s="177">
        <f t="shared" si="54"/>
        <v>0.16912484484935408</v>
      </c>
      <c r="S164" s="921">
        <f t="shared" si="55"/>
        <v>-2</v>
      </c>
      <c r="T164" s="176">
        <f t="shared" si="56"/>
        <v>4</v>
      </c>
      <c r="U164" s="251">
        <f t="shared" si="57"/>
        <v>-1.8308751551506459</v>
      </c>
      <c r="V164" s="383">
        <f t="shared" si="58"/>
        <v>53.236124027031167</v>
      </c>
      <c r="W164" s="402">
        <f t="shared" si="59"/>
        <v>45.067101591817668</v>
      </c>
      <c r="X164" s="157">
        <f t="shared" si="60"/>
        <v>45807</v>
      </c>
      <c r="Y164" s="385">
        <f t="shared" si="61"/>
        <v>40.94738553413476</v>
      </c>
      <c r="Z164" s="385">
        <f t="shared" si="62"/>
        <v>43.31273741102207</v>
      </c>
      <c r="AA164" s="386">
        <f t="shared" si="63"/>
        <v>50.251474870136903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0.13808027479882667</v>
      </c>
      <c r="AD164" s="231">
        <f>(INDEX(Models!$BJ164:$BT164,,AH164)*(1-AF164)+INDEX(Models!$BJ164:$BT164,,AH164+1)*AF164-ERP_i)*AE164*Ramure*Pc/MaxiM</f>
        <v>6.1669569329289792E-3</v>
      </c>
      <c r="AE164" s="305">
        <f t="shared" si="65"/>
        <v>0.7</v>
      </c>
      <c r="AF164" s="177">
        <f t="shared" si="66"/>
        <v>0.694112411223333</v>
      </c>
      <c r="AG164" s="921">
        <f t="shared" si="74"/>
        <v>1</v>
      </c>
      <c r="AH164" s="176">
        <f t="shared" si="67"/>
        <v>7</v>
      </c>
      <c r="AI164" s="225">
        <f t="shared" si="68"/>
        <v>1.694112411223333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50.077998956579037</v>
      </c>
      <c r="C165" s="955"/>
      <c r="D165" s="393">
        <f t="shared" si="50"/>
        <v>52.971946770765932</v>
      </c>
      <c r="E165" s="385">
        <f t="shared" si="72"/>
        <v>56.104277611748422</v>
      </c>
      <c r="F165" s="385">
        <f t="shared" si="51"/>
        <v>56.121871579897878</v>
      </c>
      <c r="G165" s="110">
        <f t="shared" si="73"/>
        <v>0.94118889148057949</v>
      </c>
      <c r="H165" s="414" t="b">
        <f>Wh_hp&gt;='2024'!Maxi_hp</f>
        <v>0</v>
      </c>
      <c r="I165" s="390">
        <f>IF(H165,Wh_hp,'2024'!Maxi_hp)</f>
        <v>59.313017833892296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5.4631705848198098E-2</v>
      </c>
      <c r="M165" s="959"/>
      <c r="N165" s="959"/>
      <c r="O165" s="48">
        <f>IF(t&lt;Tnet,'2024'!Resal+('2024'!Salim-'2024'!Resal)*(1-EXP(('2024'!Tnet-t)/('2024'!Tau_j))),Resal+(Salim-Resal)*(1-EXP((Tnet-t)/(Tau_j))))*Salcycl</f>
        <v>5.5830517285308995E-2</v>
      </c>
      <c r="P165" s="169">
        <f>(INDEX(Models!$BJ165:$BT165,,T165)*(1-R165)+INDEX(Models!$BJ165:$BT165,,T165+1)*R165-ERP_i)*Q165*Ramure*Pc/MaxiM</f>
        <v>3.422357536720193E-4</v>
      </c>
      <c r="Q165" s="305">
        <f t="shared" si="53"/>
        <v>0.7</v>
      </c>
      <c r="R165" s="177">
        <f t="shared" si="54"/>
        <v>0.17403824139898072</v>
      </c>
      <c r="S165" s="921">
        <f t="shared" si="55"/>
        <v>-2</v>
      </c>
      <c r="T165" s="176">
        <f t="shared" si="56"/>
        <v>4</v>
      </c>
      <c r="U165" s="251">
        <f t="shared" si="57"/>
        <v>-1.8259617586010193</v>
      </c>
      <c r="V165" s="383">
        <f t="shared" si="58"/>
        <v>53.205642051859748</v>
      </c>
      <c r="W165" s="402">
        <f t="shared" si="59"/>
        <v>50.077998956579037</v>
      </c>
      <c r="X165" s="157">
        <f t="shared" si="60"/>
        <v>45808</v>
      </c>
      <c r="Y165" s="385">
        <f t="shared" si="61"/>
        <v>45.457952369204378</v>
      </c>
      <c r="Z165" s="385">
        <f t="shared" si="62"/>
        <v>48.084913203049517</v>
      </c>
      <c r="AA165" s="386">
        <f t="shared" si="63"/>
        <v>55.795848546122649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0.13819908727974675</v>
      </c>
      <c r="AD165" s="231">
        <f>(INDEX(Models!$BJ165:$BT165,,AH165)*(1-AF165)+INDEX(Models!$BJ165:$BT165,,AH165+1)*AF165-ERP_i)*AE165*Ramure*Pc/MaxiM</f>
        <v>6.3417608654679422E-3</v>
      </c>
      <c r="AE165" s="305">
        <f t="shared" si="65"/>
        <v>0.7</v>
      </c>
      <c r="AF165" s="177">
        <f t="shared" si="66"/>
        <v>0.69902580777295964</v>
      </c>
      <c r="AG165" s="921">
        <f t="shared" si="74"/>
        <v>1</v>
      </c>
      <c r="AH165" s="176">
        <f t="shared" si="67"/>
        <v>7</v>
      </c>
      <c r="AI165" s="225">
        <f t="shared" si="68"/>
        <v>1.6990258077729596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50.905005056461953</v>
      </c>
      <c r="C166" s="955"/>
      <c r="D166" s="393">
        <f t="shared" si="50"/>
        <v>53.847923974234249</v>
      </c>
      <c r="E166" s="385">
        <f t="shared" si="72"/>
        <v>57.040362987819357</v>
      </c>
      <c r="F166" s="385">
        <f t="shared" si="51"/>
        <v>57.059806245667453</v>
      </c>
      <c r="G166" s="110">
        <f t="shared" si="73"/>
        <v>0.95732448558450955</v>
      </c>
      <c r="H166" s="414" t="b">
        <f>Wh_hp&gt;='2024'!Maxi_hp</f>
        <v>0</v>
      </c>
      <c r="I166" s="390">
        <f>IF(H166,Wh_hp,'2024'!Maxi_hp)</f>
        <v>60.331915443766647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5.4652411840063864E-2</v>
      </c>
      <c r="M166" s="959"/>
      <c r="N166" s="959"/>
      <c r="O166" s="48">
        <f>IF(t&lt;Tnet,'2024'!Resal+('2024'!Salim-'2024'!Resal)*(1-EXP(('2024'!Tnet-t)/('2024'!Tau_j))),Resal+(Salim-Resal)*(1-EXP((Tnet-t)/(Tau_j))))*Salcycl</f>
        <v>5.596806973803499E-2</v>
      </c>
      <c r="P166" s="169">
        <f>(INDEX(Models!$BJ166:$BT166,,T166)*(1-R166)+INDEX(Models!$BJ166:$BT166,,T166+1)*R166-ERP_i)*Q166*Ramure*Pc/MaxiM</f>
        <v>3.6286324719127662E-4</v>
      </c>
      <c r="Q166" s="305">
        <f t="shared" si="53"/>
        <v>0.7</v>
      </c>
      <c r="R166" s="177">
        <f t="shared" si="54"/>
        <v>0.17899271947606321</v>
      </c>
      <c r="S166" s="921">
        <f t="shared" si="55"/>
        <v>-2</v>
      </c>
      <c r="T166" s="176">
        <f t="shared" si="56"/>
        <v>4</v>
      </c>
      <c r="U166" s="251">
        <f t="shared" si="57"/>
        <v>-1.8210072805239368</v>
      </c>
      <c r="V166" s="383">
        <f t="shared" si="58"/>
        <v>53.173067104538838</v>
      </c>
      <c r="W166" s="402">
        <f t="shared" si="59"/>
        <v>50.905005056461953</v>
      </c>
      <c r="X166" s="157">
        <f t="shared" si="60"/>
        <v>45809</v>
      </c>
      <c r="Y166" s="385">
        <f t="shared" si="61"/>
        <v>46.195909172367699</v>
      </c>
      <c r="Z166" s="385">
        <f t="shared" si="62"/>
        <v>48.866585953094074</v>
      </c>
      <c r="AA166" s="386">
        <f t="shared" si="63"/>
        <v>56.710641347784936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0.13831716955176432</v>
      </c>
      <c r="AD166" s="231">
        <f>(INDEX(Models!$BJ166:$BT166,,AH166)*(1-AF166)+INDEX(Models!$BJ166:$BT166,,AH166+1)*AF166-ERP_i)*AE166*Ramure*Pc/MaxiM</f>
        <v>6.5163518192640447E-3</v>
      </c>
      <c r="AE166" s="305">
        <f t="shared" si="65"/>
        <v>0.7</v>
      </c>
      <c r="AF166" s="177">
        <f t="shared" si="66"/>
        <v>0.70398028585004213</v>
      </c>
      <c r="AG166" s="921">
        <f t="shared" si="74"/>
        <v>1</v>
      </c>
      <c r="AH166" s="176">
        <f t="shared" si="67"/>
        <v>7</v>
      </c>
      <c r="AI166" s="225">
        <f t="shared" si="68"/>
        <v>1.7039802858500421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40.29976756655207</v>
      </c>
      <c r="C167" s="955"/>
      <c r="D167" s="393">
        <f t="shared" si="50"/>
        <v>42.630510469344287</v>
      </c>
      <c r="E167" s="385">
        <f t="shared" si="72"/>
        <v>45.164477888799155</v>
      </c>
      <c r="F167" s="385">
        <f t="shared" si="51"/>
        <v>45.17584158441425</v>
      </c>
      <c r="G167" s="110">
        <f t="shared" si="73"/>
        <v>0.75829331191331528</v>
      </c>
      <c r="H167" s="414" t="b">
        <f>Wh_hp&gt;='2024'!Maxi_hp</f>
        <v>0</v>
      </c>
      <c r="I167" s="390">
        <f>IF(H167,Wh_hp,'2024'!Maxi_hp)</f>
        <v>59.300139796564821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5.4673117378415181E-2</v>
      </c>
      <c r="M167" s="959"/>
      <c r="N167" s="959"/>
      <c r="O167" s="48">
        <f>IF(t&lt;Tnet,'2024'!Resal+('2024'!Salim-'2024'!Resal)*(1-EXP(('2024'!Tnet-t)/('2024'!Tau_j))),Resal+(Salim-Resal)*(1-EXP((Tnet-t)/(Tau_j))))*Salcycl</f>
        <v>5.610531855795664E-2</v>
      </c>
      <c r="P167" s="169">
        <f>(INDEX(Models!$BJ167:$BT167,,T167)*(1-R167)+INDEX(Models!$BJ167:$BT167,,T167+1)*R167-ERP_i)*Q167*Ramure*Pc/MaxiM</f>
        <v>3.841249917909797E-4</v>
      </c>
      <c r="Q167" s="305">
        <f t="shared" si="53"/>
        <v>0.7</v>
      </c>
      <c r="R167" s="177">
        <f t="shared" si="54"/>
        <v>0.18398456289047571</v>
      </c>
      <c r="S167" s="921">
        <f t="shared" si="55"/>
        <v>-2</v>
      </c>
      <c r="T167" s="176">
        <f t="shared" si="56"/>
        <v>4</v>
      </c>
      <c r="U167" s="251">
        <f t="shared" si="57"/>
        <v>-1.8160154371095243</v>
      </c>
      <c r="V167" s="383">
        <f t="shared" si="58"/>
        <v>53.138307553933707</v>
      </c>
      <c r="W167" s="402">
        <f t="shared" si="59"/>
        <v>40.29976756655207</v>
      </c>
      <c r="X167" s="157">
        <f t="shared" si="60"/>
        <v>45810</v>
      </c>
      <c r="Y167" s="385">
        <f t="shared" si="61"/>
        <v>36.632758875206441</v>
      </c>
      <c r="Z167" s="385">
        <f t="shared" si="62"/>
        <v>38.751419798426028</v>
      </c>
      <c r="AA167" s="386">
        <f t="shared" si="63"/>
        <v>44.97791001800568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0.13843440517994382</v>
      </c>
      <c r="AD167" s="231">
        <f>(INDEX(Models!$BJ167:$BT167,,AH167)*(1-AF167)+INDEX(Models!$BJ167:$BT167,,AH167+1)*AF167-ERP_i)*AE167*Ramure*Pc/MaxiM</f>
        <v>6.6906457104400751E-3</v>
      </c>
      <c r="AE167" s="305">
        <f t="shared" si="65"/>
        <v>0.7</v>
      </c>
      <c r="AF167" s="177">
        <f t="shared" si="66"/>
        <v>0.70897212926445463</v>
      </c>
      <c r="AG167" s="921">
        <f t="shared" si="74"/>
        <v>1</v>
      </c>
      <c r="AH167" s="176">
        <f t="shared" si="67"/>
        <v>7</v>
      </c>
      <c r="AI167" s="225">
        <f t="shared" si="68"/>
        <v>1.7089721292644546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50.62601529535884</v>
      </c>
      <c r="C168" s="955"/>
      <c r="D168" s="393">
        <f t="shared" si="50"/>
        <v>53.555151228651873</v>
      </c>
      <c r="E168" s="385">
        <f t="shared" si="72"/>
        <v>56.7467120267696</v>
      </c>
      <c r="F168" s="385">
        <f t="shared" si="51"/>
        <v>56.76822569134054</v>
      </c>
      <c r="G168" s="110">
        <f t="shared" si="73"/>
        <v>0.9533603280438262</v>
      </c>
      <c r="H168" s="414" t="b">
        <f>Wh_hp&gt;='2024'!Maxi_hp</f>
        <v>1</v>
      </c>
      <c r="I168" s="390">
        <f>IF(H168,Wh_hp,'2024'!Maxi_hp)</f>
        <v>56.76822569134054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5.4693822463262043E-2</v>
      </c>
      <c r="M168" s="959"/>
      <c r="N168" s="959"/>
      <c r="O168" s="48">
        <f>IF(t&lt;Tnet,'2024'!Resal+('2024'!Salim-'2024'!Resal)*(1-EXP(('2024'!Tnet-t)/('2024'!Tau_j))),Resal+(Salim-Resal)*(1-EXP((Tnet-t)/(Tau_j))))*Salcycl</f>
        <v>5.6242215348303357E-2</v>
      </c>
      <c r="P168" s="169">
        <f>(INDEX(Models!$BJ168:$BT168,,T168)*(1-R168)+INDEX(Models!$BJ168:$BT168,,T168+1)*R168-ERP_i)*Q168*Ramure*Pc/MaxiM</f>
        <v>4.0601045029098348E-4</v>
      </c>
      <c r="Q168" s="305">
        <f t="shared" si="53"/>
        <v>0.7</v>
      </c>
      <c r="R168" s="177">
        <f t="shared" si="54"/>
        <v>0.18900993567274771</v>
      </c>
      <c r="S168" s="921">
        <f t="shared" si="55"/>
        <v>-2</v>
      </c>
      <c r="T168" s="176">
        <f t="shared" si="56"/>
        <v>4</v>
      </c>
      <c r="U168" s="251">
        <f t="shared" si="57"/>
        <v>-1.8109900643272523</v>
      </c>
      <c r="V168" s="383">
        <f t="shared" si="58"/>
        <v>53.101271916162808</v>
      </c>
      <c r="W168" s="402">
        <f t="shared" si="59"/>
        <v>50.62601529535884</v>
      </c>
      <c r="X168" s="157">
        <f t="shared" si="60"/>
        <v>45811</v>
      </c>
      <c r="Y168" s="385">
        <f t="shared" si="61"/>
        <v>45.932055539366814</v>
      </c>
      <c r="Z168" s="385">
        <f t="shared" si="62"/>
        <v>48.589606871136446</v>
      </c>
      <c r="AA168" s="386">
        <f t="shared" si="63"/>
        <v>56.404486836273755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0.13855067927169856</v>
      </c>
      <c r="AD168" s="231">
        <f>(INDEX(Models!$BJ168:$BT168,,AH168)*(1-AF168)+INDEX(Models!$BJ168:$BT168,,AH168+1)*AF168-ERP_i)*AE168*Ramure*Pc/MaxiM</f>
        <v>6.8645569817727412E-3</v>
      </c>
      <c r="AE168" s="305">
        <f t="shared" si="65"/>
        <v>0.7</v>
      </c>
      <c r="AF168" s="177">
        <f t="shared" si="66"/>
        <v>0.71399750204672641</v>
      </c>
      <c r="AG168" s="921">
        <f t="shared" si="74"/>
        <v>1</v>
      </c>
      <c r="AH168" s="176">
        <f t="shared" si="67"/>
        <v>7</v>
      </c>
      <c r="AI168" s="225">
        <f t="shared" si="68"/>
        <v>1.7139975020467264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20.968767739058787</v>
      </c>
      <c r="C169" s="955"/>
      <c r="D169" s="393">
        <f t="shared" si="50"/>
        <v>22.182471158273653</v>
      </c>
      <c r="E169" s="385">
        <f t="shared" si="72"/>
        <v>23.507811285806884</v>
      </c>
      <c r="F169" s="385">
        <f t="shared" si="51"/>
        <v>23.509180982184905</v>
      </c>
      <c r="G169" s="110">
        <f t="shared" si="73"/>
        <v>0.39502950349542593</v>
      </c>
      <c r="H169" s="414" t="b">
        <f>Wh_hp&gt;='2024'!Maxi_hp</f>
        <v>0</v>
      </c>
      <c r="I169" s="390">
        <f>IF(H169,Wh_hp,'2024'!Maxi_hp)</f>
        <v>57.111684044434135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5.471452709461444E-2</v>
      </c>
      <c r="M169" s="959"/>
      <c r="N169" s="959"/>
      <c r="O169" s="48">
        <f>IF(t&lt;Tnet,'2024'!Resal+('2024'!Salim-'2024'!Resal)*(1-EXP(('2024'!Tnet-t)/('2024'!Tau_j))),Resal+(Salim-Resal)*(1-EXP((Tnet-t)/(Tau_j))))*Salcycl</f>
        <v>5.6378712225472964E-2</v>
      </c>
      <c r="P169" s="169">
        <f>(INDEX(Models!$BJ169:$BT169,,T169)*(1-R169)+INDEX(Models!$BJ169:$BT169,,T169+1)*R169-ERP_i)*Q169*Ramure*Pc/MaxiM</f>
        <v>4.2850727823156464E-4</v>
      </c>
      <c r="Q169" s="305">
        <f t="shared" si="53"/>
        <v>0.7</v>
      </c>
      <c r="R169" s="177">
        <f t="shared" si="54"/>
        <v>0.19406489320240738</v>
      </c>
      <c r="S169" s="921">
        <f t="shared" si="55"/>
        <v>-2</v>
      </c>
      <c r="T169" s="176">
        <f t="shared" si="56"/>
        <v>4</v>
      </c>
      <c r="U169" s="251">
        <f t="shared" si="57"/>
        <v>-1.8059351067975926</v>
      </c>
      <c r="V169" s="383">
        <f t="shared" si="58"/>
        <v>53.061868842659869</v>
      </c>
      <c r="W169" s="402">
        <f t="shared" si="59"/>
        <v>20.968767739058787</v>
      </c>
      <c r="X169" s="157">
        <f t="shared" si="60"/>
        <v>45812</v>
      </c>
      <c r="Y169" s="385">
        <f t="shared" si="61"/>
        <v>19.123014253775654</v>
      </c>
      <c r="Z169" s="385">
        <f t="shared" si="62"/>
        <v>20.229882719978807</v>
      </c>
      <c r="AA169" s="386">
        <f t="shared" si="63"/>
        <v>23.486684464035097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0.13866587891719634</v>
      </c>
      <c r="AD169" s="231">
        <f>(INDEX(Models!$BJ169:$BT169,,AH169)*(1-AF169)+INDEX(Models!$BJ169:$BT169,,AH169+1)*AF169-ERP_i)*AE169*Ramure*Pc/MaxiM</f>
        <v>7.0379990169606096E-3</v>
      </c>
      <c r="AE169" s="305">
        <f t="shared" si="65"/>
        <v>0.7</v>
      </c>
      <c r="AF169" s="177">
        <f t="shared" si="66"/>
        <v>0.7190524595763863</v>
      </c>
      <c r="AG169" s="921">
        <f t="shared" si="74"/>
        <v>1</v>
      </c>
      <c r="AH169" s="176">
        <f t="shared" si="67"/>
        <v>7</v>
      </c>
      <c r="AI169" s="225">
        <f t="shared" si="68"/>
        <v>1.7190524595763863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29.586108481315861</v>
      </c>
      <c r="C170" s="955"/>
      <c r="D170" s="393">
        <f t="shared" si="50"/>
        <v>31.29928191563052</v>
      </c>
      <c r="E170" s="385">
        <f t="shared" ref="E170:E232" si="75">Wh_pvt/(1-Psa)</f>
        <v>33.174108777931259</v>
      </c>
      <c r="F170" s="385">
        <f t="shared" si="51"/>
        <v>33.179628303521163</v>
      </c>
      <c r="G170" s="110">
        <f t="shared" ref="G170:G232" si="76">+Wh_hp/MaxiM</f>
        <v>0.55785861408201454</v>
      </c>
      <c r="H170" s="414" t="b">
        <f>Wh_hp&gt;='2024'!Maxi_hp</f>
        <v>0</v>
      </c>
      <c r="I170" s="390">
        <f>IF(H170,Wh_hp,'2024'!Maxi_hp)</f>
        <v>42.716075181662134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5.4735231272482254E-2</v>
      </c>
      <c r="M170" s="959"/>
      <c r="N170" s="959"/>
      <c r="O170" s="48">
        <f>IF(t&lt;Tnet,'2024'!Resal+('2024'!Salim-'2024'!Resal)*(1-EXP(('2024'!Tnet-t)/('2024'!Tau_j))),Resal+(Salim-Resal)*(1-EXP((Tnet-t)/(Tau_j))))*Salcycl</f>
        <v>5.6514762004637439E-2</v>
      </c>
      <c r="P170" s="169">
        <f>(INDEX(Models!$BJ170:$BT170,,T170)*(1-R170)+INDEX(Models!$BJ170:$BT170,,T170+1)*R170-ERP_i)*Q170*Ramure*Pc/MaxiM</f>
        <v>4.5131404874844107E-4</v>
      </c>
      <c r="Q170" s="305">
        <f t="shared" si="53"/>
        <v>0.7</v>
      </c>
      <c r="R170" s="177">
        <f t="shared" si="54"/>
        <v>0.19914539407267928</v>
      </c>
      <c r="S170" s="921">
        <f t="shared" si="55"/>
        <v>-2</v>
      </c>
      <c r="T170" s="176">
        <f t="shared" si="56"/>
        <v>4</v>
      </c>
      <c r="U170" s="251">
        <f t="shared" si="57"/>
        <v>-1.8008546059273207</v>
      </c>
      <c r="V170" s="383">
        <f t="shared" si="58"/>
        <v>53.020022347753475</v>
      </c>
      <c r="W170" s="402">
        <f t="shared" si="59"/>
        <v>29.586108481315861</v>
      </c>
      <c r="X170" s="157">
        <f t="shared" si="60"/>
        <v>45813</v>
      </c>
      <c r="Y170" s="385">
        <f t="shared" si="61"/>
        <v>26.939160526576579</v>
      </c>
      <c r="Z170" s="385">
        <f t="shared" si="62"/>
        <v>28.499063350093046</v>
      </c>
      <c r="AA170" s="386">
        <f t="shared" si="63"/>
        <v>33.091497910005863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0.1387798936271242</v>
      </c>
      <c r="AD170" s="231">
        <f>(INDEX(Models!$BJ170:$BT170,,AH170)*(1-AF170)+INDEX(Models!$BJ170:$BT170,,AH170+1)*AF170-ERP_i)*AE170*Ramure*Pc/MaxiM</f>
        <v>7.2061419169648522E-3</v>
      </c>
      <c r="AE170" s="305">
        <f t="shared" si="65"/>
        <v>0.7</v>
      </c>
      <c r="AF170" s="177">
        <f t="shared" si="66"/>
        <v>0.7241329604466582</v>
      </c>
      <c r="AG170" s="921">
        <f t="shared" si="74"/>
        <v>1</v>
      </c>
      <c r="AH170" s="176">
        <f t="shared" si="67"/>
        <v>7</v>
      </c>
      <c r="AI170" s="225">
        <f t="shared" si="68"/>
        <v>1.7241329604466582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44.329348769739923</v>
      </c>
      <c r="C171" s="955"/>
      <c r="D171" s="393">
        <f t="shared" si="50"/>
        <v>46.897251631612619</v>
      </c>
      <c r="E171" s="385">
        <f t="shared" si="75"/>
        <v>49.713539470658382</v>
      </c>
      <c r="F171" s="385">
        <f t="shared" si="51"/>
        <v>49.731630651519751</v>
      </c>
      <c r="G171" s="110">
        <f t="shared" si="76"/>
        <v>0.83669477846840046</v>
      </c>
      <c r="H171" s="414" t="b">
        <f>Wh_hp&gt;='2024'!Maxi_hp</f>
        <v>0</v>
      </c>
      <c r="I171" s="390">
        <f>IF(H171,Wh_hp,'2024'!Maxi_hp)</f>
        <v>56.000265625104696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5.4755934996875477E-2</v>
      </c>
      <c r="M171" s="959"/>
      <c r="N171" s="959"/>
      <c r="O171" s="48">
        <f>IF(t&lt;Tnet,'2024'!Resal+('2024'!Salim-'2024'!Resal)*(1-EXP(('2024'!Tnet-t)/('2024'!Tau_j))),Resal+(Salim-Resal)*(1-EXP((Tnet-t)/(Tau_j))))*Salcycl</f>
        <v>5.6650318384752693E-2</v>
      </c>
      <c r="P171" s="169">
        <f>(INDEX(Models!$BJ171:$BT171,,T171)*(1-R171)+INDEX(Models!$BJ171:$BT171,,T171+1)*R171-ERP_i)*Q171*Ramure*Pc/MaxiM</f>
        <v>4.7438393055707469E-4</v>
      </c>
      <c r="Q171" s="305">
        <f t="shared" si="53"/>
        <v>0.7</v>
      </c>
      <c r="R171" s="177">
        <f t="shared" si="54"/>
        <v>0.20424731261981921</v>
      </c>
      <c r="S171" s="921">
        <f t="shared" si="55"/>
        <v>-2</v>
      </c>
      <c r="T171" s="176">
        <f t="shared" si="56"/>
        <v>4</v>
      </c>
      <c r="U171" s="251">
        <f t="shared" si="57"/>
        <v>-1.7957526873801808</v>
      </c>
      <c r="V171" s="383">
        <f t="shared" si="58"/>
        <v>52.975642916583936</v>
      </c>
      <c r="W171" s="402">
        <f t="shared" si="59"/>
        <v>44.329348769739923</v>
      </c>
      <c r="X171" s="157">
        <f t="shared" si="60"/>
        <v>45814</v>
      </c>
      <c r="Y171" s="385">
        <f t="shared" si="61"/>
        <v>40.250657064822811</v>
      </c>
      <c r="Z171" s="385">
        <f t="shared" si="62"/>
        <v>42.58229017781747</v>
      </c>
      <c r="AA171" s="386">
        <f t="shared" si="63"/>
        <v>49.450615518344826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0.13889261576490172</v>
      </c>
      <c r="AD171" s="231">
        <f>(INDEX(Models!$BJ171:$BT171,,AH171)*(1-AF171)+INDEX(Models!$BJ171:$BT171,,AH171+1)*AF171-ERP_i)*AE171*Ramure*Pc/MaxiM</f>
        <v>7.3687320050052543E-3</v>
      </c>
      <c r="AE171" s="305">
        <f t="shared" si="65"/>
        <v>0.7</v>
      </c>
      <c r="AF171" s="177">
        <f t="shared" si="66"/>
        <v>0.72923487899379813</v>
      </c>
      <c r="AG171" s="921">
        <f t="shared" si="74"/>
        <v>1</v>
      </c>
      <c r="AH171" s="176">
        <f t="shared" si="67"/>
        <v>7</v>
      </c>
      <c r="AI171" s="225">
        <f t="shared" si="68"/>
        <v>1.7292348789937981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25.955224963554244</v>
      </c>
      <c r="C172" s="955"/>
      <c r="D172" s="393">
        <f t="shared" si="50"/>
        <v>27.45935618433008</v>
      </c>
      <c r="E172" s="385">
        <f t="shared" si="75"/>
        <v>29.11252044334783</v>
      </c>
      <c r="F172" s="385">
        <f t="shared" si="51"/>
        <v>29.116461453882884</v>
      </c>
      <c r="G172" s="110">
        <f t="shared" si="76"/>
        <v>0.49020377574841917</v>
      </c>
      <c r="H172" s="414" t="b">
        <f>Wh_hp&gt;='2024'!Maxi_hp</f>
        <v>0</v>
      </c>
      <c r="I172" s="390">
        <f>IF(H172,Wh_hp,'2024'!Maxi_hp)</f>
        <v>55.156942491889488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5.477663826780399E-2</v>
      </c>
      <c r="M172" s="959"/>
      <c r="N172" s="959"/>
      <c r="O172" s="48">
        <f>IF(t&lt;Tnet,'2024'!Resal+('2024'!Salim-'2024'!Resal)*(1-EXP(('2024'!Tnet-t)/('2024'!Tau_j))),Resal+(Salim-Resal)*(1-EXP((Tnet-t)/(Tau_j))))*Salcycl</f>
        <v>5.678533613174306E-2</v>
      </c>
      <c r="P172" s="169">
        <f>(INDEX(Models!$BJ172:$BT172,,T172)*(1-R172)+INDEX(Models!$BJ172:$BT172,,T172+1)*R172-ERP_i)*Q172*Ramure*Pc/MaxiM</f>
        <v>4.9767102679716126E-4</v>
      </c>
      <c r="Q172" s="305">
        <f t="shared" si="53"/>
        <v>0.7</v>
      </c>
      <c r="R172" s="177">
        <f t="shared" si="54"/>
        <v>0.20936645203764526</v>
      </c>
      <c r="S172" s="921">
        <f t="shared" si="55"/>
        <v>-2</v>
      </c>
      <c r="T172" s="176">
        <f t="shared" si="56"/>
        <v>4</v>
      </c>
      <c r="U172" s="251">
        <f t="shared" si="57"/>
        <v>-1.7906335479623547</v>
      </c>
      <c r="V172" s="383">
        <f t="shared" si="58"/>
        <v>52.928640980040726</v>
      </c>
      <c r="W172" s="402">
        <f t="shared" si="59"/>
        <v>25.955224963554244</v>
      </c>
      <c r="X172" s="157">
        <f t="shared" si="60"/>
        <v>45815</v>
      </c>
      <c r="Y172" s="385">
        <f t="shared" si="61"/>
        <v>23.647454353829197</v>
      </c>
      <c r="Z172" s="385">
        <f t="shared" si="62"/>
        <v>25.017847961875784</v>
      </c>
      <c r="AA172" s="386">
        <f t="shared" si="63"/>
        <v>29.056866985050966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0.13900394097041358</v>
      </c>
      <c r="AD172" s="231">
        <f>(INDEX(Models!$BJ172:$BT172,,AH172)*(1-AF172)+INDEX(Models!$BJ172:$BT172,,AH172+1)*AF172-ERP_i)*AE172*Ramure*Pc/MaxiM</f>
        <v>7.5255927968773499E-3</v>
      </c>
      <c r="AE172" s="305">
        <f t="shared" si="65"/>
        <v>0.7</v>
      </c>
      <c r="AF172" s="177">
        <f t="shared" si="66"/>
        <v>0.73435401841162418</v>
      </c>
      <c r="AG172" s="921">
        <f t="shared" si="74"/>
        <v>1</v>
      </c>
      <c r="AH172" s="176">
        <f t="shared" si="67"/>
        <v>7</v>
      </c>
      <c r="AI172" s="225">
        <f t="shared" si="68"/>
        <v>1.7343540184116242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19.29944669725683</v>
      </c>
      <c r="C173" s="955"/>
      <c r="D173" s="393">
        <f t="shared" si="50"/>
        <v>20.418316130655381</v>
      </c>
      <c r="E173" s="385">
        <f t="shared" si="75"/>
        <v>21.650667152576567</v>
      </c>
      <c r="F173" s="385">
        <f t="shared" si="51"/>
        <v>21.651714472413499</v>
      </c>
      <c r="G173" s="110">
        <f t="shared" si="76"/>
        <v>0.36480169695691356</v>
      </c>
      <c r="H173" s="414" t="b">
        <f>Wh_hp&gt;='2024'!Maxi_hp</f>
        <v>0</v>
      </c>
      <c r="I173" s="390">
        <f>IF(H173,Wh_hp,'2024'!Maxi_hp)</f>
        <v>61.487890344452325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5.4797341085277784E-2</v>
      </c>
      <c r="M173" s="959"/>
      <c r="N173" s="959"/>
      <c r="O173" s="48">
        <f>IF(t&lt;Tnet,'2024'!Resal+('2024'!Salim-'2024'!Resal)*(1-EXP(('2024'!Tnet-t)/('2024'!Tau_j))),Resal+(Salim-Resal)*(1-EXP((Tnet-t)/(Tau_j))))*Salcycl</f>
        <v>5.6919771258620494E-2</v>
      </c>
      <c r="P173" s="169">
        <f>(INDEX(Models!$BJ173:$BT173,,T173)*(1-R173)+INDEX(Models!$BJ173:$BT173,,T173+1)*R173-ERP_i)*Q173*Ramure*Pc/MaxiM</f>
        <v>5.2112728104847965E-4</v>
      </c>
      <c r="Q173" s="305">
        <f t="shared" si="53"/>
        <v>0.7</v>
      </c>
      <c r="R173" s="177">
        <f t="shared" si="54"/>
        <v>0.21449855799091178</v>
      </c>
      <c r="S173" s="921">
        <f t="shared" si="55"/>
        <v>-2</v>
      </c>
      <c r="T173" s="176">
        <f t="shared" si="56"/>
        <v>4</v>
      </c>
      <c r="U173" s="251">
        <f t="shared" si="57"/>
        <v>-1.7855014420090882</v>
      </c>
      <c r="V173" s="383">
        <f t="shared" si="58"/>
        <v>52.878927062038265</v>
      </c>
      <c r="W173" s="402">
        <f t="shared" si="59"/>
        <v>19.29944669725683</v>
      </c>
      <c r="X173" s="157">
        <f t="shared" si="60"/>
        <v>45816</v>
      </c>
      <c r="Y173" s="385">
        <f t="shared" si="61"/>
        <v>17.605705195843569</v>
      </c>
      <c r="Z173" s="385">
        <f t="shared" si="62"/>
        <v>18.626381368899626</v>
      </c>
      <c r="AA173" s="386">
        <f t="shared" si="63"/>
        <v>21.636286757671105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0.13911376857234167</v>
      </c>
      <c r="AD173" s="231">
        <f>(INDEX(Models!$BJ173:$BT173,,AH173)*(1-AF173)+INDEX(Models!$BJ173:$BT173,,AH173+1)*AF173-ERP_i)*AE173*Ramure*Pc/MaxiM</f>
        <v>7.6765499449169992E-3</v>
      </c>
      <c r="AE173" s="305">
        <f t="shared" si="65"/>
        <v>0.7</v>
      </c>
      <c r="AF173" s="177">
        <f t="shared" si="66"/>
        <v>0.7394861243648907</v>
      </c>
      <c r="AG173" s="921">
        <f t="shared" si="74"/>
        <v>1</v>
      </c>
      <c r="AH173" s="176">
        <f t="shared" si="67"/>
        <v>7</v>
      </c>
      <c r="AI173" s="225">
        <f t="shared" si="68"/>
        <v>1.7394861243648907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42.882471803457015</v>
      </c>
      <c r="C174" s="955"/>
      <c r="D174" s="393">
        <f t="shared" si="50"/>
        <v>45.369541289119056</v>
      </c>
      <c r="E174" s="385">
        <f t="shared" si="75"/>
        <v>48.114654644872672</v>
      </c>
      <c r="F174" s="385">
        <f t="shared" si="51"/>
        <v>48.133822777056913</v>
      </c>
      <c r="G174" s="110">
        <f t="shared" si="76"/>
        <v>0.8116430131025989</v>
      </c>
      <c r="H174" s="414" t="b">
        <f>Wh_hp&gt;='2024'!Maxi_hp</f>
        <v>0</v>
      </c>
      <c r="I174" s="390">
        <f>IF(H174,Wh_hp,'2024'!Maxi_hp)</f>
        <v>58.767455716335284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5.481804344930663E-2</v>
      </c>
      <c r="M174" s="959"/>
      <c r="N174" s="959"/>
      <c r="O174" s="48">
        <f>IF(t&lt;Tnet,'2024'!Resal+('2024'!Salim-'2024'!Resal)*(1-EXP(('2024'!Tnet-t)/('2024'!Tau_j))),Resal+(Salim-Resal)*(1-EXP((Tnet-t)/(Tau_j))))*Salcycl</f>
        <v>5.70535812012972E-2</v>
      </c>
      <c r="P174" s="169">
        <f>(INDEX(Models!$BJ174:$BT174,,T174)*(1-R174)+INDEX(Models!$BJ174:$BT174,,T174+1)*R174-ERP_i)*Q174*Ramure*Pc/MaxiM</f>
        <v>5.4470263474285148E-4</v>
      </c>
      <c r="Q174" s="305">
        <f t="shared" si="53"/>
        <v>0.7</v>
      </c>
      <c r="R174" s="177">
        <f t="shared" si="54"/>
        <v>0.21963933263521773</v>
      </c>
      <c r="S174" s="921">
        <f t="shared" si="55"/>
        <v>-2</v>
      </c>
      <c r="T174" s="176">
        <f t="shared" si="56"/>
        <v>4</v>
      </c>
      <c r="U174" s="251">
        <f t="shared" si="57"/>
        <v>-1.7803606673647823</v>
      </c>
      <c r="V174" s="383">
        <f t="shared" si="58"/>
        <v>52.826411762392127</v>
      </c>
      <c r="W174" s="402">
        <f t="shared" si="59"/>
        <v>42.882471803457015</v>
      </c>
      <c r="X174" s="157">
        <f t="shared" si="60"/>
        <v>45817</v>
      </c>
      <c r="Y174" s="385">
        <f t="shared" si="61"/>
        <v>38.937354613924839</v>
      </c>
      <c r="Z174" s="385">
        <f t="shared" si="62"/>
        <v>41.195617779269881</v>
      </c>
      <c r="AA174" s="386">
        <f t="shared" si="63"/>
        <v>47.858585923812065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0.1392220019862104</v>
      </c>
      <c r="AD174" s="231">
        <f>(INDEX(Models!$BJ174:$BT174,,AH174)*(1-AF174)+INDEX(Models!$BJ174:$BT174,,AH174+1)*AF174-ERP_i)*AE174*Ramure*Pc/MaxiM</f>
        <v>7.8214318275642951E-3</v>
      </c>
      <c r="AE174" s="305">
        <f t="shared" si="65"/>
        <v>0.7</v>
      </c>
      <c r="AF174" s="177">
        <f t="shared" si="66"/>
        <v>0.74462689900919665</v>
      </c>
      <c r="AG174" s="921">
        <f t="shared" si="74"/>
        <v>1</v>
      </c>
      <c r="AH174" s="176">
        <f t="shared" si="67"/>
        <v>7</v>
      </c>
      <c r="AI174" s="225">
        <f t="shared" si="68"/>
        <v>1.7446268990091967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52.51031871559573</v>
      </c>
      <c r="C175" s="955"/>
      <c r="D175" s="393">
        <f t="shared" si="50"/>
        <v>55.556994595161157</v>
      </c>
      <c r="E175" s="385">
        <f t="shared" si="75"/>
        <v>58.926826835891518</v>
      </c>
      <c r="F175" s="385">
        <f t="shared" si="51"/>
        <v>58.960100044628135</v>
      </c>
      <c r="G175" s="110">
        <f t="shared" si="76"/>
        <v>0.99505603989647817</v>
      </c>
      <c r="H175" s="414" t="b">
        <f>Wh_hp&gt;='2024'!Maxi_hp</f>
        <v>1</v>
      </c>
      <c r="I175" s="390">
        <f>IF(H175,Wh_hp,'2024'!Maxi_hp)</f>
        <v>58.960100044628135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5.4838745359900742E-2</v>
      </c>
      <c r="M175" s="959"/>
      <c r="N175" s="959"/>
      <c r="O175" s="48">
        <f>IF(t&lt;Tnet,'2024'!Resal+('2024'!Salim-'2024'!Resal)*(1-EXP(('2024'!Tnet-t)/('2024'!Tau_j))),Resal+(Salim-Resal)*(1-EXP((Tnet-t)/(Tau_j))))*Salcycl</f>
        <v>5.7186724988861043E-2</v>
      </c>
      <c r="P175" s="169">
        <f>(INDEX(Models!$BJ175:$BT175,,T175)*(1-R175)+INDEX(Models!$BJ175:$BT175,,T175+1)*R175-ERP_i)*Q175*Ramure*Pc/MaxiM</f>
        <v>5.6834519937933861E-4</v>
      </c>
      <c r="Q175" s="305">
        <f t="shared" si="53"/>
        <v>0.7</v>
      </c>
      <c r="R175" s="177">
        <f t="shared" si="54"/>
        <v>0.22478444894622918</v>
      </c>
      <c r="S175" s="921">
        <f t="shared" si="55"/>
        <v>-2</v>
      </c>
      <c r="T175" s="176">
        <f t="shared" si="56"/>
        <v>4</v>
      </c>
      <c r="U175" s="251">
        <f t="shared" si="57"/>
        <v>-1.7752155510537708</v>
      </c>
      <c r="V175" s="383">
        <f t="shared" si="58"/>
        <v>52.771005731765626</v>
      </c>
      <c r="W175" s="402">
        <f t="shared" si="59"/>
        <v>52.51031871559573</v>
      </c>
      <c r="X175" s="157">
        <f t="shared" si="60"/>
        <v>45818</v>
      </c>
      <c r="Y175" s="385">
        <f t="shared" si="61"/>
        <v>47.583377330121827</v>
      </c>
      <c r="Z175" s="385">
        <f t="shared" si="62"/>
        <v>50.34418951953414</v>
      </c>
      <c r="AA175" s="386">
        <f t="shared" si="63"/>
        <v>58.494085596328013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0.13932854909532058</v>
      </c>
      <c r="AD175" s="231">
        <f>(INDEX(Models!$BJ175:$BT175,,AH175)*(1-AF175)+INDEX(Models!$BJ175:$BT175,,AH175+1)*AF175-ERP_i)*AE175*Ramure*Pc/MaxiM</f>
        <v>7.9600701161509132E-3</v>
      </c>
      <c r="AE175" s="305">
        <f t="shared" si="65"/>
        <v>0.7</v>
      </c>
      <c r="AF175" s="177">
        <f t="shared" si="66"/>
        <v>0.7497720153202081</v>
      </c>
      <c r="AG175" s="921">
        <f t="shared" si="74"/>
        <v>1</v>
      </c>
      <c r="AH175" s="176">
        <f t="shared" si="67"/>
        <v>7</v>
      </c>
      <c r="AI175" s="225">
        <f t="shared" si="68"/>
        <v>1.7497720153202081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51.084038204055844</v>
      </c>
      <c r="C176" s="955"/>
      <c r="D176" s="393">
        <f t="shared" si="50"/>
        <v>54.049144364847315</v>
      </c>
      <c r="E176" s="385">
        <f t="shared" si="75"/>
        <v>57.335571347982032</v>
      </c>
      <c r="F176" s="385">
        <f t="shared" si="51"/>
        <v>57.368034348642254</v>
      </c>
      <c r="G176" s="110">
        <f t="shared" si="76"/>
        <v>0.96907918862771847</v>
      </c>
      <c r="H176" s="414" t="b">
        <f>Wh_hp&gt;='2024'!Maxi_hp</f>
        <v>1</v>
      </c>
      <c r="I176" s="390">
        <f>IF(H176,Wh_hp,'2024'!Maxi_hp)</f>
        <v>57.368034348642254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5.4859446817069779E-2</v>
      </c>
      <c r="M176" s="959"/>
      <c r="N176" s="959"/>
      <c r="O176" s="48">
        <f>IF(t&lt;Tnet,'2024'!Resal+('2024'!Salim-'2024'!Resal)*(1-EXP(('2024'!Tnet-t)/('2024'!Tau_j))),Resal+(Salim-Resal)*(1-EXP((Tnet-t)/(Tau_j))))*Salcycl</f>
        <v>5.7319163407105043E-2</v>
      </c>
      <c r="P176" s="169">
        <f>(INDEX(Models!$BJ176:$BT176,,T176)*(1-R176)+INDEX(Models!$BJ176:$BT176,,T176+1)*R176-ERP_i)*Q176*Ramure*Pc/MaxiM</f>
        <v>5.9200144185528726E-4</v>
      </c>
      <c r="Q176" s="305">
        <f t="shared" si="53"/>
        <v>0.7</v>
      </c>
      <c r="R176" s="177">
        <f t="shared" si="54"/>
        <v>0.22992956525724062</v>
      </c>
      <c r="S176" s="921">
        <f t="shared" si="55"/>
        <v>-2</v>
      </c>
      <c r="T176" s="176">
        <f t="shared" si="56"/>
        <v>4</v>
      </c>
      <c r="U176" s="251">
        <f t="shared" si="57"/>
        <v>-1.7700704347427594</v>
      </c>
      <c r="V176" s="383">
        <f t="shared" si="58"/>
        <v>52.712619652476292</v>
      </c>
      <c r="W176" s="402">
        <f t="shared" si="59"/>
        <v>51.084038204055844</v>
      </c>
      <c r="X176" s="157">
        <f t="shared" si="60"/>
        <v>45819</v>
      </c>
      <c r="Y176" s="385">
        <f t="shared" si="61"/>
        <v>46.299735117638647</v>
      </c>
      <c r="Z176" s="385">
        <f t="shared" si="62"/>
        <v>48.98714266541203</v>
      </c>
      <c r="AA176" s="386">
        <f t="shared" si="63"/>
        <v>56.924284837624427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0.13943332261183358</v>
      </c>
      <c r="AD176" s="231">
        <f>(INDEX(Models!$BJ176:$BT176,,AH176)*(1-AF176)+INDEX(Models!$BJ176:$BT176,,AH176+1)*AF176-ERP_i)*AE176*Ramure*Pc/MaxiM</f>
        <v>8.0923003111976807E-3</v>
      </c>
      <c r="AE176" s="305">
        <f t="shared" si="65"/>
        <v>0.7</v>
      </c>
      <c r="AF176" s="177">
        <f t="shared" si="66"/>
        <v>0.75491713163121954</v>
      </c>
      <c r="AG176" s="921">
        <f t="shared" si="74"/>
        <v>1</v>
      </c>
      <c r="AH176" s="176">
        <f t="shared" si="67"/>
        <v>7</v>
      </c>
      <c r="AI176" s="225">
        <f t="shared" si="68"/>
        <v>1.7549171316312195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39.158832780473062</v>
      </c>
      <c r="C177" s="955"/>
      <c r="D177" s="393">
        <f t="shared" si="50"/>
        <v>41.432663476683921</v>
      </c>
      <c r="E177" s="385">
        <f t="shared" si="75"/>
        <v>43.958093728143716</v>
      </c>
      <c r="F177" s="385">
        <f t="shared" si="51"/>
        <v>43.975255541452761</v>
      </c>
      <c r="G177" s="110">
        <f t="shared" si="76"/>
        <v>0.7435817398312089</v>
      </c>
      <c r="H177" s="414" t="b">
        <f>Wh_hp&gt;='2024'!Maxi_hp</f>
        <v>0</v>
      </c>
      <c r="I177" s="390">
        <f>IF(H177,Wh_hp,'2024'!Maxi_hp)</f>
        <v>53.061432092137871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5.4880147820823733E-2</v>
      </c>
      <c r="M177" s="959"/>
      <c r="N177" s="959"/>
      <c r="O177" s="48">
        <f>IF(t&lt;Tnet,'2024'!Resal+('2024'!Salim-'2024'!Resal)*(1-EXP(('2024'!Tnet-t)/('2024'!Tau_j))),Resal+(Salim-Resal)*(1-EXP((Tnet-t)/(Tau_j))))*Salcycl</f>
        <v>5.7450859154133754E-2</v>
      </c>
      <c r="P177" s="169">
        <f>(INDEX(Models!$BJ177:$BT177,,T177)*(1-R177)+INDEX(Models!$BJ177:$BT177,,T177+1)*R177-ERP_i)*Q177*Ramure*Pc/MaxiM</f>
        <v>6.156232941372607E-4</v>
      </c>
      <c r="Q177" s="305">
        <f t="shared" si="53"/>
        <v>0.7</v>
      </c>
      <c r="R177" s="177">
        <f t="shared" si="54"/>
        <v>0.23507033990154658</v>
      </c>
      <c r="S177" s="921">
        <f t="shared" si="55"/>
        <v>-2</v>
      </c>
      <c r="T177" s="176">
        <f t="shared" si="56"/>
        <v>4</v>
      </c>
      <c r="U177" s="251">
        <f t="shared" si="57"/>
        <v>-1.7649296600984534</v>
      </c>
      <c r="V177" s="383">
        <f t="shared" si="58"/>
        <v>52.650572628674723</v>
      </c>
      <c r="W177" s="402">
        <f t="shared" si="59"/>
        <v>39.158832780473062</v>
      </c>
      <c r="X177" s="157">
        <f t="shared" si="60"/>
        <v>45820</v>
      </c>
      <c r="Y177" s="385">
        <f t="shared" si="61"/>
        <v>35.576187364611179</v>
      </c>
      <c r="Z177" s="385">
        <f t="shared" si="62"/>
        <v>37.641985069494261</v>
      </c>
      <c r="AA177" s="386">
        <f t="shared" si="63"/>
        <v>43.746159730963583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0.13953624041537935</v>
      </c>
      <c r="AD177" s="231">
        <f>(INDEX(Models!$BJ177:$BT177,,AH177)*(1-AF177)+INDEX(Models!$BJ177:$BT177,,AH177+1)*AF177-ERP_i)*AE177*Ramure*Pc/MaxiM</f>
        <v>8.218054525278835E-3</v>
      </c>
      <c r="AE177" s="305">
        <f t="shared" si="65"/>
        <v>0.7</v>
      </c>
      <c r="AF177" s="177">
        <f t="shared" si="66"/>
        <v>0.7600579062755255</v>
      </c>
      <c r="AG177" s="921">
        <f t="shared" si="74"/>
        <v>1</v>
      </c>
      <c r="AH177" s="176">
        <f t="shared" si="67"/>
        <v>7</v>
      </c>
      <c r="AI177" s="225">
        <f t="shared" si="68"/>
        <v>1.7600579062755255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48.107947528833748</v>
      </c>
      <c r="C178" s="955"/>
      <c r="D178" s="393">
        <f t="shared" si="50"/>
        <v>50.902540168322332</v>
      </c>
      <c r="E178" s="385">
        <f t="shared" si="75"/>
        <v>54.012686645189724</v>
      </c>
      <c r="F178" s="385">
        <f t="shared" si="51"/>
        <v>54.043013629014744</v>
      </c>
      <c r="G178" s="110">
        <f t="shared" si="76"/>
        <v>0.91479789146424106</v>
      </c>
      <c r="H178" s="414" t="b">
        <f>Wh_hp&gt;='2024'!Maxi_hp</f>
        <v>0</v>
      </c>
      <c r="I178" s="390">
        <f>IF(H178,Wh_hp,'2024'!Maxi_hp)</f>
        <v>61.924411785677407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5.4900848371172595E-2</v>
      </c>
      <c r="M178" s="959"/>
      <c r="N178" s="959"/>
      <c r="O178" s="48">
        <f>IF(t&lt;Tnet,'2024'!Resal+('2024'!Salim-'2024'!Resal)*(1-EXP(('2024'!Tnet-t)/('2024'!Tau_j))),Resal+(Salim-Resal)*(1-EXP((Tnet-t)/(Tau_j))))*Salcycl</f>
        <v>5.758177698691417E-2</v>
      </c>
      <c r="P178" s="169">
        <f>(INDEX(Models!$BJ178:$BT178,,T178)*(1-R178)+INDEX(Models!$BJ178:$BT178,,T178+1)*R178-ERP_i)*Q178*Ramure*Pc/MaxiM</f>
        <v>6.3885911336188962E-4</v>
      </c>
      <c r="Q178" s="305">
        <f t="shared" si="53"/>
        <v>0.7</v>
      </c>
      <c r="R178" s="177">
        <f t="shared" si="54"/>
        <v>0.2402024458548131</v>
      </c>
      <c r="S178" s="921">
        <f t="shared" si="55"/>
        <v>-2</v>
      </c>
      <c r="T178" s="176">
        <f t="shared" si="56"/>
        <v>4</v>
      </c>
      <c r="U178" s="251">
        <f t="shared" si="57"/>
        <v>-1.7597975541451869</v>
      </c>
      <c r="V178" s="383">
        <f t="shared" si="58"/>
        <v>52.584519616607139</v>
      </c>
      <c r="W178" s="402">
        <f t="shared" si="59"/>
        <v>48.107947528833748</v>
      </c>
      <c r="X178" s="157">
        <f t="shared" si="60"/>
        <v>45821</v>
      </c>
      <c r="Y178" s="385">
        <f t="shared" si="61"/>
        <v>43.622170338206317</v>
      </c>
      <c r="Z178" s="385">
        <f t="shared" si="62"/>
        <v>46.156183997230194</v>
      </c>
      <c r="AA178" s="386">
        <f t="shared" si="63"/>
        <v>53.647351309133903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0.1396372258666996</v>
      </c>
      <c r="AD178" s="231">
        <f>(INDEX(Models!$BJ178:$BT178,,AH178)*(1-AF178)+INDEX(Models!$BJ178:$BT178,,AH178+1)*AF178-ERP_i)*AE178*Ramure*Pc/MaxiM</f>
        <v>8.334903343115721E-3</v>
      </c>
      <c r="AE178" s="305">
        <f t="shared" si="65"/>
        <v>0.7</v>
      </c>
      <c r="AF178" s="177">
        <f t="shared" si="66"/>
        <v>0.76519001222879202</v>
      </c>
      <c r="AG178" s="921">
        <f t="shared" si="74"/>
        <v>1</v>
      </c>
      <c r="AH178" s="176">
        <f t="shared" si="67"/>
        <v>7</v>
      </c>
      <c r="AI178" s="225">
        <f t="shared" si="68"/>
        <v>1.765190012228792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45.805817573781212</v>
      </c>
      <c r="C179" s="955"/>
      <c r="D179" s="393">
        <f t="shared" si="50"/>
        <v>48.467740957943498</v>
      </c>
      <c r="E179" s="385">
        <f t="shared" si="75"/>
        <v>51.436222242055436</v>
      </c>
      <c r="F179" s="385">
        <f t="shared" si="51"/>
        <v>51.464066773821585</v>
      </c>
      <c r="G179" s="110">
        <f t="shared" si="76"/>
        <v>0.87213977553847777</v>
      </c>
      <c r="H179" s="414" t="b">
        <f>Wh_hp&gt;='2024'!Maxi_hp</f>
        <v>0</v>
      </c>
      <c r="I179" s="390">
        <f>IF(H179,Wh_hp,'2024'!Maxi_hp)</f>
        <v>57.572810186062441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5.4921548468126358E-2</v>
      </c>
      <c r="M179" s="959"/>
      <c r="N179" s="959"/>
      <c r="O179" s="48">
        <f>IF(t&lt;Tnet,'2024'!Resal+('2024'!Salim-'2024'!Resal)*(1-EXP(('2024'!Tnet-t)/('2024'!Tau_j))),Resal+(Salim-Resal)*(1-EXP((Tnet-t)/(Tau_j))))*Salcycl</f>
        <v>5.7711883857691999E-2</v>
      </c>
      <c r="P179" s="169">
        <f>(INDEX(Models!$BJ179:$BT179,,T179)*(1-R179)+INDEX(Models!$BJ179:$BT179,,T179+1)*R179-ERP_i)*Q179*Ramure*Pc/MaxiM</f>
        <v>6.6183801018131661E-4</v>
      </c>
      <c r="Q179" s="305">
        <f t="shared" si="53"/>
        <v>0.7</v>
      </c>
      <c r="R179" s="177">
        <f t="shared" si="54"/>
        <v>0.24532158527263914</v>
      </c>
      <c r="S179" s="921">
        <f t="shared" si="55"/>
        <v>-2</v>
      </c>
      <c r="T179" s="176">
        <f t="shared" si="56"/>
        <v>4</v>
      </c>
      <c r="U179" s="251">
        <f t="shared" si="57"/>
        <v>-1.7546784147273609</v>
      </c>
      <c r="V179" s="383">
        <f t="shared" si="58"/>
        <v>52.514841060163377</v>
      </c>
      <c r="W179" s="402">
        <f t="shared" si="59"/>
        <v>45.805817573781212</v>
      </c>
      <c r="X179" s="157">
        <f t="shared" si="60"/>
        <v>45822</v>
      </c>
      <c r="Y179" s="385">
        <f t="shared" si="61"/>
        <v>41.552293836587801</v>
      </c>
      <c r="Z179" s="385">
        <f t="shared" si="62"/>
        <v>43.967031275801354</v>
      </c>
      <c r="AA179" s="386">
        <f t="shared" si="63"/>
        <v>51.108778132330691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0.13973620809399798</v>
      </c>
      <c r="AD179" s="231">
        <f>(INDEX(Models!$BJ179:$BT179,,AH179)*(1-AF179)+INDEX(Models!$BJ179:$BT179,,AH179+1)*AF179-ERP_i)*AE179*Ramure*Pc/MaxiM</f>
        <v>8.4448727491342589E-3</v>
      </c>
      <c r="AE179" s="305">
        <f t="shared" si="65"/>
        <v>0.7</v>
      </c>
      <c r="AF179" s="177">
        <f t="shared" si="66"/>
        <v>0.77030915164661806</v>
      </c>
      <c r="AG179" s="921">
        <f t="shared" si="74"/>
        <v>1</v>
      </c>
      <c r="AH179" s="176">
        <f t="shared" si="67"/>
        <v>7</v>
      </c>
      <c r="AI179" s="225">
        <f t="shared" si="68"/>
        <v>1.7703091516466181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49.177858585006256</v>
      </c>
      <c r="C180" s="955"/>
      <c r="D180" s="393">
        <f t="shared" si="50"/>
        <v>52.036881859066007</v>
      </c>
      <c r="E180" s="385">
        <f t="shared" si="75"/>
        <v>55.231537448279369</v>
      </c>
      <c r="F180" s="385">
        <f t="shared" si="51"/>
        <v>55.266002789326365</v>
      </c>
      <c r="G180" s="110">
        <f t="shared" si="76"/>
        <v>0.93770130076505631</v>
      </c>
      <c r="H180" s="414" t="b">
        <f>Wh_hp&gt;='2024'!Maxi_hp</f>
        <v>1</v>
      </c>
      <c r="I180" s="390">
        <f>IF(H180,Wh_hp,'2024'!Maxi_hp)</f>
        <v>55.266002789326365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5.4942248111694791E-2</v>
      </c>
      <c r="M180" s="959"/>
      <c r="N180" s="959"/>
      <c r="O180" s="48">
        <f>IF(t&lt;Tnet,'2024'!Resal+('2024'!Salim-'2024'!Resal)*(1-EXP(('2024'!Tnet-t)/('2024'!Tau_j))),Resal+(Salim-Resal)*(1-EXP((Tnet-t)/(Tau_j))))*Salcycl</f>
        <v>5.7841149039259361E-2</v>
      </c>
      <c r="P180" s="169">
        <f>(INDEX(Models!$BJ180:$BT180,,T180)*(1-R180)+INDEX(Models!$BJ180:$BT180,,T180+1)*R180-ERP_i)*Q180*Ramure*Pc/MaxiM</f>
        <v>6.8448883896271042E-4</v>
      </c>
      <c r="Q180" s="305">
        <f t="shared" si="53"/>
        <v>0.7</v>
      </c>
      <c r="R180" s="177">
        <f t="shared" si="54"/>
        <v>0.25042350381977907</v>
      </c>
      <c r="S180" s="921">
        <f t="shared" si="55"/>
        <v>-2</v>
      </c>
      <c r="T180" s="176">
        <f t="shared" si="56"/>
        <v>4</v>
      </c>
      <c r="U180" s="251">
        <f t="shared" si="57"/>
        <v>-1.7495764961802209</v>
      </c>
      <c r="V180" s="383">
        <f t="shared" si="58"/>
        <v>52.441927504129737</v>
      </c>
      <c r="W180" s="402">
        <f t="shared" si="59"/>
        <v>49.177858585006256</v>
      </c>
      <c r="X180" s="157">
        <f t="shared" si="60"/>
        <v>45823</v>
      </c>
      <c r="Y180" s="385">
        <f t="shared" si="61"/>
        <v>44.576269854895344</v>
      </c>
      <c r="Z180" s="385">
        <f t="shared" si="62"/>
        <v>47.167773361816451</v>
      </c>
      <c r="AA180" s="386">
        <f t="shared" si="63"/>
        <v>54.835607580227261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0.1398331222498517</v>
      </c>
      <c r="AD180" s="231">
        <f>(INDEX(Models!$BJ180:$BT180,,AH180)*(1-AF180)+INDEX(Models!$BJ180:$BT180,,AH180+1)*AF180-ERP_i)*AE180*Ramure*Pc/MaxiM</f>
        <v>8.5477383371804581E-3</v>
      </c>
      <c r="AE180" s="305">
        <f t="shared" si="65"/>
        <v>0.7</v>
      </c>
      <c r="AF180" s="177">
        <f t="shared" si="66"/>
        <v>0.77541107019375799</v>
      </c>
      <c r="AG180" s="921">
        <f t="shared" si="74"/>
        <v>1</v>
      </c>
      <c r="AH180" s="176">
        <f t="shared" si="67"/>
        <v>7</v>
      </c>
      <c r="AI180" s="225">
        <f t="shared" si="68"/>
        <v>1.775411070193758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47.726491958123859</v>
      </c>
      <c r="C181" s="955"/>
      <c r="D181" s="393">
        <f t="shared" si="50"/>
        <v>50.502244141500213</v>
      </c>
      <c r="E181" s="385">
        <f t="shared" si="75"/>
        <v>53.609990879388882</v>
      </c>
      <c r="F181" s="385">
        <f t="shared" si="51"/>
        <v>53.643103981971741</v>
      </c>
      <c r="G181" s="110">
        <f t="shared" si="76"/>
        <v>0.91131776171392553</v>
      </c>
      <c r="H181" s="414" t="b">
        <f>Wh_hp&gt;='2024'!Maxi_hp</f>
        <v>0</v>
      </c>
      <c r="I181" s="390">
        <f>IF(H181,Wh_hp,'2024'!Maxi_hp)</f>
        <v>59.636866753529013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5.4962947301887888E-2</v>
      </c>
      <c r="M181" s="959"/>
      <c r="N181" s="959"/>
      <c r="O181" s="48">
        <f>IF(t&lt;Tnet,'2024'!Resal+('2024'!Salim-'2024'!Resal)*(1-EXP(('2024'!Tnet-t)/('2024'!Tau_j))),Resal+(Salim-Resal)*(1-EXP((Tnet-t)/(Tau_j))))*Salcycl</f>
        <v>5.7969544238133483E-2</v>
      </c>
      <c r="P181" s="169">
        <f>(INDEX(Models!$BJ181:$BT181,,T181)*(1-R181)+INDEX(Models!$BJ181:$BT181,,T181+1)*R181-ERP_i)*Q181*Ramure*Pc/MaxiM</f>
        <v>7.0673898624771657E-4</v>
      </c>
      <c r="Q181" s="305">
        <f t="shared" si="53"/>
        <v>0.7</v>
      </c>
      <c r="R181" s="177">
        <f t="shared" si="54"/>
        <v>0.25550400469005097</v>
      </c>
      <c r="S181" s="921">
        <f t="shared" si="55"/>
        <v>-2</v>
      </c>
      <c r="T181" s="176">
        <f t="shared" si="56"/>
        <v>4</v>
      </c>
      <c r="U181" s="251">
        <f t="shared" si="57"/>
        <v>-1.744495995309949</v>
      </c>
      <c r="V181" s="383">
        <f t="shared" si="58"/>
        <v>52.36616909939071</v>
      </c>
      <c r="W181" s="402">
        <f t="shared" si="59"/>
        <v>47.726491958123859</v>
      </c>
      <c r="X181" s="157">
        <f t="shared" si="60"/>
        <v>45824</v>
      </c>
      <c r="Y181" s="385">
        <f t="shared" si="61"/>
        <v>43.271957653831961</v>
      </c>
      <c r="Z181" s="385">
        <f t="shared" si="62"/>
        <v>45.788636043728751</v>
      </c>
      <c r="AA181" s="386">
        <f t="shared" si="63"/>
        <v>53.238137316737621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0.13992790973674457</v>
      </c>
      <c r="AD181" s="231">
        <f>(INDEX(Models!$BJ181:$BT181,,AH181)*(1-AF181)+INDEX(Models!$BJ181:$BT181,,AH181+1)*AF181-ERP_i)*AE181*Ramure*Pc/MaxiM</f>
        <v>8.6432773774534413E-3</v>
      </c>
      <c r="AE181" s="305">
        <f t="shared" si="65"/>
        <v>0.7</v>
      </c>
      <c r="AF181" s="177">
        <f t="shared" si="66"/>
        <v>0.78049157106402989</v>
      </c>
      <c r="AG181" s="921">
        <f t="shared" si="74"/>
        <v>1</v>
      </c>
      <c r="AH181" s="176">
        <f t="shared" si="67"/>
        <v>7</v>
      </c>
      <c r="AI181" s="225">
        <f t="shared" si="68"/>
        <v>1.7804915710640299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48.351775828439166</v>
      </c>
      <c r="C182" s="955"/>
      <c r="D182" s="393">
        <f t="shared" si="50"/>
        <v>51.165014897107326</v>
      </c>
      <c r="E182" s="385">
        <f t="shared" si="75"/>
        <v>54.320898511468378</v>
      </c>
      <c r="F182" s="385">
        <f t="shared" si="51"/>
        <v>54.356239266186606</v>
      </c>
      <c r="G182" s="110">
        <f t="shared" si="76"/>
        <v>0.92464860553235517</v>
      </c>
      <c r="H182" s="414" t="b">
        <f>Wh_hp&gt;='2024'!Maxi_hp</f>
        <v>0</v>
      </c>
      <c r="I182" s="390">
        <f>IF(H182,Wh_hp,'2024'!Maxi_hp)</f>
        <v>58.647204437041879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5.4983646038715639E-2</v>
      </c>
      <c r="M182" s="959"/>
      <c r="N182" s="959"/>
      <c r="O182" s="48">
        <f>IF(t&lt;Tnet,'2024'!Resal+('2024'!Salim-'2024'!Resal)*(1-EXP(('2024'!Tnet-t)/('2024'!Tau_j))),Resal+(Salim-Resal)*(1-EXP((Tnet-t)/(Tau_j))))*Salcycl</f>
        <v>5.8097043694790414E-2</v>
      </c>
      <c r="P182" s="169">
        <f>(INDEX(Models!$BJ182:$BT182,,T182)*(1-R182)+INDEX(Models!$BJ182:$BT182,,T182+1)*R182-ERP_i)*Q182*Ramure*Pc/MaxiM</f>
        <v>7.2851463968222438E-4</v>
      </c>
      <c r="Q182" s="305">
        <f t="shared" si="53"/>
        <v>0.7</v>
      </c>
      <c r="R182" s="177">
        <f t="shared" si="54"/>
        <v>0.26055896221971064</v>
      </c>
      <c r="S182" s="921">
        <f t="shared" si="55"/>
        <v>-2</v>
      </c>
      <c r="T182" s="176">
        <f t="shared" si="56"/>
        <v>4</v>
      </c>
      <c r="U182" s="251">
        <f t="shared" si="57"/>
        <v>-1.7394410377802894</v>
      </c>
      <c r="V182" s="383">
        <f t="shared" si="58"/>
        <v>52.287955592403783</v>
      </c>
      <c r="W182" s="402">
        <f t="shared" si="59"/>
        <v>48.351775828439166</v>
      </c>
      <c r="X182" s="157">
        <f t="shared" si="60"/>
        <v>45825</v>
      </c>
      <c r="Y182" s="385">
        <f t="shared" si="61"/>
        <v>43.830801205132545</v>
      </c>
      <c r="Z182" s="385">
        <f t="shared" si="62"/>
        <v>46.380997557771593</v>
      </c>
      <c r="AA182" s="386">
        <f t="shared" si="63"/>
        <v>53.932679267478008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0.14002051839950333</v>
      </c>
      <c r="AD182" s="231">
        <f>(INDEX(Models!$BJ182:$BT182,,AH182)*(1-AF182)+INDEX(Models!$BJ182:$BT182,,AH182+1)*AF182-ERP_i)*AE182*Ramure*Pc/MaxiM</f>
        <v>8.7312696716082151E-3</v>
      </c>
      <c r="AE182" s="305">
        <f t="shared" si="65"/>
        <v>0.7</v>
      </c>
      <c r="AF182" s="177">
        <f t="shared" si="66"/>
        <v>0.78554652859368979</v>
      </c>
      <c r="AG182" s="921">
        <f t="shared" si="74"/>
        <v>1</v>
      </c>
      <c r="AH182" s="176">
        <f t="shared" si="67"/>
        <v>7</v>
      </c>
      <c r="AI182" s="225">
        <f t="shared" si="68"/>
        <v>1.7855465285936898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49.983064745362967</v>
      </c>
      <c r="C183" s="955"/>
      <c r="D183" s="393">
        <f t="shared" si="50"/>
        <v>52.892375160721642</v>
      </c>
      <c r="E183" s="385">
        <f t="shared" si="75"/>
        <v>56.162350770089922</v>
      </c>
      <c r="F183" s="385">
        <f t="shared" si="51"/>
        <v>56.201922677940914</v>
      </c>
      <c r="G183" s="110">
        <f t="shared" si="76"/>
        <v>0.9573454617597742</v>
      </c>
      <c r="H183" s="414" t="b">
        <f>Wh_hp&gt;='2024'!Maxi_hp</f>
        <v>0</v>
      </c>
      <c r="I183" s="390">
        <f>IF(H183,Wh_hp,'2024'!Maxi_hp)</f>
        <v>56.677985927992459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5.5004344322187926E-2</v>
      </c>
      <c r="M183" s="959"/>
      <c r="N183" s="959"/>
      <c r="O183" s="48">
        <f>IF(t&lt;Tnet,'2024'!Resal+('2024'!Salim-'2024'!Resal)*(1-EXP(('2024'!Tnet-t)/('2024'!Tau_j))),Resal+(Salim-Resal)*(1-EXP((Tnet-t)/(Tau_j))))*Salcycl</f>
        <v>5.8223624270189164E-2</v>
      </c>
      <c r="P183" s="169">
        <f>(INDEX(Models!$BJ183:$BT183,,T183)*(1-R183)+INDEX(Models!$BJ183:$BT183,,T183+1)*R183-ERP_i)*Q183*Ramure*Pc/MaxiM</f>
        <v>7.4974106700843445E-4</v>
      </c>
      <c r="Q183" s="305">
        <f t="shared" si="53"/>
        <v>0.7</v>
      </c>
      <c r="R183" s="177">
        <f t="shared" si="54"/>
        <v>0.26558433500198264</v>
      </c>
      <c r="S183" s="921">
        <f t="shared" si="55"/>
        <v>-2</v>
      </c>
      <c r="T183" s="176">
        <f t="shared" si="56"/>
        <v>4</v>
      </c>
      <c r="U183" s="251">
        <f t="shared" si="57"/>
        <v>-1.7344156649980174</v>
      </c>
      <c r="V183" s="383">
        <f t="shared" si="58"/>
        <v>52.207676302173027</v>
      </c>
      <c r="W183" s="402">
        <f t="shared" si="59"/>
        <v>49.983064745362967</v>
      </c>
      <c r="X183" s="157">
        <f t="shared" si="60"/>
        <v>45826</v>
      </c>
      <c r="Y183" s="385">
        <f t="shared" si="61"/>
        <v>45.291284363475242</v>
      </c>
      <c r="Z183" s="385">
        <f t="shared" si="62"/>
        <v>47.927505371428822</v>
      </c>
      <c r="AA183" s="386">
        <f t="shared" si="63"/>
        <v>55.736845043133805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0.14011090268316162</v>
      </c>
      <c r="AD183" s="231">
        <f>(INDEX(Models!$BJ183:$BT183,,AH183)*(1-AF183)+INDEX(Models!$BJ183:$BT183,,AH183+1)*AF183-ERP_i)*AE183*Ramure*Pc/MaxiM</f>
        <v>8.8114983860531713E-3</v>
      </c>
      <c r="AE183" s="305">
        <f t="shared" si="65"/>
        <v>0.7</v>
      </c>
      <c r="AF183" s="177">
        <f t="shared" si="66"/>
        <v>0.79057190137596156</v>
      </c>
      <c r="AG183" s="921">
        <f t="shared" si="74"/>
        <v>1</v>
      </c>
      <c r="AH183" s="176">
        <f t="shared" si="67"/>
        <v>7</v>
      </c>
      <c r="AI183" s="225">
        <f t="shared" si="68"/>
        <v>1.7905719013759616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51.036399493184966</v>
      </c>
      <c r="C184" s="955"/>
      <c r="D184" s="393">
        <f t="shared" si="50"/>
        <v>54.008203147972957</v>
      </c>
      <c r="E184" s="385">
        <f t="shared" si="75"/>
        <v>57.354814444740228</v>
      </c>
      <c r="F184" s="385">
        <f t="shared" si="51"/>
        <v>57.397690921112854</v>
      </c>
      <c r="G184" s="110">
        <f t="shared" si="76"/>
        <v>0.9790791861311352</v>
      </c>
      <c r="H184" s="414" t="b">
        <f>Wh_hp&gt;='2024'!Maxi_hp</f>
        <v>1</v>
      </c>
      <c r="I184" s="390">
        <f>IF(H184,Wh_hp,'2024'!Maxi_hp)</f>
        <v>57.397690921112854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5.502504215231474E-2</v>
      </c>
      <c r="M184" s="959"/>
      <c r="N184" s="959"/>
      <c r="O184" s="48">
        <f>IF(t&lt;Tnet,'2024'!Resal+('2024'!Salim-'2024'!Resal)*(1-EXP(('2024'!Tnet-t)/('2024'!Tau_j))),Resal+(Salim-Resal)*(1-EXP((Tnet-t)/(Tau_j))))*Salcycl</f>
        <v>5.8349265517921522E-2</v>
      </c>
      <c r="P184" s="169">
        <f>(INDEX(Models!$BJ184:$BT184,,T184)*(1-R184)+INDEX(Models!$BJ184:$BT184,,T184+1)*R184-ERP_i)*Q184*Ramure*Pc/MaxiM</f>
        <v>7.6999495870500154E-4</v>
      </c>
      <c r="Q184" s="305">
        <f t="shared" si="53"/>
        <v>0.7</v>
      </c>
      <c r="R184" s="177">
        <f t="shared" si="54"/>
        <v>0.27057617841639514</v>
      </c>
      <c r="S184" s="921">
        <f t="shared" si="55"/>
        <v>-2</v>
      </c>
      <c r="T184" s="176">
        <f t="shared" si="56"/>
        <v>4</v>
      </c>
      <c r="U184" s="251">
        <f t="shared" si="57"/>
        <v>-1.7294238215836049</v>
      </c>
      <c r="V184" s="383">
        <f t="shared" si="58"/>
        <v>52.125738260943677</v>
      </c>
      <c r="W184" s="402">
        <f t="shared" si="59"/>
        <v>51.036399493184966</v>
      </c>
      <c r="X184" s="157">
        <f t="shared" si="60"/>
        <v>45827</v>
      </c>
      <c r="Y184" s="385">
        <f t="shared" si="61"/>
        <v>46.233255701493746</v>
      </c>
      <c r="Z184" s="385">
        <f t="shared" si="62"/>
        <v>48.925376611880338</v>
      </c>
      <c r="AA184" s="386">
        <f t="shared" si="63"/>
        <v>56.903141498574875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0.14019902375503018</v>
      </c>
      <c r="AD184" s="231">
        <f>(INDEX(Models!$BJ184:$BT184,,AH184)*(1-AF184)+INDEX(Models!$BJ184:$BT184,,AH184+1)*AF184-ERP_i)*AE184*Ramure*Pc/MaxiM</f>
        <v>8.8813399421006425E-3</v>
      </c>
      <c r="AE184" s="305">
        <f t="shared" si="65"/>
        <v>0.7</v>
      </c>
      <c r="AF184" s="177">
        <f t="shared" si="66"/>
        <v>0.79556374479037406</v>
      </c>
      <c r="AG184" s="921">
        <f t="shared" si="74"/>
        <v>1</v>
      </c>
      <c r="AH184" s="176">
        <f t="shared" si="67"/>
        <v>7</v>
      </c>
      <c r="AI184" s="225">
        <f t="shared" si="68"/>
        <v>1.7955637447903741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32.191958157875654</v>
      </c>
      <c r="C185" s="955"/>
      <c r="D185" s="393">
        <f t="shared" si="50"/>
        <v>34.067213096466283</v>
      </c>
      <c r="E185" s="385">
        <f t="shared" si="75"/>
        <v>36.182974530667998</v>
      </c>
      <c r="F185" s="385">
        <f t="shared" si="51"/>
        <v>36.195981588951213</v>
      </c>
      <c r="G185" s="110">
        <f t="shared" si="76"/>
        <v>0.61830421381235978</v>
      </c>
      <c r="H185" s="414" t="b">
        <f>Wh_hp&gt;='2024'!Maxi_hp</f>
        <v>0</v>
      </c>
      <c r="I185" s="390">
        <f>IF(H185,Wh_hp,'2024'!Maxi_hp)</f>
        <v>50.746590499850917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5.5045739529105853E-2</v>
      </c>
      <c r="M185" s="959"/>
      <c r="N185" s="959"/>
      <c r="O185" s="48">
        <f>IF(t&lt;Tnet,'2024'!Resal+('2024'!Salim-'2024'!Resal)*(1-EXP(('2024'!Tnet-t)/('2024'!Tau_j))),Resal+(Salim-Resal)*(1-EXP((Tnet-t)/(Tau_j))))*Salcycl</f>
        <v>5.8473949741429859E-2</v>
      </c>
      <c r="P185" s="169">
        <f>(INDEX(Models!$BJ185:$BT185,,T185)*(1-R185)+INDEX(Models!$BJ185:$BT185,,T185+1)*R185-ERP_i)*Q185*Ramure*Pc/MaxiM</f>
        <v>7.896075165157076E-4</v>
      </c>
      <c r="Q185" s="305">
        <f t="shared" si="53"/>
        <v>0.7</v>
      </c>
      <c r="R185" s="177">
        <f t="shared" si="54"/>
        <v>0.27553065649347763</v>
      </c>
      <c r="S185" s="921">
        <f t="shared" si="55"/>
        <v>-2</v>
      </c>
      <c r="T185" s="176">
        <f t="shared" si="56"/>
        <v>4</v>
      </c>
      <c r="U185" s="251">
        <f t="shared" si="57"/>
        <v>-1.7244693435065224</v>
      </c>
      <c r="V185" s="383">
        <f t="shared" si="58"/>
        <v>52.04250861746619</v>
      </c>
      <c r="W185" s="402">
        <f t="shared" si="59"/>
        <v>32.191958157875654</v>
      </c>
      <c r="X185" s="157">
        <f t="shared" si="60"/>
        <v>45828</v>
      </c>
      <c r="Y185" s="385">
        <f t="shared" si="61"/>
        <v>29.28559254634645</v>
      </c>
      <c r="Z185" s="385">
        <f t="shared" si="62"/>
        <v>30.991545063517375</v>
      </c>
      <c r="AA185" s="386">
        <f t="shared" si="63"/>
        <v>36.048620346795374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0.14028484959002208</v>
      </c>
      <c r="AD185" s="231">
        <f>(INDEX(Models!$BJ185:$BT185,,AH185)*(1-AF185)+INDEX(Models!$BJ185:$BT185,,AH185+1)*AF185-ERP_i)*AE185*Ramure*Pc/MaxiM</f>
        <v>8.9457233077444125E-3</v>
      </c>
      <c r="AE185" s="305">
        <f t="shared" si="65"/>
        <v>0.7</v>
      </c>
      <c r="AF185" s="177">
        <f t="shared" si="66"/>
        <v>0.80051822286745633</v>
      </c>
      <c r="AG185" s="921">
        <f t="shared" si="74"/>
        <v>1</v>
      </c>
      <c r="AH185" s="176">
        <f t="shared" si="67"/>
        <v>7</v>
      </c>
      <c r="AI185" s="225">
        <f t="shared" si="68"/>
        <v>1.8005182228674563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22.760330173187686</v>
      </c>
      <c r="C186" s="955"/>
      <c r="D186" s="393">
        <f t="shared" si="50"/>
        <v>24.086698844458272</v>
      </c>
      <c r="E186" s="385">
        <f t="shared" si="75"/>
        <v>25.585977294838056</v>
      </c>
      <c r="F186" s="385">
        <f t="shared" si="51"/>
        <v>25.590057592595898</v>
      </c>
      <c r="G186" s="110">
        <f t="shared" si="76"/>
        <v>0.43776494110070546</v>
      </c>
      <c r="H186" s="414" t="b">
        <f>Wh_hp&gt;='2024'!Maxi_hp</f>
        <v>0</v>
      </c>
      <c r="I186" s="390">
        <f>IF(H186,Wh_hp,'2024'!Maxi_hp)</f>
        <v>50.271199376554243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5.5066436452571366E-2</v>
      </c>
      <c r="M186" s="959"/>
      <c r="N186" s="959"/>
      <c r="O186" s="48">
        <f>IF(t&lt;Tnet,'2024'!Resal+('2024'!Salim-'2024'!Resal)*(1-EXP(('2024'!Tnet-t)/('2024'!Tau_j))),Resal+(Salim-Resal)*(1-EXP((Tnet-t)/(Tau_j))))*Salcycl</f>
        <v>5.8597662035847251E-2</v>
      </c>
      <c r="P186" s="169">
        <f>(INDEX(Models!$BJ186:$BT186,,T186)*(1-R186)+INDEX(Models!$BJ186:$BT186,,T186+1)*R186-ERP_i)*Q186*Ramure*Pc/MaxiM</f>
        <v>8.0850815351548742E-4</v>
      </c>
      <c r="Q186" s="305">
        <f t="shared" si="53"/>
        <v>0.7</v>
      </c>
      <c r="R186" s="177">
        <f t="shared" si="54"/>
        <v>0.28044405304310427</v>
      </c>
      <c r="S186" s="921">
        <f t="shared" si="55"/>
        <v>-2</v>
      </c>
      <c r="T186" s="176">
        <f t="shared" si="56"/>
        <v>4</v>
      </c>
      <c r="U186" s="251">
        <f t="shared" si="57"/>
        <v>-1.7195559469568957</v>
      </c>
      <c r="V186" s="383">
        <f t="shared" si="58"/>
        <v>51.958375080014598</v>
      </c>
      <c r="W186" s="402">
        <f t="shared" si="59"/>
        <v>22.760330173187686</v>
      </c>
      <c r="X186" s="157">
        <f t="shared" si="60"/>
        <v>45829</v>
      </c>
      <c r="Y186" s="385">
        <f t="shared" si="61"/>
        <v>20.749757498682929</v>
      </c>
      <c r="Z186" s="385">
        <f t="shared" si="62"/>
        <v>21.958959125957055</v>
      </c>
      <c r="AA186" s="386">
        <f t="shared" si="63"/>
        <v>25.544614666240182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0.14036835501856035</v>
      </c>
      <c r="AD186" s="231">
        <f>(INDEX(Models!$BJ186:$BT186,,AH186)*(1-AF186)+INDEX(Models!$BJ186:$BT186,,AH186+1)*AF186-ERP_i)*AE186*Ramure*Pc/MaxiM</f>
        <v>9.0044841476533202E-3</v>
      </c>
      <c r="AE186" s="305">
        <f t="shared" si="65"/>
        <v>0.7</v>
      </c>
      <c r="AF186" s="177">
        <f t="shared" si="66"/>
        <v>0.80543161941708319</v>
      </c>
      <c r="AG186" s="921">
        <f t="shared" si="74"/>
        <v>1</v>
      </c>
      <c r="AH186" s="176">
        <f t="shared" si="67"/>
        <v>7</v>
      </c>
      <c r="AI186" s="225">
        <f t="shared" si="68"/>
        <v>1.8054316194170832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40.191614989355394</v>
      </c>
      <c r="C187" s="955"/>
      <c r="D187" s="393">
        <f t="shared" si="50"/>
        <v>42.534731391342518</v>
      </c>
      <c r="E187" s="385">
        <f t="shared" si="75"/>
        <v>45.188200141228585</v>
      </c>
      <c r="F187" s="385">
        <f t="shared" si="51"/>
        <v>45.21355072864646</v>
      </c>
      <c r="G187" s="110">
        <f t="shared" si="76"/>
        <v>0.77459099933607567</v>
      </c>
      <c r="H187" s="414" t="b">
        <f>Wh_hp&gt;='2024'!Maxi_hp</f>
        <v>0</v>
      </c>
      <c r="I187" s="390">
        <f>IF(H187,Wh_hp,'2024'!Maxi_hp)</f>
        <v>58.651325061036623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5.508713292272116E-2</v>
      </c>
      <c r="M187" s="959"/>
      <c r="N187" s="959"/>
      <c r="O187" s="48">
        <f>IF(t&lt;Tnet,'2024'!Resal+('2024'!Salim-'2024'!Resal)*(1-EXP(('2024'!Tnet-t)/('2024'!Tau_j))),Resal+(Salim-Resal)*(1-EXP((Tnet-t)/(Tau_j))))*Salcycl</f>
        <v>5.8720390314132204E-2</v>
      </c>
      <c r="P187" s="169">
        <f>(INDEX(Models!$BJ187:$BT187,,T187)*(1-R187)+INDEX(Models!$BJ187:$BT187,,T187+1)*R187-ERP_i)*Q187*Ramure*Pc/MaxiM</f>
        <v>8.2662652192064018E-4</v>
      </c>
      <c r="Q187" s="305">
        <f t="shared" si="53"/>
        <v>0.7</v>
      </c>
      <c r="R187" s="177">
        <f t="shared" si="54"/>
        <v>0.28531278198319177</v>
      </c>
      <c r="S187" s="921">
        <f t="shared" si="55"/>
        <v>-2</v>
      </c>
      <c r="T187" s="176">
        <f t="shared" si="56"/>
        <v>4</v>
      </c>
      <c r="U187" s="251">
        <f t="shared" si="57"/>
        <v>-1.7146872180168082</v>
      </c>
      <c r="V187" s="383">
        <f t="shared" si="58"/>
        <v>51.873724885625421</v>
      </c>
      <c r="W187" s="402">
        <f t="shared" si="59"/>
        <v>40.191614989355394</v>
      </c>
      <c r="X187" s="157">
        <f t="shared" si="60"/>
        <v>45830</v>
      </c>
      <c r="Y187" s="385">
        <f t="shared" si="61"/>
        <v>36.496854939807925</v>
      </c>
      <c r="Z187" s="385">
        <f t="shared" si="62"/>
        <v>38.624571864172808</v>
      </c>
      <c r="AA187" s="386">
        <f t="shared" si="63"/>
        <v>44.935780784174533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0.14044952173668257</v>
      </c>
      <c r="AD187" s="231">
        <f>(INDEX(Models!$BJ187:$BT187,,AH187)*(1-AF187)+INDEX(Models!$BJ187:$BT187,,AH187+1)*AF187-ERP_i)*AE187*Ramure*Pc/MaxiM</f>
        <v>9.057462823563775E-3</v>
      </c>
      <c r="AE187" s="305">
        <f t="shared" si="65"/>
        <v>0.7</v>
      </c>
      <c r="AF187" s="177">
        <f t="shared" si="66"/>
        <v>0.81030034835717069</v>
      </c>
      <c r="AG187" s="921">
        <f t="shared" si="74"/>
        <v>1</v>
      </c>
      <c r="AH187" s="176">
        <f t="shared" si="67"/>
        <v>7</v>
      </c>
      <c r="AI187" s="225">
        <f t="shared" si="68"/>
        <v>1.8103003483571707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39.842257929230101</v>
      </c>
      <c r="C188" s="955"/>
      <c r="D188" s="393">
        <f t="shared" si="50"/>
        <v>42.165930832632334</v>
      </c>
      <c r="E188" s="385">
        <f t="shared" si="75"/>
        <v>44.802186717980412</v>
      </c>
      <c r="F188" s="385">
        <f t="shared" si="51"/>
        <v>44.82754960079842</v>
      </c>
      <c r="G188" s="110">
        <f t="shared" si="76"/>
        <v>0.76910567471150526</v>
      </c>
      <c r="H188" s="414" t="b">
        <f>Wh_hp&gt;='2024'!Maxi_hp</f>
        <v>0</v>
      </c>
      <c r="I188" s="390">
        <f>IF(H188,Wh_hp,'2024'!Maxi_hp)</f>
        <v>52.717054573900171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5.5107828939565007E-2</v>
      </c>
      <c r="M188" s="959"/>
      <c r="N188" s="959"/>
      <c r="O188" s="48">
        <f>IF(t&lt;Tnet,'2024'!Resal+('2024'!Salim-'2024'!Resal)*(1-EXP(('2024'!Tnet-t)/('2024'!Tau_j))),Resal+(Salim-Resal)*(1-EXP((Tnet-t)/(Tau_j))))*Salcycl</f>
        <v>5.8842125317291161E-2</v>
      </c>
      <c r="P188" s="169">
        <f>(INDEX(Models!$BJ188:$BT188,,T188)*(1-R188)+INDEX(Models!$BJ188:$BT188,,T188+1)*R188-ERP_i)*Q188*Ramure*Pc/MaxiM</f>
        <v>8.4388415644175076E-4</v>
      </c>
      <c r="Q188" s="305">
        <f t="shared" si="53"/>
        <v>0.7</v>
      </c>
      <c r="R188" s="177">
        <f t="shared" si="54"/>
        <v>0.29013339681441375</v>
      </c>
      <c r="S188" s="921">
        <f t="shared" si="55"/>
        <v>-2</v>
      </c>
      <c r="T188" s="176">
        <f t="shared" si="56"/>
        <v>4</v>
      </c>
      <c r="U188" s="251">
        <f t="shared" si="57"/>
        <v>-1.7098666031855863</v>
      </c>
      <c r="V188" s="383">
        <f t="shared" si="58"/>
        <v>51.788945240651891</v>
      </c>
      <c r="W188" s="402">
        <f t="shared" si="59"/>
        <v>39.842257929230101</v>
      </c>
      <c r="X188" s="157">
        <f t="shared" si="60"/>
        <v>45831</v>
      </c>
      <c r="Y188" s="385">
        <f t="shared" si="61"/>
        <v>36.182594489832283</v>
      </c>
      <c r="Z188" s="385">
        <f t="shared" si="62"/>
        <v>38.292829169306408</v>
      </c>
      <c r="AA188" s="386">
        <f t="shared" si="63"/>
        <v>44.553917103672362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0.14052833827824945</v>
      </c>
      <c r="AD188" s="231">
        <f>(INDEX(Models!$BJ188:$BT188,,AH188)*(1-AF188)+INDEX(Models!$BJ188:$BT188,,AH188+1)*AF188-ERP_i)*AE188*Ramure*Pc/MaxiM</f>
        <v>9.1044117764227696E-3</v>
      </c>
      <c r="AE188" s="305">
        <f t="shared" si="65"/>
        <v>0.7</v>
      </c>
      <c r="AF188" s="177">
        <f t="shared" si="66"/>
        <v>0.81512096318839267</v>
      </c>
      <c r="AG188" s="921">
        <f t="shared" si="74"/>
        <v>1</v>
      </c>
      <c r="AH188" s="176">
        <f t="shared" si="67"/>
        <v>7</v>
      </c>
      <c r="AI188" s="225">
        <f t="shared" si="68"/>
        <v>1.8151209631883927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37.95098275555732</v>
      </c>
      <c r="C189" s="955"/>
      <c r="D189" s="393">
        <f t="shared" si="50"/>
        <v>40.165232774753562</v>
      </c>
      <c r="E189" s="385">
        <f t="shared" si="75"/>
        <v>42.681878422705005</v>
      </c>
      <c r="F189" s="385">
        <f t="shared" si="51"/>
        <v>42.704653834171204</v>
      </c>
      <c r="G189" s="110">
        <f t="shared" si="76"/>
        <v>0.73375871224266453</v>
      </c>
      <c r="H189" s="414" t="b">
        <f>Wh_hp&gt;='2024'!Maxi_hp</f>
        <v>0</v>
      </c>
      <c r="I189" s="390">
        <f>IF(H189,Wh_hp,'2024'!Maxi_hp)</f>
        <v>57.879746381610467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5.5128524503113119E-2</v>
      </c>
      <c r="M189" s="959"/>
      <c r="N189" s="959"/>
      <c r="O189" s="48">
        <f>IF(t&lt;Tnet,'2024'!Resal+('2024'!Salim-'2024'!Resal)*(1-EXP(('2024'!Tnet-t)/('2024'!Tau_j))),Resal+(Salim-Resal)*(1-EXP((Tnet-t)/(Tau_j))))*Salcycl</f>
        <v>5.8962860608606414E-2</v>
      </c>
      <c r="P189" s="169">
        <f>(INDEX(Models!$BJ189:$BT189,,T189)*(1-R189)+INDEX(Models!$BJ189:$BT189,,T189+1)*R189-ERP_i)*Q189*Ramure*Pc/MaxiM</f>
        <v>8.6020223919456478E-4</v>
      </c>
      <c r="Q189" s="305">
        <f t="shared" si="53"/>
        <v>0.7</v>
      </c>
      <c r="R189" s="177">
        <f t="shared" si="54"/>
        <v>0.29490259919595618</v>
      </c>
      <c r="S189" s="921">
        <f t="shared" si="55"/>
        <v>-2</v>
      </c>
      <c r="T189" s="176">
        <f t="shared" si="56"/>
        <v>4</v>
      </c>
      <c r="U189" s="251">
        <f t="shared" si="57"/>
        <v>-1.7050974008040438</v>
      </c>
      <c r="V189" s="383">
        <f t="shared" si="58"/>
        <v>51.704422922405875</v>
      </c>
      <c r="W189" s="402">
        <f t="shared" si="59"/>
        <v>37.95098275555732</v>
      </c>
      <c r="X189" s="157">
        <f t="shared" si="60"/>
        <v>45832</v>
      </c>
      <c r="Y189" s="385">
        <f t="shared" si="61"/>
        <v>34.480332011562162</v>
      </c>
      <c r="Z189" s="385">
        <f t="shared" si="62"/>
        <v>36.492086919472008</v>
      </c>
      <c r="AA189" s="386">
        <f t="shared" si="63"/>
        <v>42.462521221116809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0.14060479994945937</v>
      </c>
      <c r="AD189" s="231">
        <f>(INDEX(Models!$BJ189:$BT189,,AH189)*(1-AF189)+INDEX(Models!$BJ189:$BT189,,AH189+1)*AF189-ERP_i)*AE189*Ramure*Pc/MaxiM</f>
        <v>9.1450824605514257E-3</v>
      </c>
      <c r="AE189" s="305">
        <f t="shared" si="65"/>
        <v>0.7</v>
      </c>
      <c r="AF189" s="177">
        <f t="shared" si="66"/>
        <v>0.8198901655699351</v>
      </c>
      <c r="AG189" s="921">
        <f t="shared" si="74"/>
        <v>1</v>
      </c>
      <c r="AH189" s="176">
        <f t="shared" si="67"/>
        <v>7</v>
      </c>
      <c r="AI189" s="225">
        <f t="shared" si="68"/>
        <v>1.8198901655699351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32.562733068936403</v>
      </c>
      <c r="C190" s="955"/>
      <c r="D190" s="393">
        <f t="shared" si="50"/>
        <v>34.463360506102362</v>
      </c>
      <c r="E190" s="385">
        <f t="shared" si="75"/>
        <v>36.627402398232022</v>
      </c>
      <c r="F190" s="385">
        <f t="shared" si="51"/>
        <v>36.642563387389622</v>
      </c>
      <c r="G190" s="110">
        <f t="shared" si="76"/>
        <v>0.63051816893200685</v>
      </c>
      <c r="H190" s="414" t="b">
        <f>Wh_hp&gt;='2024'!Maxi_hp</f>
        <v>0</v>
      </c>
      <c r="I190" s="390">
        <f>IF(H190,Wh_hp,'2024'!Maxi_hp)</f>
        <v>56.287194704165557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5.5149219613375156E-2</v>
      </c>
      <c r="M190" s="959"/>
      <c r="N190" s="959"/>
      <c r="O190" s="48">
        <f>IF(t&lt;Tnet,'2024'!Resal+('2024'!Salim-'2024'!Resal)*(1-EXP(('2024'!Tnet-t)/('2024'!Tau_j))),Resal+(Salim-Resal)*(1-EXP((Tnet-t)/(Tau_j))))*Salcycl</f>
        <v>5.9082592551911763E-2</v>
      </c>
      <c r="P190" s="169">
        <f>(INDEX(Models!$BJ190:$BT190,,T190)*(1-R190)+INDEX(Models!$BJ190:$BT190,,T190+1)*R190-ERP_i)*Q190*Ramure*Pc/MaxiM</f>
        <v>8.7551111452358337E-4</v>
      </c>
      <c r="Q190" s="305">
        <f t="shared" si="53"/>
        <v>0.7</v>
      </c>
      <c r="R190" s="177">
        <f t="shared" si="54"/>
        <v>0.29961724658693201</v>
      </c>
      <c r="S190" s="921">
        <f t="shared" si="55"/>
        <v>-2</v>
      </c>
      <c r="T190" s="176">
        <f t="shared" si="56"/>
        <v>4</v>
      </c>
      <c r="U190" s="251">
        <f t="shared" si="57"/>
        <v>-1.700382753413068</v>
      </c>
      <c r="V190" s="383">
        <f t="shared" si="58"/>
        <v>51.620543799055689</v>
      </c>
      <c r="W190" s="402">
        <f t="shared" si="59"/>
        <v>32.562733068936403</v>
      </c>
      <c r="X190" s="157">
        <f t="shared" si="60"/>
        <v>45833</v>
      </c>
      <c r="Y190" s="385">
        <f t="shared" si="61"/>
        <v>29.622142900917954</v>
      </c>
      <c r="Z190" s="385">
        <f t="shared" si="62"/>
        <v>31.351133444369729</v>
      </c>
      <c r="AA190" s="386">
        <f t="shared" si="63"/>
        <v>36.483607539407188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0.14067890872616412</v>
      </c>
      <c r="AD190" s="231">
        <f>(INDEX(Models!$BJ190:$BT190,,AH190)*(1-AF190)+INDEX(Models!$BJ190:$BT190,,AH190+1)*AF190-ERP_i)*AE190*Ramure*Pc/MaxiM</f>
        <v>9.1793226801019836E-3</v>
      </c>
      <c r="AE190" s="305">
        <f t="shared" si="65"/>
        <v>0.7</v>
      </c>
      <c r="AF190" s="177">
        <f t="shared" si="66"/>
        <v>0.82460481296091093</v>
      </c>
      <c r="AG190" s="921">
        <f t="shared" si="74"/>
        <v>1</v>
      </c>
      <c r="AH190" s="176">
        <f t="shared" si="67"/>
        <v>7</v>
      </c>
      <c r="AI190" s="225">
        <f t="shared" si="68"/>
        <v>1.8246048129609109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10.551039412256184</v>
      </c>
      <c r="C191" s="955"/>
      <c r="D191" s="393">
        <f t="shared" si="50"/>
        <v>11.167128959603582</v>
      </c>
      <c r="E191" s="385">
        <f t="shared" si="75"/>
        <v>11.869839106127285</v>
      </c>
      <c r="F191" s="385">
        <f t="shared" si="51"/>
        <v>11.869839106127285</v>
      </c>
      <c r="G191" s="110">
        <f t="shared" si="76"/>
        <v>0.20454635563524198</v>
      </c>
      <c r="H191" s="414" t="b">
        <f>Wh_hp&gt;='2024'!Maxi_hp</f>
        <v>0</v>
      </c>
      <c r="I191" s="390">
        <f>IF(H191,Wh_hp,'2024'!Maxi_hp)</f>
        <v>59.196700093726733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5.5169914270361331E-2</v>
      </c>
      <c r="M191" s="959"/>
      <c r="N191" s="959"/>
      <c r="O191" s="48">
        <f>IF(t&lt;Tnet,'2024'!Resal+('2024'!Salim-'2024'!Resal)*(1-EXP(('2024'!Tnet-t)/('2024'!Tau_j))),Resal+(Salim-Resal)*(1-EXP((Tnet-t)/(Tau_j))))*Salcycl</f>
        <v>5.9201320274085194E-2</v>
      </c>
      <c r="P191" s="169">
        <f>(INDEX(Models!$BJ191:$BT191,,T191)*(1-R191)+INDEX(Models!$BJ191:$BT191,,T191+1)*R191-ERP_i)*Q191*Ramure*Pc/MaxiM</f>
        <v>8.8975903041493755E-4</v>
      </c>
      <c r="Q191" s="305">
        <f t="shared" si="53"/>
        <v>0.7</v>
      </c>
      <c r="R191" s="177">
        <f t="shared" si="54"/>
        <v>0.30427435892776433</v>
      </c>
      <c r="S191" s="921">
        <f t="shared" si="55"/>
        <v>-2</v>
      </c>
      <c r="T191" s="176">
        <f t="shared" si="56"/>
        <v>4</v>
      </c>
      <c r="U191" s="251">
        <f t="shared" si="57"/>
        <v>-1.6957256410722357</v>
      </c>
      <c r="V191" s="383">
        <f t="shared" si="58"/>
        <v>51.536735997669417</v>
      </c>
      <c r="W191" s="402">
        <f t="shared" si="59"/>
        <v>10.551039412256184</v>
      </c>
      <c r="X191" s="157">
        <f t="shared" si="60"/>
        <v>45834</v>
      </c>
      <c r="Y191" s="385">
        <f t="shared" si="61"/>
        <v>9.6364649614111055</v>
      </c>
      <c r="Z191" s="385">
        <f t="shared" si="62"/>
        <v>10.199151262175791</v>
      </c>
      <c r="AA191" s="386">
        <f t="shared" si="63"/>
        <v>11.869839106127285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0.1407506731147749</v>
      </c>
      <c r="AD191" s="231">
        <f>(INDEX(Models!$BJ191:$BT191,,AH191)*(1-AF191)+INDEX(Models!$BJ191:$BT191,,AH191+1)*AF191-ERP_i)*AE191*Ramure*Pc/MaxiM</f>
        <v>9.2071582836797915E-3</v>
      </c>
      <c r="AE191" s="305">
        <f t="shared" si="65"/>
        <v>0.7</v>
      </c>
      <c r="AF191" s="177">
        <f t="shared" si="66"/>
        <v>0.82926192530174325</v>
      </c>
      <c r="AG191" s="921">
        <f t="shared" si="74"/>
        <v>1</v>
      </c>
      <c r="AH191" s="176">
        <f t="shared" si="67"/>
        <v>7</v>
      </c>
      <c r="AI191" s="225">
        <f t="shared" si="68"/>
        <v>1.8292619253017433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9.8930242998693583</v>
      </c>
      <c r="C192" s="955"/>
      <c r="D192" s="393">
        <f t="shared" si="50"/>
        <v>10.470920789527275</v>
      </c>
      <c r="E192" s="385">
        <f t="shared" si="75"/>
        <v>11.131213766669864</v>
      </c>
      <c r="F192" s="385">
        <f t="shared" si="51"/>
        <v>11.131213766669864</v>
      </c>
      <c r="G192" s="110">
        <f t="shared" si="76"/>
        <v>0.19210251766771927</v>
      </c>
      <c r="H192" s="414" t="b">
        <f>Wh_hp&gt;='2024'!Maxi_hp</f>
        <v>0</v>
      </c>
      <c r="I192" s="390">
        <f>IF(H192,Wh_hp,'2024'!Maxi_hp)</f>
        <v>57.199547222334189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5.5190608474081193E-2</v>
      </c>
      <c r="M192" s="959"/>
      <c r="N192" s="959"/>
      <c r="O192" s="48">
        <f>IF(t&lt;Tnet,'2024'!Resal+('2024'!Salim-'2024'!Resal)*(1-EXP(('2024'!Tnet-t)/('2024'!Tau_j))),Resal+(Salim-Resal)*(1-EXP((Tnet-t)/(Tau_j))))*Salcycl</f>
        <v>5.9319045612051965E-2</v>
      </c>
      <c r="P192" s="169">
        <f>(INDEX(Models!$BJ192:$BT192,,T192)*(1-R192)+INDEX(Models!$BJ192:$BT192,,T192+1)*R192-ERP_i)*Q192*Ramure*Pc/MaxiM</f>
        <v>9.0240379506361648E-4</v>
      </c>
      <c r="Q192" s="305">
        <f t="shared" si="53"/>
        <v>0.7</v>
      </c>
      <c r="R192" s="177">
        <f t="shared" si="54"/>
        <v>0.30887112434548136</v>
      </c>
      <c r="S192" s="921">
        <f t="shared" si="55"/>
        <v>-2</v>
      </c>
      <c r="T192" s="176">
        <f t="shared" si="56"/>
        <v>4</v>
      </c>
      <c r="U192" s="251">
        <f t="shared" si="57"/>
        <v>-1.6911288756545186</v>
      </c>
      <c r="V192" s="383">
        <f t="shared" si="58"/>
        <v>51.452198113785649</v>
      </c>
      <c r="W192" s="402">
        <f t="shared" si="59"/>
        <v>9.8930242998693583</v>
      </c>
      <c r="X192" s="157">
        <f t="shared" si="60"/>
        <v>45835</v>
      </c>
      <c r="Y192" s="385">
        <f t="shared" si="61"/>
        <v>9.0358877896756145</v>
      </c>
      <c r="Z192" s="385">
        <f t="shared" si="62"/>
        <v>9.5637150421231123</v>
      </c>
      <c r="AA192" s="386">
        <f t="shared" si="63"/>
        <v>11.131213766669864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0.14082010797782946</v>
      </c>
      <c r="AD192" s="231">
        <f>(INDEX(Models!$BJ192:$BT192,,AH192)*(1-AF192)+INDEX(Models!$BJ192:$BT192,,AH192+1)*AF192-ERP_i)*AE192*Ramure*Pc/MaxiM</f>
        <v>9.2233209066817975E-3</v>
      </c>
      <c r="AE192" s="305">
        <f t="shared" si="65"/>
        <v>0.7</v>
      </c>
      <c r="AF192" s="177">
        <f t="shared" si="66"/>
        <v>0.83385869071946028</v>
      </c>
      <c r="AG192" s="921">
        <f t="shared" si="74"/>
        <v>1</v>
      </c>
      <c r="AH192" s="176">
        <f t="shared" si="67"/>
        <v>7</v>
      </c>
      <c r="AI192" s="225">
        <f t="shared" si="68"/>
        <v>1.8338586907194603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50.945526320290099</v>
      </c>
      <c r="C193" s="955"/>
      <c r="D193" s="393">
        <f t="shared" si="50"/>
        <v>53.922666983891219</v>
      </c>
      <c r="E193" s="385">
        <f t="shared" si="75"/>
        <v>57.330127426220642</v>
      </c>
      <c r="F193" s="385">
        <f t="shared" si="51"/>
        <v>57.381947425116394</v>
      </c>
      <c r="G193" s="110">
        <f t="shared" si="76"/>
        <v>0.99178591475593969</v>
      </c>
      <c r="H193" s="414" t="b">
        <f>Wh_hp&gt;='2024'!Maxi_hp</f>
        <v>1</v>
      </c>
      <c r="I193" s="390">
        <f>IF(H193,Wh_hp,'2024'!Maxi_hp)</f>
        <v>57.381947425116394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5.5211302224545067E-2</v>
      </c>
      <c r="M193" s="959"/>
      <c r="N193" s="959"/>
      <c r="O193" s="48">
        <f>IF(t&lt;Tnet,'2024'!Resal+('2024'!Salim-'2024'!Resal)*(1-EXP(('2024'!Tnet-t)/('2024'!Tau_j))),Resal+(Salim-Resal)*(1-EXP((Tnet-t)/(Tau_j))))*Salcycl</f>
        <v>5.943577304471475E-2</v>
      </c>
      <c r="P193" s="169">
        <f>(INDEX(Models!$BJ193:$BT193,,T193)*(1-R193)+INDEX(Models!$BJ193:$BT193,,T193+1)*R193-ERP_i)*Q193*Ramure*Pc/MaxiM</f>
        <v>9.1378025020435896E-4</v>
      </c>
      <c r="Q193" s="305">
        <f t="shared" si="53"/>
        <v>0.7</v>
      </c>
      <c r="R193" s="177">
        <f t="shared" si="54"/>
        <v>0.31340490387631093</v>
      </c>
      <c r="S193" s="921">
        <f t="shared" si="55"/>
        <v>-2</v>
      </c>
      <c r="T193" s="176">
        <f t="shared" si="56"/>
        <v>4</v>
      </c>
      <c r="U193" s="251">
        <f t="shared" si="57"/>
        <v>-1.6865950961236891</v>
      </c>
      <c r="V193" s="383">
        <f t="shared" si="58"/>
        <v>51.366912459748825</v>
      </c>
      <c r="W193" s="402">
        <f t="shared" si="59"/>
        <v>50.945526320290099</v>
      </c>
      <c r="X193" s="157">
        <f t="shared" si="60"/>
        <v>45836</v>
      </c>
      <c r="Y193" s="385">
        <f t="shared" si="61"/>
        <v>46.150914463102254</v>
      </c>
      <c r="Z193" s="385">
        <f t="shared" si="62"/>
        <v>48.847868916898072</v>
      </c>
      <c r="AA193" s="386">
        <f t="shared" si="63"/>
        <v>56.858506669437141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0.14088723432557163</v>
      </c>
      <c r="AD193" s="231">
        <f>(INDEX(Models!$BJ193:$BT193,,AH193)*(1-AF193)+INDEX(Models!$BJ193:$BT193,,AH193+1)*AF193-ERP_i)*AE193*Ramure*Pc/MaxiM</f>
        <v>9.2302168059471192E-3</v>
      </c>
      <c r="AE193" s="305">
        <f t="shared" si="65"/>
        <v>0.7</v>
      </c>
      <c r="AF193" s="177">
        <f t="shared" si="66"/>
        <v>0.83839247025028985</v>
      </c>
      <c r="AG193" s="921">
        <f t="shared" si="74"/>
        <v>1</v>
      </c>
      <c r="AH193" s="176">
        <f t="shared" si="67"/>
        <v>7</v>
      </c>
      <c r="AI193" s="225">
        <f t="shared" si="68"/>
        <v>1.8383924702502898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51.742661049472389</v>
      </c>
      <c r="C194" s="955"/>
      <c r="D194" s="393">
        <f t="shared" si="50"/>
        <v>54.767584003914344</v>
      </c>
      <c r="E194" s="385">
        <f t="shared" si="75"/>
        <v>58.235602017100028</v>
      </c>
      <c r="F194" s="385">
        <f t="shared" si="51"/>
        <v>58.289451559149803</v>
      </c>
      <c r="G194" s="110">
        <f t="shared" si="76"/>
        <v>1.0090049067127487</v>
      </c>
      <c r="H194" s="414" t="b">
        <f>Wh_hp&gt;='2024'!Maxi_hp</f>
        <v>1</v>
      </c>
      <c r="I194" s="390">
        <f>IF(H194,Wh_hp,'2024'!Maxi_hp)</f>
        <v>58.289451559149803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5.5231995521762611E-2</v>
      </c>
      <c r="M194" s="959"/>
      <c r="N194" s="959"/>
      <c r="O194" s="48">
        <f>IF(t&lt;Tnet,'2024'!Resal+('2024'!Salim-'2024'!Resal)*(1-EXP(('2024'!Tnet-t)/('2024'!Tau_j))),Resal+(Salim-Resal)*(1-EXP((Tnet-t)/(Tau_j))))*Salcycl</f>
        <v>5.9551509610347206E-2</v>
      </c>
      <c r="P194" s="169">
        <f>(INDEX(Models!$BJ194:$BT194,,T194)*(1-R194)+INDEX(Models!$BJ194:$BT194,,T194+1)*R194-ERP_i)*Q194*Ramure*Pc/MaxiM</f>
        <v>9.2382996596094115E-4</v>
      </c>
      <c r="Q194" s="305">
        <f t="shared" si="53"/>
        <v>0.7</v>
      </c>
      <c r="R194" s="177">
        <f t="shared" si="54"/>
        <v>0.3178732352080833</v>
      </c>
      <c r="S194" s="921">
        <f t="shared" si="55"/>
        <v>-2</v>
      </c>
      <c r="T194" s="176">
        <f t="shared" si="56"/>
        <v>4</v>
      </c>
      <c r="U194" s="251">
        <f t="shared" si="57"/>
        <v>-1.6821267647919167</v>
      </c>
      <c r="V194" s="383">
        <f t="shared" si="58"/>
        <v>51.280881495458267</v>
      </c>
      <c r="W194" s="402">
        <f t="shared" si="59"/>
        <v>51.742661049472389</v>
      </c>
      <c r="X194" s="157">
        <f t="shared" si="60"/>
        <v>45837</v>
      </c>
      <c r="Y194" s="385">
        <f t="shared" si="61"/>
        <v>46.871231353271384</v>
      </c>
      <c r="Z194" s="385">
        <f t="shared" si="62"/>
        <v>49.611366103741773</v>
      </c>
      <c r="AA194" s="386">
        <f t="shared" si="63"/>
        <v>57.75156995936927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0.1409520790751573</v>
      </c>
      <c r="AD194" s="231">
        <f>(INDEX(Models!$BJ194:$BT194,,AH194)*(1-AF194)+INDEX(Models!$BJ194:$BT194,,AH194+1)*AF194-ERP_i)*AE194*Ramure*Pc/MaxiM</f>
        <v>9.2277690970331751E-3</v>
      </c>
      <c r="AE194" s="305">
        <f t="shared" si="65"/>
        <v>0.7</v>
      </c>
      <c r="AF194" s="177">
        <f t="shared" si="66"/>
        <v>0.84286080158206222</v>
      </c>
      <c r="AG194" s="921">
        <f t="shared" si="74"/>
        <v>1</v>
      </c>
      <c r="AH194" s="176">
        <f t="shared" si="67"/>
        <v>7</v>
      </c>
      <c r="AI194" s="225">
        <f t="shared" si="68"/>
        <v>1.8428608015820622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11.783124541604238</v>
      </c>
      <c r="C195" s="955"/>
      <c r="D195" s="393">
        <f t="shared" si="50"/>
        <v>12.472249877294052</v>
      </c>
      <c r="E195" s="385">
        <f t="shared" si="75"/>
        <v>13.263641843898455</v>
      </c>
      <c r="F195" s="385">
        <f t="shared" si="51"/>
        <v>13.263641843898455</v>
      </c>
      <c r="G195" s="110">
        <f t="shared" si="76"/>
        <v>0.22995101220160163</v>
      </c>
      <c r="H195" s="414" t="b">
        <f>Wh_hp&gt;='2024'!Maxi_hp</f>
        <v>0</v>
      </c>
      <c r="I195" s="390">
        <f>IF(H195,Wh_hp,'2024'!Maxi_hp)</f>
        <v>51.899795502885659</v>
      </c>
      <c r="J195" s="85">
        <f>IF(H195,An,'2024'!An_max)</f>
        <v>2021</v>
      </c>
      <c r="K195" s="197">
        <f t="shared" si="52"/>
        <v>45838</v>
      </c>
      <c r="L195" s="147">
        <f>IF(t&lt;Tvie,1-EXP((T0-t)*PertePVj)+'2024'!Pspv,1-EXP((T0-t)*PertePVj)+Pspv)</f>
        <v>5.5252688365743818E-2</v>
      </c>
      <c r="M195" s="959"/>
      <c r="N195" s="959"/>
      <c r="O195" s="48">
        <f>IF(t&lt;Tnet,'2024'!Resal+('2024'!Salim-'2024'!Resal)*(1-EXP(('2024'!Tnet-t)/('2024'!Tau_j))),Resal+(Salim-Resal)*(1-EXP((Tnet-t)/(Tau_j))))*Salcycl</f>
        <v>5.9666264810102662E-2</v>
      </c>
      <c r="P195" s="169">
        <f>(INDEX(Models!$BJ195:$BT195,,T195)*(1-R195)+INDEX(Models!$BJ195:$BT195,,T195+1)*R195-ERP_i)*Q195*Ramure*Pc/MaxiM</f>
        <v>9.3249698567685318E-4</v>
      </c>
      <c r="Q195" s="305">
        <f t="shared" si="53"/>
        <v>0.7</v>
      </c>
      <c r="R195" s="177">
        <f t="shared" si="54"/>
        <v>0.32227383545363875</v>
      </c>
      <c r="S195" s="921">
        <f t="shared" si="55"/>
        <v>-2</v>
      </c>
      <c r="T195" s="176">
        <f t="shared" si="56"/>
        <v>4</v>
      </c>
      <c r="U195" s="251">
        <f t="shared" si="57"/>
        <v>-1.6777261645463613</v>
      </c>
      <c r="V195" s="383">
        <f t="shared" si="58"/>
        <v>51.194107391736637</v>
      </c>
      <c r="W195" s="402">
        <f t="shared" si="59"/>
        <v>11.783124541604238</v>
      </c>
      <c r="X195" s="157">
        <f t="shared" si="60"/>
        <v>45838</v>
      </c>
      <c r="Y195" s="385">
        <f t="shared" si="61"/>
        <v>10.763764701519815</v>
      </c>
      <c r="Z195" s="385">
        <f t="shared" si="62"/>
        <v>11.393273702891291</v>
      </c>
      <c r="AA195" s="386">
        <f t="shared" si="63"/>
        <v>13.263641843898455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0.1410146747793535</v>
      </c>
      <c r="AD195" s="231">
        <f>(INDEX(Models!$BJ195:$BT195,,AH195)*(1-AF195)+INDEX(Models!$BJ195:$BT195,,AH195+1)*AF195-ERP_i)*AE195*Ramure*Pc/MaxiM</f>
        <v>9.2159097877809824E-3</v>
      </c>
      <c r="AE195" s="305">
        <f t="shared" si="65"/>
        <v>0.7</v>
      </c>
      <c r="AF195" s="177">
        <f t="shared" si="66"/>
        <v>0.84726140182761789</v>
      </c>
      <c r="AG195" s="921">
        <f t="shared" si="74"/>
        <v>1</v>
      </c>
      <c r="AH195" s="176">
        <f t="shared" si="67"/>
        <v>7</v>
      </c>
      <c r="AI195" s="225">
        <f t="shared" si="68"/>
        <v>1.8472614018276179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44.09987304604919</v>
      </c>
      <c r="C196" s="955"/>
      <c r="D196" s="393">
        <f t="shared" si="50"/>
        <v>46.680036475909375</v>
      </c>
      <c r="E196" s="385">
        <f t="shared" si="75"/>
        <v>49.647996195628359</v>
      </c>
      <c r="F196" s="385">
        <f t="shared" si="51"/>
        <v>49.68554233570935</v>
      </c>
      <c r="G196" s="110">
        <f t="shared" si="76"/>
        <v>0.86274095886376967</v>
      </c>
      <c r="H196" s="414" t="b">
        <f>Wh_hp&gt;='2024'!Maxi_hp</f>
        <v>0</v>
      </c>
      <c r="I196" s="390">
        <f>IF(H196,Wh_hp,'2024'!Maxi_hp)</f>
        <v>55.368807466601659</v>
      </c>
      <c r="J196" s="85">
        <f>IF(H196,An,'2024'!An_max)</f>
        <v>2021</v>
      </c>
      <c r="K196" s="197">
        <f t="shared" si="52"/>
        <v>45839</v>
      </c>
      <c r="L196" s="147">
        <f>IF(t&lt;Tvie,1-EXP((T0-t)*PertePVj)+'2024'!Pspv,1-EXP((T0-t)*PertePVj)+Pspv)</f>
        <v>5.527338075649868E-2</v>
      </c>
      <c r="M196" s="959"/>
      <c r="N196" s="959"/>
      <c r="O196" s="48">
        <f>IF(t&lt;Tnet,'2024'!Resal+('2024'!Salim-'2024'!Resal)*(1-EXP(('2024'!Tnet-t)/('2024'!Tau_j))),Resal+(Salim-Resal)*(1-EXP((Tnet-t)/(Tau_j))))*Salcycl</f>
        <v>5.9780050498398962E-2</v>
      </c>
      <c r="P196" s="169">
        <f>(INDEX(Models!$BJ196:$BT196,,T196)*(1-R196)+INDEX(Models!$BJ196:$BT196,,T196+1)*R196-ERP_i)*Q196*Ramure*Pc/MaxiM</f>
        <v>9.3972792288674262E-4</v>
      </c>
      <c r="Q196" s="305">
        <f t="shared" si="53"/>
        <v>0.7</v>
      </c>
      <c r="R196" s="177">
        <f t="shared" si="54"/>
        <v>0.32660460297458171</v>
      </c>
      <c r="S196" s="921">
        <f t="shared" si="55"/>
        <v>-2</v>
      </c>
      <c r="T196" s="176">
        <f t="shared" si="56"/>
        <v>4</v>
      </c>
      <c r="U196" s="251">
        <f t="shared" si="57"/>
        <v>-1.6733953970254183</v>
      </c>
      <c r="V196" s="383">
        <f t="shared" si="58"/>
        <v>51.106592031085547</v>
      </c>
      <c r="W196" s="402">
        <f t="shared" si="59"/>
        <v>44.09987304604919</v>
      </c>
      <c r="X196" s="157">
        <f t="shared" si="60"/>
        <v>45839</v>
      </c>
      <c r="Y196" s="385">
        <f t="shared" si="61"/>
        <v>40.01920016010407</v>
      </c>
      <c r="Z196" s="385">
        <f t="shared" si="62"/>
        <v>42.360614536456929</v>
      </c>
      <c r="AA196" s="386">
        <f t="shared" si="63"/>
        <v>49.31817965753509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0.1410750593268329</v>
      </c>
      <c r="AD196" s="231">
        <f>(INDEX(Models!$BJ196:$BT196,,AH196)*(1-AF196)+INDEX(Models!$BJ196:$BT196,,AH196+1)*AF196-ERP_i)*AE196*Ramure*Pc/MaxiM</f>
        <v>9.194579409818663E-3</v>
      </c>
      <c r="AE196" s="305">
        <f t="shared" si="65"/>
        <v>0.7</v>
      </c>
      <c r="AF196" s="177">
        <f t="shared" si="66"/>
        <v>0.85159216934856063</v>
      </c>
      <c r="AG196" s="921">
        <f t="shared" si="74"/>
        <v>1</v>
      </c>
      <c r="AH196" s="176">
        <f t="shared" si="67"/>
        <v>7</v>
      </c>
      <c r="AI196" s="225">
        <f t="shared" si="68"/>
        <v>1.8515921693485606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50.754509676966059</v>
      </c>
      <c r="C197" s="955"/>
      <c r="D197" s="393">
        <f t="shared" si="50"/>
        <v>53.725194486398244</v>
      </c>
      <c r="E197" s="385">
        <f t="shared" si="75"/>
        <v>57.147949831387677</v>
      </c>
      <c r="F197" s="385">
        <f t="shared" si="51"/>
        <v>57.201632842646234</v>
      </c>
      <c r="G197" s="110">
        <f t="shared" si="76"/>
        <v>0.99482181924067559</v>
      </c>
      <c r="H197" s="414" t="b">
        <f>Wh_hp&gt;='2024'!Maxi_hp</f>
        <v>1</v>
      </c>
      <c r="I197" s="390">
        <f>IF(H197,Wh_hp,'2024'!Maxi_hp)</f>
        <v>57.201632842646234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5.5294072694037077E-2</v>
      </c>
      <c r="M197" s="959"/>
      <c r="N197" s="959"/>
      <c r="O197" s="48">
        <f>IF(t&lt;Tnet,'2024'!Resal+('2024'!Salim-'2024'!Resal)*(1-EXP(('2024'!Tnet-t)/('2024'!Tau_j))),Resal+(Salim-Resal)*(1-EXP((Tnet-t)/(Tau_j))))*Salcycl</f>
        <v>5.9892880761044195E-2</v>
      </c>
      <c r="P197" s="169">
        <f>(INDEX(Models!$BJ197:$BT197,,T197)*(1-R197)+INDEX(Models!$BJ197:$BT197,,T197+1)*R197-ERP_i)*Q197*Ramure*Pc/MaxiM</f>
        <v>9.4547203443867776E-4</v>
      </c>
      <c r="Q197" s="305">
        <f t="shared" si="53"/>
        <v>0.7</v>
      </c>
      <c r="R197" s="177">
        <f t="shared" si="54"/>
        <v>0.33086361828224242</v>
      </c>
      <c r="S197" s="921">
        <f t="shared" si="55"/>
        <v>-2</v>
      </c>
      <c r="T197" s="176">
        <f t="shared" si="56"/>
        <v>4</v>
      </c>
      <c r="U197" s="251">
        <f t="shared" si="57"/>
        <v>-1.6691363817177576</v>
      </c>
      <c r="V197" s="383">
        <f t="shared" si="58"/>
        <v>51.018337012978996</v>
      </c>
      <c r="W197" s="402">
        <f t="shared" si="59"/>
        <v>50.754509676966059</v>
      </c>
      <c r="X197" s="157">
        <f t="shared" si="60"/>
        <v>45840</v>
      </c>
      <c r="Y197" s="385">
        <f t="shared" si="61"/>
        <v>45.989894325942906</v>
      </c>
      <c r="Z197" s="385">
        <f t="shared" si="62"/>
        <v>48.681704006127305</v>
      </c>
      <c r="AA197" s="386">
        <f t="shared" si="63"/>
        <v>56.681325081099892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0.14113327561638142</v>
      </c>
      <c r="AD197" s="231">
        <f>(INDEX(Models!$BJ197:$BT197,,AH197)*(1-AF197)+INDEX(Models!$BJ197:$BT197,,AH197+1)*AF197-ERP_i)*AE197*Ramure*Pc/MaxiM</f>
        <v>9.1637265926485297E-3</v>
      </c>
      <c r="AE197" s="305">
        <f t="shared" si="65"/>
        <v>0.7</v>
      </c>
      <c r="AF197" s="177">
        <f t="shared" si="66"/>
        <v>0.85585118465622134</v>
      </c>
      <c r="AG197" s="921">
        <f t="shared" si="74"/>
        <v>1</v>
      </c>
      <c r="AH197" s="176">
        <f t="shared" si="67"/>
        <v>7</v>
      </c>
      <c r="AI197" s="225">
        <f t="shared" si="68"/>
        <v>1.8558511846562213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43.896410362553674</v>
      </c>
      <c r="C198" s="955"/>
      <c r="D198" s="393">
        <f t="shared" si="50"/>
        <v>46.466705203003606</v>
      </c>
      <c r="E198" s="385">
        <f t="shared" si="75"/>
        <v>49.432916049048629</v>
      </c>
      <c r="F198" s="385">
        <f t="shared" si="51"/>
        <v>49.470616501651506</v>
      </c>
      <c r="G198" s="110">
        <f t="shared" si="76"/>
        <v>0.86174621158568132</v>
      </c>
      <c r="H198" s="414" t="b">
        <f>Wh_hp&gt;='2024'!Maxi_hp</f>
        <v>1</v>
      </c>
      <c r="I198" s="390">
        <f>IF(H198,Wh_hp,'2024'!Maxi_hp)</f>
        <v>49.470616501651506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5.5314764178368891E-2</v>
      </c>
      <c r="M198" s="959"/>
      <c r="N198" s="959"/>
      <c r="O198" s="48">
        <f>IF(t&lt;Tnet,'2024'!Resal+('2024'!Salim-'2024'!Resal)*(1-EXP(('2024'!Tnet-t)/('2024'!Tau_j))),Resal+(Salim-Resal)*(1-EXP((Tnet-t)/(Tau_j))))*Salcycl</f>
        <v>6.0004771782062698E-2</v>
      </c>
      <c r="P198" s="169">
        <f>(INDEX(Models!$BJ198:$BT198,,T198)*(1-R198)+INDEX(Models!$BJ198:$BT198,,T198+1)*R198-ERP_i)*Q198*Ramure*Pc/MaxiM</f>
        <v>9.4936289524440512E-4</v>
      </c>
      <c r="Q198" s="305">
        <f t="shared" si="53"/>
        <v>0.7</v>
      </c>
      <c r="R198" s="177">
        <f t="shared" si="54"/>
        <v>0.33504914404953889</v>
      </c>
      <c r="S198" s="921">
        <f t="shared" si="55"/>
        <v>-2</v>
      </c>
      <c r="T198" s="176">
        <f t="shared" si="56"/>
        <v>4</v>
      </c>
      <c r="U198" s="251">
        <f t="shared" si="57"/>
        <v>-1.6649508559504611</v>
      </c>
      <c r="V198" s="383">
        <f t="shared" si="58"/>
        <v>50.929359890259647</v>
      </c>
      <c r="W198" s="402">
        <f t="shared" si="59"/>
        <v>43.896410362553674</v>
      </c>
      <c r="X198" s="157">
        <f t="shared" si="60"/>
        <v>45841</v>
      </c>
      <c r="Y198" s="385">
        <f t="shared" si="61"/>
        <v>39.841940337775277</v>
      </c>
      <c r="Z198" s="385">
        <f t="shared" si="62"/>
        <v>42.174831178686858</v>
      </c>
      <c r="AA198" s="386">
        <f t="shared" si="63"/>
        <v>49.10841781032326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0.14118937120753394</v>
      </c>
      <c r="AD198" s="231">
        <f>(INDEX(Models!$BJ198:$BT198,,AH198)*(1-AF198)+INDEX(Models!$BJ198:$BT198,,AH198+1)*AF198-ERP_i)*AE198*Ramure*Pc/MaxiM</f>
        <v>9.1207923118367014E-3</v>
      </c>
      <c r="AE198" s="305">
        <f t="shared" si="65"/>
        <v>0.7</v>
      </c>
      <c r="AF198" s="177">
        <f t="shared" si="66"/>
        <v>0.86003671042351781</v>
      </c>
      <c r="AG198" s="921">
        <f t="shared" si="74"/>
        <v>1</v>
      </c>
      <c r="AH198" s="176">
        <f t="shared" si="67"/>
        <v>7</v>
      </c>
      <c r="AI198" s="225">
        <f t="shared" si="68"/>
        <v>1.8600367104235178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41.861856716673927</v>
      </c>
      <c r="C199" s="955"/>
      <c r="D199" s="393">
        <f t="shared" si="50"/>
        <v>44.313991614830741</v>
      </c>
      <c r="E199" s="385">
        <f t="shared" si="75"/>
        <v>47.148349622320097</v>
      </c>
      <c r="F199" s="385">
        <f t="shared" si="51"/>
        <v>47.18192850711781</v>
      </c>
      <c r="G199" s="110">
        <f t="shared" si="76"/>
        <v>0.82321194475635351</v>
      </c>
      <c r="H199" s="414" t="b">
        <f>Wh_hp&gt;='2024'!Maxi_hp</f>
        <v>0</v>
      </c>
      <c r="I199" s="390">
        <f>IF(H199,Wh_hp,'2024'!Maxi_hp)</f>
        <v>55.745011407918014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5.5335455209504225E-2</v>
      </c>
      <c r="M199" s="959"/>
      <c r="N199" s="959"/>
      <c r="O199" s="48">
        <f>IF(t&lt;Tnet,'2024'!Resal+('2024'!Salim-'2024'!Resal)*(1-EXP(('2024'!Tnet-t)/('2024'!Tau_j))),Resal+(Salim-Resal)*(1-EXP((Tnet-t)/(Tau_j))))*Salcycl</f>
        <v>6.0115741700268642E-2</v>
      </c>
      <c r="P199" s="169">
        <f>(INDEX(Models!$BJ199:$BT199,,T199)*(1-R199)+INDEX(Models!$BJ199:$BT199,,T199+1)*R199-ERP_i)*Q199*Ramure*Pc/MaxiM</f>
        <v>9.518023508565481E-4</v>
      </c>
      <c r="Q199" s="305">
        <f t="shared" si="53"/>
        <v>0.7</v>
      </c>
      <c r="R199" s="177">
        <f t="shared" si="54"/>
        <v>0.339159624273496</v>
      </c>
      <c r="S199" s="921">
        <f t="shared" si="55"/>
        <v>-2</v>
      </c>
      <c r="T199" s="176">
        <f t="shared" si="56"/>
        <v>4</v>
      </c>
      <c r="U199" s="251">
        <f t="shared" si="57"/>
        <v>-1.660840375726504</v>
      </c>
      <c r="V199" s="383">
        <f t="shared" si="58"/>
        <v>50.839638875879864</v>
      </c>
      <c r="W199" s="402">
        <f t="shared" si="59"/>
        <v>41.861856716673927</v>
      </c>
      <c r="X199" s="157">
        <f t="shared" si="60"/>
        <v>45842</v>
      </c>
      <c r="Y199" s="385">
        <f t="shared" si="61"/>
        <v>38.01618862571874</v>
      </c>
      <c r="Z199" s="385">
        <f t="shared" si="62"/>
        <v>40.24305647477204</v>
      </c>
      <c r="AA199" s="386">
        <f t="shared" si="63"/>
        <v>46.862005344378353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0.14124339795032553</v>
      </c>
      <c r="AD199" s="231">
        <f>(INDEX(Models!$BJ199:$BT199,,AH199)*(1-AF199)+INDEX(Models!$BJ199:$BT199,,AH199+1)*AF199-ERP_i)*AE199*Ramure*Pc/MaxiM</f>
        <v>9.0683064736447484E-3</v>
      </c>
      <c r="AE199" s="305">
        <f t="shared" si="65"/>
        <v>0.7</v>
      </c>
      <c r="AF199" s="177">
        <f t="shared" si="66"/>
        <v>0.86414719064747492</v>
      </c>
      <c r="AG199" s="921">
        <f t="shared" si="74"/>
        <v>1</v>
      </c>
      <c r="AH199" s="176">
        <f t="shared" si="67"/>
        <v>7</v>
      </c>
      <c r="AI199" s="225">
        <f t="shared" si="68"/>
        <v>1.8641471906474749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50.973812296524052</v>
      </c>
      <c r="C200" s="955"/>
      <c r="D200" s="393">
        <f t="shared" si="50"/>
        <v>53.960878556729398</v>
      </c>
      <c r="E200" s="385">
        <f t="shared" si="75"/>
        <v>57.418983365518116</v>
      </c>
      <c r="F200" s="385">
        <f t="shared" si="51"/>
        <v>57.473741712824562</v>
      </c>
      <c r="G200" s="110">
        <f t="shared" si="76"/>
        <v>1.0044264330036194</v>
      </c>
      <c r="H200" s="414" t="b">
        <f>Wh_hp&gt;='2024'!Maxi_hp</f>
        <v>0</v>
      </c>
      <c r="I200" s="390">
        <f>IF(H200,Wh_hp,'2024'!Maxi_hp)</f>
        <v>58.767865102105034</v>
      </c>
      <c r="J200" s="85">
        <f>IF(H200,An,'2024'!An_max)</f>
        <v>2021</v>
      </c>
      <c r="K200" s="197">
        <f t="shared" si="52"/>
        <v>45843</v>
      </c>
      <c r="L200" s="147">
        <f>IF(t&lt;Tvie,1-EXP((T0-t)*PertePVj)+'2024'!Pspv,1-EXP((T0-t)*PertePVj)+Pspv)</f>
        <v>5.5356145787452737E-2</v>
      </c>
      <c r="M200" s="959"/>
      <c r="N200" s="959"/>
      <c r="O200" s="48">
        <f>IF(t&lt;Tnet,'2024'!Resal+('2024'!Salim-'2024'!Resal)*(1-EXP(('2024'!Tnet-t)/('2024'!Tau_j))),Resal+(Salim-Resal)*(1-EXP((Tnet-t)/(Tau_j))))*Salcycl</f>
        <v>6.0225810456710729E-2</v>
      </c>
      <c r="P200" s="169">
        <f>(INDEX(Models!$BJ200:$BT200,,T200)*(1-R200)+INDEX(Models!$BJ200:$BT200,,T200+1)*R200-ERP_i)*Q200*Ramure*Pc/MaxiM</f>
        <v>9.5275417389824963E-4</v>
      </c>
      <c r="Q200" s="305">
        <f t="shared" si="53"/>
        <v>0.7</v>
      </c>
      <c r="R200" s="177">
        <f t="shared" si="54"/>
        <v>0.34319368263346983</v>
      </c>
      <c r="S200" s="921">
        <f t="shared" si="55"/>
        <v>-2</v>
      </c>
      <c r="T200" s="176">
        <f t="shared" si="56"/>
        <v>4</v>
      </c>
      <c r="U200" s="251">
        <f t="shared" si="57"/>
        <v>-1.6568063173665302</v>
      </c>
      <c r="V200" s="383">
        <f t="shared" si="58"/>
        <v>50.749174475718291</v>
      </c>
      <c r="W200" s="402">
        <f t="shared" si="59"/>
        <v>50.973812296524052</v>
      </c>
      <c r="X200" s="157">
        <f t="shared" si="60"/>
        <v>45843</v>
      </c>
      <c r="Y200" s="385">
        <f t="shared" si="61"/>
        <v>46.201095913984553</v>
      </c>
      <c r="Z200" s="385">
        <f t="shared" si="62"/>
        <v>48.908480913685366</v>
      </c>
      <c r="AA200" s="386">
        <f t="shared" si="63"/>
        <v>56.956119222145979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0.14129541159699466</v>
      </c>
      <c r="AD200" s="231">
        <f>(INDEX(Models!$BJ200:$BT200,,AH200)*(1-AF200)+INDEX(Models!$BJ200:$BT200,,AH200+1)*AF200-ERP_i)*AE200*Ramure*Pc/MaxiM</f>
        <v>9.0062431164645036E-3</v>
      </c>
      <c r="AE200" s="305">
        <f t="shared" si="65"/>
        <v>0.7</v>
      </c>
      <c r="AF200" s="177">
        <f t="shared" si="66"/>
        <v>0.86818124900744875</v>
      </c>
      <c r="AG200" s="921">
        <f t="shared" si="74"/>
        <v>1</v>
      </c>
      <c r="AH200" s="176">
        <f t="shared" si="67"/>
        <v>7</v>
      </c>
      <c r="AI200" s="225">
        <f t="shared" si="68"/>
        <v>1.8681812490074488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41.757805645780891</v>
      </c>
      <c r="C201" s="955"/>
      <c r="D201" s="393">
        <f t="shared" si="50"/>
        <v>44.205781980909279</v>
      </c>
      <c r="E201" s="385">
        <f t="shared" si="75"/>
        <v>47.044193370722056</v>
      </c>
      <c r="F201" s="385">
        <f t="shared" si="51"/>
        <v>47.077769151139059</v>
      </c>
      <c r="G201" s="110">
        <f t="shared" si="76"/>
        <v>0.82411161516265086</v>
      </c>
      <c r="H201" s="414" t="b">
        <f>Wh_hp&gt;='2024'!Maxi_hp</f>
        <v>0</v>
      </c>
      <c r="I201" s="390">
        <f>IF(H201,Wh_hp,'2024'!Maxi_hp)</f>
        <v>56.315415913154332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5.5376835912224531E-2</v>
      </c>
      <c r="M201" s="959"/>
      <c r="N201" s="959"/>
      <c r="O201" s="48">
        <f>IF(t&lt;Tnet,'2024'!Resal+('2024'!Salim-'2024'!Resal)*(1-EXP(('2024'!Tnet-t)/('2024'!Tau_j))),Resal+(Salim-Resal)*(1-EXP((Tnet-t)/(Tau_j))))*Salcycl</f>
        <v>6.03349996341793E-2</v>
      </c>
      <c r="P201" s="169">
        <f>(INDEX(Models!$BJ201:$BT201,,T201)*(1-R201)+INDEX(Models!$BJ201:$BT201,,T201+1)*R201-ERP_i)*Q201*Ramure*Pc/MaxiM</f>
        <v>9.5218464079652155E-4</v>
      </c>
      <c r="Q201" s="305">
        <f t="shared" si="53"/>
        <v>0.7</v>
      </c>
      <c r="R201" s="177">
        <f t="shared" si="54"/>
        <v>0.34715012009459589</v>
      </c>
      <c r="S201" s="921">
        <f t="shared" si="55"/>
        <v>-2</v>
      </c>
      <c r="T201" s="176">
        <f t="shared" si="56"/>
        <v>4</v>
      </c>
      <c r="U201" s="251">
        <f t="shared" si="57"/>
        <v>-1.6528498799054041</v>
      </c>
      <c r="V201" s="383">
        <f t="shared" si="58"/>
        <v>50.657966962271566</v>
      </c>
      <c r="W201" s="402">
        <f t="shared" si="59"/>
        <v>41.757805645780891</v>
      </c>
      <c r="X201" s="157">
        <f t="shared" si="60"/>
        <v>45844</v>
      </c>
      <c r="Y201" s="385">
        <f t="shared" si="61"/>
        <v>37.929473512825801</v>
      </c>
      <c r="Z201" s="385">
        <f t="shared" si="62"/>
        <v>40.153020754529528</v>
      </c>
      <c r="AA201" s="386">
        <f t="shared" si="63"/>
        <v>46.762719367394261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0.14134547139859882</v>
      </c>
      <c r="AD201" s="231">
        <f>(INDEX(Models!$BJ201:$BT201,,AH201)*(1-AF201)+INDEX(Models!$BJ201:$BT201,,AH201+1)*AF201-ERP_i)*AE201*Ramure*Pc/MaxiM</f>
        <v>8.9345820541570017E-3</v>
      </c>
      <c r="AE201" s="305">
        <f t="shared" si="65"/>
        <v>0.7</v>
      </c>
      <c r="AF201" s="177">
        <f t="shared" si="66"/>
        <v>0.87213768646857481</v>
      </c>
      <c r="AG201" s="921">
        <f t="shared" si="74"/>
        <v>1</v>
      </c>
      <c r="AH201" s="176">
        <f t="shared" si="67"/>
        <v>7</v>
      </c>
      <c r="AI201" s="225">
        <f t="shared" si="68"/>
        <v>1.8721376864685748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49.326701614753269</v>
      </c>
      <c r="C202" s="955"/>
      <c r="D202" s="393">
        <f t="shared" si="50"/>
        <v>52.21953461983103</v>
      </c>
      <c r="E202" s="385">
        <f t="shared" si="75"/>
        <v>55.578909090292598</v>
      </c>
      <c r="F202" s="385">
        <f t="shared" si="51"/>
        <v>55.62991049725634</v>
      </c>
      <c r="G202" s="110">
        <f t="shared" si="76"/>
        <v>0.97545867403385844</v>
      </c>
      <c r="H202" s="414" t="b">
        <f>Wh_hp&gt;='2024'!Maxi_hp</f>
        <v>0</v>
      </c>
      <c r="I202" s="390">
        <f>IF(H202,Wh_hp,'2024'!Maxi_hp)</f>
        <v>56.989181729783134</v>
      </c>
      <c r="J202" s="85">
        <f>IF(H202,An,'2024'!An_max)</f>
        <v>2018</v>
      </c>
      <c r="K202" s="197">
        <f t="shared" si="52"/>
        <v>45845</v>
      </c>
      <c r="L202" s="147">
        <f>IF(t&lt;Tvie,1-EXP((T0-t)*PertePVj)+'2024'!Pspv,1-EXP((T0-t)*PertePVj)+Pspv)</f>
        <v>5.5397525583829488E-2</v>
      </c>
      <c r="M202" s="959"/>
      <c r="N202" s="959"/>
      <c r="O202" s="48">
        <f>IF(t&lt;Tnet,'2024'!Resal+('2024'!Salim-'2024'!Resal)*(1-EXP(('2024'!Tnet-t)/('2024'!Tau_j))),Resal+(Salim-Resal)*(1-EXP((Tnet-t)/(Tau_j))))*Salcycl</f>
        <v>6.0443332290023681E-2</v>
      </c>
      <c r="P202" s="169">
        <f>(INDEX(Models!$BJ202:$BT202,,T202)*(1-R202)+INDEX(Models!$BJ202:$BT202,,T202+1)*R202-ERP_i)*Q202*Ramure*Pc/MaxiM</f>
        <v>9.5006248749297329E-4</v>
      </c>
      <c r="Q202" s="305">
        <f t="shared" si="53"/>
        <v>0.7</v>
      </c>
      <c r="R202" s="177">
        <f t="shared" si="54"/>
        <v>0.35102791180963555</v>
      </c>
      <c r="S202" s="921">
        <f t="shared" si="55"/>
        <v>-2</v>
      </c>
      <c r="T202" s="176">
        <f t="shared" si="56"/>
        <v>4</v>
      </c>
      <c r="U202" s="251">
        <f t="shared" si="57"/>
        <v>-1.6489720881903644</v>
      </c>
      <c r="V202" s="383">
        <f t="shared" si="58"/>
        <v>50.566016387027759</v>
      </c>
      <c r="W202" s="402">
        <f t="shared" si="59"/>
        <v>49.326701614753269</v>
      </c>
      <c r="X202" s="157">
        <f t="shared" si="60"/>
        <v>45845</v>
      </c>
      <c r="Y202" s="385">
        <f t="shared" si="61"/>
        <v>44.732717265143371</v>
      </c>
      <c r="Z202" s="385">
        <f t="shared" si="62"/>
        <v>47.356129670093523</v>
      </c>
      <c r="AA202" s="386">
        <f t="shared" si="63"/>
        <v>55.154645783165911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0.14139363968959842</v>
      </c>
      <c r="AD202" s="231">
        <f>(INDEX(Models!$BJ202:$BT202,,AH202)*(1-AF202)+INDEX(Models!$BJ202:$BT202,,AH202+1)*AF202-ERP_i)*AE202*Ramure*Pc/MaxiM</f>
        <v>8.853308239268106E-3</v>
      </c>
      <c r="AE202" s="305">
        <f t="shared" si="65"/>
        <v>0.7</v>
      </c>
      <c r="AF202" s="177">
        <f t="shared" si="66"/>
        <v>0.87601547818361447</v>
      </c>
      <c r="AG202" s="921">
        <f t="shared" si="74"/>
        <v>1</v>
      </c>
      <c r="AH202" s="176">
        <f t="shared" si="67"/>
        <v>7</v>
      </c>
      <c r="AI202" s="225">
        <f t="shared" si="68"/>
        <v>1.8760154781836145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51.696822205622013</v>
      </c>
      <c r="C203" s="955"/>
      <c r="D203" s="393">
        <f t="shared" si="50"/>
        <v>54.729852952648983</v>
      </c>
      <c r="E203" s="385">
        <f t="shared" si="75"/>
        <v>58.257386203037022</v>
      </c>
      <c r="F203" s="385">
        <f t="shared" si="51"/>
        <v>58.312570820398371</v>
      </c>
      <c r="G203" s="110">
        <f t="shared" si="76"/>
        <v>1.0242405204973573</v>
      </c>
      <c r="H203" s="414" t="b">
        <f>Wh_hp&gt;='2024'!Maxi_hp</f>
        <v>0</v>
      </c>
      <c r="I203" s="390">
        <f>IF(H203,Wh_hp,'2024'!Maxi_hp)</f>
        <v>59.606340921073496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5.5418214802277599E-2</v>
      </c>
      <c r="M203" s="959"/>
      <c r="N203" s="959"/>
      <c r="O203" s="48">
        <f>IF(t&lt;Tnet,'2024'!Resal+('2024'!Salim-'2024'!Resal)*(1-EXP(('2024'!Tnet-t)/('2024'!Tau_j))),Resal+(Salim-Resal)*(1-EXP((Tnet-t)/(Tau_j))))*Salcycl</f>
        <v>6.0550832783571588E-2</v>
      </c>
      <c r="P203" s="169">
        <f>(INDEX(Models!$BJ203:$BT203,,T203)*(1-R203)+INDEX(Models!$BJ203:$BT203,,T203+1)*R203-ERP_i)*Q203*Ramure*Pc/MaxiM</f>
        <v>9.46358848271564E-4</v>
      </c>
      <c r="Q203" s="305">
        <f t="shared" si="53"/>
        <v>0.7</v>
      </c>
      <c r="R203" s="177">
        <f t="shared" si="54"/>
        <v>0.35482620337523785</v>
      </c>
      <c r="S203" s="921">
        <f t="shared" si="55"/>
        <v>-2</v>
      </c>
      <c r="T203" s="176">
        <f t="shared" si="56"/>
        <v>4</v>
      </c>
      <c r="U203" s="251">
        <f t="shared" si="57"/>
        <v>-1.6451737966247622</v>
      </c>
      <c r="V203" s="383">
        <f t="shared" si="58"/>
        <v>50.473322594695567</v>
      </c>
      <c r="W203" s="402">
        <f t="shared" si="59"/>
        <v>51.696822205622013</v>
      </c>
      <c r="X203" s="157">
        <f t="shared" si="60"/>
        <v>45846</v>
      </c>
      <c r="Y203" s="385">
        <f t="shared" si="61"/>
        <v>46.875960342458953</v>
      </c>
      <c r="Z203" s="385">
        <f t="shared" si="62"/>
        <v>49.626153157978536</v>
      </c>
      <c r="AA203" s="386">
        <f t="shared" si="63"/>
        <v>57.801612102288587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0.14143998146353351</v>
      </c>
      <c r="AD203" s="231">
        <f>(INDEX(Models!$BJ203:$BT203,,AH203)*(1-AF203)+INDEX(Models!$BJ203:$BT203,,AH203+1)*AF203-ERP_i)*AE203*Ramure*Pc/MaxiM</f>
        <v>8.7624111048633015E-3</v>
      </c>
      <c r="AE203" s="305">
        <f t="shared" si="65"/>
        <v>0.7</v>
      </c>
      <c r="AF203" s="177">
        <f t="shared" si="66"/>
        <v>0.87981376974921677</v>
      </c>
      <c r="AG203" s="921">
        <f t="shared" si="74"/>
        <v>1</v>
      </c>
      <c r="AH203" s="176">
        <f t="shared" si="67"/>
        <v>7</v>
      </c>
      <c r="AI203" s="225">
        <f t="shared" si="68"/>
        <v>1.8798137697492168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51.109781428383684</v>
      </c>
      <c r="C204" s="955"/>
      <c r="D204" s="393">
        <f t="shared" si="50"/>
        <v>54.109555878834918</v>
      </c>
      <c r="E204" s="385">
        <f t="shared" si="75"/>
        <v>57.603650863302612</v>
      </c>
      <c r="F204" s="385">
        <f t="shared" si="51"/>
        <v>57.657909676559228</v>
      </c>
      <c r="G204" s="110">
        <f t="shared" si="76"/>
        <v>1.0144878493958986</v>
      </c>
      <c r="H204" s="414" t="b">
        <f>Wh_hp&gt;='2024'!Maxi_hp</f>
        <v>1</v>
      </c>
      <c r="I204" s="390">
        <f>IF(H204,Wh_hp,'2024'!Maxi_hp)</f>
        <v>57.657909676559228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5.5438903567578635E-2</v>
      </c>
      <c r="M204" s="959"/>
      <c r="N204" s="959"/>
      <c r="O204" s="48">
        <f>IF(t&lt;Tnet,'2024'!Resal+('2024'!Salim-'2024'!Resal)*(1-EXP(('2024'!Tnet-t)/('2024'!Tau_j))),Resal+(Salim-Resal)*(1-EXP((Tnet-t)/(Tau_j))))*Salcycl</f>
        <v>6.0657526599475792E-2</v>
      </c>
      <c r="P204" s="169">
        <f>(INDEX(Models!$BJ204:$BT204,,T204)*(1-R204)+INDEX(Models!$BJ204:$BT204,,T204+1)*R204-ERP_i)*Q204*Ramure*Pc/MaxiM</f>
        <v>9.4104717914661408E-4</v>
      </c>
      <c r="Q204" s="305">
        <f t="shared" si="53"/>
        <v>0.7</v>
      </c>
      <c r="R204" s="177">
        <f t="shared" si="54"/>
        <v>0.35854430650068991</v>
      </c>
      <c r="S204" s="921">
        <f t="shared" si="55"/>
        <v>-2</v>
      </c>
      <c r="T204" s="176">
        <f t="shared" si="56"/>
        <v>4</v>
      </c>
      <c r="U204" s="251">
        <f t="shared" si="57"/>
        <v>-1.6414556934993101</v>
      </c>
      <c r="V204" s="383">
        <f t="shared" si="58"/>
        <v>50.37988523846613</v>
      </c>
      <c r="W204" s="402">
        <f t="shared" si="59"/>
        <v>51.109781428383684</v>
      </c>
      <c r="X204" s="157">
        <f t="shared" si="60"/>
        <v>45847</v>
      </c>
      <c r="Y204" s="385">
        <f t="shared" si="61"/>
        <v>46.350973581513486</v>
      </c>
      <c r="Z204" s="385">
        <f t="shared" si="62"/>
        <v>49.071440435753395</v>
      </c>
      <c r="AA204" s="386">
        <f t="shared" si="63"/>
        <v>57.158483557531518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0.14148456394295866</v>
      </c>
      <c r="AD204" s="231">
        <f>(INDEX(Models!$BJ204:$BT204,,AH204)*(1-AF204)+INDEX(Models!$BJ204:$BT204,,AH204+1)*AF204-ERP_i)*AE204*Ramure*Pc/MaxiM</f>
        <v>8.6618838912010821E-3</v>
      </c>
      <c r="AE204" s="305">
        <f t="shared" si="65"/>
        <v>0.7</v>
      </c>
      <c r="AF204" s="177">
        <f t="shared" si="66"/>
        <v>0.88353187287466883</v>
      </c>
      <c r="AG204" s="921">
        <f t="shared" si="74"/>
        <v>1</v>
      </c>
      <c r="AH204" s="176">
        <f t="shared" si="67"/>
        <v>7</v>
      </c>
      <c r="AI204" s="225">
        <f t="shared" si="68"/>
        <v>1.8835318728746688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50.77319414992666</v>
      </c>
      <c r="C205" s="955"/>
      <c r="D205" s="393">
        <f t="shared" si="50"/>
        <v>53.754390721060929</v>
      </c>
      <c r="E205" s="385">
        <f t="shared" si="75"/>
        <v>57.232004182945133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Wh_hp&gt;='2024'!Maxi_hp</f>
        <v>1</v>
      </c>
      <c r="I205" s="390">
        <f>IF(H205,Wh_hp,'2024'!Maxi_hp)</f>
        <v>57.285515204280557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5.5459591879742698E-2</v>
      </c>
      <c r="M205" s="959"/>
      <c r="N205" s="959"/>
      <c r="O205" s="48">
        <f>IF(t&lt;Tnet,'2024'!Resal+('2024'!Salim-'2024'!Resal)*(1-EXP(('2024'!Tnet-t)/('2024'!Tau_j))),Resal+(Salim-Resal)*(1-EXP((Tnet-t)/(Tau_j))))*Salcycl</f>
        <v>6.0763440168333523E-2</v>
      </c>
      <c r="P205" s="169">
        <f>(INDEX(Models!$BJ205:$BT205,,T205)*(1-R205)+INDEX(Models!$BJ205:$BT205,,T205+1)*R205-ERP_i)*Q205*Ramure*Pc/MaxiM</f>
        <v>9.3411085061558647E-4</v>
      </c>
      <c r="Q205" s="305">
        <f t="shared" si="53"/>
        <v>0.7</v>
      </c>
      <c r="R205" s="177">
        <f t="shared" si="54"/>
        <v>0.36218169414851875</v>
      </c>
      <c r="S205" s="921">
        <f t="shared" si="55"/>
        <v>-2</v>
      </c>
      <c r="T205" s="176">
        <f t="shared" si="56"/>
        <v>4</v>
      </c>
      <c r="U205" s="251">
        <f t="shared" si="57"/>
        <v>-1.6378183058514812</v>
      </c>
      <c r="V205" s="383">
        <f t="shared" si="58"/>
        <v>50.285289804479</v>
      </c>
      <c r="W205" s="402">
        <f t="shared" si="59"/>
        <v>50.77319414992666</v>
      </c>
      <c r="X205" s="157">
        <f t="shared" si="60"/>
        <v>45848</v>
      </c>
      <c r="Y205" s="385">
        <f t="shared" si="61"/>
        <v>46.053411487591994</v>
      </c>
      <c r="Z205" s="385">
        <f t="shared" si="62"/>
        <v>48.7574815134098</v>
      </c>
      <c r="AA205" s="386">
        <f t="shared" si="63"/>
        <v>56.795621318959718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0.14152745614681023</v>
      </c>
      <c r="AD205" s="231">
        <f>(INDEX(Models!$BJ205:$BT205,,AH205)*(1-AF205)+INDEX(Models!$BJ205:$BT205,,AH205+1)*AF205-ERP_i)*AE205*Ramure*Pc/MaxiM</f>
        <v>8.5517933036628573E-3</v>
      </c>
      <c r="AE205" s="305">
        <f t="shared" si="65"/>
        <v>0.7</v>
      </c>
      <c r="AF205" s="177">
        <f t="shared" si="66"/>
        <v>0.88716926052249767</v>
      </c>
      <c r="AG205" s="921">
        <f t="shared" si="74"/>
        <v>1</v>
      </c>
      <c r="AH205" s="176">
        <f t="shared" si="67"/>
        <v>7</v>
      </c>
      <c r="AI205" s="225">
        <f t="shared" si="68"/>
        <v>1.8871692605224977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49.563348562324315</v>
      </c>
      <c r="C206" s="955"/>
      <c r="D206" s="393">
        <f t="shared" si="50"/>
        <v>52.474657224326521</v>
      </c>
      <c r="E206" s="385">
        <f t="shared" si="75"/>
        <v>55.875735027764478</v>
      </c>
      <c r="F206" s="385">
        <f t="shared" si="51"/>
        <v>55.926575151532624</v>
      </c>
      <c r="G206" s="110">
        <f t="shared" si="76"/>
        <v>0.98751289816942989</v>
      </c>
      <c r="H206" s="414" t="b">
        <f>Wh_hp&gt;='2024'!Maxi_hp</f>
        <v>0</v>
      </c>
      <c r="I206" s="390">
        <f>IF(H206,Wh_hp,'2024'!Maxi_hp)</f>
        <v>56.244702289420005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5.5480279738779559E-2</v>
      </c>
      <c r="M206" s="959"/>
      <c r="N206" s="959"/>
      <c r="O206" s="48">
        <f>IF(t&lt;Tnet,'2024'!Resal+('2024'!Salim-'2024'!Resal)*(1-EXP(('2024'!Tnet-t)/('2024'!Tau_j))),Resal+(Salim-Resal)*(1-EXP((Tnet-t)/(Tau_j))))*Salcycl</f>
        <v>6.086860068593232E-2</v>
      </c>
      <c r="P206" s="169">
        <f>(INDEX(Models!$BJ206:$BT206,,T206)*(1-R206)+INDEX(Models!$BJ206:$BT206,,T206+1)*R206-ERP_i)*Q206*Ramure*Pc/MaxiM</f>
        <v>9.255401624516682E-4</v>
      </c>
      <c r="Q206" s="305">
        <f t="shared" si="53"/>
        <v>0.7</v>
      </c>
      <c r="R206" s="177">
        <f t="shared" si="54"/>
        <v>0.36573799520688288</v>
      </c>
      <c r="S206" s="921">
        <f t="shared" si="55"/>
        <v>-2</v>
      </c>
      <c r="T206" s="176">
        <f t="shared" si="56"/>
        <v>4</v>
      </c>
      <c r="U206" s="251">
        <f t="shared" si="57"/>
        <v>-1.6342620047931171</v>
      </c>
      <c r="V206" s="383">
        <f t="shared" si="58"/>
        <v>50.189248834650208</v>
      </c>
      <c r="W206" s="402">
        <f t="shared" si="59"/>
        <v>49.563348562324315</v>
      </c>
      <c r="X206" s="157">
        <f t="shared" si="60"/>
        <v>45849</v>
      </c>
      <c r="Y206" s="385">
        <f t="shared" si="61"/>
        <v>44.970009236565524</v>
      </c>
      <c r="Z206" s="385">
        <f t="shared" si="62"/>
        <v>47.611509079057051</v>
      </c>
      <c r="AA206" s="386">
        <f t="shared" si="63"/>
        <v>55.463390789052625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0.14156872845836502</v>
      </c>
      <c r="AD206" s="231">
        <f>(INDEX(Models!$BJ206:$BT206,,AH206)*(1-AF206)+INDEX(Models!$BJ206:$BT206,,AH206+1)*AF206-ERP_i)*AE206*Ramure*Pc/MaxiM</f>
        <v>8.4322322276369471E-3</v>
      </c>
      <c r="AE206" s="305">
        <f t="shared" si="65"/>
        <v>0.7</v>
      </c>
      <c r="AF206" s="177">
        <f t="shared" si="66"/>
        <v>0.89072556158086202</v>
      </c>
      <c r="AG206" s="921">
        <f t="shared" si="74"/>
        <v>1</v>
      </c>
      <c r="AH206" s="176">
        <f t="shared" si="67"/>
        <v>7</v>
      </c>
      <c r="AI206" s="225">
        <f t="shared" si="68"/>
        <v>1.890725561580862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49.136725137819397</v>
      </c>
      <c r="C207" s="955"/>
      <c r="D207" s="393">
        <f t="shared" ref="D207:D270" si="77">Wh/(1-Ppv)</f>
        <v>52.024113766718109</v>
      </c>
      <c r="E207" s="385">
        <f t="shared" si="75"/>
        <v>55.402151117544364</v>
      </c>
      <c r="F207" s="385">
        <f t="shared" ref="F207:F270" si="78">Wh_sa/(1-Pvg*MEDIAN((-Sdif+Wh/Env_an)/Csdif,0,1))</f>
        <v>55.451557429345861</v>
      </c>
      <c r="G207" s="110">
        <f t="shared" si="76"/>
        <v>0.98090662958812991</v>
      </c>
      <c r="H207" s="414" t="b">
        <f>Wh_hp&gt;='2024'!Maxi_hp</f>
        <v>0</v>
      </c>
      <c r="I207" s="390">
        <f>IF(H207,Wh_hp,'2024'!Maxi_hp)</f>
        <v>57.631675116560842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5.5500967144699209E-2</v>
      </c>
      <c r="M207" s="959"/>
      <c r="N207" s="959"/>
      <c r="O207" s="48">
        <f>IF(t&lt;Tnet,'2024'!Resal+('2024'!Salim-'2024'!Resal)*(1-EXP(('2024'!Tnet-t)/('2024'!Tau_j))),Resal+(Salim-Resal)*(1-EXP((Tnet-t)/(Tau_j))))*Salcycl</f>
        <v>6.0973035932471581E-2</v>
      </c>
      <c r="P207" s="169">
        <f>(INDEX(Models!$BJ207:$BT207,,T207)*(1-R207)+INDEX(Models!$BJ207:$BT207,,T207+1)*R207-ERP_i)*Q207*Ramure*Pc/MaxiM</f>
        <v>9.1593264766245779E-4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0.36921298875360131</v>
      </c>
      <c r="S207" s="92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-1.6307870112463987</v>
      </c>
      <c r="V207" s="383">
        <f t="shared" ref="V207:V270" si="85">MaxiM*(1-Ppv)*(1-Pvg)*(1-Psa)</f>
        <v>50.091921641329265</v>
      </c>
      <c r="W207" s="402">
        <f t="shared" ref="W207:W270" si="86">Wh*(A207&gt;Tmaj)</f>
        <v>49.136725137819397</v>
      </c>
      <c r="X207" s="157">
        <f t="shared" ref="X207:X270" si="87">t</f>
        <v>45850</v>
      </c>
      <c r="Y207" s="385">
        <f t="shared" ref="Y207:Y270" si="88">Wh_pvt_s*(1-Ppv)</f>
        <v>44.593984375805569</v>
      </c>
      <c r="Z207" s="385">
        <f t="shared" ref="Z207:Z270" si="89">Wh_sa_s*(1-Psa_s)</f>
        <v>47.214430957111908</v>
      </c>
      <c r="AA207" s="386">
        <f t="shared" ref="AA207:AA270" si="90">Wh_hp*(1-Pvg_s*MEDIAN((-Sdif+Wh/Env_an)/Csdif,0,1))</f>
        <v>55.003373551322639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0.14160845219690046</v>
      </c>
      <c r="AD207" s="231">
        <f>(INDEX(Models!$BJ207:$BT207,,AH207)*(1-AF207)+INDEX(Models!$BJ207:$BT207,,AH207+1)*AF207-ERP_i)*AE207*Ramure*Pc/MaxiM</f>
        <v>8.3087814303302414E-3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0.89420055512758001</v>
      </c>
      <c r="AG207" s="92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1.89420055512758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49.384891771148986</v>
      </c>
      <c r="C208" s="955"/>
      <c r="D208" s="393">
        <f t="shared" si="77"/>
        <v>52.288008492094825</v>
      </c>
      <c r="E208" s="385">
        <f t="shared" si="75"/>
        <v>55.689333322849386</v>
      </c>
      <c r="F208" s="385">
        <f t="shared" si="78"/>
        <v>55.738915540832814</v>
      </c>
      <c r="G208" s="110">
        <f t="shared" si="76"/>
        <v>0.98781073479782622</v>
      </c>
      <c r="H208" s="414" t="b">
        <f>Wh_hp&gt;='2024'!Maxi_hp</f>
        <v>1</v>
      </c>
      <c r="I208" s="390">
        <f>IF(H208,Wh_hp,'2024'!Maxi_hp)</f>
        <v>55.738915540832814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5.5521654097511641E-2</v>
      </c>
      <c r="M208" s="959"/>
      <c r="N208" s="959"/>
      <c r="O208" s="48">
        <f>IF(t&lt;Tnet,'2024'!Resal+('2024'!Salim-'2024'!Resal)*(1-EXP(('2024'!Tnet-t)/('2024'!Tau_j))),Resal+(Salim-Resal)*(1-EXP((Tnet-t)/(Tau_j))))*Salcycl</f>
        <v>6.1076774093091715E-2</v>
      </c>
      <c r="P208" s="169">
        <f>(INDEX(Models!$BJ208:$BT208,,T208)*(1-R208)+INDEX(Models!$BJ208:$BT208,,T208+1)*R208-ERP_i)*Q208*Ramure*Pc/MaxiM</f>
        <v>9.0528786186525316E-4</v>
      </c>
      <c r="Q208" s="305">
        <f t="shared" si="80"/>
        <v>0.7</v>
      </c>
      <c r="R208" s="177">
        <f t="shared" si="81"/>
        <v>0.37260659797094675</v>
      </c>
      <c r="S208" s="921">
        <f t="shared" si="82"/>
        <v>-2</v>
      </c>
      <c r="T208" s="176">
        <f t="shared" si="83"/>
        <v>4</v>
      </c>
      <c r="U208" s="251">
        <f t="shared" si="84"/>
        <v>-1.6273934020290532</v>
      </c>
      <c r="V208" s="383">
        <f t="shared" si="85"/>
        <v>49.993497570346243</v>
      </c>
      <c r="W208" s="402">
        <f t="shared" si="86"/>
        <v>49.384891771148986</v>
      </c>
      <c r="X208" s="157">
        <f t="shared" si="87"/>
        <v>45851</v>
      </c>
      <c r="Y208" s="385">
        <f t="shared" si="88"/>
        <v>44.824053415728827</v>
      </c>
      <c r="Z208" s="385">
        <f t="shared" si="89"/>
        <v>47.459058865873288</v>
      </c>
      <c r="AA208" s="386">
        <f t="shared" si="90"/>
        <v>55.290821182168891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0.14164669919609232</v>
      </c>
      <c r="AD208" s="231">
        <f>(INDEX(Models!$BJ208:$BT208,,AH208)*(1-AF208)+INDEX(Models!$BJ208:$BT208,,AH208+1)*AF208-ERP_i)*AE208*Ramure*Pc/MaxiM</f>
        <v>8.1814489219566144E-3</v>
      </c>
      <c r="AE208" s="305">
        <f t="shared" si="92"/>
        <v>0.7</v>
      </c>
      <c r="AF208" s="177">
        <f t="shared" si="93"/>
        <v>0.89759416434492545</v>
      </c>
      <c r="AG208" s="921">
        <f t="shared" ref="AG208:AG271" si="99">INDEX(Echel_vg,AH208)</f>
        <v>1</v>
      </c>
      <c r="AH208" s="176">
        <f t="shared" si="94"/>
        <v>7</v>
      </c>
      <c r="AI208" s="225">
        <f t="shared" si="95"/>
        <v>1.8975941643449254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48.616636886174483</v>
      </c>
      <c r="C209" s="955"/>
      <c r="D209" s="393">
        <f t="shared" si="77"/>
        <v>51.475718791795444</v>
      </c>
      <c r="E209" s="385">
        <f t="shared" si="75"/>
        <v>54.830223275289732</v>
      </c>
      <c r="F209" s="385">
        <f t="shared" si="78"/>
        <v>54.877468374503621</v>
      </c>
      <c r="G209" s="110">
        <f t="shared" si="76"/>
        <v>0.97436334723080653</v>
      </c>
      <c r="H209" s="414" t="b">
        <f>Wh_hp&gt;='2024'!Maxi_hp</f>
        <v>0</v>
      </c>
      <c r="I209" s="390">
        <f>IF(H209,Wh_hp,'2024'!Maxi_hp)</f>
        <v>56.367501147703905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5.5542340597226625E-2</v>
      </c>
      <c r="M209" s="959"/>
      <c r="N209" s="959"/>
      <c r="O209" s="48">
        <f>IF(t&lt;Tnet,'2024'!Resal+('2024'!Salim-'2024'!Resal)*(1-EXP(('2024'!Tnet-t)/('2024'!Tau_j))),Resal+(Salim-Resal)*(1-EXP((Tnet-t)/(Tau_j))))*Salcycl</f>
        <v>6.117984358101386E-2</v>
      </c>
      <c r="P209" s="169">
        <f>(INDEX(Models!$BJ209:$BT209,,T209)*(1-R209)+INDEX(Models!$BJ209:$BT209,,T209+1)*R209-ERP_i)*Q209*Ramure*Pc/MaxiM</f>
        <v>8.936063598467272E-4</v>
      </c>
      <c r="Q209" s="305">
        <f t="shared" si="80"/>
        <v>0.7</v>
      </c>
      <c r="R209" s="177">
        <f t="shared" si="81"/>
        <v>0.37591888376907967</v>
      </c>
      <c r="S209" s="921">
        <f t="shared" si="82"/>
        <v>-2</v>
      </c>
      <c r="T209" s="176">
        <f t="shared" si="83"/>
        <v>4</v>
      </c>
      <c r="U209" s="251">
        <f t="shared" si="84"/>
        <v>-1.6240811162309203</v>
      </c>
      <c r="V209" s="383">
        <f t="shared" si="85"/>
        <v>49.89416581048286</v>
      </c>
      <c r="W209" s="402">
        <f t="shared" si="86"/>
        <v>48.616636886174483</v>
      </c>
      <c r="X209" s="157">
        <f t="shared" si="87"/>
        <v>45852</v>
      </c>
      <c r="Y209" s="385">
        <f t="shared" si="88"/>
        <v>44.141041866666704</v>
      </c>
      <c r="Z209" s="385">
        <f t="shared" si="89"/>
        <v>46.736919783761657</v>
      </c>
      <c r="AA209" s="386">
        <f t="shared" si="90"/>
        <v>54.451850847137685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0.14168354139208417</v>
      </c>
      <c r="AD209" s="231">
        <f>(INDEX(Models!$BJ209:$BT209,,AH209)*(1-AF209)+INDEX(Models!$BJ209:$BT209,,AH209+1)*AF209-ERP_i)*AE209*Ramure*Pc/MaxiM</f>
        <v>8.0502430018095164E-3</v>
      </c>
      <c r="AE209" s="305">
        <f t="shared" si="92"/>
        <v>0.7</v>
      </c>
      <c r="AF209" s="177">
        <f t="shared" si="93"/>
        <v>0.90090645014305837</v>
      </c>
      <c r="AG209" s="921">
        <f t="shared" si="99"/>
        <v>1</v>
      </c>
      <c r="AH209" s="176">
        <f t="shared" si="94"/>
        <v>7</v>
      </c>
      <c r="AI209" s="225">
        <f t="shared" si="95"/>
        <v>1.9009064501430584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46.628813247297195</v>
      </c>
      <c r="C210" s="955"/>
      <c r="D210" s="393">
        <f t="shared" si="77"/>
        <v>49.372075175749757</v>
      </c>
      <c r="E210" s="385">
        <f t="shared" si="75"/>
        <v>52.595230438879106</v>
      </c>
      <c r="F210" s="385">
        <f t="shared" si="78"/>
        <v>52.637387460996017</v>
      </c>
      <c r="G210" s="110">
        <f t="shared" si="76"/>
        <v>0.93635723460416542</v>
      </c>
      <c r="H210" s="414" t="b">
        <f>Wh_hp&gt;='2024'!Maxi_hp</f>
        <v>0</v>
      </c>
      <c r="I210" s="390">
        <f>IF(H210,Wh_hp,'2024'!Maxi_hp)</f>
        <v>57.830639820469678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5.5563026643854263E-2</v>
      </c>
      <c r="M210" s="959"/>
      <c r="N210" s="959"/>
      <c r="O210" s="48">
        <f>IF(t&lt;Tnet,'2024'!Resal+('2024'!Salim-'2024'!Resal)*(1-EXP(('2024'!Tnet-t)/('2024'!Tau_j))),Resal+(Salim-Resal)*(1-EXP((Tnet-t)/(Tau_j))))*Salcycl</f>
        <v>6.1282272864551506E-2</v>
      </c>
      <c r="P210" s="169">
        <f>(INDEX(Models!$BJ210:$BT210,,T210)*(1-R210)+INDEX(Models!$BJ210:$BT210,,T210+1)*R210-ERP_i)*Q210*Ramure*Pc/MaxiM</f>
        <v>8.8088961992421042E-4</v>
      </c>
      <c r="Q210" s="305">
        <f t="shared" si="80"/>
        <v>0.7</v>
      </c>
      <c r="R210" s="177">
        <f t="shared" si="81"/>
        <v>0.37915003817423187</v>
      </c>
      <c r="S210" s="921">
        <f t="shared" si="82"/>
        <v>-2</v>
      </c>
      <c r="T210" s="176">
        <f t="shared" si="83"/>
        <v>4</v>
      </c>
      <c r="U210" s="251">
        <f t="shared" si="84"/>
        <v>-1.6208499618257681</v>
      </c>
      <c r="V210" s="383">
        <f t="shared" si="85"/>
        <v>49.794115409951267</v>
      </c>
      <c r="W210" s="402">
        <f t="shared" si="86"/>
        <v>46.628813247297195</v>
      </c>
      <c r="X210" s="157">
        <f t="shared" si="87"/>
        <v>45853</v>
      </c>
      <c r="Y210" s="385">
        <f t="shared" si="88"/>
        <v>42.360407467279693</v>
      </c>
      <c r="Z210" s="385">
        <f t="shared" si="89"/>
        <v>44.852550950804051</v>
      </c>
      <c r="AA210" s="386">
        <f t="shared" si="90"/>
        <v>52.258588487794597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0.14171905042403282</v>
      </c>
      <c r="AD210" s="231">
        <f>(INDEX(Models!$BJ210:$BT210,,AH210)*(1-AF210)+INDEX(Models!$BJ210:$BT210,,AH210+1)*AF210-ERP_i)*AE210*Ramure*Pc/MaxiM</f>
        <v>7.9151720585417182E-3</v>
      </c>
      <c r="AE210" s="305">
        <f t="shared" si="92"/>
        <v>0.7</v>
      </c>
      <c r="AF210" s="177">
        <f t="shared" si="93"/>
        <v>0.90413760454821079</v>
      </c>
      <c r="AG210" s="921">
        <f t="shared" si="99"/>
        <v>1</v>
      </c>
      <c r="AH210" s="176">
        <f t="shared" si="94"/>
        <v>7</v>
      </c>
      <c r="AI210" s="225">
        <f t="shared" si="95"/>
        <v>1.9041376045482108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48.394821843455574</v>
      </c>
      <c r="C211" s="955"/>
      <c r="D211" s="393">
        <f t="shared" si="77"/>
        <v>51.243103778003572</v>
      </c>
      <c r="E211" s="385">
        <f t="shared" si="75"/>
        <v>54.594326868312208</v>
      </c>
      <c r="F211" s="385">
        <f t="shared" si="78"/>
        <v>54.639938395915209</v>
      </c>
      <c r="G211" s="110">
        <f t="shared" si="76"/>
        <v>0.97383399036196161</v>
      </c>
      <c r="H211" s="414" t="b">
        <f>Wh_hp&gt;='2024'!Maxi_hp</f>
        <v>0</v>
      </c>
      <c r="I211" s="390">
        <f>IF(H211,Wh_hp,'2024'!Maxi_hp)</f>
        <v>57.203978991704709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5.5583712237404326E-2</v>
      </c>
      <c r="M211" s="959"/>
      <c r="N211" s="959"/>
      <c r="O211" s="48">
        <f>IF(t&lt;Tnet,'2024'!Resal+('2024'!Salim-'2024'!Resal)*(1-EXP(('2024'!Tnet-t)/('2024'!Tau_j))),Resal+(Salim-Resal)*(1-EXP((Tnet-t)/(Tau_j))))*Salcycl</f>
        <v>6.1384090299202256E-2</v>
      </c>
      <c r="P211" s="169">
        <f>(INDEX(Models!$BJ211:$BT211,,T211)*(1-R211)+INDEX(Models!$BJ211:$BT211,,T211+1)*R211-ERP_i)*Q211*Ramure*Pc/MaxiM</f>
        <v>8.6713997033221514E-4</v>
      </c>
      <c r="Q211" s="305">
        <f t="shared" si="80"/>
        <v>0.7</v>
      </c>
      <c r="R211" s="177">
        <f t="shared" si="81"/>
        <v>0.38230037753557333</v>
      </c>
      <c r="S211" s="921">
        <f t="shared" si="82"/>
        <v>-2</v>
      </c>
      <c r="T211" s="176">
        <f t="shared" si="83"/>
        <v>4</v>
      </c>
      <c r="U211" s="251">
        <f t="shared" si="84"/>
        <v>-1.6176996224644267</v>
      </c>
      <c r="V211" s="383">
        <f t="shared" si="85"/>
        <v>49.693535294225725</v>
      </c>
      <c r="W211" s="402">
        <f t="shared" si="86"/>
        <v>48.394821843455574</v>
      </c>
      <c r="X211" s="157">
        <f t="shared" si="87"/>
        <v>45854</v>
      </c>
      <c r="Y211" s="385">
        <f t="shared" si="88"/>
        <v>43.956437785142555</v>
      </c>
      <c r="Z211" s="385">
        <f t="shared" si="89"/>
        <v>46.543498195355333</v>
      </c>
      <c r="AA211" s="386">
        <f t="shared" si="90"/>
        <v>54.230908253079782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0.14175329724978161</v>
      </c>
      <c r="AD211" s="231">
        <f>(INDEX(Models!$BJ211:$BT211,,AH211)*(1-AF211)+INDEX(Models!$BJ211:$BT211,,AH211+1)*AF211-ERP_i)*AE211*Ramure*Pc/MaxiM</f>
        <v>7.776244396162835E-3</v>
      </c>
      <c r="AE211" s="305">
        <f t="shared" si="92"/>
        <v>0.7</v>
      </c>
      <c r="AF211" s="177">
        <f t="shared" si="93"/>
        <v>0.90728794390955225</v>
      </c>
      <c r="AG211" s="921">
        <f t="shared" si="99"/>
        <v>1</v>
      </c>
      <c r="AH211" s="176">
        <f t="shared" si="94"/>
        <v>7</v>
      </c>
      <c r="AI211" s="225">
        <f t="shared" si="95"/>
        <v>1.9072879439095523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48.367890011521709</v>
      </c>
      <c r="C212" s="955"/>
      <c r="D212" s="393">
        <f t="shared" si="77"/>
        <v>51.215708625949048</v>
      </c>
      <c r="E212" s="385">
        <f t="shared" si="75"/>
        <v>54.571025828147718</v>
      </c>
      <c r="F212" s="385">
        <f t="shared" si="78"/>
        <v>54.615935398732283</v>
      </c>
      <c r="G212" s="110">
        <f t="shared" si="76"/>
        <v>0.97527493894066541</v>
      </c>
      <c r="H212" s="414" t="b">
        <f>Wh_hp&gt;='2024'!Maxi_hp</f>
        <v>0</v>
      </c>
      <c r="I212" s="390">
        <f>IF(H212,Wh_hp,'2024'!Maxi_hp)</f>
        <v>57.205914857920881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5.5604397377886916E-2</v>
      </c>
      <c r="M212" s="959"/>
      <c r="N212" s="959"/>
      <c r="O212" s="48">
        <f>IF(t&lt;Tnet,'2024'!Resal+('2024'!Salim-'2024'!Resal)*(1-EXP(('2024'!Tnet-t)/('2024'!Tau_j))),Resal+(Salim-Resal)*(1-EXP((Tnet-t)/(Tau_j))))*Salcycl</f>
        <v>6.1485323965964345E-2</v>
      </c>
      <c r="P212" s="169">
        <f>(INDEX(Models!$BJ212:$BT212,,T212)*(1-R212)+INDEX(Models!$BJ212:$BT212,,T212+1)*R212-ERP_i)*Q212*Ramure*Pc/MaxiM</f>
        <v>8.5235017958899015E-4</v>
      </c>
      <c r="Q212" s="305">
        <f t="shared" si="80"/>
        <v>0.7</v>
      </c>
      <c r="R212" s="177">
        <f t="shared" si="81"/>
        <v>0.38537033560214962</v>
      </c>
      <c r="S212" s="921">
        <f t="shared" si="82"/>
        <v>-2</v>
      </c>
      <c r="T212" s="176">
        <f t="shared" si="83"/>
        <v>4</v>
      </c>
      <c r="U212" s="251">
        <f t="shared" si="84"/>
        <v>-1.6146296643978504</v>
      </c>
      <c r="V212" s="383">
        <f t="shared" si="85"/>
        <v>49.592614793907266</v>
      </c>
      <c r="W212" s="402">
        <f t="shared" si="86"/>
        <v>48.367890011521709</v>
      </c>
      <c r="X212" s="157">
        <f t="shared" si="87"/>
        <v>45855</v>
      </c>
      <c r="Y212" s="385">
        <f t="shared" si="88"/>
        <v>43.939883623573643</v>
      </c>
      <c r="Z212" s="385">
        <f t="shared" si="89"/>
        <v>46.526988797464341</v>
      </c>
      <c r="AA212" s="386">
        <f t="shared" si="90"/>
        <v>54.213760051378785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0.14178635177913565</v>
      </c>
      <c r="AD212" s="231">
        <f>(INDEX(Models!$BJ212:$BT212,,AH212)*(1-AF212)+INDEX(Models!$BJ212:$BT212,,AH212+1)*AF212-ERP_i)*AE212*Ramure*Pc/MaxiM</f>
        <v>7.6329883604106643E-3</v>
      </c>
      <c r="AE212" s="305">
        <f t="shared" si="92"/>
        <v>0.7</v>
      </c>
      <c r="AF212" s="177">
        <f t="shared" si="93"/>
        <v>0.91035790197612854</v>
      </c>
      <c r="AG212" s="921">
        <f t="shared" si="99"/>
        <v>1</v>
      </c>
      <c r="AH212" s="176">
        <f t="shared" si="94"/>
        <v>7</v>
      </c>
      <c r="AI212" s="225">
        <f t="shared" si="95"/>
        <v>1.9103579019761285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49.123421032546176</v>
      </c>
      <c r="C213" s="955"/>
      <c r="D213" s="393">
        <f t="shared" si="77"/>
        <v>52.016863323707511</v>
      </c>
      <c r="E213" s="385">
        <f t="shared" si="75"/>
        <v>55.430613149199417</v>
      </c>
      <c r="F213" s="385">
        <f t="shared" si="78"/>
        <v>55.476548518307396</v>
      </c>
      <c r="G213" s="110">
        <f t="shared" si="76"/>
        <v>0.99255347559961027</v>
      </c>
      <c r="H213" s="414" t="b">
        <f>Wh_hp&gt;='2024'!Maxi_hp</f>
        <v>1</v>
      </c>
      <c r="I213" s="390">
        <f>IF(H213,Wh_hp,'2024'!Maxi_hp)</f>
        <v>55.476548518307396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5.5625082065311693E-2</v>
      </c>
      <c r="M213" s="959"/>
      <c r="N213" s="959"/>
      <c r="O213" s="48">
        <f>IF(t&lt;Tnet,'2024'!Resal+('2024'!Salim-'2024'!Resal)*(1-EXP(('2024'!Tnet-t)/('2024'!Tau_j))),Resal+(Salim-Resal)*(1-EXP((Tnet-t)/(Tau_j))))*Salcycl</f>
        <v>6.1586001516947153E-2</v>
      </c>
      <c r="P213" s="169">
        <f>(INDEX(Models!$BJ213:$BT213,,T213)*(1-R213)+INDEX(Models!$BJ213:$BT213,,T213+1)*R213-ERP_i)*Q213*Ramure*Pc/MaxiM</f>
        <v>8.3690654523675115E-4</v>
      </c>
      <c r="Q213" s="305">
        <f t="shared" si="80"/>
        <v>0.7</v>
      </c>
      <c r="R213" s="177">
        <f t="shared" si="81"/>
        <v>0.38836045651843998</v>
      </c>
      <c r="S213" s="921">
        <f t="shared" si="82"/>
        <v>-2</v>
      </c>
      <c r="T213" s="176">
        <f t="shared" si="83"/>
        <v>4</v>
      </c>
      <c r="U213" s="251">
        <f t="shared" si="84"/>
        <v>-1.61163954348156</v>
      </c>
      <c r="V213" s="383">
        <f t="shared" si="85"/>
        <v>49.491523686136048</v>
      </c>
      <c r="W213" s="402">
        <f t="shared" si="86"/>
        <v>49.123421032546176</v>
      </c>
      <c r="X213" s="157">
        <f t="shared" si="87"/>
        <v>45856</v>
      </c>
      <c r="Y213" s="385">
        <f t="shared" si="88"/>
        <v>44.627617130498464</v>
      </c>
      <c r="Z213" s="385">
        <f t="shared" si="89"/>
        <v>47.25624990983173</v>
      </c>
      <c r="AA213" s="386">
        <f t="shared" si="90"/>
        <v>55.06555190779774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0.14181828252701387</v>
      </c>
      <c r="AD213" s="231">
        <f>(INDEX(Models!$BJ213:$BT213,,AH213)*(1-AF213)+INDEX(Models!$BJ213:$BT213,,AH213+1)*AF213-ERP_i)*AE213*Ramure*Pc/MaxiM</f>
        <v>7.488037215877646E-3</v>
      </c>
      <c r="AE213" s="305">
        <f t="shared" si="92"/>
        <v>0.7</v>
      </c>
      <c r="AF213" s="177">
        <f t="shared" si="93"/>
        <v>0.91334802289241912</v>
      </c>
      <c r="AG213" s="921">
        <f t="shared" si="99"/>
        <v>1</v>
      </c>
      <c r="AH213" s="176">
        <f t="shared" si="94"/>
        <v>7</v>
      </c>
      <c r="AI213" s="225">
        <f t="shared" si="95"/>
        <v>1.9133480228924191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33.554953544003617</v>
      </c>
      <c r="C214" s="955"/>
      <c r="D214" s="393">
        <f t="shared" si="77"/>
        <v>35.532168276011788</v>
      </c>
      <c r="E214" s="385">
        <f t="shared" si="75"/>
        <v>37.86810594037366</v>
      </c>
      <c r="F214" s="385">
        <f t="shared" si="78"/>
        <v>37.884959629601838</v>
      </c>
      <c r="G214" s="110">
        <f t="shared" si="76"/>
        <v>0.67912587340596509</v>
      </c>
      <c r="H214" s="414" t="b">
        <f>Wh_hp&gt;='2024'!Maxi_hp</f>
        <v>0</v>
      </c>
      <c r="I214" s="390">
        <f>IF(H214,Wh_hp,'2024'!Maxi_hp)</f>
        <v>57.76277955645417</v>
      </c>
      <c r="J214" s="85">
        <f>IF(H214,An,'2024'!An_max)</f>
        <v>2021</v>
      </c>
      <c r="K214" s="197">
        <f t="shared" si="79"/>
        <v>45857</v>
      </c>
      <c r="L214" s="147">
        <f>IF(t&lt;Tvie,1-EXP((T0-t)*PertePVj)+'2024'!Pspv,1-EXP((T0-t)*PertePVj)+Pspv)</f>
        <v>5.564576629968887E-2</v>
      </c>
      <c r="M214" s="959"/>
      <c r="N214" s="959"/>
      <c r="O214" s="48">
        <f>IF(t&lt;Tnet,'2024'!Resal+('2024'!Salim-'2024'!Resal)*(1-EXP(('2024'!Tnet-t)/('2024'!Tau_j))),Resal+(Salim-Resal)*(1-EXP((Tnet-t)/(Tau_j))))*Salcycl</f>
        <v>6.1686150029261887E-2</v>
      </c>
      <c r="P214" s="169">
        <f>(INDEX(Models!$BJ214:$BT214,,T214)*(1-R214)+INDEX(Models!$BJ214:$BT214,,T214+1)*R214-ERP_i)*Q214*Ramure*Pc/MaxiM</f>
        <v>8.2082419624881641E-4</v>
      </c>
      <c r="Q214" s="305">
        <f t="shared" si="80"/>
        <v>0.7</v>
      </c>
      <c r="R214" s="177">
        <f t="shared" si="81"/>
        <v>0.39127138778400372</v>
      </c>
      <c r="S214" s="921">
        <f t="shared" si="82"/>
        <v>-2</v>
      </c>
      <c r="T214" s="176">
        <f t="shared" si="83"/>
        <v>4</v>
      </c>
      <c r="U214" s="251">
        <f t="shared" si="84"/>
        <v>-1.6087286122159963</v>
      </c>
      <c r="V214" s="383">
        <f t="shared" si="85"/>
        <v>49.390450204555556</v>
      </c>
      <c r="W214" s="402">
        <f t="shared" si="86"/>
        <v>33.554953544003617</v>
      </c>
      <c r="X214" s="157">
        <f t="shared" si="87"/>
        <v>45857</v>
      </c>
      <c r="Y214" s="385">
        <f t="shared" si="88"/>
        <v>30.579751659967826</v>
      </c>
      <c r="Z214" s="385">
        <f t="shared" si="89"/>
        <v>32.381653587918628</v>
      </c>
      <c r="AA214" s="386">
        <f t="shared" si="90"/>
        <v>37.734220999969459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0.14184915628853628</v>
      </c>
      <c r="AD214" s="231">
        <f>(INDEX(Models!$BJ214:$BT214,,AH214)*(1-AF214)+INDEX(Models!$BJ214:$BT214,,AH214+1)*AF214-ERP_i)*AE214*Ramure*Pc/MaxiM</f>
        <v>7.3414142646451653E-3</v>
      </c>
      <c r="AE214" s="305">
        <f t="shared" si="92"/>
        <v>0.7</v>
      </c>
      <c r="AF214" s="177">
        <f t="shared" si="93"/>
        <v>0.91625895415798286</v>
      </c>
      <c r="AG214" s="921">
        <f t="shared" si="99"/>
        <v>1</v>
      </c>
      <c r="AH214" s="176">
        <f t="shared" si="94"/>
        <v>7</v>
      </c>
      <c r="AI214" s="225">
        <f t="shared" si="95"/>
        <v>1.9162589541579829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38.196891201854342</v>
      </c>
      <c r="C215" s="955"/>
      <c r="D215" s="393">
        <f t="shared" si="77"/>
        <v>40.448516528012597</v>
      </c>
      <c r="E215" s="385">
        <f t="shared" si="75"/>
        <v>43.112240626795533</v>
      </c>
      <c r="F215" s="385">
        <f t="shared" si="78"/>
        <v>43.135775189701903</v>
      </c>
      <c r="G215" s="110">
        <f t="shared" si="76"/>
        <v>0.77474811026849977</v>
      </c>
      <c r="H215" s="414" t="b">
        <f>Wh_hp&gt;='2024'!Maxi_hp</f>
        <v>0</v>
      </c>
      <c r="I215" s="390">
        <f>IF(H215,Wh_hp,'2024'!Maxi_hp)</f>
        <v>55.682250887635263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5.5666450081028107E-2</v>
      </c>
      <c r="M215" s="959"/>
      <c r="N215" s="959"/>
      <c r="O215" s="48">
        <f>IF(t&lt;Tnet,'2024'!Resal+('2024'!Salim-'2024'!Resal)*(1-EXP(('2024'!Tnet-t)/('2024'!Tau_j))),Resal+(Salim-Resal)*(1-EXP((Tnet-t)/(Tau_j))))*Salcycl</f>
        <v>6.1785795868084616E-2</v>
      </c>
      <c r="P215" s="169">
        <f>(INDEX(Models!$BJ215:$BT215,,T215)*(1-R215)+INDEX(Models!$BJ215:$BT215,,T215+1)*R215-ERP_i)*Q215*Ramure*Pc/MaxiM</f>
        <v>8.041183836372997E-4</v>
      </c>
      <c r="Q215" s="305">
        <f t="shared" si="80"/>
        <v>0.7</v>
      </c>
      <c r="R215" s="177">
        <f t="shared" si="81"/>
        <v>0.39410387321943885</v>
      </c>
      <c r="S215" s="921">
        <f t="shared" si="82"/>
        <v>-2</v>
      </c>
      <c r="T215" s="176">
        <f t="shared" si="83"/>
        <v>4</v>
      </c>
      <c r="U215" s="251">
        <f t="shared" si="84"/>
        <v>-1.6058961267805612</v>
      </c>
      <c r="V215" s="383">
        <f t="shared" si="85"/>
        <v>49.289582545212234</v>
      </c>
      <c r="W215" s="402">
        <f t="shared" si="86"/>
        <v>38.196891201854342</v>
      </c>
      <c r="X215" s="157">
        <f t="shared" si="87"/>
        <v>45858</v>
      </c>
      <c r="Y215" s="385">
        <f t="shared" si="88"/>
        <v>34.784579705877832</v>
      </c>
      <c r="Z215" s="385">
        <f t="shared" si="89"/>
        <v>36.835056542111104</v>
      </c>
      <c r="AA215" s="386">
        <f t="shared" si="90"/>
        <v>42.925249663288753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0.14187903783786734</v>
      </c>
      <c r="AD215" s="231">
        <f>(INDEX(Models!$BJ215:$BT215,,AH215)*(1-AF215)+INDEX(Models!$BJ215:$BT215,,AH215+1)*AF215-ERP_i)*AE215*Ramure*Pc/MaxiM</f>
        <v>7.193141707675493E-3</v>
      </c>
      <c r="AE215" s="305">
        <f t="shared" si="92"/>
        <v>0.7</v>
      </c>
      <c r="AF215" s="177">
        <f t="shared" si="93"/>
        <v>0.91909143959341799</v>
      </c>
      <c r="AG215" s="921">
        <f t="shared" si="99"/>
        <v>1</v>
      </c>
      <c r="AH215" s="176">
        <f t="shared" si="94"/>
        <v>7</v>
      </c>
      <c r="AI215" s="225">
        <f t="shared" si="95"/>
        <v>1.919091439593418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47.67154241864462</v>
      </c>
      <c r="C216" s="955"/>
      <c r="D216" s="393">
        <f t="shared" si="77"/>
        <v>50.482783942950569</v>
      </c>
      <c r="E216" s="385">
        <f t="shared" si="75"/>
        <v>53.812999510508696</v>
      </c>
      <c r="F216" s="385">
        <f t="shared" si="78"/>
        <v>53.853504182413779</v>
      </c>
      <c r="G216" s="110">
        <f t="shared" si="76"/>
        <v>0.96911469090530344</v>
      </c>
      <c r="H216" s="414" t="b">
        <f>Wh_hp&gt;='2024'!Maxi_hp</f>
        <v>1</v>
      </c>
      <c r="I216" s="390">
        <f>IF(H216,Wh_hp,'2024'!Maxi_hp)</f>
        <v>53.853504182413779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5.5687133409339507E-2</v>
      </c>
      <c r="M216" s="959"/>
      <c r="N216" s="959"/>
      <c r="O216" s="48">
        <f>IF(t&lt;Tnet,'2024'!Resal+('2024'!Salim-'2024'!Resal)*(1-EXP(('2024'!Tnet-t)/('2024'!Tau_j))),Resal+(Salim-Resal)*(1-EXP((Tnet-t)/(Tau_j))))*Salcycl</f>
        <v>6.1884964559684043E-2</v>
      </c>
      <c r="P216" s="169">
        <f>(INDEX(Models!$BJ216:$BT216,,T216)*(1-R216)+INDEX(Models!$BJ216:$BT216,,T216+1)*R216-ERP_i)*Q216*Ramure*Pc/MaxiM</f>
        <v>7.8680443035486784E-4</v>
      </c>
      <c r="Q216" s="305">
        <f t="shared" si="80"/>
        <v>0.7</v>
      </c>
      <c r="R216" s="177">
        <f t="shared" si="81"/>
        <v>0.39685874597749882</v>
      </c>
      <c r="S216" s="921">
        <f t="shared" si="82"/>
        <v>-2</v>
      </c>
      <c r="T216" s="176">
        <f t="shared" si="83"/>
        <v>4</v>
      </c>
      <c r="U216" s="251">
        <f t="shared" si="84"/>
        <v>-1.6031412540225012</v>
      </c>
      <c r="V216" s="383">
        <f t="shared" si="85"/>
        <v>49.189108877185731</v>
      </c>
      <c r="W216" s="402">
        <f t="shared" si="86"/>
        <v>47.67154241864462</v>
      </c>
      <c r="X216" s="157">
        <f t="shared" si="87"/>
        <v>45859</v>
      </c>
      <c r="Y216" s="385">
        <f t="shared" si="88"/>
        <v>43.344083006285622</v>
      </c>
      <c r="Z216" s="385">
        <f t="shared" si="89"/>
        <v>45.900129649588223</v>
      </c>
      <c r="AA216" s="386">
        <f t="shared" si="90"/>
        <v>53.490918335195929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0.14190798965238788</v>
      </c>
      <c r="AD216" s="231">
        <f>(INDEX(Models!$BJ216:$BT216,,AH216)*(1-AF216)+INDEX(Models!$BJ216:$BT216,,AH216+1)*AF216-ERP_i)*AE216*Ramure*Pc/MaxiM</f>
        <v>7.0432406326736271E-3</v>
      </c>
      <c r="AE216" s="305">
        <f t="shared" si="92"/>
        <v>0.7</v>
      </c>
      <c r="AF216" s="177">
        <f t="shared" si="93"/>
        <v>0.92184631235147796</v>
      </c>
      <c r="AG216" s="921">
        <f t="shared" si="99"/>
        <v>1</v>
      </c>
      <c r="AH216" s="176">
        <f t="shared" si="94"/>
        <v>7</v>
      </c>
      <c r="AI216" s="225">
        <f t="shared" si="95"/>
        <v>1.921846312351478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36.384240019655422</v>
      </c>
      <c r="C217" s="955"/>
      <c r="D217" s="393">
        <f t="shared" si="77"/>
        <v>38.530701245984822</v>
      </c>
      <c r="E217" s="385">
        <f t="shared" si="75"/>
        <v>41.076792004765657</v>
      </c>
      <c r="F217" s="385">
        <f t="shared" si="78"/>
        <v>41.096707873636937</v>
      </c>
      <c r="G217" s="110">
        <f t="shared" si="76"/>
        <v>0.74097517477254093</v>
      </c>
      <c r="H217" s="414" t="b">
        <f>Wh_hp&gt;='2024'!Maxi_hp</f>
        <v>0</v>
      </c>
      <c r="I217" s="390">
        <f>IF(H217,Wh_hp,'2024'!Maxi_hp)</f>
        <v>54.507643131176636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5.5707816284632949E-2</v>
      </c>
      <c r="M217" s="959"/>
      <c r="N217" s="959"/>
      <c r="O217" s="48">
        <f>IF(t&lt;Tnet,'2024'!Resal+('2024'!Salim-'2024'!Resal)*(1-EXP(('2024'!Tnet-t)/('2024'!Tau_j))),Resal+(Salim-Resal)*(1-EXP((Tnet-t)/(Tau_j))))*Salcycl</f>
        <v>6.1983680675098476E-2</v>
      </c>
      <c r="P217" s="169">
        <f>(INDEX(Models!$BJ217:$BT217,,T217)*(1-R217)+INDEX(Models!$BJ217:$BT217,,T217+1)*R217-ERP_i)*Q217*Ramure*Pc/MaxiM</f>
        <v>7.6889768772976956E-4</v>
      </c>
      <c r="Q217" s="305">
        <f t="shared" si="80"/>
        <v>0.7</v>
      </c>
      <c r="R217" s="177">
        <f t="shared" si="81"/>
        <v>0.39953692163477816</v>
      </c>
      <c r="S217" s="921">
        <f t="shared" si="82"/>
        <v>-2</v>
      </c>
      <c r="T217" s="176">
        <f t="shared" si="83"/>
        <v>4</v>
      </c>
      <c r="U217" s="251">
        <f t="shared" si="84"/>
        <v>-1.6004630783652218</v>
      </c>
      <c r="V217" s="383">
        <f t="shared" si="85"/>
        <v>49.089217352467081</v>
      </c>
      <c r="W217" s="402">
        <f t="shared" si="86"/>
        <v>36.384240019655422</v>
      </c>
      <c r="X217" s="157">
        <f t="shared" si="87"/>
        <v>45860</v>
      </c>
      <c r="Y217" s="385">
        <f t="shared" si="88"/>
        <v>33.154505420357204</v>
      </c>
      <c r="Z217" s="385">
        <f t="shared" si="89"/>
        <v>35.110430851930879</v>
      </c>
      <c r="AA217" s="386">
        <f t="shared" si="90"/>
        <v>40.918199323444917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0.1419360716635045</v>
      </c>
      <c r="AD217" s="231">
        <f>(INDEX(Models!$BJ217:$BT217,,AH217)*(1-AF217)+INDEX(Models!$BJ217:$BT217,,AH217+1)*AF217-ERP_i)*AE217*Ramure*Pc/MaxiM</f>
        <v>6.8917310296510116E-3</v>
      </c>
      <c r="AE217" s="305">
        <f t="shared" si="92"/>
        <v>0.7</v>
      </c>
      <c r="AF217" s="177">
        <f t="shared" si="93"/>
        <v>0.92452448800875686</v>
      </c>
      <c r="AG217" s="921">
        <f t="shared" si="99"/>
        <v>1</v>
      </c>
      <c r="AH217" s="176">
        <f t="shared" si="94"/>
        <v>7</v>
      </c>
      <c r="AI217" s="225">
        <f t="shared" si="95"/>
        <v>1.9245244880087569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40.592333056683295</v>
      </c>
      <c r="C218" s="955"/>
      <c r="D218" s="393">
        <f t="shared" si="77"/>
        <v>42.987989154704252</v>
      </c>
      <c r="E218" s="385">
        <f t="shared" si="75"/>
        <v>45.833417927187888</v>
      </c>
      <c r="F218" s="385">
        <f t="shared" si="78"/>
        <v>45.859404184326742</v>
      </c>
      <c r="G218" s="110">
        <f t="shared" si="76"/>
        <v>0.82843008443966915</v>
      </c>
      <c r="H218" s="414" t="b">
        <f>Wh_hp&gt;='2024'!Maxi_hp</f>
        <v>0</v>
      </c>
      <c r="I218" s="390">
        <f>IF(H218,Wh_hp,'2024'!Maxi_hp)</f>
        <v>56.297408043792899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5.5728498706918317E-2</v>
      </c>
      <c r="M218" s="959"/>
      <c r="N218" s="959"/>
      <c r="O218" s="48">
        <f>IF(t&lt;Tnet,'2024'!Resal+('2024'!Salim-'2024'!Resal)*(1-EXP(('2024'!Tnet-t)/('2024'!Tau_j))),Resal+(Salim-Resal)*(1-EXP((Tnet-t)/(Tau_j))))*Salcycl</f>
        <v>6.2081967725033133E-2</v>
      </c>
      <c r="P218" s="169">
        <f>(INDEX(Models!$BJ218:$BT218,,T218)*(1-R218)+INDEX(Models!$BJ218:$BT218,,T218+1)*R218-ERP_i)*Q218*Ramure*Pc/MaxiM</f>
        <v>7.5041349848595305E-4</v>
      </c>
      <c r="Q218" s="305">
        <f t="shared" si="80"/>
        <v>0.7</v>
      </c>
      <c r="R218" s="177">
        <f t="shared" si="81"/>
        <v>0.40213939139591015</v>
      </c>
      <c r="S218" s="921">
        <f t="shared" si="82"/>
        <v>-2</v>
      </c>
      <c r="T218" s="176">
        <f t="shared" si="83"/>
        <v>4</v>
      </c>
      <c r="U218" s="251">
        <f t="shared" si="84"/>
        <v>-1.5978606086040898</v>
      </c>
      <c r="V218" s="383">
        <f t="shared" si="85"/>
        <v>48.990096114808026</v>
      </c>
      <c r="W218" s="402">
        <f t="shared" si="86"/>
        <v>40.592333056683295</v>
      </c>
      <c r="X218" s="157">
        <f t="shared" si="87"/>
        <v>45861</v>
      </c>
      <c r="Y218" s="385">
        <f t="shared" si="88"/>
        <v>36.967118678737535</v>
      </c>
      <c r="Z218" s="385">
        <f t="shared" si="89"/>
        <v>39.148823858514113</v>
      </c>
      <c r="AA218" s="386">
        <f t="shared" si="90"/>
        <v>45.626050413444105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0.14196334103513417</v>
      </c>
      <c r="AD218" s="231">
        <f>(INDEX(Models!$BJ218:$BT218,,AH218)*(1-AF218)+INDEX(Models!$BJ218:$BT218,,AH218+1)*AF218-ERP_i)*AE218*Ramure*Pc/MaxiM</f>
        <v>6.7386318336364005E-3</v>
      </c>
      <c r="AE218" s="305">
        <f t="shared" si="92"/>
        <v>0.7</v>
      </c>
      <c r="AF218" s="177">
        <f t="shared" si="93"/>
        <v>0.92712695776988907</v>
      </c>
      <c r="AG218" s="921">
        <f t="shared" si="99"/>
        <v>1</v>
      </c>
      <c r="AH218" s="176">
        <f t="shared" si="94"/>
        <v>7</v>
      </c>
      <c r="AI218" s="225">
        <f t="shared" si="95"/>
        <v>1.9271269577698891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48.059260356510293</v>
      </c>
      <c r="C219" s="955"/>
      <c r="D219" s="393">
        <f t="shared" si="77"/>
        <v>50.896710252183773</v>
      </c>
      <c r="E219" s="385">
        <f t="shared" si="75"/>
        <v>54.271290873038453</v>
      </c>
      <c r="F219" s="385">
        <f t="shared" si="78"/>
        <v>54.310045521395942</v>
      </c>
      <c r="G219" s="110">
        <f t="shared" si="76"/>
        <v>0.98295704689174612</v>
      </c>
      <c r="H219" s="414" t="b">
        <f>Wh_hp&gt;='2024'!Maxi_hp</f>
        <v>1</v>
      </c>
      <c r="I219" s="390">
        <f>IF(H219,Wh_hp,'2024'!Maxi_hp)</f>
        <v>54.310045521395942</v>
      </c>
      <c r="J219" s="85">
        <f>IF(H219,An,'2024'!An_max)</f>
        <v>2025</v>
      </c>
      <c r="K219" s="197">
        <f t="shared" si="79"/>
        <v>45862</v>
      </c>
      <c r="L219" s="147">
        <f>IF(t&lt;Tvie,1-EXP((T0-t)*PertePVj)+'2024'!Pspv,1-EXP((T0-t)*PertePVj)+Pspv)</f>
        <v>5.5749180676205601E-2</v>
      </c>
      <c r="M219" s="959"/>
      <c r="N219" s="959"/>
      <c r="O219" s="48">
        <f>IF(t&lt;Tnet,'2024'!Resal+('2024'!Salim-'2024'!Resal)*(1-EXP(('2024'!Tnet-t)/('2024'!Tau_j))),Resal+(Salim-Resal)*(1-EXP((Tnet-t)/(Tau_j))))*Salcycl</f>
        <v>6.2179848066432182E-2</v>
      </c>
      <c r="P219" s="169">
        <f>(INDEX(Models!$BJ219:$BT219,,T219)*(1-R219)+INDEX(Models!$BJ219:$BT219,,T219+1)*R219-ERP_i)*Q219*Ramure*Pc/MaxiM</f>
        <v>7.3137002410118303E-4</v>
      </c>
      <c r="Q219" s="305">
        <f t="shared" si="80"/>
        <v>0.7</v>
      </c>
      <c r="R219" s="177">
        <f t="shared" si="81"/>
        <v>0.40466721543878736</v>
      </c>
      <c r="S219" s="921">
        <f t="shared" si="82"/>
        <v>-2</v>
      </c>
      <c r="T219" s="176">
        <f t="shared" si="83"/>
        <v>4</v>
      </c>
      <c r="U219" s="251">
        <f t="shared" si="84"/>
        <v>-1.5953327845612126</v>
      </c>
      <c r="V219" s="383">
        <f t="shared" si="85"/>
        <v>48.89166316958574</v>
      </c>
      <c r="W219" s="402">
        <f t="shared" si="86"/>
        <v>48.059260356510293</v>
      </c>
      <c r="X219" s="157">
        <f t="shared" si="87"/>
        <v>45862</v>
      </c>
      <c r="Y219" s="385">
        <f t="shared" si="88"/>
        <v>43.71808392573331</v>
      </c>
      <c r="Z219" s="385">
        <f t="shared" si="89"/>
        <v>46.299227949879999</v>
      </c>
      <c r="AA219" s="386">
        <f t="shared" si="90"/>
        <v>53.961165909537407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0.14198985197062231</v>
      </c>
      <c r="AD219" s="231">
        <f>(INDEX(Models!$BJ219:$BT219,,AH219)*(1-AF219)+INDEX(Models!$BJ219:$BT219,,AH219+1)*AF219-ERP_i)*AE219*Ramure*Pc/MaxiM</f>
        <v>6.5839867202426815E-3</v>
      </c>
      <c r="AE219" s="305">
        <f t="shared" si="92"/>
        <v>0.7</v>
      </c>
      <c r="AF219" s="177">
        <f t="shared" si="93"/>
        <v>0.92965478181276628</v>
      </c>
      <c r="AG219" s="921">
        <f t="shared" si="99"/>
        <v>1</v>
      </c>
      <c r="AH219" s="176">
        <f t="shared" si="94"/>
        <v>7</v>
      </c>
      <c r="AI219" s="225">
        <f t="shared" si="95"/>
        <v>1.9296547818127663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24.703076695084278</v>
      </c>
      <c r="C220" s="955"/>
      <c r="D220" s="393">
        <f t="shared" si="77"/>
        <v>26.162135379881942</v>
      </c>
      <c r="E220" s="385">
        <f t="shared" si="75"/>
        <v>27.899651543654155</v>
      </c>
      <c r="F220" s="385">
        <f t="shared" si="78"/>
        <v>27.905505002564276</v>
      </c>
      <c r="G220" s="110">
        <f t="shared" si="76"/>
        <v>0.50602228993399667</v>
      </c>
      <c r="H220" s="414" t="b">
        <f>Wh_hp&gt;='2024'!Maxi_hp</f>
        <v>0</v>
      </c>
      <c r="I220" s="390">
        <f>IF(H220,Wh_hp,'2024'!Maxi_hp)</f>
        <v>54.530894378058939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5.5769862192504571E-2</v>
      </c>
      <c r="M220" s="959"/>
      <c r="N220" s="959"/>
      <c r="O220" s="48">
        <f>IF(t&lt;Tnet,'2024'!Resal+('2024'!Salim-'2024'!Resal)*(1-EXP(('2024'!Tnet-t)/('2024'!Tau_j))),Resal+(Salim-Resal)*(1-EXP((Tnet-t)/(Tau_j))))*Salcycl</f>
        <v>6.2277342821058103E-2</v>
      </c>
      <c r="P220" s="169">
        <f>(INDEX(Models!$BJ220:$BT220,,T220)*(1-R220)+INDEX(Models!$BJ220:$BT220,,T220+1)*R220-ERP_i)*Q220*Ramure*Pc/MaxiM</f>
        <v>7.1182120452825248E-4</v>
      </c>
      <c r="Q220" s="305">
        <f t="shared" si="80"/>
        <v>0.7</v>
      </c>
      <c r="R220" s="177">
        <f t="shared" si="81"/>
        <v>0.40712151642592254</v>
      </c>
      <c r="S220" s="921">
        <f t="shared" si="82"/>
        <v>-2</v>
      </c>
      <c r="T220" s="176">
        <f t="shared" si="83"/>
        <v>4</v>
      </c>
      <c r="U220" s="251">
        <f t="shared" si="84"/>
        <v>-1.5928784835740775</v>
      </c>
      <c r="V220" s="383">
        <f t="shared" si="85"/>
        <v>48.793644327285755</v>
      </c>
      <c r="W220" s="402">
        <f t="shared" si="86"/>
        <v>24.703076695084278</v>
      </c>
      <c r="X220" s="157">
        <f t="shared" si="87"/>
        <v>45863</v>
      </c>
      <c r="Y220" s="385">
        <f t="shared" si="88"/>
        <v>22.564393630881799</v>
      </c>
      <c r="Z220" s="385">
        <f t="shared" si="89"/>
        <v>23.897133471376346</v>
      </c>
      <c r="AA220" s="386">
        <f t="shared" si="90"/>
        <v>27.852645127989497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0.14201565554857137</v>
      </c>
      <c r="AD220" s="231">
        <f>(INDEX(Models!$BJ220:$BT220,,AH220)*(1-AF220)+INDEX(Models!$BJ220:$BT220,,AH220+1)*AF220-ERP_i)*AE220*Ramure*Pc/MaxiM</f>
        <v>6.428127397627232E-3</v>
      </c>
      <c r="AE220" s="305">
        <f t="shared" si="92"/>
        <v>0.7</v>
      </c>
      <c r="AF220" s="177">
        <f t="shared" si="93"/>
        <v>0.93210908279990123</v>
      </c>
      <c r="AG220" s="921">
        <f t="shared" si="99"/>
        <v>1</v>
      </c>
      <c r="AH220" s="176">
        <f t="shared" si="94"/>
        <v>7</v>
      </c>
      <c r="AI220" s="225">
        <f t="shared" si="95"/>
        <v>1.9321090827999012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46.961557198289114</v>
      </c>
      <c r="C221" s="955"/>
      <c r="D221" s="393">
        <f t="shared" si="77"/>
        <v>49.736376672419773</v>
      </c>
      <c r="E221" s="385">
        <f t="shared" si="75"/>
        <v>53.045032560316962</v>
      </c>
      <c r="F221" s="385">
        <f t="shared" si="78"/>
        <v>53.079883698489198</v>
      </c>
      <c r="G221" s="110">
        <f t="shared" si="76"/>
        <v>0.96434940619244836</v>
      </c>
      <c r="H221" s="414" t="b">
        <f>Wh_hp&gt;='2024'!Maxi_hp</f>
        <v>0</v>
      </c>
      <c r="I221" s="390">
        <f>IF(H221,Wh_hp,'2024'!Maxi_hp)</f>
        <v>54.739727703954557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5.5790543255825331E-2</v>
      </c>
      <c r="M221" s="959"/>
      <c r="N221" s="959"/>
      <c r="O221" s="48">
        <f>IF(t&lt;Tnet,'2024'!Resal+('2024'!Salim-'2024'!Resal)*(1-EXP(('2024'!Tnet-t)/('2024'!Tau_j))),Resal+(Salim-Resal)*(1-EXP((Tnet-t)/(Tau_j))))*Salcycl</f>
        <v>6.2374471806289258E-2</v>
      </c>
      <c r="P221" s="169">
        <f>(INDEX(Models!$BJ221:$BT221,,T221)*(1-R221)+INDEX(Models!$BJ221:$BT221,,T221+1)*R221-ERP_i)*Q221*Ramure*Pc/MaxiM</f>
        <v>6.9177726988852014E-4</v>
      </c>
      <c r="Q221" s="305">
        <f t="shared" si="80"/>
        <v>0.7</v>
      </c>
      <c r="R221" s="177">
        <f t="shared" si="81"/>
        <v>0.40950347320378144</v>
      </c>
      <c r="S221" s="921">
        <f t="shared" si="82"/>
        <v>-2</v>
      </c>
      <c r="T221" s="176">
        <f t="shared" si="83"/>
        <v>4</v>
      </c>
      <c r="U221" s="251">
        <f t="shared" si="84"/>
        <v>-1.5904965267962186</v>
      </c>
      <c r="V221" s="383">
        <f t="shared" si="85"/>
        <v>48.695942410744486</v>
      </c>
      <c r="W221" s="402">
        <f t="shared" si="86"/>
        <v>46.961557198289114</v>
      </c>
      <c r="X221" s="157">
        <f t="shared" si="87"/>
        <v>45864</v>
      </c>
      <c r="Y221" s="385">
        <f t="shared" si="88"/>
        <v>42.743719166534596</v>
      </c>
      <c r="Z221" s="385">
        <f t="shared" si="89"/>
        <v>45.26931907028721</v>
      </c>
      <c r="AA221" s="386">
        <f t="shared" si="90"/>
        <v>52.76395316762904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0.14204079958777291</v>
      </c>
      <c r="AD221" s="231">
        <f>(INDEX(Models!$BJ221:$BT221,,AH221)*(1-AF221)+INDEX(Models!$BJ221:$BT221,,AH221+1)*AF221-ERP_i)*AE221*Ramure*Pc/MaxiM</f>
        <v>6.271059471078479E-3</v>
      </c>
      <c r="AE221" s="305">
        <f t="shared" si="92"/>
        <v>0.7</v>
      </c>
      <c r="AF221" s="177">
        <f t="shared" si="93"/>
        <v>0.93449103957776014</v>
      </c>
      <c r="AG221" s="921">
        <f t="shared" si="99"/>
        <v>1</v>
      </c>
      <c r="AH221" s="176">
        <f t="shared" si="94"/>
        <v>7</v>
      </c>
      <c r="AI221" s="225">
        <f t="shared" si="95"/>
        <v>1.9344910395777601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50.846390699745299</v>
      </c>
      <c r="C222" s="955"/>
      <c r="D222" s="393">
        <f t="shared" si="77"/>
        <v>53.851932987327437</v>
      </c>
      <c r="E222" s="385">
        <f t="shared" si="75"/>
        <v>57.440300563708142</v>
      </c>
      <c r="F222" s="385">
        <f t="shared" si="78"/>
        <v>57.478883622167693</v>
      </c>
      <c r="G222" s="110">
        <f t="shared" si="76"/>
        <v>1.0462551840388286</v>
      </c>
      <c r="H222" s="414" t="b">
        <f>Wh_hp&gt;='2024'!Maxi_hp</f>
        <v>1</v>
      </c>
      <c r="I222" s="390">
        <f>IF(H222,Wh_hp,'2024'!Maxi_hp)</f>
        <v>57.478883622167693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5.5811223866177762E-2</v>
      </c>
      <c r="M222" s="959"/>
      <c r="N222" s="959"/>
      <c r="O222" s="48">
        <f>IF(t&lt;Tnet,'2024'!Resal+('2024'!Salim-'2024'!Resal)*(1-EXP(('2024'!Tnet-t)/('2024'!Tau_j))),Resal+(Salim-Resal)*(1-EXP((Tnet-t)/(Tau_j))))*Salcycl</f>
        <v>6.2471253478222549E-2</v>
      </c>
      <c r="P222" s="169">
        <f>(INDEX(Models!$BJ222:$BT222,,T222)*(1-R222)+INDEX(Models!$BJ222:$BT222,,T222+1)*R222-ERP_i)*Q222*Ramure*Pc/MaxiM</f>
        <v>6.7125622538489061E-4</v>
      </c>
      <c r="Q222" s="305">
        <f t="shared" si="80"/>
        <v>0.7</v>
      </c>
      <c r="R222" s="177">
        <f t="shared" si="81"/>
        <v>0.41181431470874719</v>
      </c>
      <c r="S222" s="921">
        <f t="shared" si="82"/>
        <v>-2</v>
      </c>
      <c r="T222" s="176">
        <f t="shared" si="83"/>
        <v>4</v>
      </c>
      <c r="U222" s="251">
        <f t="shared" si="84"/>
        <v>-1.5881856852912528</v>
      </c>
      <c r="V222" s="383">
        <f t="shared" si="85"/>
        <v>48.598459988952648</v>
      </c>
      <c r="W222" s="402">
        <f t="shared" si="86"/>
        <v>50.846390699745299</v>
      </c>
      <c r="X222" s="157">
        <f t="shared" si="87"/>
        <v>45865</v>
      </c>
      <c r="Y222" s="385">
        <f t="shared" si="88"/>
        <v>46.27628247527884</v>
      </c>
      <c r="Z222" s="385">
        <f t="shared" si="89"/>
        <v>49.011684575161681</v>
      </c>
      <c r="AA222" s="386">
        <f t="shared" si="90"/>
        <v>57.127525213337549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0.1420653285411542</v>
      </c>
      <c r="AD222" s="231">
        <f>(INDEX(Models!$BJ222:$BT222,,AH222)*(1-AF222)+INDEX(Models!$BJ222:$BT222,,AH222+1)*AF222-ERP_i)*AE222*Ramure*Pc/MaxiM</f>
        <v>6.1128259055928617E-3</v>
      </c>
      <c r="AE222" s="305">
        <f t="shared" si="92"/>
        <v>0.7</v>
      </c>
      <c r="AF222" s="177">
        <f t="shared" si="93"/>
        <v>0.93680188108272611</v>
      </c>
      <c r="AG222" s="921">
        <f t="shared" si="99"/>
        <v>1</v>
      </c>
      <c r="AH222" s="176">
        <f t="shared" si="94"/>
        <v>7</v>
      </c>
      <c r="AI222" s="225">
        <f t="shared" si="95"/>
        <v>1.9368018810827261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40.395298214452914</v>
      </c>
      <c r="C223" s="955"/>
      <c r="D223" s="393">
        <f t="shared" si="77"/>
        <v>42.784011010960278</v>
      </c>
      <c r="E223" s="385">
        <f t="shared" si="75"/>
        <v>45.639574435405031</v>
      </c>
      <c r="F223" s="385">
        <f t="shared" si="78"/>
        <v>45.66217818017185</v>
      </c>
      <c r="G223" s="110">
        <f t="shared" si="76"/>
        <v>0.83274448910760257</v>
      </c>
      <c r="H223" s="414" t="b">
        <f>Wh_hp&gt;='2024'!Maxi_hp</f>
        <v>0</v>
      </c>
      <c r="I223" s="390">
        <f>IF(H223,Wh_hp,'2024'!Maxi_hp)</f>
        <v>52.534108463708804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5.5831904023571632E-2</v>
      </c>
      <c r="M223" s="959"/>
      <c r="N223" s="959"/>
      <c r="O223" s="48">
        <f>IF(t&lt;Tnet,'2024'!Resal+('2024'!Salim-'2024'!Resal)*(1-EXP(('2024'!Tnet-t)/('2024'!Tau_j))),Resal+(Salim-Resal)*(1-EXP((Tnet-t)/(Tau_j))))*Salcycl</f>
        <v>6.2567704887045272E-2</v>
      </c>
      <c r="P223" s="169">
        <f>(INDEX(Models!$BJ223:$BT223,,T223)*(1-R223)+INDEX(Models!$BJ223:$BT223,,T223+1)*R223-ERP_i)*Q223*Ramure*Pc/MaxiM</f>
        <v>6.5027550268531033E-4</v>
      </c>
      <c r="Q223" s="305">
        <f t="shared" si="80"/>
        <v>0.7</v>
      </c>
      <c r="R223" s="177">
        <f t="shared" si="81"/>
        <v>0.4140553140953287</v>
      </c>
      <c r="S223" s="921">
        <f t="shared" si="82"/>
        <v>-2</v>
      </c>
      <c r="T223" s="176">
        <f t="shared" si="83"/>
        <v>4</v>
      </c>
      <c r="U223" s="251">
        <f t="shared" si="84"/>
        <v>-1.5859446859046713</v>
      </c>
      <c r="V223" s="383">
        <f t="shared" si="85"/>
        <v>48.501099786914239</v>
      </c>
      <c r="W223" s="402">
        <f t="shared" si="86"/>
        <v>40.395298214452914</v>
      </c>
      <c r="X223" s="157">
        <f t="shared" si="87"/>
        <v>45866</v>
      </c>
      <c r="Y223" s="385">
        <f t="shared" si="88"/>
        <v>36.819281855088889</v>
      </c>
      <c r="Z223" s="385">
        <f t="shared" si="89"/>
        <v>38.996532515760947</v>
      </c>
      <c r="AA223" s="386">
        <f t="shared" si="90"/>
        <v>45.455234166026095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0.14208928341837632</v>
      </c>
      <c r="AD223" s="231">
        <f>(INDEX(Models!$BJ223:$BT223,,AH223)*(1-AF223)+INDEX(Models!$BJ223:$BT223,,AH223+1)*AF223-ERP_i)*AE223*Ramure*Pc/MaxiM</f>
        <v>5.9534658621643944E-3</v>
      </c>
      <c r="AE223" s="305">
        <f t="shared" si="92"/>
        <v>0.7</v>
      </c>
      <c r="AF223" s="177">
        <f t="shared" si="93"/>
        <v>0.93904288046930762</v>
      </c>
      <c r="AG223" s="921">
        <f t="shared" si="99"/>
        <v>1</v>
      </c>
      <c r="AH223" s="176">
        <f t="shared" si="94"/>
        <v>7</v>
      </c>
      <c r="AI223" s="225">
        <f t="shared" si="95"/>
        <v>1.9390428804693076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26.906988136779944</v>
      </c>
      <c r="C224" s="955"/>
      <c r="D224" s="393">
        <f t="shared" si="77"/>
        <v>28.498715002603767</v>
      </c>
      <c r="E224" s="385">
        <f t="shared" si="75"/>
        <v>30.403942863575928</v>
      </c>
      <c r="F224" s="385">
        <f t="shared" si="78"/>
        <v>30.410933667089232</v>
      </c>
      <c r="G224" s="110">
        <f t="shared" si="76"/>
        <v>0.55566443343191096</v>
      </c>
      <c r="H224" s="414" t="b">
        <f>Wh_hp&gt;='2024'!Maxi_hp</f>
        <v>0</v>
      </c>
      <c r="I224" s="390">
        <f>IF(H224,Wh_hp,'2024'!Maxi_hp)</f>
        <v>55.721551124095164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5.5852583728017047E-2</v>
      </c>
      <c r="M224" s="959"/>
      <c r="N224" s="959"/>
      <c r="O224" s="48">
        <f>IF(t&lt;Tnet,'2024'!Resal+('2024'!Salim-'2024'!Resal)*(1-EXP(('2024'!Tnet-t)/('2024'!Tau_j))),Resal+(Salim-Resal)*(1-EXP((Tnet-t)/(Tau_j))))*Salcycl</f>
        <v>6.2663841644520171E-2</v>
      </c>
      <c r="P224" s="169">
        <f>(INDEX(Models!$BJ224:$BT224,,T224)*(1-R224)+INDEX(Models!$BJ224:$BT224,,T224+1)*R224-ERP_i)*Q224*Ramure*Pc/MaxiM</f>
        <v>6.2885193356154744E-4</v>
      </c>
      <c r="Q224" s="305">
        <f t="shared" si="80"/>
        <v>0.7</v>
      </c>
      <c r="R224" s="177">
        <f t="shared" si="81"/>
        <v>0.41622778309936215</v>
      </c>
      <c r="S224" s="921">
        <f t="shared" si="82"/>
        <v>-2</v>
      </c>
      <c r="T224" s="176">
        <f t="shared" si="83"/>
        <v>4</v>
      </c>
      <c r="U224" s="251">
        <f t="shared" si="84"/>
        <v>-1.5837722169006379</v>
      </c>
      <c r="V224" s="383">
        <f t="shared" si="85"/>
        <v>48.403764686620029</v>
      </c>
      <c r="W224" s="402">
        <f t="shared" si="86"/>
        <v>26.906988136779944</v>
      </c>
      <c r="X224" s="157">
        <f t="shared" si="87"/>
        <v>45867</v>
      </c>
      <c r="Y224" s="385">
        <f t="shared" si="88"/>
        <v>24.579845181561776</v>
      </c>
      <c r="Z224" s="385">
        <f t="shared" si="89"/>
        <v>26.033906101884622</v>
      </c>
      <c r="AA224" s="386">
        <f t="shared" si="90"/>
        <v>30.346534043084496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0.14211270173644946</v>
      </c>
      <c r="AD224" s="231">
        <f>(INDEX(Models!$BJ224:$BT224,,AH224)*(1-AF224)+INDEX(Models!$BJ224:$BT224,,AH224+1)*AF224-ERP_i)*AE224*Ramure*Pc/MaxiM</f>
        <v>5.7930147799085578E-3</v>
      </c>
      <c r="AE224" s="305">
        <f t="shared" si="92"/>
        <v>0.7</v>
      </c>
      <c r="AF224" s="177">
        <f t="shared" si="93"/>
        <v>0.94121534947334107</v>
      </c>
      <c r="AG224" s="921">
        <f t="shared" si="99"/>
        <v>1</v>
      </c>
      <c r="AH224" s="176">
        <f t="shared" si="94"/>
        <v>7</v>
      </c>
      <c r="AI224" s="225">
        <f t="shared" si="95"/>
        <v>1.9412153494733411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40.547682198932051</v>
      </c>
      <c r="C225" s="955"/>
      <c r="D225" s="393">
        <f t="shared" si="77"/>
        <v>42.947287275111513</v>
      </c>
      <c r="E225" s="385">
        <f t="shared" si="75"/>
        <v>45.823132298698553</v>
      </c>
      <c r="F225" s="385">
        <f t="shared" si="78"/>
        <v>45.844575002164056</v>
      </c>
      <c r="G225" s="110">
        <f t="shared" si="76"/>
        <v>0.83926907676439133</v>
      </c>
      <c r="H225" s="414" t="b">
        <f>Wh_hp&gt;='2024'!Maxi_hp</f>
        <v>0</v>
      </c>
      <c r="I225" s="390">
        <f>IF(H225,Wh_hp,'2024'!Maxi_hp)</f>
        <v>53.533900381500366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5.5873262979523886E-2</v>
      </c>
      <c r="M225" s="959"/>
      <c r="N225" s="959"/>
      <c r="O225" s="48">
        <f>IF(t&lt;Tnet,'2024'!Resal+('2024'!Salim-'2024'!Resal)*(1-EXP(('2024'!Tnet-t)/('2024'!Tau_j))),Resal+(Salim-Resal)*(1-EXP((Tnet-t)/(Tau_j))))*Salcycl</f>
        <v>6.2759677903309108E-2</v>
      </c>
      <c r="P225" s="169">
        <f>(INDEX(Models!$BJ225:$BT225,,T225)*(1-R225)+INDEX(Models!$BJ225:$BT225,,T225+1)*R225-ERP_i)*Q225*Ramure*Pc/MaxiM</f>
        <v>6.0700172960015484E-4</v>
      </c>
      <c r="Q225" s="305">
        <f t="shared" si="80"/>
        <v>0.7</v>
      </c>
      <c r="R225" s="177">
        <f t="shared" si="81"/>
        <v>0.41833306664624459</v>
      </c>
      <c r="S225" s="921">
        <f t="shared" si="82"/>
        <v>-2</v>
      </c>
      <c r="T225" s="176">
        <f t="shared" si="83"/>
        <v>4</v>
      </c>
      <c r="U225" s="251">
        <f t="shared" si="84"/>
        <v>-1.5816669333537554</v>
      </c>
      <c r="V225" s="383">
        <f t="shared" si="85"/>
        <v>48.306357727279163</v>
      </c>
      <c r="W225" s="402">
        <f t="shared" si="86"/>
        <v>40.547682198932051</v>
      </c>
      <c r="X225" s="157">
        <f t="shared" si="87"/>
        <v>45868</v>
      </c>
      <c r="Y225" s="385">
        <f t="shared" si="88"/>
        <v>36.969895405930195</v>
      </c>
      <c r="Z225" s="385">
        <f t="shared" si="89"/>
        <v>39.157767655856986</v>
      </c>
      <c r="AA225" s="386">
        <f t="shared" si="90"/>
        <v>45.645638698307579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0.142135617497475</v>
      </c>
      <c r="AD225" s="231">
        <f>(INDEX(Models!$BJ225:$BT225,,AH225)*(1-AF225)+INDEX(Models!$BJ225:$BT225,,AH225+1)*AF225-ERP_i)*AE225*Ramure*Pc/MaxiM</f>
        <v>5.631504474955972E-3</v>
      </c>
      <c r="AE225" s="305">
        <f t="shared" si="92"/>
        <v>0.7</v>
      </c>
      <c r="AF225" s="177">
        <f t="shared" si="93"/>
        <v>0.94332063302022351</v>
      </c>
      <c r="AG225" s="921">
        <f t="shared" si="99"/>
        <v>1</v>
      </c>
      <c r="AH225" s="176">
        <f t="shared" si="94"/>
        <v>7</v>
      </c>
      <c r="AI225" s="225">
        <f t="shared" si="95"/>
        <v>1.9433206330202235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48.741088007670932</v>
      </c>
      <c r="C226" s="955"/>
      <c r="D226" s="393">
        <f t="shared" si="77"/>
        <v>51.626708231772696</v>
      </c>
      <c r="E226" s="385">
        <f t="shared" si="75"/>
        <v>55.089362586500371</v>
      </c>
      <c r="F226" s="385">
        <f t="shared" si="78"/>
        <v>55.121608463369597</v>
      </c>
      <c r="G226" s="110">
        <f t="shared" si="76"/>
        <v>1.0110419368193317</v>
      </c>
      <c r="H226" s="414" t="b">
        <f>Wh_hp&gt;='2024'!Maxi_hp</f>
        <v>1</v>
      </c>
      <c r="I226" s="390">
        <f>IF(H226,Wh_hp,'2024'!Maxi_hp)</f>
        <v>55.121608463369597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5.589394177810203E-2</v>
      </c>
      <c r="M226" s="959"/>
      <c r="N226" s="959"/>
      <c r="O226" s="48">
        <f>IF(t&lt;Tnet,'2024'!Resal+('2024'!Salim-'2024'!Resal)*(1-EXP(('2024'!Tnet-t)/('2024'!Tau_j))),Resal+(Salim-Resal)*(1-EXP((Tnet-t)/(Tau_j))))*Salcycl</f>
        <v>6.2855226347748594E-2</v>
      </c>
      <c r="P226" s="169">
        <f>(INDEX(Models!$BJ226:$BT226,,T226)*(1-R226)+INDEX(Models!$BJ226:$BT226,,T226+1)*R226-ERP_i)*Q226*Ramure*Pc/MaxiM</f>
        <v>5.8499520910483571E-4</v>
      </c>
      <c r="Q226" s="305">
        <f t="shared" si="80"/>
        <v>0.7</v>
      </c>
      <c r="R226" s="177">
        <f t="shared" si="81"/>
        <v>0.42037253771171756</v>
      </c>
      <c r="S226" s="921">
        <f t="shared" si="82"/>
        <v>-2</v>
      </c>
      <c r="T226" s="176">
        <f t="shared" si="83"/>
        <v>4</v>
      </c>
      <c r="U226" s="251">
        <f t="shared" si="84"/>
        <v>-1.5796274622882824</v>
      </c>
      <c r="V226" s="383">
        <f t="shared" si="85"/>
        <v>48.208769817211575</v>
      </c>
      <c r="W226" s="402">
        <f t="shared" si="86"/>
        <v>48.741088007670932</v>
      </c>
      <c r="X226" s="157">
        <f t="shared" si="87"/>
        <v>45869</v>
      </c>
      <c r="Y226" s="385">
        <f t="shared" si="88"/>
        <v>44.398403215145812</v>
      </c>
      <c r="Z226" s="385">
        <f t="shared" si="89"/>
        <v>47.026923329741663</v>
      </c>
      <c r="AA226" s="386">
        <f t="shared" si="90"/>
        <v>54.820032924839133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0.1421580611923782</v>
      </c>
      <c r="AD226" s="231">
        <f>(INDEX(Models!$BJ226:$BT226,,AH226)*(1-AF226)+INDEX(Models!$BJ226:$BT226,,AH226+1)*AF226-ERP_i)*AE226*Ramure*Pc/MaxiM</f>
        <v>5.4710946748020468E-3</v>
      </c>
      <c r="AE226" s="305">
        <f t="shared" si="92"/>
        <v>0.7</v>
      </c>
      <c r="AF226" s="177">
        <f t="shared" si="93"/>
        <v>0.94536010408569648</v>
      </c>
      <c r="AG226" s="921">
        <f t="shared" si="99"/>
        <v>1</v>
      </c>
      <c r="AH226" s="176">
        <f t="shared" si="94"/>
        <v>7</v>
      </c>
      <c r="AI226" s="225">
        <f t="shared" si="95"/>
        <v>1.9453601040856965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48.66906522471286</v>
      </c>
      <c r="C227" s="955"/>
      <c r="D227" s="393">
        <f t="shared" si="77"/>
        <v>51.551550592906075</v>
      </c>
      <c r="E227" s="385">
        <f t="shared" si="75"/>
        <v>55.014756951085786</v>
      </c>
      <c r="F227" s="385">
        <f t="shared" si="78"/>
        <v>55.045740208106054</v>
      </c>
      <c r="G227" s="110">
        <f t="shared" si="76"/>
        <v>1.0116015621368712</v>
      </c>
      <c r="H227" s="414" t="b">
        <f>Wh_hp&gt;='2024'!Maxi_hp</f>
        <v>1</v>
      </c>
      <c r="I227" s="390">
        <f>IF(H227,Wh_hp,'2024'!Maxi_hp)</f>
        <v>55.045740208106054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5.5914620123761472E-2</v>
      </c>
      <c r="M227" s="959"/>
      <c r="N227" s="959"/>
      <c r="O227" s="48">
        <f>IF(t&lt;Tnet,'2024'!Resal+('2024'!Salim-'2024'!Resal)*(1-EXP(('2024'!Tnet-t)/('2024'!Tau_j))),Resal+(Salim-Resal)*(1-EXP((Tnet-t)/(Tau_j))))*Salcycl</f>
        <v>6.2950498195582044E-2</v>
      </c>
      <c r="P227" s="169">
        <f>(INDEX(Models!$BJ227:$BT227,,T227)*(1-R227)+INDEX(Models!$BJ227:$BT227,,T227+1)*R227-ERP_i)*Q227*Ramure*Pc/MaxiM</f>
        <v>5.6286384565149342E-4</v>
      </c>
      <c r="Q227" s="305">
        <f t="shared" si="80"/>
        <v>0.7</v>
      </c>
      <c r="R227" s="177">
        <f t="shared" si="81"/>
        <v>0.42234759244038678</v>
      </c>
      <c r="S227" s="921">
        <f t="shared" si="82"/>
        <v>-2</v>
      </c>
      <c r="T227" s="176">
        <f t="shared" si="83"/>
        <v>4</v>
      </c>
      <c r="U227" s="251">
        <f t="shared" si="84"/>
        <v>-1.5776524075596132</v>
      </c>
      <c r="V227" s="383">
        <f t="shared" si="85"/>
        <v>48.110903587283964</v>
      </c>
      <c r="W227" s="402">
        <f t="shared" si="86"/>
        <v>48.66906522471286</v>
      </c>
      <c r="X227" s="157">
        <f t="shared" si="87"/>
        <v>45870</v>
      </c>
      <c r="Y227" s="385">
        <f t="shared" si="88"/>
        <v>44.342264163570405</v>
      </c>
      <c r="Z227" s="385">
        <f t="shared" si="89"/>
        <v>46.968489406523055</v>
      </c>
      <c r="AA227" s="386">
        <f t="shared" si="90"/>
        <v>54.75331967356091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0.1421800598292666</v>
      </c>
      <c r="AD227" s="231">
        <f>(INDEX(Models!$BJ227:$BT227,,AH227)*(1-AF227)+INDEX(Models!$BJ227:$BT227,,AH227+1)*AF227-ERP_i)*AE227*Ramure*Pc/MaxiM</f>
        <v>5.31231905392897E-3</v>
      </c>
      <c r="AE227" s="305">
        <f t="shared" si="92"/>
        <v>0.7</v>
      </c>
      <c r="AF227" s="177">
        <f t="shared" si="93"/>
        <v>0.9473351588143657</v>
      </c>
      <c r="AG227" s="921">
        <f t="shared" si="99"/>
        <v>1</v>
      </c>
      <c r="AH227" s="176">
        <f t="shared" si="94"/>
        <v>7</v>
      </c>
      <c r="AI227" s="225">
        <f t="shared" si="95"/>
        <v>1.9473351588143657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48.71358419989734</v>
      </c>
      <c r="C228" s="955"/>
      <c r="D228" s="393">
        <f t="shared" si="77"/>
        <v>51.599836428106762</v>
      </c>
      <c r="E228" s="385">
        <f t="shared" si="75"/>
        <v>55.071870197421987</v>
      </c>
      <c r="F228" s="385">
        <f t="shared" si="78"/>
        <v>55.101659633239549</v>
      </c>
      <c r="G228" s="110">
        <f t="shared" si="76"/>
        <v>1.0145986866280077</v>
      </c>
      <c r="H228" s="414" t="b">
        <f>Wh_hp&gt;='2024'!Maxi_hp</f>
        <v>0</v>
      </c>
      <c r="I228" s="390">
        <f>IF(H228,Wh_hp,'2024'!Maxi_hp)</f>
        <v>55.101659633239557</v>
      </c>
      <c r="J228" s="85">
        <f>IF(H228,An,'2024'!An_max)</f>
        <v>2022</v>
      </c>
      <c r="K228" s="197">
        <f t="shared" si="79"/>
        <v>45871</v>
      </c>
      <c r="L228" s="147">
        <f>IF(t&lt;Tvie,1-EXP((T0-t)*PertePVj)+'2024'!Pspv,1-EXP((T0-t)*PertePVj)+Pspv)</f>
        <v>5.5935298016511981E-2</v>
      </c>
      <c r="M228" s="959"/>
      <c r="N228" s="959"/>
      <c r="O228" s="48">
        <f>IF(t&lt;Tnet,'2024'!Resal+('2024'!Salim-'2024'!Resal)*(1-EXP(('2024'!Tnet-t)/('2024'!Tau_j))),Resal+(Salim-Resal)*(1-EXP((Tnet-t)/(Tau_j))))*Salcycl</f>
        <v>6.3045503210053644E-2</v>
      </c>
      <c r="P228" s="169">
        <f>(INDEX(Models!$BJ228:$BT228,,T228)*(1-R228)+INDEX(Models!$BJ228:$BT228,,T228+1)*R228-ERP_i)*Q228*Ramure*Pc/MaxiM</f>
        <v>5.406268343973405E-4</v>
      </c>
      <c r="Q228" s="305">
        <f t="shared" si="80"/>
        <v>0.7</v>
      </c>
      <c r="R228" s="177">
        <f t="shared" si="81"/>
        <v>0.4242596455250236</v>
      </c>
      <c r="S228" s="921">
        <f t="shared" si="82"/>
        <v>-2</v>
      </c>
      <c r="T228" s="176">
        <f t="shared" si="83"/>
        <v>4</v>
      </c>
      <c r="U228" s="251">
        <f t="shared" si="84"/>
        <v>-1.5757403544749764</v>
      </c>
      <c r="V228" s="383">
        <f t="shared" si="85"/>
        <v>48.012662387525523</v>
      </c>
      <c r="W228" s="402">
        <f t="shared" si="86"/>
        <v>48.71358419989734</v>
      </c>
      <c r="X228" s="157">
        <f t="shared" si="87"/>
        <v>45871</v>
      </c>
      <c r="Y228" s="385">
        <f t="shared" si="88"/>
        <v>44.39223185807738</v>
      </c>
      <c r="Z228" s="385">
        <f t="shared" si="89"/>
        <v>47.022446411574251</v>
      </c>
      <c r="AA228" s="386">
        <f t="shared" si="90"/>
        <v>54.817598679356642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0.14220163698483765</v>
      </c>
      <c r="AD228" s="231">
        <f>(INDEX(Models!$BJ228:$BT228,,AH228)*(1-AF228)+INDEX(Models!$BJ228:$BT228,,AH228+1)*AF228-ERP_i)*AE228*Ramure*Pc/MaxiM</f>
        <v>5.1552159367546074E-3</v>
      </c>
      <c r="AE228" s="305">
        <f t="shared" si="92"/>
        <v>0.7</v>
      </c>
      <c r="AF228" s="177">
        <f t="shared" si="93"/>
        <v>0.94924721189900252</v>
      </c>
      <c r="AG228" s="921">
        <f t="shared" si="99"/>
        <v>1</v>
      </c>
      <c r="AH228" s="176">
        <f t="shared" si="94"/>
        <v>7</v>
      </c>
      <c r="AI228" s="225">
        <f t="shared" si="95"/>
        <v>1.9492472118990025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47.170878728243856</v>
      </c>
      <c r="C229" s="955"/>
      <c r="D229" s="393">
        <f t="shared" si="77"/>
        <v>49.966820934062795</v>
      </c>
      <c r="E229" s="385">
        <f t="shared" si="75"/>
        <v>53.334366130275654</v>
      </c>
      <c r="F229" s="385">
        <f t="shared" si="78"/>
        <v>53.361410737597772</v>
      </c>
      <c r="G229" s="110">
        <f t="shared" si="76"/>
        <v>0.98448024129557676</v>
      </c>
      <c r="H229" s="414" t="b">
        <f>Wh_hp&gt;='2024'!Maxi_hp</f>
        <v>0</v>
      </c>
      <c r="I229" s="390">
        <f>IF(H229,Wh_hp,'2024'!Maxi_hp)</f>
        <v>53.74274506897126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5.595597545636366E-2</v>
      </c>
      <c r="M229" s="959"/>
      <c r="N229" s="959"/>
      <c r="O229" s="48">
        <f>IF(t&lt;Tnet,'2024'!Resal+('2024'!Salim-'2024'!Resal)*(1-EXP(('2024'!Tnet-t)/('2024'!Tau_j))),Resal+(Salim-Resal)*(1-EXP((Tnet-t)/(Tau_j))))*Salcycl</f>
        <v>6.3140249721675215E-2</v>
      </c>
      <c r="P229" s="169">
        <f>(INDEX(Models!$BJ229:$BT229,,T229)*(1-R229)+INDEX(Models!$BJ229:$BT229,,T229+1)*R229-ERP_i)*Q229*Ramure*Pc/MaxiM</f>
        <v>5.1830252547635741E-4</v>
      </c>
      <c r="Q229" s="305">
        <f t="shared" si="80"/>
        <v>0.7</v>
      </c>
      <c r="R229" s="177">
        <f t="shared" si="81"/>
        <v>0.42611012584774666</v>
      </c>
      <c r="S229" s="921">
        <f t="shared" si="82"/>
        <v>-2</v>
      </c>
      <c r="T229" s="176">
        <f t="shared" si="83"/>
        <v>4</v>
      </c>
      <c r="U229" s="251">
        <f t="shared" si="84"/>
        <v>-1.5738898741522533</v>
      </c>
      <c r="V229" s="383">
        <f t="shared" si="85"/>
        <v>47.913949730948723</v>
      </c>
      <c r="W229" s="402">
        <f t="shared" si="86"/>
        <v>47.170878728243856</v>
      </c>
      <c r="X229" s="157">
        <f t="shared" si="87"/>
        <v>45872</v>
      </c>
      <c r="Y229" s="385">
        <f t="shared" si="88"/>
        <v>42.999712060443613</v>
      </c>
      <c r="Z229" s="385">
        <f t="shared" si="89"/>
        <v>45.548418233175362</v>
      </c>
      <c r="AA229" s="386">
        <f t="shared" si="90"/>
        <v>53.100524141880257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0.14222281287706848</v>
      </c>
      <c r="AD229" s="231">
        <f>(INDEX(Models!$BJ229:$BT229,,AH229)*(1-AF229)+INDEX(Models!$BJ229:$BT229,,AH229+1)*AF229-ERP_i)*AE229*Ramure*Pc/MaxiM</f>
        <v>4.9998204748466311E-3</v>
      </c>
      <c r="AE229" s="305">
        <f t="shared" si="92"/>
        <v>0.7</v>
      </c>
      <c r="AF229" s="177">
        <f t="shared" si="93"/>
        <v>0.95109769222172558</v>
      </c>
      <c r="AG229" s="921">
        <f t="shared" si="99"/>
        <v>1</v>
      </c>
      <c r="AH229" s="176">
        <f t="shared" si="94"/>
        <v>7</v>
      </c>
      <c r="AI229" s="225">
        <f t="shared" si="95"/>
        <v>1.9510976922217256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46.659804048977946</v>
      </c>
      <c r="C230" s="955"/>
      <c r="D230" s="393">
        <f t="shared" si="77"/>
        <v>49.426536080641547</v>
      </c>
      <c r="E230" s="385">
        <f t="shared" si="75"/>
        <v>52.762990299681611</v>
      </c>
      <c r="F230" s="385">
        <f t="shared" si="78"/>
        <v>52.788265189687309</v>
      </c>
      <c r="G230" s="110">
        <f t="shared" si="76"/>
        <v>0.975830345931051</v>
      </c>
      <c r="H230" s="414" t="b">
        <f>Wh_hp&gt;='2024'!Maxi_hp</f>
        <v>1</v>
      </c>
      <c r="I230" s="390">
        <f>IF(H230,Wh_hp,'2024'!Maxi_hp)</f>
        <v>52.788265189687309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5.597665244332628E-2</v>
      </c>
      <c r="M230" s="959"/>
      <c r="N230" s="959"/>
      <c r="O230" s="48">
        <f>IF(t&lt;Tnet,'2024'!Resal+('2024'!Salim-'2024'!Resal)*(1-EXP(('2024'!Tnet-t)/('2024'!Tau_j))),Resal+(Salim-Resal)*(1-EXP((Tnet-t)/(Tau_j))))*Salcycl</f>
        <v>6.3234744658893907E-2</v>
      </c>
      <c r="P230" s="169">
        <f>(INDEX(Models!$BJ230:$BT230,,T230)*(1-R230)+INDEX(Models!$BJ230:$BT230,,T230+1)*R230-ERP_i)*Q230*Ramure*Pc/MaxiM</f>
        <v>4.9590844144337847E-4</v>
      </c>
      <c r="Q230" s="305">
        <f t="shared" si="80"/>
        <v>0.7</v>
      </c>
      <c r="R230" s="177">
        <f t="shared" si="81"/>
        <v>0.42790047238242335</v>
      </c>
      <c r="S230" s="921">
        <f t="shared" si="82"/>
        <v>-2</v>
      </c>
      <c r="T230" s="176">
        <f t="shared" si="83"/>
        <v>4</v>
      </c>
      <c r="U230" s="251">
        <f t="shared" si="84"/>
        <v>-1.5720995276175767</v>
      </c>
      <c r="V230" s="383">
        <f t="shared" si="85"/>
        <v>47.81466929004668</v>
      </c>
      <c r="W230" s="402">
        <f t="shared" si="86"/>
        <v>46.659804048977946</v>
      </c>
      <c r="X230" s="157">
        <f t="shared" si="87"/>
        <v>45873</v>
      </c>
      <c r="Y230" s="385">
        <f t="shared" si="88"/>
        <v>42.544877578432001</v>
      </c>
      <c r="Z230" s="385">
        <f t="shared" si="89"/>
        <v>45.06761160997435</v>
      </c>
      <c r="AA230" s="386">
        <f t="shared" si="90"/>
        <v>52.541271442759296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0.1422436044572517</v>
      </c>
      <c r="AD230" s="231">
        <f>(INDEX(Models!$BJ230:$BT230,,AH230)*(1-AF230)+INDEX(Models!$BJ230:$BT230,,AH230+1)*AF230-ERP_i)*AE230*Ramure*Pc/MaxiM</f>
        <v>4.8461648718433224E-3</v>
      </c>
      <c r="AE230" s="305">
        <f t="shared" si="92"/>
        <v>0.7</v>
      </c>
      <c r="AF230" s="177">
        <f t="shared" si="93"/>
        <v>0.95288803875640227</v>
      </c>
      <c r="AG230" s="921">
        <f t="shared" si="99"/>
        <v>1</v>
      </c>
      <c r="AH230" s="176">
        <f t="shared" si="94"/>
        <v>7</v>
      </c>
      <c r="AI230" s="225">
        <f t="shared" si="95"/>
        <v>1.9528880387564023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42.068924292986537</v>
      </c>
      <c r="C231" s="955"/>
      <c r="D231" s="393">
        <f t="shared" si="77"/>
        <v>44.564412352155117</v>
      </c>
      <c r="E231" s="385">
        <f t="shared" si="75"/>
        <v>47.577443997980204</v>
      </c>
      <c r="F231" s="385">
        <f t="shared" si="78"/>
        <v>47.596169761702022</v>
      </c>
      <c r="G231" s="110">
        <f t="shared" si="76"/>
        <v>0.88160533745556569</v>
      </c>
      <c r="H231" s="414" t="b">
        <f>Wh_hp&gt;='2024'!Maxi_hp</f>
        <v>0</v>
      </c>
      <c r="I231" s="390">
        <f>IF(H231,Wh_hp,'2024'!Maxi_hp)</f>
        <v>53.36011340472448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5.5997328977409833E-2</v>
      </c>
      <c r="M231" s="959"/>
      <c r="N231" s="959"/>
      <c r="O231" s="48">
        <f>IF(t&lt;Tnet,'2024'!Resal+('2024'!Salim-'2024'!Resal)*(1-EXP(('2024'!Tnet-t)/('2024'!Tau_j))),Resal+(Salim-Resal)*(1-EXP((Tnet-t)/(Tau_j))))*Salcycl</f>
        <v>6.3328993586813931E-2</v>
      </c>
      <c r="P231" s="169">
        <f>(INDEX(Models!$BJ231:$BT231,,T231)*(1-R231)+INDEX(Models!$BJ231:$BT231,,T231+1)*R231-ERP_i)*Q231*Ramure*Pc/MaxiM</f>
        <v>4.7346129743241951E-4</v>
      </c>
      <c r="Q231" s="305">
        <f t="shared" si="80"/>
        <v>0.7</v>
      </c>
      <c r="R231" s="177">
        <f t="shared" si="81"/>
        <v>0.42963213035606573</v>
      </c>
      <c r="S231" s="921">
        <f t="shared" si="82"/>
        <v>-2</v>
      </c>
      <c r="T231" s="176">
        <f t="shared" si="83"/>
        <v>4</v>
      </c>
      <c r="U231" s="251">
        <f t="shared" si="84"/>
        <v>-1.5703678696439343</v>
      </c>
      <c r="V231" s="383">
        <f t="shared" si="85"/>
        <v>47.714724891539831</v>
      </c>
      <c r="W231" s="402">
        <f t="shared" si="86"/>
        <v>42.068924292986537</v>
      </c>
      <c r="X231" s="157">
        <f t="shared" si="87"/>
        <v>45874</v>
      </c>
      <c r="Y231" s="385">
        <f t="shared" si="88"/>
        <v>38.388527293506776</v>
      </c>
      <c r="Z231" s="385">
        <f t="shared" si="89"/>
        <v>40.665697748421024</v>
      </c>
      <c r="AA231" s="386">
        <f t="shared" si="90"/>
        <v>47.410507380247267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0.14226402551929546</v>
      </c>
      <c r="AD231" s="231">
        <f>(INDEX(Models!$BJ231:$BT231,,AH231)*(1-AF231)+INDEX(Models!$BJ231:$BT231,,AH231+1)*AF231-ERP_i)*AE231*Ramure*Pc/MaxiM</f>
        <v>4.694278605338869E-3</v>
      </c>
      <c r="AE231" s="305">
        <f t="shared" si="92"/>
        <v>0.7</v>
      </c>
      <c r="AF231" s="177">
        <f t="shared" si="93"/>
        <v>0.95461969673004465</v>
      </c>
      <c r="AG231" s="921">
        <f t="shared" si="99"/>
        <v>1</v>
      </c>
      <c r="AH231" s="176">
        <f t="shared" si="94"/>
        <v>7</v>
      </c>
      <c r="AI231" s="225">
        <f t="shared" si="95"/>
        <v>1.9546196967300447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44.472603462789642</v>
      </c>
      <c r="C232" s="955"/>
      <c r="D232" s="393">
        <f t="shared" si="77"/>
        <v>47.111707321866376</v>
      </c>
      <c r="E232" s="385">
        <f t="shared" si="75"/>
        <v>50.302011857804423</v>
      </c>
      <c r="F232" s="385">
        <f t="shared" si="78"/>
        <v>50.322567183693295</v>
      </c>
      <c r="G232" s="110">
        <f t="shared" si="76"/>
        <v>0.93398355930896237</v>
      </c>
      <c r="H232" s="414" t="b">
        <f>Wh_hp&gt;='2024'!Maxi_hp</f>
        <v>0</v>
      </c>
      <c r="I232" s="390">
        <f>IF(H232,Wh_hp,'2024'!Maxi_hp)</f>
        <v>54.203152791652954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5.6018005058624198E-2</v>
      </c>
      <c r="M232" s="959"/>
      <c r="N232" s="959"/>
      <c r="O232" s="48">
        <f>IF(t&lt;Tnet,'2024'!Resal+('2024'!Salim-'2024'!Resal)*(1-EXP(('2024'!Tnet-t)/('2024'!Tau_j))),Resal+(Salim-Resal)*(1-EXP((Tnet-t)/(Tau_j))))*Salcycl</f>
        <v>6.3423000753061773E-2</v>
      </c>
      <c r="P232" s="169">
        <f>(INDEX(Models!$BJ232:$BT232,,T232)*(1-R232)+INDEX(Models!$BJ232:$BT232,,T232+1)*R232-ERP_i)*Q232*Ramure*Pc/MaxiM</f>
        <v>4.5097702346624298E-4</v>
      </c>
      <c r="Q232" s="305">
        <f t="shared" si="80"/>
        <v>0.7</v>
      </c>
      <c r="R232" s="177">
        <f t="shared" si="81"/>
        <v>0.43130654766559728</v>
      </c>
      <c r="S232" s="921">
        <f t="shared" si="82"/>
        <v>-2</v>
      </c>
      <c r="T232" s="176">
        <f t="shared" si="83"/>
        <v>4</v>
      </c>
      <c r="U232" s="251">
        <f t="shared" si="84"/>
        <v>-1.5686934523344027</v>
      </c>
      <c r="V232" s="383">
        <f t="shared" si="85"/>
        <v>47.614020512659295</v>
      </c>
      <c r="W232" s="402">
        <f t="shared" si="86"/>
        <v>44.472603462789642</v>
      </c>
      <c r="X232" s="157">
        <f t="shared" si="87"/>
        <v>45875</v>
      </c>
      <c r="Y232" s="385">
        <f t="shared" si="88"/>
        <v>40.576891227681443</v>
      </c>
      <c r="Z232" s="385">
        <f t="shared" si="89"/>
        <v>42.984814800626992</v>
      </c>
      <c r="AA232" s="386">
        <f t="shared" si="90"/>
        <v>50.115445149507273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0.1422840868240873</v>
      </c>
      <c r="AD232" s="231">
        <f>(INDEX(Models!$BJ232:$BT232,,AH232)*(1-AF232)+INDEX(Models!$BJ232:$BT232,,AH232+1)*AF232-ERP_i)*AE232*Ramure*Pc/MaxiM</f>
        <v>4.5441886436858045E-3</v>
      </c>
      <c r="AE232" s="305">
        <f t="shared" si="92"/>
        <v>0.7</v>
      </c>
      <c r="AF232" s="177">
        <f t="shared" si="93"/>
        <v>0.9562941140395762</v>
      </c>
      <c r="AG232" s="921">
        <f t="shared" si="99"/>
        <v>1</v>
      </c>
      <c r="AH232" s="176">
        <f t="shared" si="94"/>
        <v>7</v>
      </c>
      <c r="AI232" s="225">
        <f t="shared" si="95"/>
        <v>1.9562941140395762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47.441051871720553</v>
      </c>
      <c r="C233" s="955"/>
      <c r="D233" s="393">
        <f t="shared" si="77"/>
        <v>50.25741087171491</v>
      </c>
      <c r="E233" s="385">
        <f t="shared" ref="E233:E296" si="100">Wh_pvt/(1-Psa)</f>
        <v>53.666108709232326</v>
      </c>
      <c r="F233" s="385">
        <f t="shared" si="78"/>
        <v>53.689063433839777</v>
      </c>
      <c r="G233" s="110">
        <f t="shared" ref="G233:G296" si="101">+Wh_hp/MaxiM</f>
        <v>0.99849471787984034</v>
      </c>
      <c r="H233" s="414" t="b">
        <f>Wh_hp&gt;='2024'!Maxi_hp</f>
        <v>1</v>
      </c>
      <c r="I233" s="390">
        <f>IF(H233,Wh_hp,'2024'!Maxi_hp)</f>
        <v>53.689063433839777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5.603868068697937E-2</v>
      </c>
      <c r="M233" s="959"/>
      <c r="N233" s="959"/>
      <c r="O233" s="48">
        <f>IF(t&lt;Tnet,'2024'!Resal+('2024'!Salim-'2024'!Resal)*(1-EXP(('2024'!Tnet-t)/('2024'!Tau_j))),Resal+(Salim-Resal)*(1-EXP((Tnet-t)/(Tau_j))))*Salcycl</f>
        <v>6.3516769139831619E-2</v>
      </c>
      <c r="P233" s="169">
        <f>(INDEX(Models!$BJ233:$BT233,,T233)*(1-R233)+INDEX(Models!$BJ233:$BT233,,T233+1)*R233-ERP_i)*Q233*Ramure*Pc/MaxiM</f>
        <v>4.2847017862997325E-4</v>
      </c>
      <c r="Q233" s="305">
        <f t="shared" si="80"/>
        <v>0.7</v>
      </c>
      <c r="R233" s="177">
        <f t="shared" si="81"/>
        <v>0.43292517154516075</v>
      </c>
      <c r="S233" s="921">
        <f t="shared" si="82"/>
        <v>-2</v>
      </c>
      <c r="T233" s="176">
        <f t="shared" si="83"/>
        <v>4</v>
      </c>
      <c r="U233" s="251">
        <f t="shared" si="84"/>
        <v>-1.5670748284548393</v>
      </c>
      <c r="V233" s="383">
        <f t="shared" si="85"/>
        <v>47.512527927112338</v>
      </c>
      <c r="W233" s="402">
        <f t="shared" si="86"/>
        <v>47.441051871720553</v>
      </c>
      <c r="X233" s="157">
        <f t="shared" si="87"/>
        <v>45876</v>
      </c>
      <c r="Y233" s="385">
        <f t="shared" si="88"/>
        <v>43.277713352239957</v>
      </c>
      <c r="Z233" s="385">
        <f t="shared" si="89"/>
        <v>45.846913921998244</v>
      </c>
      <c r="AA233" s="386">
        <f t="shared" si="90"/>
        <v>53.453558172267165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0.14230379623662562</v>
      </c>
      <c r="AD233" s="231">
        <f>(INDEX(Models!$BJ233:$BT233,,AH233)*(1-AF233)+INDEX(Models!$BJ233:$BT233,,AH233+1)*AF233-ERP_i)*AE233*Ramure*Pc/MaxiM</f>
        <v>4.3959133999611159E-3</v>
      </c>
      <c r="AE233" s="305">
        <f t="shared" si="92"/>
        <v>0.7</v>
      </c>
      <c r="AF233" s="177">
        <f t="shared" si="93"/>
        <v>0.95791273791913989</v>
      </c>
      <c r="AG233" s="921">
        <f t="shared" si="99"/>
        <v>1</v>
      </c>
      <c r="AH233" s="176">
        <f t="shared" si="94"/>
        <v>7</v>
      </c>
      <c r="AI233" s="225">
        <f t="shared" si="95"/>
        <v>1.9579127379191399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48.01864125246378</v>
      </c>
      <c r="C234" s="955"/>
      <c r="D234" s="393">
        <f t="shared" si="77"/>
        <v>50.870403293565928</v>
      </c>
      <c r="E234" s="385">
        <f t="shared" si="100"/>
        <v>54.326103033678876</v>
      </c>
      <c r="F234" s="385">
        <f t="shared" si="78"/>
        <v>54.348181539187046</v>
      </c>
      <c r="G234" s="110">
        <f t="shared" si="101"/>
        <v>1.0128309621752036</v>
      </c>
      <c r="H234" s="414" t="b">
        <f>Wh_hp&gt;='2024'!Maxi_hp</f>
        <v>1</v>
      </c>
      <c r="I234" s="390">
        <f>IF(H234,Wh_hp,'2024'!Maxi_hp)</f>
        <v>54.348181539187046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5.6059355862485116E-2</v>
      </c>
      <c r="M234" s="959"/>
      <c r="N234" s="959"/>
      <c r="O234" s="48">
        <f>IF(t&lt;Tnet,'2024'!Resal+('2024'!Salim-'2024'!Resal)*(1-EXP(('2024'!Tnet-t)/('2024'!Tau_j))),Resal+(Salim-Resal)*(1-EXP((Tnet-t)/(Tau_j))))*Salcycl</f>
        <v>6.3610300521107138E-2</v>
      </c>
      <c r="P234" s="169">
        <f>(INDEX(Models!$BJ234:$BT234,,T234)*(1-R234)+INDEX(Models!$BJ234:$BT234,,T234+1)*R234-ERP_i)*Q234*Ramure*Pc/MaxiM</f>
        <v>4.0624184439823E-4</v>
      </c>
      <c r="Q234" s="305">
        <f t="shared" si="80"/>
        <v>0.7</v>
      </c>
      <c r="R234" s="177">
        <f t="shared" si="81"/>
        <v>0.43448944547808233</v>
      </c>
      <c r="S234" s="921">
        <f t="shared" si="82"/>
        <v>-2</v>
      </c>
      <c r="T234" s="176">
        <f t="shared" si="83"/>
        <v>4</v>
      </c>
      <c r="U234" s="251">
        <f t="shared" si="84"/>
        <v>-1.5655105545219177</v>
      </c>
      <c r="V234" s="383">
        <f t="shared" si="85"/>
        <v>47.4103212142495</v>
      </c>
      <c r="W234" s="402">
        <f t="shared" si="86"/>
        <v>48.01864125246378</v>
      </c>
      <c r="X234" s="157">
        <f t="shared" si="87"/>
        <v>45877</v>
      </c>
      <c r="Y234" s="385">
        <f t="shared" si="88"/>
        <v>43.812993897339659</v>
      </c>
      <c r="Z234" s="385">
        <f t="shared" si="89"/>
        <v>46.414988240464943</v>
      </c>
      <c r="AA234" s="386">
        <f t="shared" si="90"/>
        <v>54.117105668266881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0.1423231588735592</v>
      </c>
      <c r="AD234" s="231">
        <f>(INDEX(Models!$BJ234:$BT234,,AH234)*(1-AF234)+INDEX(Models!$BJ234:$BT234,,AH234+1)*AF234-ERP_i)*AE234*Ramure*Pc/MaxiM</f>
        <v>4.2517682170019342E-3</v>
      </c>
      <c r="AE234" s="305">
        <f t="shared" si="92"/>
        <v>0.7</v>
      </c>
      <c r="AF234" s="177">
        <f t="shared" si="93"/>
        <v>0.95947701185206125</v>
      </c>
      <c r="AG234" s="921">
        <f t="shared" si="99"/>
        <v>1</v>
      </c>
      <c r="AH234" s="176">
        <f t="shared" si="94"/>
        <v>7</v>
      </c>
      <c r="AI234" s="225">
        <f t="shared" si="95"/>
        <v>1.9594770118520612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46.263981624881268</v>
      </c>
      <c r="C235" s="955"/>
      <c r="D235" s="393">
        <f t="shared" si="77"/>
        <v>49.012610310131556</v>
      </c>
      <c r="E235" s="385">
        <f t="shared" si="100"/>
        <v>52.347323001376829</v>
      </c>
      <c r="F235" s="385">
        <f t="shared" si="78"/>
        <v>52.366812004650555</v>
      </c>
      <c r="G235" s="110">
        <f t="shared" si="101"/>
        <v>0.97793036382195198</v>
      </c>
      <c r="H235" s="414" t="b">
        <f>Wh_hp&gt;='2024'!Maxi_hp</f>
        <v>0</v>
      </c>
      <c r="I235" s="390">
        <f>IF(H235,Wh_hp,'2024'!Maxi_hp)</f>
        <v>54.505372378920782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5.6080030585151541E-2</v>
      </c>
      <c r="M235" s="959"/>
      <c r="N235" s="959"/>
      <c r="O235" s="48">
        <f>IF(t&lt;Tnet,'2024'!Resal+('2024'!Salim-'2024'!Resal)*(1-EXP(('2024'!Tnet-t)/('2024'!Tau_j))),Resal+(Salim-Resal)*(1-EXP((Tnet-t)/(Tau_j))))*Salcycl</f>
        <v>6.3703595524026338E-2</v>
      </c>
      <c r="P235" s="169">
        <f>(INDEX(Models!$BJ235:$BT235,,T235)*(1-R235)+INDEX(Models!$BJ235:$BT235,,T235+1)*R235-ERP_i)*Q235*Ramure*Pc/MaxiM</f>
        <v>3.8427210390555209E-4</v>
      </c>
      <c r="Q235" s="305">
        <f t="shared" si="80"/>
        <v>0.7</v>
      </c>
      <c r="R235" s="177">
        <f t="shared" si="81"/>
        <v>0.43600080634671068</v>
      </c>
      <c r="S235" s="921">
        <f t="shared" si="82"/>
        <v>-2</v>
      </c>
      <c r="T235" s="176">
        <f t="shared" si="83"/>
        <v>4</v>
      </c>
      <c r="U235" s="251">
        <f t="shared" si="84"/>
        <v>-1.5639991936532893</v>
      </c>
      <c r="V235" s="383">
        <f t="shared" si="85"/>
        <v>47.307480086826359</v>
      </c>
      <c r="W235" s="402">
        <f t="shared" si="86"/>
        <v>46.263981624881268</v>
      </c>
      <c r="X235" s="157">
        <f t="shared" si="87"/>
        <v>45878</v>
      </c>
      <c r="Y235" s="385">
        <f t="shared" si="88"/>
        <v>42.225283880811311</v>
      </c>
      <c r="Z235" s="385">
        <f t="shared" si="89"/>
        <v>44.733966065986991</v>
      </c>
      <c r="AA235" s="386">
        <f t="shared" si="90"/>
        <v>52.158290730686943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0.14234217725873263</v>
      </c>
      <c r="AD235" s="231">
        <f>(INDEX(Models!$BJ235:$BT235,,AH235)*(1-AF235)+INDEX(Models!$BJ235:$BT235,,AH235+1)*AF235-ERP_i)*AE235*Ramure*Pc/MaxiM</f>
        <v>4.1114934165504529E-3</v>
      </c>
      <c r="AE235" s="305">
        <f t="shared" si="92"/>
        <v>0.7</v>
      </c>
      <c r="AF235" s="177">
        <f t="shared" si="93"/>
        <v>0.9609883727206896</v>
      </c>
      <c r="AG235" s="921">
        <f t="shared" si="99"/>
        <v>1</v>
      </c>
      <c r="AH235" s="176">
        <f t="shared" si="94"/>
        <v>7</v>
      </c>
      <c r="AI235" s="225">
        <f t="shared" si="95"/>
        <v>1.9609883727206896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44.935581719081547</v>
      </c>
      <c r="C236" s="955"/>
      <c r="D236" s="393">
        <f t="shared" si="77"/>
        <v>47.606330410680179</v>
      </c>
      <c r="E236" s="385">
        <f t="shared" si="100"/>
        <v>50.850416844255143</v>
      </c>
      <c r="F236" s="385">
        <f t="shared" si="78"/>
        <v>50.867594064939368</v>
      </c>
      <c r="G236" s="110">
        <f t="shared" si="101"/>
        <v>0.95191899409424985</v>
      </c>
      <c r="H236" s="414" t="b">
        <f>Wh_hp&gt;='2024'!Maxi_hp</f>
        <v>0</v>
      </c>
      <c r="I236" s="390">
        <f>IF(H236,Wh_hp,'2024'!Maxi_hp)</f>
        <v>52.854099421104479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5.6100704854988526E-2</v>
      </c>
      <c r="M236" s="959"/>
      <c r="N236" s="959"/>
      <c r="O236" s="48">
        <f>IF(t&lt;Tnet,'2024'!Resal+('2024'!Salim-'2024'!Resal)*(1-EXP(('2024'!Tnet-t)/('2024'!Tau_j))),Resal+(Salim-Resal)*(1-EXP((Tnet-t)/(Tau_j))))*Salcycl</f>
        <v>6.3796653693340713E-2</v>
      </c>
      <c r="P236" s="169">
        <f>(INDEX(Models!$BJ236:$BT236,,T236)*(1-R236)+INDEX(Models!$BJ236:$BT236,,T236+1)*R236-ERP_i)*Q236*Ramure*Pc/MaxiM</f>
        <v>3.625770515826418E-4</v>
      </c>
      <c r="Q236" s="305">
        <f t="shared" si="80"/>
        <v>0.7</v>
      </c>
      <c r="R236" s="177">
        <f t="shared" si="81"/>
        <v>0.43746068181260789</v>
      </c>
      <c r="S236" s="921">
        <f t="shared" si="82"/>
        <v>-2</v>
      </c>
      <c r="T236" s="176">
        <f t="shared" si="83"/>
        <v>4</v>
      </c>
      <c r="U236" s="251">
        <f t="shared" si="84"/>
        <v>-1.5625393181873921</v>
      </c>
      <c r="V236" s="383">
        <f t="shared" si="85"/>
        <v>47.204082572895231</v>
      </c>
      <c r="W236" s="402">
        <f t="shared" si="86"/>
        <v>44.935581719081547</v>
      </c>
      <c r="X236" s="157">
        <f t="shared" si="87"/>
        <v>45879</v>
      </c>
      <c r="Y236" s="385">
        <f t="shared" si="88"/>
        <v>41.026136886384784</v>
      </c>
      <c r="Z236" s="385">
        <f t="shared" si="89"/>
        <v>43.46452751623459</v>
      </c>
      <c r="AA236" s="386">
        <f t="shared" si="90"/>
        <v>50.679271802668225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0.14236085148432989</v>
      </c>
      <c r="AD236" s="231">
        <f>(INDEX(Models!$BJ236:$BT236,,AH236)*(1-AF236)+INDEX(Models!$BJ236:$BT236,,AH236+1)*AF236-ERP_i)*AE236*Ramure*Pc/MaxiM</f>
        <v>3.9751093530715756E-3</v>
      </c>
      <c r="AE236" s="305">
        <f t="shared" si="92"/>
        <v>0.7</v>
      </c>
      <c r="AF236" s="177">
        <f t="shared" si="93"/>
        <v>0.96244824818658681</v>
      </c>
      <c r="AG236" s="921">
        <f t="shared" si="99"/>
        <v>1</v>
      </c>
      <c r="AH236" s="176">
        <f t="shared" si="94"/>
        <v>7</v>
      </c>
      <c r="AI236" s="225">
        <f t="shared" si="95"/>
        <v>1.9624482481865868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42.516649621739369</v>
      </c>
      <c r="C237" s="955"/>
      <c r="D237" s="393">
        <f t="shared" si="77"/>
        <v>45.044615548046188</v>
      </c>
      <c r="E237" s="385">
        <f t="shared" si="100"/>
        <v>48.118907197047754</v>
      </c>
      <c r="F237" s="385">
        <f t="shared" si="78"/>
        <v>48.133045896025344</v>
      </c>
      <c r="G237" s="110">
        <f t="shared" si="101"/>
        <v>0.90264216205770265</v>
      </c>
      <c r="H237" s="414" t="b">
        <f>Wh_hp&gt;='2024'!Maxi_hp</f>
        <v>0</v>
      </c>
      <c r="I237" s="390">
        <f>IF(H237,Wh_hp,'2024'!Maxi_hp)</f>
        <v>52.879735063277003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5.6121378672005839E-2</v>
      </c>
      <c r="M237" s="959"/>
      <c r="N237" s="959"/>
      <c r="O237" s="48">
        <f>IF(t&lt;Tnet,'2024'!Resal+('2024'!Salim-'2024'!Resal)*(1-EXP(('2024'!Tnet-t)/('2024'!Tau_j))),Resal+(Salim-Resal)*(1-EXP((Tnet-t)/(Tau_j))))*Salcycl</f>
        <v>6.3889473557915355E-2</v>
      </c>
      <c r="P237" s="169">
        <f>(INDEX(Models!$BJ237:$BT237,,T237)*(1-R237)+INDEX(Models!$BJ237:$BT237,,T237+1)*R237-ERP_i)*Q237*Ramure*Pc/MaxiM</f>
        <v>3.4117230393689214E-4</v>
      </c>
      <c r="Q237" s="305">
        <f t="shared" si="80"/>
        <v>0.7</v>
      </c>
      <c r="R237" s="177">
        <f t="shared" si="81"/>
        <v>0.43887048791895023</v>
      </c>
      <c r="S237" s="921">
        <f t="shared" si="82"/>
        <v>-2</v>
      </c>
      <c r="T237" s="176">
        <f t="shared" si="83"/>
        <v>4</v>
      </c>
      <c r="U237" s="251">
        <f t="shared" si="84"/>
        <v>-1.5611295120810498</v>
      </c>
      <c r="V237" s="383">
        <f t="shared" si="85"/>
        <v>47.100206748905691</v>
      </c>
      <c r="W237" s="402">
        <f t="shared" si="86"/>
        <v>42.516649621739369</v>
      </c>
      <c r="X237" s="157">
        <f t="shared" si="87"/>
        <v>45880</v>
      </c>
      <c r="Y237" s="385">
        <f t="shared" si="88"/>
        <v>38.834310299864896</v>
      </c>
      <c r="Z237" s="385">
        <f t="shared" si="89"/>
        <v>41.143330744398888</v>
      </c>
      <c r="AA237" s="386">
        <f t="shared" si="90"/>
        <v>47.973801189231693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0.14237917937522093</v>
      </c>
      <c r="AD237" s="231">
        <f>(INDEX(Models!$BJ237:$BT237,,AH237)*(1-AF237)+INDEX(Models!$BJ237:$BT237,,AH237+1)*AF237-ERP_i)*AE237*Ramure*Pc/MaxiM</f>
        <v>3.8426366946958525E-3</v>
      </c>
      <c r="AE237" s="305">
        <f t="shared" si="92"/>
        <v>0.7</v>
      </c>
      <c r="AF237" s="177">
        <f t="shared" si="93"/>
        <v>0.96385805429292937</v>
      </c>
      <c r="AG237" s="921">
        <f t="shared" si="99"/>
        <v>1</v>
      </c>
      <c r="AH237" s="176">
        <f t="shared" si="94"/>
        <v>7</v>
      </c>
      <c r="AI237" s="225">
        <f t="shared" si="95"/>
        <v>1.9638580542929294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43.845495617107581</v>
      </c>
      <c r="C238" s="955"/>
      <c r="D238" s="393">
        <f t="shared" si="77"/>
        <v>46.453489862215818</v>
      </c>
      <c r="E238" s="385">
        <f t="shared" si="100"/>
        <v>49.628845254651011</v>
      </c>
      <c r="F238" s="385">
        <f t="shared" si="78"/>
        <v>49.643213035610827</v>
      </c>
      <c r="G238" s="110">
        <f t="shared" si="101"/>
        <v>0.93293505592408554</v>
      </c>
      <c r="H238" s="414" t="b">
        <f>Wh_hp&gt;='2024'!Maxi_hp</f>
        <v>0</v>
      </c>
      <c r="I238" s="390">
        <f>IF(H238,Wh_hp,'2024'!Maxi_hp)</f>
        <v>51.227825043986797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5.6142052036213586E-2</v>
      </c>
      <c r="M238" s="959"/>
      <c r="N238" s="959"/>
      <c r="O238" s="48">
        <f>IF(t&lt;Tnet,'2024'!Resal+('2024'!Salim-'2024'!Resal)*(1-EXP(('2024'!Tnet-t)/('2024'!Tau_j))),Resal+(Salim-Resal)*(1-EXP((Tnet-t)/(Tau_j))))*Salcycl</f>
        <v>6.3982052698226238E-2</v>
      </c>
      <c r="P238" s="169">
        <f>(INDEX(Models!$BJ238:$BT238,,T238)*(1-R238)+INDEX(Models!$BJ238:$BT238,,T238+1)*R238-ERP_i)*Q238*Ramure*Pc/MaxiM</f>
        <v>3.2007302781103276E-4</v>
      </c>
      <c r="Q238" s="305">
        <f t="shared" si="80"/>
        <v>0.7</v>
      </c>
      <c r="R238" s="177">
        <f t="shared" si="81"/>
        <v>0.44023162690651629</v>
      </c>
      <c r="S238" s="921">
        <f t="shared" si="82"/>
        <v>-2</v>
      </c>
      <c r="T238" s="176">
        <f t="shared" si="83"/>
        <v>4</v>
      </c>
      <c r="U238" s="251">
        <f t="shared" si="84"/>
        <v>-1.5597683730934837</v>
      </c>
      <c r="V238" s="383">
        <f t="shared" si="85"/>
        <v>46.995930734653044</v>
      </c>
      <c r="W238" s="402">
        <f t="shared" si="86"/>
        <v>43.845495617107581</v>
      </c>
      <c r="X238" s="157">
        <f t="shared" si="87"/>
        <v>45881</v>
      </c>
      <c r="Y238" s="385">
        <f t="shared" si="88"/>
        <v>40.049005632616876</v>
      </c>
      <c r="Z238" s="385">
        <f t="shared" si="89"/>
        <v>42.431179097464636</v>
      </c>
      <c r="AA238" s="386">
        <f t="shared" si="90"/>
        <v>49.476490693436247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0.14239715665416575</v>
      </c>
      <c r="AD238" s="231">
        <f>(INDEX(Models!$BJ238:$BT238,,AH238)*(1-AF238)+INDEX(Models!$BJ238:$BT238,,AH238+1)*AF238-ERP_i)*AE238*Ramure*Pc/MaxiM</f>
        <v>3.7140964921999835E-3</v>
      </c>
      <c r="AE238" s="305">
        <f t="shared" si="92"/>
        <v>0.7</v>
      </c>
      <c r="AF238" s="177">
        <f t="shared" si="93"/>
        <v>0.96521919328049544</v>
      </c>
      <c r="AG238" s="921">
        <f t="shared" si="99"/>
        <v>1</v>
      </c>
      <c r="AH238" s="176">
        <f t="shared" si="94"/>
        <v>7</v>
      </c>
      <c r="AI238" s="225">
        <f t="shared" si="95"/>
        <v>1.9652191932804954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34.415732338056266</v>
      </c>
      <c r="C239" s="955"/>
      <c r="D239" s="393">
        <f t="shared" si="77"/>
        <v>36.463629110374306</v>
      </c>
      <c r="E239" s="385">
        <f t="shared" si="100"/>
        <v>38.959965018161306</v>
      </c>
      <c r="F239" s="385">
        <f t="shared" si="78"/>
        <v>38.967194968550281</v>
      </c>
      <c r="G239" s="110">
        <f t="shared" si="101"/>
        <v>0.73386305511382754</v>
      </c>
      <c r="H239" s="414" t="b">
        <f>Wh_hp&gt;='2024'!Maxi_hp</f>
        <v>0</v>
      </c>
      <c r="I239" s="390">
        <f>IF(H239,Wh_hp,'2024'!Maxi_hp)</f>
        <v>48.536022746732414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5.6162724947621534E-2</v>
      </c>
      <c r="M239" s="959"/>
      <c r="N239" s="959"/>
      <c r="O239" s="48">
        <f>IF(t&lt;Tnet,'2024'!Resal+('2024'!Salim-'2024'!Resal)*(1-EXP(('2024'!Tnet-t)/('2024'!Tau_j))),Resal+(Salim-Resal)*(1-EXP((Tnet-t)/(Tau_j))))*Salcycl</f>
        <v>6.4074387813832026E-2</v>
      </c>
      <c r="P239" s="169">
        <f>(INDEX(Models!$BJ239:$BT239,,T239)*(1-R239)+INDEX(Models!$BJ239:$BT239,,T239+1)*R239-ERP_i)*Q239*Ramure*Pc/MaxiM</f>
        <v>2.9929396684328817E-4</v>
      </c>
      <c r="Q239" s="305">
        <f t="shared" si="80"/>
        <v>0.7</v>
      </c>
      <c r="R239" s="177">
        <f t="shared" si="81"/>
        <v>0.44154548523425996</v>
      </c>
      <c r="S239" s="921">
        <f t="shared" si="82"/>
        <v>-2</v>
      </c>
      <c r="T239" s="176">
        <f t="shared" si="83"/>
        <v>4</v>
      </c>
      <c r="U239" s="251">
        <f t="shared" si="84"/>
        <v>-1.55845451476574</v>
      </c>
      <c r="V239" s="383">
        <f t="shared" si="85"/>
        <v>46.891332688561057</v>
      </c>
      <c r="W239" s="402">
        <f t="shared" si="86"/>
        <v>34.415732338056266</v>
      </c>
      <c r="X239" s="157">
        <f t="shared" si="87"/>
        <v>45882</v>
      </c>
      <c r="Y239" s="385">
        <f t="shared" si="88"/>
        <v>31.470676588199286</v>
      </c>
      <c r="Z239" s="385">
        <f t="shared" si="89"/>
        <v>33.343328791981449</v>
      </c>
      <c r="AA239" s="386">
        <f t="shared" si="90"/>
        <v>38.880484296879267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0.14241477710559947</v>
      </c>
      <c r="AD239" s="231">
        <f>(INDEX(Models!$BJ239:$BT239,,AH239)*(1-AF239)+INDEX(Models!$BJ239:$BT239,,AH239+1)*AF239-ERP_i)*AE239*Ramure*Pc/MaxiM</f>
        <v>3.5895102311672973E-3</v>
      </c>
      <c r="AE239" s="305">
        <f t="shared" si="92"/>
        <v>0.7</v>
      </c>
      <c r="AF239" s="177">
        <f t="shared" si="93"/>
        <v>0.96653305160823888</v>
      </c>
      <c r="AG239" s="921">
        <f t="shared" si="99"/>
        <v>1</v>
      </c>
      <c r="AH239" s="176">
        <f t="shared" si="94"/>
        <v>7</v>
      </c>
      <c r="AI239" s="225">
        <f t="shared" si="95"/>
        <v>1.9665330516082389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31.522459567019418</v>
      </c>
      <c r="C240" s="955"/>
      <c r="D240" s="393">
        <f t="shared" si="77"/>
        <v>33.398924621998184</v>
      </c>
      <c r="E240" s="385">
        <f t="shared" si="100"/>
        <v>35.688959331198873</v>
      </c>
      <c r="F240" s="385">
        <f t="shared" si="78"/>
        <v>35.694284188137281</v>
      </c>
      <c r="G240" s="110">
        <f t="shared" si="101"/>
        <v>0.67366393380453382</v>
      </c>
      <c r="H240" s="414" t="b">
        <f>Wh_hp&gt;='2024'!Maxi_hp</f>
        <v>0</v>
      </c>
      <c r="I240" s="390">
        <f>IF(H240,Wh_hp,'2024'!Maxi_hp)</f>
        <v>53.538915966622881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5.6183397406239677E-2</v>
      </c>
      <c r="M240" s="959"/>
      <c r="N240" s="959"/>
      <c r="O240" s="48">
        <f>IF(t&lt;Tnet,'2024'!Resal+('2024'!Salim-'2024'!Resal)*(1-EXP(('2024'!Tnet-t)/('2024'!Tau_j))),Resal+(Salim-Resal)*(1-EXP((Tnet-t)/(Tau_j))))*Salcycl</f>
        <v>6.4166474789831271E-2</v>
      </c>
      <c r="P240" s="169">
        <f>(INDEX(Models!$BJ240:$BT240,,T240)*(1-R240)+INDEX(Models!$BJ240:$BT240,,T240+1)*R240-ERP_i)*Q240*Ramure*Pc/MaxiM</f>
        <v>2.7939855207704097E-4</v>
      </c>
      <c r="Q240" s="305">
        <f t="shared" si="80"/>
        <v>0.7</v>
      </c>
      <c r="R240" s="177">
        <f t="shared" si="81"/>
        <v>0.44281343179520904</v>
      </c>
      <c r="S240" s="921">
        <f t="shared" si="82"/>
        <v>-2</v>
      </c>
      <c r="T240" s="176">
        <f t="shared" si="83"/>
        <v>4</v>
      </c>
      <c r="U240" s="251">
        <f t="shared" si="84"/>
        <v>-1.557186568204791</v>
      </c>
      <c r="V240" s="383">
        <f t="shared" si="85"/>
        <v>46.786465104441966</v>
      </c>
      <c r="W240" s="402">
        <f t="shared" si="86"/>
        <v>31.522459567019418</v>
      </c>
      <c r="X240" s="157">
        <f t="shared" si="87"/>
        <v>45883</v>
      </c>
      <c r="Y240" s="385">
        <f t="shared" si="88"/>
        <v>28.836915971946492</v>
      </c>
      <c r="Z240" s="385">
        <f t="shared" si="89"/>
        <v>30.553516321601034</v>
      </c>
      <c r="AA240" s="386">
        <f t="shared" si="90"/>
        <v>35.62809886553157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0.14243203273582317</v>
      </c>
      <c r="AD240" s="231">
        <f>(INDEX(Models!$BJ240:$BT240,,AH240)*(1-AF240)+INDEX(Models!$BJ240:$BT240,,AH240+1)*AF240-ERP_i)*AE240*Ramure*Pc/MaxiM</f>
        <v>3.4727850003622089E-3</v>
      </c>
      <c r="AE240" s="305">
        <f t="shared" si="92"/>
        <v>0.7</v>
      </c>
      <c r="AF240" s="177">
        <f t="shared" si="93"/>
        <v>0.96780099816918774</v>
      </c>
      <c r="AG240" s="921">
        <f t="shared" si="99"/>
        <v>1</v>
      </c>
      <c r="AH240" s="176">
        <f t="shared" si="94"/>
        <v>7</v>
      </c>
      <c r="AI240" s="225">
        <f t="shared" si="95"/>
        <v>1.9678009981691877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35.747990734834694</v>
      </c>
      <c r="C241" s="955"/>
      <c r="D241" s="393">
        <f t="shared" si="77"/>
        <v>37.876822283569368</v>
      </c>
      <c r="E241" s="385">
        <f t="shared" si="100"/>
        <v>40.477861185635469</v>
      </c>
      <c r="F241" s="385">
        <f t="shared" si="78"/>
        <v>40.484868881045102</v>
      </c>
      <c r="G241" s="110">
        <f t="shared" si="101"/>
        <v>0.76571962876241684</v>
      </c>
      <c r="H241" s="414" t="b">
        <f>Wh_hp&gt;='2024'!Maxi_hp</f>
        <v>0</v>
      </c>
      <c r="I241" s="390">
        <f>IF(H241,Wh_hp,'2024'!Maxi_hp)</f>
        <v>53.803189402990363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5.6204069412077895E-2</v>
      </c>
      <c r="M241" s="959"/>
      <c r="N241" s="959"/>
      <c r="O241" s="48">
        <f>IF(t&lt;Tnet,'2024'!Resal+('2024'!Salim-'2024'!Resal)*(1-EXP(('2024'!Tnet-t)/('2024'!Tau_j))),Resal+(Salim-Resal)*(1-EXP((Tnet-t)/(Tau_j))))*Salcycl</f>
        <v>6.425830876136171E-2</v>
      </c>
      <c r="P241" s="169">
        <f>(INDEX(Models!$BJ241:$BT241,,T241)*(1-R241)+INDEX(Models!$BJ241:$BT241,,T241+1)*R241-ERP_i)*Q241*Ramure*Pc/MaxiM</f>
        <v>2.6013202159442703E-4</v>
      </c>
      <c r="Q241" s="305">
        <f t="shared" si="80"/>
        <v>0.7</v>
      </c>
      <c r="R241" s="177">
        <f t="shared" si="81"/>
        <v>0.44403681631824909</v>
      </c>
      <c r="S241" s="921">
        <f t="shared" si="82"/>
        <v>-2</v>
      </c>
      <c r="T241" s="176">
        <f t="shared" si="83"/>
        <v>4</v>
      </c>
      <c r="U241" s="251">
        <f t="shared" si="84"/>
        <v>-1.5559631836817509</v>
      </c>
      <c r="V241" s="383">
        <f t="shared" si="85"/>
        <v>46.681418923777876</v>
      </c>
      <c r="W241" s="402">
        <f t="shared" si="86"/>
        <v>35.747990734834694</v>
      </c>
      <c r="X241" s="157">
        <f t="shared" si="87"/>
        <v>45884</v>
      </c>
      <c r="Y241" s="385">
        <f t="shared" si="88"/>
        <v>32.69326207312713</v>
      </c>
      <c r="Z241" s="385">
        <f t="shared" si="89"/>
        <v>34.640181223033458</v>
      </c>
      <c r="AA241" s="386">
        <f t="shared" si="90"/>
        <v>40.394306281721356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0.14244891392754705</v>
      </c>
      <c r="AD241" s="231">
        <f>(INDEX(Models!$BJ241:$BT241,,AH241)*(1-AF241)+INDEX(Models!$BJ241:$BT241,,AH241+1)*AF241-ERP_i)*AE241*Ramure*Pc/MaxiM</f>
        <v>3.3617659823738729E-3</v>
      </c>
      <c r="AE241" s="305">
        <f t="shared" si="92"/>
        <v>0.7</v>
      </c>
      <c r="AF241" s="177">
        <f t="shared" si="93"/>
        <v>0.96902438269222801</v>
      </c>
      <c r="AG241" s="921">
        <f t="shared" si="99"/>
        <v>1</v>
      </c>
      <c r="AH241" s="176">
        <f t="shared" si="94"/>
        <v>7</v>
      </c>
      <c r="AI241" s="225">
        <f t="shared" si="95"/>
        <v>1.969024382692228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33.105772871437075</v>
      </c>
      <c r="C242" s="955"/>
      <c r="D242" s="393">
        <f t="shared" si="77"/>
        <v>35.078025784753564</v>
      </c>
      <c r="E242" s="385">
        <f t="shared" si="100"/>
        <v>37.490537532647473</v>
      </c>
      <c r="F242" s="385">
        <f t="shared" si="78"/>
        <v>37.495851744403048</v>
      </c>
      <c r="G242" s="110">
        <f t="shared" si="101"/>
        <v>0.71071529231655628</v>
      </c>
      <c r="H242" s="414" t="b">
        <f>Wh_hp&gt;='2024'!Maxi_hp</f>
        <v>0</v>
      </c>
      <c r="I242" s="390">
        <f>IF(H242,Wh_hp,'2024'!Maxi_hp)</f>
        <v>53.769916943030935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5.622474096514618E-2</v>
      </c>
      <c r="M242" s="959"/>
      <c r="N242" s="959"/>
      <c r="O242" s="48">
        <f>IF(t&lt;Tnet,'2024'!Resal+('2024'!Salim-'2024'!Resal)*(1-EXP(('2024'!Tnet-t)/('2024'!Tau_j))),Resal+(Salim-Resal)*(1-EXP((Tnet-t)/(Tau_j))))*Salcycl</f>
        <v>6.4349884175254904E-2</v>
      </c>
      <c r="P242" s="169">
        <f>(INDEX(Models!$BJ242:$BT242,,T242)*(1-R242)+INDEX(Models!$BJ242:$BT242,,T242+1)*R242-ERP_i)*Q242*Ramure*Pc/MaxiM</f>
        <v>2.4151149057789482E-4</v>
      </c>
      <c r="Q242" s="305">
        <f t="shared" si="80"/>
        <v>0.7</v>
      </c>
      <c r="R242" s="177">
        <f t="shared" si="81"/>
        <v>0.44521696794626786</v>
      </c>
      <c r="S242" s="921">
        <f t="shared" si="82"/>
        <v>-2</v>
      </c>
      <c r="T242" s="176">
        <f t="shared" si="83"/>
        <v>4</v>
      </c>
      <c r="U242" s="251">
        <f t="shared" si="84"/>
        <v>-1.5547830320537321</v>
      </c>
      <c r="V242" s="383">
        <f t="shared" si="85"/>
        <v>46.576272314938073</v>
      </c>
      <c r="W242" s="402">
        <f t="shared" si="86"/>
        <v>33.105772871437075</v>
      </c>
      <c r="X242" s="157">
        <f t="shared" si="87"/>
        <v>45885</v>
      </c>
      <c r="Y242" s="385">
        <f t="shared" si="88"/>
        <v>30.288147798153435</v>
      </c>
      <c r="Z242" s="385">
        <f t="shared" si="89"/>
        <v>32.092542698276951</v>
      </c>
      <c r="AA242" s="386">
        <f t="shared" si="90"/>
        <v>37.424196128130866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0.14246540958688056</v>
      </c>
      <c r="AD242" s="231">
        <f>(INDEX(Models!$BJ242:$BT242,,AH242)*(1-AF242)+INDEX(Models!$BJ242:$BT242,,AH242+1)*AF242-ERP_i)*AE242*Ramure*Pc/MaxiM</f>
        <v>3.2564857198297977E-3</v>
      </c>
      <c r="AE242" s="305">
        <f t="shared" si="92"/>
        <v>0.7</v>
      </c>
      <c r="AF242" s="177">
        <f t="shared" si="93"/>
        <v>0.97020453432024678</v>
      </c>
      <c r="AG242" s="921">
        <f t="shared" si="99"/>
        <v>1</v>
      </c>
      <c r="AH242" s="176">
        <f t="shared" si="94"/>
        <v>7</v>
      </c>
      <c r="AI242" s="225">
        <f t="shared" si="95"/>
        <v>1.9702045343202468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24.165736220538783</v>
      </c>
      <c r="C243" s="955"/>
      <c r="D243" s="393">
        <f t="shared" si="77"/>
        <v>25.605953634012749</v>
      </c>
      <c r="E243" s="385">
        <f t="shared" si="100"/>
        <v>27.369689102389767</v>
      </c>
      <c r="F243" s="385">
        <f t="shared" si="78"/>
        <v>27.371612367015345</v>
      </c>
      <c r="G243" s="110">
        <f t="shared" si="101"/>
        <v>0.51993668798688331</v>
      </c>
      <c r="H243" s="414" t="b">
        <f>Wh_hp&gt;='2024'!Maxi_hp</f>
        <v>0</v>
      </c>
      <c r="I243" s="390">
        <f>IF(H243,Wh_hp,'2024'!Maxi_hp)</f>
        <v>51.890414604753857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5.6245412065454414E-2</v>
      </c>
      <c r="M243" s="959"/>
      <c r="N243" s="959"/>
      <c r="O243" s="48">
        <f>IF(t&lt;Tnet,'2024'!Resal+('2024'!Salim-'2024'!Resal)*(1-EXP(('2024'!Tnet-t)/('2024'!Tau_j))),Resal+(Salim-Resal)*(1-EXP((Tnet-t)/(Tau_j))))*Salcycl</f>
        <v>6.4441194848026934E-2</v>
      </c>
      <c r="P243" s="169">
        <f>(INDEX(Models!$BJ243:$BT243,,T243)*(1-R243)+INDEX(Models!$BJ243:$BT243,,T243+1)*R243-ERP_i)*Q243*Ramure*Pc/MaxiM</f>
        <v>2.235535837040468E-4</v>
      </c>
      <c r="Q243" s="305">
        <f t="shared" si="80"/>
        <v>0.7</v>
      </c>
      <c r="R243" s="177">
        <f t="shared" si="81"/>
        <v>0.44635519398112056</v>
      </c>
      <c r="S243" s="921">
        <f t="shared" si="82"/>
        <v>-2</v>
      </c>
      <c r="T243" s="176">
        <f t="shared" si="83"/>
        <v>4</v>
      </c>
      <c r="U243" s="251">
        <f t="shared" si="84"/>
        <v>-1.5536448060188794</v>
      </c>
      <c r="V243" s="383">
        <f t="shared" si="85"/>
        <v>46.47110347375537</v>
      </c>
      <c r="W243" s="402">
        <f t="shared" si="86"/>
        <v>24.165736220538783</v>
      </c>
      <c r="X243" s="157">
        <f t="shared" si="87"/>
        <v>45886</v>
      </c>
      <c r="Y243" s="385">
        <f t="shared" si="88"/>
        <v>22.129510190881874</v>
      </c>
      <c r="Z243" s="385">
        <f t="shared" si="89"/>
        <v>23.448373627844735</v>
      </c>
      <c r="AA243" s="386">
        <f t="shared" si="90"/>
        <v>27.34445242515535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0.14248150728103234</v>
      </c>
      <c r="AD243" s="231">
        <f>(INDEX(Models!$BJ243:$BT243,,AH243)*(1-AF243)+INDEX(Models!$BJ243:$BT243,,AH243+1)*AF243-ERP_i)*AE243*Ramure*Pc/MaxiM</f>
        <v>3.156977077022686E-3</v>
      </c>
      <c r="AE243" s="305">
        <f t="shared" si="92"/>
        <v>0.7</v>
      </c>
      <c r="AF243" s="177">
        <f t="shared" si="93"/>
        <v>0.97134276035509948</v>
      </c>
      <c r="AG243" s="921">
        <f t="shared" si="99"/>
        <v>1</v>
      </c>
      <c r="AH243" s="176">
        <f t="shared" si="94"/>
        <v>7</v>
      </c>
      <c r="AI243" s="225">
        <f t="shared" si="95"/>
        <v>1.9713427603550995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32.15143355230834</v>
      </c>
      <c r="C244" s="955"/>
      <c r="D244" s="393">
        <f t="shared" si="77"/>
        <v>34.068324729428113</v>
      </c>
      <c r="E244" s="385">
        <f t="shared" si="100"/>
        <v>36.418491334886838</v>
      </c>
      <c r="F244" s="385">
        <f t="shared" si="78"/>
        <v>36.422713973857526</v>
      </c>
      <c r="G244" s="110">
        <f t="shared" si="101"/>
        <v>0.6933644298005649</v>
      </c>
      <c r="H244" s="414" t="b">
        <f>Wh_hp&gt;='2024'!Maxi_hp</f>
        <v>0</v>
      </c>
      <c r="I244" s="390">
        <f>IF(H244,Wh_hp,'2024'!Maxi_hp)</f>
        <v>49.183966953911138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5.6266082713012477E-2</v>
      </c>
      <c r="M244" s="959"/>
      <c r="N244" s="959"/>
      <c r="O244" s="48">
        <f>IF(t&lt;Tnet,'2024'!Resal+('2024'!Salim-'2024'!Resal)*(1-EXP(('2024'!Tnet-t)/('2024'!Tau_j))),Resal+(Salim-Resal)*(1-EXP((Tnet-t)/(Tau_j))))*Salcycl</f>
        <v>6.4532234019463647E-2</v>
      </c>
      <c r="P244" s="169">
        <f>(INDEX(Models!$BJ244:$BT244,,T244)*(1-R244)+INDEX(Models!$BJ244:$BT244,,T244+1)*R244-ERP_i)*Q244*Ramure*Pc/MaxiM</f>
        <v>2.0627444962613501E-4</v>
      </c>
      <c r="Q244" s="305">
        <f t="shared" si="80"/>
        <v>0.7</v>
      </c>
      <c r="R244" s="177">
        <f t="shared" si="81"/>
        <v>0.44745277878593415</v>
      </c>
      <c r="S244" s="921">
        <f t="shared" si="82"/>
        <v>-2</v>
      </c>
      <c r="T244" s="176">
        <f t="shared" si="83"/>
        <v>4</v>
      </c>
      <c r="U244" s="251">
        <f t="shared" si="84"/>
        <v>-1.5525472212140659</v>
      </c>
      <c r="V244" s="383">
        <f t="shared" si="85"/>
        <v>46.365990618986913</v>
      </c>
      <c r="W244" s="402">
        <f t="shared" si="86"/>
        <v>32.15143355230834</v>
      </c>
      <c r="X244" s="157">
        <f t="shared" si="87"/>
        <v>45887</v>
      </c>
      <c r="Y244" s="385">
        <f t="shared" si="88"/>
        <v>29.424497677726691</v>
      </c>
      <c r="Z244" s="385">
        <f t="shared" si="89"/>
        <v>31.178807011954369</v>
      </c>
      <c r="AA244" s="386">
        <f t="shared" si="90"/>
        <v>36.360005787400326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0.142497193365172</v>
      </c>
      <c r="AD244" s="231">
        <f>(INDEX(Models!$BJ244:$BT244,,AH244)*(1-AF244)+INDEX(Models!$BJ244:$BT244,,AH244+1)*AF244-ERP_i)*AE244*Ramure*Pc/MaxiM</f>
        <v>3.0632731659730925E-3</v>
      </c>
      <c r="AE244" s="305">
        <f t="shared" si="92"/>
        <v>0.7</v>
      </c>
      <c r="AF244" s="177">
        <f t="shared" si="93"/>
        <v>0.97244034515991307</v>
      </c>
      <c r="AG244" s="921">
        <f t="shared" si="99"/>
        <v>1</v>
      </c>
      <c r="AH244" s="176">
        <f t="shared" si="94"/>
        <v>7</v>
      </c>
      <c r="AI244" s="225">
        <f t="shared" si="95"/>
        <v>1.9724403451599131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32.807580537332939</v>
      </c>
      <c r="C245" s="955"/>
      <c r="D245" s="393">
        <f t="shared" si="77"/>
        <v>34.76435308969306</v>
      </c>
      <c r="E245" s="385">
        <f t="shared" si="100"/>
        <v>37.166140370786557</v>
      </c>
      <c r="F245" s="385">
        <f t="shared" si="78"/>
        <v>37.17026191908802</v>
      </c>
      <c r="G245" s="110">
        <f t="shared" si="101"/>
        <v>0.70912834326524499</v>
      </c>
      <c r="H245" s="414" t="b">
        <f>Wh_hp&gt;='2024'!Maxi_hp</f>
        <v>0</v>
      </c>
      <c r="I245" s="390">
        <f>IF(H245,Wh_hp,'2024'!Maxi_hp)</f>
        <v>49.967163493960541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5.6286752907830362E-2</v>
      </c>
      <c r="M245" s="959"/>
      <c r="N245" s="959"/>
      <c r="O245" s="48">
        <f>IF(t&lt;Tnet,'2024'!Resal+('2024'!Salim-'2024'!Resal)*(1-EXP(('2024'!Tnet-t)/('2024'!Tau_j))),Resal+(Salim-Resal)*(1-EXP((Tnet-t)/(Tau_j))))*Salcycl</f>
        <v>6.462299440114469E-2</v>
      </c>
      <c r="P245" s="169">
        <f>(INDEX(Models!$BJ245:$BT245,,T245)*(1-R245)+INDEX(Models!$BJ245:$BT245,,T245+1)*R245-ERP_i)*Q245*Ramure*Pc/MaxiM</f>
        <v>1.8968977279992919E-4</v>
      </c>
      <c r="Q245" s="305">
        <f t="shared" si="80"/>
        <v>0.7</v>
      </c>
      <c r="R245" s="177">
        <f t="shared" si="81"/>
        <v>0.4485109828353735</v>
      </c>
      <c r="S245" s="921">
        <f t="shared" si="82"/>
        <v>-2</v>
      </c>
      <c r="T245" s="176">
        <f t="shared" si="83"/>
        <v>4</v>
      </c>
      <c r="U245" s="251">
        <f t="shared" si="84"/>
        <v>-1.5514890171646265</v>
      </c>
      <c r="V245" s="383">
        <f t="shared" si="85"/>
        <v>46.261011988866287</v>
      </c>
      <c r="W245" s="402">
        <f t="shared" si="86"/>
        <v>32.807580537332939</v>
      </c>
      <c r="X245" s="157">
        <f t="shared" si="87"/>
        <v>45888</v>
      </c>
      <c r="Y245" s="385">
        <f t="shared" si="88"/>
        <v>30.026691422257489</v>
      </c>
      <c r="Z245" s="385">
        <f t="shared" si="89"/>
        <v>31.817600859983344</v>
      </c>
      <c r="AA245" s="386">
        <f t="shared" si="90"/>
        <v>37.105612757763723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0.1425124530971113</v>
      </c>
      <c r="AD245" s="231">
        <f>(INDEX(Models!$BJ245:$BT245,,AH245)*(1-AF245)+INDEX(Models!$BJ245:$BT245,,AH245+1)*AF245-ERP_i)*AE245*Ramure*Pc/MaxiM</f>
        <v>2.975407256284813E-3</v>
      </c>
      <c r="AE245" s="305">
        <f t="shared" si="92"/>
        <v>0.7</v>
      </c>
      <c r="AF245" s="177">
        <f t="shared" si="93"/>
        <v>0.97349854920935242</v>
      </c>
      <c r="AG245" s="921">
        <f t="shared" si="99"/>
        <v>1</v>
      </c>
      <c r="AH245" s="176">
        <f t="shared" si="94"/>
        <v>7</v>
      </c>
      <c r="AI245" s="225">
        <f t="shared" si="95"/>
        <v>1.9734985492093524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46.273390299505849</v>
      </c>
      <c r="C246" s="955"/>
      <c r="D246" s="393">
        <f t="shared" si="77"/>
        <v>49.034390446773415</v>
      </c>
      <c r="E246" s="385">
        <f t="shared" si="100"/>
        <v>52.427131986407211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Wh_hp&gt;='2024'!Maxi_hp</f>
        <v>0</v>
      </c>
      <c r="I246" s="390">
        <f>IF(H246,Wh_hp,'2024'!Maxi_hp)</f>
        <v>52.544338316202321</v>
      </c>
      <c r="J246" s="85">
        <f>IF(H246,An,'2024'!An_max)</f>
        <v>2021</v>
      </c>
      <c r="K246" s="197">
        <f t="shared" si="79"/>
        <v>45889</v>
      </c>
      <c r="L246" s="147">
        <f>IF(t&lt;Tvie,1-EXP((T0-t)*PertePVj)+'2024'!Pspv,1-EXP((T0-t)*PertePVj)+Pspv)</f>
        <v>5.6307422649917838E-2</v>
      </c>
      <c r="M246" s="959"/>
      <c r="N246" s="959"/>
      <c r="O246" s="48">
        <f>IF(t&lt;Tnet,'2024'!Resal+('2024'!Salim-'2024'!Resal)*(1-EXP(('2024'!Tnet-t)/('2024'!Tau_j))),Resal+(Salim-Resal)*(1-EXP((Tnet-t)/(Tau_j))))*Salcycl</f>
        <v>6.471346821934551E-2</v>
      </c>
      <c r="P246" s="169">
        <f>(INDEX(Models!$BJ246:$BT246,,T246)*(1-R246)+INDEX(Models!$BJ246:$BT246,,T246+1)*R246-ERP_i)*Q246*Ramure*Pc/MaxiM</f>
        <v>1.7381478273571142E-4</v>
      </c>
      <c r="Q246" s="305">
        <f t="shared" si="80"/>
        <v>0.7</v>
      </c>
      <c r="R246" s="177">
        <f t="shared" si="81"/>
        <v>0.44953104190465876</v>
      </c>
      <c r="S246" s="921">
        <f t="shared" si="82"/>
        <v>-2</v>
      </c>
      <c r="T246" s="176">
        <f t="shared" si="83"/>
        <v>4</v>
      </c>
      <c r="U246" s="251">
        <f t="shared" si="84"/>
        <v>-1.5504689580953412</v>
      </c>
      <c r="V246" s="383">
        <f t="shared" si="85"/>
        <v>46.156245837467772</v>
      </c>
      <c r="W246" s="402">
        <f t="shared" si="86"/>
        <v>46.273390299505849</v>
      </c>
      <c r="X246" s="157">
        <f t="shared" si="87"/>
        <v>45889</v>
      </c>
      <c r="Y246" s="385">
        <f t="shared" si="88"/>
        <v>42.308149962919522</v>
      </c>
      <c r="Z246" s="385">
        <f t="shared" si="89"/>
        <v>44.83255562073203</v>
      </c>
      <c r="AA246" s="386">
        <f t="shared" si="90"/>
        <v>52.284526482088545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0.14252727073868382</v>
      </c>
      <c r="AD246" s="231">
        <f>(INDEX(Models!$BJ246:$BT246,,AH246)*(1-AF246)+INDEX(Models!$BJ246:$BT246,,AH246+1)*AF246-ERP_i)*AE246*Ramure*Pc/MaxiM</f>
        <v>2.89341266977789E-3</v>
      </c>
      <c r="AE246" s="305">
        <f t="shared" si="92"/>
        <v>0.7</v>
      </c>
      <c r="AF246" s="177">
        <f t="shared" si="93"/>
        <v>0.97451860827863768</v>
      </c>
      <c r="AG246" s="921">
        <f t="shared" si="99"/>
        <v>1</v>
      </c>
      <c r="AH246" s="176">
        <f t="shared" si="94"/>
        <v>7</v>
      </c>
      <c r="AI246" s="225">
        <f t="shared" si="95"/>
        <v>1.9745186082786377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30.750691536951845</v>
      </c>
      <c r="C247" s="955"/>
      <c r="D247" s="393">
        <f t="shared" si="77"/>
        <v>32.58621060379533</v>
      </c>
      <c r="E247" s="385">
        <f t="shared" si="100"/>
        <v>34.844244749285416</v>
      </c>
      <c r="F247" s="385">
        <f t="shared" si="78"/>
        <v>34.847149247545701</v>
      </c>
      <c r="G247" s="110">
        <f t="shared" si="101"/>
        <v>0.66768047036636513</v>
      </c>
      <c r="H247" s="414" t="b">
        <f>Wh_hp&gt;='2024'!Maxi_hp</f>
        <v>0</v>
      </c>
      <c r="I247" s="390">
        <f>IF(H247,Wh_hp,'2024'!Maxi_hp)</f>
        <v>51.773522913939907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5.6328091939285008E-2</v>
      </c>
      <c r="M247" s="959"/>
      <c r="N247" s="959"/>
      <c r="O247" s="48">
        <f>IF(t&lt;Tnet,'2024'!Resal+('2024'!Salim-'2024'!Resal)*(1-EXP(('2024'!Tnet-t)/('2024'!Tau_j))),Resal+(Salim-Resal)*(1-EXP((Tnet-t)/(Tau_j))))*Salcycl</f>
        <v>6.4803647251857555E-2</v>
      </c>
      <c r="P247" s="169">
        <f>(INDEX(Models!$BJ247:$BT247,,T247)*(1-R247)+INDEX(Models!$BJ247:$BT247,,T247+1)*R247-ERP_i)*Q247*Ramure*Pc/MaxiM</f>
        <v>1.5866164137168839E-4</v>
      </c>
      <c r="Q247" s="305">
        <f t="shared" si="80"/>
        <v>0.7</v>
      </c>
      <c r="R247" s="177">
        <f t="shared" si="81"/>
        <v>0.45051416638832298</v>
      </c>
      <c r="S247" s="921">
        <f t="shared" si="82"/>
        <v>-2</v>
      </c>
      <c r="T247" s="176">
        <f t="shared" si="83"/>
        <v>4</v>
      </c>
      <c r="U247" s="251">
        <f t="shared" si="84"/>
        <v>-1.549485833611677</v>
      </c>
      <c r="V247" s="383">
        <f t="shared" si="85"/>
        <v>46.052530833677459</v>
      </c>
      <c r="W247" s="402">
        <f t="shared" si="86"/>
        <v>30.750691536951845</v>
      </c>
      <c r="X247" s="157">
        <f t="shared" si="87"/>
        <v>45890</v>
      </c>
      <c r="Y247" s="385">
        <f t="shared" si="88"/>
        <v>28.155166183350794</v>
      </c>
      <c r="Z247" s="385">
        <f t="shared" si="89"/>
        <v>29.835757473390121</v>
      </c>
      <c r="AA247" s="386">
        <f t="shared" si="90"/>
        <v>34.795575511107188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0.1425416296429364</v>
      </c>
      <c r="AD247" s="231">
        <f>(INDEX(Models!$BJ247:$BT247,,AH247)*(1-AF247)+INDEX(Models!$BJ247:$BT247,,AH247+1)*AF247-ERP_i)*AE247*Ramure*Pc/MaxiM</f>
        <v>2.8172761495151876E-3</v>
      </c>
      <c r="AE247" s="305">
        <f t="shared" si="92"/>
        <v>0.7</v>
      </c>
      <c r="AF247" s="177">
        <f t="shared" si="93"/>
        <v>0.9755017327623019</v>
      </c>
      <c r="AG247" s="921">
        <f t="shared" si="99"/>
        <v>1</v>
      </c>
      <c r="AH247" s="176">
        <f t="shared" si="94"/>
        <v>7</v>
      </c>
      <c r="AI247" s="225">
        <f t="shared" si="95"/>
        <v>1.9755017327623019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22.013958980029081</v>
      </c>
      <c r="C248" s="955"/>
      <c r="D248" s="393">
        <f t="shared" si="77"/>
        <v>23.328490511103052</v>
      </c>
      <c r="E248" s="385">
        <f t="shared" si="100"/>
        <v>24.947416236931755</v>
      </c>
      <c r="F248" s="385">
        <f t="shared" si="78"/>
        <v>24.948340544215487</v>
      </c>
      <c r="G248" s="110">
        <f t="shared" si="101"/>
        <v>0.47902997362735422</v>
      </c>
      <c r="H248" s="414" t="b">
        <f>Wh_hp&gt;='2024'!Maxi_hp</f>
        <v>0</v>
      </c>
      <c r="I248" s="390">
        <f>IF(H248,Wh_hp,'2024'!Maxi_hp)</f>
        <v>53.717329476513434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5.6348760775941642E-2</v>
      </c>
      <c r="M248" s="959"/>
      <c r="N248" s="959"/>
      <c r="O248" s="48">
        <f>IF(t&lt;Tnet,'2024'!Resal+('2024'!Salim-'2024'!Resal)*(1-EXP(('2024'!Tnet-t)/('2024'!Tau_j))),Resal+(Salim-Resal)*(1-EXP((Tnet-t)/(Tau_j))))*Salcycl</f>
        <v>6.4893522858374006E-2</v>
      </c>
      <c r="P248" s="169">
        <f>(INDEX(Models!$BJ248:$BT248,,T248)*(1-R248)+INDEX(Models!$BJ248:$BT248,,T248+1)*R248-ERP_i)*Q248*Ramure*Pc/MaxiM</f>
        <v>1.4481774220205458E-4</v>
      </c>
      <c r="Q248" s="305">
        <f t="shared" si="80"/>
        <v>0.7</v>
      </c>
      <c r="R248" s="177">
        <f t="shared" si="81"/>
        <v>0.45146154073994138</v>
      </c>
      <c r="S248" s="921">
        <f t="shared" si="82"/>
        <v>-2</v>
      </c>
      <c r="T248" s="176">
        <f t="shared" si="83"/>
        <v>4</v>
      </c>
      <c r="U248" s="251">
        <f t="shared" si="84"/>
        <v>-1.5485384592600586</v>
      </c>
      <c r="V248" s="383">
        <f t="shared" si="85"/>
        <v>45.950332304766242</v>
      </c>
      <c r="W248" s="402">
        <f t="shared" si="86"/>
        <v>22.013958980029081</v>
      </c>
      <c r="X248" s="157">
        <f t="shared" si="87"/>
        <v>45891</v>
      </c>
      <c r="Y248" s="385">
        <f t="shared" si="88"/>
        <v>20.172205803863879</v>
      </c>
      <c r="Z248" s="385">
        <f t="shared" si="89"/>
        <v>21.376759723699401</v>
      </c>
      <c r="AA248" s="386">
        <f t="shared" si="90"/>
        <v>24.930779812580724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0.1425555123264885</v>
      </c>
      <c r="AD248" s="231">
        <f>(INDEX(Models!$BJ248:$BT248,,AH248)*(1-AF248)+INDEX(Models!$BJ248:$BT248,,AH248+1)*AF248-ERP_i)*AE248*Ramure*Pc/MaxiM</f>
        <v>2.7513636985496978E-3</v>
      </c>
      <c r="AE248" s="305">
        <f t="shared" si="92"/>
        <v>0.7</v>
      </c>
      <c r="AF248" s="177">
        <f t="shared" si="93"/>
        <v>0.9764491071139203</v>
      </c>
      <c r="AG248" s="921">
        <f t="shared" si="99"/>
        <v>1</v>
      </c>
      <c r="AH248" s="176">
        <f t="shared" si="94"/>
        <v>7</v>
      </c>
      <c r="AI248" s="225">
        <f t="shared" si="95"/>
        <v>1.9764491071139203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42.713451229507925</v>
      </c>
      <c r="C249" s="955"/>
      <c r="D249" s="393">
        <f t="shared" si="77"/>
        <v>45.265014243318426</v>
      </c>
      <c r="E249" s="385">
        <f t="shared" si="100"/>
        <v>48.410904194105029</v>
      </c>
      <c r="F249" s="385">
        <f t="shared" si="78"/>
        <v>48.416670668832182</v>
      </c>
      <c r="G249" s="110">
        <f t="shared" si="101"/>
        <v>0.93159487129352914</v>
      </c>
      <c r="H249" s="414" t="b">
        <f>Wh_hp&gt;='2024'!Maxi_hp</f>
        <v>0</v>
      </c>
      <c r="I249" s="390">
        <f>IF(H249,Wh_hp,'2024'!Maxi_hp)</f>
        <v>51.339633290441888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5.6369429159897733E-2</v>
      </c>
      <c r="M249" s="959"/>
      <c r="N249" s="959"/>
      <c r="O249" s="48">
        <f>IF(t&lt;Tnet,'2024'!Resal+('2024'!Salim-'2024'!Resal)*(1-EXP(('2024'!Tnet-t)/('2024'!Tau_j))),Resal+(Salim-Resal)*(1-EXP((Tnet-t)/(Tau_j))))*Salcycl</f>
        <v>6.498308600419983E-2</v>
      </c>
      <c r="P249" s="169">
        <f>(INDEX(Models!$BJ249:$BT249,,T249)*(1-R249)+INDEX(Models!$BJ249:$BT249,,T249+1)*R249-ERP_i)*Q249*Ramure*Pc/MaxiM</f>
        <v>1.3199778804258812E-4</v>
      </c>
      <c r="Q249" s="305">
        <f t="shared" si="80"/>
        <v>0.7</v>
      </c>
      <c r="R249" s="177">
        <f t="shared" si="81"/>
        <v>0.45237432302432756</v>
      </c>
      <c r="S249" s="921">
        <f t="shared" si="82"/>
        <v>-2</v>
      </c>
      <c r="T249" s="176">
        <f t="shared" si="83"/>
        <v>4</v>
      </c>
      <c r="U249" s="251">
        <f t="shared" si="84"/>
        <v>-1.5476256769756724</v>
      </c>
      <c r="V249" s="383">
        <f t="shared" si="85"/>
        <v>45.849222247212118</v>
      </c>
      <c r="W249" s="402">
        <f t="shared" si="86"/>
        <v>42.713451229507925</v>
      </c>
      <c r="X249" s="157">
        <f t="shared" si="87"/>
        <v>45892</v>
      </c>
      <c r="Y249" s="385">
        <f t="shared" si="88"/>
        <v>39.078639510859873</v>
      </c>
      <c r="Z249" s="385">
        <f t="shared" si="89"/>
        <v>41.413070663944957</v>
      </c>
      <c r="AA249" s="386">
        <f t="shared" si="90"/>
        <v>48.299006986546758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0.14256890052666735</v>
      </c>
      <c r="AD249" s="231">
        <f>(INDEX(Models!$BJ249:$BT249,,AH249)*(1-AF249)+INDEX(Models!$BJ249:$BT249,,AH249+1)*AF249-ERP_i)*AE249*Ramure*Pc/MaxiM</f>
        <v>2.6933866061182475E-3</v>
      </c>
      <c r="AE249" s="305">
        <f t="shared" si="92"/>
        <v>0.7</v>
      </c>
      <c r="AF249" s="177">
        <f t="shared" si="93"/>
        <v>0.9773618893983067</v>
      </c>
      <c r="AG249" s="921">
        <f t="shared" si="99"/>
        <v>1</v>
      </c>
      <c r="AH249" s="176">
        <f t="shared" si="94"/>
        <v>7</v>
      </c>
      <c r="AI249" s="225">
        <f t="shared" si="95"/>
        <v>1.9773618893983067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44.093674893643211</v>
      </c>
      <c r="C250" s="955"/>
      <c r="D250" s="393">
        <f t="shared" si="77"/>
        <v>46.728711470404257</v>
      </c>
      <c r="E250" s="385">
        <f t="shared" si="100"/>
        <v>49.981097825796219</v>
      </c>
      <c r="F250" s="385">
        <f t="shared" si="78"/>
        <v>49.986796645579439</v>
      </c>
      <c r="G250" s="110">
        <f t="shared" si="101"/>
        <v>0.96381633068831418</v>
      </c>
      <c r="H250" s="414" t="b">
        <f>Wh_hp&gt;='2024'!Maxi_hp</f>
        <v>0</v>
      </c>
      <c r="I250" s="390">
        <f>IF(H250,Wh_hp,'2024'!Maxi_hp)</f>
        <v>51.228164501997107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5.639009709116316E-2</v>
      </c>
      <c r="M250" s="959"/>
      <c r="N250" s="959"/>
      <c r="O250" s="48">
        <f>IF(t&lt;Tnet,'2024'!Resal+('2024'!Salim-'2024'!Resal)*(1-EXP(('2024'!Tnet-t)/('2024'!Tau_j))),Resal+(Salim-Resal)*(1-EXP((Tnet-t)/(Tau_j))))*Salcycl</f>
        <v>6.5072327277160003E-2</v>
      </c>
      <c r="P250" s="169">
        <f>(INDEX(Models!$BJ250:$BT250,,T250)*(1-R250)+INDEX(Models!$BJ250:$BT250,,T250+1)*R250-ERP_i)*Q250*Ramure*Pc/MaxiM</f>
        <v>1.2021974606134612E-4</v>
      </c>
      <c r="Q250" s="305">
        <f t="shared" si="80"/>
        <v>0.7</v>
      </c>
      <c r="R250" s="177">
        <f t="shared" si="81"/>
        <v>0.45325364457399187</v>
      </c>
      <c r="S250" s="921">
        <f t="shared" si="82"/>
        <v>-2</v>
      </c>
      <c r="T250" s="176">
        <f t="shared" si="83"/>
        <v>4</v>
      </c>
      <c r="U250" s="251">
        <f t="shared" si="84"/>
        <v>-1.5467463554260081</v>
      </c>
      <c r="V250" s="383">
        <f t="shared" si="85"/>
        <v>45.748758859595036</v>
      </c>
      <c r="W250" s="402">
        <f t="shared" si="86"/>
        <v>44.093674893643211</v>
      </c>
      <c r="X250" s="157">
        <f t="shared" si="87"/>
        <v>45893</v>
      </c>
      <c r="Y250" s="385">
        <f t="shared" si="88"/>
        <v>40.341352048939719</v>
      </c>
      <c r="Z250" s="385">
        <f t="shared" si="89"/>
        <v>42.752149934608241</v>
      </c>
      <c r="AA250" s="386">
        <f t="shared" si="90"/>
        <v>49.861489644378125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0.14258177524328056</v>
      </c>
      <c r="AD250" s="231">
        <f>(INDEX(Models!$BJ250:$BT250,,AH250)*(1-AF250)+INDEX(Models!$BJ250:$BT250,,AH250+1)*AF250-ERP_i)*AE250*Ramure*Pc/MaxiM</f>
        <v>2.6434202935284056E-3</v>
      </c>
      <c r="AE250" s="305">
        <f t="shared" si="92"/>
        <v>0.7</v>
      </c>
      <c r="AF250" s="177">
        <f t="shared" si="93"/>
        <v>0.97824121094797079</v>
      </c>
      <c r="AG250" s="921">
        <f t="shared" si="99"/>
        <v>1</v>
      </c>
      <c r="AH250" s="176">
        <f t="shared" si="94"/>
        <v>7</v>
      </c>
      <c r="AI250" s="225">
        <f t="shared" si="95"/>
        <v>1.9782412109479708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28.474745559614501</v>
      </c>
      <c r="C251" s="955"/>
      <c r="D251" s="393">
        <f t="shared" si="77"/>
        <v>30.177056382622631</v>
      </c>
      <c r="E251" s="385">
        <f t="shared" si="100"/>
        <v>32.280493250492448</v>
      </c>
      <c r="F251" s="385">
        <f t="shared" si="78"/>
        <v>32.282128309887582</v>
      </c>
      <c r="G251" s="110">
        <f t="shared" si="101"/>
        <v>0.62374600095144639</v>
      </c>
      <c r="H251" s="414" t="b">
        <f>Wh_hp&gt;='2024'!Maxi_hp</f>
        <v>0</v>
      </c>
      <c r="I251" s="390">
        <f>IF(H251,Wh_hp,'2024'!Maxi_hp)</f>
        <v>50.680972332086561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5.6410764569747807E-2</v>
      </c>
      <c r="M251" s="959"/>
      <c r="N251" s="959"/>
      <c r="O251" s="48">
        <f>IF(t&lt;Tnet,'2024'!Resal+('2024'!Salim-'2024'!Resal)*(1-EXP(('2024'!Tnet-t)/('2024'!Tau_j))),Resal+(Salim-Resal)*(1-EXP((Tnet-t)/(Tau_j))))*Salcycl</f>
        <v>6.5161236897695998E-2</v>
      </c>
      <c r="P251" s="169">
        <f>(INDEX(Models!$BJ251:$BT251,,T251)*(1-R251)+INDEX(Models!$BJ251:$BT251,,T251+1)*R251-ERP_i)*Q251*Ramure*Pc/MaxiM</f>
        <v>1.0950041270667624E-4</v>
      </c>
      <c r="Q251" s="305">
        <f t="shared" si="80"/>
        <v>0.7</v>
      </c>
      <c r="R251" s="177">
        <f t="shared" si="81"/>
        <v>0.45410060974195643</v>
      </c>
      <c r="S251" s="921">
        <f t="shared" si="82"/>
        <v>-2</v>
      </c>
      <c r="T251" s="176">
        <f t="shared" si="83"/>
        <v>4</v>
      </c>
      <c r="U251" s="251">
        <f t="shared" si="84"/>
        <v>-1.5458993902580436</v>
      </c>
      <c r="V251" s="383">
        <f t="shared" si="85"/>
        <v>45.648500597928873</v>
      </c>
      <c r="W251" s="402">
        <f t="shared" si="86"/>
        <v>28.474745559614501</v>
      </c>
      <c r="X251" s="157">
        <f t="shared" si="87"/>
        <v>45894</v>
      </c>
      <c r="Y251" s="385">
        <f t="shared" si="88"/>
        <v>26.08607153414189</v>
      </c>
      <c r="Z251" s="385">
        <f t="shared" si="89"/>
        <v>27.645579829285907</v>
      </c>
      <c r="AA251" s="386">
        <f t="shared" si="90"/>
        <v>32.243282172246786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0.14259411676514508</v>
      </c>
      <c r="AD251" s="231">
        <f>(INDEX(Models!$BJ251:$BT251,,AH251)*(1-AF251)+INDEX(Models!$BJ251:$BT251,,AH251+1)*AF251-ERP_i)*AE251*Ramure*Pc/MaxiM</f>
        <v>2.6015373608963503E-3</v>
      </c>
      <c r="AE251" s="305">
        <f t="shared" si="92"/>
        <v>0.7</v>
      </c>
      <c r="AF251" s="177">
        <f t="shared" si="93"/>
        <v>0.97908817611593557</v>
      </c>
      <c r="AG251" s="921">
        <f t="shared" si="99"/>
        <v>1</v>
      </c>
      <c r="AH251" s="176">
        <f t="shared" si="94"/>
        <v>7</v>
      </c>
      <c r="AI251" s="225">
        <f t="shared" si="95"/>
        <v>1.9790881761159356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39.102886391612927</v>
      </c>
      <c r="C252" s="955"/>
      <c r="D252" s="393">
        <f t="shared" si="77"/>
        <v>41.441488939950091</v>
      </c>
      <c r="E252" s="385">
        <f t="shared" si="100"/>
        <v>44.334292893767852</v>
      </c>
      <c r="F252" s="385">
        <f t="shared" si="78"/>
        <v>44.337825293422796</v>
      </c>
      <c r="G252" s="110">
        <f t="shared" si="101"/>
        <v>0.85848098098814862</v>
      </c>
      <c r="H252" s="414" t="b">
        <f>Wh_hp&gt;='2024'!Maxi_hp</f>
        <v>0</v>
      </c>
      <c r="I252" s="390">
        <f>IF(H252,Wh_hp,'2024'!Maxi_hp)</f>
        <v>53.637175533284911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5.6431431595661663E-2</v>
      </c>
      <c r="M252" s="959"/>
      <c r="N252" s="959"/>
      <c r="O252" s="48">
        <f>IF(t&lt;Tnet,'2024'!Resal+('2024'!Salim-'2024'!Resal)*(1-EXP(('2024'!Tnet-t)/('2024'!Tau_j))),Resal+(Salim-Resal)*(1-EXP((Tnet-t)/(Tau_j))))*Salcycl</f>
        <v>6.5249804722258373E-2</v>
      </c>
      <c r="P252" s="169">
        <f>(INDEX(Models!$BJ252:$BT252,,T252)*(1-R252)+INDEX(Models!$BJ252:$BT252,,T252+1)*R252-ERP_i)*Q252*Ramure*Pc/MaxiM</f>
        <v>9.9855415131017966E-5</v>
      </c>
      <c r="Q252" s="305">
        <f t="shared" si="80"/>
        <v>0.7</v>
      </c>
      <c r="R252" s="177">
        <f t="shared" si="81"/>
        <v>0.45491629574336012</v>
      </c>
      <c r="S252" s="921">
        <f t="shared" si="82"/>
        <v>-2</v>
      </c>
      <c r="T252" s="176">
        <f t="shared" si="83"/>
        <v>4</v>
      </c>
      <c r="U252" s="251">
        <f t="shared" si="84"/>
        <v>-1.5450837042566399</v>
      </c>
      <c r="V252" s="383">
        <f t="shared" si="85"/>
        <v>45.548006177412589</v>
      </c>
      <c r="W252" s="402">
        <f t="shared" si="86"/>
        <v>39.102886391612927</v>
      </c>
      <c r="X252" s="157">
        <f t="shared" si="87"/>
        <v>45895</v>
      </c>
      <c r="Y252" s="385">
        <f t="shared" si="88"/>
        <v>35.796261674720718</v>
      </c>
      <c r="Z252" s="385">
        <f t="shared" si="89"/>
        <v>37.937106929341134</v>
      </c>
      <c r="AA252" s="386">
        <f t="shared" si="90"/>
        <v>44.246988796043986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0.14260590468174422</v>
      </c>
      <c r="AD252" s="231">
        <f>(INDEX(Models!$BJ252:$BT252,,AH252)*(1-AF252)+INDEX(Models!$BJ252:$BT252,,AH252+1)*AF252-ERP_i)*AE252*Ramure*Pc/MaxiM</f>
        <v>2.5678057527029579E-3</v>
      </c>
      <c r="AE252" s="305">
        <f t="shared" si="92"/>
        <v>0.7</v>
      </c>
      <c r="AF252" s="177">
        <f t="shared" si="93"/>
        <v>0.97990386211733904</v>
      </c>
      <c r="AG252" s="921">
        <f t="shared" si="99"/>
        <v>1</v>
      </c>
      <c r="AH252" s="176">
        <f t="shared" si="94"/>
        <v>7</v>
      </c>
      <c r="AI252" s="225">
        <f t="shared" si="95"/>
        <v>1.979903862117339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43.92758783884593</v>
      </c>
      <c r="C253" s="955"/>
      <c r="D253" s="393">
        <f t="shared" si="77"/>
        <v>46.555758063367385</v>
      </c>
      <c r="E253" s="385">
        <f t="shared" si="100"/>
        <v>49.810261968003381</v>
      </c>
      <c r="F253" s="385">
        <f t="shared" si="78"/>
        <v>49.814592815628295</v>
      </c>
      <c r="G253" s="110">
        <f t="shared" si="101"/>
        <v>0.96656668638982768</v>
      </c>
      <c r="H253" s="414" t="b">
        <f>Wh_hp&gt;='2024'!Maxi_hp</f>
        <v>0</v>
      </c>
      <c r="I253" s="390">
        <f>IF(H253,Wh_hp,'2024'!Maxi_hp)</f>
        <v>51.403994258295555</v>
      </c>
      <c r="J253" s="85">
        <f>IF(H253,An,'2024'!An_max)</f>
        <v>2018</v>
      </c>
      <c r="K253" s="197">
        <f t="shared" si="79"/>
        <v>45896</v>
      </c>
      <c r="L253" s="147">
        <f>IF(t&lt;Tvie,1-EXP((T0-t)*PertePVj)+'2024'!Pspv,1-EXP((T0-t)*PertePVj)+Pspv)</f>
        <v>5.6452098168914611E-2</v>
      </c>
      <c r="M253" s="959"/>
      <c r="N253" s="959"/>
      <c r="O253" s="48">
        <f>IF(t&lt;Tnet,'2024'!Resal+('2024'!Salim-'2024'!Resal)*(1-EXP(('2024'!Tnet-t)/('2024'!Tau_j))),Resal+(Salim-Resal)*(1-EXP((Tnet-t)/(Tau_j))))*Salcycl</f>
        <v>6.5338020240218619E-2</v>
      </c>
      <c r="P253" s="169">
        <f>(INDEX(Models!$BJ253:$BT253,,T253)*(1-R253)+INDEX(Models!$BJ253:$BT253,,T253+1)*R253-ERP_i)*Q253*Ramure*Pc/MaxiM</f>
        <v>9.12994178636594E-5</v>
      </c>
      <c r="Q253" s="305">
        <f t="shared" si="80"/>
        <v>0.7</v>
      </c>
      <c r="R253" s="177">
        <f t="shared" si="81"/>
        <v>0.45570175257860734</v>
      </c>
      <c r="S253" s="921">
        <f t="shared" si="82"/>
        <v>-2</v>
      </c>
      <c r="T253" s="176">
        <f t="shared" si="83"/>
        <v>4</v>
      </c>
      <c r="U253" s="251">
        <f t="shared" si="84"/>
        <v>-1.5442982474213927</v>
      </c>
      <c r="V253" s="383">
        <f t="shared" si="85"/>
        <v>45.446834566983846</v>
      </c>
      <c r="W253" s="402">
        <f t="shared" si="86"/>
        <v>43.92758783884593</v>
      </c>
      <c r="X253" s="157">
        <f t="shared" si="87"/>
        <v>45896</v>
      </c>
      <c r="Y253" s="385">
        <f t="shared" si="88"/>
        <v>40.201540570033657</v>
      </c>
      <c r="Z253" s="385">
        <f t="shared" si="89"/>
        <v>42.606782858630709</v>
      </c>
      <c r="AA253" s="386">
        <f t="shared" si="90"/>
        <v>49.693997567703903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0.14261711788063461</v>
      </c>
      <c r="AD253" s="231">
        <f>(INDEX(Models!$BJ253:$BT253,,AH253)*(1-AF253)+INDEX(Models!$BJ253:$BT253,,AH253+1)*AF253-ERP_i)*AE253*Ramure*Pc/MaxiM</f>
        <v>2.5422912293865392E-3</v>
      </c>
      <c r="AE253" s="305">
        <f t="shared" si="92"/>
        <v>0.7</v>
      </c>
      <c r="AF253" s="177">
        <f t="shared" si="93"/>
        <v>0.98068931895258626</v>
      </c>
      <c r="AG253" s="921">
        <f t="shared" si="99"/>
        <v>1</v>
      </c>
      <c r="AH253" s="176">
        <f t="shared" si="94"/>
        <v>7</v>
      </c>
      <c r="AI253" s="225">
        <f t="shared" si="95"/>
        <v>1.9806893189525863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44.033129714028824</v>
      </c>
      <c r="C254" s="955"/>
      <c r="D254" s="393">
        <f t="shared" si="77"/>
        <v>46.668636630156762</v>
      </c>
      <c r="E254" s="385">
        <f t="shared" si="100"/>
        <v>49.935725011159725</v>
      </c>
      <c r="F254" s="385">
        <f t="shared" si="78"/>
        <v>49.939752679591834</v>
      </c>
      <c r="G254" s="110">
        <f t="shared" si="101"/>
        <v>0.97107577110209831</v>
      </c>
      <c r="H254" s="414" t="b">
        <f>Wh_hp&gt;='2024'!Maxi_hp</f>
        <v>0</v>
      </c>
      <c r="I254" s="390">
        <f>IF(H254,Wh_hp,'2024'!Maxi_hp)</f>
        <v>53.343274555388398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5.647276428951653E-2</v>
      </c>
      <c r="M254" s="959"/>
      <c r="N254" s="959"/>
      <c r="O254" s="48">
        <f>IF(t&lt;Tnet,'2024'!Resal+('2024'!Salim-'2024'!Resal)*(1-EXP(('2024'!Tnet-t)/('2024'!Tau_j))),Resal+(Salim-Resal)*(1-EXP((Tnet-t)/(Tau_j))))*Salcycl</f>
        <v>6.5425872564638429E-2</v>
      </c>
      <c r="P254" s="169">
        <f>(INDEX(Models!$BJ254:$BT254,,T254)*(1-R254)+INDEX(Models!$BJ254:$BT254,,T254+1)*R254-ERP_i)*Q254*Ramure*Pc/MaxiM</f>
        <v>8.4126267445115154E-5</v>
      </c>
      <c r="Q254" s="305">
        <f t="shared" si="80"/>
        <v>0.7</v>
      </c>
      <c r="R254" s="177">
        <f t="shared" si="81"/>
        <v>0.45645800303116735</v>
      </c>
      <c r="S254" s="921">
        <f t="shared" si="82"/>
        <v>-2</v>
      </c>
      <c r="T254" s="176">
        <f t="shared" si="83"/>
        <v>4</v>
      </c>
      <c r="U254" s="251">
        <f t="shared" si="84"/>
        <v>-1.5435419969688327</v>
      </c>
      <c r="V254" s="383">
        <f t="shared" si="85"/>
        <v>45.344532285997992</v>
      </c>
      <c r="W254" s="402">
        <f t="shared" si="86"/>
        <v>44.033129714028824</v>
      </c>
      <c r="X254" s="157">
        <f t="shared" si="87"/>
        <v>45897</v>
      </c>
      <c r="Y254" s="385">
        <f t="shared" si="88"/>
        <v>40.301072978955112</v>
      </c>
      <c r="Z254" s="385">
        <f t="shared" si="89"/>
        <v>42.713205781079637</v>
      </c>
      <c r="AA254" s="386">
        <f t="shared" si="90"/>
        <v>49.818739771968119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0.14262773453146649</v>
      </c>
      <c r="AD254" s="231">
        <f>(INDEX(Models!$BJ254:$BT254,,AH254)*(1-AF254)+INDEX(Models!$BJ254:$BT254,,AH254+1)*AF254-ERP_i)*AE254*Ramure*Pc/MaxiM</f>
        <v>2.5276073248489315E-3</v>
      </c>
      <c r="AE254" s="305">
        <f t="shared" si="92"/>
        <v>0.7</v>
      </c>
      <c r="AF254" s="177">
        <f t="shared" si="93"/>
        <v>0.98144556940514605</v>
      </c>
      <c r="AG254" s="921">
        <f t="shared" si="99"/>
        <v>1</v>
      </c>
      <c r="AH254" s="176">
        <f t="shared" si="94"/>
        <v>7</v>
      </c>
      <c r="AI254" s="225">
        <f t="shared" si="95"/>
        <v>1.981445569405146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30.942945413765347</v>
      </c>
      <c r="C255" s="955"/>
      <c r="D255" s="393">
        <f t="shared" si="77"/>
        <v>32.795686215911346</v>
      </c>
      <c r="E255" s="385">
        <f t="shared" si="100"/>
        <v>35.094868643182856</v>
      </c>
      <c r="F255" s="385">
        <f t="shared" si="78"/>
        <v>35.096365808644094</v>
      </c>
      <c r="G255" s="110">
        <f t="shared" si="101"/>
        <v>0.68393877901054201</v>
      </c>
      <c r="H255" s="414" t="b">
        <f>Wh_hp&gt;='2024'!Maxi_hp</f>
        <v>0</v>
      </c>
      <c r="I255" s="390">
        <f>IF(H255,Wh_hp,'2024'!Maxi_hp)</f>
        <v>52.809812213553279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5.6493429957477415E-2</v>
      </c>
      <c r="M255" s="959"/>
      <c r="N255" s="959"/>
      <c r="O255" s="48">
        <f>IF(t&lt;Tnet,'2024'!Resal+('2024'!Salim-'2024'!Resal)*(1-EXP(('2024'!Tnet-t)/('2024'!Tau_j))),Resal+(Salim-Resal)*(1-EXP((Tnet-t)/(Tau_j))))*Salcycl</f>
        <v>6.5513350417344449E-2</v>
      </c>
      <c r="P255" s="169">
        <f>(INDEX(Models!$BJ255:$BT255,,T255)*(1-R255)+INDEX(Models!$BJ255:$BT255,,T255+1)*R255-ERP_i)*Q255*Ramure*Pc/MaxiM</f>
        <v>7.7770796476663725E-5</v>
      </c>
      <c r="Q255" s="305">
        <f t="shared" si="80"/>
        <v>0.7</v>
      </c>
      <c r="R255" s="177">
        <f t="shared" si="81"/>
        <v>0.45718604273346175</v>
      </c>
      <c r="S255" s="921">
        <f t="shared" si="82"/>
        <v>-2</v>
      </c>
      <c r="T255" s="176">
        <f t="shared" si="83"/>
        <v>4</v>
      </c>
      <c r="U255" s="251">
        <f t="shared" si="84"/>
        <v>-1.5428139572665382</v>
      </c>
      <c r="V255" s="383">
        <f t="shared" si="85"/>
        <v>45.24068505166764</v>
      </c>
      <c r="W255" s="402">
        <f t="shared" si="86"/>
        <v>30.942945413765347</v>
      </c>
      <c r="X255" s="157">
        <f t="shared" si="87"/>
        <v>45898</v>
      </c>
      <c r="Y255" s="385">
        <f t="shared" si="88"/>
        <v>28.351154978737718</v>
      </c>
      <c r="Z255" s="385">
        <f t="shared" si="89"/>
        <v>30.048709652821991</v>
      </c>
      <c r="AA255" s="386">
        <f t="shared" si="90"/>
        <v>35.047856403735089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0.14263773205771096</v>
      </c>
      <c r="AD255" s="231">
        <f>(INDEX(Models!$BJ255:$BT255,,AH255)*(1-AF255)+INDEX(Models!$BJ255:$BT255,,AH255+1)*AF255-ERP_i)*AE255*Ramure*Pc/MaxiM</f>
        <v>2.5198384240454619E-3</v>
      </c>
      <c r="AE255" s="305">
        <f t="shared" si="92"/>
        <v>0.7</v>
      </c>
      <c r="AF255" s="177">
        <f t="shared" si="93"/>
        <v>0.98217360910744089</v>
      </c>
      <c r="AG255" s="921">
        <f t="shared" si="99"/>
        <v>1</v>
      </c>
      <c r="AH255" s="176">
        <f t="shared" si="94"/>
        <v>7</v>
      </c>
      <c r="AI255" s="225">
        <f t="shared" si="95"/>
        <v>1.9821736091074409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43.739194151274781</v>
      </c>
      <c r="C256" s="955"/>
      <c r="D256" s="393">
        <f t="shared" si="77"/>
        <v>46.359138941546746</v>
      </c>
      <c r="E256" s="385">
        <f t="shared" si="100"/>
        <v>49.613827992572503</v>
      </c>
      <c r="F256" s="385">
        <f t="shared" si="78"/>
        <v>49.617254135358287</v>
      </c>
      <c r="G256" s="110">
        <f t="shared" si="101"/>
        <v>0.96907493942106171</v>
      </c>
      <c r="H256" s="414" t="b">
        <f>Wh_hp&gt;='2024'!Maxi_hp</f>
        <v>0</v>
      </c>
      <c r="I256" s="390">
        <f>IF(H256,Wh_hp,'2024'!Maxi_hp)</f>
        <v>51.020688029577649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5.6514095172807144E-2</v>
      </c>
      <c r="M256" s="959"/>
      <c r="N256" s="959"/>
      <c r="O256" s="48">
        <f>IF(t&lt;Tnet,'2024'!Resal+('2024'!Salim-'2024'!Resal)*(1-EXP(('2024'!Tnet-t)/('2024'!Tau_j))),Resal+(Salim-Resal)*(1-EXP((Tnet-t)/(Tau_j))))*Salcycl</f>
        <v>6.5600442108861332E-2</v>
      </c>
      <c r="P256" s="169">
        <f>(INDEX(Models!$BJ256:$BT256,,T256)*(1-R256)+INDEX(Models!$BJ256:$BT256,,T256+1)*R256-ERP_i)*Q256*Ramure*Pc/MaxiM</f>
        <v>7.2242705349873212E-5</v>
      </c>
      <c r="Q256" s="305">
        <f t="shared" si="80"/>
        <v>0.7</v>
      </c>
      <c r="R256" s="177">
        <f t="shared" si="81"/>
        <v>0.45788684029463655</v>
      </c>
      <c r="S256" s="921">
        <f t="shared" si="82"/>
        <v>-2</v>
      </c>
      <c r="T256" s="176">
        <f t="shared" si="83"/>
        <v>4</v>
      </c>
      <c r="U256" s="251">
        <f t="shared" si="84"/>
        <v>-1.5421131597053634</v>
      </c>
      <c r="V256" s="383">
        <f t="shared" si="85"/>
        <v>45.134852609373411</v>
      </c>
      <c r="W256" s="402">
        <f t="shared" si="86"/>
        <v>43.739194151274781</v>
      </c>
      <c r="X256" s="157">
        <f t="shared" si="87"/>
        <v>45899</v>
      </c>
      <c r="Y256" s="385">
        <f t="shared" si="88"/>
        <v>40.03877952687931</v>
      </c>
      <c r="Z256" s="385">
        <f t="shared" si="89"/>
        <v>42.437072267881668</v>
      </c>
      <c r="AA256" s="386">
        <f t="shared" si="90"/>
        <v>49.497787467951404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0.14264708709740562</v>
      </c>
      <c r="AD256" s="231">
        <f>(INDEX(Models!$BJ256:$BT256,,AH256)*(1-AF256)+INDEX(Models!$BJ256:$BT256,,AH256+1)*AF256-ERP_i)*AE256*Ramure*Pc/MaxiM</f>
        <v>2.5190413220458267E-3</v>
      </c>
      <c r="AE256" s="305">
        <f t="shared" si="92"/>
        <v>0.7</v>
      </c>
      <c r="AF256" s="177">
        <f t="shared" si="93"/>
        <v>0.98287440666861547</v>
      </c>
      <c r="AG256" s="921">
        <f t="shared" si="99"/>
        <v>1</v>
      </c>
      <c r="AH256" s="176">
        <f t="shared" si="94"/>
        <v>7</v>
      </c>
      <c r="AI256" s="225">
        <f t="shared" si="95"/>
        <v>1.9828744066686155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19.887384861142092</v>
      </c>
      <c r="C257" s="955"/>
      <c r="D257" s="393">
        <f t="shared" si="77"/>
        <v>21.079085923486506</v>
      </c>
      <c r="E257" s="385">
        <f t="shared" si="100"/>
        <v>22.561057141260331</v>
      </c>
      <c r="F257" s="385">
        <f t="shared" si="78"/>
        <v>22.561365610572583</v>
      </c>
      <c r="G257" s="110">
        <f t="shared" si="101"/>
        <v>0.4416570554351123</v>
      </c>
      <c r="H257" s="414" t="b">
        <f>Wh_hp&gt;='2024'!Maxi_hp</f>
        <v>0</v>
      </c>
      <c r="I257" s="390">
        <f>IF(H257,Wh_hp,'2024'!Maxi_hp)</f>
        <v>51.639133296774915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5.6534759935515599E-2</v>
      </c>
      <c r="M257" s="959"/>
      <c r="N257" s="959"/>
      <c r="O257" s="48">
        <f>IF(t&lt;Tnet,'2024'!Resal+('2024'!Salim-'2024'!Resal)*(1-EXP(('2024'!Tnet-t)/('2024'!Tau_j))),Resal+(Salim-Resal)*(1-EXP((Tnet-t)/(Tau_j))))*Salcycl</f>
        <v>6.5687135513856354E-2</v>
      </c>
      <c r="P257" s="169">
        <f>(INDEX(Models!$BJ257:$BT257,,T257)*(1-R257)+INDEX(Models!$BJ257:$BT257,,T257+1)*R257-ERP_i)*Q257*Ramure*Pc/MaxiM</f>
        <v>6.7551260748052074E-5</v>
      </c>
      <c r="Q257" s="305">
        <f t="shared" si="80"/>
        <v>0.7</v>
      </c>
      <c r="R257" s="177">
        <f t="shared" si="81"/>
        <v>0.4585613374843367</v>
      </c>
      <c r="S257" s="921">
        <f t="shared" si="82"/>
        <v>-2</v>
      </c>
      <c r="T257" s="176">
        <f t="shared" si="83"/>
        <v>4</v>
      </c>
      <c r="U257" s="251">
        <f t="shared" si="84"/>
        <v>-1.5414386625156633</v>
      </c>
      <c r="V257" s="383">
        <f t="shared" si="85"/>
        <v>45.026594941190019</v>
      </c>
      <c r="W257" s="402">
        <f t="shared" si="86"/>
        <v>19.887384861142092</v>
      </c>
      <c r="X257" s="157">
        <f t="shared" si="87"/>
        <v>45900</v>
      </c>
      <c r="Y257" s="385">
        <f t="shared" si="88"/>
        <v>18.23998519533454</v>
      </c>
      <c r="Z257" s="385">
        <f t="shared" si="89"/>
        <v>19.332970013911552</v>
      </c>
      <c r="AA257" s="386">
        <f t="shared" si="90"/>
        <v>22.549834081122931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0.14265577545443242</v>
      </c>
      <c r="AD257" s="231">
        <f>(INDEX(Models!$BJ257:$BT257,,AH257)*(1-AF257)+INDEX(Models!$BJ257:$BT257,,AH257+1)*AF257-ERP_i)*AE257*Ramure*Pc/MaxiM</f>
        <v>2.5252734121006325E-3</v>
      </c>
      <c r="AE257" s="305">
        <f t="shared" si="92"/>
        <v>0.7</v>
      </c>
      <c r="AF257" s="177">
        <f t="shared" si="93"/>
        <v>0.98354890385831562</v>
      </c>
      <c r="AG257" s="921">
        <f t="shared" si="99"/>
        <v>1</v>
      </c>
      <c r="AH257" s="176">
        <f t="shared" si="94"/>
        <v>7</v>
      </c>
      <c r="AI257" s="225">
        <f t="shared" si="95"/>
        <v>1.9835489038583156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40.421029136781684</v>
      </c>
      <c r="C258" s="955"/>
      <c r="D258" s="393">
        <f t="shared" si="77"/>
        <v>42.844095112275831</v>
      </c>
      <c r="E258" s="385">
        <f t="shared" si="100"/>
        <v>45.860496735727075</v>
      </c>
      <c r="F258" s="385">
        <f t="shared" si="78"/>
        <v>45.863000798222451</v>
      </c>
      <c r="G258" s="110">
        <f t="shared" si="101"/>
        <v>0.89992732966289801</v>
      </c>
      <c r="H258" s="414" t="b">
        <f>Wh_hp&gt;='2024'!Maxi_hp</f>
        <v>0</v>
      </c>
      <c r="I258" s="390">
        <f>IF(H258,Wh_hp,'2024'!Maxi_hp)</f>
        <v>52.083506608695828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5.6555424245612773E-2</v>
      </c>
      <c r="M258" s="959"/>
      <c r="N258" s="959"/>
      <c r="O258" s="48">
        <f>IF(t&lt;Tnet,'2024'!Resal+('2024'!Salim-'2024'!Resal)*(1-EXP(('2024'!Tnet-t)/('2024'!Tau_j))),Resal+(Salim-Resal)*(1-EXP((Tnet-t)/(Tau_j))))*Salcycl</f>
        <v>6.5773418042839274E-2</v>
      </c>
      <c r="P258" s="169">
        <f>(INDEX(Models!$BJ258:$BT258,,T258)*(1-R258)+INDEX(Models!$BJ258:$BT258,,T258+1)*R258-ERP_i)*Q258*Ramure*Pc/MaxiM</f>
        <v>6.3705386793776262E-5</v>
      </c>
      <c r="Q258" s="305">
        <f t="shared" si="80"/>
        <v>0.7</v>
      </c>
      <c r="R258" s="177">
        <f t="shared" si="81"/>
        <v>0.45921044946695821</v>
      </c>
      <c r="S258" s="921">
        <f t="shared" si="82"/>
        <v>-2</v>
      </c>
      <c r="T258" s="176">
        <f t="shared" si="83"/>
        <v>4</v>
      </c>
      <c r="U258" s="251">
        <f t="shared" si="84"/>
        <v>-1.5407895505330418</v>
      </c>
      <c r="V258" s="383">
        <f t="shared" si="85"/>
        <v>44.915472266161288</v>
      </c>
      <c r="W258" s="402">
        <f t="shared" si="86"/>
        <v>40.421029136781684</v>
      </c>
      <c r="X258" s="157">
        <f t="shared" si="87"/>
        <v>45901</v>
      </c>
      <c r="Y258" s="385">
        <f t="shared" si="88"/>
        <v>37.015541702374698</v>
      </c>
      <c r="Z258" s="385">
        <f t="shared" si="89"/>
        <v>39.234463426509947</v>
      </c>
      <c r="AA258" s="386">
        <f t="shared" si="90"/>
        <v>45.76321651536815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0.14266377204202249</v>
      </c>
      <c r="AD258" s="231">
        <f>(INDEX(Models!$BJ258:$BT258,,AH258)*(1-AF258)+INDEX(Models!$BJ258:$BT258,,AH258+1)*AF258-ERP_i)*AE258*Ramure*Pc/MaxiM</f>
        <v>2.5385933246086603E-3</v>
      </c>
      <c r="AE258" s="305">
        <f t="shared" si="92"/>
        <v>0.7</v>
      </c>
      <c r="AF258" s="177">
        <f t="shared" si="93"/>
        <v>0.98419801584093713</v>
      </c>
      <c r="AG258" s="921">
        <f t="shared" si="99"/>
        <v>1</v>
      </c>
      <c r="AH258" s="176">
        <f t="shared" si="94"/>
        <v>7</v>
      </c>
      <c r="AI258" s="225">
        <f t="shared" si="95"/>
        <v>1.9841980158409371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37.696458373246557</v>
      </c>
      <c r="C259" s="955"/>
      <c r="D259" s="393">
        <f t="shared" si="77"/>
        <v>39.95707327096715</v>
      </c>
      <c r="E259" s="385">
        <f t="shared" si="100"/>
        <v>42.774147695866624</v>
      </c>
      <c r="F259" s="385">
        <f t="shared" si="78"/>
        <v>42.776156439273237</v>
      </c>
      <c r="G259" s="110">
        <f t="shared" si="101"/>
        <v>0.84140760172902107</v>
      </c>
      <c r="H259" s="414" t="b">
        <f>Wh_hp&gt;='2024'!Maxi_hp</f>
        <v>0</v>
      </c>
      <c r="I259" s="390">
        <f>IF(H259,Wh_hp,'2024'!Maxi_hp)</f>
        <v>50.502495754224739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5.6576088103108435E-2</v>
      </c>
      <c r="M259" s="959"/>
      <c r="N259" s="959"/>
      <c r="O259" s="48">
        <f>IF(t&lt;Tnet,'2024'!Resal+('2024'!Salim-'2024'!Resal)*(1-EXP(('2024'!Tnet-t)/('2024'!Tau_j))),Resal+(Salim-Resal)*(1-EXP((Tnet-t)/(Tau_j))))*Salcycl</f>
        <v>6.5859276610944428E-2</v>
      </c>
      <c r="P259" s="169">
        <f>(INDEX(Models!$BJ259:$BT259,,T259)*(1-R259)+INDEX(Models!$BJ259:$BT259,,T259+1)*R259-ERP_i)*Q259*Ramure*Pc/MaxiM</f>
        <v>6.0713757519188144E-5</v>
      </c>
      <c r="Q259" s="305">
        <f t="shared" si="80"/>
        <v>0.7</v>
      </c>
      <c r="R259" s="177">
        <f t="shared" si="81"/>
        <v>0.4598350650811649</v>
      </c>
      <c r="S259" s="921">
        <f t="shared" si="82"/>
        <v>-2</v>
      </c>
      <c r="T259" s="176">
        <f t="shared" si="83"/>
        <v>4</v>
      </c>
      <c r="U259" s="251">
        <f t="shared" si="84"/>
        <v>-1.5401649349188351</v>
      </c>
      <c r="V259" s="383">
        <f t="shared" si="85"/>
        <v>44.801045036370923</v>
      </c>
      <c r="W259" s="402">
        <f t="shared" si="86"/>
        <v>37.696458373246557</v>
      </c>
      <c r="X259" s="157">
        <f t="shared" si="87"/>
        <v>45902</v>
      </c>
      <c r="Y259" s="385">
        <f t="shared" si="88"/>
        <v>34.529927575590577</v>
      </c>
      <c r="Z259" s="385">
        <f t="shared" si="89"/>
        <v>36.600649125124583</v>
      </c>
      <c r="AA259" s="386">
        <f t="shared" si="90"/>
        <v>42.691488675550289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0.14267105082034706</v>
      </c>
      <c r="AD259" s="231">
        <f>(INDEX(Models!$BJ259:$BT259,,AH259)*(1-AF259)+INDEX(Models!$BJ259:$BT259,,AH259+1)*AF259-ERP_i)*AE259*Ramure*Pc/MaxiM</f>
        <v>2.5590615802061857E-3</v>
      </c>
      <c r="AE259" s="305">
        <f t="shared" si="92"/>
        <v>0.7</v>
      </c>
      <c r="AF259" s="177">
        <f t="shared" si="93"/>
        <v>0.98482263145514382</v>
      </c>
      <c r="AG259" s="921">
        <f t="shared" si="99"/>
        <v>1</v>
      </c>
      <c r="AH259" s="176">
        <f t="shared" si="94"/>
        <v>7</v>
      </c>
      <c r="AI259" s="225">
        <f t="shared" si="95"/>
        <v>1.9848226314551438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35.827268330255606</v>
      </c>
      <c r="C260" s="955"/>
      <c r="D260" s="393">
        <f t="shared" si="77"/>
        <v>37.976621754827356</v>
      </c>
      <c r="E260" s="385">
        <f t="shared" si="100"/>
        <v>40.657787239620149</v>
      </c>
      <c r="F260" s="385">
        <f t="shared" si="78"/>
        <v>40.659494857441636</v>
      </c>
      <c r="G260" s="110">
        <f t="shared" si="101"/>
        <v>0.80179878519984848</v>
      </c>
      <c r="H260" s="414" t="b">
        <f>Wh_hp&gt;='2024'!Maxi_hp</f>
        <v>0</v>
      </c>
      <c r="I260" s="390">
        <f>IF(H260,Wh_hp,'2024'!Maxi_hp)</f>
        <v>52.236523625300045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5.6596751508012577E-2</v>
      </c>
      <c r="M260" s="959"/>
      <c r="N260" s="959"/>
      <c r="O260" s="48">
        <f>IF(t&lt;Tnet,'2024'!Resal+('2024'!Salim-'2024'!Resal)*(1-EXP(('2024'!Tnet-t)/('2024'!Tau_j))),Resal+(Salim-Resal)*(1-EXP((Tnet-t)/(Tau_j))))*Salcycl</f>
        <v>6.594469760469529E-2</v>
      </c>
      <c r="P260" s="169">
        <f>(INDEX(Models!$BJ260:$BT260,,T260)*(1-R260)+INDEX(Models!$BJ260:$BT260,,T260+1)*R260-ERP_i)*Q260*Ramure*Pc/MaxiM</f>
        <v>5.8584890633193308E-5</v>
      </c>
      <c r="Q260" s="305">
        <f t="shared" si="80"/>
        <v>0.7</v>
      </c>
      <c r="R260" s="177">
        <f t="shared" si="81"/>
        <v>0.46043604715979036</v>
      </c>
      <c r="S260" s="921">
        <f t="shared" si="82"/>
        <v>-2</v>
      </c>
      <c r="T260" s="176">
        <f t="shared" si="83"/>
        <v>4</v>
      </c>
      <c r="U260" s="251">
        <f t="shared" si="84"/>
        <v>-1.5395639528402096</v>
      </c>
      <c r="V260" s="383">
        <f t="shared" si="85"/>
        <v>44.682873937878973</v>
      </c>
      <c r="W260" s="402">
        <f t="shared" si="86"/>
        <v>35.827268330255606</v>
      </c>
      <c r="X260" s="157">
        <f t="shared" si="87"/>
        <v>45903</v>
      </c>
      <c r="Y260" s="385">
        <f t="shared" si="88"/>
        <v>32.824448290166131</v>
      </c>
      <c r="Z260" s="385">
        <f t="shared" si="89"/>
        <v>34.793656204423087</v>
      </c>
      <c r="AA260" s="386">
        <f t="shared" si="90"/>
        <v>40.584097166610476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0.14267758473019154</v>
      </c>
      <c r="AD260" s="231">
        <f>(INDEX(Models!$BJ260:$BT260,,AH260)*(1-AF260)+INDEX(Models!$BJ260:$BT260,,AH260+1)*AF260-ERP_i)*AE260*Ramure*Pc/MaxiM</f>
        <v>2.5867412577679117E-3</v>
      </c>
      <c r="AE260" s="305">
        <f t="shared" si="92"/>
        <v>0.7</v>
      </c>
      <c r="AF260" s="177">
        <f t="shared" si="93"/>
        <v>0.98542361353376928</v>
      </c>
      <c r="AG260" s="921">
        <f t="shared" si="99"/>
        <v>1</v>
      </c>
      <c r="AH260" s="176">
        <f t="shared" si="94"/>
        <v>7</v>
      </c>
      <c r="AI260" s="225">
        <f t="shared" si="95"/>
        <v>1.9854236135337693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42.815344733133401</v>
      </c>
      <c r="C261" s="955"/>
      <c r="D261" s="393">
        <f t="shared" si="77"/>
        <v>45.384921652587806</v>
      </c>
      <c r="E261" s="385">
        <f t="shared" si="100"/>
        <v>48.593536691264163</v>
      </c>
      <c r="F261" s="385">
        <f t="shared" si="78"/>
        <v>48.596166459170867</v>
      </c>
      <c r="G261" s="110">
        <f t="shared" si="101"/>
        <v>0.96079561999095564</v>
      </c>
      <c r="H261" s="414" t="b">
        <f>Wh_hp&gt;='2024'!Maxi_hp</f>
        <v>0</v>
      </c>
      <c r="I261" s="390">
        <f>IF(H261,Wh_hp,'2024'!Maxi_hp)</f>
        <v>51.364733019215166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5.6617414460335191E-2</v>
      </c>
      <c r="M261" s="959"/>
      <c r="N261" s="959"/>
      <c r="O261" s="48">
        <f>IF(t&lt;Tnet,'2024'!Resal+('2024'!Salim-'2024'!Resal)*(1-EXP(('2024'!Tnet-t)/('2024'!Tau_j))),Resal+(Salim-Resal)*(1-EXP((Tnet-t)/(Tau_j))))*Salcycl</f>
        <v>6.6029666847714413E-2</v>
      </c>
      <c r="P261" s="169">
        <f>(INDEX(Models!$BJ261:$BT261,,T261)*(1-R261)+INDEX(Models!$BJ261:$BT261,,T261+1)*R261-ERP_i)*Q261*Ramure*Pc/MaxiM</f>
        <v>5.7325026882095187E-5</v>
      </c>
      <c r="Q261" s="305">
        <f t="shared" si="80"/>
        <v>0.7</v>
      </c>
      <c r="R261" s="177">
        <f t="shared" si="81"/>
        <v>0.46101423288555443</v>
      </c>
      <c r="S261" s="921">
        <f t="shared" si="82"/>
        <v>-2</v>
      </c>
      <c r="T261" s="176">
        <f t="shared" si="83"/>
        <v>4</v>
      </c>
      <c r="U261" s="251">
        <f t="shared" si="84"/>
        <v>-1.5389857671144456</v>
      </c>
      <c r="V261" s="383">
        <f t="shared" si="85"/>
        <v>44.562242358756656</v>
      </c>
      <c r="W261" s="402">
        <f t="shared" si="86"/>
        <v>42.815344733133401</v>
      </c>
      <c r="X261" s="157">
        <f t="shared" si="87"/>
        <v>45904</v>
      </c>
      <c r="Y261" s="385">
        <f t="shared" si="88"/>
        <v>39.206223363631764</v>
      </c>
      <c r="Z261" s="385">
        <f t="shared" si="89"/>
        <v>41.559197683518533</v>
      </c>
      <c r="AA261" s="386">
        <f t="shared" si="90"/>
        <v>48.475901490339673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0.14268334562482579</v>
      </c>
      <c r="AD261" s="231">
        <f>(INDEX(Models!$BJ261:$BT261,,AH261)*(1-AF261)+INDEX(Models!$BJ261:$BT261,,AH261+1)*AF261-ERP_i)*AE261*Ramure*Pc/MaxiM</f>
        <v>2.621597348436797E-3</v>
      </c>
      <c r="AE261" s="305">
        <f t="shared" si="92"/>
        <v>0.7</v>
      </c>
      <c r="AF261" s="177">
        <f t="shared" si="93"/>
        <v>0.98600179925953357</v>
      </c>
      <c r="AG261" s="921">
        <f t="shared" si="99"/>
        <v>1</v>
      </c>
      <c r="AH261" s="176">
        <f t="shared" si="94"/>
        <v>7</v>
      </c>
      <c r="AI261" s="225">
        <f t="shared" si="95"/>
        <v>1.9860017992595336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39.308370153268278</v>
      </c>
      <c r="C262" s="955"/>
      <c r="D262" s="393">
        <f t="shared" si="77"/>
        <v>41.668387490773391</v>
      </c>
      <c r="E262" s="385">
        <f t="shared" si="100"/>
        <v>44.618288588259823</v>
      </c>
      <c r="F262" s="385">
        <f t="shared" si="78"/>
        <v>44.620413247045725</v>
      </c>
      <c r="G262" s="110">
        <f t="shared" si="101"/>
        <v>0.88450786336722387</v>
      </c>
      <c r="H262" s="414" t="b">
        <f>Wh_hp&gt;='2024'!Maxi_hp</f>
        <v>0</v>
      </c>
      <c r="I262" s="390">
        <f>IF(H262,Wh_hp,'2024'!Maxi_hp)</f>
        <v>50.98450100113412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5.6638076960086048E-2</v>
      </c>
      <c r="M262" s="959"/>
      <c r="N262" s="959"/>
      <c r="O262" s="48">
        <f>IF(t&lt;Tnet,'2024'!Resal+('2024'!Salim-'2024'!Resal)*(1-EXP(('2024'!Tnet-t)/('2024'!Tau_j))),Resal+(Salim-Resal)*(1-EXP((Tnet-t)/(Tau_j))))*Salcycl</f>
        <v>6.6114169566392197E-2</v>
      </c>
      <c r="P262" s="169">
        <f>(INDEX(Models!$BJ262:$BT262,,T262)*(1-R262)+INDEX(Models!$BJ262:$BT262,,T262+1)*R262-ERP_i)*Q262*Ramure*Pc/MaxiM</f>
        <v>5.702392467599355E-5</v>
      </c>
      <c r="Q262" s="305">
        <f t="shared" si="80"/>
        <v>0.7</v>
      </c>
      <c r="R262" s="177">
        <f t="shared" si="81"/>
        <v>0.46157043417832644</v>
      </c>
      <c r="S262" s="921">
        <f t="shared" si="82"/>
        <v>-2</v>
      </c>
      <c r="T262" s="176">
        <f t="shared" si="83"/>
        <v>4</v>
      </c>
      <c r="U262" s="251">
        <f t="shared" si="84"/>
        <v>-1.5384295658216736</v>
      </c>
      <c r="V262" s="383">
        <f t="shared" si="85"/>
        <v>44.44053237407168</v>
      </c>
      <c r="W262" s="402">
        <f t="shared" si="86"/>
        <v>39.308370153268278</v>
      </c>
      <c r="X262" s="157">
        <f t="shared" si="87"/>
        <v>45905</v>
      </c>
      <c r="Y262" s="385">
        <f t="shared" si="88"/>
        <v>36.006708611129909</v>
      </c>
      <c r="Z262" s="385">
        <f t="shared" si="89"/>
        <v>38.168498994639251</v>
      </c>
      <c r="AA262" s="386">
        <f t="shared" si="90"/>
        <v>44.521145788316183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0.1426883042022713</v>
      </c>
      <c r="AD262" s="231">
        <f>(INDEX(Models!$BJ262:$BT262,,AH262)*(1-AF262)+INDEX(Models!$BJ262:$BT262,,AH262+1)*AF262-ERP_i)*AE262*Ramure*Pc/MaxiM</f>
        <v>2.6642490205672693E-3</v>
      </c>
      <c r="AE262" s="305">
        <f t="shared" si="92"/>
        <v>0.7</v>
      </c>
      <c r="AF262" s="177">
        <f t="shared" si="93"/>
        <v>0.98655800055230536</v>
      </c>
      <c r="AG262" s="921">
        <f t="shared" si="99"/>
        <v>1</v>
      </c>
      <c r="AH262" s="176">
        <f t="shared" si="94"/>
        <v>7</v>
      </c>
      <c r="AI262" s="225">
        <f t="shared" si="95"/>
        <v>1.9865580005523054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42.322370066569405</v>
      </c>
      <c r="C263" s="955"/>
      <c r="D263" s="393">
        <f t="shared" si="77"/>
        <v>44.864326216401771</v>
      </c>
      <c r="E263" s="385">
        <f t="shared" si="100"/>
        <v>48.044805389200235</v>
      </c>
      <c r="F263" s="385">
        <f t="shared" si="78"/>
        <v>48.047371967634597</v>
      </c>
      <c r="G263" s="110">
        <f t="shared" si="101"/>
        <v>0.95497780298763446</v>
      </c>
      <c r="H263" s="414" t="b">
        <f>Wh_hp&gt;='2024'!Maxi_hp</f>
        <v>0</v>
      </c>
      <c r="I263" s="390">
        <f>IF(H263,Wh_hp,'2024'!Maxi_hp)</f>
        <v>50.093779259666192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5.6658739007275249E-2</v>
      </c>
      <c r="M263" s="959"/>
      <c r="N263" s="959"/>
      <c r="O263" s="48">
        <f>IF(t&lt;Tnet,'2024'!Resal+('2024'!Salim-'2024'!Resal)*(1-EXP(('2024'!Tnet-t)/('2024'!Tau_j))),Resal+(Salim-Resal)*(1-EXP((Tnet-t)/(Tau_j))))*Salcycl</f>
        <v>6.619819035656635E-2</v>
      </c>
      <c r="P263" s="169">
        <f>(INDEX(Models!$BJ263:$BT263,,T263)*(1-R263)+INDEX(Models!$BJ263:$BT263,,T263+1)*R263-ERP_i)*Q263*Ramure*Pc/MaxiM</f>
        <v>5.7089210290787864E-5</v>
      </c>
      <c r="Q263" s="305">
        <f t="shared" si="80"/>
        <v>0.7</v>
      </c>
      <c r="R263" s="177">
        <f t="shared" si="81"/>
        <v>0.46210543810995808</v>
      </c>
      <c r="S263" s="921">
        <f t="shared" si="82"/>
        <v>-2</v>
      </c>
      <c r="T263" s="176">
        <f t="shared" si="83"/>
        <v>4</v>
      </c>
      <c r="U263" s="251">
        <f t="shared" si="84"/>
        <v>-1.5378945618900419</v>
      </c>
      <c r="V263" s="383">
        <f t="shared" si="85"/>
        <v>44.317485220471355</v>
      </c>
      <c r="W263" s="402">
        <f t="shared" si="86"/>
        <v>42.322370066569405</v>
      </c>
      <c r="X263" s="157">
        <f t="shared" si="87"/>
        <v>45906</v>
      </c>
      <c r="Y263" s="385">
        <f t="shared" si="88"/>
        <v>38.758982543441952</v>
      </c>
      <c r="Z263" s="385">
        <f t="shared" si="89"/>
        <v>41.086915357284333</v>
      </c>
      <c r="AA263" s="386">
        <f t="shared" si="90"/>
        <v>47.925524971650162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0.14269242994022777</v>
      </c>
      <c r="AD263" s="231">
        <f>(INDEX(Models!$BJ263:$BT263,,AH263)*(1-AF263)+INDEX(Models!$BJ263:$BT263,,AH263+1)*AF263-ERP_i)*AE263*Ramure*Pc/MaxiM</f>
        <v>2.7102810044430901E-3</v>
      </c>
      <c r="AE263" s="305">
        <f t="shared" si="92"/>
        <v>0.7</v>
      </c>
      <c r="AF263" s="177">
        <f t="shared" si="93"/>
        <v>0.987093004483937</v>
      </c>
      <c r="AG263" s="921">
        <f t="shared" si="99"/>
        <v>1</v>
      </c>
      <c r="AH263" s="176">
        <f t="shared" si="94"/>
        <v>7</v>
      </c>
      <c r="AI263" s="225">
        <f t="shared" si="95"/>
        <v>1.987093004483937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33.859904263641674</v>
      </c>
      <c r="C264" s="955"/>
      <c r="D264" s="393">
        <f t="shared" si="77"/>
        <v>35.894375979117754</v>
      </c>
      <c r="E264" s="385">
        <f t="shared" si="100"/>
        <v>38.442404400474345</v>
      </c>
      <c r="F264" s="385">
        <f t="shared" si="78"/>
        <v>38.443877189326116</v>
      </c>
      <c r="G264" s="110">
        <f t="shared" si="101"/>
        <v>0.76617099726837468</v>
      </c>
      <c r="H264" s="414" t="b">
        <f>Wh_hp&gt;='2024'!Maxi_hp</f>
        <v>0</v>
      </c>
      <c r="I264" s="390">
        <f>IF(H264,Wh_hp,'2024'!Maxi_hp)</f>
        <v>51.37719632099251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5.6679400601912455E-2</v>
      </c>
      <c r="M264" s="959"/>
      <c r="N264" s="959"/>
      <c r="O264" s="48">
        <f>IF(t&lt;Tnet,'2024'!Resal+('2024'!Salim-'2024'!Resal)*(1-EXP(('2024'!Tnet-t)/('2024'!Tau_j))),Resal+(Salim-Resal)*(1-EXP((Tnet-t)/(Tau_j))))*Salcycl</f>
        <v>6.6281713152290589E-2</v>
      </c>
      <c r="P264" s="169">
        <f>(INDEX(Models!$BJ264:$BT264,,T264)*(1-R264)+INDEX(Models!$BJ264:$BT264,,T264+1)*R264-ERP_i)*Q264*Ramure*Pc/MaxiM</f>
        <v>5.7524437556400299E-5</v>
      </c>
      <c r="Q264" s="305">
        <f t="shared" si="80"/>
        <v>0.7</v>
      </c>
      <c r="R264" s="177">
        <f t="shared" si="81"/>
        <v>0.4626200073429958</v>
      </c>
      <c r="S264" s="921">
        <f t="shared" si="82"/>
        <v>-2</v>
      </c>
      <c r="T264" s="176">
        <f t="shared" si="83"/>
        <v>4</v>
      </c>
      <c r="U264" s="251">
        <f t="shared" si="84"/>
        <v>-1.5373799926570042</v>
      </c>
      <c r="V264" s="383">
        <f t="shared" si="85"/>
        <v>44.192815655862788</v>
      </c>
      <c r="W264" s="402">
        <f t="shared" si="86"/>
        <v>33.859904263641674</v>
      </c>
      <c r="X264" s="157">
        <f t="shared" si="87"/>
        <v>45907</v>
      </c>
      <c r="Y264" s="385">
        <f t="shared" si="88"/>
        <v>31.032915096064734</v>
      </c>
      <c r="Z264" s="385">
        <f t="shared" si="89"/>
        <v>32.897527220190213</v>
      </c>
      <c r="AA264" s="386">
        <f t="shared" si="90"/>
        <v>38.373220426178833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0.14269569103595528</v>
      </c>
      <c r="AD264" s="231">
        <f>(INDEX(Models!$BJ264:$BT264,,AH264)*(1-AF264)+INDEX(Models!$BJ264:$BT264,,AH264+1)*AF264-ERP_i)*AE264*Ramure*Pc/MaxiM</f>
        <v>2.759723876718433E-3</v>
      </c>
      <c r="AE264" s="305">
        <f t="shared" si="92"/>
        <v>0.7</v>
      </c>
      <c r="AF264" s="177">
        <f t="shared" si="93"/>
        <v>0.9876075737169745</v>
      </c>
      <c r="AG264" s="921">
        <f t="shared" si="99"/>
        <v>1</v>
      </c>
      <c r="AH264" s="176">
        <f t="shared" si="94"/>
        <v>7</v>
      </c>
      <c r="AI264" s="225">
        <f t="shared" si="95"/>
        <v>1.9876075737169745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37.144564820806174</v>
      </c>
      <c r="C265" s="955"/>
      <c r="D265" s="393">
        <f t="shared" si="77"/>
        <v>39.377257767535127</v>
      </c>
      <c r="E265" s="385">
        <f t="shared" si="100"/>
        <v>42.176274463464061</v>
      </c>
      <c r="F265" s="385">
        <f t="shared" si="78"/>
        <v>42.17818275687862</v>
      </c>
      <c r="G265" s="110">
        <f t="shared" si="101"/>
        <v>0.84291466165845963</v>
      </c>
      <c r="H265" s="414" t="b">
        <f>Wh_hp&gt;='2024'!Maxi_hp</f>
        <v>0</v>
      </c>
      <c r="I265" s="390">
        <f>IF(H265,Wh_hp,'2024'!Maxi_hp)</f>
        <v>49.21838095853591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5.6700061744007768E-2</v>
      </c>
      <c r="M265" s="959"/>
      <c r="N265" s="959"/>
      <c r="O265" s="48">
        <f>IF(t&lt;Tnet,'2024'!Resal+('2024'!Salim-'2024'!Resal)*(1-EXP(('2024'!Tnet-t)/('2024'!Tau_j))),Resal+(Salim-Resal)*(1-EXP((Tnet-t)/(Tau_j))))*Salcycl</f>
        <v>6.6364721197782306E-2</v>
      </c>
      <c r="P265" s="169">
        <f>(INDEX(Models!$BJ265:$BT265,,T265)*(1-R265)+INDEX(Models!$BJ265:$BT265,,T265+1)*R265-ERP_i)*Q265*Ramure*Pc/MaxiM</f>
        <v>5.8333083086596955E-5</v>
      </c>
      <c r="Q265" s="305">
        <f t="shared" si="80"/>
        <v>0.7</v>
      </c>
      <c r="R265" s="177">
        <f t="shared" si="81"/>
        <v>0.46311488058984152</v>
      </c>
      <c r="S265" s="921">
        <f t="shared" si="82"/>
        <v>-2</v>
      </c>
      <c r="T265" s="176">
        <f t="shared" si="83"/>
        <v>4</v>
      </c>
      <c r="U265" s="251">
        <f t="shared" si="84"/>
        <v>-1.5368851194101585</v>
      </c>
      <c r="V265" s="383">
        <f t="shared" si="85"/>
        <v>44.066238595361369</v>
      </c>
      <c r="W265" s="402">
        <f t="shared" si="86"/>
        <v>37.144564820806174</v>
      </c>
      <c r="X265" s="157">
        <f t="shared" si="87"/>
        <v>45908</v>
      </c>
      <c r="Y265" s="385">
        <f t="shared" si="88"/>
        <v>34.034787150747356</v>
      </c>
      <c r="Z265" s="385">
        <f t="shared" si="89"/>
        <v>36.080556958025596</v>
      </c>
      <c r="AA265" s="386">
        <f t="shared" si="90"/>
        <v>42.086171787249476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0.14269805435341007</v>
      </c>
      <c r="AD265" s="231">
        <f>(INDEX(Models!$BJ265:$BT265,,AH265)*(1-AF265)+INDEX(Models!$BJ265:$BT265,,AH265+1)*AF265-ERP_i)*AE265*Ramure*Pc/MaxiM</f>
        <v>2.8126091592194803E-3</v>
      </c>
      <c r="AE265" s="305">
        <f t="shared" si="92"/>
        <v>0.7</v>
      </c>
      <c r="AF265" s="177">
        <f t="shared" si="93"/>
        <v>0.98810244696382044</v>
      </c>
      <c r="AG265" s="921">
        <f t="shared" si="99"/>
        <v>1</v>
      </c>
      <c r="AH265" s="176">
        <f t="shared" si="94"/>
        <v>7</v>
      </c>
      <c r="AI265" s="225">
        <f t="shared" si="95"/>
        <v>1.9881024469638204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19.220856072501274</v>
      </c>
      <c r="C266" s="955"/>
      <c r="D266" s="393">
        <f t="shared" si="77"/>
        <v>20.376633442101326</v>
      </c>
      <c r="E266" s="385">
        <f t="shared" si="100"/>
        <v>21.826974732587537</v>
      </c>
      <c r="F266" s="385">
        <f t="shared" si="78"/>
        <v>21.82722984248575</v>
      </c>
      <c r="G266" s="110">
        <f t="shared" si="101"/>
        <v>0.43743841195614053</v>
      </c>
      <c r="H266" s="414" t="b">
        <f>Wh_hp&gt;='2024'!Maxi_hp</f>
        <v>0</v>
      </c>
      <c r="I266" s="390">
        <f>IF(H266,Wh_hp,'2024'!Maxi_hp)</f>
        <v>48.849649959056784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5.6720722433571069E-2</v>
      </c>
      <c r="M266" s="959"/>
      <c r="N266" s="959"/>
      <c r="O266" s="48">
        <f>IF(t&lt;Tnet,'2024'!Resal+('2024'!Salim-'2024'!Resal)*(1-EXP(('2024'!Tnet-t)/('2024'!Tau_j))),Resal+(Salim-Resal)*(1-EXP((Tnet-t)/(Tau_j))))*Salcycl</f>
        <v>6.6447197023637869E-2</v>
      </c>
      <c r="P266" s="169">
        <f>(INDEX(Models!$BJ266:$BT266,,T266)*(1-R266)+INDEX(Models!$BJ266:$BT266,,T266+1)*R266-ERP_i)*Q266*Ramure*Pc/MaxiM</f>
        <v>5.951856959725802E-5</v>
      </c>
      <c r="Q266" s="305">
        <f t="shared" si="80"/>
        <v>0.7</v>
      </c>
      <c r="R266" s="177">
        <f t="shared" si="81"/>
        <v>0.46359077308919661</v>
      </c>
      <c r="S266" s="921">
        <f t="shared" si="82"/>
        <v>-2</v>
      </c>
      <c r="T266" s="176">
        <f t="shared" si="83"/>
        <v>4</v>
      </c>
      <c r="U266" s="251">
        <f t="shared" si="84"/>
        <v>-1.5364092269108034</v>
      </c>
      <c r="V266" s="383">
        <f t="shared" si="85"/>
        <v>43.937469106468328</v>
      </c>
      <c r="W266" s="402">
        <f t="shared" si="86"/>
        <v>19.220856072501274</v>
      </c>
      <c r="X266" s="157">
        <f t="shared" si="87"/>
        <v>45909</v>
      </c>
      <c r="Y266" s="385">
        <f t="shared" si="88"/>
        <v>17.641164822376076</v>
      </c>
      <c r="Z266" s="385">
        <f t="shared" si="89"/>
        <v>18.701953113916176</v>
      </c>
      <c r="AA266" s="386">
        <f t="shared" si="90"/>
        <v>21.814932797752796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0.14269948537990898</v>
      </c>
      <c r="AD266" s="231">
        <f>(INDEX(Models!$BJ266:$BT266,,AH266)*(1-AF266)+INDEX(Models!$BJ266:$BT266,,AH266+1)*AF266-ERP_i)*AE266*Ramure*Pc/MaxiM</f>
        <v>2.8689694829840242E-3</v>
      </c>
      <c r="AE266" s="305">
        <f t="shared" si="92"/>
        <v>0.7</v>
      </c>
      <c r="AF266" s="177">
        <f t="shared" si="93"/>
        <v>0.98857833946317575</v>
      </c>
      <c r="AG266" s="921">
        <f t="shared" si="99"/>
        <v>1</v>
      </c>
      <c r="AH266" s="176">
        <f t="shared" si="94"/>
        <v>7</v>
      </c>
      <c r="AI266" s="225">
        <f t="shared" si="95"/>
        <v>1.9885783394631757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41.961448202879374</v>
      </c>
      <c r="C267" s="955"/>
      <c r="D267" s="393">
        <f t="shared" si="77"/>
        <v>44.48562401866333</v>
      </c>
      <c r="E267" s="385">
        <f t="shared" si="100"/>
        <v>47.656145561167385</v>
      </c>
      <c r="F267" s="385">
        <f t="shared" si="78"/>
        <v>47.658881631126746</v>
      </c>
      <c r="G267" s="110">
        <f t="shared" si="101"/>
        <v>0.95788432970670589</v>
      </c>
      <c r="H267" s="414" t="b">
        <f>Wh_hp&gt;='2024'!Maxi_hp</f>
        <v>1</v>
      </c>
      <c r="I267" s="390">
        <f>IF(H267,Wh_hp,'2024'!Maxi_hp)</f>
        <v>47.658881631126746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5.6741382670612239E-2</v>
      </c>
      <c r="M267" s="959"/>
      <c r="N267" s="959"/>
      <c r="O267" s="48">
        <f>IF(t&lt;Tnet,'2024'!Resal+('2024'!Salim-'2024'!Resal)*(1-EXP(('2024'!Tnet-t)/('2024'!Tau_j))),Resal+(Salim-Resal)*(1-EXP((Tnet-t)/(Tau_j))))*Salcycl</f>
        <v>6.6529122428389445E-2</v>
      </c>
      <c r="P267" s="169">
        <f>(INDEX(Models!$BJ267:$BT267,,T267)*(1-R267)+INDEX(Models!$BJ267:$BT267,,T267+1)*R267-ERP_i)*Q267*Ramure*Pc/MaxiM</f>
        <v>6.1084289258859839E-5</v>
      </c>
      <c r="Q267" s="305">
        <f t="shared" si="80"/>
        <v>0.7</v>
      </c>
      <c r="R267" s="177">
        <f t="shared" si="81"/>
        <v>0.46404837709686153</v>
      </c>
      <c r="S267" s="921">
        <f t="shared" si="82"/>
        <v>-2</v>
      </c>
      <c r="T267" s="176">
        <f t="shared" si="83"/>
        <v>4</v>
      </c>
      <c r="U267" s="251">
        <f t="shared" si="84"/>
        <v>-1.5359516229031385</v>
      </c>
      <c r="V267" s="383">
        <f t="shared" si="85"/>
        <v>43.806222412158107</v>
      </c>
      <c r="W267" s="402">
        <f t="shared" si="86"/>
        <v>41.961448202879374</v>
      </c>
      <c r="X267" s="157">
        <f t="shared" si="87"/>
        <v>45910</v>
      </c>
      <c r="Y267" s="385">
        <f t="shared" si="88"/>
        <v>38.433538771291431</v>
      </c>
      <c r="Z267" s="385">
        <f t="shared" si="89"/>
        <v>40.745494464823281</v>
      </c>
      <c r="AA267" s="386">
        <f t="shared" si="90"/>
        <v>47.527693925847736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0.14269994819454054</v>
      </c>
      <c r="AD267" s="231">
        <f>(INDEX(Models!$BJ267:$BT267,,AH267)*(1-AF267)+INDEX(Models!$BJ267:$BT267,,AH267+1)*AF267-ERP_i)*AE267*Ramure*Pc/MaxiM</f>
        <v>2.9288387561316113E-3</v>
      </c>
      <c r="AE267" s="305">
        <f t="shared" si="92"/>
        <v>0.7</v>
      </c>
      <c r="AF267" s="177">
        <f t="shared" si="93"/>
        <v>0.98903594347084045</v>
      </c>
      <c r="AG267" s="921">
        <f t="shared" si="99"/>
        <v>1</v>
      </c>
      <c r="AH267" s="176">
        <f t="shared" si="94"/>
        <v>7</v>
      </c>
      <c r="AI267" s="225">
        <f t="shared" si="95"/>
        <v>1.9890359434708405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42.746460558032496</v>
      </c>
      <c r="C268" s="955"/>
      <c r="D268" s="393">
        <f t="shared" si="77"/>
        <v>45.318851108681706</v>
      </c>
      <c r="E268" s="385">
        <f t="shared" si="100"/>
        <v>48.552988932448173</v>
      </c>
      <c r="F268" s="385">
        <f t="shared" si="78"/>
        <v>48.555958623775929</v>
      </c>
      <c r="G268" s="110">
        <f t="shared" si="101"/>
        <v>0.97880040112898914</v>
      </c>
      <c r="H268" s="414" t="b">
        <f>Wh_hp&gt;='2024'!Maxi_hp</f>
        <v>1</v>
      </c>
      <c r="I268" s="390">
        <f>IF(H268,Wh_hp,'2024'!Maxi_hp)</f>
        <v>48.555958623775929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5.676204245514116E-2</v>
      </c>
      <c r="M268" s="959"/>
      <c r="N268" s="959"/>
      <c r="O268" s="48">
        <f>IF(t&lt;Tnet,'2024'!Resal+('2024'!Salim-'2024'!Resal)*(1-EXP(('2024'!Tnet-t)/('2024'!Tau_j))),Resal+(Salim-Resal)*(1-EXP((Tnet-t)/(Tau_j))))*Salcycl</f>
        <v>6.6610478466446771E-2</v>
      </c>
      <c r="P268" s="169">
        <f>(INDEX(Models!$BJ268:$BT268,,T268)*(1-R268)+INDEX(Models!$BJ268:$BT268,,T268+1)*R268-ERP_i)*Q268*Ramure*Pc/MaxiM</f>
        <v>6.3070101752621348E-5</v>
      </c>
      <c r="Q268" s="305">
        <f t="shared" si="80"/>
        <v>0.7</v>
      </c>
      <c r="R268" s="177">
        <f t="shared" si="81"/>
        <v>0.46448836238819835</v>
      </c>
      <c r="S268" s="921">
        <f t="shared" si="82"/>
        <v>-2</v>
      </c>
      <c r="T268" s="176">
        <f t="shared" si="83"/>
        <v>4</v>
      </c>
      <c r="U268" s="251">
        <f t="shared" si="84"/>
        <v>-1.5355116376118016</v>
      </c>
      <c r="V268" s="383">
        <f t="shared" si="85"/>
        <v>43.672212293209043</v>
      </c>
      <c r="W268" s="402">
        <f t="shared" si="86"/>
        <v>42.746460558032496</v>
      </c>
      <c r="X268" s="157">
        <f t="shared" si="87"/>
        <v>45911</v>
      </c>
      <c r="Y268" s="385">
        <f t="shared" si="88"/>
        <v>39.150285402032509</v>
      </c>
      <c r="Z268" s="385">
        <f t="shared" si="89"/>
        <v>41.506265824942254</v>
      </c>
      <c r="AA268" s="386">
        <f t="shared" si="90"/>
        <v>48.415067117445787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0.14269940545045795</v>
      </c>
      <c r="AD268" s="231">
        <f>(INDEX(Models!$BJ268:$BT268,,AH268)*(1-AF268)+INDEX(Models!$BJ268:$BT268,,AH268+1)*AF268-ERP_i)*AE268*Ramure*Pc/MaxiM</f>
        <v>2.9922441963138287E-3</v>
      </c>
      <c r="AE268" s="305">
        <f t="shared" si="92"/>
        <v>0.7</v>
      </c>
      <c r="AF268" s="177">
        <f t="shared" si="93"/>
        <v>0.98947592876217727</v>
      </c>
      <c r="AG268" s="921">
        <f t="shared" si="99"/>
        <v>1</v>
      </c>
      <c r="AH268" s="176">
        <f t="shared" si="94"/>
        <v>7</v>
      </c>
      <c r="AI268" s="225">
        <f t="shared" si="95"/>
        <v>1.9894759287621773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30.069275376791978</v>
      </c>
      <c r="C269" s="955"/>
      <c r="D269" s="393">
        <f t="shared" si="77"/>
        <v>31.879478285402481</v>
      </c>
      <c r="E269" s="385">
        <f t="shared" si="100"/>
        <v>34.157483394173013</v>
      </c>
      <c r="F269" s="385">
        <f t="shared" si="78"/>
        <v>34.158726184850089</v>
      </c>
      <c r="G269" s="110">
        <f t="shared" si="101"/>
        <v>0.69066943543221027</v>
      </c>
      <c r="H269" s="414" t="b">
        <f>Wh_hp&gt;='2024'!Maxi_hp</f>
        <v>0</v>
      </c>
      <c r="I269" s="390">
        <f>IF(H269,Wh_hp,'2024'!Maxi_hp)</f>
        <v>49.547587041399964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5.6782701787167822E-2</v>
      </c>
      <c r="M269" s="959"/>
      <c r="N269" s="959"/>
      <c r="O269" s="48">
        <f>IF(t&lt;Tnet,'2024'!Resal+('2024'!Salim-'2024'!Resal)*(1-EXP(('2024'!Tnet-t)/('2024'!Tau_j))),Resal+(Salim-Resal)*(1-EXP((Tnet-t)/(Tau_j))))*Salcycl</f>
        <v>6.669124544342582E-2</v>
      </c>
      <c r="P269" s="169">
        <f>(INDEX(Models!$BJ269:$BT269,,T269)*(1-R269)+INDEX(Models!$BJ269:$BT269,,T269+1)*R269-ERP_i)*Q269*Ramure*Pc/MaxiM</f>
        <v>6.5187272180585942E-5</v>
      </c>
      <c r="Q269" s="305">
        <f t="shared" si="80"/>
        <v>0.7</v>
      </c>
      <c r="R269" s="177">
        <f t="shared" si="81"/>
        <v>0.46491137676978522</v>
      </c>
      <c r="S269" s="921">
        <f t="shared" si="82"/>
        <v>-2</v>
      </c>
      <c r="T269" s="176">
        <f t="shared" si="83"/>
        <v>4</v>
      </c>
      <c r="U269" s="251">
        <f t="shared" si="84"/>
        <v>-1.5350886232302148</v>
      </c>
      <c r="V269" s="383">
        <f t="shared" si="85"/>
        <v>43.535167004113191</v>
      </c>
      <c r="W269" s="402">
        <f t="shared" si="86"/>
        <v>30.069275376791978</v>
      </c>
      <c r="X269" s="157">
        <f t="shared" si="87"/>
        <v>45912</v>
      </c>
      <c r="Y269" s="385">
        <f t="shared" si="88"/>
        <v>27.574384354059973</v>
      </c>
      <c r="Z269" s="385">
        <f t="shared" si="89"/>
        <v>29.234392123964156</v>
      </c>
      <c r="AA269" s="386">
        <f t="shared" si="90"/>
        <v>34.100452268166777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0.14269781837307621</v>
      </c>
      <c r="AD269" s="231">
        <f>(INDEX(Models!$BJ269:$BT269,,AH269)*(1-AF269)+INDEX(Models!$BJ269:$BT269,,AH269+1)*AF269-ERP_i)*AE269*Ramure*Pc/MaxiM</f>
        <v>3.0566029645425256E-3</v>
      </c>
      <c r="AE269" s="305">
        <f t="shared" si="92"/>
        <v>0.7</v>
      </c>
      <c r="AF269" s="177">
        <f t="shared" si="93"/>
        <v>0.98989894314376414</v>
      </c>
      <c r="AG269" s="921">
        <f t="shared" si="99"/>
        <v>1</v>
      </c>
      <c r="AH269" s="176">
        <f t="shared" si="94"/>
        <v>7</v>
      </c>
      <c r="AI269" s="225">
        <f t="shared" si="95"/>
        <v>1.9898989431437641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10.864576572937185</v>
      </c>
      <c r="C270" s="955"/>
      <c r="D270" s="393">
        <f t="shared" si="77"/>
        <v>11.518888129856837</v>
      </c>
      <c r="E270" s="385">
        <f t="shared" si="100"/>
        <v>12.343050958678473</v>
      </c>
      <c r="F270" s="385">
        <f t="shared" si="78"/>
        <v>12.343050958678473</v>
      </c>
      <c r="G270" s="110">
        <f t="shared" si="101"/>
        <v>0.25034896685475166</v>
      </c>
      <c r="H270" s="414" t="b">
        <f>Wh_hp&gt;='2024'!Maxi_hp</f>
        <v>0</v>
      </c>
      <c r="I270" s="390">
        <f>IF(H270,Wh_hp,'2024'!Maxi_hp)</f>
        <v>47.552887947991515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5.6803360666702107E-2</v>
      </c>
      <c r="M270" s="959"/>
      <c r="N270" s="959"/>
      <c r="O270" s="48">
        <f>IF(t&lt;Tnet,'2024'!Resal+('2024'!Salim-'2024'!Resal)*(1-EXP(('2024'!Tnet-t)/('2024'!Tau_j))),Resal+(Salim-Resal)*(1-EXP((Tnet-t)/(Tau_j))))*Salcycl</f>
        <v>6.6771402919807571E-2</v>
      </c>
      <c r="P270" s="169">
        <f>(INDEX(Models!$BJ270:$BT270,,T270)*(1-R270)+INDEX(Models!$BJ270:$BT270,,T270+1)*R270-ERP_i)*Q270*Ramure*Pc/MaxiM</f>
        <v>6.7437175813005659E-5</v>
      </c>
      <c r="Q270" s="305">
        <f t="shared" si="80"/>
        <v>0.7</v>
      </c>
      <c r="R270" s="177">
        <f t="shared" si="81"/>
        <v>0.46531804659799536</v>
      </c>
      <c r="S270" s="921">
        <f t="shared" si="82"/>
        <v>-2</v>
      </c>
      <c r="T270" s="176">
        <f t="shared" si="83"/>
        <v>4</v>
      </c>
      <c r="U270" s="251">
        <f t="shared" si="84"/>
        <v>-1.5346819534020046</v>
      </c>
      <c r="V270" s="383">
        <f t="shared" si="85"/>
        <v>43.394802195767497</v>
      </c>
      <c r="W270" s="402">
        <f t="shared" si="86"/>
        <v>10.864576572937185</v>
      </c>
      <c r="X270" s="157">
        <f t="shared" si="87"/>
        <v>45913</v>
      </c>
      <c r="Y270" s="385">
        <f t="shared" si="88"/>
        <v>9.9806781032470315</v>
      </c>
      <c r="Z270" s="385">
        <f t="shared" si="89"/>
        <v>10.58175749046552</v>
      </c>
      <c r="AA270" s="386">
        <f t="shared" si="90"/>
        <v>12.343050958678473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0.14269514677605519</v>
      </c>
      <c r="AD270" s="231">
        <f>(INDEX(Models!$BJ270:$BT270,,AH270)*(1-AF270)+INDEX(Models!$BJ270:$BT270,,AH270+1)*AF270-ERP_i)*AE270*Ramure*Pc/MaxiM</f>
        <v>3.1219383813102172E-3</v>
      </c>
      <c r="AE270" s="305">
        <f t="shared" si="92"/>
        <v>0.7</v>
      </c>
      <c r="AF270" s="177">
        <f t="shared" si="93"/>
        <v>0.99030561297197428</v>
      </c>
      <c r="AG270" s="921">
        <f t="shared" si="99"/>
        <v>1</v>
      </c>
      <c r="AH270" s="176">
        <f t="shared" si="94"/>
        <v>7</v>
      </c>
      <c r="AI270" s="225">
        <f t="shared" si="95"/>
        <v>1.9903056129719743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32.84357771379694</v>
      </c>
      <c r="C271" s="955"/>
      <c r="D271" s="393">
        <f t="shared" ref="D271:D334" si="102">Wh/(1-Ppv)</f>
        <v>34.822322004255604</v>
      </c>
      <c r="E271" s="385">
        <f t="shared" si="100"/>
        <v>37.316998016135578</v>
      </c>
      <c r="F271" s="385">
        <f t="shared" ref="F271:F334" si="103">Wh_sa/(1-Pvg*MEDIAN((-Sdif+Wh/Env_an)/Csdif,0,1))</f>
        <v>37.318707964302973</v>
      </c>
      <c r="G271" s="110">
        <f t="shared" si="101"/>
        <v>0.75935621627309724</v>
      </c>
      <c r="H271" s="414" t="b">
        <f>Wh_hp&gt;='2024'!Maxi_hp</f>
        <v>0</v>
      </c>
      <c r="I271" s="390">
        <f>IF(H271,Wh_hp,'2024'!Maxi_hp)</f>
        <v>47.223329847400791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5.6824019093753786E-2</v>
      </c>
      <c r="M271" s="959"/>
      <c r="N271" s="959"/>
      <c r="O271" s="48">
        <f>IF(t&lt;Tnet,'2024'!Resal+('2024'!Salim-'2024'!Resal)*(1-EXP(('2024'!Tnet-t)/('2024'!Tau_j))),Resal+(Salim-Resal)*(1-EXP((Tnet-t)/(Tau_j))))*Salcycl</f>
        <v>6.6850929723803049E-2</v>
      </c>
      <c r="P271" s="169">
        <f>(INDEX(Models!$BJ271:$BT271,,T271)*(1-R271)+INDEX(Models!$BJ271:$BT271,,T271+1)*R271-ERP_i)*Q271*Ramure*Pc/MaxiM</f>
        <v>6.9821239924560221E-5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0.46570897730243099</v>
      </c>
      <c r="S271" s="92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-1.534291022697569</v>
      </c>
      <c r="V271" s="383">
        <f t="shared" ref="V271:V334" si="110">MaxiM*(1-Ppv)*(1-Pvg)*(1-Psa)</f>
        <v>43.25083365571394</v>
      </c>
      <c r="W271" s="402">
        <f t="shared" ref="W271:W334" si="111">Wh*(A271&gt;Tmaj)</f>
        <v>32.84357771379694</v>
      </c>
      <c r="X271" s="157">
        <f t="shared" ref="X271:X334" si="112">t</f>
        <v>45914</v>
      </c>
      <c r="Y271" s="385">
        <f t="shared" ref="Y271:Y334" si="113">Wh_pvt_s*(1-Ppv)</f>
        <v>30.112506740927905</v>
      </c>
      <c r="Z271" s="385">
        <f t="shared" ref="Z271:Z334" si="114">Wh_sa_s*(1-Psa_s)</f>
        <v>31.926710762920877</v>
      </c>
      <c r="AA271" s="386">
        <f t="shared" ref="AA271:AA334" si="115">Wh_hp*(1-Pvg_s*MEDIAN((-Sdif+Wh/Env_an)/Csdif,0,1))</f>
        <v>37.240625916097514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0.14269134909678471</v>
      </c>
      <c r="AD271" s="231">
        <f>(INDEX(Models!$BJ271:$BT271,,AH271)*(1-AF271)+INDEX(Models!$BJ271:$BT271,,AH271+1)*AF271-ERP_i)*AE271*Ramure*Pc/MaxiM</f>
        <v>3.1882752503830302E-3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0.99069654367640991</v>
      </c>
      <c r="AG271" s="92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1.9906965436764099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37.693579412859144</v>
      </c>
      <c r="C272" s="955"/>
      <c r="D272" s="393">
        <f t="shared" si="102"/>
        <v>39.965399649862448</v>
      </c>
      <c r="E272" s="385">
        <f t="shared" si="100"/>
        <v>42.832146841777444</v>
      </c>
      <c r="F272" s="385">
        <f t="shared" si="103"/>
        <v>42.83468999363479</v>
      </c>
      <c r="G272" s="110">
        <f t="shared" si="101"/>
        <v>0.87448925509411246</v>
      </c>
      <c r="H272" s="414" t="b">
        <f>Wh_hp&gt;='2024'!Maxi_hp</f>
        <v>0</v>
      </c>
      <c r="I272" s="390">
        <f>IF(H272,Wh_hp,'2024'!Maxi_hp)</f>
        <v>48.01660304214726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5.6844677068333072E-2</v>
      </c>
      <c r="M272" s="959"/>
      <c r="N272" s="959"/>
      <c r="O272" s="48">
        <f>IF(t&lt;Tnet,'2024'!Resal+('2024'!Salim-'2024'!Resal)*(1-EXP(('2024'!Tnet-t)/('2024'!Tau_j))),Resal+(Salim-Resal)*(1-EXP((Tnet-t)/(Tau_j))))*Salcycl</f>
        <v>6.6929803974215857E-2</v>
      </c>
      <c r="P272" s="169">
        <f>(INDEX(Models!$BJ272:$BT272,,T272)*(1-R272)+INDEX(Models!$BJ272:$BT272,,T272+1)*R272-ERP_i)*Q272*Ramure*Pc/MaxiM</f>
        <v>7.2340952152851262E-5</v>
      </c>
      <c r="Q272" s="305">
        <f t="shared" si="105"/>
        <v>0.7</v>
      </c>
      <c r="R272" s="177">
        <f t="shared" si="106"/>
        <v>0.46608475391232895</v>
      </c>
      <c r="S272" s="921">
        <f t="shared" si="107"/>
        <v>-2</v>
      </c>
      <c r="T272" s="176">
        <f t="shared" si="108"/>
        <v>4</v>
      </c>
      <c r="U272" s="251">
        <f t="shared" si="109"/>
        <v>-1.533915246087671</v>
      </c>
      <c r="V272" s="383">
        <f t="shared" si="110"/>
        <v>43.102977300406707</v>
      </c>
      <c r="W272" s="402">
        <f t="shared" si="111"/>
        <v>37.693579412859144</v>
      </c>
      <c r="X272" s="157">
        <f t="shared" si="112"/>
        <v>45915</v>
      </c>
      <c r="Y272" s="385">
        <f t="shared" si="113"/>
        <v>34.542725617779354</v>
      </c>
      <c r="Z272" s="385">
        <f t="shared" si="114"/>
        <v>36.62464153879565</v>
      </c>
      <c r="AA272" s="386">
        <f t="shared" si="115"/>
        <v>42.720237716022709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0.14268638245289625</v>
      </c>
      <c r="AD272" s="231">
        <f>(INDEX(Models!$BJ272:$BT272,,AH272)*(1-AF272)+INDEX(Models!$BJ272:$BT272,,AH272+1)*AF272-ERP_i)*AE272*Ramure*Pc/MaxiM</f>
        <v>3.2556399314534056E-3</v>
      </c>
      <c r="AE272" s="305">
        <f t="shared" si="117"/>
        <v>0.7</v>
      </c>
      <c r="AF272" s="177">
        <f t="shared" si="118"/>
        <v>0.99107232028630787</v>
      </c>
      <c r="AG272" s="921">
        <f t="shared" ref="AG272:AG335" si="124">INDEX(Echel_vg,AH272)</f>
        <v>1</v>
      </c>
      <c r="AH272" s="176">
        <f t="shared" si="119"/>
        <v>7</v>
      </c>
      <c r="AI272" s="225">
        <f t="shared" si="120"/>
        <v>1.9910723202863079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25.104309321394982</v>
      </c>
      <c r="C273" s="955"/>
      <c r="D273" s="393">
        <f t="shared" si="102"/>
        <v>26.617947830910857</v>
      </c>
      <c r="E273" s="385">
        <f t="shared" si="100"/>
        <v>28.529663619572599</v>
      </c>
      <c r="F273" s="385">
        <f t="shared" si="103"/>
        <v>28.53053322961286</v>
      </c>
      <c r="G273" s="110">
        <f t="shared" si="101"/>
        <v>0.58446186120059951</v>
      </c>
      <c r="H273" s="414" t="b">
        <f>Wh_hp&gt;='2024'!Maxi_hp</f>
        <v>0</v>
      </c>
      <c r="I273" s="390">
        <f>IF(H273,Wh_hp,'2024'!Maxi_hp)</f>
        <v>47.259197332077989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5.6865334590449512E-2</v>
      </c>
      <c r="M273" s="959"/>
      <c r="N273" s="959"/>
      <c r="O273" s="48">
        <f>IF(t&lt;Tnet,'2024'!Resal+('2024'!Salim-'2024'!Resal)*(1-EXP(('2024'!Tnet-t)/('2024'!Tau_j))),Resal+(Salim-Resal)*(1-EXP((Tnet-t)/(Tau_j))))*Salcycl</f>
        <v>6.7008003114001624E-2</v>
      </c>
      <c r="P273" s="169">
        <f>(INDEX(Models!$BJ273:$BT273,,T273)*(1-R273)+INDEX(Models!$BJ273:$BT273,,T273+1)*R273-ERP_i)*Q273*Ramure*Pc/MaxiM</f>
        <v>7.4997869182676151E-5</v>
      </c>
      <c r="Q273" s="305">
        <f t="shared" si="105"/>
        <v>0.7</v>
      </c>
      <c r="R273" s="177">
        <f t="shared" si="106"/>
        <v>0.46644594158422459</v>
      </c>
      <c r="S273" s="921">
        <f t="shared" si="107"/>
        <v>-2</v>
      </c>
      <c r="T273" s="176">
        <f t="shared" si="108"/>
        <v>4</v>
      </c>
      <c r="U273" s="251">
        <f t="shared" si="109"/>
        <v>-1.5335540584157754</v>
      </c>
      <c r="V273" s="383">
        <f t="shared" si="110"/>
        <v>42.950949177189429</v>
      </c>
      <c r="W273" s="402">
        <f t="shared" si="111"/>
        <v>25.104309321394982</v>
      </c>
      <c r="X273" s="157">
        <f t="shared" si="112"/>
        <v>45916</v>
      </c>
      <c r="Y273" s="385">
        <f t="shared" si="113"/>
        <v>23.037712200900099</v>
      </c>
      <c r="Z273" s="385">
        <f t="shared" si="114"/>
        <v>24.426747362632582</v>
      </c>
      <c r="AA273" s="386">
        <f t="shared" si="115"/>
        <v>28.491990316988421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0.1426802027211109</v>
      </c>
      <c r="AD273" s="231">
        <f>(INDEX(Models!$BJ273:$BT273,,AH273)*(1-AF273)+INDEX(Models!$BJ273:$BT273,,AH273+1)*AF273-ERP_i)*AE273*Ramure*Pc/MaxiM</f>
        <v>3.3240604237408087E-3</v>
      </c>
      <c r="AE273" s="305">
        <f t="shared" si="117"/>
        <v>0.7</v>
      </c>
      <c r="AF273" s="177">
        <f t="shared" si="118"/>
        <v>0.99143350795820351</v>
      </c>
      <c r="AG273" s="921">
        <f t="shared" si="124"/>
        <v>1</v>
      </c>
      <c r="AH273" s="176">
        <f t="shared" si="119"/>
        <v>7</v>
      </c>
      <c r="AI273" s="225">
        <f t="shared" si="120"/>
        <v>1.9914335079582035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44.278942313428367</v>
      </c>
      <c r="C274" s="955"/>
      <c r="D274" s="393">
        <f t="shared" si="102"/>
        <v>46.949723916592255</v>
      </c>
      <c r="E274" s="385">
        <f t="shared" si="100"/>
        <v>50.3258595676634</v>
      </c>
      <c r="F274" s="385">
        <f t="shared" si="103"/>
        <v>50.329774903342702</v>
      </c>
      <c r="G274" s="110">
        <f t="shared" si="101"/>
        <v>1.0346885244795194</v>
      </c>
      <c r="H274" s="414" t="b">
        <f>Wh_hp&gt;='2024'!Maxi_hp</f>
        <v>1</v>
      </c>
      <c r="I274" s="390">
        <f>IF(H274,Wh_hp,'2024'!Maxi_hp)</f>
        <v>50.329774903342702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5.6885991660113322E-2</v>
      </c>
      <c r="M274" s="959"/>
      <c r="N274" s="959"/>
      <c r="O274" s="48">
        <f>IF(t&lt;Tnet,'2024'!Resal+('2024'!Salim-'2024'!Resal)*(1-EXP(('2024'!Tnet-t)/('2024'!Tau_j))),Resal+(Salim-Resal)*(1-EXP((Tnet-t)/(Tau_j))))*Salcycl</f>
        <v>6.7085503955117046E-2</v>
      </c>
      <c r="P274" s="169">
        <f>(INDEX(Models!$BJ274:$BT274,,T274)*(1-R274)+INDEX(Models!$BJ274:$BT274,,T274+1)*R274-ERP_i)*Q274*Ramure*Pc/MaxiM</f>
        <v>7.7793625876861221E-5</v>
      </c>
      <c r="Q274" s="305">
        <f t="shared" si="105"/>
        <v>0.7</v>
      </c>
      <c r="R274" s="177">
        <f t="shared" si="106"/>
        <v>0.46679308612932302</v>
      </c>
      <c r="S274" s="921">
        <f t="shared" si="107"/>
        <v>-2</v>
      </c>
      <c r="T274" s="176">
        <f t="shared" si="108"/>
        <v>4</v>
      </c>
      <c r="U274" s="251">
        <f t="shared" si="109"/>
        <v>-1.533206913870677</v>
      </c>
      <c r="V274" s="383">
        <f t="shared" si="110"/>
        <v>42.794465451041951</v>
      </c>
      <c r="W274" s="402">
        <f t="shared" si="111"/>
        <v>44.278942313428367</v>
      </c>
      <c r="X274" s="157">
        <f t="shared" si="112"/>
        <v>45917</v>
      </c>
      <c r="Y274" s="385">
        <f t="shared" si="113"/>
        <v>40.55640866557696</v>
      </c>
      <c r="Z274" s="385">
        <f t="shared" si="114"/>
        <v>43.00265748036788</v>
      </c>
      <c r="AA274" s="386">
        <f t="shared" si="115"/>
        <v>50.158977467087652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0.14267276463949979</v>
      </c>
      <c r="AD274" s="231">
        <f>(INDEX(Models!$BJ274:$BT274,,AH274)*(1-AF274)+INDEX(Models!$BJ274:$BT274,,AH274+1)*AF274-ERP_i)*AE274*Ramure*Pc/MaxiM</f>
        <v>3.3935664640476829E-3</v>
      </c>
      <c r="AE274" s="305">
        <f t="shared" si="117"/>
        <v>0.7</v>
      </c>
      <c r="AF274" s="177">
        <f t="shared" si="118"/>
        <v>0.99178065250330194</v>
      </c>
      <c r="AG274" s="921">
        <f t="shared" si="124"/>
        <v>1</v>
      </c>
      <c r="AH274" s="176">
        <f t="shared" si="119"/>
        <v>7</v>
      </c>
      <c r="AI274" s="225">
        <f t="shared" si="120"/>
        <v>1.9917806525033019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42.825695259575753</v>
      </c>
      <c r="C275" s="955"/>
      <c r="D275" s="393">
        <f t="shared" si="102"/>
        <v>45.409815668141249</v>
      </c>
      <c r="E275" s="385">
        <f t="shared" si="100"/>
        <v>48.679223435867968</v>
      </c>
      <c r="F275" s="385">
        <f t="shared" si="103"/>
        <v>48.683153570955</v>
      </c>
      <c r="G275" s="110">
        <f t="shared" si="101"/>
        <v>1.0045005470226369</v>
      </c>
      <c r="H275" s="414" t="b">
        <f>Wh_hp&gt;='2024'!Maxi_hp</f>
        <v>1</v>
      </c>
      <c r="I275" s="390">
        <f>IF(H275,Wh_hp,'2024'!Maxi_hp)</f>
        <v>48.683153570955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5.6906648277334271E-2</v>
      </c>
      <c r="M275" s="959"/>
      <c r="N275" s="959"/>
      <c r="O275" s="48">
        <f>IF(t&lt;Tnet,'2024'!Resal+('2024'!Salim-'2024'!Resal)*(1-EXP(('2024'!Tnet-t)/('2024'!Tau_j))),Resal+(Salim-Resal)*(1-EXP((Tnet-t)/(Tau_j))))*Salcycl</f>
        <v>6.7162282735138037E-2</v>
      </c>
      <c r="P275" s="169">
        <f>(INDEX(Models!$BJ275:$BT275,,T275)*(1-R275)+INDEX(Models!$BJ275:$BT275,,T275+1)*R275-ERP_i)*Q275*Ramure*Pc/MaxiM</f>
        <v>8.0728851743518018E-5</v>
      </c>
      <c r="Q275" s="305">
        <f t="shared" si="105"/>
        <v>0.7</v>
      </c>
      <c r="R275" s="177">
        <f t="shared" si="106"/>
        <v>0.46712671453918087</v>
      </c>
      <c r="S275" s="921">
        <f t="shared" si="107"/>
        <v>-2</v>
      </c>
      <c r="T275" s="176">
        <f t="shared" si="108"/>
        <v>4</v>
      </c>
      <c r="U275" s="251">
        <f t="shared" si="109"/>
        <v>-1.5328732854608191</v>
      </c>
      <c r="V275" s="383">
        <f t="shared" si="110"/>
        <v>42.633819749040562</v>
      </c>
      <c r="W275" s="402">
        <f t="shared" si="111"/>
        <v>42.825695259575753</v>
      </c>
      <c r="X275" s="157">
        <f t="shared" si="112"/>
        <v>45918</v>
      </c>
      <c r="Y275" s="385">
        <f t="shared" si="113"/>
        <v>39.226301820292434</v>
      </c>
      <c r="Z275" s="385">
        <f t="shared" si="114"/>
        <v>41.593233319523669</v>
      </c>
      <c r="AA275" s="386">
        <f t="shared" si="115"/>
        <v>48.514508178403617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0.14266402193397829</v>
      </c>
      <c r="AD275" s="231">
        <f>(INDEX(Models!$BJ275:$BT275,,AH275)*(1-AF275)+INDEX(Models!$BJ275:$BT275,,AH275+1)*AF275-ERP_i)*AE275*Ramure*Pc/MaxiM</f>
        <v>3.4641427307207091E-3</v>
      </c>
      <c r="AE275" s="305">
        <f t="shared" si="117"/>
        <v>0.7</v>
      </c>
      <c r="AF275" s="177">
        <f t="shared" si="118"/>
        <v>0.99211428091315979</v>
      </c>
      <c r="AG275" s="921">
        <f t="shared" si="124"/>
        <v>1</v>
      </c>
      <c r="AH275" s="176">
        <f t="shared" si="119"/>
        <v>7</v>
      </c>
      <c r="AI275" s="225">
        <f t="shared" si="120"/>
        <v>1.9921142809131598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42.296612306328974</v>
      </c>
      <c r="C276" s="955"/>
      <c r="D276" s="393">
        <f t="shared" si="102"/>
        <v>44.849789953157611</v>
      </c>
      <c r="E276" s="385">
        <f t="shared" si="100"/>
        <v>48.08279615612755</v>
      </c>
      <c r="F276" s="385">
        <f t="shared" si="103"/>
        <v>48.086817630659098</v>
      </c>
      <c r="G276" s="110">
        <f t="shared" si="101"/>
        <v>0.99592805725371214</v>
      </c>
      <c r="H276" s="414" t="b">
        <f>Wh_hp&gt;='2024'!Maxi_hp</f>
        <v>1</v>
      </c>
      <c r="I276" s="390">
        <f>IF(H276,Wh_hp,'2024'!Maxi_hp)</f>
        <v>48.086817630659098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5.692730444212224E-2</v>
      </c>
      <c r="M276" s="959"/>
      <c r="N276" s="959"/>
      <c r="O276" s="48">
        <f>IF(t&lt;Tnet,'2024'!Resal+('2024'!Salim-'2024'!Resal)*(1-EXP(('2024'!Tnet-t)/('2024'!Tau_j))),Resal+(Salim-Resal)*(1-EXP((Tnet-t)/(Tau_j))))*Salcycl</f>
        <v>6.7238315186000971E-2</v>
      </c>
      <c r="P276" s="169">
        <f>(INDEX(Models!$BJ276:$BT276,,T276)*(1-R276)+INDEX(Models!$BJ276:$BT276,,T276+1)*R276-ERP_i)*Q276*Ramure*Pc/MaxiM</f>
        <v>8.4118723945532994E-5</v>
      </c>
      <c r="Q276" s="305">
        <f t="shared" si="105"/>
        <v>0.7</v>
      </c>
      <c r="R276" s="177">
        <f t="shared" si="106"/>
        <v>0.46744733550844231</v>
      </c>
      <c r="S276" s="921">
        <f t="shared" si="107"/>
        <v>-2</v>
      </c>
      <c r="T276" s="176">
        <f t="shared" si="108"/>
        <v>4</v>
      </c>
      <c r="U276" s="251">
        <f t="shared" si="109"/>
        <v>-1.5325526644915577</v>
      </c>
      <c r="V276" s="383">
        <f t="shared" si="110"/>
        <v>42.4695250849459</v>
      </c>
      <c r="W276" s="402">
        <f t="shared" si="111"/>
        <v>42.296612306328974</v>
      </c>
      <c r="X276" s="157">
        <f t="shared" si="112"/>
        <v>45919</v>
      </c>
      <c r="Y276" s="385">
        <f t="shared" si="113"/>
        <v>38.74341043499259</v>
      </c>
      <c r="Z276" s="385">
        <f t="shared" si="114"/>
        <v>41.082103869070025</v>
      </c>
      <c r="AA276" s="386">
        <f t="shared" si="115"/>
        <v>47.9177606165714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0.1426539274695863</v>
      </c>
      <c r="AD276" s="231">
        <f>(INDEX(Models!$BJ276:$BT276,,AH276)*(1-AF276)+INDEX(Models!$BJ276:$BT276,,AH276+1)*AF276-ERP_i)*AE276*Ramure*Pc/MaxiM</f>
        <v>3.5362303522069186E-3</v>
      </c>
      <c r="AE276" s="305">
        <f t="shared" si="117"/>
        <v>0.7</v>
      </c>
      <c r="AF276" s="177">
        <f t="shared" si="118"/>
        <v>0.99243490188242145</v>
      </c>
      <c r="AG276" s="921">
        <f t="shared" si="124"/>
        <v>1</v>
      </c>
      <c r="AH276" s="176">
        <f t="shared" si="119"/>
        <v>7</v>
      </c>
      <c r="AI276" s="225">
        <f t="shared" si="120"/>
        <v>1.9924349018824214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43.570661787597949</v>
      </c>
      <c r="C277" s="955"/>
      <c r="D277" s="393">
        <f t="shared" si="102"/>
        <v>46.201757640793119</v>
      </c>
      <c r="E277" s="385">
        <f t="shared" si="100"/>
        <v>49.536217620835025</v>
      </c>
      <c r="F277" s="385">
        <f t="shared" si="103"/>
        <v>49.540571226766822</v>
      </c>
      <c r="G277" s="110">
        <f t="shared" si="101"/>
        <v>1.029999094564813</v>
      </c>
      <c r="H277" s="414" t="b">
        <f>Wh_hp&gt;='2024'!Maxi_hp</f>
        <v>1</v>
      </c>
      <c r="I277" s="390">
        <f>IF(H277,Wh_hp,'2024'!Maxi_hp)</f>
        <v>49.540571226766822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5.6947960154487332E-2</v>
      </c>
      <c r="M277" s="959"/>
      <c r="N277" s="959"/>
      <c r="O277" s="48">
        <f>IF(t&lt;Tnet,'2024'!Resal+('2024'!Salim-'2024'!Resal)*(1-EXP(('2024'!Tnet-t)/('2024'!Tau_j))),Resal+(Salim-Resal)*(1-EXP((Tnet-t)/(Tau_j))))*Salcycl</f>
        <v>6.7313576615091214E-2</v>
      </c>
      <c r="P277" s="169">
        <f>(INDEX(Models!$BJ277:$BT277,,T277)*(1-R277)+INDEX(Models!$BJ277:$BT277,,T277+1)*R277-ERP_i)*Q277*Ramure*Pc/MaxiM</f>
        <v>8.787960703709964E-5</v>
      </c>
      <c r="Q277" s="305">
        <f t="shared" si="105"/>
        <v>0.7</v>
      </c>
      <c r="R277" s="177">
        <f t="shared" si="106"/>
        <v>0.46775543995350111</v>
      </c>
      <c r="S277" s="921">
        <f t="shared" si="107"/>
        <v>-2</v>
      </c>
      <c r="T277" s="176">
        <f t="shared" si="108"/>
        <v>4</v>
      </c>
      <c r="U277" s="251">
        <f t="shared" si="109"/>
        <v>-1.5322445600464989</v>
      </c>
      <c r="V277" s="383">
        <f t="shared" si="110"/>
        <v>42.301650571845478</v>
      </c>
      <c r="W277" s="402">
        <f t="shared" si="111"/>
        <v>43.570661787597949</v>
      </c>
      <c r="X277" s="157">
        <f t="shared" si="112"/>
        <v>45920</v>
      </c>
      <c r="Y277" s="385">
        <f t="shared" si="113"/>
        <v>39.9106118508181</v>
      </c>
      <c r="Z277" s="385">
        <f t="shared" si="114"/>
        <v>42.320688747310392</v>
      </c>
      <c r="AA277" s="386">
        <f t="shared" si="115"/>
        <v>49.361772027585339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0.14264243342682481</v>
      </c>
      <c r="AD277" s="231">
        <f>(INDEX(Models!$BJ277:$BT277,,AH277)*(1-AF277)+INDEX(Models!$BJ277:$BT277,,AH277+1)*AF277-ERP_i)*AE277*Ramure*Pc/MaxiM</f>
        <v>3.6091469023045368E-3</v>
      </c>
      <c r="AE277" s="305">
        <f t="shared" si="117"/>
        <v>0.7</v>
      </c>
      <c r="AF277" s="177">
        <f t="shared" si="118"/>
        <v>0.99274300632748003</v>
      </c>
      <c r="AG277" s="921">
        <f t="shared" si="124"/>
        <v>1</v>
      </c>
      <c r="AH277" s="176">
        <f t="shared" si="119"/>
        <v>7</v>
      </c>
      <c r="AI277" s="225">
        <f t="shared" si="120"/>
        <v>1.99274300632748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42.612722999047882</v>
      </c>
      <c r="C278" s="955"/>
      <c r="D278" s="393">
        <f t="shared" si="102"/>
        <v>45.186961638371265</v>
      </c>
      <c r="E278" s="385">
        <f t="shared" si="100"/>
        <v>48.452050448951454</v>
      </c>
      <c r="F278" s="385">
        <f t="shared" si="103"/>
        <v>48.456509135701552</v>
      </c>
      <c r="G278" s="110">
        <f t="shared" si="101"/>
        <v>1.0114516593581053</v>
      </c>
      <c r="H278" s="414" t="b">
        <f>Wh_hp&gt;='2024'!Maxi_hp</f>
        <v>1</v>
      </c>
      <c r="I278" s="390">
        <f>IF(H278,Wh_hp,'2024'!Maxi_hp)</f>
        <v>48.456509135701552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5.6968615414439094E-2</v>
      </c>
      <c r="M278" s="959"/>
      <c r="N278" s="959"/>
      <c r="O278" s="48">
        <f>IF(t&lt;Tnet,'2024'!Resal+('2024'!Salim-'2024'!Resal)*(1-EXP(('2024'!Tnet-t)/('2024'!Tau_j))),Resal+(Salim-Resal)*(1-EXP((Tnet-t)/(Tau_j))))*Salcycl</f>
        <v>6.7388041998764331E-2</v>
      </c>
      <c r="P278" s="169">
        <f>(INDEX(Models!$BJ278:$BT278,,T278)*(1-R278)+INDEX(Models!$BJ278:$BT278,,T278+1)*R278-ERP_i)*Q278*Ramure*Pc/MaxiM</f>
        <v>9.2014196433610538E-5</v>
      </c>
      <c r="Q278" s="305">
        <f t="shared" si="105"/>
        <v>0.7</v>
      </c>
      <c r="R278" s="177">
        <f t="shared" si="106"/>
        <v>0.46805150152608888</v>
      </c>
      <c r="S278" s="921">
        <f t="shared" si="107"/>
        <v>-2</v>
      </c>
      <c r="T278" s="176">
        <f t="shared" si="108"/>
        <v>4</v>
      </c>
      <c r="U278" s="251">
        <f t="shared" si="109"/>
        <v>-1.5319484984739111</v>
      </c>
      <c r="V278" s="383">
        <f t="shared" si="110"/>
        <v>42.130261594598664</v>
      </c>
      <c r="W278" s="402">
        <f t="shared" si="111"/>
        <v>42.612722999047882</v>
      </c>
      <c r="X278" s="157">
        <f t="shared" si="112"/>
        <v>45921</v>
      </c>
      <c r="Y278" s="385">
        <f t="shared" si="113"/>
        <v>39.034120728671688</v>
      </c>
      <c r="Z278" s="385">
        <f t="shared" si="114"/>
        <v>41.392175665315982</v>
      </c>
      <c r="AA278" s="386">
        <f t="shared" si="115"/>
        <v>48.278049285692205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0.14262949150302426</v>
      </c>
      <c r="AD278" s="231">
        <f>(INDEX(Models!$BJ278:$BT278,,AH278)*(1-AF278)+INDEX(Models!$BJ278:$BT278,,AH278+1)*AF278-ERP_i)*AE278*Ramure*Pc/MaxiM</f>
        <v>3.6828870505214929E-3</v>
      </c>
      <c r="AE278" s="305">
        <f t="shared" si="117"/>
        <v>0.7</v>
      </c>
      <c r="AF278" s="177">
        <f t="shared" si="118"/>
        <v>0.9930390679000678</v>
      </c>
      <c r="AG278" s="921">
        <f t="shared" si="124"/>
        <v>1</v>
      </c>
      <c r="AH278" s="176">
        <f t="shared" si="119"/>
        <v>7</v>
      </c>
      <c r="AI278" s="225">
        <f t="shared" si="120"/>
        <v>1.9930390679000678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41.440592464198943</v>
      </c>
      <c r="C279" s="955"/>
      <c r="D279" s="393">
        <f t="shared" si="102"/>
        <v>43.944985094659735</v>
      </c>
      <c r="E279" s="385">
        <f t="shared" si="100"/>
        <v>47.124053177313343</v>
      </c>
      <c r="F279" s="385">
        <f t="shared" si="103"/>
        <v>47.12852251984188</v>
      </c>
      <c r="G279" s="110">
        <f t="shared" si="101"/>
        <v>0.987727423163406</v>
      </c>
      <c r="H279" s="414" t="b">
        <f>Wh_hp&gt;='2024'!Maxi_hp</f>
        <v>1</v>
      </c>
      <c r="I279" s="390">
        <f>IF(H279,Wh_hp,'2024'!Maxi_hp)</f>
        <v>47.12852251984188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5.6989270221987853E-2</v>
      </c>
      <c r="M279" s="959"/>
      <c r="N279" s="959"/>
      <c r="O279" s="48">
        <f>IF(t&lt;Tnet,'2024'!Resal+('2024'!Salim-'2024'!Resal)*(1-EXP(('2024'!Tnet-t)/('2024'!Tau_j))),Resal+(Salim-Resal)*(1-EXP((Tnet-t)/(Tau_j))))*Salcycl</f>
        <v>6.7461686088243489E-2</v>
      </c>
      <c r="P279" s="169">
        <f>(INDEX(Models!$BJ279:$BT279,,T279)*(1-R279)+INDEX(Models!$BJ279:$BT279,,T279+1)*R279-ERP_i)*Q279*Ramure*Pc/MaxiM</f>
        <v>9.6525143856245778E-5</v>
      </c>
      <c r="Q279" s="305">
        <f t="shared" si="105"/>
        <v>0.7</v>
      </c>
      <c r="R279" s="177">
        <f t="shared" si="106"/>
        <v>0.46833597712089903</v>
      </c>
      <c r="S279" s="921">
        <f t="shared" si="107"/>
        <v>-2</v>
      </c>
      <c r="T279" s="176">
        <f t="shared" si="108"/>
        <v>4</v>
      </c>
      <c r="U279" s="251">
        <f t="shared" si="109"/>
        <v>-1.531664022879101</v>
      </c>
      <c r="V279" s="383">
        <f t="shared" si="110"/>
        <v>41.955423495614205</v>
      </c>
      <c r="W279" s="402">
        <f t="shared" si="111"/>
        <v>41.440592464198943</v>
      </c>
      <c r="X279" s="157">
        <f t="shared" si="112"/>
        <v>45922</v>
      </c>
      <c r="Y279" s="385">
        <f t="shared" si="113"/>
        <v>37.963838335927235</v>
      </c>
      <c r="Z279" s="385">
        <f t="shared" si="114"/>
        <v>40.258119167810584</v>
      </c>
      <c r="AA279" s="386">
        <f t="shared" si="115"/>
        <v>46.954543948052525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0.14261505313842326</v>
      </c>
      <c r="AD279" s="231">
        <f>(INDEX(Models!$BJ279:$BT279,,AH279)*(1-AF279)+INDEX(Models!$BJ279:$BT279,,AH279+1)*AF279-ERP_i)*AE279*Ramure*Pc/MaxiM</f>
        <v>3.7574445374546025E-3</v>
      </c>
      <c r="AE279" s="305">
        <f t="shared" si="117"/>
        <v>0.7</v>
      </c>
      <c r="AF279" s="177">
        <f t="shared" si="118"/>
        <v>0.99332354349487795</v>
      </c>
      <c r="AG279" s="921">
        <f t="shared" si="124"/>
        <v>1</v>
      </c>
      <c r="AH279" s="176">
        <f t="shared" si="119"/>
        <v>7</v>
      </c>
      <c r="AI279" s="225">
        <f t="shared" si="120"/>
        <v>1.9933235434948779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27.320441919945011</v>
      </c>
      <c r="C280" s="955"/>
      <c r="D280" s="393">
        <f t="shared" si="102"/>
        <v>28.972141523010137</v>
      </c>
      <c r="E280" s="385">
        <f t="shared" si="100"/>
        <v>31.070469643335592</v>
      </c>
      <c r="F280" s="385">
        <f t="shared" si="103"/>
        <v>31.072063046767614</v>
      </c>
      <c r="G280" s="110">
        <f t="shared" si="101"/>
        <v>0.65392298043728825</v>
      </c>
      <c r="H280" s="414" t="b">
        <f>Wh_hp&gt;='2024'!Maxi_hp</f>
        <v>0</v>
      </c>
      <c r="I280" s="390">
        <f>IF(H280,Wh_hp,'2024'!Maxi_hp)</f>
        <v>46.242324699542912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5.7009924577143156E-2</v>
      </c>
      <c r="M280" s="959"/>
      <c r="N280" s="959"/>
      <c r="O280" s="48">
        <f>IF(t&lt;Tnet,'2024'!Resal+('2024'!Salim-'2024'!Resal)*(1-EXP(('2024'!Tnet-t)/('2024'!Tau_j))),Resal+(Salim-Resal)*(1-EXP((Tnet-t)/(Tau_j))))*Salcycl</f>
        <v>6.7534483527690481E-2</v>
      </c>
      <c r="P280" s="169">
        <f>(INDEX(Models!$BJ280:$BT280,,T280)*(1-R280)+INDEX(Models!$BJ280:$BT280,,T280+1)*R280-ERP_i)*Q280*Ramure*Pc/MaxiM</f>
        <v>1.0141558611780928E-4</v>
      </c>
      <c r="Q280" s="305">
        <f t="shared" si="105"/>
        <v>0.7</v>
      </c>
      <c r="R280" s="177">
        <f t="shared" si="106"/>
        <v>0.46860930737646411</v>
      </c>
      <c r="S280" s="921">
        <f t="shared" si="107"/>
        <v>-2</v>
      </c>
      <c r="T280" s="176">
        <f t="shared" si="108"/>
        <v>4</v>
      </c>
      <c r="U280" s="251">
        <f t="shared" si="109"/>
        <v>-1.5313906926235359</v>
      </c>
      <c r="V280" s="383">
        <f t="shared" si="110"/>
        <v>41.777201544007696</v>
      </c>
      <c r="W280" s="402">
        <f t="shared" si="111"/>
        <v>27.320441919945011</v>
      </c>
      <c r="X280" s="157">
        <f t="shared" si="112"/>
        <v>45923</v>
      </c>
      <c r="Y280" s="385">
        <f t="shared" si="113"/>
        <v>25.07371293548465</v>
      </c>
      <c r="Z280" s="385">
        <f t="shared" si="114"/>
        <v>26.589583060289435</v>
      </c>
      <c r="AA280" s="386">
        <f t="shared" si="115"/>
        <v>31.011843027791947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0.14259906976632783</v>
      </c>
      <c r="AD280" s="231">
        <f>(INDEX(Models!$BJ280:$BT280,,AH280)*(1-AF280)+INDEX(Models!$BJ280:$BT280,,AH280+1)*AF280-ERP_i)*AE280*Ramure*Pc/MaxiM</f>
        <v>3.832832538022767E-3</v>
      </c>
      <c r="AE280" s="305">
        <f t="shared" si="117"/>
        <v>0.7</v>
      </c>
      <c r="AF280" s="177">
        <f t="shared" si="118"/>
        <v>0.99359687375044325</v>
      </c>
      <c r="AG280" s="921">
        <f t="shared" si="124"/>
        <v>1</v>
      </c>
      <c r="AH280" s="176">
        <f t="shared" si="119"/>
        <v>7</v>
      </c>
      <c r="AI280" s="225">
        <f t="shared" si="120"/>
        <v>1.9935968737504433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19.969285795289498</v>
      </c>
      <c r="C281" s="955"/>
      <c r="D281" s="393">
        <f t="shared" si="102"/>
        <v>21.177023707829917</v>
      </c>
      <c r="E281" s="385">
        <f t="shared" si="100"/>
        <v>22.712536756882077</v>
      </c>
      <c r="F281" s="385">
        <f t="shared" si="103"/>
        <v>22.713160153829634</v>
      </c>
      <c r="G281" s="110">
        <f t="shared" si="101"/>
        <v>0.48004293915675866</v>
      </c>
      <c r="H281" s="414" t="b">
        <f>Wh_hp&gt;='2024'!Maxi_hp</f>
        <v>0</v>
      </c>
      <c r="I281" s="390">
        <f>IF(H281,Wh_hp,'2024'!Maxi_hp)</f>
        <v>42.341790799167022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5.7030578479915217E-2</v>
      </c>
      <c r="M281" s="959"/>
      <c r="N281" s="959"/>
      <c r="O281" s="48">
        <f>IF(t&lt;Tnet,'2024'!Resal+('2024'!Salim-'2024'!Resal)*(1-EXP(('2024'!Tnet-t)/('2024'!Tau_j))),Resal+(Salim-Resal)*(1-EXP((Tnet-t)/(Tau_j))))*Salcycl</f>
        <v>6.7606408984099378E-2</v>
      </c>
      <c r="P281" s="169">
        <f>(INDEX(Models!$BJ281:$BT281,,T281)*(1-R281)+INDEX(Models!$BJ281:$BT281,,T281+1)*R281-ERP_i)*Q281*Ramure*Pc/MaxiM</f>
        <v>1.0668842312814508E-4</v>
      </c>
      <c r="Q281" s="305">
        <f t="shared" si="105"/>
        <v>0.7</v>
      </c>
      <c r="R281" s="177">
        <f t="shared" si="106"/>
        <v>0.46887191716860022</v>
      </c>
      <c r="S281" s="921">
        <f t="shared" si="107"/>
        <v>-2</v>
      </c>
      <c r="T281" s="176">
        <f t="shared" si="108"/>
        <v>4</v>
      </c>
      <c r="U281" s="251">
        <f t="shared" si="109"/>
        <v>-1.5311280828313998</v>
      </c>
      <c r="V281" s="383">
        <f t="shared" si="110"/>
        <v>41.595660968361798</v>
      </c>
      <c r="W281" s="402">
        <f t="shared" si="111"/>
        <v>19.969285795289498</v>
      </c>
      <c r="X281" s="157">
        <f t="shared" si="112"/>
        <v>45924</v>
      </c>
      <c r="Y281" s="385">
        <f t="shared" si="113"/>
        <v>18.345563817982807</v>
      </c>
      <c r="Z281" s="385">
        <f t="shared" si="114"/>
        <v>19.455099390613757</v>
      </c>
      <c r="AA281" s="386">
        <f t="shared" si="115"/>
        <v>22.690318944299015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0.14258149308642099</v>
      </c>
      <c r="AD281" s="231">
        <f>(INDEX(Models!$BJ281:$BT281,,AH281)*(1-AF281)+INDEX(Models!$BJ281:$BT281,,AH281+1)*AF281-ERP_i)*AE281*Ramure*Pc/MaxiM</f>
        <v>3.9090544743690956E-3</v>
      </c>
      <c r="AE281" s="305">
        <f t="shared" si="117"/>
        <v>0.7</v>
      </c>
      <c r="AF281" s="177">
        <f t="shared" si="118"/>
        <v>0.99385948354257914</v>
      </c>
      <c r="AG281" s="921">
        <f t="shared" si="124"/>
        <v>1</v>
      </c>
      <c r="AH281" s="176">
        <f t="shared" si="119"/>
        <v>7</v>
      </c>
      <c r="AI281" s="225">
        <f t="shared" si="120"/>
        <v>1.9938594835425791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29.452340209784992</v>
      </c>
      <c r="C282" s="955"/>
      <c r="D282" s="393">
        <f t="shared" si="102"/>
        <v>31.234295231200079</v>
      </c>
      <c r="E282" s="385">
        <f t="shared" si="100"/>
        <v>33.501597494713621</v>
      </c>
      <c r="F282" s="385">
        <f t="shared" si="103"/>
        <v>33.503809009351954</v>
      </c>
      <c r="G282" s="110">
        <f t="shared" si="101"/>
        <v>0.71118953835692</v>
      </c>
      <c r="H282" s="414" t="b">
        <f>Wh_hp&gt;='2024'!Maxi_hp</f>
        <v>0</v>
      </c>
      <c r="I282" s="390">
        <f>IF(H282,Wh_hp,'2024'!Maxi_hp)</f>
        <v>48.914209724554347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5.7051231930313695E-2</v>
      </c>
      <c r="M282" s="959"/>
      <c r="N282" s="959"/>
      <c r="O282" s="48">
        <f>IF(t&lt;Tnet,'2024'!Resal+('2024'!Salim-'2024'!Resal)*(1-EXP(('2024'!Tnet-t)/('2024'!Tau_j))),Resal+(Salim-Resal)*(1-EXP((Tnet-t)/(Tau_j))))*Salcycl</f>
        <v>6.7677437288514664E-2</v>
      </c>
      <c r="P282" s="169">
        <f>(INDEX(Models!$BJ282:$BT282,,T282)*(1-R282)+INDEX(Models!$BJ282:$BT282,,T282+1)*R282-ERP_i)*Q282*Ramure*Pc/MaxiM</f>
        <v>1.1236131066167285E-4</v>
      </c>
      <c r="Q282" s="305">
        <f t="shared" si="105"/>
        <v>0.7</v>
      </c>
      <c r="R282" s="177">
        <f t="shared" si="106"/>
        <v>0.46912421609581845</v>
      </c>
      <c r="S282" s="921">
        <f t="shared" si="107"/>
        <v>-2</v>
      </c>
      <c r="T282" s="176">
        <f t="shared" si="108"/>
        <v>4</v>
      </c>
      <c r="U282" s="251">
        <f t="shared" si="109"/>
        <v>-1.5308757839041816</v>
      </c>
      <c r="V282" s="383">
        <f t="shared" si="110"/>
        <v>41.410866321264997</v>
      </c>
      <c r="W282" s="402">
        <f t="shared" si="111"/>
        <v>29.452340209784992</v>
      </c>
      <c r="X282" s="157">
        <f t="shared" si="112"/>
        <v>45925</v>
      </c>
      <c r="Y282" s="385">
        <f t="shared" si="113"/>
        <v>27.025099047568741</v>
      </c>
      <c r="Z282" s="385">
        <f t="shared" si="114"/>
        <v>28.660198690212951</v>
      </c>
      <c r="AA282" s="386">
        <f t="shared" si="115"/>
        <v>33.425399730628385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0.14256227535998567</v>
      </c>
      <c r="AD282" s="231">
        <f>(INDEX(Models!$BJ282:$BT282,,AH282)*(1-AF282)+INDEX(Models!$BJ282:$BT282,,AH282+1)*AF282-ERP_i)*AE282*Ramure*Pc/MaxiM</f>
        <v>3.9837716525604914E-3</v>
      </c>
      <c r="AE282" s="305">
        <f t="shared" si="117"/>
        <v>0.7</v>
      </c>
      <c r="AF282" s="177">
        <f t="shared" si="118"/>
        <v>0.99411178246979759</v>
      </c>
      <c r="AG282" s="921">
        <f t="shared" si="124"/>
        <v>1</v>
      </c>
      <c r="AH282" s="176">
        <f t="shared" si="119"/>
        <v>7</v>
      </c>
      <c r="AI282" s="225">
        <f t="shared" si="120"/>
        <v>1.9941117824697976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30.775801923229157</v>
      </c>
      <c r="C283" s="955"/>
      <c r="D283" s="393">
        <f t="shared" si="102"/>
        <v>32.638545220269059</v>
      </c>
      <c r="E283" s="385">
        <f t="shared" si="100"/>
        <v>35.010414824632257</v>
      </c>
      <c r="F283" s="385">
        <f t="shared" si="103"/>
        <v>35.013059481545689</v>
      </c>
      <c r="G283" s="110">
        <f t="shared" si="101"/>
        <v>0.74653880098813274</v>
      </c>
      <c r="H283" s="414" t="b">
        <f>Wh_hp&gt;='2024'!Maxi_hp</f>
        <v>0</v>
      </c>
      <c r="I283" s="390">
        <f>IF(H283,Wh_hp,'2024'!Maxi_hp)</f>
        <v>47.979649608380406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5.7071884928348693E-2</v>
      </c>
      <c r="M283" s="959"/>
      <c r="N283" s="959"/>
      <c r="O283" s="48">
        <f>IF(t&lt;Tnet,'2024'!Resal+('2024'!Salim-'2024'!Resal)*(1-EXP(('2024'!Tnet-t)/('2024'!Tau_j))),Resal+(Salim-Resal)*(1-EXP((Tnet-t)/(Tau_j))))*Salcycl</f>
        <v>6.7747543587927617E-2</v>
      </c>
      <c r="P283" s="169">
        <f>(INDEX(Models!$BJ283:$BT283,,T283)*(1-R283)+INDEX(Models!$BJ283:$BT283,,T283+1)*R283-ERP_i)*Q283*Ramure*Pc/MaxiM</f>
        <v>1.183987154585472E-4</v>
      </c>
      <c r="Q283" s="305">
        <f t="shared" si="105"/>
        <v>0.7</v>
      </c>
      <c r="R283" s="177">
        <f t="shared" si="106"/>
        <v>0.46936659895619659</v>
      </c>
      <c r="S283" s="921">
        <f t="shared" si="107"/>
        <v>-2</v>
      </c>
      <c r="T283" s="176">
        <f t="shared" si="108"/>
        <v>4</v>
      </c>
      <c r="U283" s="251">
        <f t="shared" si="109"/>
        <v>-1.5306334010438034</v>
      </c>
      <c r="V283" s="383">
        <f t="shared" si="110"/>
        <v>41.222884289057468</v>
      </c>
      <c r="W283" s="402">
        <f t="shared" si="111"/>
        <v>30.775801923229157</v>
      </c>
      <c r="X283" s="157">
        <f t="shared" si="112"/>
        <v>45926</v>
      </c>
      <c r="Y283" s="385">
        <f t="shared" si="113"/>
        <v>28.235555478277835</v>
      </c>
      <c r="Z283" s="385">
        <f t="shared" si="114"/>
        <v>29.944547232142153</v>
      </c>
      <c r="AA283" s="386">
        <f t="shared" si="115"/>
        <v>34.922439608026728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0.14254136972551124</v>
      </c>
      <c r="AD283" s="231">
        <f>(INDEX(Models!$BJ283:$BT283,,AH283)*(1-AF283)+INDEX(Models!$BJ283:$BT283,,AH283+1)*AF283-ERP_i)*AE283*Ramure*Pc/MaxiM</f>
        <v>4.0569635195996769E-3</v>
      </c>
      <c r="AE283" s="305">
        <f t="shared" si="117"/>
        <v>0.7</v>
      </c>
      <c r="AF283" s="177">
        <f t="shared" si="118"/>
        <v>0.99435416533017529</v>
      </c>
      <c r="AG283" s="921">
        <f t="shared" si="124"/>
        <v>1</v>
      </c>
      <c r="AH283" s="176">
        <f t="shared" si="119"/>
        <v>7</v>
      </c>
      <c r="AI283" s="225">
        <f t="shared" si="120"/>
        <v>1.9943541653301753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14.785647400342754</v>
      </c>
      <c r="C284" s="955"/>
      <c r="D284" s="393">
        <f t="shared" si="102"/>
        <v>15.680910362861319</v>
      </c>
      <c r="E284" s="385">
        <f t="shared" si="100"/>
        <v>16.821702793705988</v>
      </c>
      <c r="F284" s="385">
        <f t="shared" si="103"/>
        <v>16.821883782064003</v>
      </c>
      <c r="G284" s="110">
        <f t="shared" si="101"/>
        <v>0.36030513922346635</v>
      </c>
      <c r="H284" s="414" t="b">
        <f>Wh_hp&gt;='2024'!Maxi_hp</f>
        <v>0</v>
      </c>
      <c r="I284" s="390">
        <f>IF(H284,Wh_hp,'2024'!Maxi_hp)</f>
        <v>46.988763169188566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5.7092537474029981E-2</v>
      </c>
      <c r="M284" s="959"/>
      <c r="N284" s="959"/>
      <c r="O284" s="48">
        <f>IF(t&lt;Tnet,'2024'!Resal+('2024'!Salim-'2024'!Resal)*(1-EXP(('2024'!Tnet-t)/('2024'!Tau_j))),Resal+(Salim-Resal)*(1-EXP((Tnet-t)/(Tau_j))))*Salcycl</f>
        <v>6.7816703507061621E-2</v>
      </c>
      <c r="P284" s="169">
        <f>(INDEX(Models!$BJ284:$BT284,,T284)*(1-R284)+INDEX(Models!$BJ284:$BT284,,T284+1)*R284-ERP_i)*Q284*Ramure*Pc/MaxiM</f>
        <v>1.248026690406216E-4</v>
      </c>
      <c r="Q284" s="305">
        <f t="shared" si="105"/>
        <v>0.7</v>
      </c>
      <c r="R284" s="177">
        <f t="shared" si="106"/>
        <v>0.46959944621526573</v>
      </c>
      <c r="S284" s="921">
        <f t="shared" si="107"/>
        <v>-2</v>
      </c>
      <c r="T284" s="176">
        <f t="shared" si="108"/>
        <v>4</v>
      </c>
      <c r="U284" s="251">
        <f t="shared" si="109"/>
        <v>-1.5304005537847343</v>
      </c>
      <c r="V284" s="383">
        <f t="shared" si="110"/>
        <v>41.0317799132361</v>
      </c>
      <c r="W284" s="402">
        <f t="shared" si="111"/>
        <v>14.785647400342754</v>
      </c>
      <c r="X284" s="157">
        <f t="shared" si="112"/>
        <v>45927</v>
      </c>
      <c r="Y284" s="385">
        <f t="shared" si="113"/>
        <v>13.596080926496686</v>
      </c>
      <c r="Z284" s="385">
        <f t="shared" si="114"/>
        <v>14.419316281657084</v>
      </c>
      <c r="AA284" s="386">
        <f t="shared" si="115"/>
        <v>16.815896504208972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0.14251873053286401</v>
      </c>
      <c r="AD284" s="231">
        <f>(INDEX(Models!$BJ284:$BT284,,AH284)*(1-AF284)+INDEX(Models!$BJ284:$BT284,,AH284+1)*AF284-ERP_i)*AE284*Ramure*Pc/MaxiM</f>
        <v>4.1285984623377712E-3</v>
      </c>
      <c r="AE284" s="305">
        <f t="shared" si="117"/>
        <v>0.7</v>
      </c>
      <c r="AF284" s="177">
        <f t="shared" si="118"/>
        <v>0.99458701258924465</v>
      </c>
      <c r="AG284" s="921">
        <f t="shared" si="124"/>
        <v>1</v>
      </c>
      <c r="AH284" s="176">
        <f t="shared" si="119"/>
        <v>7</v>
      </c>
      <c r="AI284" s="225">
        <f t="shared" si="120"/>
        <v>1.9945870125892446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14.459404611927051</v>
      </c>
      <c r="C285" s="955"/>
      <c r="D285" s="393">
        <f t="shared" si="102"/>
        <v>15.335249631175264</v>
      </c>
      <c r="E285" s="385">
        <f t="shared" si="100"/>
        <v>16.452098588748012</v>
      </c>
      <c r="F285" s="385">
        <f t="shared" si="103"/>
        <v>16.452265799189206</v>
      </c>
      <c r="G285" s="110">
        <f t="shared" si="101"/>
        <v>0.35402772508635882</v>
      </c>
      <c r="H285" s="414" t="b">
        <f>Wh_hp&gt;='2024'!Maxi_hp</f>
        <v>0</v>
      </c>
      <c r="I285" s="390">
        <f>IF(H285,Wh_hp,'2024'!Maxi_hp)</f>
        <v>44.138858996476266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5.7113189567367439E-2</v>
      </c>
      <c r="M285" s="959"/>
      <c r="N285" s="959"/>
      <c r="O285" s="48">
        <f>IF(t&lt;Tnet,'2024'!Resal+('2024'!Salim-'2024'!Resal)*(1-EXP(('2024'!Tnet-t)/('2024'!Tau_j))),Resal+(Salim-Resal)*(1-EXP((Tnet-t)/(Tau_j))))*Salcycl</f>
        <v>6.788489331911661E-2</v>
      </c>
      <c r="P285" s="169">
        <f>(INDEX(Models!$BJ285:$BT285,,T285)*(1-R285)+INDEX(Models!$BJ285:$BT285,,T285+1)*R285-ERP_i)*Q285*Ramure*Pc/MaxiM</f>
        <v>1.3157507077293028E-4</v>
      </c>
      <c r="Q285" s="305">
        <f t="shared" si="105"/>
        <v>0.7</v>
      </c>
      <c r="R285" s="177">
        <f t="shared" si="106"/>
        <v>0.46982312446455232</v>
      </c>
      <c r="S285" s="921">
        <f t="shared" si="107"/>
        <v>-2</v>
      </c>
      <c r="T285" s="176">
        <f t="shared" si="108"/>
        <v>4</v>
      </c>
      <c r="U285" s="251">
        <f t="shared" si="109"/>
        <v>-1.5301768755354477</v>
      </c>
      <c r="V285" s="383">
        <f t="shared" si="110"/>
        <v>40.837618154429158</v>
      </c>
      <c r="W285" s="402">
        <f t="shared" si="111"/>
        <v>14.459404611927051</v>
      </c>
      <c r="X285" s="157">
        <f t="shared" si="112"/>
        <v>45928</v>
      </c>
      <c r="Y285" s="385">
        <f t="shared" si="113"/>
        <v>13.297849501763467</v>
      </c>
      <c r="Z285" s="385">
        <f t="shared" si="114"/>
        <v>14.103336004522012</v>
      </c>
      <c r="AA285" s="386">
        <f t="shared" si="115"/>
        <v>16.446930008447843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0.14249431369392715</v>
      </c>
      <c r="AD285" s="231">
        <f>(INDEX(Models!$BJ285:$BT285,,AH285)*(1-AF285)+INDEX(Models!$BJ285:$BT285,,AH285+1)*AF285-ERP_i)*AE285*Ramure*Pc/MaxiM</f>
        <v>4.1986435740232588E-3</v>
      </c>
      <c r="AE285" s="305">
        <f t="shared" si="117"/>
        <v>0.7</v>
      </c>
      <c r="AF285" s="177">
        <f t="shared" si="118"/>
        <v>0.99481069083853124</v>
      </c>
      <c r="AG285" s="921">
        <f t="shared" si="124"/>
        <v>1</v>
      </c>
      <c r="AH285" s="176">
        <f t="shared" si="119"/>
        <v>7</v>
      </c>
      <c r="AI285" s="225">
        <f t="shared" si="120"/>
        <v>1.9948106908385312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20.835315121799955</v>
      </c>
      <c r="C286" s="955"/>
      <c r="D286" s="393">
        <f t="shared" si="102"/>
        <v>22.097850185335275</v>
      </c>
      <c r="E286" s="385">
        <f t="shared" si="100"/>
        <v>23.708920916184343</v>
      </c>
      <c r="F286" s="385">
        <f t="shared" si="103"/>
        <v>23.709920176292904</v>
      </c>
      <c r="G286" s="110">
        <f t="shared" si="101"/>
        <v>0.51262463388095392</v>
      </c>
      <c r="H286" s="414" t="b">
        <f>Wh_hp&gt;='2024'!Maxi_hp</f>
        <v>0</v>
      </c>
      <c r="I286" s="390">
        <f>IF(H286,Wh_hp,'2024'!Maxi_hp)</f>
        <v>45.467806820564945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5.7133841208371172E-2</v>
      </c>
      <c r="M286" s="959"/>
      <c r="N286" s="959"/>
      <c r="O286" s="48">
        <f>IF(t&lt;Tnet,'2024'!Resal+('2024'!Salim-'2024'!Resal)*(1-EXP(('2024'!Tnet-t)/('2024'!Tau_j))),Resal+(Salim-Resal)*(1-EXP((Tnet-t)/(Tau_j))))*Salcycl</f>
        <v>6.7952090124409961E-2</v>
      </c>
      <c r="P286" s="169">
        <f>(INDEX(Models!$BJ286:$BT286,,T286)*(1-R286)+INDEX(Models!$BJ286:$BT286,,T286+1)*R286-ERP_i)*Q286*Ramure*Pc/MaxiM</f>
        <v>1.3871767482239304E-4</v>
      </c>
      <c r="Q286" s="305">
        <f t="shared" si="105"/>
        <v>0.7</v>
      </c>
      <c r="R286" s="177">
        <f t="shared" si="106"/>
        <v>0.47003798687046272</v>
      </c>
      <c r="S286" s="921">
        <f t="shared" si="107"/>
        <v>-2</v>
      </c>
      <c r="T286" s="176">
        <f t="shared" si="108"/>
        <v>4</v>
      </c>
      <c r="U286" s="251">
        <f t="shared" si="109"/>
        <v>-1.5299620131295373</v>
      </c>
      <c r="V286" s="383">
        <f t="shared" si="110"/>
        <v>40.640463884875238</v>
      </c>
      <c r="W286" s="402">
        <f t="shared" si="111"/>
        <v>20.835315121799955</v>
      </c>
      <c r="X286" s="157">
        <f t="shared" si="112"/>
        <v>45929</v>
      </c>
      <c r="Y286" s="385">
        <f t="shared" si="113"/>
        <v>19.145514556592243</v>
      </c>
      <c r="Z286" s="385">
        <f t="shared" si="114"/>
        <v>20.305654602270391</v>
      </c>
      <c r="AA286" s="386">
        <f t="shared" si="115"/>
        <v>23.679182149107898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0.14246807704735726</v>
      </c>
      <c r="AD286" s="231">
        <f>(INDEX(Models!$BJ286:$BT286,,AH286)*(1-AF286)+INDEX(Models!$BJ286:$BT286,,AH286+1)*AF286-ERP_i)*AE286*Ramure*Pc/MaxiM</f>
        <v>4.2670648244622373E-3</v>
      </c>
      <c r="AE286" s="305">
        <f t="shared" si="117"/>
        <v>0.7</v>
      </c>
      <c r="AF286" s="177">
        <f t="shared" si="118"/>
        <v>0.99502555324444142</v>
      </c>
      <c r="AG286" s="921">
        <f t="shared" si="124"/>
        <v>1</v>
      </c>
      <c r="AH286" s="176">
        <f t="shared" si="119"/>
        <v>7</v>
      </c>
      <c r="AI286" s="225">
        <f t="shared" si="120"/>
        <v>1.9950255532444414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30.036486586766504</v>
      </c>
      <c r="C287" s="955"/>
      <c r="D287" s="393">
        <f t="shared" si="102"/>
        <v>31.857272845399677</v>
      </c>
      <c r="E287" s="385">
        <f t="shared" si="100"/>
        <v>34.182293374984312</v>
      </c>
      <c r="F287" s="385">
        <f t="shared" si="103"/>
        <v>34.185455141698625</v>
      </c>
      <c r="G287" s="110">
        <f t="shared" si="101"/>
        <v>0.74269506797461238</v>
      </c>
      <c r="H287" s="414" t="b">
        <f>Wh_hp&gt;='2024'!Maxi_hp</f>
        <v>0</v>
      </c>
      <c r="I287" s="390">
        <f>IF(H287,Wh_hp,'2024'!Maxi_hp)</f>
        <v>41.385817820684117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5.7154492397050949E-2</v>
      </c>
      <c r="M287" s="959"/>
      <c r="N287" s="959"/>
      <c r="O287" s="48">
        <f>IF(t&lt;Tnet,'2024'!Resal+('2024'!Salim-'2024'!Resal)*(1-EXP(('2024'!Tnet-t)/('2024'!Tau_j))),Resal+(Salim-Resal)*(1-EXP((Tnet-t)/(Tau_j))))*Salcycl</f>
        <v>6.8018272035724706E-2</v>
      </c>
      <c r="P287" s="169">
        <f>(INDEX(Models!$BJ287:$BT287,,T287)*(1-R287)+INDEX(Models!$BJ287:$BT287,,T287+1)*R287-ERP_i)*Q287*Ramure*Pc/MaxiM</f>
        <v>1.4623207803400728E-4</v>
      </c>
      <c r="Q287" s="305">
        <f t="shared" si="105"/>
        <v>0.7</v>
      </c>
      <c r="R287" s="177">
        <f t="shared" si="106"/>
        <v>0.47024437361327154</v>
      </c>
      <c r="S287" s="921">
        <f t="shared" si="107"/>
        <v>-2</v>
      </c>
      <c r="T287" s="176">
        <f t="shared" si="108"/>
        <v>4</v>
      </c>
      <c r="U287" s="251">
        <f t="shared" si="109"/>
        <v>-1.5297556263867285</v>
      </c>
      <c r="V287" s="383">
        <f t="shared" si="110"/>
        <v>40.440381886078796</v>
      </c>
      <c r="W287" s="402">
        <f t="shared" si="111"/>
        <v>30.036486586766504</v>
      </c>
      <c r="X287" s="157">
        <f t="shared" si="112"/>
        <v>45930</v>
      </c>
      <c r="Y287" s="385">
        <f t="shared" si="113"/>
        <v>27.564769760260901</v>
      </c>
      <c r="Z287" s="385">
        <f t="shared" si="114"/>
        <v>29.23572264807245</v>
      </c>
      <c r="AA287" s="386">
        <f t="shared" si="115"/>
        <v>34.09175100434971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0.14243998073486125</v>
      </c>
      <c r="AD287" s="231">
        <f>(INDEX(Models!$BJ287:$BT287,,AH287)*(1-AF287)+INDEX(Models!$BJ287:$BT287,,AH287+1)*AF287-ERP_i)*AE287*Ramure*Pc/MaxiM</f>
        <v>4.333827243766037E-3</v>
      </c>
      <c r="AE287" s="305">
        <f t="shared" si="117"/>
        <v>0.7</v>
      </c>
      <c r="AF287" s="177">
        <f t="shared" si="118"/>
        <v>0.99523193998725046</v>
      </c>
      <c r="AG287" s="921">
        <f t="shared" si="124"/>
        <v>1</v>
      </c>
      <c r="AH287" s="176">
        <f t="shared" si="119"/>
        <v>7</v>
      </c>
      <c r="AI287" s="225">
        <f t="shared" si="120"/>
        <v>1.9952319399872505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36.362055064846579</v>
      </c>
      <c r="C288" s="955"/>
      <c r="D288" s="393">
        <f t="shared" si="102"/>
        <v>38.567136621422442</v>
      </c>
      <c r="E288" s="385">
        <f t="shared" si="100"/>
        <v>41.384752006372011</v>
      </c>
      <c r="F288" s="385">
        <f t="shared" si="103"/>
        <v>41.390253367630478</v>
      </c>
      <c r="G288" s="110">
        <f t="shared" si="101"/>
        <v>0.90366799555523314</v>
      </c>
      <c r="H288" s="414" t="b">
        <f>Wh_hp&gt;='2024'!Maxi_hp</f>
        <v>0</v>
      </c>
      <c r="I288" s="390">
        <f>IF(H288,Wh_hp,'2024'!Maxi_hp)</f>
        <v>43.981299080889379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5.717514313341665E-2</v>
      </c>
      <c r="M288" s="959"/>
      <c r="N288" s="959"/>
      <c r="O288" s="48">
        <f>IF(t&lt;Tnet,'2024'!Resal+('2024'!Salim-'2024'!Resal)*(1-EXP(('2024'!Tnet-t)/('2024'!Tau_j))),Resal+(Salim-Resal)*(1-EXP((Tnet-t)/(Tau_j))))*Salcycl</f>
        <v>6.8083418369058776E-2</v>
      </c>
      <c r="P288" s="169">
        <f>(INDEX(Models!$BJ288:$BT288,,T288)*(1-R288)+INDEX(Models!$BJ288:$BT288,,T288+1)*R288-ERP_i)*Q288*Ramure*Pc/MaxiM</f>
        <v>1.5411970897979667E-4</v>
      </c>
      <c r="Q288" s="305">
        <f t="shared" si="105"/>
        <v>0.7</v>
      </c>
      <c r="R288" s="177">
        <f t="shared" si="106"/>
        <v>0.47044261231601991</v>
      </c>
      <c r="S288" s="921">
        <f t="shared" si="107"/>
        <v>-2</v>
      </c>
      <c r="T288" s="176">
        <f t="shared" si="108"/>
        <v>4</v>
      </c>
      <c r="U288" s="251">
        <f t="shared" si="109"/>
        <v>-1.5295573876839801</v>
      </c>
      <c r="V288" s="383">
        <f t="shared" si="110"/>
        <v>40.237436838615061</v>
      </c>
      <c r="W288" s="402">
        <f t="shared" si="111"/>
        <v>36.362055064846579</v>
      </c>
      <c r="X288" s="157">
        <f t="shared" si="112"/>
        <v>45931</v>
      </c>
      <c r="Y288" s="385">
        <f t="shared" si="113"/>
        <v>33.339426742103441</v>
      </c>
      <c r="Z288" s="385">
        <f t="shared" si="114"/>
        <v>35.36120892368583</v>
      </c>
      <c r="AA288" s="386">
        <f t="shared" si="115"/>
        <v>41.233233143837793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0.14240998758617912</v>
      </c>
      <c r="AD288" s="231">
        <f>(INDEX(Models!$BJ288:$BT288,,AH288)*(1-AF288)+INDEX(Models!$BJ288:$BT288,,AH288+1)*AF288-ERP_i)*AE288*Ramure*Pc/MaxiM</f>
        <v>4.3988951202969537E-3</v>
      </c>
      <c r="AE288" s="305">
        <f t="shared" si="117"/>
        <v>0.7</v>
      </c>
      <c r="AF288" s="177">
        <f t="shared" si="118"/>
        <v>0.99543017868999883</v>
      </c>
      <c r="AG288" s="921">
        <f t="shared" si="124"/>
        <v>1</v>
      </c>
      <c r="AH288" s="176">
        <f t="shared" si="119"/>
        <v>7</v>
      </c>
      <c r="AI288" s="225">
        <f t="shared" si="120"/>
        <v>1.9954301786899988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35.808160998848791</v>
      </c>
      <c r="C289" s="955"/>
      <c r="D289" s="393">
        <f t="shared" si="102"/>
        <v>37.980484971154581</v>
      </c>
      <c r="E289" s="385">
        <f t="shared" si="100"/>
        <v>40.758044188481549</v>
      </c>
      <c r="F289" s="385">
        <f t="shared" si="103"/>
        <v>40.763666014373051</v>
      </c>
      <c r="G289" s="110">
        <f t="shared" si="101"/>
        <v>0.89448686504800889</v>
      </c>
      <c r="H289" s="414" t="b">
        <f>Wh_hp&gt;='2024'!Maxi_hp</f>
        <v>0</v>
      </c>
      <c r="I289" s="390">
        <f>IF(H289,Wh_hp,'2024'!Maxi_hp)</f>
        <v>47.647904130278036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5.7195793417478158E-2</v>
      </c>
      <c r="M289" s="959"/>
      <c r="N289" s="959"/>
      <c r="O289" s="48">
        <f>IF(t&lt;Tnet,'2024'!Resal+('2024'!Salim-'2024'!Resal)*(1-EXP(('2024'!Tnet-t)/('2024'!Tau_j))),Resal+(Salim-Resal)*(1-EXP((Tnet-t)/(Tau_j))))*Salcycl</f>
        <v>6.8147509838362735E-2</v>
      </c>
      <c r="P289" s="169">
        <f>(INDEX(Models!$BJ289:$BT289,,T289)*(1-R289)+INDEX(Models!$BJ289:$BT289,,T289+1)*R289-ERP_i)*Q289*Ramure*Pc/MaxiM</f>
        <v>1.6238426346238148E-4</v>
      </c>
      <c r="Q289" s="305">
        <f t="shared" si="105"/>
        <v>0.7</v>
      </c>
      <c r="R289" s="177">
        <f t="shared" si="106"/>
        <v>0.47063301846317618</v>
      </c>
      <c r="S289" s="921">
        <f t="shared" si="107"/>
        <v>-2</v>
      </c>
      <c r="T289" s="176">
        <f t="shared" si="108"/>
        <v>4</v>
      </c>
      <c r="U289" s="251">
        <f t="shared" si="109"/>
        <v>-1.5293669815368238</v>
      </c>
      <c r="V289" s="383">
        <f t="shared" si="110"/>
        <v>40.031090443333831</v>
      </c>
      <c r="W289" s="402">
        <f t="shared" si="111"/>
        <v>35.808160998848791</v>
      </c>
      <c r="X289" s="157">
        <f t="shared" si="112"/>
        <v>45932</v>
      </c>
      <c r="Y289" s="385">
        <f t="shared" si="113"/>
        <v>32.83534632579083</v>
      </c>
      <c r="Z289" s="385">
        <f t="shared" si="114"/>
        <v>34.827322679024149</v>
      </c>
      <c r="AA289" s="386">
        <f t="shared" si="115"/>
        <v>40.609178936761609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0.14237806350976026</v>
      </c>
      <c r="AD289" s="231">
        <f>(INDEX(Models!$BJ289:$BT289,,AH289)*(1-AF289)+INDEX(Models!$BJ289:$BT289,,AH289+1)*AF289-ERP_i)*AE289*Ramure*Pc/MaxiM</f>
        <v>4.4622994017509861E-3</v>
      </c>
      <c r="AE289" s="305">
        <f t="shared" si="117"/>
        <v>0.7</v>
      </c>
      <c r="AF289" s="177">
        <f t="shared" si="118"/>
        <v>0.9956205848371551</v>
      </c>
      <c r="AG289" s="921">
        <f t="shared" si="124"/>
        <v>1</v>
      </c>
      <c r="AH289" s="176">
        <f t="shared" si="119"/>
        <v>7</v>
      </c>
      <c r="AI289" s="225">
        <f t="shared" si="120"/>
        <v>1.9956205848371551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33.477721793643298</v>
      </c>
      <c r="C290" s="955"/>
      <c r="D290" s="393">
        <f t="shared" si="102"/>
        <v>35.509445995242224</v>
      </c>
      <c r="E290" s="385">
        <f t="shared" si="100"/>
        <v>38.108872326826393</v>
      </c>
      <c r="F290" s="385">
        <f t="shared" si="103"/>
        <v>38.113892023943428</v>
      </c>
      <c r="G290" s="110">
        <f t="shared" si="101"/>
        <v>0.84067426610336904</v>
      </c>
      <c r="H290" s="414" t="b">
        <f>Wh_hp&gt;='2024'!Maxi_hp</f>
        <v>0</v>
      </c>
      <c r="I290" s="390">
        <f>IF(H290,Wh_hp,'2024'!Maxi_hp)</f>
        <v>43.351504842538631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5.7216443249245574E-2</v>
      </c>
      <c r="M290" s="959"/>
      <c r="N290" s="959"/>
      <c r="O290" s="48">
        <f>IF(t&lt;Tnet,'2024'!Resal+('2024'!Salim-'2024'!Resal)*(1-EXP(('2024'!Tnet-t)/('2024'!Tau_j))),Resal+(Salim-Resal)*(1-EXP((Tnet-t)/(Tau_j))))*Salcycl</f>
        <v>6.8210528752757835E-2</v>
      </c>
      <c r="P290" s="169">
        <f>(INDEX(Models!$BJ290:$BT290,,T290)*(1-R290)+INDEX(Models!$BJ290:$BT290,,T290+1)*R290-ERP_i)*Q290*Ramure*Pc/MaxiM</f>
        <v>1.7050234265469208E-4</v>
      </c>
      <c r="Q290" s="305">
        <f t="shared" si="105"/>
        <v>0.7</v>
      </c>
      <c r="R290" s="177">
        <f t="shared" si="106"/>
        <v>0.47081589580896432</v>
      </c>
      <c r="S290" s="921">
        <f t="shared" si="107"/>
        <v>-2</v>
      </c>
      <c r="T290" s="176">
        <f t="shared" si="108"/>
        <v>4</v>
      </c>
      <c r="U290" s="251">
        <f t="shared" si="109"/>
        <v>-1.5291841041910357</v>
      </c>
      <c r="V290" s="383">
        <f t="shared" si="110"/>
        <v>39.820919997178812</v>
      </c>
      <c r="W290" s="402">
        <f t="shared" si="111"/>
        <v>33.477721793643298</v>
      </c>
      <c r="X290" s="157">
        <f t="shared" si="112"/>
        <v>45933</v>
      </c>
      <c r="Y290" s="385">
        <f t="shared" si="113"/>
        <v>30.710661657735059</v>
      </c>
      <c r="Z290" s="385">
        <f t="shared" si="114"/>
        <v>32.574456181201832</v>
      </c>
      <c r="AA290" s="386">
        <f t="shared" si="115"/>
        <v>37.980802253412804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0.14234417788595249</v>
      </c>
      <c r="AD290" s="231">
        <f>(INDEX(Models!$BJ290:$BT290,,AH290)*(1-AF290)+INDEX(Models!$BJ290:$BT290,,AH290+1)*AF290-ERP_i)*AE290*Ramure*Pc/MaxiM</f>
        <v>4.5206149155567381E-3</v>
      </c>
      <c r="AE290" s="305">
        <f t="shared" si="117"/>
        <v>0.7</v>
      </c>
      <c r="AF290" s="177">
        <f t="shared" si="118"/>
        <v>0.99580346218294324</v>
      </c>
      <c r="AG290" s="921">
        <f t="shared" si="124"/>
        <v>1</v>
      </c>
      <c r="AH290" s="176">
        <f t="shared" si="119"/>
        <v>7</v>
      </c>
      <c r="AI290" s="225">
        <f t="shared" si="120"/>
        <v>1.9958034621829432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39.209133832909274</v>
      </c>
      <c r="C291" s="955"/>
      <c r="D291" s="393">
        <f t="shared" si="102"/>
        <v>41.589601718885028</v>
      </c>
      <c r="E291" s="385">
        <f t="shared" si="100"/>
        <v>44.637085304818896</v>
      </c>
      <c r="F291" s="385">
        <f t="shared" si="103"/>
        <v>44.64492432538254</v>
      </c>
      <c r="G291" s="110">
        <f t="shared" si="101"/>
        <v>0.98994850236104104</v>
      </c>
      <c r="H291" s="414" t="b">
        <f>Wh_hp&gt;='2024'!Maxi_hp</f>
        <v>0</v>
      </c>
      <c r="I291" s="390">
        <f>IF(H291,Wh_hp,'2024'!Maxi_hp)</f>
        <v>44.844605022343991</v>
      </c>
      <c r="J291" s="85">
        <f>IF(H291,An,'2024'!An_max)</f>
        <v>2018</v>
      </c>
      <c r="K291" s="197">
        <f t="shared" si="104"/>
        <v>45934</v>
      </c>
      <c r="L291" s="147">
        <f>IF(t&lt;Tvie,1-EXP((T0-t)*PertePVj)+'2024'!Pspv,1-EXP((T0-t)*PertePVj)+Pspv)</f>
        <v>5.723709262872867E-2</v>
      </c>
      <c r="M291" s="959"/>
      <c r="N291" s="959"/>
      <c r="O291" s="48">
        <f>IF(t&lt;Tnet,'2024'!Resal+('2024'!Salim-'2024'!Resal)*(1-EXP(('2024'!Tnet-t)/('2024'!Tau_j))),Resal+(Salim-Resal)*(1-EXP((Tnet-t)/(Tau_j))))*Salcycl</f>
        <v>6.8272459214644796E-2</v>
      </c>
      <c r="P291" s="169">
        <f>(INDEX(Models!$BJ291:$BT291,,T291)*(1-R291)+INDEX(Models!$BJ291:$BT291,,T291+1)*R291-ERP_i)*Q291*Ramure*Pc/MaxiM</f>
        <v>1.7814329561969037E-4</v>
      </c>
      <c r="Q291" s="305">
        <f t="shared" si="105"/>
        <v>0.7</v>
      </c>
      <c r="R291" s="177">
        <f t="shared" si="106"/>
        <v>0.47099153677529482</v>
      </c>
      <c r="S291" s="921">
        <f t="shared" si="107"/>
        <v>-2</v>
      </c>
      <c r="T291" s="176">
        <f t="shared" si="108"/>
        <v>4</v>
      </c>
      <c r="U291" s="251">
        <f t="shared" si="109"/>
        <v>-1.5290084632247052</v>
      </c>
      <c r="V291" s="383">
        <f t="shared" si="110"/>
        <v>39.607144664293465</v>
      </c>
      <c r="W291" s="402">
        <f t="shared" si="111"/>
        <v>39.209133832909274</v>
      </c>
      <c r="X291" s="157">
        <f t="shared" si="112"/>
        <v>45934</v>
      </c>
      <c r="Y291" s="385">
        <f t="shared" si="113"/>
        <v>35.937157252419311</v>
      </c>
      <c r="Z291" s="385">
        <f t="shared" si="114"/>
        <v>38.118976649838459</v>
      </c>
      <c r="AA291" s="386">
        <f t="shared" si="115"/>
        <v>44.443681600052649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0.14230830395937985</v>
      </c>
      <c r="AD291" s="231">
        <f>(INDEX(Models!$BJ291:$BT291,,AH291)*(1-AF291)+INDEX(Models!$BJ291:$BT291,,AH291+1)*AF291-ERP_i)*AE291*Ramure*Pc/MaxiM</f>
        <v>4.5732808095972242E-3</v>
      </c>
      <c r="AE291" s="305">
        <f t="shared" si="117"/>
        <v>0.7</v>
      </c>
      <c r="AF291" s="177">
        <f t="shared" si="118"/>
        <v>0.99597910314927374</v>
      </c>
      <c r="AG291" s="921">
        <f t="shared" si="124"/>
        <v>1</v>
      </c>
      <c r="AH291" s="176">
        <f t="shared" si="119"/>
        <v>7</v>
      </c>
      <c r="AI291" s="225">
        <f t="shared" si="120"/>
        <v>1.9959791031492737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39.15886631617429</v>
      </c>
      <c r="C292" s="955"/>
      <c r="D292" s="393">
        <f t="shared" si="102"/>
        <v>41.537192127998544</v>
      </c>
      <c r="E292" s="385">
        <f t="shared" si="100"/>
        <v>44.583746056980345</v>
      </c>
      <c r="F292" s="385">
        <f t="shared" si="103"/>
        <v>44.591939761748506</v>
      </c>
      <c r="G292" s="110">
        <f t="shared" si="101"/>
        <v>0.99413137872873358</v>
      </c>
      <c r="H292" s="414" t="b">
        <f>Wh_hp&gt;='2024'!Maxi_hp</f>
        <v>0</v>
      </c>
      <c r="I292" s="390">
        <f>IF(H292,Wh_hp,'2024'!Maxi_hp)</f>
        <v>44.683643039833356</v>
      </c>
      <c r="J292" s="85">
        <f>IF(H292,An,'2024'!An_max)</f>
        <v>2018</v>
      </c>
      <c r="K292" s="197">
        <f t="shared" si="104"/>
        <v>45935</v>
      </c>
      <c r="L292" s="147">
        <f>IF(t&lt;Tvie,1-EXP((T0-t)*PertePVj)+'2024'!Pspv,1-EXP((T0-t)*PertePVj)+Pspv)</f>
        <v>5.7257741555937325E-2</v>
      </c>
      <c r="M292" s="959"/>
      <c r="N292" s="959"/>
      <c r="O292" s="48">
        <f>IF(t&lt;Tnet,'2024'!Resal+('2024'!Salim-'2024'!Resal)*(1-EXP(('2024'!Tnet-t)/('2024'!Tau_j))),Resal+(Salim-Resal)*(1-EXP((Tnet-t)/(Tau_j))))*Salcycl</f>
        <v>6.8333287317044841E-2</v>
      </c>
      <c r="P292" s="169">
        <f>(INDEX(Models!$BJ292:$BT292,,T292)*(1-R292)+INDEX(Models!$BJ292:$BT292,,T292+1)*R292-ERP_i)*Q292*Ramure*Pc/MaxiM</f>
        <v>1.8530167423276794E-4</v>
      </c>
      <c r="Q292" s="305">
        <f t="shared" si="105"/>
        <v>0.7</v>
      </c>
      <c r="R292" s="177">
        <f t="shared" si="106"/>
        <v>0.47116022283927639</v>
      </c>
      <c r="S292" s="921">
        <f t="shared" si="107"/>
        <v>-2</v>
      </c>
      <c r="T292" s="176">
        <f t="shared" si="108"/>
        <v>4</v>
      </c>
      <c r="U292" s="251">
        <f t="shared" si="109"/>
        <v>-1.5288397771607236</v>
      </c>
      <c r="V292" s="383">
        <f t="shared" si="110"/>
        <v>39.389970304450948</v>
      </c>
      <c r="W292" s="402">
        <f t="shared" si="111"/>
        <v>39.15886631617429</v>
      </c>
      <c r="X292" s="157">
        <f t="shared" si="112"/>
        <v>45935</v>
      </c>
      <c r="Y292" s="385">
        <f t="shared" si="113"/>
        <v>35.892642657766885</v>
      </c>
      <c r="Z292" s="385">
        <f t="shared" si="114"/>
        <v>38.072593369268766</v>
      </c>
      <c r="AA292" s="386">
        <f t="shared" si="115"/>
        <v>44.387641772784008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0.14227041922707587</v>
      </c>
      <c r="AD292" s="231">
        <f>(INDEX(Models!$BJ292:$BT292,,AH292)*(1-AF292)+INDEX(Models!$BJ292:$BT292,,AH292+1)*AF292-ERP_i)*AE292*Ramure*Pc/MaxiM</f>
        <v>4.6202249737628829E-3</v>
      </c>
      <c r="AE292" s="305">
        <f t="shared" si="117"/>
        <v>0.7</v>
      </c>
      <c r="AF292" s="177">
        <f t="shared" si="118"/>
        <v>0.99614778921325531</v>
      </c>
      <c r="AG292" s="921">
        <f t="shared" si="124"/>
        <v>1</v>
      </c>
      <c r="AH292" s="176">
        <f t="shared" si="119"/>
        <v>7</v>
      </c>
      <c r="AI292" s="225">
        <f t="shared" si="120"/>
        <v>1.9961477892132553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14.520307501414011</v>
      </c>
      <c r="C293" s="955"/>
      <c r="D293" s="393">
        <f t="shared" si="102"/>
        <v>15.402540206848196</v>
      </c>
      <c r="E293" s="385">
        <f t="shared" si="100"/>
        <v>16.53330237855382</v>
      </c>
      <c r="F293" s="385">
        <f t="shared" si="103"/>
        <v>16.533622967407116</v>
      </c>
      <c r="G293" s="110">
        <f t="shared" si="101"/>
        <v>0.37063948991883461</v>
      </c>
      <c r="H293" s="414" t="b">
        <f>Wh_hp&gt;='2024'!Maxi_hp</f>
        <v>0</v>
      </c>
      <c r="I293" s="390">
        <f>IF(H293,Wh_hp,'2024'!Maxi_hp)</f>
        <v>42.282942542755286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5.7278390030881421E-2</v>
      </c>
      <c r="M293" s="959"/>
      <c r="N293" s="959"/>
      <c r="O293" s="48">
        <f>IF(t&lt;Tnet,'2024'!Resal+('2024'!Salim-'2024'!Resal)*(1-EXP(('2024'!Tnet-t)/('2024'!Tau_j))),Resal+(Salim-Resal)*(1-EXP((Tnet-t)/(Tau_j))))*Salcycl</f>
        <v>6.8393001338461865E-2</v>
      </c>
      <c r="P293" s="169">
        <f>(INDEX(Models!$BJ293:$BT293,,T293)*(1-R293)+INDEX(Models!$BJ293:$BT293,,T293+1)*R293-ERP_i)*Q293*Ramure*Pc/MaxiM</f>
        <v>1.9197192196558215E-4</v>
      </c>
      <c r="Q293" s="305">
        <f t="shared" si="105"/>
        <v>0.7</v>
      </c>
      <c r="R293" s="177">
        <f t="shared" si="106"/>
        <v>0.4713222249103155</v>
      </c>
      <c r="S293" s="921">
        <f t="shared" si="107"/>
        <v>-2</v>
      </c>
      <c r="T293" s="176">
        <f t="shared" si="108"/>
        <v>4</v>
      </c>
      <c r="U293" s="251">
        <f t="shared" si="109"/>
        <v>-1.5286777750896845</v>
      </c>
      <c r="V293" s="383">
        <f t="shared" si="110"/>
        <v>39.169602556645501</v>
      </c>
      <c r="W293" s="402">
        <f t="shared" si="111"/>
        <v>14.520307501414011</v>
      </c>
      <c r="X293" s="157">
        <f t="shared" si="112"/>
        <v>45936</v>
      </c>
      <c r="Y293" s="385">
        <f t="shared" si="113"/>
        <v>13.363418384947156</v>
      </c>
      <c r="Z293" s="385">
        <f t="shared" si="114"/>
        <v>14.175360195026093</v>
      </c>
      <c r="AA293" s="386">
        <f t="shared" si="115"/>
        <v>16.525838574567643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0.14223050581885799</v>
      </c>
      <c r="AD293" s="231">
        <f>(INDEX(Models!$BJ293:$BT293,,AH293)*(1-AF293)+INDEX(Models!$BJ293:$BT293,,AH293+1)*AF293-ERP_i)*AE293*Ramure*Pc/MaxiM</f>
        <v>4.6613749647588919E-3</v>
      </c>
      <c r="AE293" s="305">
        <f t="shared" si="117"/>
        <v>0.7</v>
      </c>
      <c r="AF293" s="177">
        <f t="shared" si="118"/>
        <v>0.99630979128429464</v>
      </c>
      <c r="AG293" s="921">
        <f t="shared" si="124"/>
        <v>1</v>
      </c>
      <c r="AH293" s="176">
        <f t="shared" si="119"/>
        <v>7</v>
      </c>
      <c r="AI293" s="225">
        <f t="shared" si="120"/>
        <v>1.9963097912842946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28.953847433167248</v>
      </c>
      <c r="C294" s="955"/>
      <c r="D294" s="393">
        <f t="shared" si="102"/>
        <v>30.713713682210724</v>
      </c>
      <c r="E294" s="385">
        <f t="shared" si="100"/>
        <v>32.970604013977045</v>
      </c>
      <c r="F294" s="385">
        <f t="shared" si="103"/>
        <v>32.974743057960943</v>
      </c>
      <c r="G294" s="110">
        <f t="shared" si="101"/>
        <v>0.7433770053278409</v>
      </c>
      <c r="H294" s="414" t="b">
        <f>Wh_hp&gt;='2024'!Maxi_hp</f>
        <v>0</v>
      </c>
      <c r="I294" s="390">
        <f>IF(H294,Wh_hp,'2024'!Maxi_hp)</f>
        <v>44.5855001708373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5.729903805357095E-2</v>
      </c>
      <c r="M294" s="959"/>
      <c r="N294" s="959"/>
      <c r="O294" s="48">
        <f>IF(t&lt;Tnet,'2024'!Resal+('2024'!Salim-'2024'!Resal)*(1-EXP(('2024'!Tnet-t)/('2024'!Tau_j))),Resal+(Salim-Resal)*(1-EXP((Tnet-t)/(Tau_j))))*Salcycl</f>
        <v>6.8451591933516562E-2</v>
      </c>
      <c r="P294" s="169">
        <f>(INDEX(Models!$BJ294:$BT294,,T294)*(1-R294)+INDEX(Models!$BJ294:$BT294,,T294+1)*R294-ERP_i)*Q294*Ramure*Pc/MaxiM</f>
        <v>1.9814841613616073E-4</v>
      </c>
      <c r="Q294" s="305">
        <f t="shared" si="105"/>
        <v>0.7</v>
      </c>
      <c r="R294" s="177">
        <f t="shared" si="106"/>
        <v>0.47147780369683856</v>
      </c>
      <c r="S294" s="921">
        <f t="shared" si="107"/>
        <v>-2</v>
      </c>
      <c r="T294" s="176">
        <f t="shared" si="108"/>
        <v>4</v>
      </c>
      <c r="U294" s="251">
        <f t="shared" si="109"/>
        <v>-1.5285221963031614</v>
      </c>
      <c r="V294" s="383">
        <f t="shared" si="110"/>
        <v>38.946246840064312</v>
      </c>
      <c r="W294" s="402">
        <f t="shared" si="111"/>
        <v>28.953847433167248</v>
      </c>
      <c r="X294" s="157">
        <f t="shared" si="112"/>
        <v>45937</v>
      </c>
      <c r="Y294" s="385">
        <f t="shared" si="113"/>
        <v>26.586010224165165</v>
      </c>
      <c r="Z294" s="385">
        <f t="shared" si="114"/>
        <v>28.20195512400036</v>
      </c>
      <c r="AA294" s="386">
        <f t="shared" si="115"/>
        <v>32.876636412913555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0.14218855086638477</v>
      </c>
      <c r="AD294" s="231">
        <f>(INDEX(Models!$BJ294:$BT294,,AH294)*(1-AF294)+INDEX(Models!$BJ294:$BT294,,AH294+1)*AF294-ERP_i)*AE294*Ramure*Pc/MaxiM</f>
        <v>4.6966585530851838E-3</v>
      </c>
      <c r="AE294" s="305">
        <f t="shared" si="117"/>
        <v>0.7</v>
      </c>
      <c r="AF294" s="177">
        <f t="shared" si="118"/>
        <v>0.99646537007081726</v>
      </c>
      <c r="AG294" s="921">
        <f t="shared" si="124"/>
        <v>1</v>
      </c>
      <c r="AH294" s="176">
        <f t="shared" si="119"/>
        <v>7</v>
      </c>
      <c r="AI294" s="225">
        <f t="shared" si="120"/>
        <v>1.9964653700708173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16.74789270603085</v>
      </c>
      <c r="C295" s="955"/>
      <c r="D295" s="393">
        <f t="shared" si="102"/>
        <v>17.766248483842872</v>
      </c>
      <c r="E295" s="385">
        <f t="shared" si="100"/>
        <v>19.07291587539946</v>
      </c>
      <c r="F295" s="385">
        <f t="shared" si="103"/>
        <v>19.073651968261014</v>
      </c>
      <c r="G295" s="110">
        <f t="shared" si="101"/>
        <v>0.43246586859399194</v>
      </c>
      <c r="H295" s="414" t="b">
        <f>Wh_hp&gt;='2024'!Maxi_hp</f>
        <v>0</v>
      </c>
      <c r="I295" s="390">
        <f>IF(H295,Wh_hp,'2024'!Maxi_hp)</f>
        <v>41.761638375375632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5.7319685624015904E-2</v>
      </c>
      <c r="M295" s="959"/>
      <c r="N295" s="959"/>
      <c r="O295" s="48">
        <f>IF(t&lt;Tnet,'2024'!Resal+('2024'!Salim-'2024'!Resal)*(1-EXP(('2024'!Tnet-t)/('2024'!Tau_j))),Resal+(Salim-Resal)*(1-EXP((Tnet-t)/(Tau_j))))*Salcycl</f>
        <v>6.8509052317582239E-2</v>
      </c>
      <c r="P295" s="169">
        <f>(INDEX(Models!$BJ295:$BT295,,T295)*(1-R295)+INDEX(Models!$BJ295:$BT295,,T295+1)*R295-ERP_i)*Q295*Ramure*Pc/MaxiM</f>
        <v>2.0382551057746787E-4</v>
      </c>
      <c r="Q295" s="305">
        <f t="shared" si="105"/>
        <v>0.7</v>
      </c>
      <c r="R295" s="177">
        <f t="shared" si="106"/>
        <v>0.4716272100626997</v>
      </c>
      <c r="S295" s="921">
        <f t="shared" si="107"/>
        <v>-2</v>
      </c>
      <c r="T295" s="176">
        <f t="shared" si="108"/>
        <v>4</v>
      </c>
      <c r="U295" s="251">
        <f t="shared" si="109"/>
        <v>-1.5283727899373003</v>
      </c>
      <c r="V295" s="383">
        <f t="shared" si="110"/>
        <v>38.720108346922977</v>
      </c>
      <c r="W295" s="402">
        <f t="shared" si="111"/>
        <v>16.74789270603085</v>
      </c>
      <c r="X295" s="157">
        <f t="shared" si="112"/>
        <v>45938</v>
      </c>
      <c r="Y295" s="385">
        <f t="shared" si="113"/>
        <v>15.410744494937559</v>
      </c>
      <c r="Z295" s="385">
        <f t="shared" si="114"/>
        <v>16.347794962854234</v>
      </c>
      <c r="AA295" s="386">
        <f t="shared" si="115"/>
        <v>19.05658453643391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0.14214454685732342</v>
      </c>
      <c r="AD295" s="231">
        <f>(INDEX(Models!$BJ295:$BT295,,AH295)*(1-AF295)+INDEX(Models!$BJ295:$BT295,,AH295+1)*AF295-ERP_i)*AE295*Ramure*Pc/MaxiM</f>
        <v>4.7260042694337806E-3</v>
      </c>
      <c r="AE295" s="305">
        <f t="shared" si="117"/>
        <v>0.7</v>
      </c>
      <c r="AF295" s="177">
        <f t="shared" si="118"/>
        <v>0.99661477643667862</v>
      </c>
      <c r="AG295" s="921">
        <f t="shared" si="124"/>
        <v>1</v>
      </c>
      <c r="AH295" s="176">
        <f t="shared" si="119"/>
        <v>7</v>
      </c>
      <c r="AI295" s="225">
        <f t="shared" si="120"/>
        <v>1.9966147764366786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36.534582189854468</v>
      </c>
      <c r="C296" s="955"/>
      <c r="D296" s="393">
        <f t="shared" si="102"/>
        <v>38.756916688856215</v>
      </c>
      <c r="E296" s="385">
        <f t="shared" si="100"/>
        <v>41.60991635043213</v>
      </c>
      <c r="F296" s="385">
        <f t="shared" si="103"/>
        <v>41.617974437855892</v>
      </c>
      <c r="G296" s="110">
        <f t="shared" si="101"/>
        <v>0.94914780537317522</v>
      </c>
      <c r="H296" s="414" t="b">
        <f>Wh_hp&gt;='2024'!Maxi_hp</f>
        <v>1</v>
      </c>
      <c r="I296" s="390">
        <f>IF(H296,Wh_hp,'2024'!Maxi_hp)</f>
        <v>41.617974437855892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5.7340332742225941E-2</v>
      </c>
      <c r="M296" s="959"/>
      <c r="N296" s="959"/>
      <c r="O296" s="48">
        <f>IF(t&lt;Tnet,'2024'!Resal+('2024'!Salim-'2024'!Resal)*(1-EXP(('2024'!Tnet-t)/('2024'!Tau_j))),Resal+(Salim-Resal)*(1-EXP((Tnet-t)/(Tau_j))))*Salcycl</f>
        <v>6.8565378443647934E-2</v>
      </c>
      <c r="P296" s="169">
        <f>(INDEX(Models!$BJ296:$BT296,,T296)*(1-R296)+INDEX(Models!$BJ296:$BT296,,T296+1)*R296-ERP_i)*Q296*Ramure*Pc/MaxiM</f>
        <v>2.0878334539371952E-4</v>
      </c>
      <c r="Q296" s="305">
        <f t="shared" si="105"/>
        <v>0.7</v>
      </c>
      <c r="R296" s="177">
        <f t="shared" si="106"/>
        <v>0.47177068537336231</v>
      </c>
      <c r="S296" s="921">
        <f t="shared" si="107"/>
        <v>-2</v>
      </c>
      <c r="T296" s="176">
        <f t="shared" si="108"/>
        <v>4</v>
      </c>
      <c r="U296" s="251">
        <f t="shared" si="109"/>
        <v>-1.5282293146266377</v>
      </c>
      <c r="V296" s="383">
        <f t="shared" si="110"/>
        <v>38.491400288362399</v>
      </c>
      <c r="W296" s="402">
        <f t="shared" si="111"/>
        <v>36.534582189854468</v>
      </c>
      <c r="X296" s="157">
        <f t="shared" si="112"/>
        <v>45939</v>
      </c>
      <c r="Y296" s="385">
        <f t="shared" si="113"/>
        <v>33.508639043618338</v>
      </c>
      <c r="Z296" s="385">
        <f t="shared" si="114"/>
        <v>35.546910733007174</v>
      </c>
      <c r="AA296" s="386">
        <f t="shared" si="115"/>
        <v>41.434722284937322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0.14209849197108132</v>
      </c>
      <c r="AD296" s="231">
        <f>(INDEX(Models!$BJ296:$BT296,,AH296)*(1-AF296)+INDEX(Models!$BJ296:$BT296,,AH296+1)*AF296-ERP_i)*AE296*Ramure*Pc/MaxiM</f>
        <v>4.7480246272969193E-3</v>
      </c>
      <c r="AE296" s="305">
        <f t="shared" si="117"/>
        <v>0.7</v>
      </c>
      <c r="AF296" s="177">
        <f t="shared" si="118"/>
        <v>0.99675825174734101</v>
      </c>
      <c r="AG296" s="921">
        <f t="shared" si="124"/>
        <v>1</v>
      </c>
      <c r="AH296" s="176">
        <f t="shared" si="119"/>
        <v>7</v>
      </c>
      <c r="AI296" s="225">
        <f t="shared" si="120"/>
        <v>1.996758251747341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29.823248843977048</v>
      </c>
      <c r="C297" s="955"/>
      <c r="D297" s="393">
        <f t="shared" si="102"/>
        <v>31.638037671360145</v>
      </c>
      <c r="E297" s="385">
        <f t="shared" ref="E297:E360" si="125">Wh_pvt/(1-Psa)</f>
        <v>33.969010506441897</v>
      </c>
      <c r="F297" s="385">
        <f t="shared" si="103"/>
        <v>33.973967275175724</v>
      </c>
      <c r="G297" s="110">
        <f t="shared" ref="G297:G360" si="126">+Wh_hp/MaxiM</f>
        <v>0.77943000071612534</v>
      </c>
      <c r="H297" s="414" t="b">
        <f>Wh_hp&gt;='2024'!Maxi_hp</f>
        <v>1</v>
      </c>
      <c r="I297" s="390">
        <f>IF(H297,Wh_hp,'2024'!Maxi_hp)</f>
        <v>33.973967275175724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5.7360979408211166E-2</v>
      </c>
      <c r="M297" s="959"/>
      <c r="N297" s="959"/>
      <c r="O297" s="48">
        <f>IF(t&lt;Tnet,'2024'!Resal+('2024'!Salim-'2024'!Resal)*(1-EXP(('2024'!Tnet-t)/('2024'!Tau_j))),Resal+(Salim-Resal)*(1-EXP((Tnet-t)/(Tau_j))))*Salcycl</f>
        <v>6.8620569169646706E-2</v>
      </c>
      <c r="P297" s="169">
        <f>(INDEX(Models!$BJ297:$BT297,,T297)*(1-R297)+INDEX(Models!$BJ297:$BT297,,T297+1)*R297-ERP_i)*Q297*Ramure*Pc/MaxiM</f>
        <v>2.1299913612723179E-4</v>
      </c>
      <c r="Q297" s="305">
        <f t="shared" si="105"/>
        <v>0.7</v>
      </c>
      <c r="R297" s="177">
        <f t="shared" si="106"/>
        <v>0.47190846183195334</v>
      </c>
      <c r="S297" s="921">
        <f t="shared" si="107"/>
        <v>-2</v>
      </c>
      <c r="T297" s="176">
        <f t="shared" si="108"/>
        <v>4</v>
      </c>
      <c r="U297" s="251">
        <f t="shared" si="109"/>
        <v>-1.5280915381680467</v>
      </c>
      <c r="V297" s="383">
        <f t="shared" si="110"/>
        <v>38.260327907942674</v>
      </c>
      <c r="W297" s="402">
        <f t="shared" si="111"/>
        <v>29.823248843977048</v>
      </c>
      <c r="X297" s="157">
        <f t="shared" si="112"/>
        <v>45940</v>
      </c>
      <c r="Y297" s="385">
        <f t="shared" si="113"/>
        <v>27.38631697135456</v>
      </c>
      <c r="Z297" s="385">
        <f t="shared" si="114"/>
        <v>29.052814887889351</v>
      </c>
      <c r="AA297" s="386">
        <f t="shared" si="115"/>
        <v>33.863078393595103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0.14205039039261033</v>
      </c>
      <c r="AD297" s="231">
        <f>(INDEX(Models!$BJ297:$BT297,,AH297)*(1-AF297)+INDEX(Models!$BJ297:$BT297,,AH297+1)*AF297-ERP_i)*AE297*Ramure*Pc/MaxiM</f>
        <v>4.765046999594064E-3</v>
      </c>
      <c r="AE297" s="305">
        <f t="shared" si="117"/>
        <v>0.7</v>
      </c>
      <c r="AF297" s="177">
        <f t="shared" si="118"/>
        <v>0.99689602820593226</v>
      </c>
      <c r="AG297" s="921">
        <f t="shared" si="124"/>
        <v>1</v>
      </c>
      <c r="AH297" s="176">
        <f t="shared" si="119"/>
        <v>7</v>
      </c>
      <c r="AI297" s="225">
        <f t="shared" si="120"/>
        <v>1.9968960282059323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21.267309059294114</v>
      </c>
      <c r="C298" s="955"/>
      <c r="D298" s="393">
        <f t="shared" si="102"/>
        <v>22.561950453519671</v>
      </c>
      <c r="E298" s="385">
        <f t="shared" si="125"/>
        <v>24.225637025929057</v>
      </c>
      <c r="F298" s="385">
        <f t="shared" si="103"/>
        <v>24.22757947341838</v>
      </c>
      <c r="G298" s="110">
        <f t="shared" si="126"/>
        <v>0.5591910176278384</v>
      </c>
      <c r="H298" s="414" t="b">
        <f>Wh_hp&gt;='2024'!Maxi_hp</f>
        <v>0</v>
      </c>
      <c r="I298" s="390">
        <f>IF(H298,Wh_hp,'2024'!Maxi_hp)</f>
        <v>43.516621662814977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5.7381625621981347E-2</v>
      </c>
      <c r="M298" s="959"/>
      <c r="N298" s="959"/>
      <c r="O298" s="48">
        <f>IF(t&lt;Tnet,'2024'!Resal+('2024'!Salim-'2024'!Resal)*(1-EXP(('2024'!Tnet-t)/('2024'!Tau_j))),Resal+(Salim-Resal)*(1-EXP((Tnet-t)/(Tau_j))))*Salcycl</f>
        <v>6.8674626414517742E-2</v>
      </c>
      <c r="P298" s="169">
        <f>(INDEX(Models!$BJ298:$BT298,,T298)*(1-R298)+INDEX(Models!$BJ298:$BT298,,T298+1)*R298-ERP_i)*Q298*Ramure*Pc/MaxiM</f>
        <v>2.1646597632921671E-4</v>
      </c>
      <c r="Q298" s="305">
        <f t="shared" si="105"/>
        <v>0.7</v>
      </c>
      <c r="R298" s="177">
        <f t="shared" si="106"/>
        <v>0.47204076280531959</v>
      </c>
      <c r="S298" s="921">
        <f t="shared" si="107"/>
        <v>-2</v>
      </c>
      <c r="T298" s="176">
        <f t="shared" si="108"/>
        <v>4</v>
      </c>
      <c r="U298" s="251">
        <f t="shared" si="109"/>
        <v>-1.5279592371946804</v>
      </c>
      <c r="V298" s="383">
        <f t="shared" si="110"/>
        <v>38.027095599498722</v>
      </c>
      <c r="W298" s="402">
        <f t="shared" si="111"/>
        <v>21.267309059294114</v>
      </c>
      <c r="X298" s="157">
        <f t="shared" si="112"/>
        <v>45941</v>
      </c>
      <c r="Y298" s="385">
        <f t="shared" si="113"/>
        <v>19.559781646527391</v>
      </c>
      <c r="Z298" s="385">
        <f t="shared" si="114"/>
        <v>20.750477794827415</v>
      </c>
      <c r="AA298" s="386">
        <f t="shared" si="115"/>
        <v>24.184713174717324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0.14200025260088903</v>
      </c>
      <c r="AD298" s="231">
        <f>(INDEX(Models!$BJ298:$BT298,,AH298)*(1-AF298)+INDEX(Models!$BJ298:$BT298,,AH298+1)*AF298-ERP_i)*AE298*Ramure*Pc/MaxiM</f>
        <v>4.777012120499316E-3</v>
      </c>
      <c r="AE298" s="305">
        <f t="shared" si="117"/>
        <v>0.7</v>
      </c>
      <c r="AF298" s="177">
        <f t="shared" si="118"/>
        <v>0.99702832917929851</v>
      </c>
      <c r="AG298" s="921">
        <f t="shared" si="124"/>
        <v>1</v>
      </c>
      <c r="AH298" s="176">
        <f t="shared" si="119"/>
        <v>7</v>
      </c>
      <c r="AI298" s="225">
        <f t="shared" si="120"/>
        <v>1.9970283291792985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29.738145257588389</v>
      </c>
      <c r="C299" s="955"/>
      <c r="D299" s="393">
        <f t="shared" si="102"/>
        <v>31.549137404816463</v>
      </c>
      <c r="E299" s="385">
        <f t="shared" si="125"/>
        <v>33.877451850327581</v>
      </c>
      <c r="F299" s="385">
        <f t="shared" si="103"/>
        <v>33.882617284420462</v>
      </c>
      <c r="G299" s="110">
        <f t="shared" si="126"/>
        <v>0.7868393683133067</v>
      </c>
      <c r="H299" s="414" t="b">
        <f>Wh_hp&gt;='2024'!Maxi_hp</f>
        <v>0</v>
      </c>
      <c r="I299" s="390">
        <f>IF(H299,Wh_hp,'2024'!Maxi_hp)</f>
        <v>42.807452061099632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5.7402271383546588E-2</v>
      </c>
      <c r="M299" s="959"/>
      <c r="N299" s="959"/>
      <c r="O299" s="48">
        <f>IF(t&lt;Tnet,'2024'!Resal+('2024'!Salim-'2024'!Resal)*(1-EXP(('2024'!Tnet-t)/('2024'!Tau_j))),Resal+(Salim-Resal)*(1-EXP((Tnet-t)/(Tau_j))))*Salcycl</f>
        <v>6.8727555301317814E-2</v>
      </c>
      <c r="P299" s="169">
        <f>(INDEX(Models!$BJ299:$BT299,,T299)*(1-R299)+INDEX(Models!$BJ299:$BT299,,T299+1)*R299-ERP_i)*Q299*Ramure*Pc/MaxiM</f>
        <v>2.1917720283725646E-4</v>
      </c>
      <c r="Q299" s="305">
        <f t="shared" si="105"/>
        <v>0.7</v>
      </c>
      <c r="R299" s="177">
        <f t="shared" si="106"/>
        <v>0.472167803140221</v>
      </c>
      <c r="S299" s="921">
        <f t="shared" si="107"/>
        <v>-2</v>
      </c>
      <c r="T299" s="176">
        <f t="shared" si="108"/>
        <v>4</v>
      </c>
      <c r="U299" s="251">
        <f t="shared" si="109"/>
        <v>-1.527832196859779</v>
      </c>
      <c r="V299" s="383">
        <f t="shared" si="110"/>
        <v>37.791907516084201</v>
      </c>
      <c r="W299" s="402">
        <f t="shared" si="111"/>
        <v>29.738145257588389</v>
      </c>
      <c r="X299" s="157">
        <f t="shared" si="112"/>
        <v>45942</v>
      </c>
      <c r="Y299" s="385">
        <f t="shared" si="113"/>
        <v>27.312999092174405</v>
      </c>
      <c r="Z299" s="385">
        <f t="shared" si="114"/>
        <v>28.976304804239739</v>
      </c>
      <c r="AA299" s="386">
        <f t="shared" si="115"/>
        <v>33.76987412605849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0.14194809562881366</v>
      </c>
      <c r="AD299" s="231">
        <f>(INDEX(Models!$BJ299:$BT299,,AH299)*(1-AF299)+INDEX(Models!$BJ299:$BT299,,AH299+1)*AF299-ERP_i)*AE299*Ramure*Pc/MaxiM</f>
        <v>4.7838632038433981E-3</v>
      </c>
      <c r="AE299" s="305">
        <f t="shared" si="117"/>
        <v>0.7</v>
      </c>
      <c r="AF299" s="177">
        <f t="shared" si="118"/>
        <v>0.99715536951419992</v>
      </c>
      <c r="AG299" s="921">
        <f t="shared" si="124"/>
        <v>1</v>
      </c>
      <c r="AH299" s="176">
        <f t="shared" si="119"/>
        <v>7</v>
      </c>
      <c r="AI299" s="225">
        <f t="shared" si="120"/>
        <v>1.9971553695141999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21.522141407833068</v>
      </c>
      <c r="C300" s="955"/>
      <c r="D300" s="393">
        <f t="shared" si="102"/>
        <v>22.833295853450473</v>
      </c>
      <c r="E300" s="385">
        <f t="shared" si="125"/>
        <v>24.519748572729544</v>
      </c>
      <c r="F300" s="385">
        <f t="shared" si="103"/>
        <v>24.521863970183723</v>
      </c>
      <c r="G300" s="110">
        <f t="shared" si="126"/>
        <v>0.57300645048217591</v>
      </c>
      <c r="H300" s="414" t="b">
        <f>Wh_hp&gt;='2024'!Maxi_hp</f>
        <v>0</v>
      </c>
      <c r="I300" s="390">
        <f>IF(H300,Wh_hp,'2024'!Maxi_hp)</f>
        <v>41.038729599738197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5.7422916692916548E-2</v>
      </c>
      <c r="M300" s="959"/>
      <c r="N300" s="959"/>
      <c r="O300" s="48">
        <f>IF(t&lt;Tnet,'2024'!Resal+('2024'!Salim-'2024'!Resal)*(1-EXP(('2024'!Tnet-t)/('2024'!Tau_j))),Resal+(Salim-Resal)*(1-EXP((Tnet-t)/(Tau_j))))*Salcycl</f>
        <v>6.877936428576259E-2</v>
      </c>
      <c r="P300" s="169">
        <f>(INDEX(Models!$BJ300:$BT300,,T300)*(1-R300)+INDEX(Models!$BJ300:$BT300,,T300+1)*R300-ERP_i)*Q300*Ramure*Pc/MaxiM</f>
        <v>2.2112644840481137E-4</v>
      </c>
      <c r="Q300" s="305">
        <f t="shared" si="105"/>
        <v>0.7</v>
      </c>
      <c r="R300" s="177">
        <f t="shared" si="106"/>
        <v>0.47228978946981526</v>
      </c>
      <c r="S300" s="921">
        <f t="shared" si="107"/>
        <v>-2</v>
      </c>
      <c r="T300" s="176">
        <f t="shared" si="108"/>
        <v>4</v>
      </c>
      <c r="U300" s="251">
        <f t="shared" si="109"/>
        <v>-1.5277102105301847</v>
      </c>
      <c r="V300" s="383">
        <f t="shared" si="110"/>
        <v>37.554967572715057</v>
      </c>
      <c r="W300" s="402">
        <f t="shared" si="111"/>
        <v>21.522141407833068</v>
      </c>
      <c r="X300" s="157">
        <f t="shared" si="112"/>
        <v>45943</v>
      </c>
      <c r="Y300" s="385">
        <f t="shared" si="113"/>
        <v>19.797017422607432</v>
      </c>
      <c r="Z300" s="385">
        <f t="shared" si="114"/>
        <v>21.003075263774193</v>
      </c>
      <c r="AA300" s="386">
        <f t="shared" si="115"/>
        <v>24.476083229542244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0.14189394329139177</v>
      </c>
      <c r="AD300" s="231">
        <f>(INDEX(Models!$BJ300:$BT300,,AH300)*(1-AF300)+INDEX(Models!$BJ300:$BT300,,AH300+1)*AF300-ERP_i)*AE300*Ramure*Pc/MaxiM</f>
        <v>4.7855463583868895E-3</v>
      </c>
      <c r="AE300" s="305">
        <f t="shared" si="117"/>
        <v>0.7</v>
      </c>
      <c r="AF300" s="177">
        <f t="shared" si="118"/>
        <v>0.99727735584379418</v>
      </c>
      <c r="AG300" s="921">
        <f t="shared" si="124"/>
        <v>1</v>
      </c>
      <c r="AH300" s="176">
        <f t="shared" si="119"/>
        <v>7</v>
      </c>
      <c r="AI300" s="225">
        <f t="shared" si="120"/>
        <v>1.9972773558437942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16.077469011176451</v>
      </c>
      <c r="C301" s="955"/>
      <c r="D301" s="393">
        <f t="shared" si="102"/>
        <v>17.057301139035236</v>
      </c>
      <c r="E301" s="385">
        <f t="shared" si="125"/>
        <v>18.318139904244845</v>
      </c>
      <c r="F301" s="385">
        <f t="shared" si="103"/>
        <v>18.318901105848795</v>
      </c>
      <c r="G301" s="110">
        <f t="shared" si="126"/>
        <v>0.43076311180799393</v>
      </c>
      <c r="H301" s="414" t="b">
        <f>Wh_hp&gt;='2024'!Maxi_hp</f>
        <v>0</v>
      </c>
      <c r="I301" s="390">
        <f>IF(H301,Wh_hp,'2024'!Maxi_hp)</f>
        <v>44.446308487241133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5.744356155010133E-2</v>
      </c>
      <c r="M301" s="959"/>
      <c r="N301" s="959"/>
      <c r="O301" s="48">
        <f>IF(t&lt;Tnet,'2024'!Resal+('2024'!Salim-'2024'!Resal)*(1-EXP(('2024'!Tnet-t)/('2024'!Tau_j))),Resal+(Salim-Resal)*(1-EXP((Tnet-t)/(Tau_j))))*Salcycl</f>
        <v>6.8830065268659563E-2</v>
      </c>
      <c r="P301" s="169">
        <f>(INDEX(Models!$BJ301:$BT301,,T301)*(1-R301)+INDEX(Models!$BJ301:$BT301,,T301+1)*R301-ERP_i)*Q301*Ramure*Pc/MaxiM</f>
        <v>2.2230769185803596E-4</v>
      </c>
      <c r="Q301" s="305">
        <f t="shared" si="105"/>
        <v>0.7</v>
      </c>
      <c r="R301" s="177">
        <f t="shared" si="106"/>
        <v>0.47240692051059607</v>
      </c>
      <c r="S301" s="921">
        <f t="shared" si="107"/>
        <v>-2</v>
      </c>
      <c r="T301" s="176">
        <f t="shared" si="108"/>
        <v>4</v>
      </c>
      <c r="U301" s="251">
        <f t="shared" si="109"/>
        <v>-1.5275930794894039</v>
      </c>
      <c r="V301" s="383">
        <f t="shared" si="110"/>
        <v>37.316479449108193</v>
      </c>
      <c r="W301" s="402">
        <f t="shared" si="111"/>
        <v>16.077469011176451</v>
      </c>
      <c r="X301" s="157">
        <f t="shared" si="112"/>
        <v>45944</v>
      </c>
      <c r="Y301" s="385">
        <f t="shared" si="113"/>
        <v>14.804297020814019</v>
      </c>
      <c r="Z301" s="385">
        <f t="shared" si="114"/>
        <v>15.706536411931726</v>
      </c>
      <c r="AA301" s="386">
        <f t="shared" si="115"/>
        <v>18.302527068589225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0.14183782637932735</v>
      </c>
      <c r="AD301" s="231">
        <f>(INDEX(Models!$BJ301:$BT301,,AH301)*(1-AF301)+INDEX(Models!$BJ301:$BT301,,AH301+1)*AF301-ERP_i)*AE301*Ramure*Pc/MaxiM</f>
        <v>4.7820109819467858E-3</v>
      </c>
      <c r="AE301" s="305">
        <f t="shared" si="117"/>
        <v>0.7</v>
      </c>
      <c r="AF301" s="177">
        <f t="shared" si="118"/>
        <v>0.99739448688457499</v>
      </c>
      <c r="AG301" s="921">
        <f t="shared" si="124"/>
        <v>1</v>
      </c>
      <c r="AH301" s="176">
        <f t="shared" si="119"/>
        <v>7</v>
      </c>
      <c r="AI301" s="225">
        <f t="shared" si="120"/>
        <v>1.997394486884575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35.904654988226831</v>
      </c>
      <c r="C302" s="955"/>
      <c r="D302" s="393">
        <f t="shared" si="102"/>
        <v>38.093677943139028</v>
      </c>
      <c r="E302" s="385">
        <f t="shared" si="125"/>
        <v>40.911659714416786</v>
      </c>
      <c r="F302" s="385">
        <f t="shared" si="103"/>
        <v>40.920361761975578</v>
      </c>
      <c r="G302" s="110">
        <f t="shared" si="126"/>
        <v>0.96838029088650757</v>
      </c>
      <c r="H302" s="414" t="b">
        <f>Wh_hp&gt;='2024'!Maxi_hp</f>
        <v>1</v>
      </c>
      <c r="I302" s="390">
        <f>IF(H302,Wh_hp,'2024'!Maxi_hp)</f>
        <v>40.920361761975578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5.7464205955110703E-2</v>
      </c>
      <c r="M302" s="959"/>
      <c r="N302" s="959"/>
      <c r="O302" s="48">
        <f>IF(t&lt;Tnet,'2024'!Resal+('2024'!Salim-'2024'!Resal)*(1-EXP(('2024'!Tnet-t)/('2024'!Tau_j))),Resal+(Salim-Resal)*(1-EXP((Tnet-t)/(Tau_j))))*Salcycl</f>
        <v>6.8879673690792134E-2</v>
      </c>
      <c r="P302" s="169">
        <f>(INDEX(Models!$BJ302:$BT302,,T302)*(1-R302)+INDEX(Models!$BJ302:$BT302,,T302+1)*R302-ERP_i)*Q302*Ramure*Pc/MaxiM</f>
        <v>2.2271530532390883E-4</v>
      </c>
      <c r="Q302" s="305">
        <f t="shared" si="105"/>
        <v>0.7</v>
      </c>
      <c r="R302" s="177">
        <f t="shared" si="106"/>
        <v>0.47251938734996202</v>
      </c>
      <c r="S302" s="921">
        <f t="shared" si="107"/>
        <v>-2</v>
      </c>
      <c r="T302" s="176">
        <f t="shared" si="108"/>
        <v>4</v>
      </c>
      <c r="U302" s="251">
        <f t="shared" si="109"/>
        <v>-1.527480612650038</v>
      </c>
      <c r="V302" s="383">
        <f t="shared" si="110"/>
        <v>37.076646592109867</v>
      </c>
      <c r="W302" s="402">
        <f t="shared" si="111"/>
        <v>35.904654988226831</v>
      </c>
      <c r="X302" s="157">
        <f t="shared" si="112"/>
        <v>45945</v>
      </c>
      <c r="Y302" s="385">
        <f t="shared" si="113"/>
        <v>32.949753057459141</v>
      </c>
      <c r="Z302" s="385">
        <f t="shared" si="114"/>
        <v>34.958622543187865</v>
      </c>
      <c r="AA302" s="386">
        <f t="shared" si="115"/>
        <v>40.733860427882213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0.14177978281531128</v>
      </c>
      <c r="AD302" s="231">
        <f>(INDEX(Models!$BJ302:$BT302,,AH302)*(1-AF302)+INDEX(Models!$BJ302:$BT302,,AH302+1)*AF302-ERP_i)*AE302*Ramure*Pc/MaxiM</f>
        <v>4.7732101307533491E-3</v>
      </c>
      <c r="AE302" s="305">
        <f t="shared" si="117"/>
        <v>0.7</v>
      </c>
      <c r="AF302" s="177">
        <f t="shared" si="118"/>
        <v>0.99750695372394094</v>
      </c>
      <c r="AG302" s="921">
        <f t="shared" si="124"/>
        <v>1</v>
      </c>
      <c r="AH302" s="176">
        <f t="shared" si="119"/>
        <v>7</v>
      </c>
      <c r="AI302" s="225">
        <f t="shared" si="120"/>
        <v>1.9975069537239409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32.417417355287824</v>
      </c>
      <c r="C303" s="955"/>
      <c r="D303" s="393">
        <f t="shared" si="102"/>
        <v>34.394584906271227</v>
      </c>
      <c r="E303" s="385">
        <f t="shared" si="125"/>
        <v>36.940851633882929</v>
      </c>
      <c r="F303" s="385">
        <f t="shared" si="103"/>
        <v>36.947659214470207</v>
      </c>
      <c r="G303" s="110">
        <f t="shared" si="126"/>
        <v>0.88002880816141993</v>
      </c>
      <c r="H303" s="414" t="b">
        <f>Wh_hp&gt;='2024'!Maxi_hp</f>
        <v>0</v>
      </c>
      <c r="I303" s="390">
        <f>IF(H303,Wh_hp,'2024'!Maxi_hp)</f>
        <v>39.359495276629886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5.7484849907954549E-2</v>
      </c>
      <c r="M303" s="959"/>
      <c r="N303" s="959"/>
      <c r="O303" s="48">
        <f>IF(t&lt;Tnet,'2024'!Resal+('2024'!Salim-'2024'!Resal)*(1-EXP(('2024'!Tnet-t)/('2024'!Tau_j))),Resal+(Salim-Resal)*(1-EXP((Tnet-t)/(Tau_j))))*Salcycl</f>
        <v>6.8928208608927052E-2</v>
      </c>
      <c r="P303" s="169">
        <f>(INDEX(Models!$BJ303:$BT303,,T303)*(1-R303)+INDEX(Models!$BJ303:$BT303,,T303+1)*R303-ERP_i)*Q303*Ramure*Pc/MaxiM</f>
        <v>2.2234595364653258E-4</v>
      </c>
      <c r="Q303" s="305">
        <f t="shared" si="105"/>
        <v>0.7</v>
      </c>
      <c r="R303" s="177">
        <f t="shared" si="106"/>
        <v>0.47262737372459496</v>
      </c>
      <c r="S303" s="921">
        <f t="shared" si="107"/>
        <v>-2</v>
      </c>
      <c r="T303" s="176">
        <f t="shared" si="108"/>
        <v>4</v>
      </c>
      <c r="U303" s="251">
        <f t="shared" si="109"/>
        <v>-1.527372626275405</v>
      </c>
      <c r="V303" s="383">
        <f t="shared" si="110"/>
        <v>36.835364742790077</v>
      </c>
      <c r="W303" s="402">
        <f t="shared" si="111"/>
        <v>32.417417355287824</v>
      </c>
      <c r="X303" s="157">
        <f t="shared" si="112"/>
        <v>45946</v>
      </c>
      <c r="Y303" s="385">
        <f t="shared" si="113"/>
        <v>29.770643023300114</v>
      </c>
      <c r="Z303" s="385">
        <f t="shared" si="114"/>
        <v>31.586381418264452</v>
      </c>
      <c r="AA303" s="386">
        <f t="shared" si="115"/>
        <v>36.801948296529069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0.14171985777058754</v>
      </c>
      <c r="AD303" s="231">
        <f>(INDEX(Models!$BJ303:$BT303,,AH303)*(1-AF303)+INDEX(Models!$BJ303:$BT303,,AH303+1)*AF303-ERP_i)*AE303*Ramure*Pc/MaxiM</f>
        <v>4.759140577325867E-3</v>
      </c>
      <c r="AE303" s="305">
        <f t="shared" si="117"/>
        <v>0.7</v>
      </c>
      <c r="AF303" s="177">
        <f t="shared" si="118"/>
        <v>0.99761494009857388</v>
      </c>
      <c r="AG303" s="921">
        <f t="shared" si="124"/>
        <v>1</v>
      </c>
      <c r="AH303" s="176">
        <f t="shared" si="119"/>
        <v>7</v>
      </c>
      <c r="AI303" s="225">
        <f t="shared" si="120"/>
        <v>1.9976149400985739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21.832725125892292</v>
      </c>
      <c r="C304" s="955"/>
      <c r="D304" s="393">
        <f t="shared" si="102"/>
        <v>23.164830111162058</v>
      </c>
      <c r="E304" s="385">
        <f t="shared" si="125"/>
        <v>24.881015383613668</v>
      </c>
      <c r="F304" s="385">
        <f t="shared" si="103"/>
        <v>24.883348642640346</v>
      </c>
      <c r="G304" s="110">
        <f t="shared" si="126"/>
        <v>0.59657154276174507</v>
      </c>
      <c r="H304" s="414" t="b">
        <f>Wh_hp&gt;='2024'!Maxi_hp</f>
        <v>0</v>
      </c>
      <c r="I304" s="390">
        <f>IF(H304,Wh_hp,'2024'!Maxi_hp)</f>
        <v>39.909622414686694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5.7505493408642971E-2</v>
      </c>
      <c r="M304" s="959"/>
      <c r="N304" s="959"/>
      <c r="O304" s="48">
        <f>IF(t&lt;Tnet,'2024'!Resal+('2024'!Salim-'2024'!Resal)*(1-EXP(('2024'!Tnet-t)/('2024'!Tau_j))),Resal+(Salim-Resal)*(1-EXP((Tnet-t)/(Tau_j))))*Salcycl</f>
        <v>6.8975692751746268E-2</v>
      </c>
      <c r="P304" s="169">
        <f>(INDEX(Models!$BJ304:$BT304,,T304)*(1-R304)+INDEX(Models!$BJ304:$BT304,,T304+1)*R304-ERP_i)*Q304*Ramure*Pc/MaxiM</f>
        <v>2.2126427616200951E-4</v>
      </c>
      <c r="Q304" s="305">
        <f t="shared" si="105"/>
        <v>0.7</v>
      </c>
      <c r="R304" s="177">
        <f t="shared" si="106"/>
        <v>0.47273105628983991</v>
      </c>
      <c r="S304" s="921">
        <f t="shared" si="107"/>
        <v>-2</v>
      </c>
      <c r="T304" s="176">
        <f t="shared" si="108"/>
        <v>4</v>
      </c>
      <c r="U304" s="251">
        <f t="shared" si="109"/>
        <v>-1.5272689437101601</v>
      </c>
      <c r="V304" s="383">
        <f t="shared" si="110"/>
        <v>36.592327502215305</v>
      </c>
      <c r="W304" s="402">
        <f t="shared" si="111"/>
        <v>21.832725125892292</v>
      </c>
      <c r="X304" s="157">
        <f t="shared" si="112"/>
        <v>45947</v>
      </c>
      <c r="Y304" s="385">
        <f t="shared" si="113"/>
        <v>20.089740531042988</v>
      </c>
      <c r="Z304" s="385">
        <f t="shared" si="114"/>
        <v>21.315498807202509</v>
      </c>
      <c r="AA304" s="386">
        <f t="shared" si="115"/>
        <v>24.833343100308241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0.14165810373964777</v>
      </c>
      <c r="AD304" s="231">
        <f>(INDEX(Models!$BJ304:$BT304,,AH304)*(1-AF304)+INDEX(Models!$BJ304:$BT304,,AH304+1)*AF304-ERP_i)*AE304*Ramure*Pc/MaxiM</f>
        <v>4.7420539261590205E-3</v>
      </c>
      <c r="AE304" s="305">
        <f t="shared" si="117"/>
        <v>0.7</v>
      </c>
      <c r="AF304" s="177">
        <f t="shared" si="118"/>
        <v>0.99771862266381883</v>
      </c>
      <c r="AG304" s="921">
        <f t="shared" si="124"/>
        <v>1</v>
      </c>
      <c r="AH304" s="176">
        <f t="shared" si="119"/>
        <v>7</v>
      </c>
      <c r="AI304" s="225">
        <f t="shared" si="120"/>
        <v>1.9977186226638188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33.413711832462702</v>
      </c>
      <c r="C305" s="955"/>
      <c r="D305" s="393">
        <f t="shared" si="102"/>
        <v>35.45319729807531</v>
      </c>
      <c r="E305" s="385">
        <f t="shared" si="125"/>
        <v>38.081676589148124</v>
      </c>
      <c r="F305" s="385">
        <f t="shared" si="103"/>
        <v>38.089090393899397</v>
      </c>
      <c r="G305" s="110">
        <f t="shared" si="126"/>
        <v>0.91926373817081786</v>
      </c>
      <c r="H305" s="414" t="b">
        <f>Wh_hp&gt;='2024'!Maxi_hp</f>
        <v>0</v>
      </c>
      <c r="I305" s="390">
        <f>IF(H305,Wh_hp,'2024'!Maxi_hp)</f>
        <v>40.636688636439388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5.7526136457185739E-2</v>
      </c>
      <c r="M305" s="959"/>
      <c r="N305" s="959"/>
      <c r="O305" s="48">
        <f>IF(t&lt;Tnet,'2024'!Resal+('2024'!Salim-'2024'!Resal)*(1-EXP(('2024'!Tnet-t)/('2024'!Tau_j))),Resal+(Salim-Resal)*(1-EXP((Tnet-t)/(Tau_j))))*Salcycl</f>
        <v>6.9022152554644445E-2</v>
      </c>
      <c r="P305" s="169">
        <f>(INDEX(Models!$BJ305:$BT305,,T305)*(1-R305)+INDEX(Models!$BJ305:$BT305,,T305+1)*R305-ERP_i)*Q305*Ramure*Pc/MaxiM</f>
        <v>2.200121043744724E-4</v>
      </c>
      <c r="Q305" s="305">
        <f t="shared" si="105"/>
        <v>0.7</v>
      </c>
      <c r="R305" s="177">
        <f t="shared" si="106"/>
        <v>0.47283060488028039</v>
      </c>
      <c r="S305" s="921">
        <f t="shared" si="107"/>
        <v>-2</v>
      </c>
      <c r="T305" s="176">
        <f t="shared" si="108"/>
        <v>4</v>
      </c>
      <c r="U305" s="251">
        <f t="shared" si="109"/>
        <v>-1.5271693951197196</v>
      </c>
      <c r="V305" s="383">
        <f t="shared" si="110"/>
        <v>36.347418733430921</v>
      </c>
      <c r="W305" s="402">
        <f t="shared" si="111"/>
        <v>33.413711832462702</v>
      </c>
      <c r="X305" s="157">
        <f t="shared" si="112"/>
        <v>45948</v>
      </c>
      <c r="Y305" s="385">
        <f t="shared" si="113"/>
        <v>30.686187347932268</v>
      </c>
      <c r="Z305" s="385">
        <f t="shared" si="114"/>
        <v>32.559191861916574</v>
      </c>
      <c r="AA305" s="386">
        <f t="shared" si="115"/>
        <v>37.929853569170952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0.14159458057121527</v>
      </c>
      <c r="AD305" s="231">
        <f>(INDEX(Models!$BJ305:$BT305,,AH305)*(1-AF305)+INDEX(Models!$BJ305:$BT305,,AH305+1)*AF305-ERP_i)*AE305*Ramure*Pc/MaxiM</f>
        <v>4.7255127532699658E-3</v>
      </c>
      <c r="AE305" s="305">
        <f t="shared" si="117"/>
        <v>0.7</v>
      </c>
      <c r="AF305" s="177">
        <f t="shared" si="118"/>
        <v>0.99781817125425931</v>
      </c>
      <c r="AG305" s="921">
        <f t="shared" si="124"/>
        <v>1</v>
      </c>
      <c r="AH305" s="176">
        <f t="shared" si="119"/>
        <v>7</v>
      </c>
      <c r="AI305" s="225">
        <f t="shared" si="120"/>
        <v>1.9978181712542593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14.225907142422082</v>
      </c>
      <c r="C306" s="955"/>
      <c r="D306" s="393">
        <f t="shared" si="102"/>
        <v>15.0945498686253</v>
      </c>
      <c r="E306" s="385">
        <f t="shared" si="125"/>
        <v>16.214442813766155</v>
      </c>
      <c r="F306" s="385">
        <f t="shared" si="103"/>
        <v>16.214919100768736</v>
      </c>
      <c r="G306" s="110">
        <f t="shared" si="126"/>
        <v>0.3939889650291985</v>
      </c>
      <c r="H306" s="414" t="b">
        <f>Wh_hp&gt;='2024'!Maxi_hp</f>
        <v>0</v>
      </c>
      <c r="I306" s="390">
        <f>IF(H306,Wh_hp,'2024'!Maxi_hp)</f>
        <v>39.555235344496339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5.7546779053592734E-2</v>
      </c>
      <c r="M306" s="959"/>
      <c r="N306" s="959"/>
      <c r="O306" s="48">
        <f>IF(t&lt;Tnet,'2024'!Resal+('2024'!Salim-'2024'!Resal)*(1-EXP(('2024'!Tnet-t)/('2024'!Tau_j))),Resal+(Salim-Resal)*(1-EXP((Tnet-t)/(Tau_j))))*Salcycl</f>
        <v>6.906761817248866E-2</v>
      </c>
      <c r="P306" s="169">
        <f>(INDEX(Models!$BJ306:$BT306,,T306)*(1-R306)+INDEX(Models!$BJ306:$BT306,,T306+1)*R306-ERP_i)*Q306*Ramure*Pc/MaxiM</f>
        <v>2.1859021036205425E-4</v>
      </c>
      <c r="Q306" s="305">
        <f t="shared" si="105"/>
        <v>0.7</v>
      </c>
      <c r="R306" s="177">
        <f t="shared" si="106"/>
        <v>0.47292618276171039</v>
      </c>
      <c r="S306" s="921">
        <f t="shared" si="107"/>
        <v>-2</v>
      </c>
      <c r="T306" s="176">
        <f t="shared" si="108"/>
        <v>4</v>
      </c>
      <c r="U306" s="251">
        <f t="shared" si="109"/>
        <v>-1.5270738172382896</v>
      </c>
      <c r="V306" s="383">
        <f t="shared" si="110"/>
        <v>36.100542260770936</v>
      </c>
      <c r="W306" s="402">
        <f t="shared" si="111"/>
        <v>14.225907142422082</v>
      </c>
      <c r="X306" s="157">
        <f t="shared" si="112"/>
        <v>45949</v>
      </c>
      <c r="Y306" s="385">
        <f t="shared" si="113"/>
        <v>13.11067666079172</v>
      </c>
      <c r="Z306" s="385">
        <f t="shared" si="114"/>
        <v>13.911222721087459</v>
      </c>
      <c r="AA306" s="386">
        <f t="shared" si="115"/>
        <v>16.204657444570554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0.14152935545400999</v>
      </c>
      <c r="AD306" s="231">
        <f>(INDEX(Models!$BJ306:$BT306,,AH306)*(1-AF306)+INDEX(Models!$BJ306:$BT306,,AH306+1)*AF306-ERP_i)*AE306*Ramure*Pc/MaxiM</f>
        <v>4.7095502813951431E-3</v>
      </c>
      <c r="AE306" s="305">
        <f t="shared" si="117"/>
        <v>0.7</v>
      </c>
      <c r="AF306" s="177">
        <f t="shared" si="118"/>
        <v>0.99791374913568931</v>
      </c>
      <c r="AG306" s="921">
        <f t="shared" si="124"/>
        <v>1</v>
      </c>
      <c r="AH306" s="176">
        <f t="shared" si="119"/>
        <v>7</v>
      </c>
      <c r="AI306" s="225">
        <f t="shared" si="120"/>
        <v>1.9979137491356893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8.1596875757264353</v>
      </c>
      <c r="C307" s="955"/>
      <c r="D307" s="393">
        <f t="shared" si="102"/>
        <v>8.6581128021887377</v>
      </c>
      <c r="E307" s="385">
        <f t="shared" si="125"/>
        <v>9.3009190692859978</v>
      </c>
      <c r="F307" s="385">
        <f t="shared" si="103"/>
        <v>9.3009190692859978</v>
      </c>
      <c r="G307" s="110">
        <f t="shared" si="126"/>
        <v>0.22754679057323293</v>
      </c>
      <c r="H307" s="414" t="b">
        <f>Wh_hp&gt;='2024'!Maxi_hp</f>
        <v>0</v>
      </c>
      <c r="I307" s="390">
        <f>IF(H307,Wh_hp,'2024'!Maxi_hp)</f>
        <v>32.753589060137877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5.7567421197873836E-2</v>
      </c>
      <c r="M307" s="959"/>
      <c r="N307" s="959"/>
      <c r="O307" s="48">
        <f>IF(t&lt;Tnet,'2024'!Resal+('2024'!Salim-'2024'!Resal)*(1-EXP(('2024'!Tnet-t)/('2024'!Tau_j))),Resal+(Salim-Resal)*(1-EXP((Tnet-t)/(Tau_j))))*Salcycl</f>
        <v>6.9112123469601064E-2</v>
      </c>
      <c r="P307" s="169">
        <f>(INDEX(Models!$BJ307:$BT307,,T307)*(1-R307)+INDEX(Models!$BJ307:$BT307,,T307+1)*R307-ERP_i)*Q307*Ramure*Pc/MaxiM</f>
        <v>2.1699952756958009E-4</v>
      </c>
      <c r="Q307" s="305">
        <f t="shared" si="105"/>
        <v>0.7</v>
      </c>
      <c r="R307" s="177">
        <f t="shared" si="106"/>
        <v>0.47301794687470378</v>
      </c>
      <c r="S307" s="921">
        <f t="shared" si="107"/>
        <v>-2</v>
      </c>
      <c r="T307" s="176">
        <f t="shared" si="108"/>
        <v>4</v>
      </c>
      <c r="U307" s="251">
        <f t="shared" si="109"/>
        <v>-1.5269820531252962</v>
      </c>
      <c r="V307" s="383">
        <f t="shared" si="110"/>
        <v>35.851601803857868</v>
      </c>
      <c r="W307" s="402">
        <f t="shared" si="111"/>
        <v>8.1596875757264353</v>
      </c>
      <c r="X307" s="157">
        <f t="shared" si="112"/>
        <v>45950</v>
      </c>
      <c r="Y307" s="385">
        <f t="shared" si="113"/>
        <v>7.5255011106714038</v>
      </c>
      <c r="Z307" s="385">
        <f t="shared" si="114"/>
        <v>7.9851877788824437</v>
      </c>
      <c r="AA307" s="386">
        <f t="shared" si="115"/>
        <v>9.3009190692859978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0.14146250285613537</v>
      </c>
      <c r="AD307" s="231">
        <f>(INDEX(Models!$BJ307:$BT307,,AH307)*(1-AF307)+INDEX(Models!$BJ307:$BT307,,AH307+1)*AF307-ERP_i)*AE307*Ramure*Pc/MaxiM</f>
        <v>4.694202082438613E-3</v>
      </c>
      <c r="AE307" s="305">
        <f t="shared" si="117"/>
        <v>0.7</v>
      </c>
      <c r="AF307" s="177">
        <f t="shared" si="118"/>
        <v>0.9980055132486827</v>
      </c>
      <c r="AG307" s="921">
        <f t="shared" si="124"/>
        <v>1</v>
      </c>
      <c r="AH307" s="176">
        <f t="shared" si="119"/>
        <v>7</v>
      </c>
      <c r="AI307" s="225">
        <f t="shared" si="120"/>
        <v>1.9980055132486827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14.914288478274679</v>
      </c>
      <c r="C308" s="955"/>
      <c r="D308" s="393">
        <f t="shared" si="102"/>
        <v>15.825657433851537</v>
      </c>
      <c r="E308" s="385">
        <f t="shared" si="125"/>
        <v>17.001401346743748</v>
      </c>
      <c r="F308" s="385">
        <f t="shared" si="103"/>
        <v>17.002023126765376</v>
      </c>
      <c r="G308" s="110">
        <f t="shared" si="126"/>
        <v>0.41885993819437045</v>
      </c>
      <c r="H308" s="414" t="b">
        <f>Wh_hp&gt;='2024'!Maxi_hp</f>
        <v>0</v>
      </c>
      <c r="I308" s="390">
        <f>IF(H308,Wh_hp,'2024'!Maxi_hp)</f>
        <v>25.301063614108177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5.7588062890039149E-2</v>
      </c>
      <c r="M308" s="959"/>
      <c r="N308" s="959"/>
      <c r="O308" s="48">
        <f>IF(t&lt;Tnet,'2024'!Resal+('2024'!Salim-'2024'!Resal)*(1-EXP(('2024'!Tnet-t)/('2024'!Tau_j))),Resal+(Salim-Resal)*(1-EXP((Tnet-t)/(Tau_j))))*Salcycl</f>
        <v>6.9155705986400876E-2</v>
      </c>
      <c r="P308" s="169">
        <f>(INDEX(Models!$BJ308:$BT308,,T308)*(1-R308)+INDEX(Models!$BJ308:$BT308,,T308+1)*R308-ERP_i)*Q308*Ramure*Pc/MaxiM</f>
        <v>2.1524113988775944E-4</v>
      </c>
      <c r="Q308" s="305">
        <f t="shared" si="105"/>
        <v>0.7</v>
      </c>
      <c r="R308" s="177">
        <f t="shared" si="106"/>
        <v>0.47310604806998913</v>
      </c>
      <c r="S308" s="921">
        <f t="shared" si="107"/>
        <v>-2</v>
      </c>
      <c r="T308" s="176">
        <f t="shared" si="108"/>
        <v>4</v>
      </c>
      <c r="U308" s="251">
        <f t="shared" si="109"/>
        <v>-1.5268939519300109</v>
      </c>
      <c r="V308" s="383">
        <f t="shared" si="110"/>
        <v>35.600500984276927</v>
      </c>
      <c r="W308" s="402">
        <f t="shared" si="111"/>
        <v>14.914288478274679</v>
      </c>
      <c r="X308" s="157">
        <f t="shared" si="112"/>
        <v>45951</v>
      </c>
      <c r="Y308" s="385">
        <f t="shared" si="113"/>
        <v>13.746426396510884</v>
      </c>
      <c r="Z308" s="385">
        <f t="shared" si="114"/>
        <v>14.586430684087301</v>
      </c>
      <c r="AA308" s="386">
        <f t="shared" si="115"/>
        <v>16.988505156009925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0.14139410441729516</v>
      </c>
      <c r="AD308" s="231">
        <f>(INDEX(Models!$BJ308:$BT308,,AH308)*(1-AF308)+INDEX(Models!$BJ308:$BT308,,AH308+1)*AF308-ERP_i)*AE308*Ramure*Pc/MaxiM</f>
        <v>4.6795061487285563E-3</v>
      </c>
      <c r="AE308" s="305">
        <f t="shared" si="117"/>
        <v>0.7</v>
      </c>
      <c r="AF308" s="177">
        <f t="shared" si="118"/>
        <v>0.99809361444396805</v>
      </c>
      <c r="AG308" s="921">
        <f t="shared" si="124"/>
        <v>1</v>
      </c>
      <c r="AH308" s="176">
        <f t="shared" si="119"/>
        <v>7</v>
      </c>
      <c r="AI308" s="225">
        <f t="shared" si="120"/>
        <v>1.998093614443968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32.174317344073636</v>
      </c>
      <c r="C309" s="955"/>
      <c r="D309" s="393">
        <f t="shared" si="102"/>
        <v>34.141144432339217</v>
      </c>
      <c r="E309" s="385">
        <f t="shared" si="125"/>
        <v>36.679293078974105</v>
      </c>
      <c r="F309" s="385">
        <f t="shared" si="103"/>
        <v>36.686115319069664</v>
      </c>
      <c r="G309" s="110">
        <f t="shared" si="126"/>
        <v>0.91021321830581714</v>
      </c>
      <c r="H309" s="414" t="b">
        <f>Wh_hp&gt;='2024'!Maxi_hp</f>
        <v>1</v>
      </c>
      <c r="I309" s="390">
        <f>IF(H309,Wh_hp,'2024'!Maxi_hp)</f>
        <v>36.686115319069664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5.7608704130098332E-2</v>
      </c>
      <c r="M309" s="959"/>
      <c r="N309" s="959"/>
      <c r="O309" s="48">
        <f>IF(t&lt;Tnet,'2024'!Resal+('2024'!Salim-'2024'!Resal)*(1-EXP(('2024'!Tnet-t)/('2024'!Tau_j))),Resal+(Salim-Resal)*(1-EXP((Tnet-t)/(Tau_j))))*Salcycl</f>
        <v>6.9198406882324828E-2</v>
      </c>
      <c r="P309" s="169">
        <f>(INDEX(Models!$BJ309:$BT309,,T309)*(1-R309)+INDEX(Models!$BJ309:$BT309,,T309+1)*R309-ERP_i)*Q309*Ramure*Pc/MaxiM</f>
        <v>2.1331626857559838E-4</v>
      </c>
      <c r="Q309" s="305">
        <f t="shared" si="105"/>
        <v>0.7</v>
      </c>
      <c r="R309" s="177">
        <f t="shared" si="106"/>
        <v>0.47319063133583494</v>
      </c>
      <c r="S309" s="921">
        <f t="shared" si="107"/>
        <v>-2</v>
      </c>
      <c r="T309" s="176">
        <f t="shared" si="108"/>
        <v>4</v>
      </c>
      <c r="U309" s="251">
        <f t="shared" si="109"/>
        <v>-1.5268093686641651</v>
      </c>
      <c r="V309" s="383">
        <f t="shared" si="110"/>
        <v>35.347143331986082</v>
      </c>
      <c r="W309" s="402">
        <f t="shared" si="111"/>
        <v>32.174317344073636</v>
      </c>
      <c r="X309" s="157">
        <f t="shared" si="112"/>
        <v>45952</v>
      </c>
      <c r="Y309" s="385">
        <f t="shared" si="113"/>
        <v>29.565975327760661</v>
      </c>
      <c r="Z309" s="385">
        <f t="shared" si="114"/>
        <v>31.373353571213674</v>
      </c>
      <c r="AA309" s="386">
        <f t="shared" si="115"/>
        <v>36.536904095788465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0.141324248793427</v>
      </c>
      <c r="AD309" s="231">
        <f>(INDEX(Models!$BJ309:$BT309,,AH309)*(1-AF309)+INDEX(Models!$BJ309:$BT309,,AH309+1)*AF309-ERP_i)*AE309*Ramure*Pc/MaxiM</f>
        <v>4.6655029629748207E-3</v>
      </c>
      <c r="AE309" s="305">
        <f t="shared" si="117"/>
        <v>0.7</v>
      </c>
      <c r="AF309" s="177">
        <f t="shared" si="118"/>
        <v>0.99817819770981409</v>
      </c>
      <c r="AG309" s="921">
        <f t="shared" si="124"/>
        <v>1</v>
      </c>
      <c r="AH309" s="176">
        <f t="shared" si="119"/>
        <v>7</v>
      </c>
      <c r="AI309" s="225">
        <f t="shared" si="120"/>
        <v>1.9981781977098141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18.326656620734344</v>
      </c>
      <c r="C310" s="955"/>
      <c r="D310" s="393">
        <f t="shared" si="102"/>
        <v>19.447397392845229</v>
      </c>
      <c r="E310" s="385">
        <f t="shared" si="125"/>
        <v>20.894111319906649</v>
      </c>
      <c r="F310" s="385">
        <f t="shared" si="103"/>
        <v>20.895512971948836</v>
      </c>
      <c r="G310" s="110">
        <f t="shared" si="126"/>
        <v>0.52217916196691205</v>
      </c>
      <c r="H310" s="414" t="b">
        <f>Wh_hp&gt;='2024'!Maxi_hp</f>
        <v>0</v>
      </c>
      <c r="I310" s="390">
        <f>IF(H310,Wh_hp,'2024'!Maxi_hp)</f>
        <v>40.417600881584974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5.7629344918061376E-2</v>
      </c>
      <c r="M310" s="959"/>
      <c r="N310" s="959"/>
      <c r="O310" s="48">
        <f>IF(t&lt;Tnet,'2024'!Resal+('2024'!Salim-'2024'!Resal)*(1-EXP(('2024'!Tnet-t)/('2024'!Tau_j))),Resal+(Salim-Resal)*(1-EXP((Tnet-t)/(Tau_j))))*Salcycl</f>
        <v>6.9240270854835362E-2</v>
      </c>
      <c r="P310" s="169">
        <f>(INDEX(Models!$BJ310:$BT310,,T310)*(1-R310)+INDEX(Models!$BJ310:$BT310,,T310+1)*R310-ERP_i)*Q310*Ramure*Pc/MaxiM</f>
        <v>2.1126848180772064E-4</v>
      </c>
      <c r="Q310" s="305">
        <f t="shared" si="105"/>
        <v>0.7</v>
      </c>
      <c r="R310" s="177">
        <f t="shared" si="106"/>
        <v>0.47327183601765688</v>
      </c>
      <c r="S310" s="921">
        <f t="shared" si="107"/>
        <v>-2</v>
      </c>
      <c r="T310" s="176">
        <f t="shared" si="108"/>
        <v>4</v>
      </c>
      <c r="U310" s="251">
        <f t="shared" si="109"/>
        <v>-1.5267281639823431</v>
      </c>
      <c r="V310" s="383">
        <f t="shared" si="110"/>
        <v>35.091430812774526</v>
      </c>
      <c r="W310" s="402">
        <f t="shared" si="111"/>
        <v>18.326656620734344</v>
      </c>
      <c r="X310" s="157">
        <f t="shared" si="112"/>
        <v>45953</v>
      </c>
      <c r="Y310" s="385">
        <f t="shared" si="113"/>
        <v>16.884803958927865</v>
      </c>
      <c r="Z310" s="385">
        <f t="shared" si="114"/>
        <v>17.91737027025713</v>
      </c>
      <c r="AA310" s="386">
        <f t="shared" si="115"/>
        <v>20.864551406322324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0.141253031453729</v>
      </c>
      <c r="AD310" s="231">
        <f>(INDEX(Models!$BJ310:$BT310,,AH310)*(1-AF310)+INDEX(Models!$BJ310:$BT310,,AH310+1)*AF310-ERP_i)*AE310*Ramure*Pc/MaxiM</f>
        <v>4.6667808895672156E-3</v>
      </c>
      <c r="AE310" s="305">
        <f t="shared" si="117"/>
        <v>0.7</v>
      </c>
      <c r="AF310" s="177">
        <f t="shared" si="118"/>
        <v>0.9982594023916358</v>
      </c>
      <c r="AG310" s="921">
        <f t="shared" si="124"/>
        <v>1</v>
      </c>
      <c r="AH310" s="176">
        <f t="shared" si="119"/>
        <v>7</v>
      </c>
      <c r="AI310" s="225">
        <f t="shared" si="120"/>
        <v>1.9982594023916358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24.449409086371904</v>
      </c>
      <c r="C311" s="955"/>
      <c r="D311" s="393">
        <f t="shared" si="102"/>
        <v>25.9451463933604</v>
      </c>
      <c r="E311" s="385">
        <f t="shared" si="125"/>
        <v>27.876465441857036</v>
      </c>
      <c r="F311" s="385">
        <f t="shared" si="103"/>
        <v>27.879816041545862</v>
      </c>
      <c r="G311" s="110">
        <f t="shared" si="126"/>
        <v>0.70183583189368659</v>
      </c>
      <c r="H311" s="414" t="b">
        <f>Wh_hp&gt;='2024'!Maxi_hp</f>
        <v>0</v>
      </c>
      <c r="I311" s="390">
        <f>IF(H311,Wh_hp,'2024'!Maxi_hp)</f>
        <v>41.588960428568228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5.7649985253938163E-2</v>
      </c>
      <c r="M311" s="959"/>
      <c r="N311" s="959"/>
      <c r="O311" s="48">
        <f>IF(t&lt;Tnet,'2024'!Resal+('2024'!Salim-'2024'!Resal)*(1-EXP(('2024'!Tnet-t)/('2024'!Tau_j))),Resal+(Salim-Resal)*(1-EXP((Tnet-t)/(Tau_j))))*Salcycl</f>
        <v>6.9281346034519964E-2</v>
      </c>
      <c r="P311" s="169">
        <f>(INDEX(Models!$BJ311:$BT311,,T311)*(1-R311)+INDEX(Models!$BJ311:$BT311,,T311+1)*R311-ERP_i)*Q311*Ramure*Pc/MaxiM</f>
        <v>2.0932176803511443E-4</v>
      </c>
      <c r="Q311" s="305">
        <f t="shared" si="105"/>
        <v>0.7</v>
      </c>
      <c r="R311" s="177">
        <f t="shared" si="106"/>
        <v>0.47334979603004945</v>
      </c>
      <c r="S311" s="921">
        <f t="shared" si="107"/>
        <v>-2</v>
      </c>
      <c r="T311" s="176">
        <f t="shared" si="108"/>
        <v>4</v>
      </c>
      <c r="U311" s="251">
        <f t="shared" si="109"/>
        <v>-1.5266502039699505</v>
      </c>
      <c r="V311" s="383">
        <f t="shared" si="110"/>
        <v>34.833259079797791</v>
      </c>
      <c r="W311" s="402">
        <f t="shared" si="111"/>
        <v>24.449409086371904</v>
      </c>
      <c r="X311" s="157">
        <f t="shared" si="112"/>
        <v>45954</v>
      </c>
      <c r="Y311" s="385">
        <f t="shared" si="113"/>
        <v>22.50268253214232</v>
      </c>
      <c r="Z311" s="385">
        <f t="shared" si="114"/>
        <v>23.879325282555644</v>
      </c>
      <c r="AA311" s="386">
        <f t="shared" si="115"/>
        <v>27.804826038515486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0.14118055443045047</v>
      </c>
      <c r="AD311" s="231">
        <f>(INDEX(Models!$BJ311:$BT311,,AH311)*(1-AF311)+INDEX(Models!$BJ311:$BT311,,AH311+1)*AF311-ERP_i)*AE311*Ramure*Pc/MaxiM</f>
        <v>4.6848449463052231E-3</v>
      </c>
      <c r="AE311" s="305">
        <f t="shared" si="117"/>
        <v>0.7</v>
      </c>
      <c r="AF311" s="177">
        <f t="shared" si="118"/>
        <v>0.99833736240402837</v>
      </c>
      <c r="AG311" s="921">
        <f t="shared" si="124"/>
        <v>1</v>
      </c>
      <c r="AH311" s="176">
        <f t="shared" si="119"/>
        <v>7</v>
      </c>
      <c r="AI311" s="225">
        <f t="shared" si="120"/>
        <v>1.9983373624040284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21.593497355443088</v>
      </c>
      <c r="C312" s="955"/>
      <c r="D312" s="393">
        <f t="shared" si="102"/>
        <v>22.915020937980813</v>
      </c>
      <c r="E312" s="385">
        <f t="shared" si="125"/>
        <v>24.621848968110246</v>
      </c>
      <c r="F312" s="385">
        <f t="shared" si="103"/>
        <v>24.624217997240052</v>
      </c>
      <c r="G312" s="110">
        <f t="shared" si="126"/>
        <v>0.62451586199888753</v>
      </c>
      <c r="H312" s="414" t="b">
        <f>Wh_hp&gt;='2024'!Maxi_hp</f>
        <v>0</v>
      </c>
      <c r="I312" s="390">
        <f>IF(H312,Wh_hp,'2024'!Maxi_hp)</f>
        <v>39.380465592356508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5.7670625137738685E-2</v>
      </c>
      <c r="M312" s="959"/>
      <c r="N312" s="959"/>
      <c r="O312" s="48">
        <f>IF(t&lt;Tnet,'2024'!Resal+('2024'!Salim-'2024'!Resal)*(1-EXP(('2024'!Tnet-t)/('2024'!Tau_j))),Resal+(Salim-Resal)*(1-EXP((Tnet-t)/(Tau_j))))*Salcycl</f>
        <v>6.9321683856483976E-2</v>
      </c>
      <c r="P312" s="169">
        <f>(INDEX(Models!$BJ312:$BT312,,T312)*(1-R312)+INDEX(Models!$BJ312:$BT312,,T312+1)*R312-ERP_i)*Q312*Ramure*Pc/MaxiM</f>
        <v>2.0748038964948562E-4</v>
      </c>
      <c r="Q312" s="305">
        <f t="shared" si="105"/>
        <v>0.7</v>
      </c>
      <c r="R312" s="177">
        <f t="shared" si="106"/>
        <v>0.47342464006145768</v>
      </c>
      <c r="S312" s="921">
        <f t="shared" si="107"/>
        <v>-2</v>
      </c>
      <c r="T312" s="176">
        <f t="shared" si="108"/>
        <v>4</v>
      </c>
      <c r="U312" s="251">
        <f t="shared" si="109"/>
        <v>-1.5265753599385423</v>
      </c>
      <c r="V312" s="383">
        <f t="shared" si="110"/>
        <v>34.572531560100593</v>
      </c>
      <c r="W312" s="402">
        <f t="shared" si="111"/>
        <v>21.593497355443088</v>
      </c>
      <c r="X312" s="157">
        <f t="shared" si="112"/>
        <v>45955</v>
      </c>
      <c r="Y312" s="385">
        <f t="shared" si="113"/>
        <v>19.886243646003305</v>
      </c>
      <c r="Z312" s="385">
        <f t="shared" si="114"/>
        <v>21.103283179419133</v>
      </c>
      <c r="AA312" s="386">
        <f t="shared" si="115"/>
        <v>24.570326410578311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0.14110692602221611</v>
      </c>
      <c r="AD312" s="231">
        <f>(INDEX(Models!$BJ312:$BT312,,AH312)*(1-AF312)+INDEX(Models!$BJ312:$BT312,,AH312+1)*AF312-ERP_i)*AE312*Ramure*Pc/MaxiM</f>
        <v>4.7198437784996003E-3</v>
      </c>
      <c r="AE312" s="305">
        <f t="shared" si="117"/>
        <v>0.7</v>
      </c>
      <c r="AF312" s="177">
        <f t="shared" si="118"/>
        <v>0.9984122064354366</v>
      </c>
      <c r="AG312" s="921">
        <f t="shared" si="124"/>
        <v>1</v>
      </c>
      <c r="AH312" s="176">
        <f t="shared" si="119"/>
        <v>7</v>
      </c>
      <c r="AI312" s="225">
        <f t="shared" si="120"/>
        <v>1.9984122064354366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12.070972868896353</v>
      </c>
      <c r="C313" s="955"/>
      <c r="D313" s="393">
        <f t="shared" si="102"/>
        <v>12.809997843627439</v>
      </c>
      <c r="E313" s="385">
        <f t="shared" si="125"/>
        <v>13.764738538373585</v>
      </c>
      <c r="F313" s="385">
        <f t="shared" si="103"/>
        <v>13.764948232947599</v>
      </c>
      <c r="G313" s="110">
        <f t="shared" si="126"/>
        <v>0.35176250536984388</v>
      </c>
      <c r="H313" s="414" t="b">
        <f>Wh_hp&gt;='2024'!Maxi_hp</f>
        <v>0</v>
      </c>
      <c r="I313" s="390">
        <f>IF(H313,Wh_hp,'2024'!Maxi_hp)</f>
        <v>38.95254653773808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5.7691264569472711E-2</v>
      </c>
      <c r="M313" s="959"/>
      <c r="N313" s="959"/>
      <c r="O313" s="48">
        <f>IF(t&lt;Tnet,'2024'!Resal+('2024'!Salim-'2024'!Resal)*(1-EXP(('2024'!Tnet-t)/('2024'!Tau_j))),Resal+(Salim-Resal)*(1-EXP((Tnet-t)/(Tau_j))))*Salcycl</f>
        <v>6.9361338908436404E-2</v>
      </c>
      <c r="P313" s="169">
        <f>(INDEX(Models!$BJ313:$BT313,,T313)*(1-R313)+INDEX(Models!$BJ313:$BT313,,T313+1)*R313-ERP_i)*Q313*Ramure*Pc/MaxiM</f>
        <v>2.0574691989906109E-4</v>
      </c>
      <c r="Q313" s="305">
        <f t="shared" si="105"/>
        <v>0.7</v>
      </c>
      <c r="R313" s="177">
        <f t="shared" si="106"/>
        <v>0.47349649177168729</v>
      </c>
      <c r="S313" s="921">
        <f t="shared" si="107"/>
        <v>-2</v>
      </c>
      <c r="T313" s="176">
        <f t="shared" si="108"/>
        <v>4</v>
      </c>
      <c r="U313" s="251">
        <f t="shared" si="109"/>
        <v>-1.5265035082283127</v>
      </c>
      <c r="V313" s="383">
        <f t="shared" si="110"/>
        <v>34.309151694034725</v>
      </c>
      <c r="W313" s="402">
        <f t="shared" si="111"/>
        <v>12.070972868896353</v>
      </c>
      <c r="X313" s="157">
        <f t="shared" si="112"/>
        <v>45956</v>
      </c>
      <c r="Y313" s="385">
        <f t="shared" si="113"/>
        <v>11.137588812346117</v>
      </c>
      <c r="Z313" s="385">
        <f t="shared" si="114"/>
        <v>11.819468920934403</v>
      </c>
      <c r="AA313" s="386">
        <f t="shared" si="115"/>
        <v>13.760084781710919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0.14103226045204792</v>
      </c>
      <c r="AD313" s="231">
        <f>(INDEX(Models!$BJ313:$BT313,,AH313)*(1-AF313)+INDEX(Models!$BJ313:$BT313,,AH313+1)*AF313-ERP_i)*AE313*Ramure*Pc/MaxiM</f>
        <v>4.7718932010073368E-3</v>
      </c>
      <c r="AE313" s="305">
        <f t="shared" si="117"/>
        <v>0.7</v>
      </c>
      <c r="AF313" s="177">
        <f t="shared" si="118"/>
        <v>0.99848405814566621</v>
      </c>
      <c r="AG313" s="921">
        <f t="shared" si="124"/>
        <v>1</v>
      </c>
      <c r="AH313" s="176">
        <f t="shared" si="119"/>
        <v>7</v>
      </c>
      <c r="AI313" s="225">
        <f t="shared" si="120"/>
        <v>1.9984840581456662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13.225954991764906</v>
      </c>
      <c r="C314" s="955"/>
      <c r="D314" s="393">
        <f t="shared" si="102"/>
        <v>14.035999225269613</v>
      </c>
      <c r="E314" s="385">
        <f t="shared" si="125"/>
        <v>15.08274746091154</v>
      </c>
      <c r="F314" s="385">
        <f t="shared" si="103"/>
        <v>15.083136744128137</v>
      </c>
      <c r="G314" s="110">
        <f t="shared" si="126"/>
        <v>0.38843778912605786</v>
      </c>
      <c r="H314" s="414" t="b">
        <f>Wh_hp&gt;='2024'!Maxi_hp</f>
        <v>0</v>
      </c>
      <c r="I314" s="390">
        <f>IF(H314,Wh_hp,'2024'!Maxi_hp)</f>
        <v>33.191570367929572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5.7711903549150234E-2</v>
      </c>
      <c r="M314" s="959"/>
      <c r="N314" s="959"/>
      <c r="O314" s="48">
        <f>IF(t&lt;Tnet,'2024'!Resal+('2024'!Salim-'2024'!Resal)*(1-EXP(('2024'!Tnet-t)/('2024'!Tau_j))),Resal+(Salim-Resal)*(1-EXP((Tnet-t)/(Tau_j))))*Salcycl</f>
        <v>6.9400368756069114E-2</v>
      </c>
      <c r="P314" s="169">
        <f>(INDEX(Models!$BJ314:$BT314,,T314)*(1-R314)+INDEX(Models!$BJ314:$BT314,,T314+1)*R314-ERP_i)*Q314*Ramure*Pc/MaxiM</f>
        <v>2.0412401414978377E-4</v>
      </c>
      <c r="Q314" s="305">
        <f t="shared" si="105"/>
        <v>0.7</v>
      </c>
      <c r="R314" s="177">
        <f t="shared" si="106"/>
        <v>0.47356546998246452</v>
      </c>
      <c r="S314" s="921">
        <f t="shared" si="107"/>
        <v>-2</v>
      </c>
      <c r="T314" s="176">
        <f t="shared" si="108"/>
        <v>4</v>
      </c>
      <c r="U314" s="251">
        <f t="shared" si="109"/>
        <v>-1.5264345300175355</v>
      </c>
      <c r="V314" s="383">
        <f t="shared" si="110"/>
        <v>34.043022890546013</v>
      </c>
      <c r="W314" s="402">
        <f t="shared" si="111"/>
        <v>13.225954991764906</v>
      </c>
      <c r="X314" s="157">
        <f t="shared" si="112"/>
        <v>45957</v>
      </c>
      <c r="Y314" s="385">
        <f t="shared" si="113"/>
        <v>12.201817489532585</v>
      </c>
      <c r="Z314" s="385">
        <f t="shared" si="114"/>
        <v>12.949136825023066</v>
      </c>
      <c r="AA314" s="386">
        <f t="shared" si="115"/>
        <v>15.073904290486279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0.14095667748164201</v>
      </c>
      <c r="AD314" s="231">
        <f>(INDEX(Models!$BJ314:$BT314,,AH314)*(1-AF314)+INDEX(Models!$BJ314:$BT314,,AH314+1)*AF314-ERP_i)*AE314*Ramure*Pc/MaxiM</f>
        <v>4.8411167434877708E-3</v>
      </c>
      <c r="AE314" s="305">
        <f t="shared" si="117"/>
        <v>0.7</v>
      </c>
      <c r="AF314" s="177">
        <f t="shared" si="118"/>
        <v>0.99855303635644344</v>
      </c>
      <c r="AG314" s="921">
        <f t="shared" si="124"/>
        <v>1</v>
      </c>
      <c r="AH314" s="176">
        <f t="shared" si="119"/>
        <v>7</v>
      </c>
      <c r="AI314" s="225">
        <f t="shared" si="120"/>
        <v>1.9985530363564434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16.661361566777476</v>
      </c>
      <c r="C315" s="955"/>
      <c r="D315" s="393">
        <f t="shared" si="102"/>
        <v>17.682199917526109</v>
      </c>
      <c r="E315" s="385">
        <f t="shared" si="125"/>
        <v>19.001652506859113</v>
      </c>
      <c r="F315" s="385">
        <f t="shared" si="103"/>
        <v>19.002715820294632</v>
      </c>
      <c r="G315" s="110">
        <f t="shared" si="126"/>
        <v>0.49324610526222018</v>
      </c>
      <c r="H315" s="414" t="b">
        <f>Wh_hp&gt;='2024'!Maxi_hp</f>
        <v>0</v>
      </c>
      <c r="I315" s="390">
        <f>IF(H315,Wh_hp,'2024'!Maxi_hp)</f>
        <v>38.41572407667438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5.7732542076781246E-2</v>
      </c>
      <c r="M315" s="959"/>
      <c r="N315" s="959"/>
      <c r="O315" s="48">
        <f>IF(t&lt;Tnet,'2024'!Resal+('2024'!Salim-'2024'!Resal)*(1-EXP(('2024'!Tnet-t)/('2024'!Tau_j))),Resal+(Salim-Resal)*(1-EXP((Tnet-t)/(Tau_j))))*Salcycl</f>
        <v>6.9438833746523723E-2</v>
      </c>
      <c r="P315" s="169">
        <f>(INDEX(Models!$BJ315:$BT315,,T315)*(1-R315)+INDEX(Models!$BJ315:$BT315,,T315+1)*R315-ERP_i)*Q315*Ramure*Pc/MaxiM</f>
        <v>2.0261441683387907E-4</v>
      </c>
      <c r="Q315" s="305">
        <f t="shared" si="105"/>
        <v>0.7</v>
      </c>
      <c r="R315" s="177">
        <f t="shared" si="106"/>
        <v>0.47363168886124662</v>
      </c>
      <c r="S315" s="921">
        <f t="shared" si="107"/>
        <v>-2</v>
      </c>
      <c r="T315" s="176">
        <f t="shared" si="108"/>
        <v>4</v>
      </c>
      <c r="U315" s="251">
        <f t="shared" si="109"/>
        <v>-1.5263683111387534</v>
      </c>
      <c r="V315" s="383">
        <f t="shared" si="110"/>
        <v>33.774048535172753</v>
      </c>
      <c r="W315" s="402">
        <f t="shared" si="111"/>
        <v>16.661361566777476</v>
      </c>
      <c r="X315" s="157">
        <f t="shared" si="112"/>
        <v>45958</v>
      </c>
      <c r="Y315" s="385">
        <f t="shared" si="113"/>
        <v>15.362154354446309</v>
      </c>
      <c r="Z315" s="385">
        <f t="shared" si="114"/>
        <v>16.303390534471905</v>
      </c>
      <c r="AA315" s="386">
        <f t="shared" si="115"/>
        <v>18.976855695567142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0.14088030198383911</v>
      </c>
      <c r="AD315" s="231">
        <f>(INDEX(Models!$BJ315:$BT315,,AH315)*(1-AF315)+INDEX(Models!$BJ315:$BT315,,AH315+1)*AF315-ERP_i)*AE315*Ramure*Pc/MaxiM</f>
        <v>4.9276477808827823E-3</v>
      </c>
      <c r="AE315" s="305">
        <f t="shared" si="117"/>
        <v>0.7</v>
      </c>
      <c r="AF315" s="177">
        <f t="shared" si="118"/>
        <v>0.99861925523522554</v>
      </c>
      <c r="AG315" s="921">
        <f t="shared" si="124"/>
        <v>1</v>
      </c>
      <c r="AH315" s="176">
        <f t="shared" si="119"/>
        <v>7</v>
      </c>
      <c r="AI315" s="225">
        <f t="shared" si="120"/>
        <v>1.9986192552352255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24.883948971619585</v>
      </c>
      <c r="C316" s="955"/>
      <c r="D316" s="393">
        <f t="shared" si="102"/>
        <v>26.409162066096112</v>
      </c>
      <c r="E316" s="385">
        <f t="shared" si="125"/>
        <v>28.380981769202162</v>
      </c>
      <c r="F316" s="385">
        <f t="shared" si="103"/>
        <v>28.3845943993236</v>
      </c>
      <c r="G316" s="110">
        <f t="shared" si="126"/>
        <v>0.74270224502003679</v>
      </c>
      <c r="H316" s="414" t="b">
        <f>Wh_hp&gt;='2024'!Maxi_hp</f>
        <v>0</v>
      </c>
      <c r="I316" s="390">
        <f>IF(H316,Wh_hp,'2024'!Maxi_hp)</f>
        <v>30.720187323726929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5.7753180152375405E-2</v>
      </c>
      <c r="M316" s="959"/>
      <c r="N316" s="959"/>
      <c r="O316" s="48">
        <f>IF(t&lt;Tnet,'2024'!Resal+('2024'!Salim-'2024'!Resal)*(1-EXP(('2024'!Tnet-t)/('2024'!Tau_j))),Resal+(Salim-Resal)*(1-EXP((Tnet-t)/(Tau_j))))*Salcycl</f>
        <v>6.9476796790933631E-2</v>
      </c>
      <c r="P316" s="169">
        <f>(INDEX(Models!$BJ316:$BT316,,T316)*(1-R316)+INDEX(Models!$BJ316:$BT316,,T316+1)*R316-ERP_i)*Q316*Ramure*Pc/MaxiM</f>
        <v>2.0122096932204185E-4</v>
      </c>
      <c r="Q316" s="305">
        <f t="shared" si="105"/>
        <v>0.7</v>
      </c>
      <c r="R316" s="177">
        <f t="shared" si="106"/>
        <v>0.47369525809848279</v>
      </c>
      <c r="S316" s="921">
        <f t="shared" si="107"/>
        <v>-2</v>
      </c>
      <c r="T316" s="176">
        <f t="shared" si="108"/>
        <v>4</v>
      </c>
      <c r="U316" s="251">
        <f t="shared" si="109"/>
        <v>-1.5263047419015172</v>
      </c>
      <c r="V316" s="383">
        <f t="shared" si="110"/>
        <v>33.502132004763709</v>
      </c>
      <c r="W316" s="402">
        <f t="shared" si="111"/>
        <v>24.883948971619585</v>
      </c>
      <c r="X316" s="157">
        <f t="shared" si="112"/>
        <v>45959</v>
      </c>
      <c r="Y316" s="385">
        <f t="shared" si="113"/>
        <v>22.906335644709671</v>
      </c>
      <c r="Z316" s="385">
        <f t="shared" si="114"/>
        <v>24.310334789364394</v>
      </c>
      <c r="AA316" s="386">
        <f t="shared" si="115"/>
        <v>28.294258760460188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0.14080326347559699</v>
      </c>
      <c r="AD316" s="231">
        <f>(INDEX(Models!$BJ316:$BT316,,AH316)*(1-AF316)+INDEX(Models!$BJ316:$BT316,,AH316+1)*AF316-ERP_i)*AE316*Ramure*Pc/MaxiM</f>
        <v>5.0316318597264618E-3</v>
      </c>
      <c r="AE316" s="305">
        <f t="shared" si="117"/>
        <v>0.7</v>
      </c>
      <c r="AF316" s="177">
        <f t="shared" si="118"/>
        <v>0.99868282447246171</v>
      </c>
      <c r="AG316" s="921">
        <f t="shared" si="124"/>
        <v>1</v>
      </c>
      <c r="AH316" s="176">
        <f t="shared" si="119"/>
        <v>7</v>
      </c>
      <c r="AI316" s="225">
        <f t="shared" si="120"/>
        <v>1.9986828244724617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20.37776679130236</v>
      </c>
      <c r="C317" s="955"/>
      <c r="D317" s="393">
        <f t="shared" si="102"/>
        <v>21.627255934665396</v>
      </c>
      <c r="E317" s="385">
        <f t="shared" si="125"/>
        <v>23.242975654768973</v>
      </c>
      <c r="F317" s="385">
        <f t="shared" si="103"/>
        <v>23.245056258545038</v>
      </c>
      <c r="G317" s="110">
        <f t="shared" si="126"/>
        <v>0.61326689117190269</v>
      </c>
      <c r="H317" s="414" t="b">
        <f>Wh_hp&gt;='2024'!Maxi_hp</f>
        <v>0</v>
      </c>
      <c r="I317" s="390">
        <f>IF(H317,Wh_hp,'2024'!Maxi_hp)</f>
        <v>35.207799824990232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5.7773817775942815E-2</v>
      </c>
      <c r="M317" s="959"/>
      <c r="N317" s="959"/>
      <c r="O317" s="48">
        <f>IF(t&lt;Tnet,'2024'!Resal+('2024'!Salim-'2024'!Resal)*(1-EXP(('2024'!Tnet-t)/('2024'!Tau_j))),Resal+(Salim-Resal)*(1-EXP((Tnet-t)/(Tau_j))))*Salcycl</f>
        <v>6.9514323127213909E-2</v>
      </c>
      <c r="P317" s="169">
        <f>(INDEX(Models!$BJ317:$BT317,,T317)*(1-R317)+INDEX(Models!$BJ317:$BT317,,T317+1)*R317-ERP_i)*Q317*Ramure*Pc/MaxiM</f>
        <v>1.9996243028449541E-4</v>
      </c>
      <c r="Q317" s="305">
        <f t="shared" si="105"/>
        <v>0.7</v>
      </c>
      <c r="R317" s="177">
        <f t="shared" si="106"/>
        <v>0.47375628307852535</v>
      </c>
      <c r="S317" s="921">
        <f t="shared" si="107"/>
        <v>-2</v>
      </c>
      <c r="T317" s="176">
        <f t="shared" si="108"/>
        <v>4</v>
      </c>
      <c r="U317" s="251">
        <f t="shared" si="109"/>
        <v>-1.5262437169214746</v>
      </c>
      <c r="V317" s="383">
        <f t="shared" si="110"/>
        <v>33.224548814884614</v>
      </c>
      <c r="W317" s="402">
        <f t="shared" si="111"/>
        <v>20.37776679130236</v>
      </c>
      <c r="X317" s="157">
        <f t="shared" si="112"/>
        <v>45960</v>
      </c>
      <c r="Y317" s="385">
        <f t="shared" si="113"/>
        <v>18.776497073147958</v>
      </c>
      <c r="Z317" s="385">
        <f t="shared" si="114"/>
        <v>19.927802291406703</v>
      </c>
      <c r="AA317" s="386">
        <f t="shared" si="115"/>
        <v>23.191432805207924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0.14072569561412929</v>
      </c>
      <c r="AD317" s="231">
        <f>(INDEX(Models!$BJ317:$BT317,,AH317)*(1-AF317)+INDEX(Models!$BJ317:$BT317,,AH317+1)*AF317-ERP_i)*AE317*Ramure*Pc/MaxiM</f>
        <v>5.1536367341501656E-3</v>
      </c>
      <c r="AE317" s="305">
        <f t="shared" si="117"/>
        <v>0.7</v>
      </c>
      <c r="AF317" s="177">
        <f t="shared" si="118"/>
        <v>0.9987438494525045</v>
      </c>
      <c r="AG317" s="921">
        <f t="shared" si="124"/>
        <v>1</v>
      </c>
      <c r="AH317" s="176">
        <f t="shared" si="119"/>
        <v>7</v>
      </c>
      <c r="AI317" s="225">
        <f t="shared" si="120"/>
        <v>1.9987438494525045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21.068989517531815</v>
      </c>
      <c r="C318" s="955"/>
      <c r="D318" s="393">
        <f t="shared" si="102"/>
        <v>22.361351647912127</v>
      </c>
      <c r="E318" s="385">
        <f t="shared" si="125"/>
        <v>24.032873575274248</v>
      </c>
      <c r="F318" s="385">
        <f t="shared" si="103"/>
        <v>24.035193160295574</v>
      </c>
      <c r="G318" s="110">
        <f t="shared" si="126"/>
        <v>0.63956103514847884</v>
      </c>
      <c r="H318" s="414" t="b">
        <f>Wh_hp&gt;='2024'!Maxi_hp</f>
        <v>0</v>
      </c>
      <c r="I318" s="390">
        <f>IF(H318,Wh_hp,'2024'!Maxi_hp)</f>
        <v>35.869115091380415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5.7794454947493246E-2</v>
      </c>
      <c r="M318" s="959"/>
      <c r="N318" s="959"/>
      <c r="O318" s="48">
        <f>IF(t&lt;Tnet,'2024'!Resal+('2024'!Salim-'2024'!Resal)*(1-EXP(('2024'!Tnet-t)/('2024'!Tau_j))),Resal+(Salim-Resal)*(1-EXP((Tnet-t)/(Tau_j))))*Salcycl</f>
        <v>6.9551480064449445E-2</v>
      </c>
      <c r="P318" s="169">
        <f>(INDEX(Models!$BJ318:$BT318,,T318)*(1-R318)+INDEX(Models!$BJ318:$BT318,,T318+1)*R318-ERP_i)*Q318*Ramure*Pc/MaxiM</f>
        <v>1.9891113547755167E-4</v>
      </c>
      <c r="Q318" s="305">
        <f t="shared" si="105"/>
        <v>0.7</v>
      </c>
      <c r="R318" s="177">
        <f t="shared" si="106"/>
        <v>0.4738148650443863</v>
      </c>
      <c r="S318" s="921">
        <f t="shared" si="107"/>
        <v>-2</v>
      </c>
      <c r="T318" s="176">
        <f t="shared" si="108"/>
        <v>4</v>
      </c>
      <c r="U318" s="251">
        <f t="shared" si="109"/>
        <v>-1.5261851349556137</v>
      </c>
      <c r="V318" s="383">
        <f t="shared" si="110"/>
        <v>32.93951729068899</v>
      </c>
      <c r="W318" s="402">
        <f t="shared" si="111"/>
        <v>21.068989517531815</v>
      </c>
      <c r="X318" s="157">
        <f t="shared" si="112"/>
        <v>45961</v>
      </c>
      <c r="Y318" s="385">
        <f t="shared" si="113"/>
        <v>19.410831963676397</v>
      </c>
      <c r="Z318" s="385">
        <f t="shared" si="114"/>
        <v>20.60148347205352</v>
      </c>
      <c r="AA318" s="386">
        <f t="shared" si="115"/>
        <v>23.973269550708512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0.1406477356592081</v>
      </c>
      <c r="AD318" s="231">
        <f>(INDEX(Models!$BJ318:$BT318,,AH318)*(1-AF318)+INDEX(Models!$BJ318:$BT318,,AH318+1)*AF318-ERP_i)*AE318*Ramure*Pc/MaxiM</f>
        <v>5.3101289164139689E-3</v>
      </c>
      <c r="AE318" s="305">
        <f t="shared" si="117"/>
        <v>0.7</v>
      </c>
      <c r="AF318" s="177">
        <f t="shared" si="118"/>
        <v>0.99880243141836522</v>
      </c>
      <c r="AG318" s="921">
        <f t="shared" si="124"/>
        <v>1</v>
      </c>
      <c r="AH318" s="176">
        <f t="shared" si="119"/>
        <v>7</v>
      </c>
      <c r="AI318" s="225">
        <f t="shared" si="120"/>
        <v>1.9988024314183652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22.703130732657275</v>
      </c>
      <c r="C319" s="955"/>
      <c r="D319" s="393">
        <f t="shared" si="102"/>
        <v>24.096258103758657</v>
      </c>
      <c r="E319" s="385">
        <f t="shared" si="125"/>
        <v>25.898491016936504</v>
      </c>
      <c r="F319" s="385">
        <f t="shared" si="103"/>
        <v>25.901387672156361</v>
      </c>
      <c r="G319" s="110">
        <f t="shared" si="126"/>
        <v>0.69532357613045792</v>
      </c>
      <c r="H319" s="414" t="b">
        <f>Wh_hp&gt;='2024'!Maxi_hp</f>
        <v>0</v>
      </c>
      <c r="I319" s="390">
        <f>IF(H319,Wh_hp,'2024'!Maxi_hp)</f>
        <v>32.156200585342432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5.7815091667036689E-2</v>
      </c>
      <c r="M319" s="959"/>
      <c r="N319" s="959"/>
      <c r="O319" s="48">
        <f>IF(t&lt;Tnet,'2024'!Resal+('2024'!Salim-'2024'!Resal)*(1-EXP(('2024'!Tnet-t)/('2024'!Tau_j))),Resal+(Salim-Resal)*(1-EXP((Tnet-t)/(Tau_j))))*Salcycl</f>
        <v>6.9588336710399989E-2</v>
      </c>
      <c r="P319" s="169">
        <f>(INDEX(Models!$BJ319:$BT319,,T319)*(1-R319)+INDEX(Models!$BJ319:$BT319,,T319+1)*R319-ERP_i)*Q319*Ramure*Pc/MaxiM</f>
        <v>1.9799456760020929E-4</v>
      </c>
      <c r="Q319" s="305">
        <f t="shared" si="105"/>
        <v>0.7</v>
      </c>
      <c r="R319" s="177">
        <f t="shared" si="106"/>
        <v>0.47387110125652798</v>
      </c>
      <c r="S319" s="921">
        <f t="shared" si="107"/>
        <v>-2</v>
      </c>
      <c r="T319" s="176">
        <f t="shared" si="108"/>
        <v>4</v>
      </c>
      <c r="U319" s="251">
        <f t="shared" si="109"/>
        <v>-1.526128898743472</v>
      </c>
      <c r="V319" s="383">
        <f t="shared" si="110"/>
        <v>32.648359955055525</v>
      </c>
      <c r="W319" s="402">
        <f t="shared" si="111"/>
        <v>22.703130732657275</v>
      </c>
      <c r="X319" s="157">
        <f t="shared" si="112"/>
        <v>45962</v>
      </c>
      <c r="Y319" s="385">
        <f t="shared" si="113"/>
        <v>20.908308758844058</v>
      </c>
      <c r="Z319" s="385">
        <f t="shared" si="114"/>
        <v>22.191300851801767</v>
      </c>
      <c r="AA319" s="386">
        <f t="shared" si="115"/>
        <v>25.820937782694195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0.14056952390494101</v>
      </c>
      <c r="AD319" s="231">
        <f>(INDEX(Models!$BJ319:$BT319,,AH319)*(1-AF319)+INDEX(Models!$BJ319:$BT319,,AH319+1)*AF319-ERP_i)*AE319*Ramure*Pc/MaxiM</f>
        <v>5.4989772232281152E-3</v>
      </c>
      <c r="AE319" s="305">
        <f t="shared" si="117"/>
        <v>0.7</v>
      </c>
      <c r="AF319" s="177">
        <f t="shared" si="118"/>
        <v>0.9988586676305069</v>
      </c>
      <c r="AG319" s="921">
        <f t="shared" si="124"/>
        <v>1</v>
      </c>
      <c r="AH319" s="176">
        <f t="shared" si="119"/>
        <v>7</v>
      </c>
      <c r="AI319" s="225">
        <f t="shared" si="120"/>
        <v>1.9988586676305069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28.452176365682007</v>
      </c>
      <c r="C320" s="955"/>
      <c r="D320" s="393">
        <f t="shared" si="102"/>
        <v>30.198742628298792</v>
      </c>
      <c r="E320" s="385">
        <f t="shared" si="125"/>
        <v>32.458676823348569</v>
      </c>
      <c r="F320" s="385">
        <f t="shared" si="103"/>
        <v>32.463976390778633</v>
      </c>
      <c r="G320" s="110">
        <f t="shared" si="126"/>
        <v>0.87941583078333074</v>
      </c>
      <c r="H320" s="414" t="b">
        <f>Wh_hp&gt;='2024'!Maxi_hp</f>
        <v>1</v>
      </c>
      <c r="I320" s="390">
        <f>IF(H320,Wh_hp,'2024'!Maxi_hp)</f>
        <v>32.463976390778633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5.7835727934583026E-2</v>
      </c>
      <c r="M320" s="959"/>
      <c r="N320" s="959"/>
      <c r="O320" s="48">
        <f>IF(t&lt;Tnet,'2024'!Resal+('2024'!Salim-'2024'!Resal)*(1-EXP(('2024'!Tnet-t)/('2024'!Tau_j))),Resal+(Salim-Resal)*(1-EXP((Tnet-t)/(Tau_j))))*Salcycl</f>
        <v>6.9624963683797864E-2</v>
      </c>
      <c r="P320" s="169">
        <f>(INDEX(Models!$BJ320:$BT320,,T320)*(1-R320)+INDEX(Models!$BJ320:$BT320,,T320+1)*R320-ERP_i)*Q320*Ramure*Pc/MaxiM</f>
        <v>1.9720776030135166E-4</v>
      </c>
      <c r="Q320" s="305">
        <f t="shared" si="105"/>
        <v>0.7</v>
      </c>
      <c r="R320" s="177">
        <f t="shared" si="106"/>
        <v>0.47392508514588227</v>
      </c>
      <c r="S320" s="921">
        <f t="shared" si="107"/>
        <v>-2</v>
      </c>
      <c r="T320" s="176">
        <f t="shared" si="108"/>
        <v>4</v>
      </c>
      <c r="U320" s="251">
        <f t="shared" si="109"/>
        <v>-1.5260749148541177</v>
      </c>
      <c r="V320" s="383">
        <f t="shared" si="110"/>
        <v>32.35239676718485</v>
      </c>
      <c r="W320" s="402">
        <f t="shared" si="111"/>
        <v>28.452176365682007</v>
      </c>
      <c r="X320" s="157">
        <f t="shared" si="112"/>
        <v>45963</v>
      </c>
      <c r="Y320" s="385">
        <f t="shared" si="113"/>
        <v>26.164794507912411</v>
      </c>
      <c r="Z320" s="385">
        <f t="shared" si="114"/>
        <v>27.770947470289681</v>
      </c>
      <c r="AA320" s="386">
        <f t="shared" si="115"/>
        <v>32.310253914741239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0.14049120308462029</v>
      </c>
      <c r="AD320" s="231">
        <f>(INDEX(Models!$BJ320:$BT320,,AH320)*(1-AF320)+INDEX(Models!$BJ320:$BT320,,AH320+1)*AF320-ERP_i)*AE320*Ramure*Pc/MaxiM</f>
        <v>5.7203282357207738E-3</v>
      </c>
      <c r="AE320" s="305">
        <f t="shared" si="117"/>
        <v>0.7</v>
      </c>
      <c r="AF320" s="177">
        <f t="shared" si="118"/>
        <v>0.99891265151986097</v>
      </c>
      <c r="AG320" s="921">
        <f t="shared" si="124"/>
        <v>1</v>
      </c>
      <c r="AH320" s="176">
        <f t="shared" si="119"/>
        <v>7</v>
      </c>
      <c r="AI320" s="225">
        <f t="shared" si="120"/>
        <v>1.998912651519861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9.8956218720247122</v>
      </c>
      <c r="C321" s="955"/>
      <c r="D321" s="393">
        <f t="shared" si="102"/>
        <v>10.503304900952893</v>
      </c>
      <c r="E321" s="385">
        <f t="shared" si="125"/>
        <v>11.289766189865601</v>
      </c>
      <c r="F321" s="385">
        <f t="shared" si="103"/>
        <v>11.289793855120976</v>
      </c>
      <c r="G321" s="110">
        <f t="shared" si="126"/>
        <v>0.30866743858737594</v>
      </c>
      <c r="H321" s="414" t="b">
        <f>Wh_hp&gt;='2024'!Maxi_hp</f>
        <v>0</v>
      </c>
      <c r="I321" s="390">
        <f>IF(H321,Wh_hp,'2024'!Maxi_hp)</f>
        <v>31.18806335046073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5.7856363750142137E-2</v>
      </c>
      <c r="M321" s="959"/>
      <c r="N321" s="959"/>
      <c r="O321" s="48">
        <f>IF(t&lt;Tnet,'2024'!Resal+('2024'!Salim-'2024'!Resal)*(1-EXP(('2024'!Tnet-t)/('2024'!Tau_j))),Resal+(Salim-Resal)*(1-EXP((Tnet-t)/(Tau_j))))*Salcycl</f>
        <v>6.9661432813257457E-2</v>
      </c>
      <c r="P321" s="169">
        <f>(INDEX(Models!$BJ321:$BT321,,T321)*(1-R321)+INDEX(Models!$BJ321:$BT321,,T321+1)*R321-ERP_i)*Q321*Ramure*Pc/MaxiM</f>
        <v>1.9654579526475805E-4</v>
      </c>
      <c r="Q321" s="305">
        <f t="shared" si="105"/>
        <v>0.7</v>
      </c>
      <c r="R321" s="177">
        <f t="shared" si="106"/>
        <v>0.47397690646127533</v>
      </c>
      <c r="S321" s="921">
        <f t="shared" si="107"/>
        <v>-2</v>
      </c>
      <c r="T321" s="176">
        <f t="shared" si="108"/>
        <v>4</v>
      </c>
      <c r="U321" s="251">
        <f t="shared" si="109"/>
        <v>-1.5260230935387247</v>
      </c>
      <c r="V321" s="383">
        <f t="shared" si="110"/>
        <v>32.052947400641941</v>
      </c>
      <c r="W321" s="402">
        <f t="shared" si="111"/>
        <v>9.8956218720247122</v>
      </c>
      <c r="X321" s="157">
        <f t="shared" si="112"/>
        <v>45964</v>
      </c>
      <c r="Y321" s="385">
        <f t="shared" si="113"/>
        <v>9.1424093181761652</v>
      </c>
      <c r="Z321" s="385">
        <f t="shared" si="114"/>
        <v>9.7038381053731229</v>
      </c>
      <c r="AA321" s="386">
        <f t="shared" si="115"/>
        <v>11.288952923770315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0.14041291775249889</v>
      </c>
      <c r="AD321" s="231">
        <f>(INDEX(Models!$BJ321:$BT321,,AH321)*(1-AF321)+INDEX(Models!$BJ321:$BT321,,AH321+1)*AF321-ERP_i)*AE321*Ramure*Pc/MaxiM</f>
        <v>5.9743356362973983E-3</v>
      </c>
      <c r="AE321" s="305">
        <f t="shared" si="117"/>
        <v>0.7</v>
      </c>
      <c r="AF321" s="177">
        <f t="shared" si="118"/>
        <v>0.99896447283525425</v>
      </c>
      <c r="AG321" s="921">
        <f t="shared" si="124"/>
        <v>1</v>
      </c>
      <c r="AH321" s="176">
        <f t="shared" si="119"/>
        <v>7</v>
      </c>
      <c r="AI321" s="225">
        <f t="shared" si="120"/>
        <v>1.9989644728352542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11.55355130972336</v>
      </c>
      <c r="C322" s="955"/>
      <c r="D322" s="393">
        <f t="shared" si="102"/>
        <v>12.263315192235703</v>
      </c>
      <c r="E322" s="385">
        <f t="shared" si="125"/>
        <v>13.182077193863254</v>
      </c>
      <c r="F322" s="385">
        <f t="shared" si="103"/>
        <v>13.182312968179437</v>
      </c>
      <c r="G322" s="110">
        <f t="shared" si="126"/>
        <v>0.36381130857361516</v>
      </c>
      <c r="H322" s="414" t="b">
        <f>Wh_hp&gt;='2024'!Maxi_hp</f>
        <v>0</v>
      </c>
      <c r="I322" s="390">
        <f>IF(H322,Wh_hp,'2024'!Maxi_hp)</f>
        <v>29.822160701304174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5.7876999113723904E-2</v>
      </c>
      <c r="M322" s="959"/>
      <c r="N322" s="959"/>
      <c r="O322" s="48">
        <f>IF(t&lt;Tnet,'2024'!Resal+('2024'!Salim-'2024'!Resal)*(1-EXP(('2024'!Tnet-t)/('2024'!Tau_j))),Resal+(Salim-Resal)*(1-EXP((Tnet-t)/(Tau_j))))*Salcycl</f>
        <v>6.969781682474667E-2</v>
      </c>
      <c r="P322" s="169">
        <f>(INDEX(Models!$BJ322:$BT322,,T322)*(1-R322)+INDEX(Models!$BJ322:$BT322,,T322+1)*R322-ERP_i)*Q322*Ramure*Pc/MaxiM</f>
        <v>1.9600374507905644E-4</v>
      </c>
      <c r="Q322" s="305">
        <f t="shared" si="105"/>
        <v>0.7</v>
      </c>
      <c r="R322" s="177">
        <f t="shared" si="106"/>
        <v>0.47402665141144773</v>
      </c>
      <c r="S322" s="921">
        <f t="shared" si="107"/>
        <v>-2</v>
      </c>
      <c r="T322" s="176">
        <f t="shared" si="108"/>
        <v>4</v>
      </c>
      <c r="U322" s="251">
        <f t="shared" si="109"/>
        <v>-1.5259733485885523</v>
      </c>
      <c r="V322" s="383">
        <f t="shared" si="110"/>
        <v>31.751331264894251</v>
      </c>
      <c r="W322" s="402">
        <f t="shared" si="111"/>
        <v>11.55355130972336</v>
      </c>
      <c r="X322" s="157">
        <f t="shared" si="112"/>
        <v>45965</v>
      </c>
      <c r="Y322" s="385">
        <f t="shared" si="113"/>
        <v>10.670391738890503</v>
      </c>
      <c r="Z322" s="385">
        <f t="shared" si="114"/>
        <v>11.325900894949628</v>
      </c>
      <c r="AA322" s="386">
        <f t="shared" si="115"/>
        <v>13.174781385521126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0.14033481364657696</v>
      </c>
      <c r="AD322" s="231">
        <f>(INDEX(Models!$BJ322:$BT322,,AH322)*(1-AF322)+INDEX(Models!$BJ322:$BT322,,AH322+1)*AF322-ERP_i)*AE322*Ramure*Pc/MaxiM</f>
        <v>6.2611502020478204E-3</v>
      </c>
      <c r="AE322" s="305">
        <f t="shared" si="117"/>
        <v>0.7</v>
      </c>
      <c r="AF322" s="177">
        <f t="shared" si="118"/>
        <v>0.99901421778542665</v>
      </c>
      <c r="AG322" s="921">
        <f t="shared" si="124"/>
        <v>1</v>
      </c>
      <c r="AH322" s="176">
        <f t="shared" si="119"/>
        <v>7</v>
      </c>
      <c r="AI322" s="225">
        <f t="shared" si="120"/>
        <v>1.9990142177854267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30.357680581997645</v>
      </c>
      <c r="C323" s="955"/>
      <c r="D323" s="393">
        <f t="shared" si="102"/>
        <v>32.223335465876673</v>
      </c>
      <c r="E323" s="385">
        <f t="shared" si="125"/>
        <v>34.638847397734224</v>
      </c>
      <c r="F323" s="385">
        <f t="shared" si="103"/>
        <v>34.645287346673015</v>
      </c>
      <c r="G323" s="110">
        <f t="shared" si="126"/>
        <v>0.96529346293393137</v>
      </c>
      <c r="H323" s="414" t="b">
        <f>Wh_hp&gt;='2024'!Maxi_hp</f>
        <v>1</v>
      </c>
      <c r="I323" s="390">
        <f>IF(H323,Wh_hp,'2024'!Maxi_hp)</f>
        <v>34.645287346673015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5.7897634025338207E-2</v>
      </c>
      <c r="M323" s="959"/>
      <c r="N323" s="959"/>
      <c r="O323" s="48">
        <f>IF(t&lt;Tnet,'2024'!Resal+('2024'!Salim-'2024'!Resal)*(1-EXP(('2024'!Tnet-t)/('2024'!Tau_j))),Resal+(Salim-Resal)*(1-EXP((Tnet-t)/(Tau_j))))*Salcycl</f>
        <v>6.9734189019683007E-2</v>
      </c>
      <c r="P323" s="169">
        <f>(INDEX(Models!$BJ323:$BT323,,T323)*(1-R323)+INDEX(Models!$BJ323:$BT323,,T323+1)*R323-ERP_i)*Q323*Ramure*Pc/MaxiM</f>
        <v>1.9557661730762804E-4</v>
      </c>
      <c r="Q323" s="305">
        <f t="shared" si="105"/>
        <v>0.7</v>
      </c>
      <c r="R323" s="177">
        <f t="shared" si="106"/>
        <v>0.4740744028018371</v>
      </c>
      <c r="S323" s="921">
        <f t="shared" si="107"/>
        <v>-2</v>
      </c>
      <c r="T323" s="176">
        <f t="shared" si="108"/>
        <v>4</v>
      </c>
      <c r="U323" s="251">
        <f t="shared" si="109"/>
        <v>-1.5259255971981629</v>
      </c>
      <c r="V323" s="383">
        <f t="shared" si="110"/>
        <v>31.448867519383796</v>
      </c>
      <c r="W323" s="402">
        <f t="shared" si="111"/>
        <v>30.357680581997645</v>
      </c>
      <c r="X323" s="157">
        <f t="shared" si="112"/>
        <v>45966</v>
      </c>
      <c r="Y323" s="385">
        <f t="shared" si="113"/>
        <v>27.885984073197431</v>
      </c>
      <c r="Z323" s="385">
        <f t="shared" si="114"/>
        <v>29.599738924705594</v>
      </c>
      <c r="AA323" s="386">
        <f t="shared" si="115"/>
        <v>34.428591102022466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0.140257037036674</v>
      </c>
      <c r="AD323" s="231">
        <f>(INDEX(Models!$BJ323:$BT323,,AH323)*(1-AF323)+INDEX(Models!$BJ323:$BT323,,AH323+1)*AF323-ERP_i)*AE323*Ramure*Pc/MaxiM</f>
        <v>6.580909090244713E-3</v>
      </c>
      <c r="AE323" s="305">
        <f t="shared" si="117"/>
        <v>0.7</v>
      </c>
      <c r="AF323" s="177">
        <f t="shared" si="118"/>
        <v>0.99906196917581602</v>
      </c>
      <c r="AG323" s="921">
        <f t="shared" si="124"/>
        <v>1</v>
      </c>
      <c r="AH323" s="176">
        <f t="shared" si="119"/>
        <v>7</v>
      </c>
      <c r="AI323" s="225">
        <f t="shared" si="120"/>
        <v>1.999061969175816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30.006542339027288</v>
      </c>
      <c r="C324" s="955"/>
      <c r="D324" s="393">
        <f t="shared" si="102"/>
        <v>31.851315374487079</v>
      </c>
      <c r="E324" s="385">
        <f t="shared" si="125"/>
        <v>34.24028111792456</v>
      </c>
      <c r="F324" s="385">
        <f t="shared" si="103"/>
        <v>34.246624560288446</v>
      </c>
      <c r="G324" s="110">
        <f t="shared" si="126"/>
        <v>0.96337886866928268</v>
      </c>
      <c r="H324" s="414" t="b">
        <f>Wh_hp&gt;='2024'!Maxi_hp</f>
        <v>1</v>
      </c>
      <c r="I324" s="390">
        <f>IF(H324,Wh_hp,'2024'!Maxi_hp)</f>
        <v>34.246624560288446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5.7918268484995039E-2</v>
      </c>
      <c r="M324" s="959"/>
      <c r="N324" s="959"/>
      <c r="O324" s="48">
        <f>IF(t&lt;Tnet,'2024'!Resal+('2024'!Salim-'2024'!Resal)*(1-EXP(('2024'!Tnet-t)/('2024'!Tau_j))),Resal+(Salim-Resal)*(1-EXP((Tnet-t)/(Tau_j))))*Salcycl</f>
        <v>6.9770622945816541E-2</v>
      </c>
      <c r="P324" s="169">
        <f>(INDEX(Models!$BJ324:$BT324,,T324)*(1-R324)+INDEX(Models!$BJ324:$BT324,,T324+1)*R324-ERP_i)*Q324*Ramure*Pc/MaxiM</f>
        <v>1.9545067910811816E-4</v>
      </c>
      <c r="Q324" s="305">
        <f t="shared" si="105"/>
        <v>0.7</v>
      </c>
      <c r="R324" s="177">
        <f t="shared" si="106"/>
        <v>0.47412024016630627</v>
      </c>
      <c r="S324" s="921">
        <f t="shared" si="107"/>
        <v>-2</v>
      </c>
      <c r="T324" s="176">
        <f t="shared" si="108"/>
        <v>4</v>
      </c>
      <c r="U324" s="251">
        <f t="shared" si="109"/>
        <v>-1.5258797598336937</v>
      </c>
      <c r="V324" s="383">
        <f t="shared" si="110"/>
        <v>31.146869127325182</v>
      </c>
      <c r="W324" s="402">
        <f t="shared" si="111"/>
        <v>30.006542339027288</v>
      </c>
      <c r="X324" s="157">
        <f t="shared" si="112"/>
        <v>45967</v>
      </c>
      <c r="Y324" s="385">
        <f t="shared" si="113"/>
        <v>27.558429622050273</v>
      </c>
      <c r="Z324" s="385">
        <f t="shared" si="114"/>
        <v>29.252695068964233</v>
      </c>
      <c r="AA324" s="386">
        <f t="shared" si="115"/>
        <v>34.021872044454923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0.14017973406222362</v>
      </c>
      <c r="AD324" s="231">
        <f>(INDEX(Models!$BJ324:$BT324,,AH324)*(1-AF324)+INDEX(Models!$BJ324:$BT324,,AH324+1)*AF324-ERP_i)*AE324*Ramure*Pc/MaxiM</f>
        <v>6.9249516793934412E-3</v>
      </c>
      <c r="AE324" s="305">
        <f t="shared" si="117"/>
        <v>0.7</v>
      </c>
      <c r="AF324" s="177">
        <f t="shared" si="118"/>
        <v>0.99910780654028519</v>
      </c>
      <c r="AG324" s="921">
        <f t="shared" si="124"/>
        <v>1</v>
      </c>
      <c r="AH324" s="176">
        <f t="shared" si="119"/>
        <v>7</v>
      </c>
      <c r="AI324" s="225">
        <f t="shared" si="120"/>
        <v>1.9991078065402852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28.686217424269756</v>
      </c>
      <c r="C325" s="955"/>
      <c r="D325" s="393">
        <f t="shared" si="102"/>
        <v>30.450485112031281</v>
      </c>
      <c r="E325" s="385">
        <f t="shared" si="125"/>
        <v>32.735670338679071</v>
      </c>
      <c r="F325" s="385">
        <f t="shared" si="103"/>
        <v>32.741433165464031</v>
      </c>
      <c r="G325" s="110">
        <f t="shared" si="126"/>
        <v>0.92994377548563989</v>
      </c>
      <c r="H325" s="414" t="b">
        <f>Wh_hp&gt;='2024'!Maxi_hp</f>
        <v>1</v>
      </c>
      <c r="I325" s="390">
        <f>IF(H325,Wh_hp,'2024'!Maxi_hp)</f>
        <v>32.741433165464031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5.7938902492704281E-2</v>
      </c>
      <c r="M325" s="959"/>
      <c r="N325" s="959"/>
      <c r="O325" s="48">
        <f>IF(t&lt;Tnet,'2024'!Resal+('2024'!Salim-'2024'!Resal)*(1-EXP(('2024'!Tnet-t)/('2024'!Tau_j))),Resal+(Salim-Resal)*(1-EXP((Tnet-t)/(Tau_j))))*Salcycl</f>
        <v>6.9807192063139623E-2</v>
      </c>
      <c r="P325" s="169">
        <f>(INDEX(Models!$BJ325:$BT325,,T325)*(1-R325)+INDEX(Models!$BJ325:$BT325,,T325+1)*R325-ERP_i)*Q325*Ramure*Pc/MaxiM</f>
        <v>1.9557871281036893E-4</v>
      </c>
      <c r="Q325" s="305">
        <f t="shared" si="105"/>
        <v>0.7</v>
      </c>
      <c r="R325" s="177">
        <f t="shared" si="106"/>
        <v>0.47416423989397738</v>
      </c>
      <c r="S325" s="921">
        <f t="shared" si="107"/>
        <v>-2</v>
      </c>
      <c r="T325" s="176">
        <f t="shared" si="108"/>
        <v>4</v>
      </c>
      <c r="U325" s="251">
        <f t="shared" si="109"/>
        <v>-1.5258357601060226</v>
      </c>
      <c r="V325" s="383">
        <f t="shared" si="110"/>
        <v>30.846656255502044</v>
      </c>
      <c r="W325" s="402">
        <f t="shared" si="111"/>
        <v>28.686217424269756</v>
      </c>
      <c r="X325" s="157">
        <f t="shared" si="112"/>
        <v>45968</v>
      </c>
      <c r="Y325" s="385">
        <f t="shared" si="113"/>
        <v>26.349303239231922</v>
      </c>
      <c r="Z325" s="385">
        <f t="shared" si="114"/>
        <v>27.969845383651311</v>
      </c>
      <c r="AA325" s="386">
        <f t="shared" si="115"/>
        <v>32.526973593457065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0.14010305006434534</v>
      </c>
      <c r="AD325" s="231">
        <f>(INDEX(Models!$BJ325:$BT325,,AH325)*(1-AF325)+INDEX(Models!$BJ325:$BT325,,AH325+1)*AF325-ERP_i)*AE325*Ramure*Pc/MaxiM</f>
        <v>7.2783251359298563E-3</v>
      </c>
      <c r="AE325" s="305">
        <f t="shared" si="117"/>
        <v>0.7</v>
      </c>
      <c r="AF325" s="177">
        <f t="shared" si="118"/>
        <v>0.9991518062679563</v>
      </c>
      <c r="AG325" s="921">
        <f t="shared" si="124"/>
        <v>1</v>
      </c>
      <c r="AH325" s="176">
        <f t="shared" si="119"/>
        <v>7</v>
      </c>
      <c r="AI325" s="225">
        <f t="shared" si="120"/>
        <v>1.9991518062679563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19.62668644592879</v>
      </c>
      <c r="C326" s="955"/>
      <c r="D326" s="393">
        <f t="shared" si="102"/>
        <v>20.834228673789479</v>
      </c>
      <c r="E326" s="385">
        <f t="shared" si="125"/>
        <v>22.398638495640252</v>
      </c>
      <c r="F326" s="385">
        <f t="shared" si="103"/>
        <v>22.400785965934798</v>
      </c>
      <c r="G326" s="110">
        <f t="shared" si="126"/>
        <v>0.64238993465468053</v>
      </c>
      <c r="H326" s="414" t="b">
        <f>Wh_hp&gt;='2024'!Maxi_hp</f>
        <v>0</v>
      </c>
      <c r="I326" s="390">
        <f>IF(H326,Wh_hp,'2024'!Maxi_hp)</f>
        <v>27.419796880522092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5.7959536048475702E-2</v>
      </c>
      <c r="M326" s="959"/>
      <c r="N326" s="959"/>
      <c r="O326" s="48">
        <f>IF(t&lt;Tnet,'2024'!Resal+('2024'!Salim-'2024'!Resal)*(1-EXP(('2024'!Tnet-t)/('2024'!Tau_j))),Resal+(Salim-Resal)*(1-EXP((Tnet-t)/(Tau_j))))*Salcycl</f>
        <v>6.9843969407126033E-2</v>
      </c>
      <c r="P326" s="169">
        <f>(INDEX(Models!$BJ326:$BT326,,T326)*(1-R326)+INDEX(Models!$BJ326:$BT326,,T326+1)*R326-ERP_i)*Q326*Ramure*Pc/MaxiM</f>
        <v>1.9595637431340824E-4</v>
      </c>
      <c r="Q326" s="305">
        <f t="shared" si="105"/>
        <v>0.7</v>
      </c>
      <c r="R326" s="177">
        <f t="shared" si="106"/>
        <v>0.47420647535134353</v>
      </c>
      <c r="S326" s="921">
        <f t="shared" si="107"/>
        <v>-2</v>
      </c>
      <c r="T326" s="176">
        <f t="shared" si="108"/>
        <v>4</v>
      </c>
      <c r="U326" s="251">
        <f t="shared" si="109"/>
        <v>-1.5257935246486565</v>
      </c>
      <c r="V326" s="383">
        <f t="shared" si="110"/>
        <v>30.549547484299701</v>
      </c>
      <c r="W326" s="402">
        <f t="shared" si="111"/>
        <v>19.62668644592879</v>
      </c>
      <c r="X326" s="157">
        <f t="shared" si="112"/>
        <v>45969</v>
      </c>
      <c r="Y326" s="385">
        <f t="shared" si="113"/>
        <v>18.079695051707503</v>
      </c>
      <c r="Z326" s="385">
        <f t="shared" si="114"/>
        <v>19.192057818694561</v>
      </c>
      <c r="AA326" s="386">
        <f t="shared" si="115"/>
        <v>22.317050297786164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0.14002712891683536</v>
      </c>
      <c r="AD326" s="231">
        <f>(INDEX(Models!$BJ326:$BT326,,AH326)*(1-AF326)+INDEX(Models!$BJ326:$BT326,,AH326+1)*AF326-ERP_i)*AE326*Ramure*Pc/MaxiM</f>
        <v>7.6408684081880921E-3</v>
      </c>
      <c r="AE326" s="305">
        <f t="shared" si="117"/>
        <v>0.7</v>
      </c>
      <c r="AF326" s="177">
        <f t="shared" si="118"/>
        <v>0.99919404172532245</v>
      </c>
      <c r="AG326" s="921">
        <f t="shared" si="124"/>
        <v>1</v>
      </c>
      <c r="AH326" s="176">
        <f t="shared" si="119"/>
        <v>7</v>
      </c>
      <c r="AI326" s="225">
        <f t="shared" si="120"/>
        <v>1.9991940417253224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10.382979475978308</v>
      </c>
      <c r="C327" s="955"/>
      <c r="D327" s="393">
        <f t="shared" si="102"/>
        <v>11.02203917154816</v>
      </c>
      <c r="E327" s="385">
        <f t="shared" si="125"/>
        <v>11.850139062296247</v>
      </c>
      <c r="F327" s="385">
        <f t="shared" si="103"/>
        <v>11.850282697478418</v>
      </c>
      <c r="G327" s="110">
        <f t="shared" si="126"/>
        <v>0.34309785684683147</v>
      </c>
      <c r="H327" s="414" t="b">
        <f>Wh_hp&gt;='2024'!Maxi_hp</f>
        <v>0</v>
      </c>
      <c r="I327" s="390">
        <f>IF(H327,Wh_hp,'2024'!Maxi_hp)</f>
        <v>26.175340990445164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5.7980169152319405E-2</v>
      </c>
      <c r="M327" s="959"/>
      <c r="N327" s="959"/>
      <c r="O327" s="48">
        <f>IF(t&lt;Tnet,'2024'!Resal+('2024'!Salim-'2024'!Resal)*(1-EXP(('2024'!Tnet-t)/('2024'!Tau_j))),Resal+(Salim-Resal)*(1-EXP((Tnet-t)/(Tau_j))))*Salcycl</f>
        <v>6.9881027251643218E-2</v>
      </c>
      <c r="P327" s="169">
        <f>(INDEX(Models!$BJ327:$BT327,,T327)*(1-R327)+INDEX(Models!$BJ327:$BT327,,T327+1)*R327-ERP_i)*Q327*Ramure*Pc/MaxiM</f>
        <v>1.9657898380980512E-4</v>
      </c>
      <c r="Q327" s="305">
        <f t="shared" si="105"/>
        <v>0.7</v>
      </c>
      <c r="R327" s="177">
        <f t="shared" si="106"/>
        <v>0.47424701699981298</v>
      </c>
      <c r="S327" s="921">
        <f t="shared" si="107"/>
        <v>-2</v>
      </c>
      <c r="T327" s="176">
        <f t="shared" si="108"/>
        <v>4</v>
      </c>
      <c r="U327" s="251">
        <f t="shared" si="109"/>
        <v>-1.525752983000187</v>
      </c>
      <c r="V327" s="383">
        <f t="shared" si="110"/>
        <v>30.256861184950996</v>
      </c>
      <c r="W327" s="402">
        <f t="shared" si="111"/>
        <v>10.382979475978308</v>
      </c>
      <c r="X327" s="157">
        <f t="shared" si="112"/>
        <v>45970</v>
      </c>
      <c r="Y327" s="385">
        <f t="shared" si="113"/>
        <v>9.5961445478815985</v>
      </c>
      <c r="Z327" s="385">
        <f t="shared" si="114"/>
        <v>10.186775515380038</v>
      </c>
      <c r="AA327" s="386">
        <f t="shared" si="115"/>
        <v>11.844428271711569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0.13995211236075925</v>
      </c>
      <c r="AD327" s="231">
        <f>(INDEX(Models!$BJ327:$BT327,,AH327)*(1-AF327)+INDEX(Models!$BJ327:$BT327,,AH327+1)*AF327-ERP_i)*AE327*Ramure*Pc/MaxiM</f>
        <v>8.0123619481132381E-3</v>
      </c>
      <c r="AE327" s="305">
        <f t="shared" si="117"/>
        <v>0.7</v>
      </c>
      <c r="AF327" s="177">
        <f t="shared" si="118"/>
        <v>0.9992345833737919</v>
      </c>
      <c r="AG327" s="921">
        <f t="shared" si="124"/>
        <v>1</v>
      </c>
      <c r="AH327" s="176">
        <f t="shared" si="119"/>
        <v>7</v>
      </c>
      <c r="AI327" s="225">
        <f t="shared" si="120"/>
        <v>1.9992345833737919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23.161009057908323</v>
      </c>
      <c r="C328" s="955"/>
      <c r="D328" s="393">
        <f t="shared" si="102"/>
        <v>24.587079375724993</v>
      </c>
      <c r="E328" s="385">
        <f t="shared" si="125"/>
        <v>26.435401310871953</v>
      </c>
      <c r="F328" s="385">
        <f t="shared" si="103"/>
        <v>26.438927206460463</v>
      </c>
      <c r="G328" s="110">
        <f t="shared" si="126"/>
        <v>0.77275909090727346</v>
      </c>
      <c r="H328" s="414" t="b">
        <f>Wh_hp&gt;='2024'!Maxi_hp</f>
        <v>1</v>
      </c>
      <c r="I328" s="390">
        <f>IF(H328,Wh_hp,'2024'!Maxi_hp)</f>
        <v>26.438927206460463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5.8000801804245161E-2</v>
      </c>
      <c r="M328" s="959"/>
      <c r="N328" s="959"/>
      <c r="O328" s="48">
        <f>IF(t&lt;Tnet,'2024'!Resal+('2024'!Salim-'2024'!Resal)*(1-EXP(('2024'!Tnet-t)/('2024'!Tau_j))),Resal+(Salim-Resal)*(1-EXP((Tnet-t)/(Tau_j))))*Salcycl</f>
        <v>6.9918436773903192E-2</v>
      </c>
      <c r="P328" s="169">
        <f>(INDEX(Models!$BJ328:$BT328,,T328)*(1-R328)+INDEX(Models!$BJ328:$BT328,,T328+1)*R328-ERP_i)*Q328*Ramure*Pc/MaxiM</f>
        <v>1.9744142301993209E-4</v>
      </c>
      <c r="Q328" s="305">
        <f t="shared" si="105"/>
        <v>0.7</v>
      </c>
      <c r="R328" s="177">
        <f t="shared" si="106"/>
        <v>0.47428593250884821</v>
      </c>
      <c r="S328" s="921">
        <f t="shared" si="107"/>
        <v>-2</v>
      </c>
      <c r="T328" s="176">
        <f t="shared" si="108"/>
        <v>4</v>
      </c>
      <c r="U328" s="251">
        <f t="shared" si="109"/>
        <v>-1.5257140674911518</v>
      </c>
      <c r="V328" s="383">
        <f t="shared" si="110"/>
        <v>29.969915517350792</v>
      </c>
      <c r="W328" s="402">
        <f t="shared" si="111"/>
        <v>23.161009057908323</v>
      </c>
      <c r="X328" s="157">
        <f t="shared" si="112"/>
        <v>45971</v>
      </c>
      <c r="Y328" s="385">
        <f t="shared" si="113"/>
        <v>21.300288193715559</v>
      </c>
      <c r="Z328" s="385">
        <f t="shared" si="114"/>
        <v>22.611790152807743</v>
      </c>
      <c r="AA328" s="386">
        <f t="shared" si="115"/>
        <v>26.289054129666912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0.13987813934733453</v>
      </c>
      <c r="AD328" s="231">
        <f>(INDEX(Models!$BJ328:$BT328,,AH328)*(1-AF328)+INDEX(Models!$BJ328:$BT328,,AH328+1)*AF328-ERP_i)*AE328*Ramure*Pc/MaxiM</f>
        <v>8.3925212223901757E-3</v>
      </c>
      <c r="AE328" s="305">
        <f t="shared" si="117"/>
        <v>0.7</v>
      </c>
      <c r="AF328" s="177">
        <f t="shared" si="118"/>
        <v>0.99927349888282713</v>
      </c>
      <c r="AG328" s="921">
        <f t="shared" si="124"/>
        <v>1</v>
      </c>
      <c r="AH328" s="176">
        <f t="shared" si="119"/>
        <v>7</v>
      </c>
      <c r="AI328" s="225">
        <f t="shared" si="120"/>
        <v>1.9992734988828271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28.87305052019865</v>
      </c>
      <c r="C329" s="955"/>
      <c r="D329" s="393">
        <f t="shared" si="102"/>
        <v>30.651494166088394</v>
      </c>
      <c r="E329" s="385">
        <f t="shared" si="125"/>
        <v>32.957046106931159</v>
      </c>
      <c r="F329" s="385">
        <f t="shared" si="103"/>
        <v>32.963333319719538</v>
      </c>
      <c r="G329" s="110">
        <f t="shared" si="126"/>
        <v>0.97247549627137353</v>
      </c>
      <c r="H329" s="414" t="b">
        <f>Wh_hp&gt;='2024'!Maxi_hp</f>
        <v>1</v>
      </c>
      <c r="I329" s="390">
        <f>IF(H329,Wh_hp,'2024'!Maxi_hp)</f>
        <v>32.963333319719538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5.8021434004262851E-2</v>
      </c>
      <c r="M329" s="959"/>
      <c r="N329" s="959"/>
      <c r="O329" s="48">
        <f>IF(t&lt;Tnet,'2024'!Resal+('2024'!Salim-'2024'!Resal)*(1-EXP(('2024'!Tnet-t)/('2024'!Tau_j))),Resal+(Salim-Resal)*(1-EXP((Tnet-t)/(Tau_j))))*Salcycl</f>
        <v>6.9956267723820284E-2</v>
      </c>
      <c r="P329" s="169">
        <f>(INDEX(Models!$BJ329:$BT329,,T329)*(1-R329)+INDEX(Models!$BJ329:$BT329,,T329+1)*R329-ERP_i)*Q329*Ramure*Pc/MaxiM</f>
        <v>1.9853803105896606E-4</v>
      </c>
      <c r="Q329" s="305">
        <f t="shared" si="105"/>
        <v>0.7</v>
      </c>
      <c r="R329" s="177">
        <f t="shared" si="106"/>
        <v>0.47432328686484526</v>
      </c>
      <c r="S329" s="921">
        <f t="shared" si="107"/>
        <v>-2</v>
      </c>
      <c r="T329" s="176">
        <f t="shared" si="108"/>
        <v>4</v>
      </c>
      <c r="U329" s="251">
        <f t="shared" si="109"/>
        <v>-1.5256767131351547</v>
      </c>
      <c r="V329" s="383">
        <f t="shared" si="110"/>
        <v>29.690028435719867</v>
      </c>
      <c r="W329" s="402">
        <f t="shared" si="111"/>
        <v>28.87305052019865</v>
      </c>
      <c r="X329" s="157">
        <f t="shared" si="112"/>
        <v>45972</v>
      </c>
      <c r="Y329" s="385">
        <f t="shared" si="113"/>
        <v>26.484374239724875</v>
      </c>
      <c r="Z329" s="385">
        <f t="shared" si="114"/>
        <v>28.11568670007798</v>
      </c>
      <c r="AA329" s="386">
        <f t="shared" si="115"/>
        <v>32.685260887778973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0.13980534539375691</v>
      </c>
      <c r="AD329" s="231">
        <f>(INDEX(Models!$BJ329:$BT329,,AH329)*(1-AF329)+INDEX(Models!$BJ329:$BT329,,AH329+1)*AF329-ERP_i)*AE329*Ramure*Pc/MaxiM</f>
        <v>8.7809900805811934E-3</v>
      </c>
      <c r="AE329" s="305">
        <f t="shared" si="117"/>
        <v>0.7</v>
      </c>
      <c r="AF329" s="177">
        <f t="shared" si="118"/>
        <v>0.99931085323882418</v>
      </c>
      <c r="AG329" s="921">
        <f t="shared" si="124"/>
        <v>1</v>
      </c>
      <c r="AH329" s="176">
        <f t="shared" si="119"/>
        <v>7</v>
      </c>
      <c r="AI329" s="225">
        <f t="shared" si="120"/>
        <v>1.9993108532388242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27.574131827445388</v>
      </c>
      <c r="C330" s="955"/>
      <c r="D330" s="393">
        <f t="shared" si="102"/>
        <v>29.273209370511896</v>
      </c>
      <c r="E330" s="385">
        <f t="shared" si="125"/>
        <v>31.47638604673352</v>
      </c>
      <c r="F330" s="385">
        <f t="shared" si="103"/>
        <v>31.482114596422196</v>
      </c>
      <c r="G330" s="110">
        <f t="shared" si="126"/>
        <v>0.93728849449412932</v>
      </c>
      <c r="H330" s="414" t="b">
        <f>Wh_hp&gt;='2024'!Maxi_hp</f>
        <v>0</v>
      </c>
      <c r="I330" s="390">
        <f>IF(H330,Wh_hp,'2024'!Maxi_hp)</f>
        <v>32.840746587016881</v>
      </c>
      <c r="J330" s="85">
        <f>IF(H330,An,'2024'!An_max)</f>
        <v>2020</v>
      </c>
      <c r="K330" s="197">
        <f t="shared" si="104"/>
        <v>45973</v>
      </c>
      <c r="L330" s="147">
        <f>IF(t&lt;Tvie,1-EXP((T0-t)*PertePVj)+'2024'!Pspv,1-EXP((T0-t)*PertePVj)+Pspv)</f>
        <v>5.8042065752382355E-2</v>
      </c>
      <c r="M330" s="959"/>
      <c r="N330" s="959"/>
      <c r="O330" s="48">
        <f>IF(t&lt;Tnet,'2024'!Resal+('2024'!Salim-'2024'!Resal)*(1-EXP(('2024'!Tnet-t)/('2024'!Tau_j))),Resal+(Salim-Resal)*(1-EXP((Tnet-t)/(Tau_j))))*Salcycl</f>
        <v>6.9994588100124558E-2</v>
      </c>
      <c r="P330" s="169">
        <f>(INDEX(Models!$BJ330:$BT330,,T330)*(1-R330)+INDEX(Models!$BJ330:$BT330,,T330+1)*R330-ERP_i)*Q330*Ramure*Pc/MaxiM</f>
        <v>1.9986249992373189E-4</v>
      </c>
      <c r="Q330" s="305">
        <f t="shared" si="105"/>
        <v>0.7</v>
      </c>
      <c r="R330" s="177">
        <f t="shared" si="106"/>
        <v>0.4743591424759086</v>
      </c>
      <c r="S330" s="921">
        <f t="shared" si="107"/>
        <v>-2</v>
      </c>
      <c r="T330" s="176">
        <f t="shared" si="108"/>
        <v>4</v>
      </c>
      <c r="U330" s="251">
        <f t="shared" si="109"/>
        <v>-1.5256408575240914</v>
      </c>
      <c r="V330" s="383">
        <f t="shared" si="110"/>
        <v>29.418517681432935</v>
      </c>
      <c r="W330" s="402">
        <f t="shared" si="111"/>
        <v>27.574131827445388</v>
      </c>
      <c r="X330" s="157">
        <f t="shared" si="112"/>
        <v>45973</v>
      </c>
      <c r="Y330" s="385">
        <f t="shared" si="113"/>
        <v>25.297889666528629</v>
      </c>
      <c r="Z330" s="385">
        <f t="shared" si="114"/>
        <v>26.856708507620507</v>
      </c>
      <c r="AA330" s="386">
        <f t="shared" si="115"/>
        <v>31.219069680810659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0.13973386195654491</v>
      </c>
      <c r="AD330" s="231">
        <f>(INDEX(Models!$BJ330:$BT330,,AH330)*(1-AF330)+INDEX(Models!$BJ330:$BT330,,AH330+1)*AF330-ERP_i)*AE330*Ramure*Pc/MaxiM</f>
        <v>9.1773341043499181E-3</v>
      </c>
      <c r="AE330" s="305">
        <f t="shared" si="117"/>
        <v>0.7</v>
      </c>
      <c r="AF330" s="177">
        <f t="shared" si="118"/>
        <v>0.9993467088498873</v>
      </c>
      <c r="AG330" s="921">
        <f t="shared" si="124"/>
        <v>1</v>
      </c>
      <c r="AH330" s="176">
        <f t="shared" si="119"/>
        <v>7</v>
      </c>
      <c r="AI330" s="225">
        <f t="shared" si="120"/>
        <v>1.9993467088498873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27.760175503693759</v>
      </c>
      <c r="C331" s="955"/>
      <c r="D331" s="393">
        <f t="shared" si="102"/>
        <v>29.471362283574912</v>
      </c>
      <c r="E331" s="385">
        <f t="shared" si="125"/>
        <v>31.690777181215804</v>
      </c>
      <c r="F331" s="385">
        <f t="shared" si="103"/>
        <v>31.696726394945223</v>
      </c>
      <c r="G331" s="110">
        <f t="shared" si="126"/>
        <v>0.95222420710489453</v>
      </c>
      <c r="H331" s="414" t="b">
        <f>Wh_hp&gt;='2024'!Maxi_hp</f>
        <v>1</v>
      </c>
      <c r="I331" s="390">
        <f>IF(H331,Wh_hp,'2024'!Maxi_hp)</f>
        <v>31.696726394945223</v>
      </c>
      <c r="J331" s="85">
        <f>IF(H331,An,'2024'!An_max)</f>
        <v>2025</v>
      </c>
      <c r="K331" s="197">
        <f t="shared" si="104"/>
        <v>45974</v>
      </c>
      <c r="L331" s="147">
        <f>IF(t&lt;Tvie,1-EXP((T0-t)*PertePVj)+'2024'!Pspv,1-EXP((T0-t)*PertePVj)+Pspv)</f>
        <v>5.8062697048613776E-2</v>
      </c>
      <c r="M331" s="959"/>
      <c r="N331" s="959"/>
      <c r="O331" s="48">
        <f>IF(t&lt;Tnet,'2024'!Resal+('2024'!Salim-'2024'!Resal)*(1-EXP(('2024'!Tnet-t)/('2024'!Tau_j))),Resal+(Salim-Resal)*(1-EXP((Tnet-t)/(Tau_j))))*Salcycl</f>
        <v>7.003346383554189E-2</v>
      </c>
      <c r="P331" s="169">
        <f>(INDEX(Models!$BJ331:$BT331,,T331)*(1-R331)+INDEX(Models!$BJ331:$BT331,,T331+1)*R331-ERP_i)*Q331*Ramure*Pc/MaxiM</f>
        <v>2.0143622342708574E-4</v>
      </c>
      <c r="Q331" s="305">
        <f t="shared" si="105"/>
        <v>0.7</v>
      </c>
      <c r="R331" s="177">
        <f t="shared" si="106"/>
        <v>0.47439355927265914</v>
      </c>
      <c r="S331" s="921">
        <f t="shared" si="107"/>
        <v>-2</v>
      </c>
      <c r="T331" s="176">
        <f t="shared" si="108"/>
        <v>4</v>
      </c>
      <c r="U331" s="251">
        <f t="shared" si="109"/>
        <v>-1.5256064407273409</v>
      </c>
      <c r="V331" s="383">
        <f t="shared" si="110"/>
        <v>29.152581582854701</v>
      </c>
      <c r="W331" s="402">
        <f t="shared" si="111"/>
        <v>27.760175503693759</v>
      </c>
      <c r="X331" s="157">
        <f t="shared" si="112"/>
        <v>45974</v>
      </c>
      <c r="Y331" s="385">
        <f t="shared" si="113"/>
        <v>25.457136914759143</v>
      </c>
      <c r="Z331" s="385">
        <f t="shared" si="114"/>
        <v>27.026360284271487</v>
      </c>
      <c r="AA331" s="386">
        <f t="shared" si="115"/>
        <v>31.413720335669041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0.13966381582686599</v>
      </c>
      <c r="AD331" s="231">
        <f>(INDEX(Models!$BJ331:$BT331,,AH331)*(1-AF331)+INDEX(Models!$BJ331:$BT331,,AH331+1)*AF331-ERP_i)*AE331*Ramure*Pc/MaxiM</f>
        <v>9.5823875860512903E-3</v>
      </c>
      <c r="AE331" s="305">
        <f t="shared" si="117"/>
        <v>0.7</v>
      </c>
      <c r="AF331" s="177">
        <f t="shared" si="118"/>
        <v>0.99938112564663806</v>
      </c>
      <c r="AG331" s="921">
        <f t="shared" si="124"/>
        <v>1</v>
      </c>
      <c r="AH331" s="176">
        <f t="shared" si="119"/>
        <v>7</v>
      </c>
      <c r="AI331" s="225">
        <f t="shared" si="120"/>
        <v>1.9993811256466381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10.377897942110415</v>
      </c>
      <c r="C332" s="955"/>
      <c r="D332" s="393">
        <f t="shared" si="102"/>
        <v>11.017851418741147</v>
      </c>
      <c r="E332" s="385">
        <f t="shared" si="125"/>
        <v>11.84808154507429</v>
      </c>
      <c r="F332" s="385">
        <f t="shared" si="103"/>
        <v>11.848285323462166</v>
      </c>
      <c r="G332" s="110">
        <f t="shared" si="126"/>
        <v>0.35916930236192285</v>
      </c>
      <c r="H332" s="414" t="b">
        <f>Wh_hp&gt;='2024'!Maxi_hp</f>
        <v>0</v>
      </c>
      <c r="I332" s="390">
        <f>IF(H332,Wh_hp,'2024'!Maxi_hp)</f>
        <v>20.754830581758107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5.8083327892966774E-2</v>
      </c>
      <c r="M332" s="959"/>
      <c r="N332" s="959"/>
      <c r="O332" s="48">
        <f>IF(t&lt;Tnet,'2024'!Resal+('2024'!Salim-'2024'!Resal)*(1-EXP(('2024'!Tnet-t)/('2024'!Tau_j))),Resal+(Salim-Resal)*(1-EXP((Tnet-t)/(Tau_j))))*Salcycl</f>
        <v>7.0072958493293105E-2</v>
      </c>
      <c r="P332" s="169">
        <f>(INDEX(Models!$BJ332:$BT332,,T332)*(1-R332)+INDEX(Models!$BJ332:$BT332,,T332+1)*R332-ERP_i)*Q332*Ramure*Pc/MaxiM</f>
        <v>2.0324221972993259E-4</v>
      </c>
      <c r="Q332" s="305">
        <f t="shared" si="105"/>
        <v>0.7</v>
      </c>
      <c r="R332" s="177">
        <f t="shared" si="106"/>
        <v>0.47442659480522087</v>
      </c>
      <c r="S332" s="921">
        <f t="shared" si="107"/>
        <v>-2</v>
      </c>
      <c r="T332" s="176">
        <f t="shared" si="108"/>
        <v>4</v>
      </c>
      <c r="U332" s="251">
        <f t="shared" si="109"/>
        <v>-1.5255734051947791</v>
      </c>
      <c r="V332" s="383">
        <f t="shared" si="110"/>
        <v>28.888791728260557</v>
      </c>
      <c r="W332" s="402">
        <f t="shared" si="111"/>
        <v>10.377897942110415</v>
      </c>
      <c r="X332" s="157">
        <f t="shared" si="112"/>
        <v>45975</v>
      </c>
      <c r="Y332" s="385">
        <f t="shared" si="113"/>
        <v>9.5940884718751178</v>
      </c>
      <c r="Z332" s="385">
        <f t="shared" si="114"/>
        <v>10.185708307310765</v>
      </c>
      <c r="AA332" s="386">
        <f t="shared" si="115"/>
        <v>11.838276389377029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0.1395953285521514</v>
      </c>
      <c r="AD332" s="231">
        <f>(INDEX(Models!$BJ332:$BT332,,AH332)*(1-AF332)+INDEX(Models!$BJ332:$BT332,,AH332+1)*AF332-ERP_i)*AE332*Ramure*Pc/MaxiM</f>
        <v>9.9825992432450994E-3</v>
      </c>
      <c r="AE332" s="305">
        <f t="shared" si="117"/>
        <v>0.7</v>
      </c>
      <c r="AF332" s="177">
        <f t="shared" si="118"/>
        <v>0.99941416117919979</v>
      </c>
      <c r="AG332" s="921">
        <f t="shared" si="124"/>
        <v>1</v>
      </c>
      <c r="AH332" s="176">
        <f t="shared" si="119"/>
        <v>7</v>
      </c>
      <c r="AI332" s="225">
        <f t="shared" si="120"/>
        <v>1.9994141611791998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12.395829467683845</v>
      </c>
      <c r="C333" s="955"/>
      <c r="D333" s="393">
        <f t="shared" si="102"/>
        <v>13.16050701850229</v>
      </c>
      <c r="E333" s="385">
        <f t="shared" si="125"/>
        <v>14.152804481083166</v>
      </c>
      <c r="F333" s="385">
        <f t="shared" si="103"/>
        <v>14.15335636352256</v>
      </c>
      <c r="G333" s="110">
        <f t="shared" si="126"/>
        <v>0.43293189567545881</v>
      </c>
      <c r="H333" s="414" t="b">
        <f>Wh_hp&gt;='2024'!Maxi_hp</f>
        <v>0</v>
      </c>
      <c r="I333" s="390">
        <f>IF(H333,Wh_hp,'2024'!Maxi_hp)</f>
        <v>29.501536808911666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5.8103958285451229E-2</v>
      </c>
      <c r="M333" s="959"/>
      <c r="N333" s="959"/>
      <c r="O333" s="48">
        <f>IF(t&lt;Tnet,'2024'!Resal+('2024'!Salim-'2024'!Resal)*(1-EXP(('2024'!Tnet-t)/('2024'!Tau_j))),Resal+(Salim-Resal)*(1-EXP((Tnet-t)/(Tau_j))))*Salcycl</f>
        <v>7.0113132977085518E-2</v>
      </c>
      <c r="P333" s="169">
        <f>(INDEX(Models!$BJ333:$BT333,,T333)*(1-R333)+INDEX(Models!$BJ333:$BT333,,T333+1)*R333-ERP_i)*Q333*Ramure*Pc/MaxiM</f>
        <v>2.0522056421720992E-4</v>
      </c>
      <c r="Q333" s="305">
        <f t="shared" si="105"/>
        <v>0.7</v>
      </c>
      <c r="R333" s="177">
        <f t="shared" si="106"/>
        <v>0.47445830433651603</v>
      </c>
      <c r="S333" s="921">
        <f t="shared" si="107"/>
        <v>-2</v>
      </c>
      <c r="T333" s="176">
        <f t="shared" si="108"/>
        <v>4</v>
      </c>
      <c r="U333" s="251">
        <f t="shared" si="109"/>
        <v>-1.525541695663484</v>
      </c>
      <c r="V333" s="383">
        <f t="shared" si="110"/>
        <v>28.627525444844508</v>
      </c>
      <c r="W333" s="402">
        <f t="shared" si="111"/>
        <v>12.395829467683845</v>
      </c>
      <c r="X333" s="157">
        <f t="shared" si="112"/>
        <v>45976</v>
      </c>
      <c r="Y333" s="385">
        <f t="shared" si="113"/>
        <v>11.448353850988049</v>
      </c>
      <c r="Z333" s="385">
        <f t="shared" si="114"/>
        <v>12.154583249068999</v>
      </c>
      <c r="AA333" s="386">
        <f t="shared" si="115"/>
        <v>14.125492213857717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0.13952851588811691</v>
      </c>
      <c r="AD333" s="231">
        <f>(INDEX(Models!$BJ333:$BT333,,AH333)*(1-AF333)+INDEX(Models!$BJ333:$BT333,,AH333+1)*AF333-ERP_i)*AE333*Ramure*Pc/MaxiM</f>
        <v>1.0361439515875504E-2</v>
      </c>
      <c r="AE333" s="305">
        <f t="shared" si="117"/>
        <v>0.7</v>
      </c>
      <c r="AF333" s="177">
        <f t="shared" si="118"/>
        <v>0.99944587071049495</v>
      </c>
      <c r="AG333" s="921">
        <f t="shared" si="124"/>
        <v>1</v>
      </c>
      <c r="AH333" s="176">
        <f t="shared" si="119"/>
        <v>7</v>
      </c>
      <c r="AI333" s="225">
        <f t="shared" si="120"/>
        <v>1.999445870710495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27.470069060744091</v>
      </c>
      <c r="C334" s="955"/>
      <c r="D334" s="393">
        <f t="shared" si="102"/>
        <v>29.165289503637347</v>
      </c>
      <c r="E334" s="385">
        <f t="shared" si="125"/>
        <v>31.365721768062269</v>
      </c>
      <c r="F334" s="385">
        <f t="shared" si="103"/>
        <v>31.371932883653656</v>
      </c>
      <c r="G334" s="110">
        <f t="shared" si="126"/>
        <v>0.96829841718914889</v>
      </c>
      <c r="H334" s="414" t="b">
        <f>Wh_hp&gt;='2024'!Maxi_hp</f>
        <v>1</v>
      </c>
      <c r="I334" s="390">
        <f>IF(H334,Wh_hp,'2024'!Maxi_hp)</f>
        <v>31.371932883653656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5.8124588226077356E-2</v>
      </c>
      <c r="M334" s="959"/>
      <c r="N334" s="959"/>
      <c r="O334" s="48">
        <f>IF(t&lt;Tnet,'2024'!Resal+('2024'!Salim-'2024'!Resal)*(1-EXP(('2024'!Tnet-t)/('2024'!Tau_j))),Resal+(Salim-Resal)*(1-EXP((Tnet-t)/(Tau_j))))*Salcycl</f>
        <v>7.0154045256675068E-2</v>
      </c>
      <c r="P334" s="169">
        <f>(INDEX(Models!$BJ334:$BT334,,T334)*(1-R334)+INDEX(Models!$BJ334:$BT334,,T334+1)*R334-ERP_i)*Q334*Ramure*Pc/MaxiM</f>
        <v>2.0737196021084267E-4</v>
      </c>
      <c r="Q334" s="305">
        <f t="shared" si="105"/>
        <v>0.7</v>
      </c>
      <c r="R334" s="177">
        <f t="shared" si="106"/>
        <v>0.47448874093200555</v>
      </c>
      <c r="S334" s="921">
        <f t="shared" si="107"/>
        <v>-2</v>
      </c>
      <c r="T334" s="176">
        <f t="shared" si="108"/>
        <v>4</v>
      </c>
      <c r="U334" s="251">
        <f t="shared" si="109"/>
        <v>-1.5255112590679945</v>
      </c>
      <c r="V334" s="383">
        <f t="shared" si="110"/>
        <v>28.369158321522384</v>
      </c>
      <c r="W334" s="402">
        <f t="shared" si="111"/>
        <v>27.470069060744091</v>
      </c>
      <c r="X334" s="157">
        <f t="shared" si="112"/>
        <v>45977</v>
      </c>
      <c r="Y334" s="385">
        <f t="shared" si="113"/>
        <v>25.167309544728159</v>
      </c>
      <c r="Z334" s="385">
        <f t="shared" si="114"/>
        <v>26.720423136780049</v>
      </c>
      <c r="AA334" s="386">
        <f t="shared" si="115"/>
        <v>31.050888302786124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0.13946348728508073</v>
      </c>
      <c r="AD334" s="231">
        <f>(INDEX(Models!$BJ334:$BT334,,AH334)*(1-AF334)+INDEX(Models!$BJ334:$BT334,,AH334+1)*AF334-ERP_i)*AE334*Ramure*Pc/MaxiM</f>
        <v>1.0718790057918546E-2</v>
      </c>
      <c r="AE334" s="305">
        <f t="shared" si="117"/>
        <v>0.7</v>
      </c>
      <c r="AF334" s="177">
        <f t="shared" si="118"/>
        <v>0.99947630730598447</v>
      </c>
      <c r="AG334" s="921">
        <f t="shared" si="124"/>
        <v>1</v>
      </c>
      <c r="AH334" s="176">
        <f t="shared" si="119"/>
        <v>7</v>
      </c>
      <c r="AI334" s="225">
        <f t="shared" si="120"/>
        <v>1.9994763073059845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14.680413435504867</v>
      </c>
      <c r="C335" s="955"/>
      <c r="D335" s="393">
        <f t="shared" ref="D335:D379" si="127">Wh/(1-Ppv)</f>
        <v>15.586705840030859</v>
      </c>
      <c r="E335" s="385">
        <f t="shared" si="125"/>
        <v>16.763427185766172</v>
      </c>
      <c r="F335" s="385">
        <f t="shared" ref="F335:F379" si="128">Wh_sa/(1-Pvg*MEDIAN((-Sdif+Wh/Env_an)/Csdif,0,1))</f>
        <v>16.764542963354685</v>
      </c>
      <c r="G335" s="110">
        <f t="shared" si="126"/>
        <v>0.52209850857763063</v>
      </c>
      <c r="H335" s="414" t="b">
        <f>Wh_hp&gt;='2024'!Maxi_hp</f>
        <v>0</v>
      </c>
      <c r="I335" s="390">
        <f>IF(H335,Wh_hp,'2024'!Maxi_hp)</f>
        <v>31.482813740825435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5.8145217714854702E-2</v>
      </c>
      <c r="M335" s="959"/>
      <c r="N335" s="959"/>
      <c r="O335" s="48">
        <f>IF(t&lt;Tnet,'2024'!Resal+('2024'!Salim-'2024'!Resal)*(1-EXP(('2024'!Tnet-t)/('2024'!Tau_j))),Resal+(Salim-Resal)*(1-EXP((Tnet-t)/(Tau_j))))*Salcycl</f>
        <v>7.0195750110959909E-2</v>
      </c>
      <c r="P335" s="169">
        <f>(INDEX(Models!$BJ335:$BT335,,T335)*(1-R335)+INDEX(Models!$BJ335:$BT335,,T335+1)*R335-ERP_i)*Q335*Ramure*Pc/MaxiM</f>
        <v>2.0969697812679524E-4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0.47451795554599974</v>
      </c>
      <c r="S335" s="92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-1.5254820444540003</v>
      </c>
      <c r="V335" s="383">
        <f t="shared" ref="V335:V379" si="135">MaxiM*(1-Ppv)*(1-Pvg)*(1-Psa)</f>
        <v>28.114065991049458</v>
      </c>
      <c r="W335" s="402">
        <f t="shared" ref="W335:W379" si="136">Wh*(A335&gt;Tmaj)</f>
        <v>14.680413435504867</v>
      </c>
      <c r="X335" s="157">
        <f t="shared" ref="X335:X379" si="137">t</f>
        <v>45978</v>
      </c>
      <c r="Y335" s="385">
        <f t="shared" ref="Y335:Y379" si="138">Wh_pvt_s*(1-Ppv)</f>
        <v>13.540989151787072</v>
      </c>
      <c r="Z335" s="385">
        <f t="shared" ref="Z335:Z379" si="139">Wh_sa_s*(1-Psa_s)</f>
        <v>14.37693942471012</v>
      </c>
      <c r="AA335" s="386">
        <f t="shared" ref="AA335:AA379" si="140">Wh_hp*(1-Pvg_s*MEDIAN((-Sdif+Wh/Env_an)/Csdif,0,1))</f>
        <v>16.705722978237045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0.13940034541220928</v>
      </c>
      <c r="AD335" s="231">
        <f>(INDEX(Models!$BJ335:$BT335,,AH335)*(1-AF335)+INDEX(Models!$BJ335:$BT335,,AH335+1)*AF335-ERP_i)*AE335*Ramure*Pc/MaxiM</f>
        <v>1.1054508765559341E-2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0.99950552191997866</v>
      </c>
      <c r="AG335" s="921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1.9995055219199787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13.406340533898469</v>
      </c>
      <c r="C336" s="955"/>
      <c r="D336" s="393">
        <f t="shared" si="127"/>
        <v>14.234290068652269</v>
      </c>
      <c r="E336" s="385">
        <f t="shared" si="125"/>
        <v>15.309611109669591</v>
      </c>
      <c r="F336" s="385">
        <f t="shared" si="128"/>
        <v>15.310451896904949</v>
      </c>
      <c r="G336" s="110">
        <f t="shared" si="126"/>
        <v>0.48108289449628971</v>
      </c>
      <c r="H336" s="414" t="b">
        <f>Wh_hp&gt;='2024'!Maxi_hp</f>
        <v>0</v>
      </c>
      <c r="I336" s="390">
        <f>IF(H336,Wh_hp,'2024'!Maxi_hp)</f>
        <v>29.94043779612808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5.816584675179326E-2</v>
      </c>
      <c r="M336" s="959"/>
      <c r="N336" s="959"/>
      <c r="O336" s="48">
        <f>IF(t&lt;Tnet,'2024'!Resal+('2024'!Salim-'2024'!Resal)*(1-EXP(('2024'!Tnet-t)/('2024'!Tau_j))),Resal+(Salim-Resal)*(1-EXP((Tnet-t)/(Tau_j))))*Salcycl</f>
        <v>7.023829889043659E-2</v>
      </c>
      <c r="P336" s="169">
        <f>(INDEX(Models!$BJ336:$BT336,,T336)*(1-R336)+INDEX(Models!$BJ336:$BT336,,T336+1)*R336-ERP_i)*Q336*Ramure*Pc/MaxiM</f>
        <v>2.1219602480065136E-4</v>
      </c>
      <c r="Q336" s="305">
        <f t="shared" si="130"/>
        <v>0.7</v>
      </c>
      <c r="R336" s="177">
        <f t="shared" si="131"/>
        <v>0.47454599710466328</v>
      </c>
      <c r="S336" s="921">
        <f t="shared" si="132"/>
        <v>-2</v>
      </c>
      <c r="T336" s="176">
        <f t="shared" si="133"/>
        <v>4</v>
      </c>
      <c r="U336" s="251">
        <f t="shared" si="134"/>
        <v>-1.5254540028953367</v>
      </c>
      <c r="V336" s="383">
        <f t="shared" si="135"/>
        <v>27.86262413510422</v>
      </c>
      <c r="W336" s="402">
        <f t="shared" si="136"/>
        <v>13.406340533898469</v>
      </c>
      <c r="X336" s="157">
        <f t="shared" si="137"/>
        <v>45979</v>
      </c>
      <c r="Y336" s="385">
        <f t="shared" si="138"/>
        <v>12.374134775233744</v>
      </c>
      <c r="Z336" s="385">
        <f t="shared" si="139"/>
        <v>13.138337288531858</v>
      </c>
      <c r="AA336" s="386">
        <f t="shared" si="140"/>
        <v>15.265406616158318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0.13933918572303028</v>
      </c>
      <c r="AD336" s="231">
        <f>(INDEX(Models!$BJ336:$BT336,,AH336)*(1-AF336)+INDEX(Models!$BJ336:$BT336,,AH336+1)*AF336-ERP_i)*AE336*Ramure*Pc/MaxiM</f>
        <v>1.1368428430517786E-2</v>
      </c>
      <c r="AE336" s="305">
        <f t="shared" si="142"/>
        <v>0.7</v>
      </c>
      <c r="AF336" s="177">
        <f t="shared" si="143"/>
        <v>0.99953356347864197</v>
      </c>
      <c r="AG336" s="921">
        <f t="shared" ref="AG336:AG379" si="149">INDEX(Echel_vg,AH336)</f>
        <v>1</v>
      </c>
      <c r="AH336" s="176">
        <f t="shared" si="144"/>
        <v>7</v>
      </c>
      <c r="AI336" s="225">
        <f t="shared" si="145"/>
        <v>1.999533563478642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5.7829858979757383</v>
      </c>
      <c r="C337" s="955"/>
      <c r="D337" s="393">
        <f t="shared" si="127"/>
        <v>6.1402663547907874</v>
      </c>
      <c r="E337" s="385">
        <f t="shared" si="125"/>
        <v>6.604437725222585</v>
      </c>
      <c r="F337" s="385">
        <f t="shared" si="128"/>
        <v>6.604437725222585</v>
      </c>
      <c r="G337" s="110">
        <f t="shared" si="126"/>
        <v>0.20936808490325384</v>
      </c>
      <c r="H337" s="414" t="b">
        <f>Wh_hp&gt;='2024'!Maxi_hp</f>
        <v>0</v>
      </c>
      <c r="I337" s="390">
        <f>IF(H337,Wh_hp,'2024'!Maxi_hp)</f>
        <v>31.549585507891482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5.8186475336903021E-2</v>
      </c>
      <c r="M337" s="959"/>
      <c r="N337" s="959"/>
      <c r="O337" s="48">
        <f>IF(t&lt;Tnet,'2024'!Resal+('2024'!Salim-'2024'!Resal)*(1-EXP(('2024'!Tnet-t)/('2024'!Tau_j))),Resal+(Salim-Resal)*(1-EXP((Tnet-t)/(Tau_j))))*Salcycl</f>
        <v>7.028173930069935E-2</v>
      </c>
      <c r="P337" s="169">
        <f>(INDEX(Models!$BJ337:$BT337,,T337)*(1-R337)+INDEX(Models!$BJ337:$BT337,,T337+1)*R337-ERP_i)*Q337*Ramure*Pc/MaxiM</f>
        <v>2.1486931040638182E-4</v>
      </c>
      <c r="Q337" s="305">
        <f t="shared" si="130"/>
        <v>0.7</v>
      </c>
      <c r="R337" s="177">
        <f t="shared" si="131"/>
        <v>0.47457291258583378</v>
      </c>
      <c r="S337" s="921">
        <f t="shared" si="132"/>
        <v>-2</v>
      </c>
      <c r="T337" s="176">
        <f t="shared" si="133"/>
        <v>4</v>
      </c>
      <c r="U337" s="251">
        <f t="shared" si="134"/>
        <v>-1.5254270874141662</v>
      </c>
      <c r="V337" s="383">
        <f t="shared" si="135"/>
        <v>27.61520847103041</v>
      </c>
      <c r="W337" s="402">
        <f t="shared" si="136"/>
        <v>5.7829858979757383</v>
      </c>
      <c r="X337" s="157">
        <f t="shared" si="137"/>
        <v>45980</v>
      </c>
      <c r="Y337" s="385">
        <f t="shared" si="138"/>
        <v>5.3538058538485265</v>
      </c>
      <c r="Z337" s="385">
        <f t="shared" si="139"/>
        <v>5.684571004396731</v>
      </c>
      <c r="AA337" s="386">
        <f t="shared" si="140"/>
        <v>6.604437725222585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0.13928009606523351</v>
      </c>
      <c r="AD337" s="231">
        <f>(INDEX(Models!$BJ337:$BT337,,AH337)*(1-AF337)+INDEX(Models!$BJ337:$BT337,,AH337+1)*AF337-ERP_i)*AE337*Ramure*Pc/MaxiM</f>
        <v>1.1660355591785734E-2</v>
      </c>
      <c r="AE337" s="305">
        <f t="shared" si="142"/>
        <v>0.7</v>
      </c>
      <c r="AF337" s="177">
        <f t="shared" si="143"/>
        <v>0.99956047895981248</v>
      </c>
      <c r="AG337" s="921">
        <f t="shared" si="149"/>
        <v>1</v>
      </c>
      <c r="AH337" s="176">
        <f t="shared" si="144"/>
        <v>7</v>
      </c>
      <c r="AI337" s="225">
        <f t="shared" si="145"/>
        <v>1.9995604789598125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17.1304374978053</v>
      </c>
      <c r="C338" s="955"/>
      <c r="D338" s="393">
        <f t="shared" si="127"/>
        <v>18.189176793459868</v>
      </c>
      <c r="E338" s="385">
        <f t="shared" si="125"/>
        <v>19.56511534960374</v>
      </c>
      <c r="F338" s="385">
        <f t="shared" si="128"/>
        <v>19.567095736260253</v>
      </c>
      <c r="G338" s="110">
        <f t="shared" si="126"/>
        <v>0.62576061715086762</v>
      </c>
      <c r="H338" s="414" t="b">
        <f>Wh_hp&gt;='2024'!Maxi_hp</f>
        <v>0</v>
      </c>
      <c r="I338" s="390">
        <f>IF(H338,Wh_hp,'2024'!Maxi_hp)</f>
        <v>31.724603682982458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5.8207103470193866E-2</v>
      </c>
      <c r="M338" s="959"/>
      <c r="N338" s="959"/>
      <c r="O338" s="48">
        <f>IF(t&lt;Tnet,'2024'!Resal+('2024'!Salim-'2024'!Resal)*(1-EXP(('2024'!Tnet-t)/('2024'!Tau_j))),Resal+(Salim-Resal)*(1-EXP((Tnet-t)/(Tau_j))))*Salcycl</f>
        <v>7.0326115208502377E-2</v>
      </c>
      <c r="P338" s="169">
        <f>(INDEX(Models!$BJ338:$BT338,,T338)*(1-R338)+INDEX(Models!$BJ338:$BT338,,T338+1)*R338-ERP_i)*Q338*Ramure*Pc/MaxiM</f>
        <v>2.1743332816212337E-4</v>
      </c>
      <c r="Q338" s="305">
        <f t="shared" si="130"/>
        <v>0.7</v>
      </c>
      <c r="R338" s="177">
        <f t="shared" si="131"/>
        <v>0.47459874709577266</v>
      </c>
      <c r="S338" s="921">
        <f t="shared" si="132"/>
        <v>-2</v>
      </c>
      <c r="T338" s="176">
        <f t="shared" si="133"/>
        <v>4</v>
      </c>
      <c r="U338" s="251">
        <f t="shared" si="134"/>
        <v>-1.5254012529042273</v>
      </c>
      <c r="V338" s="383">
        <f t="shared" si="135"/>
        <v>27.372202518262799</v>
      </c>
      <c r="W338" s="402">
        <f t="shared" si="136"/>
        <v>17.1304374978053</v>
      </c>
      <c r="X338" s="157">
        <f t="shared" si="137"/>
        <v>45981</v>
      </c>
      <c r="Y338" s="385">
        <f t="shared" si="138"/>
        <v>15.774491334774332</v>
      </c>
      <c r="Z338" s="385">
        <f t="shared" si="139"/>
        <v>16.749426963080833</v>
      </c>
      <c r="AA338" s="386">
        <f t="shared" si="140"/>
        <v>19.458500872087523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0.13922315633743157</v>
      </c>
      <c r="AD338" s="231">
        <f>(INDEX(Models!$BJ338:$BT338,,AH338)*(1-AF338)+INDEX(Models!$BJ338:$BT338,,AH338+1)*AF338-ERP_i)*AE338*Ramure*Pc/MaxiM</f>
        <v>1.1922996279912402E-2</v>
      </c>
      <c r="AE338" s="305">
        <f t="shared" si="142"/>
        <v>0.7</v>
      </c>
      <c r="AF338" s="177">
        <f t="shared" si="143"/>
        <v>0.99958631346975158</v>
      </c>
      <c r="AG338" s="921">
        <f t="shared" si="149"/>
        <v>1</v>
      </c>
      <c r="AH338" s="176">
        <f t="shared" si="144"/>
        <v>7</v>
      </c>
      <c r="AI338" s="225">
        <f t="shared" si="145"/>
        <v>1.9995863134697516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3.4196287667411198</v>
      </c>
      <c r="C339" s="955"/>
      <c r="D339" s="393">
        <f t="shared" si="127"/>
        <v>3.6310569761444769</v>
      </c>
      <c r="E339" s="385">
        <f t="shared" si="125"/>
        <v>3.9059224681532929</v>
      </c>
      <c r="F339" s="385">
        <f t="shared" si="128"/>
        <v>3.9059224681532929</v>
      </c>
      <c r="G339" s="110">
        <f t="shared" si="126"/>
        <v>0.12599982006761243</v>
      </c>
      <c r="H339" s="414" t="b">
        <f>Wh_hp&gt;='2024'!Maxi_hp</f>
        <v>0</v>
      </c>
      <c r="I339" s="390">
        <f>IF(H339,Wh_hp,'2024'!Maxi_hp)</f>
        <v>30.885830486283265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5.8227731151675677E-2</v>
      </c>
      <c r="M339" s="959"/>
      <c r="N339" s="959"/>
      <c r="O339" s="48">
        <f>IF(t&lt;Tnet,'2024'!Resal+('2024'!Salim-'2024'!Resal)*(1-EXP(('2024'!Tnet-t)/('2024'!Tau_j))),Resal+(Salim-Resal)*(1-EXP((Tnet-t)/(Tau_j))))*Salcycl</f>
        <v>7.037146647172729E-2</v>
      </c>
      <c r="P339" s="169">
        <f>(INDEX(Models!$BJ339:$BT339,,T339)*(1-R339)+INDEX(Models!$BJ339:$BT339,,T339+1)*R339-ERP_i)*Q339*Ramure*Pc/MaxiM</f>
        <v>2.1968705782968815E-4</v>
      </c>
      <c r="Q339" s="305">
        <f t="shared" si="130"/>
        <v>0.7</v>
      </c>
      <c r="R339" s="177">
        <f t="shared" si="131"/>
        <v>0.4746235439429578</v>
      </c>
      <c r="S339" s="921">
        <f t="shared" si="132"/>
        <v>-2</v>
      </c>
      <c r="T339" s="176">
        <f t="shared" si="133"/>
        <v>4</v>
      </c>
      <c r="U339" s="251">
        <f t="shared" si="134"/>
        <v>-1.5253764560570422</v>
      </c>
      <c r="V339" s="383">
        <f t="shared" si="135"/>
        <v>27.133987308266711</v>
      </c>
      <c r="W339" s="402">
        <f t="shared" si="136"/>
        <v>3.4196287667411198</v>
      </c>
      <c r="X339" s="157">
        <f t="shared" si="137"/>
        <v>45982</v>
      </c>
      <c r="Y339" s="385">
        <f t="shared" si="138"/>
        <v>3.1665598310477185</v>
      </c>
      <c r="Z339" s="385">
        <f t="shared" si="139"/>
        <v>3.3623413385489096</v>
      </c>
      <c r="AA339" s="386">
        <f t="shared" si="140"/>
        <v>3.9059224681532929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0.1391684381951869</v>
      </c>
      <c r="AD339" s="231">
        <f>(INDEX(Models!$BJ339:$BT339,,AH339)*(1-AF339)+INDEX(Models!$BJ339:$BT339,,AH339+1)*AF339-ERP_i)*AE339*Ramure*Pc/MaxiM</f>
        <v>1.2165147523368208E-2</v>
      </c>
      <c r="AE339" s="305">
        <f t="shared" si="142"/>
        <v>0.7</v>
      </c>
      <c r="AF339" s="177">
        <f t="shared" si="143"/>
        <v>0.99961111031693672</v>
      </c>
      <c r="AG339" s="921">
        <f t="shared" si="149"/>
        <v>1</v>
      </c>
      <c r="AH339" s="176">
        <f t="shared" si="144"/>
        <v>7</v>
      </c>
      <c r="AI339" s="225">
        <f t="shared" si="145"/>
        <v>1.9996111103169367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7.5763016184425744</v>
      </c>
      <c r="C340" s="955"/>
      <c r="D340" s="393">
        <f t="shared" si="127"/>
        <v>8.0449040740940543</v>
      </c>
      <c r="E340" s="385">
        <f t="shared" si="125"/>
        <v>8.6543226874290156</v>
      </c>
      <c r="F340" s="385">
        <f t="shared" si="128"/>
        <v>8.6543226874290156</v>
      </c>
      <c r="G340" s="110">
        <f t="shared" si="126"/>
        <v>0.28157465714240765</v>
      </c>
      <c r="H340" s="414" t="b">
        <f>Wh_hp&gt;='2024'!Maxi_hp</f>
        <v>0</v>
      </c>
      <c r="I340" s="390">
        <f>IF(H340,Wh_hp,'2024'!Maxi_hp)</f>
        <v>31.571381737013635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5.8248358381358223E-2</v>
      </c>
      <c r="M340" s="959"/>
      <c r="N340" s="959"/>
      <c r="O340" s="48">
        <f>IF(t&lt;Tnet,'2024'!Resal+('2024'!Salim-'2024'!Resal)*(1-EXP(('2024'!Tnet-t)/('2024'!Tau_j))),Resal+(Salim-Resal)*(1-EXP((Tnet-t)/(Tau_j))))*Salcycl</f>
        <v>7.0417828794410831E-2</v>
      </c>
      <c r="P340" s="169">
        <f>(INDEX(Models!$BJ340:$BT340,,T340)*(1-R340)+INDEX(Models!$BJ340:$BT340,,T340+1)*R340-ERP_i)*Q340*Ramure*Pc/MaxiM</f>
        <v>2.2162605804131039E-4</v>
      </c>
      <c r="Q340" s="305">
        <f t="shared" si="130"/>
        <v>0.7</v>
      </c>
      <c r="R340" s="177">
        <f t="shared" si="131"/>
        <v>0.47464734470902648</v>
      </c>
      <c r="S340" s="921">
        <f t="shared" si="132"/>
        <v>-2</v>
      </c>
      <c r="T340" s="176">
        <f t="shared" si="133"/>
        <v>4</v>
      </c>
      <c r="U340" s="251">
        <f t="shared" si="134"/>
        <v>-1.5253526552909735</v>
      </c>
      <c r="V340" s="383">
        <f t="shared" si="135"/>
        <v>26.900938420567616</v>
      </c>
      <c r="W340" s="402">
        <f t="shared" si="136"/>
        <v>7.5763016184425744</v>
      </c>
      <c r="X340" s="157">
        <f t="shared" si="137"/>
        <v>45983</v>
      </c>
      <c r="Y340" s="385">
        <f t="shared" si="138"/>
        <v>7.016396191854561</v>
      </c>
      <c r="Z340" s="385">
        <f t="shared" si="139"/>
        <v>7.4503678908327506</v>
      </c>
      <c r="AA340" s="386">
        <f t="shared" si="140"/>
        <v>8.6543226874290156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0.13911600480822026</v>
      </c>
      <c r="AD340" s="231">
        <f>(INDEX(Models!$BJ340:$BT340,,AH340)*(1-AF340)+INDEX(Models!$BJ340:$BT340,,AH340+1)*AF340-ERP_i)*AE340*Ramure*Pc/MaxiM</f>
        <v>1.2386548515545055E-2</v>
      </c>
      <c r="AE340" s="305">
        <f t="shared" si="142"/>
        <v>0.7</v>
      </c>
      <c r="AF340" s="177">
        <f t="shared" si="143"/>
        <v>0.9996349110830054</v>
      </c>
      <c r="AG340" s="921">
        <f t="shared" si="149"/>
        <v>1</v>
      </c>
      <c r="AH340" s="176">
        <f t="shared" si="144"/>
        <v>7</v>
      </c>
      <c r="AI340" s="225">
        <f t="shared" si="145"/>
        <v>1.9996349110830054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11.757053202361611</v>
      </c>
      <c r="C341" s="955"/>
      <c r="D341" s="393">
        <f t="shared" si="127"/>
        <v>12.484513111580794</v>
      </c>
      <c r="E341" s="385">
        <f t="shared" si="125"/>
        <v>13.430926483833154</v>
      </c>
      <c r="F341" s="385">
        <f t="shared" si="128"/>
        <v>13.431529517038204</v>
      </c>
      <c r="G341" s="110">
        <f t="shared" si="126"/>
        <v>0.44069906294334388</v>
      </c>
      <c r="H341" s="414" t="b">
        <f>Wh_hp&gt;='2024'!Maxi_hp</f>
        <v>0</v>
      </c>
      <c r="I341" s="390">
        <f>IF(H341,Wh_hp,'2024'!Maxi_hp)</f>
        <v>31.553325364511156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5.8268985159251607E-2</v>
      </c>
      <c r="M341" s="959"/>
      <c r="N341" s="959"/>
      <c r="O341" s="48">
        <f>IF(t&lt;Tnet,'2024'!Resal+('2024'!Salim-'2024'!Resal)*(1-EXP(('2024'!Tnet-t)/('2024'!Tau_j))),Resal+(Salim-Resal)*(1-EXP((Tnet-t)/(Tau_j))))*Salcycl</f>
        <v>7.0465233607790237E-2</v>
      </c>
      <c r="P341" s="169">
        <f>(INDEX(Models!$BJ341:$BT341,,T341)*(1-R341)+INDEX(Models!$BJ341:$BT341,,T341+1)*R341-ERP_i)*Q341*Ramure*Pc/MaxiM</f>
        <v>2.2324410422098053E-4</v>
      </c>
      <c r="Q341" s="305">
        <f t="shared" si="130"/>
        <v>0.7</v>
      </c>
      <c r="R341" s="177">
        <f t="shared" si="131"/>
        <v>0.47467018931697602</v>
      </c>
      <c r="S341" s="921">
        <f t="shared" si="132"/>
        <v>-2</v>
      </c>
      <c r="T341" s="176">
        <f t="shared" si="133"/>
        <v>4</v>
      </c>
      <c r="U341" s="251">
        <f t="shared" si="134"/>
        <v>-1.525329810683024</v>
      </c>
      <c r="V341" s="383">
        <f t="shared" si="135"/>
        <v>26.673431505412424</v>
      </c>
      <c r="W341" s="402">
        <f t="shared" si="136"/>
        <v>11.757053202361611</v>
      </c>
      <c r="X341" s="157">
        <f t="shared" si="137"/>
        <v>45984</v>
      </c>
      <c r="Y341" s="385">
        <f t="shared" si="138"/>
        <v>10.862292759454524</v>
      </c>
      <c r="Z341" s="385">
        <f t="shared" si="139"/>
        <v>11.534389956660178</v>
      </c>
      <c r="AA341" s="386">
        <f t="shared" si="140"/>
        <v>13.397529613028468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0.13906591067031296</v>
      </c>
      <c r="AD341" s="231">
        <f>(INDEX(Models!$BJ341:$BT341,,AH341)*(1-AF341)+INDEX(Models!$BJ341:$BT341,,AH341+1)*AF341-ERP_i)*AE341*Ramure*Pc/MaxiM</f>
        <v>1.2586832782509881E-2</v>
      </c>
      <c r="AE341" s="305">
        <f t="shared" si="142"/>
        <v>0.7</v>
      </c>
      <c r="AF341" s="177">
        <f t="shared" si="143"/>
        <v>0.99965775569095516</v>
      </c>
      <c r="AG341" s="921">
        <f t="shared" si="149"/>
        <v>1</v>
      </c>
      <c r="AH341" s="176">
        <f t="shared" si="144"/>
        <v>7</v>
      </c>
      <c r="AI341" s="225">
        <f t="shared" si="145"/>
        <v>1.9996577556909552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13.889544073488326</v>
      </c>
      <c r="C342" s="955"/>
      <c r="D342" s="393">
        <f t="shared" si="127"/>
        <v>14.749273495215856</v>
      </c>
      <c r="E342" s="385">
        <f t="shared" si="125"/>
        <v>15.868199049102936</v>
      </c>
      <c r="F342" s="385">
        <f t="shared" si="128"/>
        <v>15.869344821182613</v>
      </c>
      <c r="G342" s="110">
        <f t="shared" si="126"/>
        <v>0.52500797287062728</v>
      </c>
      <c r="H342" s="414" t="b">
        <f>Wh_hp&gt;='2024'!Maxi_hp</f>
        <v>0</v>
      </c>
      <c r="I342" s="390">
        <f>IF(H342,Wh_hp,'2024'!Maxi_hp)</f>
        <v>29.21125181785667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5.8289611485365489E-2</v>
      </c>
      <c r="M342" s="959"/>
      <c r="N342" s="959"/>
      <c r="O342" s="48">
        <f>IF(t&lt;Tnet,'2024'!Resal+('2024'!Salim-'2024'!Resal)*(1-EXP(('2024'!Tnet-t)/('2024'!Tau_j))),Resal+(Salim-Resal)*(1-EXP((Tnet-t)/(Tau_j))))*Salcycl</f>
        <v>7.0513707978117124E-2</v>
      </c>
      <c r="P342" s="169">
        <f>(INDEX(Models!$BJ342:$BT342,,T342)*(1-R342)+INDEX(Models!$BJ342:$BT342,,T342+1)*R342-ERP_i)*Q342*Ramure*Pc/MaxiM</f>
        <v>2.2453549125639206E-4</v>
      </c>
      <c r="Q342" s="305">
        <f t="shared" si="130"/>
        <v>0.7</v>
      </c>
      <c r="R342" s="177">
        <f t="shared" si="131"/>
        <v>0.47469211609672413</v>
      </c>
      <c r="S342" s="921">
        <f t="shared" si="132"/>
        <v>-2</v>
      </c>
      <c r="T342" s="176">
        <f t="shared" si="133"/>
        <v>4</v>
      </c>
      <c r="U342" s="251">
        <f t="shared" si="134"/>
        <v>-1.5253078839032759</v>
      </c>
      <c r="V342" s="383">
        <f t="shared" si="135"/>
        <v>26.451842205309521</v>
      </c>
      <c r="W342" s="402">
        <f t="shared" si="136"/>
        <v>13.889544073488326</v>
      </c>
      <c r="X342" s="157">
        <f t="shared" si="137"/>
        <v>45985</v>
      </c>
      <c r="Y342" s="385">
        <f t="shared" si="138"/>
        <v>12.813977167118386</v>
      </c>
      <c r="Z342" s="385">
        <f t="shared" si="139"/>
        <v>13.607131580368302</v>
      </c>
      <c r="AA342" s="386">
        <f t="shared" si="140"/>
        <v>15.804203530771291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0.13901820146299815</v>
      </c>
      <c r="AD342" s="231">
        <f>(INDEX(Models!$BJ342:$BT342,,AH342)*(1-AF342)+INDEX(Models!$BJ342:$BT342,,AH342+1)*AF342-ERP_i)*AE342*Ramure*Pc/MaxiM</f>
        <v>1.2765655493800123E-2</v>
      </c>
      <c r="AE342" s="305">
        <f t="shared" si="142"/>
        <v>0.7</v>
      </c>
      <c r="AF342" s="177">
        <f t="shared" si="143"/>
        <v>0.99967968247070305</v>
      </c>
      <c r="AG342" s="921">
        <f t="shared" si="149"/>
        <v>1</v>
      </c>
      <c r="AH342" s="176">
        <f t="shared" si="144"/>
        <v>7</v>
      </c>
      <c r="AI342" s="225">
        <f t="shared" si="145"/>
        <v>1.999679682470703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4.2726646722073491</v>
      </c>
      <c r="C343" s="955"/>
      <c r="D343" s="393">
        <f t="shared" si="127"/>
        <v>4.5372317314226089</v>
      </c>
      <c r="E343" s="385">
        <f t="shared" si="125"/>
        <v>4.8817005043411745</v>
      </c>
      <c r="F343" s="385">
        <f t="shared" si="128"/>
        <v>4.8817005043411745</v>
      </c>
      <c r="G343" s="110">
        <f t="shared" si="126"/>
        <v>0.16281492167135969</v>
      </c>
      <c r="H343" s="414" t="b">
        <f>Wh_hp&gt;='2024'!Maxi_hp</f>
        <v>0</v>
      </c>
      <c r="I343" s="390">
        <f>IF(H343,Wh_hp,'2024'!Maxi_hp)</f>
        <v>27.276647569608237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5.8310237359709971E-2</v>
      </c>
      <c r="M343" s="959"/>
      <c r="N343" s="959"/>
      <c r="O343" s="48">
        <f>IF(t&lt;Tnet,'2024'!Resal+('2024'!Salim-'2024'!Resal)*(1-EXP(('2024'!Tnet-t)/('2024'!Tau_j))),Resal+(Salim-Resal)*(1-EXP((Tnet-t)/(Tau_j))))*Salcycl</f>
        <v>7.0563274541778645E-2</v>
      </c>
      <c r="P343" s="169">
        <f>(INDEX(Models!$BJ343:$BT343,,T343)*(1-R343)+INDEX(Models!$BJ343:$BT343,,T343+1)*R343-ERP_i)*Q343*Ramure*Pc/MaxiM</f>
        <v>2.2549531761306368E-4</v>
      </c>
      <c r="Q343" s="305">
        <f t="shared" si="130"/>
        <v>0.7</v>
      </c>
      <c r="R343" s="177">
        <f t="shared" si="131"/>
        <v>0.47471316184812151</v>
      </c>
      <c r="S343" s="921">
        <f t="shared" si="132"/>
        <v>-2</v>
      </c>
      <c r="T343" s="176">
        <f t="shared" si="133"/>
        <v>4</v>
      </c>
      <c r="U343" s="251">
        <f t="shared" si="134"/>
        <v>-1.5252868381518785</v>
      </c>
      <c r="V343" s="383">
        <f t="shared" si="135"/>
        <v>26.236546149943322</v>
      </c>
      <c r="W343" s="402">
        <f t="shared" si="136"/>
        <v>4.2726646722073491</v>
      </c>
      <c r="X343" s="157">
        <f t="shared" si="137"/>
        <v>45986</v>
      </c>
      <c r="Y343" s="385">
        <f t="shared" si="138"/>
        <v>3.9581823178597162</v>
      </c>
      <c r="Z343" s="385">
        <f t="shared" si="139"/>
        <v>4.203276360105952</v>
      </c>
      <c r="AA343" s="386">
        <f t="shared" si="140"/>
        <v>4.8817005043411745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0.13897291397370989</v>
      </c>
      <c r="AD343" s="231">
        <f>(INDEX(Models!$BJ343:$BT343,,AH343)*(1-AF343)+INDEX(Models!$BJ343:$BT343,,AH343+1)*AF343-ERP_i)*AE343*Ramure*Pc/MaxiM</f>
        <v>1.2922711729202372E-2</v>
      </c>
      <c r="AE343" s="305">
        <f t="shared" si="142"/>
        <v>0.7</v>
      </c>
      <c r="AF343" s="177">
        <f t="shared" si="143"/>
        <v>0.99970072822210043</v>
      </c>
      <c r="AG343" s="921">
        <f t="shared" si="149"/>
        <v>1</v>
      </c>
      <c r="AH343" s="176">
        <f t="shared" si="144"/>
        <v>7</v>
      </c>
      <c r="AI343" s="225">
        <f t="shared" si="145"/>
        <v>1.9997007282221004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13.255530274662112</v>
      </c>
      <c r="C344" s="955"/>
      <c r="D344" s="393">
        <f t="shared" si="127"/>
        <v>14.076632386856655</v>
      </c>
      <c r="E344" s="385">
        <f t="shared" si="125"/>
        <v>15.146162791115648</v>
      </c>
      <c r="F344" s="385">
        <f t="shared" si="128"/>
        <v>15.147186791364327</v>
      </c>
      <c r="G344" s="110">
        <f t="shared" si="126"/>
        <v>0.50920048380691874</v>
      </c>
      <c r="H344" s="414" t="b">
        <f>Wh_hp&gt;='2024'!Maxi_hp</f>
        <v>0</v>
      </c>
      <c r="I344" s="390">
        <f>IF(H344,Wh_hp,'2024'!Maxi_hp)</f>
        <v>27.777098112719983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5.8330862782294823E-2</v>
      </c>
      <c r="M344" s="959"/>
      <c r="N344" s="959"/>
      <c r="O344" s="48">
        <f>IF(t&lt;Tnet,'2024'!Resal+('2024'!Salim-'2024'!Resal)*(1-EXP(('2024'!Tnet-t)/('2024'!Tau_j))),Resal+(Salim-Resal)*(1-EXP((Tnet-t)/(Tau_j))))*Salcycl</f>
        <v>7.0613951468047803E-2</v>
      </c>
      <c r="P344" s="169">
        <f>(INDEX(Models!$BJ344:$BT344,,T344)*(1-R344)+INDEX(Models!$BJ344:$BT344,,T344+1)*R344-ERP_i)*Q344*Ramure*Pc/MaxiM</f>
        <v>2.2611838078082173E-4</v>
      </c>
      <c r="Q344" s="305">
        <f t="shared" si="130"/>
        <v>0.7</v>
      </c>
      <c r="R344" s="177">
        <f t="shared" si="131"/>
        <v>0.47473336190151993</v>
      </c>
      <c r="S344" s="921">
        <f t="shared" si="132"/>
        <v>-2</v>
      </c>
      <c r="T344" s="176">
        <f t="shared" si="133"/>
        <v>4</v>
      </c>
      <c r="U344" s="251">
        <f t="shared" si="134"/>
        <v>-1.5252666380984801</v>
      </c>
      <c r="V344" s="383">
        <f t="shared" si="135"/>
        <v>26.027918969061659</v>
      </c>
      <c r="W344" s="402">
        <f t="shared" si="136"/>
        <v>13.255530274662112</v>
      </c>
      <c r="X344" s="157">
        <f t="shared" si="137"/>
        <v>45987</v>
      </c>
      <c r="Y344" s="385">
        <f t="shared" si="138"/>
        <v>12.234042367980413</v>
      </c>
      <c r="Z344" s="385">
        <f t="shared" si="139"/>
        <v>12.991869314234535</v>
      </c>
      <c r="AA344" s="386">
        <f t="shared" si="140"/>
        <v>15.088053772587724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0.13893007606862978</v>
      </c>
      <c r="AD344" s="231">
        <f>(INDEX(Models!$BJ344:$BT344,,AH344)*(1-AF344)+INDEX(Models!$BJ344:$BT344,,AH344+1)*AF344-ERP_i)*AE344*Ramure*Pc/MaxiM</f>
        <v>1.3057675009053029E-2</v>
      </c>
      <c r="AE344" s="305">
        <f t="shared" si="142"/>
        <v>0.7</v>
      </c>
      <c r="AF344" s="177">
        <f t="shared" si="143"/>
        <v>0.99972092827549863</v>
      </c>
      <c r="AG344" s="921">
        <f t="shared" si="149"/>
        <v>1</v>
      </c>
      <c r="AH344" s="176">
        <f t="shared" si="144"/>
        <v>7</v>
      </c>
      <c r="AI344" s="225">
        <f t="shared" si="145"/>
        <v>1.9997209282754986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14.120922273404993</v>
      </c>
      <c r="C345" s="955"/>
      <c r="D345" s="393">
        <f t="shared" si="127"/>
        <v>14.995958778409817</v>
      </c>
      <c r="E345" s="385">
        <f t="shared" si="125"/>
        <v>16.136238191949317</v>
      </c>
      <c r="F345" s="385">
        <f t="shared" si="128"/>
        <v>16.13752684222106</v>
      </c>
      <c r="G345" s="110">
        <f t="shared" si="126"/>
        <v>0.54677772682911796</v>
      </c>
      <c r="H345" s="414" t="b">
        <f>Wh_hp&gt;='2024'!Maxi_hp</f>
        <v>0</v>
      </c>
      <c r="I345" s="390">
        <f>IF(H345,Wh_hp,'2024'!Maxi_hp)</f>
        <v>27.662208875171967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5.8351487753130038E-2</v>
      </c>
      <c r="M345" s="959"/>
      <c r="N345" s="959"/>
      <c r="O345" s="48">
        <f>IF(t&lt;Tnet,'2024'!Resal+('2024'!Salim-'2024'!Resal)*(1-EXP(('2024'!Tnet-t)/('2024'!Tau_j))),Resal+(Salim-Resal)*(1-EXP((Tnet-t)/(Tau_j))))*Salcycl</f>
        <v>7.0665752449564689E-2</v>
      </c>
      <c r="P345" s="169">
        <f>(INDEX(Models!$BJ345:$BT345,,T345)*(1-R345)+INDEX(Models!$BJ345:$BT345,,T345+1)*R345-ERP_i)*Q345*Ramure*Pc/MaxiM</f>
        <v>2.2643789712442603E-4</v>
      </c>
      <c r="Q345" s="305">
        <f t="shared" si="130"/>
        <v>0.7</v>
      </c>
      <c r="R345" s="177">
        <f t="shared" si="131"/>
        <v>0.47475275017598051</v>
      </c>
      <c r="S345" s="921">
        <f t="shared" si="132"/>
        <v>-2</v>
      </c>
      <c r="T345" s="176">
        <f t="shared" si="133"/>
        <v>4</v>
      </c>
      <c r="U345" s="251">
        <f t="shared" si="134"/>
        <v>-1.5252472498240195</v>
      </c>
      <c r="V345" s="383">
        <f t="shared" si="135"/>
        <v>25.821922728711424</v>
      </c>
      <c r="W345" s="402">
        <f t="shared" si="136"/>
        <v>14.120922273404993</v>
      </c>
      <c r="X345" s="157">
        <f t="shared" si="137"/>
        <v>45988</v>
      </c>
      <c r="Y345" s="385">
        <f t="shared" si="138"/>
        <v>13.02454156876704</v>
      </c>
      <c r="Z345" s="385">
        <f t="shared" si="139"/>
        <v>13.831638238018501</v>
      </c>
      <c r="AA345" s="386">
        <f t="shared" si="140"/>
        <v>16.06256288649611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0.13888970672003789</v>
      </c>
      <c r="AD345" s="231">
        <f>(INDEX(Models!$BJ345:$BT345,,AH345)*(1-AF345)+INDEX(Models!$BJ345:$BT345,,AH345+1)*AF345-ERP_i)*AE345*Ramure*Pc/MaxiM</f>
        <v>1.3172449396614352E-2</v>
      </c>
      <c r="AE345" s="305">
        <f t="shared" si="142"/>
        <v>0.7</v>
      </c>
      <c r="AF345" s="177">
        <f t="shared" si="143"/>
        <v>0.99974031654995921</v>
      </c>
      <c r="AG345" s="921">
        <f t="shared" si="149"/>
        <v>1</v>
      </c>
      <c r="AH345" s="176">
        <f t="shared" si="144"/>
        <v>7</v>
      </c>
      <c r="AI345" s="225">
        <f t="shared" si="145"/>
        <v>1.9997403165499592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9.1170473926286011</v>
      </c>
      <c r="C346" s="955"/>
      <c r="D346" s="393">
        <f t="shared" si="127"/>
        <v>9.6822189651039174</v>
      </c>
      <c r="E346" s="385">
        <f t="shared" si="125"/>
        <v>10.419039774870711</v>
      </c>
      <c r="F346" s="385">
        <f t="shared" si="128"/>
        <v>10.419228424354568</v>
      </c>
      <c r="G346" s="110">
        <f t="shared" si="126"/>
        <v>0.35584725667366074</v>
      </c>
      <c r="H346" s="414" t="b">
        <f>Wh_hp&gt;='2024'!Maxi_hp</f>
        <v>0</v>
      </c>
      <c r="I346" s="390">
        <f>IF(H346,Wh_hp,'2024'!Maxi_hp)</f>
        <v>20.343286490073936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5.8372112272225496E-2</v>
      </c>
      <c r="M346" s="959"/>
      <c r="N346" s="959"/>
      <c r="O346" s="48">
        <f>IF(t&lt;Tnet,'2024'!Resal+('2024'!Salim-'2024'!Resal)*(1-EXP(('2024'!Tnet-t)/('2024'!Tau_j))),Resal+(Salim-Resal)*(1-EXP((Tnet-t)/(Tau_j))))*Salcycl</f>
        <v>7.0718686720431245E-2</v>
      </c>
      <c r="P346" s="169">
        <f>(INDEX(Models!$BJ346:$BT346,,T346)*(1-R346)+INDEX(Models!$BJ346:$BT346,,T346+1)*R346-ERP_i)*Q346*Ramure*Pc/MaxiM</f>
        <v>2.2664150359482562E-4</v>
      </c>
      <c r="Q346" s="305">
        <f t="shared" si="130"/>
        <v>0.7</v>
      </c>
      <c r="R346" s="177">
        <f t="shared" si="131"/>
        <v>0.47477135923521518</v>
      </c>
      <c r="S346" s="921">
        <f t="shared" si="132"/>
        <v>-2</v>
      </c>
      <c r="T346" s="176">
        <f t="shared" si="133"/>
        <v>4</v>
      </c>
      <c r="U346" s="251">
        <f t="shared" si="134"/>
        <v>-1.5252286407647848</v>
      </c>
      <c r="V346" s="383">
        <f t="shared" si="135"/>
        <v>25.615333428189725</v>
      </c>
      <c r="W346" s="402">
        <f t="shared" si="136"/>
        <v>9.1170473926286011</v>
      </c>
      <c r="X346" s="157">
        <f t="shared" si="137"/>
        <v>45989</v>
      </c>
      <c r="Y346" s="385">
        <f t="shared" si="138"/>
        <v>8.439807375810755</v>
      </c>
      <c r="Z346" s="385">
        <f t="shared" si="139"/>
        <v>8.9629964084609934</v>
      </c>
      <c r="AA346" s="386">
        <f t="shared" si="140"/>
        <v>10.40819289397956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0.13885181608754732</v>
      </c>
      <c r="AD346" s="231">
        <f>(INDEX(Models!$BJ346:$BT346,,AH346)*(1-AF346)+INDEX(Models!$BJ346:$BT346,,AH346+1)*AF346-ERP_i)*AE346*Ramure*Pc/MaxiM</f>
        <v>1.3257969998254364E-2</v>
      </c>
      <c r="AE346" s="305">
        <f t="shared" si="142"/>
        <v>0.7</v>
      </c>
      <c r="AF346" s="177">
        <f t="shared" si="143"/>
        <v>0.9997589256091941</v>
      </c>
      <c r="AG346" s="921">
        <f t="shared" si="149"/>
        <v>1</v>
      </c>
      <c r="AH346" s="176">
        <f t="shared" si="144"/>
        <v>7</v>
      </c>
      <c r="AI346" s="225">
        <f t="shared" si="145"/>
        <v>1.9997589256091941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12.829301045679147</v>
      </c>
      <c r="C347" s="955"/>
      <c r="D347" s="393">
        <f t="shared" si="127"/>
        <v>13.624896005800183</v>
      </c>
      <c r="E347" s="385">
        <f t="shared" si="125"/>
        <v>14.662609323234051</v>
      </c>
      <c r="F347" s="385">
        <f t="shared" si="128"/>
        <v>14.663582619612974</v>
      </c>
      <c r="G347" s="110">
        <f t="shared" si="126"/>
        <v>0.50481575199879281</v>
      </c>
      <c r="H347" s="414" t="b">
        <f>Wh_hp&gt;='2024'!Maxi_hp</f>
        <v>0</v>
      </c>
      <c r="I347" s="390">
        <f>IF(H347,Wh_hp,'2024'!Maxi_hp)</f>
        <v>29.549892661364552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5.8392736339590967E-2</v>
      </c>
      <c r="M347" s="959"/>
      <c r="N347" s="959"/>
      <c r="O347" s="48">
        <f>IF(t&lt;Tnet,'2024'!Resal+('2024'!Salim-'2024'!Resal)*(1-EXP(('2024'!Tnet-t)/('2024'!Tau_j))),Resal+(Salim-Resal)*(1-EXP((Tnet-t)/(Tau_j))))*Salcycl</f>
        <v>7.0772759101582941E-2</v>
      </c>
      <c r="P347" s="169">
        <f>(INDEX(Models!$BJ347:$BT347,,T347)*(1-R347)+INDEX(Models!$BJ347:$BT347,,T347+1)*R347-ERP_i)*Q347*Ramure*Pc/MaxiM</f>
        <v>2.2676081948654869E-4</v>
      </c>
      <c r="Q347" s="305">
        <f t="shared" si="130"/>
        <v>0.7</v>
      </c>
      <c r="R347" s="177">
        <f t="shared" si="131"/>
        <v>0.47478922034134419</v>
      </c>
      <c r="S347" s="921">
        <f t="shared" si="132"/>
        <v>-2</v>
      </c>
      <c r="T347" s="176">
        <f t="shared" si="133"/>
        <v>4</v>
      </c>
      <c r="U347" s="251">
        <f t="shared" si="134"/>
        <v>-1.5252107796586558</v>
      </c>
      <c r="V347" s="383">
        <f t="shared" si="135"/>
        <v>25.409752412223508</v>
      </c>
      <c r="W347" s="402">
        <f t="shared" si="136"/>
        <v>12.829301045679147</v>
      </c>
      <c r="X347" s="157">
        <f t="shared" si="137"/>
        <v>45990</v>
      </c>
      <c r="Y347" s="385">
        <f t="shared" si="138"/>
        <v>11.844260711122271</v>
      </c>
      <c r="Z347" s="385">
        <f t="shared" si="139"/>
        <v>12.578769480896769</v>
      </c>
      <c r="AA347" s="386">
        <f t="shared" si="140"/>
        <v>14.606373790042696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0.13881640565217937</v>
      </c>
      <c r="AD347" s="231">
        <f>(INDEX(Models!$BJ347:$BT347,,AH347)*(1-AF347)+INDEX(Models!$BJ347:$BT347,,AH347+1)*AF347-ERP_i)*AE347*Ramure*Pc/MaxiM</f>
        <v>1.3328644137748747E-2</v>
      </c>
      <c r="AE347" s="305">
        <f t="shared" si="142"/>
        <v>0.7</v>
      </c>
      <c r="AF347" s="177">
        <f t="shared" si="143"/>
        <v>0.99977678671532333</v>
      </c>
      <c r="AG347" s="921">
        <f t="shared" si="149"/>
        <v>1</v>
      </c>
      <c r="AH347" s="176">
        <f t="shared" si="144"/>
        <v>7</v>
      </c>
      <c r="AI347" s="225">
        <f t="shared" si="145"/>
        <v>1.9997767867153233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4.1733325150516976</v>
      </c>
      <c r="C348" s="955"/>
      <c r="D348" s="393">
        <f t="shared" si="127"/>
        <v>4.4322342072029555</v>
      </c>
      <c r="E348" s="385">
        <f t="shared" si="125"/>
        <v>4.7700899988892536</v>
      </c>
      <c r="F348" s="385">
        <f t="shared" si="128"/>
        <v>4.7700899988892536</v>
      </c>
      <c r="G348" s="110">
        <f t="shared" si="126"/>
        <v>0.16552632988203023</v>
      </c>
      <c r="H348" s="414" t="b">
        <f>Wh_hp&gt;='2024'!Maxi_hp</f>
        <v>0</v>
      </c>
      <c r="I348" s="390">
        <f>IF(H348,Wh_hp,'2024'!Maxi_hp)</f>
        <v>27.333508248606524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5.8413359955236444E-2</v>
      </c>
      <c r="M348" s="959"/>
      <c r="N348" s="959"/>
      <c r="O348" s="48">
        <f>IF(t&lt;Tnet,'2024'!Resal+('2024'!Salim-'2024'!Resal)*(1-EXP(('2024'!Tnet-t)/('2024'!Tau_j))),Resal+(Salim-Resal)*(1-EXP((Tnet-t)/(Tau_j))))*Salcycl</f>
        <v>7.082797007288541E-2</v>
      </c>
      <c r="P348" s="169">
        <f>(INDEX(Models!$BJ348:$BT348,,T348)*(1-R348)+INDEX(Models!$BJ348:$BT348,,T348+1)*R348-ERP_i)*Q348*Ramure*Pc/MaxiM</f>
        <v>2.2678131579449999E-4</v>
      </c>
      <c r="Q348" s="305">
        <f t="shared" si="130"/>
        <v>0.7</v>
      </c>
      <c r="R348" s="177">
        <f t="shared" si="131"/>
        <v>0.47480636350655336</v>
      </c>
      <c r="S348" s="921">
        <f t="shared" si="132"/>
        <v>-2</v>
      </c>
      <c r="T348" s="176">
        <f t="shared" si="133"/>
        <v>4</v>
      </c>
      <c r="U348" s="251">
        <f t="shared" si="134"/>
        <v>-1.5251936364934466</v>
      </c>
      <c r="V348" s="383">
        <f t="shared" si="135"/>
        <v>25.206781810400344</v>
      </c>
      <c r="W348" s="402">
        <f t="shared" si="136"/>
        <v>4.1733325150516976</v>
      </c>
      <c r="X348" s="157">
        <f t="shared" si="137"/>
        <v>45991</v>
      </c>
      <c r="Y348" s="385">
        <f t="shared" si="138"/>
        <v>3.8681135872123078</v>
      </c>
      <c r="Z348" s="385">
        <f t="shared" si="139"/>
        <v>4.1080803642545476</v>
      </c>
      <c r="AA348" s="386">
        <f t="shared" si="140"/>
        <v>4.7700899988892536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0.13878346840182457</v>
      </c>
      <c r="AD348" s="231">
        <f>(INDEX(Models!$BJ348:$BT348,,AH348)*(1-AF348)+INDEX(Models!$BJ348:$BT348,,AH348+1)*AF348-ERP_i)*AE348*Ramure*Pc/MaxiM</f>
        <v>1.3383559207923296E-2</v>
      </c>
      <c r="AE348" s="305">
        <f t="shared" si="142"/>
        <v>0.7</v>
      </c>
      <c r="AF348" s="177">
        <f t="shared" si="143"/>
        <v>0.99979392988053228</v>
      </c>
      <c r="AG348" s="921">
        <f t="shared" si="149"/>
        <v>1</v>
      </c>
      <c r="AH348" s="176">
        <f t="shared" si="144"/>
        <v>7</v>
      </c>
      <c r="AI348" s="225">
        <f t="shared" si="145"/>
        <v>1.9997939298805323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3.3756398513417469</v>
      </c>
      <c r="C349" s="955"/>
      <c r="D349" s="393">
        <f t="shared" si="127"/>
        <v>3.5851334806287878</v>
      </c>
      <c r="E349" s="385">
        <f t="shared" si="125"/>
        <v>3.8586513411302761</v>
      </c>
      <c r="F349" s="385">
        <f t="shared" si="128"/>
        <v>3.8586513411302761</v>
      </c>
      <c r="G349" s="110">
        <f t="shared" si="126"/>
        <v>0.13495167484418183</v>
      </c>
      <c r="H349" s="414" t="b">
        <f>Wh_hp&gt;='2024'!Maxi_hp</f>
        <v>0</v>
      </c>
      <c r="I349" s="390">
        <f>IF(H349,Wh_hp,'2024'!Maxi_hp)</f>
        <v>28.263329653266126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5.8433983119171917E-2</v>
      </c>
      <c r="M349" s="959"/>
      <c r="N349" s="959"/>
      <c r="O349" s="48">
        <f>IF(t&lt;Tnet,'2024'!Resal+('2024'!Salim-'2024'!Resal)*(1-EXP(('2024'!Tnet-t)/('2024'!Tau_j))),Resal+(Salim-Resal)*(1-EXP((Tnet-t)/(Tau_j))))*Salcycl</f>
        <v>7.0884315871194883E-2</v>
      </c>
      <c r="P349" s="169">
        <f>(INDEX(Models!$BJ349:$BT349,,T349)*(1-R349)+INDEX(Models!$BJ349:$BT349,,T349+1)*R349-ERP_i)*Q349*Ramure*Pc/MaxiM</f>
        <v>2.2668768901732065E-4</v>
      </c>
      <c r="Q349" s="305">
        <f t="shared" si="130"/>
        <v>0.7</v>
      </c>
      <c r="R349" s="177">
        <f t="shared" si="131"/>
        <v>0.47482281754272893</v>
      </c>
      <c r="S349" s="921">
        <f t="shared" si="132"/>
        <v>-2</v>
      </c>
      <c r="T349" s="176">
        <f t="shared" si="133"/>
        <v>4</v>
      </c>
      <c r="U349" s="251">
        <f t="shared" si="134"/>
        <v>-1.5251771824572711</v>
      </c>
      <c r="V349" s="383">
        <f t="shared" si="135"/>
        <v>25.008023347925072</v>
      </c>
      <c r="W349" s="402">
        <f t="shared" si="136"/>
        <v>3.3756398513417469</v>
      </c>
      <c r="X349" s="157">
        <f t="shared" si="137"/>
        <v>45992</v>
      </c>
      <c r="Y349" s="385">
        <f t="shared" si="138"/>
        <v>3.1290610863845112</v>
      </c>
      <c r="Z349" s="385">
        <f t="shared" si="139"/>
        <v>3.3232519337840007</v>
      </c>
      <c r="AA349" s="386">
        <f t="shared" si="140"/>
        <v>3.8586513411302761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0.1387529890662384</v>
      </c>
      <c r="AD349" s="231">
        <f>(INDEX(Models!$BJ349:$BT349,,AH349)*(1-AF349)+INDEX(Models!$BJ349:$BT349,,AH349+1)*AF349-ERP_i)*AE349*Ramure*Pc/MaxiM</f>
        <v>1.3421733667819574E-2</v>
      </c>
      <c r="AE349" s="305">
        <f t="shared" si="142"/>
        <v>0.7</v>
      </c>
      <c r="AF349" s="177">
        <f t="shared" si="143"/>
        <v>0.99981038391670785</v>
      </c>
      <c r="AG349" s="921">
        <f t="shared" si="149"/>
        <v>1</v>
      </c>
      <c r="AH349" s="176">
        <f t="shared" si="144"/>
        <v>7</v>
      </c>
      <c r="AI349" s="225">
        <f t="shared" si="145"/>
        <v>1.9998103839167078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6.375893525146564</v>
      </c>
      <c r="C350" s="955"/>
      <c r="D350" s="393">
        <f t="shared" si="127"/>
        <v>6.7717324779403016</v>
      </c>
      <c r="E350" s="385">
        <f t="shared" si="125"/>
        <v>7.2888139784414161</v>
      </c>
      <c r="F350" s="385">
        <f t="shared" si="128"/>
        <v>7.2888139784414161</v>
      </c>
      <c r="G350" s="110">
        <f t="shared" si="126"/>
        <v>0.25687807777129801</v>
      </c>
      <c r="H350" s="414" t="b">
        <f>Wh_hp&gt;='2024'!Maxi_hp</f>
        <v>0</v>
      </c>
      <c r="I350" s="390">
        <f>IF(H350,Wh_hp,'2024'!Maxi_hp)</f>
        <v>11.458603807529059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5.8454605831407047E-2</v>
      </c>
      <c r="M350" s="959"/>
      <c r="N350" s="959"/>
      <c r="O350" s="48">
        <f>IF(t&lt;Tnet,'2024'!Resal+('2024'!Salim-'2024'!Resal)*(1-EXP(('2024'!Tnet-t)/('2024'!Tau_j))),Resal+(Salim-Resal)*(1-EXP((Tnet-t)/(Tau_j))))*Salcycl</f>
        <v>7.0941788613417586E-2</v>
      </c>
      <c r="P350" s="169">
        <f>(INDEX(Models!$BJ350:$BT350,,T350)*(1-R350)+INDEX(Models!$BJ350:$BT350,,T350+1)*R350-ERP_i)*Q350*Ramure*Pc/MaxiM</f>
        <v>2.2646392853017947E-4</v>
      </c>
      <c r="Q350" s="305">
        <f t="shared" si="130"/>
        <v>0.7</v>
      </c>
      <c r="R350" s="177">
        <f t="shared" si="131"/>
        <v>0.47483861010915085</v>
      </c>
      <c r="S350" s="921">
        <f t="shared" si="132"/>
        <v>-2</v>
      </c>
      <c r="T350" s="176">
        <f t="shared" si="133"/>
        <v>4</v>
      </c>
      <c r="U350" s="251">
        <f t="shared" si="134"/>
        <v>-1.5251613898908492</v>
      </c>
      <c r="V350" s="383">
        <f t="shared" si="135"/>
        <v>24.815078307017803</v>
      </c>
      <c r="W350" s="402">
        <f t="shared" si="136"/>
        <v>6.375893525146564</v>
      </c>
      <c r="X350" s="157">
        <f t="shared" si="137"/>
        <v>45993</v>
      </c>
      <c r="Y350" s="385">
        <f t="shared" si="138"/>
        <v>5.9107147249458167</v>
      </c>
      <c r="Z350" s="385">
        <f t="shared" si="139"/>
        <v>6.2776736645449995</v>
      </c>
      <c r="AA350" s="386">
        <f t="shared" si="140"/>
        <v>7.2888139784414161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0.13872494439933986</v>
      </c>
      <c r="AD350" s="231">
        <f>(INDEX(Models!$BJ350:$BT350,,AH350)*(1-AF350)+INDEX(Models!$BJ350:$BT350,,AH350+1)*AF350-ERP_i)*AE350*Ramure*Pc/MaxiM</f>
        <v>1.3442126317886131E-2</v>
      </c>
      <c r="AE350" s="305">
        <f t="shared" si="142"/>
        <v>0.7</v>
      </c>
      <c r="AF350" s="177">
        <f t="shared" si="143"/>
        <v>0.99982617648312977</v>
      </c>
      <c r="AG350" s="921">
        <f t="shared" si="149"/>
        <v>1</v>
      </c>
      <c r="AH350" s="176">
        <f t="shared" si="144"/>
        <v>7</v>
      </c>
      <c r="AI350" s="225">
        <f t="shared" si="145"/>
        <v>1.9998261764831298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7.1767396737384672</v>
      </c>
      <c r="C351" s="955"/>
      <c r="D351" s="393">
        <f t="shared" si="127"/>
        <v>7.6224650565427368</v>
      </c>
      <c r="E351" s="385">
        <f t="shared" si="125"/>
        <v>8.2050249141768568</v>
      </c>
      <c r="F351" s="385">
        <f t="shared" si="128"/>
        <v>8.2050249141768568</v>
      </c>
      <c r="G351" s="110">
        <f t="shared" si="126"/>
        <v>0.29132151368914772</v>
      </c>
      <c r="H351" s="414" t="b">
        <f>Wh_hp&gt;='2024'!Maxi_hp</f>
        <v>0</v>
      </c>
      <c r="I351" s="390">
        <f>IF(H351,Wh_hp,'2024'!Maxi_hp)</f>
        <v>16.674095051480148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5.8475228091951936E-2</v>
      </c>
      <c r="M351" s="959"/>
      <c r="N351" s="959"/>
      <c r="O351" s="48">
        <f>IF(t&lt;Tnet,'2024'!Resal+('2024'!Salim-'2024'!Resal)*(1-EXP(('2024'!Tnet-t)/('2024'!Tau_j))),Resal+(Salim-Resal)*(1-EXP((Tnet-t)/(Tau_j))))*Salcycl</f>
        <v>7.1000376443410743E-2</v>
      </c>
      <c r="P351" s="169">
        <f>(INDEX(Models!$BJ351:$BT351,,T351)*(1-R351)+INDEX(Models!$BJ351:$BT351,,T351+1)*R351-ERP_i)*Q351*Ramure*Pc/MaxiM</f>
        <v>2.2609341154523292E-4</v>
      </c>
      <c r="Q351" s="305">
        <f t="shared" si="130"/>
        <v>0.7</v>
      </c>
      <c r="R351" s="177">
        <f t="shared" si="131"/>
        <v>0.47485376775831334</v>
      </c>
      <c r="S351" s="921">
        <f t="shared" si="132"/>
        <v>-2</v>
      </c>
      <c r="T351" s="176">
        <f t="shared" si="133"/>
        <v>4</v>
      </c>
      <c r="U351" s="251">
        <f t="shared" si="134"/>
        <v>-1.5251462322416867</v>
      </c>
      <c r="V351" s="383">
        <f t="shared" si="135"/>
        <v>24.629547503443259</v>
      </c>
      <c r="W351" s="402">
        <f t="shared" si="136"/>
        <v>7.1767396737384672</v>
      </c>
      <c r="X351" s="157">
        <f t="shared" si="137"/>
        <v>45994</v>
      </c>
      <c r="Y351" s="385">
        <f t="shared" si="138"/>
        <v>6.6537496063570059</v>
      </c>
      <c r="Z351" s="385">
        <f t="shared" si="139"/>
        <v>7.0669936733293186</v>
      </c>
      <c r="AA351" s="386">
        <f t="shared" si="140"/>
        <v>8.2050249141768568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0.13869930350622317</v>
      </c>
      <c r="AD351" s="231">
        <f>(INDEX(Models!$BJ351:$BT351,,AH351)*(1-AF351)+INDEX(Models!$BJ351:$BT351,,AH351+1)*AF351-ERP_i)*AE351*Ramure*Pc/MaxiM</f>
        <v>1.3443647748253509E-2</v>
      </c>
      <c r="AE351" s="305">
        <f t="shared" si="142"/>
        <v>0.7</v>
      </c>
      <c r="AF351" s="177">
        <f t="shared" si="143"/>
        <v>0.99984133413229226</v>
      </c>
      <c r="AG351" s="921">
        <f t="shared" si="149"/>
        <v>1</v>
      </c>
      <c r="AH351" s="176">
        <f t="shared" si="144"/>
        <v>7</v>
      </c>
      <c r="AI351" s="225">
        <f t="shared" si="145"/>
        <v>1.9998413341322923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19.892346848183116</v>
      </c>
      <c r="C352" s="955"/>
      <c r="D352" s="393">
        <f t="shared" si="127"/>
        <v>21.12826252129376</v>
      </c>
      <c r="E352" s="385">
        <f t="shared" si="125"/>
        <v>22.744487232920381</v>
      </c>
      <c r="F352" s="385">
        <f t="shared" si="128"/>
        <v>22.748252890780346</v>
      </c>
      <c r="G352" s="110">
        <f t="shared" si="126"/>
        <v>0.81344322706728234</v>
      </c>
      <c r="H352" s="414" t="b">
        <f>Wh_hp&gt;='2024'!Maxi_hp</f>
        <v>1</v>
      </c>
      <c r="I352" s="390">
        <f>IF(H352,Wh_hp,'2024'!Maxi_hp)</f>
        <v>22.748252890780346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5.8495849900816355E-2</v>
      </c>
      <c r="M352" s="959"/>
      <c r="N352" s="959"/>
      <c r="O352" s="48">
        <f>IF(t&lt;Tnet,'2024'!Resal+('2024'!Salim-'2024'!Resal)*(1-EXP(('2024'!Tnet-t)/('2024'!Tau_j))),Resal+(Salim-Resal)*(1-EXP((Tnet-t)/(Tau_j))))*Salcycl</f>
        <v>7.1060063701383319E-2</v>
      </c>
      <c r="P352" s="169">
        <f>(INDEX(Models!$BJ352:$BT352,,T352)*(1-R352)+INDEX(Models!$BJ352:$BT352,,T352+1)*R352-ERP_i)*Q352*Ramure*Pc/MaxiM</f>
        <v>2.256612788370766E-4</v>
      </c>
      <c r="Q352" s="305">
        <f t="shared" si="130"/>
        <v>0.7</v>
      </c>
      <c r="R352" s="177">
        <f t="shared" si="131"/>
        <v>0.47486831597994827</v>
      </c>
      <c r="S352" s="921">
        <f t="shared" si="132"/>
        <v>-2</v>
      </c>
      <c r="T352" s="176">
        <f t="shared" si="133"/>
        <v>4</v>
      </c>
      <c r="U352" s="251">
        <f t="shared" si="134"/>
        <v>-1.5251316840200517</v>
      </c>
      <c r="V352" s="383">
        <f t="shared" si="135"/>
        <v>24.453028752431884</v>
      </c>
      <c r="W352" s="402">
        <f t="shared" si="136"/>
        <v>19.892346848183116</v>
      </c>
      <c r="X352" s="157">
        <f t="shared" si="137"/>
        <v>45995</v>
      </c>
      <c r="Y352" s="385">
        <f t="shared" si="138"/>
        <v>18.265786252384189</v>
      </c>
      <c r="Z352" s="385">
        <f t="shared" si="139"/>
        <v>19.400643375241586</v>
      </c>
      <c r="AA352" s="386">
        <f t="shared" si="140"/>
        <v>22.524211575079406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0.1386760282119579</v>
      </c>
      <c r="AD352" s="231">
        <f>(INDEX(Models!$BJ352:$BT352,,AH352)*(1-AF352)+INDEX(Models!$BJ352:$BT352,,AH352+1)*AF352-ERP_i)*AE352*Ramure*Pc/MaxiM</f>
        <v>1.3425927605089068E-2</v>
      </c>
      <c r="AE352" s="305">
        <f t="shared" si="142"/>
        <v>0.7</v>
      </c>
      <c r="AF352" s="177">
        <f t="shared" si="143"/>
        <v>0.99985588235392742</v>
      </c>
      <c r="AG352" s="921">
        <f t="shared" si="149"/>
        <v>1</v>
      </c>
      <c r="AH352" s="176">
        <f t="shared" si="144"/>
        <v>7</v>
      </c>
      <c r="AI352" s="225">
        <f t="shared" si="145"/>
        <v>1.9998558823539274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25.259899946154519</v>
      </c>
      <c r="C353" s="955"/>
      <c r="D353" s="393">
        <f t="shared" si="127"/>
        <v>26.829890460119675</v>
      </c>
      <c r="E353" s="385">
        <f t="shared" si="125"/>
        <v>28.884155613377459</v>
      </c>
      <c r="F353" s="385">
        <f t="shared" si="128"/>
        <v>28.890668936148142</v>
      </c>
      <c r="G353" s="110">
        <f t="shared" si="126"/>
        <v>1.0400535542439433</v>
      </c>
      <c r="H353" s="414" t="b">
        <f>Wh_hp&gt;='2024'!Maxi_hp</f>
        <v>1</v>
      </c>
      <c r="I353" s="390">
        <f>IF(H353,Wh_hp,'2024'!Maxi_hp)</f>
        <v>28.890668936148142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5.8516471258010183E-2</v>
      </c>
      <c r="M353" s="959"/>
      <c r="N353" s="959"/>
      <c r="O353" s="48">
        <f>IF(t&lt;Tnet,'2024'!Resal+('2024'!Salim-'2024'!Resal)*(1-EXP(('2024'!Tnet-t)/('2024'!Tau_j))),Resal+(Salim-Resal)*(1-EXP((Tnet-t)/(Tau_j))))*Salcycl</f>
        <v>7.1120831114286312E-2</v>
      </c>
      <c r="P353" s="169">
        <f>(INDEX(Models!$BJ353:$BT353,,T353)*(1-R353)+INDEX(Models!$BJ353:$BT353,,T353+1)*R353-ERP_i)*Q353*Ramure*Pc/MaxiM</f>
        <v>2.2544728144152808E-4</v>
      </c>
      <c r="Q353" s="305">
        <f t="shared" si="130"/>
        <v>0.7</v>
      </c>
      <c r="R353" s="177">
        <f t="shared" si="131"/>
        <v>0.47488227924331738</v>
      </c>
      <c r="S353" s="921">
        <f t="shared" si="132"/>
        <v>-2</v>
      </c>
      <c r="T353" s="176">
        <f t="shared" si="133"/>
        <v>4</v>
      </c>
      <c r="U353" s="251">
        <f t="shared" si="134"/>
        <v>-1.5251177207566826</v>
      </c>
      <c r="V353" s="383">
        <f t="shared" si="135"/>
        <v>24.287114680855979</v>
      </c>
      <c r="W353" s="402">
        <f t="shared" si="136"/>
        <v>25.259899946154519</v>
      </c>
      <c r="X353" s="157">
        <f t="shared" si="137"/>
        <v>45996</v>
      </c>
      <c r="Y353" s="385">
        <f t="shared" si="138"/>
        <v>23.114826613111013</v>
      </c>
      <c r="Z353" s="385">
        <f t="shared" si="139"/>
        <v>24.551493369190474</v>
      </c>
      <c r="AA353" s="386">
        <f t="shared" si="140"/>
        <v>28.503672121304731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0.13865507346894601</v>
      </c>
      <c r="AD353" s="231">
        <f>(INDEX(Models!$BJ353:$BT353,,AH353)*(1-AF353)+INDEX(Models!$BJ353:$BT353,,AH353+1)*AF353-ERP_i)*AE353*Ramure*Pc/MaxiM</f>
        <v>1.3395218217297779E-2</v>
      </c>
      <c r="AE353" s="305">
        <f t="shared" si="142"/>
        <v>0.7</v>
      </c>
      <c r="AF353" s="177">
        <f t="shared" si="143"/>
        <v>0.9998698456172963</v>
      </c>
      <c r="AG353" s="921">
        <f t="shared" si="149"/>
        <v>1</v>
      </c>
      <c r="AH353" s="176">
        <f t="shared" si="144"/>
        <v>7</v>
      </c>
      <c r="AI353" s="225">
        <f t="shared" si="145"/>
        <v>1.9998698456172963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11.022785147285962</v>
      </c>
      <c r="C354" s="955"/>
      <c r="D354" s="393">
        <f t="shared" si="127"/>
        <v>11.708145966809298</v>
      </c>
      <c r="E354" s="385">
        <f t="shared" si="125"/>
        <v>12.60543425735052</v>
      </c>
      <c r="F354" s="385">
        <f t="shared" si="128"/>
        <v>12.606070609687412</v>
      </c>
      <c r="G354" s="110">
        <f t="shared" si="126"/>
        <v>0.45666397653446672</v>
      </c>
      <c r="H354" s="414" t="b">
        <f>Wh_hp&gt;='2024'!Maxi_hp</f>
        <v>0</v>
      </c>
      <c r="I354" s="390">
        <f>IF(H354,Wh_hp,'2024'!Maxi_hp)</f>
        <v>23.022498392650729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5.8537092163543414E-2</v>
      </c>
      <c r="M354" s="959"/>
      <c r="N354" s="959"/>
      <c r="O354" s="48">
        <f>IF(t&lt;Tnet,'2024'!Resal+('2024'!Salim-'2024'!Resal)*(1-EXP(('2024'!Tnet-t)/('2024'!Tau_j))),Resal+(Salim-Resal)*(1-EXP((Tnet-t)/(Tau_j))))*Salcycl</f>
        <v>7.1182656005523426E-2</v>
      </c>
      <c r="P354" s="169">
        <f>(INDEX(Models!$BJ354:$BT354,,T354)*(1-R354)+INDEX(Models!$BJ354:$BT354,,T354+1)*R354-ERP_i)*Q354*Ramure*Pc/MaxiM</f>
        <v>2.2543706615763811E-4</v>
      </c>
      <c r="Q354" s="305">
        <f t="shared" si="130"/>
        <v>0.7</v>
      </c>
      <c r="R354" s="177">
        <f t="shared" si="131"/>
        <v>0.47489568103784041</v>
      </c>
      <c r="S354" s="921">
        <f t="shared" si="132"/>
        <v>-2</v>
      </c>
      <c r="T354" s="176">
        <f t="shared" si="133"/>
        <v>4</v>
      </c>
      <c r="U354" s="251">
        <f t="shared" si="134"/>
        <v>-1.5251043189621596</v>
      </c>
      <c r="V354" s="383">
        <f t="shared" si="135"/>
        <v>24.133404648144033</v>
      </c>
      <c r="W354" s="402">
        <f t="shared" si="136"/>
        <v>11.022785147285962</v>
      </c>
      <c r="X354" s="157">
        <f t="shared" si="137"/>
        <v>45997</v>
      </c>
      <c r="Y354" s="385">
        <f t="shared" si="138"/>
        <v>10.192230426823</v>
      </c>
      <c r="Z354" s="385">
        <f t="shared" si="139"/>
        <v>10.825950063444786</v>
      </c>
      <c r="AA354" s="386">
        <f t="shared" si="140"/>
        <v>12.568385650498815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0.13863638779932536</v>
      </c>
      <c r="AD354" s="231">
        <f>(INDEX(Models!$BJ354:$BT354,,AH354)*(1-AF354)+INDEX(Models!$BJ354:$BT354,,AH354+1)*AF354-ERP_i)*AE354*Ramure*Pc/MaxiM</f>
        <v>1.3350444628268314E-2</v>
      </c>
      <c r="AE354" s="305">
        <f t="shared" si="142"/>
        <v>0.7</v>
      </c>
      <c r="AF354" s="177">
        <f t="shared" si="143"/>
        <v>0.99988324741181911</v>
      </c>
      <c r="AG354" s="921">
        <f t="shared" si="149"/>
        <v>1</v>
      </c>
      <c r="AH354" s="176">
        <f t="shared" si="144"/>
        <v>7</v>
      </c>
      <c r="AI354" s="225">
        <f t="shared" si="145"/>
        <v>1.9998832474118191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19.803141739282204</v>
      </c>
      <c r="C355" s="955"/>
      <c r="D355" s="393">
        <f t="shared" si="127"/>
        <v>21.034897204734119</v>
      </c>
      <c r="E355" s="385">
        <f t="shared" si="125"/>
        <v>22.648501286769076</v>
      </c>
      <c r="F355" s="385">
        <f t="shared" si="128"/>
        <v>22.652336914265856</v>
      </c>
      <c r="G355" s="110">
        <f t="shared" si="126"/>
        <v>0.82530806154939018</v>
      </c>
      <c r="H355" s="414" t="b">
        <f>Wh_hp&gt;='2024'!Maxi_hp</f>
        <v>0</v>
      </c>
      <c r="I355" s="390">
        <f>IF(H355,Wh_hp,'2024'!Maxi_hp)</f>
        <v>23.615013833101326</v>
      </c>
      <c r="J355" s="85">
        <f>IF(H355,An,'2024'!An_max)</f>
        <v>2018</v>
      </c>
      <c r="K355" s="197">
        <f t="shared" si="129"/>
        <v>45998</v>
      </c>
      <c r="L355" s="147">
        <f>IF(t&lt;Tvie,1-EXP((T0-t)*PertePVj)+'2024'!Pspv,1-EXP((T0-t)*PertePVj)+Pspv)</f>
        <v>5.8557712617425928E-2</v>
      </c>
      <c r="M355" s="959"/>
      <c r="N355" s="959"/>
      <c r="O355" s="48">
        <f>IF(t&lt;Tnet,'2024'!Resal+('2024'!Salim-'2024'!Resal)*(1-EXP(('2024'!Tnet-t)/('2024'!Tau_j))),Resal+(Salim-Resal)*(1-EXP((Tnet-t)/(Tau_j))))*Salcycl</f>
        <v>7.1245512522172927E-2</v>
      </c>
      <c r="P355" s="169">
        <f>(INDEX(Models!$BJ355:$BT355,,T355)*(1-R355)+INDEX(Models!$BJ355:$BT355,,T355+1)*R355-ERP_i)*Q355*Ramure*Pc/MaxiM</f>
        <v>2.2561551982531135E-4</v>
      </c>
      <c r="Q355" s="305">
        <f t="shared" si="130"/>
        <v>0.7</v>
      </c>
      <c r="R355" s="177">
        <f t="shared" si="131"/>
        <v>0.47490854391212523</v>
      </c>
      <c r="S355" s="921">
        <f t="shared" si="132"/>
        <v>-2</v>
      </c>
      <c r="T355" s="176">
        <f t="shared" si="133"/>
        <v>4</v>
      </c>
      <c r="U355" s="251">
        <f t="shared" si="134"/>
        <v>-1.5250914560878748</v>
      </c>
      <c r="V355" s="383">
        <f t="shared" si="135"/>
        <v>23.993497412526121</v>
      </c>
      <c r="W355" s="402">
        <f t="shared" si="136"/>
        <v>19.803141739282204</v>
      </c>
      <c r="X355" s="157">
        <f t="shared" si="137"/>
        <v>45998</v>
      </c>
      <c r="Y355" s="385">
        <f t="shared" si="138"/>
        <v>18.186447097133062</v>
      </c>
      <c r="Z355" s="385">
        <f t="shared" si="139"/>
        <v>19.317644151821099</v>
      </c>
      <c r="AA355" s="386">
        <f t="shared" si="140"/>
        <v>22.426388142241176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0.13861991376866484</v>
      </c>
      <c r="AD355" s="231">
        <f>(INDEX(Models!$BJ355:$BT355,,AH355)*(1-AF355)+INDEX(Models!$BJ355:$BT355,,AH355+1)*AF355-ERP_i)*AE355*Ramure*Pc/MaxiM</f>
        <v>1.329053712776136E-2</v>
      </c>
      <c r="AE355" s="305">
        <f t="shared" si="142"/>
        <v>0.7</v>
      </c>
      <c r="AF355" s="177">
        <f t="shared" si="143"/>
        <v>0.99989611028610437</v>
      </c>
      <c r="AG355" s="921">
        <f t="shared" si="149"/>
        <v>1</v>
      </c>
      <c r="AH355" s="176">
        <f t="shared" si="144"/>
        <v>7</v>
      </c>
      <c r="AI355" s="225">
        <f t="shared" si="145"/>
        <v>1.9998961102861044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4.5420636625156332</v>
      </c>
      <c r="C356" s="955"/>
      <c r="D356" s="393">
        <f t="shared" si="127"/>
        <v>4.8246857066235851</v>
      </c>
      <c r="E356" s="385">
        <f t="shared" si="125"/>
        <v>5.1951484816627973</v>
      </c>
      <c r="F356" s="385">
        <f t="shared" si="128"/>
        <v>5.1951484816627973</v>
      </c>
      <c r="G356" s="110">
        <f t="shared" si="126"/>
        <v>0.19024839724441145</v>
      </c>
      <c r="H356" s="414" t="b">
        <f>Wh_hp&gt;='2024'!Maxi_hp</f>
        <v>0</v>
      </c>
      <c r="I356" s="390">
        <f>IF(H356,Wh_hp,'2024'!Maxi_hp)</f>
        <v>18.625313050324355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5.8578332619667495E-2</v>
      </c>
      <c r="M356" s="959"/>
      <c r="N356" s="959"/>
      <c r="O356" s="48">
        <f>IF(t&lt;Tnet,'2024'!Resal+('2024'!Salim-'2024'!Resal)*(1-EXP(('2024'!Tnet-t)/('2024'!Tau_j))),Resal+(Salim-Resal)*(1-EXP((Tnet-t)/(Tau_j))))*Salcycl</f>
        <v>7.1309371877786812E-2</v>
      </c>
      <c r="P356" s="169">
        <f>(INDEX(Models!$BJ356:$BT356,,T356)*(1-R356)+INDEX(Models!$BJ356:$BT356,,T356+1)*R356-ERP_i)*Q356*Ramure*Pc/MaxiM</f>
        <v>2.2596670091008138E-4</v>
      </c>
      <c r="Q356" s="305">
        <f t="shared" si="130"/>
        <v>0.7</v>
      </c>
      <c r="R356" s="177">
        <f t="shared" si="131"/>
        <v>0.47492088951145939</v>
      </c>
      <c r="S356" s="921">
        <f t="shared" si="132"/>
        <v>-2</v>
      </c>
      <c r="T356" s="176">
        <f t="shared" si="133"/>
        <v>4</v>
      </c>
      <c r="U356" s="251">
        <f t="shared" si="134"/>
        <v>-1.5250791104885406</v>
      </c>
      <c r="V356" s="383">
        <f t="shared" si="135"/>
        <v>23.86899113552392</v>
      </c>
      <c r="W356" s="402">
        <f t="shared" si="136"/>
        <v>4.5420636625156332</v>
      </c>
      <c r="X356" s="157">
        <f t="shared" si="137"/>
        <v>45999</v>
      </c>
      <c r="Y356" s="385">
        <f t="shared" si="138"/>
        <v>4.2129296206405069</v>
      </c>
      <c r="Z356" s="385">
        <f t="shared" si="139"/>
        <v>4.4750718690846654</v>
      </c>
      <c r="AA356" s="386">
        <f t="shared" si="140"/>
        <v>5.1951484816627973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0.13860558848698373</v>
      </c>
      <c r="AD356" s="231">
        <f>(INDEX(Models!$BJ356:$BT356,,AH356)*(1-AF356)+INDEX(Models!$BJ356:$BT356,,AH356+1)*AF356-ERP_i)*AE356*Ramure*Pc/MaxiM</f>
        <v>1.3214448267055269E-2</v>
      </c>
      <c r="AE356" s="305">
        <f t="shared" si="142"/>
        <v>0.7</v>
      </c>
      <c r="AF356" s="177">
        <f t="shared" si="143"/>
        <v>0.99990845588543831</v>
      </c>
      <c r="AG356" s="921">
        <f t="shared" si="149"/>
        <v>1</v>
      </c>
      <c r="AH356" s="176">
        <f t="shared" si="144"/>
        <v>7</v>
      </c>
      <c r="AI356" s="225">
        <f t="shared" si="145"/>
        <v>1.9999084558854383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5.5308070452587952</v>
      </c>
      <c r="C357" s="955"/>
      <c r="D357" s="393">
        <f t="shared" si="127"/>
        <v>5.8750806131025177</v>
      </c>
      <c r="E357" s="385">
        <f t="shared" si="125"/>
        <v>6.3266394597339195</v>
      </c>
      <c r="F357" s="385">
        <f t="shared" si="128"/>
        <v>6.3266394597339195</v>
      </c>
      <c r="G357" s="110">
        <f t="shared" si="126"/>
        <v>0.23271082785801425</v>
      </c>
      <c r="H357" s="414" t="b">
        <f>Wh_hp&gt;='2024'!Maxi_hp</f>
        <v>0</v>
      </c>
      <c r="I357" s="390">
        <f>IF(H357,Wh_hp,'2024'!Maxi_hp)</f>
        <v>9.4747658981708156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5.8598952170278107E-2</v>
      </c>
      <c r="M357" s="959"/>
      <c r="N357" s="959"/>
      <c r="O357" s="48">
        <f>IF(t&lt;Tnet,'2024'!Resal+('2024'!Salim-'2024'!Resal)*(1-EXP(('2024'!Tnet-t)/('2024'!Tau_j))),Resal+(Salim-Resal)*(1-EXP((Tnet-t)/(Tau_j))))*Salcycl</f>
        <v>7.1374202608724777E-2</v>
      </c>
      <c r="P357" s="169">
        <f>(INDEX(Models!$BJ357:$BT357,,T357)*(1-R357)+INDEX(Models!$BJ357:$BT357,,T357+1)*R357-ERP_i)*Q357*Ramure*Pc/MaxiM</f>
        <v>2.264737951785774E-4</v>
      </c>
      <c r="Q357" s="305">
        <f t="shared" si="130"/>
        <v>0.7</v>
      </c>
      <c r="R357" s="177">
        <f t="shared" si="131"/>
        <v>0.47493273861381935</v>
      </c>
      <c r="S357" s="921">
        <f t="shared" si="132"/>
        <v>-2</v>
      </c>
      <c r="T357" s="176">
        <f t="shared" si="133"/>
        <v>4</v>
      </c>
      <c r="U357" s="251">
        <f t="shared" si="134"/>
        <v>-1.5250672613861807</v>
      </c>
      <c r="V357" s="383">
        <f t="shared" si="135"/>
        <v>23.761483353798422</v>
      </c>
      <c r="W357" s="402">
        <f t="shared" si="136"/>
        <v>5.5308070452587952</v>
      </c>
      <c r="X357" s="157">
        <f t="shared" si="137"/>
        <v>46000</v>
      </c>
      <c r="Y357" s="385">
        <f t="shared" si="138"/>
        <v>5.1304562230407935</v>
      </c>
      <c r="Z357" s="385">
        <f t="shared" si="139"/>
        <v>5.4498093398859027</v>
      </c>
      <c r="AA357" s="386">
        <f t="shared" si="140"/>
        <v>6.3266394597339195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0.13859334413295196</v>
      </c>
      <c r="AD357" s="231">
        <f>(INDEX(Models!$BJ357:$BT357,,AH357)*(1-AF357)+INDEX(Models!$BJ357:$BT357,,AH357+1)*AF357-ERP_i)*AE357*Ramure*Pc/MaxiM</f>
        <v>1.3121171817352019E-2</v>
      </c>
      <c r="AE357" s="305">
        <f t="shared" si="142"/>
        <v>0.7</v>
      </c>
      <c r="AF357" s="177">
        <f t="shared" si="143"/>
        <v>0.99992030498779849</v>
      </c>
      <c r="AG357" s="921">
        <f t="shared" si="149"/>
        <v>1</v>
      </c>
      <c r="AH357" s="176">
        <f t="shared" si="144"/>
        <v>7</v>
      </c>
      <c r="AI357" s="225">
        <f t="shared" si="145"/>
        <v>1.9999203049877985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13.781085564031635</v>
      </c>
      <c r="C358" s="955"/>
      <c r="D358" s="393">
        <f t="shared" si="127"/>
        <v>14.639231009521557</v>
      </c>
      <c r="E358" s="385">
        <f t="shared" si="125"/>
        <v>15.765519244667928</v>
      </c>
      <c r="F358" s="385">
        <f t="shared" si="128"/>
        <v>15.766962655990287</v>
      </c>
      <c r="G358" s="110">
        <f t="shared" si="126"/>
        <v>0.58207522495580211</v>
      </c>
      <c r="H358" s="414" t="b">
        <f>Wh_hp&gt;='2024'!Maxi_hp</f>
        <v>0</v>
      </c>
      <c r="I358" s="390">
        <f>IF(H358,Wh_hp,'2024'!Maxi_hp)</f>
        <v>22.134135091685113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5.8619571269267756E-2</v>
      </c>
      <c r="M358" s="959"/>
      <c r="N358" s="959"/>
      <c r="O358" s="48">
        <f>IF(t&lt;Tnet,'2024'!Resal+('2024'!Salim-'2024'!Resal)*(1-EXP(('2024'!Tnet-t)/('2024'!Tau_j))),Resal+(Salim-Resal)*(1-EXP((Tnet-t)/(Tau_j))))*Salcycl</f>
        <v>7.1439970841892408E-2</v>
      </c>
      <c r="P358" s="169">
        <f>(INDEX(Models!$BJ358:$BT358,,T358)*(1-R358)+INDEX(Models!$BJ358:$BT358,,T358+1)*R358-ERP_i)*Q358*Ramure*Pc/MaxiM</f>
        <v>2.2711909898313592E-4</v>
      </c>
      <c r="Q358" s="305">
        <f t="shared" si="130"/>
        <v>0.7</v>
      </c>
      <c r="R358" s="177">
        <f t="shared" si="131"/>
        <v>0.47494411116446411</v>
      </c>
      <c r="S358" s="921">
        <f t="shared" si="132"/>
        <v>-2</v>
      </c>
      <c r="T358" s="176">
        <f t="shared" si="133"/>
        <v>4</v>
      </c>
      <c r="U358" s="251">
        <f t="shared" si="134"/>
        <v>-1.5250558888355359</v>
      </c>
      <c r="V358" s="383">
        <f t="shared" si="135"/>
        <v>23.672570941970299</v>
      </c>
      <c r="W358" s="402">
        <f t="shared" si="136"/>
        <v>13.781085564031635</v>
      </c>
      <c r="X358" s="157">
        <f t="shared" si="137"/>
        <v>46001</v>
      </c>
      <c r="Y358" s="385">
        <f t="shared" si="138"/>
        <v>12.71871338628234</v>
      </c>
      <c r="Z358" s="385">
        <f t="shared" si="139"/>
        <v>13.510705128458049</v>
      </c>
      <c r="AA358" s="386">
        <f t="shared" si="140"/>
        <v>15.68428163149253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0.13858310849699026</v>
      </c>
      <c r="AD358" s="231">
        <f>(INDEX(Models!$BJ358:$BT358,,AH358)*(1-AF358)+INDEX(Models!$BJ358:$BT358,,AH358+1)*AF358-ERP_i)*AE358*Ramure*Pc/MaxiM</f>
        <v>1.3009763395946547E-2</v>
      </c>
      <c r="AE358" s="305">
        <f t="shared" si="142"/>
        <v>0.7</v>
      </c>
      <c r="AF358" s="177">
        <f t="shared" si="143"/>
        <v>0.99993167753844281</v>
      </c>
      <c r="AG358" s="921">
        <f t="shared" si="149"/>
        <v>1</v>
      </c>
      <c r="AH358" s="176">
        <f t="shared" si="144"/>
        <v>7</v>
      </c>
      <c r="AI358" s="225">
        <f t="shared" si="145"/>
        <v>1.9999316775384428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16.801934191659992</v>
      </c>
      <c r="C359" s="955"/>
      <c r="D359" s="393">
        <f t="shared" si="127"/>
        <v>17.848578207489275</v>
      </c>
      <c r="E359" s="385">
        <f t="shared" si="125"/>
        <v>19.223161938905889</v>
      </c>
      <c r="F359" s="385">
        <f t="shared" si="128"/>
        <v>19.225740449129617</v>
      </c>
      <c r="G359" s="110">
        <f t="shared" si="126"/>
        <v>0.71185459594684131</v>
      </c>
      <c r="H359" s="414" t="b">
        <f>Wh_hp&gt;='2024'!Maxi_hp</f>
        <v>0</v>
      </c>
      <c r="I359" s="390">
        <f>IF(H359,Wh_hp,'2024'!Maxi_hp)</f>
        <v>23.016717284204159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5.8640189916646102E-2</v>
      </c>
      <c r="M359" s="959"/>
      <c r="N359" s="959"/>
      <c r="O359" s="48">
        <f>IF(t&lt;Tnet,'2024'!Resal+('2024'!Salim-'2024'!Resal)*(1-EXP(('2024'!Tnet-t)/('2024'!Tau_j))),Resal+(Salim-Resal)*(1-EXP((Tnet-t)/(Tau_j))))*Salcycl</f>
        <v>7.1506640571683669E-2</v>
      </c>
      <c r="P359" s="169">
        <f>(INDEX(Models!$BJ359:$BT359,,T359)*(1-R359)+INDEX(Models!$BJ359:$BT359,,T359+1)*R359-ERP_i)*Q359*Ramure*Pc/MaxiM</f>
        <v>2.2791320532154243E-4</v>
      </c>
      <c r="Q359" s="305">
        <f t="shared" si="130"/>
        <v>0.7</v>
      </c>
      <c r="R359" s="177">
        <f t="shared" si="131"/>
        <v>0.47495502630915531</v>
      </c>
      <c r="S359" s="921">
        <f t="shared" si="132"/>
        <v>-2</v>
      </c>
      <c r="T359" s="176">
        <f t="shared" si="133"/>
        <v>4</v>
      </c>
      <c r="U359" s="251">
        <f t="shared" si="134"/>
        <v>-1.5250449736908447</v>
      </c>
      <c r="V359" s="383">
        <f t="shared" si="135"/>
        <v>23.600828214622069</v>
      </c>
      <c r="W359" s="402">
        <f t="shared" si="136"/>
        <v>16.801934191659992</v>
      </c>
      <c r="X359" s="157">
        <f t="shared" si="137"/>
        <v>46002</v>
      </c>
      <c r="Y359" s="385">
        <f t="shared" si="138"/>
        <v>15.472191352323655</v>
      </c>
      <c r="Z359" s="385">
        <f t="shared" si="139"/>
        <v>16.4360016080925</v>
      </c>
      <c r="AA359" s="386">
        <f t="shared" si="140"/>
        <v>19.080010329131916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0.1385748055388874</v>
      </c>
      <c r="AD359" s="231">
        <f>(INDEX(Models!$BJ359:$BT359,,AH359)*(1-AF359)+INDEX(Models!$BJ359:$BT359,,AH359+1)*AF359-ERP_i)*AE359*Ramure*Pc/MaxiM</f>
        <v>1.2881011079554743E-2</v>
      </c>
      <c r="AE359" s="305">
        <f t="shared" si="142"/>
        <v>0.7</v>
      </c>
      <c r="AF359" s="177">
        <f t="shared" si="143"/>
        <v>0.99994259268313423</v>
      </c>
      <c r="AG359" s="921">
        <f t="shared" si="149"/>
        <v>1</v>
      </c>
      <c r="AH359" s="176">
        <f t="shared" si="144"/>
        <v>7</v>
      </c>
      <c r="AI359" s="225">
        <f t="shared" si="145"/>
        <v>1.9999425926831342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4.961788750319954</v>
      </c>
      <c r="C360" s="955"/>
      <c r="D360" s="393">
        <f t="shared" si="127"/>
        <v>5.2709892386086219</v>
      </c>
      <c r="E360" s="385">
        <f t="shared" si="125"/>
        <v>5.6773401715884502</v>
      </c>
      <c r="F360" s="385">
        <f t="shared" si="128"/>
        <v>5.6773401715884502</v>
      </c>
      <c r="G360" s="110">
        <f t="shared" si="126"/>
        <v>0.21070193675086682</v>
      </c>
      <c r="H360" s="414" t="b">
        <f>Wh_hp&gt;='2024'!Maxi_hp</f>
        <v>0</v>
      </c>
      <c r="I360" s="390">
        <f>IF(H360,Wh_hp,'2024'!Maxi_hp)</f>
        <v>26.632515874966092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5.8660808112423246E-2</v>
      </c>
      <c r="M360" s="959"/>
      <c r="N360" s="959"/>
      <c r="O360" s="48">
        <f>IF(t&lt;Tnet,'2024'!Resal+('2024'!Salim-'2024'!Resal)*(1-EXP(('2024'!Tnet-t)/('2024'!Tau_j))),Resal+(Salim-Resal)*(1-EXP((Tnet-t)/(Tau_j))))*Salcycl</f>
        <v>7.1574173943876288E-2</v>
      </c>
      <c r="P360" s="169">
        <f>(INDEX(Models!$BJ360:$BT360,,T360)*(1-R360)+INDEX(Models!$BJ360:$BT360,,T360+1)*R360-ERP_i)*Q360*Ramure*Pc/MaxiM</f>
        <v>2.2887988260679321E-4</v>
      </c>
      <c r="Q360" s="305">
        <f t="shared" si="130"/>
        <v>0.7</v>
      </c>
      <c r="R360" s="177">
        <f t="shared" si="131"/>
        <v>0.47496550242607016</v>
      </c>
      <c r="S360" s="921">
        <f t="shared" si="132"/>
        <v>-2</v>
      </c>
      <c r="T360" s="176">
        <f t="shared" si="133"/>
        <v>4</v>
      </c>
      <c r="U360" s="251">
        <f t="shared" si="134"/>
        <v>-1.5250344975739298</v>
      </c>
      <c r="V360" s="383">
        <f t="shared" si="135"/>
        <v>23.543462263276286</v>
      </c>
      <c r="W360" s="402">
        <f t="shared" si="136"/>
        <v>4.961788750319954</v>
      </c>
      <c r="X360" s="157">
        <f t="shared" si="137"/>
        <v>46003</v>
      </c>
      <c r="Y360" s="385">
        <f t="shared" si="138"/>
        <v>4.6037515551956325</v>
      </c>
      <c r="Z360" s="385">
        <f t="shared" si="139"/>
        <v>4.8906404778113757</v>
      </c>
      <c r="AA360" s="386">
        <f t="shared" si="140"/>
        <v>5.6773401715884502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0.13856835595549055</v>
      </c>
      <c r="AD360" s="231">
        <f>(INDEX(Models!$BJ360:$BT360,,AH360)*(1-AF360)+INDEX(Models!$BJ360:$BT360,,AH360+1)*AF360-ERP_i)*AE360*Ramure*Pc/MaxiM</f>
        <v>1.2736487033479314E-2</v>
      </c>
      <c r="AE360" s="305">
        <f t="shared" si="142"/>
        <v>0.7</v>
      </c>
      <c r="AF360" s="177">
        <f t="shared" si="143"/>
        <v>0.99995306880004886</v>
      </c>
      <c r="AG360" s="921">
        <f t="shared" si="149"/>
        <v>1</v>
      </c>
      <c r="AH360" s="176">
        <f t="shared" si="144"/>
        <v>7</v>
      </c>
      <c r="AI360" s="225">
        <f t="shared" si="145"/>
        <v>1.9999530688000489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5.4401408979865327</v>
      </c>
      <c r="C361" s="955"/>
      <c r="D361" s="393">
        <f t="shared" si="127"/>
        <v>5.779277119796677</v>
      </c>
      <c r="E361" s="385">
        <f t="shared" ref="E361:E379" si="150">Wh_pvt/(1-Psa)</f>
        <v>6.2252713164571629</v>
      </c>
      <c r="F361" s="385">
        <f t="shared" si="128"/>
        <v>6.2252713164571629</v>
      </c>
      <c r="G361" s="110">
        <f t="shared" ref="G361:G379" si="151">+Wh_hp/MaxiM</f>
        <v>0.23144192447000231</v>
      </c>
      <c r="H361" s="414" t="b">
        <f>Wh_hp&gt;='2024'!Maxi_hp</f>
        <v>0</v>
      </c>
      <c r="I361" s="390">
        <f>IF(H361,Wh_hp,'2024'!Maxi_hp)</f>
        <v>27.848923412804474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5.8681425856608849E-2</v>
      </c>
      <c r="M361" s="959"/>
      <c r="N361" s="959"/>
      <c r="O361" s="48">
        <f>IF(t&lt;Tnet,'2024'!Resal+('2024'!Salim-'2024'!Resal)*(1-EXP(('2024'!Tnet-t)/('2024'!Tau_j))),Resal+(Salim-Resal)*(1-EXP((Tnet-t)/(Tau_j))))*Salcycl</f>
        <v>7.1642531544200069E-2</v>
      </c>
      <c r="P361" s="169">
        <f>(INDEX(Models!$BJ361:$BT361,,T361)*(1-R361)+INDEX(Models!$BJ361:$BT361,,T361+1)*R361-ERP_i)*Q361*Ramure*Pc/MaxiM</f>
        <v>2.2974763911682674E-4</v>
      </c>
      <c r="Q361" s="305">
        <f t="shared" si="130"/>
        <v>0.7</v>
      </c>
      <c r="R361" s="177">
        <f t="shared" si="131"/>
        <v>0.47497555715644602</v>
      </c>
      <c r="S361" s="921">
        <f t="shared" si="132"/>
        <v>-2</v>
      </c>
      <c r="T361" s="176">
        <f t="shared" si="133"/>
        <v>4</v>
      </c>
      <c r="U361" s="251">
        <f t="shared" si="134"/>
        <v>-1.525024442843554</v>
      </c>
      <c r="V361" s="383">
        <f t="shared" si="135"/>
        <v>23.500025118239556</v>
      </c>
      <c r="W361" s="402">
        <f t="shared" si="136"/>
        <v>5.4401408979865327</v>
      </c>
      <c r="X361" s="157">
        <f t="shared" si="137"/>
        <v>46004</v>
      </c>
      <c r="Y361" s="385">
        <f t="shared" si="138"/>
        <v>5.0479854225298055</v>
      </c>
      <c r="Z361" s="385">
        <f t="shared" si="139"/>
        <v>5.3626748278323522</v>
      </c>
      <c r="AA361" s="386">
        <f t="shared" si="140"/>
        <v>6.2252713164571629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0.13856367775400333</v>
      </c>
      <c r="AD361" s="231">
        <f>(INDEX(Models!$BJ361:$BT361,,AH361)*(1-AF361)+INDEX(Models!$BJ361:$BT361,,AH361+1)*AF361-ERP_i)*AE361*Ramure*Pc/MaxiM</f>
        <v>1.2596777650274761E-2</v>
      </c>
      <c r="AE361" s="305">
        <f t="shared" si="142"/>
        <v>0.7</v>
      </c>
      <c r="AF361" s="177">
        <f t="shared" si="143"/>
        <v>0.99996312353042494</v>
      </c>
      <c r="AG361" s="921">
        <f t="shared" si="149"/>
        <v>1</v>
      </c>
      <c r="AH361" s="176">
        <f t="shared" si="144"/>
        <v>7</v>
      </c>
      <c r="AI361" s="225">
        <f t="shared" si="145"/>
        <v>1.9999631235304249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16.71443256833636</v>
      </c>
      <c r="C362" s="955"/>
      <c r="D362" s="393">
        <f t="shared" si="127"/>
        <v>17.756792572095115</v>
      </c>
      <c r="E362" s="385">
        <f t="shared" si="150"/>
        <v>19.128531566843282</v>
      </c>
      <c r="F362" s="385">
        <f t="shared" si="128"/>
        <v>19.131128214121969</v>
      </c>
      <c r="G362" s="110">
        <f t="shared" si="151"/>
        <v>0.71209218184744394</v>
      </c>
      <c r="H362" s="414" t="b">
        <f>Wh_hp&gt;='2024'!Maxi_hp</f>
        <v>0</v>
      </c>
      <c r="I362" s="390">
        <f>IF(H362,Wh_hp,'2024'!Maxi_hp)</f>
        <v>27.918333223458241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5.8702043149213123E-2</v>
      </c>
      <c r="M362" s="959"/>
      <c r="N362" s="959"/>
      <c r="O362" s="48">
        <f>IF(t&lt;Tnet,'2024'!Resal+('2024'!Salim-'2024'!Resal)*(1-EXP(('2024'!Tnet-t)/('2024'!Tau_j))),Resal+(Salim-Resal)*(1-EXP((Tnet-t)/(Tau_j))))*Salcycl</f>
        <v>7.1711672689287465E-2</v>
      </c>
      <c r="P362" s="169">
        <f>(INDEX(Models!$BJ362:$BT362,,T362)*(1-R362)+INDEX(Models!$BJ362:$BT362,,T362+1)*R362-ERP_i)*Q362*Ramure*Pc/MaxiM</f>
        <v>2.3051802868947563E-4</v>
      </c>
      <c r="Q362" s="305">
        <f t="shared" si="130"/>
        <v>0.7</v>
      </c>
      <c r="R362" s="177">
        <f t="shared" si="131"/>
        <v>0.47498520743401529</v>
      </c>
      <c r="S362" s="921">
        <f t="shared" si="132"/>
        <v>-2</v>
      </c>
      <c r="T362" s="176">
        <f t="shared" si="133"/>
        <v>4</v>
      </c>
      <c r="U362" s="251">
        <f t="shared" si="134"/>
        <v>-1.5250147925659847</v>
      </c>
      <c r="V362" s="383">
        <f t="shared" si="135"/>
        <v>23.470062490589338</v>
      </c>
      <c r="W362" s="402">
        <f t="shared" si="136"/>
        <v>16.71443256833636</v>
      </c>
      <c r="X362" s="157">
        <f t="shared" si="137"/>
        <v>46005</v>
      </c>
      <c r="Y362" s="385">
        <f t="shared" si="138"/>
        <v>15.399049027046532</v>
      </c>
      <c r="Z362" s="385">
        <f t="shared" si="139"/>
        <v>16.359377936573559</v>
      </c>
      <c r="AA362" s="386">
        <f t="shared" si="140"/>
        <v>18.99074918731684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0.13856068682644015</v>
      </c>
      <c r="AD362" s="231">
        <f>(INDEX(Models!$BJ362:$BT362,,AH362)*(1-AF362)+INDEX(Models!$BJ362:$BT362,,AH362+1)*AF362-ERP_i)*AE362*Ramure*Pc/MaxiM</f>
        <v>1.2462184138009712E-2</v>
      </c>
      <c r="AE362" s="305">
        <f t="shared" si="142"/>
        <v>0.7</v>
      </c>
      <c r="AF362" s="177">
        <f t="shared" si="143"/>
        <v>0.99997277380799421</v>
      </c>
      <c r="AG362" s="921">
        <f t="shared" si="149"/>
        <v>1</v>
      </c>
      <c r="AH362" s="176">
        <f t="shared" si="144"/>
        <v>7</v>
      </c>
      <c r="AI362" s="225">
        <f t="shared" si="145"/>
        <v>1.9999727738079942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7.0004830258802073</v>
      </c>
      <c r="C363" s="955"/>
      <c r="D363" s="393">
        <f t="shared" si="127"/>
        <v>7.437216140577295</v>
      </c>
      <c r="E363" s="385">
        <f t="shared" si="150"/>
        <v>8.012355482041702</v>
      </c>
      <c r="F363" s="385">
        <f t="shared" si="128"/>
        <v>8.012355482041702</v>
      </c>
      <c r="G363" s="110">
        <f t="shared" si="151"/>
        <v>0.29841933608868254</v>
      </c>
      <c r="H363" s="414" t="b">
        <f>Wh_hp&gt;='2024'!Maxi_hp</f>
        <v>0</v>
      </c>
      <c r="I363" s="390">
        <f>IF(H363,Wh_hp,'2024'!Maxi_hp)</f>
        <v>27.64680505166011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5.8722659990245618E-2</v>
      </c>
      <c r="M363" s="959"/>
      <c r="N363" s="959"/>
      <c r="O363" s="48">
        <f>IF(t&lt;Tnet,'2024'!Resal+('2024'!Salim-'2024'!Resal)*(1-EXP(('2024'!Tnet-t)/('2024'!Tau_j))),Resal+(Salim-Resal)*(1-EXP((Tnet-t)/(Tau_j))))*Salcycl</f>
        <v>7.1781555717726389E-2</v>
      </c>
      <c r="P363" s="169">
        <f>(INDEX(Models!$BJ363:$BT363,,T363)*(1-R363)+INDEX(Models!$BJ363:$BT363,,T363+1)*R363-ERP_i)*Q363*Ramure*Pc/MaxiM</f>
        <v>2.3119295194811489E-4</v>
      </c>
      <c r="Q363" s="305">
        <f t="shared" si="130"/>
        <v>0.7</v>
      </c>
      <c r="R363" s="177">
        <f t="shared" si="131"/>
        <v>0.47499446951327173</v>
      </c>
      <c r="S363" s="921">
        <f t="shared" si="132"/>
        <v>-2</v>
      </c>
      <c r="T363" s="176">
        <f t="shared" si="133"/>
        <v>4</v>
      </c>
      <c r="U363" s="251">
        <f t="shared" si="134"/>
        <v>-1.5250055304867283</v>
      </c>
      <c r="V363" s="383">
        <f t="shared" si="135"/>
        <v>23.453120214249488</v>
      </c>
      <c r="W363" s="402">
        <f t="shared" si="136"/>
        <v>7.0004830258802073</v>
      </c>
      <c r="X363" s="157">
        <f t="shared" si="137"/>
        <v>46006</v>
      </c>
      <c r="Y363" s="385">
        <f t="shared" si="138"/>
        <v>6.496855403655136</v>
      </c>
      <c r="Z363" s="385">
        <f t="shared" si="139"/>
        <v>6.9021691349627199</v>
      </c>
      <c r="AA363" s="386">
        <f t="shared" si="140"/>
        <v>8.012355482041702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0.138559297520844</v>
      </c>
      <c r="AD363" s="231">
        <f>(INDEX(Models!$BJ363:$BT363,,AH363)*(1-AF363)+INDEX(Models!$BJ363:$BT363,,AH363+1)*AF363-ERP_i)*AE363*Ramure*Pc/MaxiM</f>
        <v>1.2332992850115104E-2</v>
      </c>
      <c r="AE363" s="305">
        <f t="shared" si="142"/>
        <v>0.7</v>
      </c>
      <c r="AF363" s="177">
        <f t="shared" si="143"/>
        <v>0.99998203588725065</v>
      </c>
      <c r="AG363" s="921">
        <f t="shared" si="149"/>
        <v>1</v>
      </c>
      <c r="AH363" s="176">
        <f t="shared" si="144"/>
        <v>7</v>
      </c>
      <c r="AI363" s="225">
        <f t="shared" si="145"/>
        <v>1.9999820358872507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4.7554999405461649</v>
      </c>
      <c r="C364" s="955"/>
      <c r="D364" s="393">
        <f t="shared" si="127"/>
        <v>5.0522878840699805</v>
      </c>
      <c r="E364" s="385">
        <f t="shared" si="150"/>
        <v>5.4434084184622131</v>
      </c>
      <c r="F364" s="385">
        <f t="shared" si="128"/>
        <v>5.4434084184622131</v>
      </c>
      <c r="G364" s="110">
        <f t="shared" si="151"/>
        <v>0.20275702984375144</v>
      </c>
      <c r="H364" s="414" t="b">
        <f>Wh_hp&gt;='2024'!Maxi_hp</f>
        <v>0</v>
      </c>
      <c r="I364" s="390">
        <f>IF(H364,Wh_hp,'2024'!Maxi_hp)</f>
        <v>27.611155388131891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5.8743276379716436E-2</v>
      </c>
      <c r="M364" s="959"/>
      <c r="N364" s="959"/>
      <c r="O364" s="48">
        <f>IF(t&lt;Tnet,'2024'!Resal+('2024'!Salim-'2024'!Resal)*(1-EXP(('2024'!Tnet-t)/('2024'!Tau_j))),Resal+(Salim-Resal)*(1-EXP((Tnet-t)/(Tau_j))))*Salcycl</f>
        <v>7.1852138278965597E-2</v>
      </c>
      <c r="P364" s="169">
        <f>(INDEX(Models!$BJ364:$BT364,,T364)*(1-R364)+INDEX(Models!$BJ364:$BT364,,T364+1)*R364-ERP_i)*Q364*Ramure*Pc/MaxiM</f>
        <v>2.317746414301831E-4</v>
      </c>
      <c r="Q364" s="305">
        <f t="shared" si="130"/>
        <v>0.7</v>
      </c>
      <c r="R364" s="177">
        <f t="shared" si="131"/>
        <v>0.47500335899661694</v>
      </c>
      <c r="S364" s="921">
        <f t="shared" si="132"/>
        <v>-2</v>
      </c>
      <c r="T364" s="176">
        <f t="shared" si="133"/>
        <v>4</v>
      </c>
      <c r="U364" s="251">
        <f t="shared" si="134"/>
        <v>-1.5249966410033831</v>
      </c>
      <c r="V364" s="383">
        <f t="shared" si="135"/>
        <v>23.448744242882505</v>
      </c>
      <c r="W364" s="402">
        <f t="shared" si="136"/>
        <v>4.7554999405461649</v>
      </c>
      <c r="X364" s="157">
        <f t="shared" si="137"/>
        <v>46007</v>
      </c>
      <c r="Y364" s="385">
        <f t="shared" si="138"/>
        <v>4.4137155087947857</v>
      </c>
      <c r="Z364" s="385">
        <f t="shared" si="139"/>
        <v>4.6891728877310435</v>
      </c>
      <c r="AA364" s="386">
        <f t="shared" si="140"/>
        <v>5.4434084184622131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0.13855942320496406</v>
      </c>
      <c r="AD364" s="231">
        <f>(INDEX(Models!$BJ364:$BT364,,AH364)*(1-AF364)+INDEX(Models!$BJ364:$BT364,,AH364+1)*AF364-ERP_i)*AE364*Ramure*Pc/MaxiM</f>
        <v>1.2209474751783422E-2</v>
      </c>
      <c r="AE364" s="305">
        <f t="shared" si="142"/>
        <v>0.7</v>
      </c>
      <c r="AF364" s="177">
        <f t="shared" si="143"/>
        <v>0.99999092537059586</v>
      </c>
      <c r="AG364" s="921">
        <f t="shared" si="149"/>
        <v>1</v>
      </c>
      <c r="AH364" s="176">
        <f t="shared" si="144"/>
        <v>7</v>
      </c>
      <c r="AI364" s="225">
        <f t="shared" si="145"/>
        <v>1.9999909253705959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2.6599302079004197</v>
      </c>
      <c r="C365" s="955"/>
      <c r="D365" s="393">
        <f t="shared" si="127"/>
        <v>2.8259967782685793</v>
      </c>
      <c r="E365" s="385">
        <f t="shared" si="150"/>
        <v>3.0450037314968585</v>
      </c>
      <c r="F365" s="385">
        <f t="shared" si="128"/>
        <v>3.0450037314968585</v>
      </c>
      <c r="G365" s="110">
        <f t="shared" si="151"/>
        <v>0.11337218210961821</v>
      </c>
      <c r="H365" s="414" t="b">
        <f>Wh_hp&gt;='2024'!Maxi_hp</f>
        <v>0</v>
      </c>
      <c r="I365" s="390">
        <f>IF(H365,Wh_hp,'2024'!Maxi_hp)</f>
        <v>27.969819213232515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5.8763892317635458E-2</v>
      </c>
      <c r="M365" s="959"/>
      <c r="N365" s="959"/>
      <c r="O365" s="48">
        <f>IF(t&lt;Tnet,'2024'!Resal+('2024'!Salim-'2024'!Resal)*(1-EXP(('2024'!Tnet-t)/('2024'!Tau_j))),Resal+(Salim-Resal)*(1-EXP((Tnet-t)/(Tau_j))))*Salcycl</f>
        <v>7.1923377617872528E-2</v>
      </c>
      <c r="P365" s="169">
        <f>(INDEX(Models!$BJ365:$BT365,,T365)*(1-R365)+INDEX(Models!$BJ365:$BT365,,T365+1)*R365-ERP_i)*Q365*Ramure*Pc/MaxiM</f>
        <v>2.322656444771271E-4</v>
      </c>
      <c r="Q365" s="305">
        <f t="shared" si="130"/>
        <v>0.7</v>
      </c>
      <c r="R365" s="177">
        <f t="shared" si="131"/>
        <v>0.4750118908604295</v>
      </c>
      <c r="S365" s="921">
        <f t="shared" si="132"/>
        <v>-2</v>
      </c>
      <c r="T365" s="176">
        <f t="shared" si="133"/>
        <v>4</v>
      </c>
      <c r="U365" s="251">
        <f t="shared" si="134"/>
        <v>-1.5249881091395705</v>
      </c>
      <c r="V365" s="383">
        <f t="shared" si="135"/>
        <v>23.456480664058844</v>
      </c>
      <c r="W365" s="402">
        <f t="shared" si="136"/>
        <v>2.6599302079004197</v>
      </c>
      <c r="X365" s="157">
        <f t="shared" si="137"/>
        <v>46008</v>
      </c>
      <c r="Y365" s="385">
        <f t="shared" si="138"/>
        <v>2.4689423532122863</v>
      </c>
      <c r="Z365" s="385">
        <f t="shared" si="139"/>
        <v>2.6230850400455217</v>
      </c>
      <c r="AA365" s="386">
        <f t="shared" si="140"/>
        <v>3.0450037314968585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0.13856097681822233</v>
      </c>
      <c r="AD365" s="231">
        <f>(INDEX(Models!$BJ365:$BT365,,AH365)*(1-AF365)+INDEX(Models!$BJ365:$BT365,,AH365+1)*AF365-ERP_i)*AE365*Ramure*Pc/MaxiM</f>
        <v>1.2091885038736275E-2</v>
      </c>
      <c r="AE365" s="305">
        <f t="shared" si="142"/>
        <v>0.7</v>
      </c>
      <c r="AF365" s="177">
        <f t="shared" si="143"/>
        <v>0.99999945723440842</v>
      </c>
      <c r="AG365" s="921">
        <f t="shared" si="149"/>
        <v>1</v>
      </c>
      <c r="AH365" s="176">
        <f t="shared" si="144"/>
        <v>7</v>
      </c>
      <c r="AI365" s="225">
        <f t="shared" si="145"/>
        <v>1.9999994572344084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20.970133023531723</v>
      </c>
      <c r="C366" s="955"/>
      <c r="D366" s="393">
        <f t="shared" si="127"/>
        <v>22.279842605018608</v>
      </c>
      <c r="E366" s="385">
        <f t="shared" si="150"/>
        <v>24.00832770018329</v>
      </c>
      <c r="F366" s="385">
        <f t="shared" si="128"/>
        <v>24.013060708687753</v>
      </c>
      <c r="G366" s="110">
        <f t="shared" si="151"/>
        <v>0.8932313023548456</v>
      </c>
      <c r="H366" s="414" t="b">
        <f>Wh_hp&gt;='2024'!Maxi_hp</f>
        <v>0</v>
      </c>
      <c r="I366" s="390">
        <f>IF(H366,Wh_hp,'2024'!Maxi_hp)</f>
        <v>28.032685021410803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5.8784507804012454E-2</v>
      </c>
      <c r="M366" s="959"/>
      <c r="N366" s="959"/>
      <c r="O366" s="48">
        <f>IF(t&lt;Tnet,'2024'!Resal+('2024'!Salim-'2024'!Resal)*(1-EXP(('2024'!Tnet-t)/('2024'!Tau_j))),Resal+(Salim-Resal)*(1-EXP((Tnet-t)/(Tau_j))))*Salcycl</f>
        <v>7.1995230852813175E-2</v>
      </c>
      <c r="P366" s="169">
        <f>(INDEX(Models!$BJ366:$BT366,,T366)*(1-R366)+INDEX(Models!$BJ366:$BT366,,T366+1)*R366-ERP_i)*Q366*Ramure*Pc/MaxiM</f>
        <v>2.3256296374133401E-4</v>
      </c>
      <c r="Q366" s="305">
        <f t="shared" si="130"/>
        <v>0.7</v>
      </c>
      <c r="R366" s="177">
        <f t="shared" si="131"/>
        <v>0.47502007948009872</v>
      </c>
      <c r="S366" s="921">
        <f t="shared" si="132"/>
        <v>-2</v>
      </c>
      <c r="T366" s="176">
        <f t="shared" si="133"/>
        <v>4</v>
      </c>
      <c r="U366" s="251">
        <f t="shared" si="134"/>
        <v>-1.5249799205199013</v>
      </c>
      <c r="V366" s="383">
        <f t="shared" si="135"/>
        <v>23.475878183492441</v>
      </c>
      <c r="W366" s="402">
        <f t="shared" si="136"/>
        <v>20.970133023531723</v>
      </c>
      <c r="X366" s="157">
        <f t="shared" si="137"/>
        <v>46009</v>
      </c>
      <c r="Y366" s="385">
        <f t="shared" si="138"/>
        <v>19.271877878258913</v>
      </c>
      <c r="Z366" s="385">
        <f t="shared" si="139"/>
        <v>20.475521321153483</v>
      </c>
      <c r="AA366" s="386">
        <f t="shared" si="140"/>
        <v>23.769053376736572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0.13856387140796103</v>
      </c>
      <c r="AD366" s="231">
        <f>(INDEX(Models!$BJ366:$BT366,,AH366)*(1-AF366)+INDEX(Models!$BJ366:$BT366,,AH366+1)*AF366-ERP_i)*AE366*Ramure*Pc/MaxiM</f>
        <v>1.198964004389015E-2</v>
      </c>
      <c r="AE366" s="305">
        <f t="shared" si="142"/>
        <v>0.7</v>
      </c>
      <c r="AF366" s="177">
        <f t="shared" si="143"/>
        <v>7.6458540778645556E-6</v>
      </c>
      <c r="AG366" s="921">
        <f t="shared" si="149"/>
        <v>2</v>
      </c>
      <c r="AH366" s="176">
        <f t="shared" si="144"/>
        <v>8</v>
      </c>
      <c r="AI366" s="225">
        <f t="shared" si="145"/>
        <v>2.0000076458540779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17.750963906224012</v>
      </c>
      <c r="C367" s="955"/>
      <c r="D367" s="393">
        <f t="shared" si="127"/>
        <v>18.860030305057492</v>
      </c>
      <c r="E367" s="385">
        <f t="shared" si="150"/>
        <v>20.324790284189646</v>
      </c>
      <c r="F367" s="385">
        <f t="shared" si="128"/>
        <v>20.327864258348541</v>
      </c>
      <c r="G367" s="110">
        <f t="shared" si="151"/>
        <v>0.75509031906479296</v>
      </c>
      <c r="H367" s="414" t="b">
        <f>Wh_hp&gt;='2024'!Maxi_hp</f>
        <v>0</v>
      </c>
      <c r="I367" s="390">
        <f>IF(H367,Wh_hp,'2024'!Maxi_hp)</f>
        <v>27.478360183893841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5.8805122838857415E-2</v>
      </c>
      <c r="M367" s="959"/>
      <c r="N367" s="959"/>
      <c r="O367" s="48">
        <f>IF(t&lt;Tnet,'2024'!Resal+('2024'!Salim-'2024'!Resal)*(1-EXP(('2024'!Tnet-t)/('2024'!Tau_j))),Resal+(Salim-Resal)*(1-EXP((Tnet-t)/(Tau_j))))*Salcycl</f>
        <v>7.2067655245208959E-2</v>
      </c>
      <c r="P367" s="169">
        <f>(INDEX(Models!$BJ367:$BT367,,T367)*(1-R367)+INDEX(Models!$BJ367:$BT367,,T367+1)*R367-ERP_i)*Q367*Ramure*Pc/MaxiM</f>
        <v>2.3256816973961589E-4</v>
      </c>
      <c r="Q367" s="305">
        <f t="shared" si="130"/>
        <v>0.7</v>
      </c>
      <c r="R367" s="177">
        <f t="shared" si="131"/>
        <v>0.47502793865406501</v>
      </c>
      <c r="S367" s="921">
        <f t="shared" si="132"/>
        <v>-2</v>
      </c>
      <c r="T367" s="176">
        <f t="shared" si="133"/>
        <v>4</v>
      </c>
      <c r="U367" s="251">
        <f t="shared" si="134"/>
        <v>-1.524972061345935</v>
      </c>
      <c r="V367" s="383">
        <f t="shared" si="135"/>
        <v>23.506485550769536</v>
      </c>
      <c r="W367" s="402">
        <f t="shared" si="136"/>
        <v>17.750963906224012</v>
      </c>
      <c r="X367" s="157">
        <f t="shared" si="137"/>
        <v>46010</v>
      </c>
      <c r="Y367" s="385">
        <f t="shared" si="138"/>
        <v>16.353783029368675</v>
      </c>
      <c r="Z367" s="385">
        <f t="shared" si="139"/>
        <v>17.375554655264803</v>
      </c>
      <c r="AA367" s="386">
        <f t="shared" si="140"/>
        <v>20.170547497317486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0.13856802064616214</v>
      </c>
      <c r="AD367" s="231">
        <f>(INDEX(Models!$BJ367:$BT367,,AH367)*(1-AF367)+INDEX(Models!$BJ367:$BT367,,AH367+1)*AF367-ERP_i)*AE367*Ramure*Pc/MaxiM</f>
        <v>1.1902140125825762E-2</v>
      </c>
      <c r="AE367" s="305">
        <f t="shared" si="142"/>
        <v>0.7</v>
      </c>
      <c r="AF367" s="177">
        <f t="shared" si="143"/>
        <v>1.5505028043705238E-5</v>
      </c>
      <c r="AG367" s="921">
        <f t="shared" si="149"/>
        <v>2</v>
      </c>
      <c r="AH367" s="176">
        <f t="shared" si="144"/>
        <v>8</v>
      </c>
      <c r="AI367" s="225">
        <f t="shared" si="145"/>
        <v>2.0000155050280437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4.3247726348994862</v>
      </c>
      <c r="C368" s="955"/>
      <c r="D368" s="393">
        <f t="shared" si="127"/>
        <v>4.5950817046932348</v>
      </c>
      <c r="E368" s="385">
        <f t="shared" si="150"/>
        <v>4.9523470329484311</v>
      </c>
      <c r="F368" s="385">
        <f t="shared" si="128"/>
        <v>4.9523470329484311</v>
      </c>
      <c r="G368" s="110">
        <f t="shared" si="151"/>
        <v>0.18361626178343982</v>
      </c>
      <c r="H368" s="414" t="b">
        <f>Wh_hp&gt;='2024'!Maxi_hp</f>
        <v>0</v>
      </c>
      <c r="I368" s="390">
        <f>IF(H368,Wh_hp,'2024'!Maxi_hp)</f>
        <v>28.081044157306998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5.8825737422180224E-2</v>
      </c>
      <c r="M368" s="959"/>
      <c r="N368" s="959"/>
      <c r="O368" s="48">
        <f>IF(t&lt;Tnet,'2024'!Resal+('2024'!Salim-'2024'!Resal)*(1-EXP(('2024'!Tnet-t)/('2024'!Tau_j))),Resal+(Salim-Resal)*(1-EXP((Tnet-t)/(Tau_j))))*Salcycl</f>
        <v>7.2140608458631184E-2</v>
      </c>
      <c r="P368" s="169">
        <f>(INDEX(Models!$BJ368:$BT368,,T368)*(1-R368)+INDEX(Models!$BJ368:$BT368,,T368+1)*R368-ERP_i)*Q368*Ramure*Pc/MaxiM</f>
        <v>2.3228661978204115E-4</v>
      </c>
      <c r="Q368" s="305">
        <f t="shared" si="130"/>
        <v>0.7</v>
      </c>
      <c r="R368" s="177">
        <f t="shared" si="131"/>
        <v>0.47503548162690334</v>
      </c>
      <c r="S368" s="921">
        <f t="shared" si="132"/>
        <v>-2</v>
      </c>
      <c r="T368" s="176">
        <f t="shared" si="133"/>
        <v>4</v>
      </c>
      <c r="U368" s="251">
        <f t="shared" si="134"/>
        <v>-1.5249645183730967</v>
      </c>
      <c r="V368" s="383">
        <f t="shared" si="135"/>
        <v>23.547849226896506</v>
      </c>
      <c r="W368" s="402">
        <f t="shared" si="136"/>
        <v>4.3247726348994862</v>
      </c>
      <c r="X368" s="157">
        <f t="shared" si="137"/>
        <v>46011</v>
      </c>
      <c r="Y368" s="385">
        <f t="shared" si="138"/>
        <v>4.015128243601322</v>
      </c>
      <c r="Z368" s="385">
        <f t="shared" si="139"/>
        <v>4.2660837671061325</v>
      </c>
      <c r="AA368" s="386">
        <f t="shared" si="140"/>
        <v>4.9523470329484311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0.13857333932305732</v>
      </c>
      <c r="AD368" s="231">
        <f>(INDEX(Models!$BJ368:$BT368,,AH368)*(1-AF368)+INDEX(Models!$BJ368:$BT368,,AH368+1)*AF368-ERP_i)*AE368*Ramure*Pc/MaxiM</f>
        <v>1.1829507848383894E-2</v>
      </c>
      <c r="AE368" s="305">
        <f t="shared" si="142"/>
        <v>0.7</v>
      </c>
      <c r="AF368" s="177">
        <f t="shared" si="143"/>
        <v>2.3048000882042174E-5</v>
      </c>
      <c r="AG368" s="921">
        <f t="shared" si="149"/>
        <v>2</v>
      </c>
      <c r="AH368" s="176">
        <f t="shared" si="144"/>
        <v>8</v>
      </c>
      <c r="AI368" s="225">
        <f t="shared" si="145"/>
        <v>2.000023048000882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21.856953675755943</v>
      </c>
      <c r="C369" s="955"/>
      <c r="D369" s="393">
        <f t="shared" si="127"/>
        <v>23.22357641798995</v>
      </c>
      <c r="E369" s="385">
        <f t="shared" si="150"/>
        <v>25.031179215521696</v>
      </c>
      <c r="F369" s="385">
        <f t="shared" si="128"/>
        <v>25.036368779792387</v>
      </c>
      <c r="G369" s="110">
        <f t="shared" si="151"/>
        <v>0.92613846313850112</v>
      </c>
      <c r="H369" s="414" t="b">
        <f>Wh_hp&gt;='2024'!Maxi_hp</f>
        <v>1</v>
      </c>
      <c r="I369" s="390">
        <f>IF(H369,Wh_hp,'2024'!Maxi_hp)</f>
        <v>25.036368779792387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5.8846351553990761E-2</v>
      </c>
      <c r="M369" s="959"/>
      <c r="N369" s="959"/>
      <c r="O369" s="48">
        <f>IF(t&lt;Tnet,'2024'!Resal+('2024'!Salim-'2024'!Resal)*(1-EXP(('2024'!Tnet-t)/('2024'!Tau_j))),Resal+(Salim-Resal)*(1-EXP((Tnet-t)/(Tau_j))))*Salcycl</f>
        <v>7.2214048805613676E-2</v>
      </c>
      <c r="P369" s="169">
        <f>(INDEX(Models!$BJ369:$BT369,,T369)*(1-R369)+INDEX(Models!$BJ369:$BT369,,T369+1)*R369-ERP_i)*Q369*Ramure*Pc/MaxiM</f>
        <v>2.3172426156060149E-4</v>
      </c>
      <c r="Q369" s="305">
        <f t="shared" si="130"/>
        <v>0.7</v>
      </c>
      <c r="R369" s="177">
        <f t="shared" si="131"/>
        <v>0.47504272111149026</v>
      </c>
      <c r="S369" s="921">
        <f t="shared" si="132"/>
        <v>-2</v>
      </c>
      <c r="T369" s="176">
        <f t="shared" si="133"/>
        <v>4</v>
      </c>
      <c r="U369" s="251">
        <f t="shared" si="134"/>
        <v>-1.5249572788885097</v>
      </c>
      <c r="V369" s="383">
        <f t="shared" si="135"/>
        <v>23.599515817875048</v>
      </c>
      <c r="W369" s="402">
        <f t="shared" si="136"/>
        <v>21.856953675755943</v>
      </c>
      <c r="X369" s="157">
        <f t="shared" si="137"/>
        <v>46012</v>
      </c>
      <c r="Y369" s="385">
        <f t="shared" si="138"/>
        <v>20.083968899168966</v>
      </c>
      <c r="Z369" s="385">
        <f t="shared" si="139"/>
        <v>21.339734412474218</v>
      </c>
      <c r="AA369" s="386">
        <f t="shared" si="140"/>
        <v>24.772733470379563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0.13857974381430851</v>
      </c>
      <c r="AD369" s="231">
        <f>(INDEX(Models!$BJ369:$BT369,,AH369)*(1-AF369)+INDEX(Models!$BJ369:$BT369,,AH369+1)*AF369-ERP_i)*AE369*Ramure*Pc/MaxiM</f>
        <v>1.1771835593217419E-2</v>
      </c>
      <c r="AE369" s="305">
        <f t="shared" si="142"/>
        <v>0.7</v>
      </c>
      <c r="AF369" s="177">
        <f t="shared" si="143"/>
        <v>3.028748546896054E-5</v>
      </c>
      <c r="AG369" s="921">
        <f t="shared" si="149"/>
        <v>2</v>
      </c>
      <c r="AH369" s="176">
        <f t="shared" si="144"/>
        <v>8</v>
      </c>
      <c r="AI369" s="225">
        <f t="shared" si="145"/>
        <v>2.000030287485469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16.902157626981975</v>
      </c>
      <c r="C370" s="955"/>
      <c r="D370" s="393">
        <f t="shared" si="127"/>
        <v>17.959371313737634</v>
      </c>
      <c r="E370" s="385">
        <f t="shared" si="150"/>
        <v>19.358777362714914</v>
      </c>
      <c r="F370" s="385">
        <f t="shared" si="128"/>
        <v>19.361423440951238</v>
      </c>
      <c r="G370" s="110">
        <f t="shared" si="151"/>
        <v>0.71427843210583675</v>
      </c>
      <c r="H370" s="414" t="b">
        <f>Wh_hp&gt;='2024'!Maxi_hp</f>
        <v>0</v>
      </c>
      <c r="I370" s="390">
        <f>IF(H370,Wh_hp,'2024'!Maxi_hp)</f>
        <v>27.058641236912877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5.8866965234298907E-2</v>
      </c>
      <c r="M370" s="959"/>
      <c r="N370" s="959"/>
      <c r="O370" s="48">
        <f>IF(t&lt;Tnet,'2024'!Resal+('2024'!Salim-'2024'!Resal)*(1-EXP(('2024'!Tnet-t)/('2024'!Tau_j))),Resal+(Salim-Resal)*(1-EXP((Tnet-t)/(Tau_j))))*Salcycl</f>
        <v>7.2287935480498958E-2</v>
      </c>
      <c r="P370" s="169">
        <f>(INDEX(Models!$BJ370:$BT370,,T370)*(1-R370)+INDEX(Models!$BJ370:$BT370,,T370+1)*R370-ERP_i)*Q370*Ramure*Pc/MaxiM</f>
        <v>2.3088756955215667E-4</v>
      </c>
      <c r="Q370" s="305">
        <f t="shared" si="130"/>
        <v>0.7</v>
      </c>
      <c r="R370" s="177">
        <f t="shared" si="131"/>
        <v>0.47504966931028747</v>
      </c>
      <c r="S370" s="921">
        <f t="shared" si="132"/>
        <v>-2</v>
      </c>
      <c r="T370" s="176">
        <f t="shared" si="133"/>
        <v>4</v>
      </c>
      <c r="U370" s="251">
        <f t="shared" si="134"/>
        <v>-1.5249503306897125</v>
      </c>
      <c r="V370" s="383">
        <f t="shared" si="135"/>
        <v>23.661032068120619</v>
      </c>
      <c r="W370" s="402">
        <f t="shared" si="136"/>
        <v>16.902157626981975</v>
      </c>
      <c r="X370" s="157">
        <f t="shared" si="137"/>
        <v>46013</v>
      </c>
      <c r="Y370" s="385">
        <f t="shared" si="138"/>
        <v>15.587408723622573</v>
      </c>
      <c r="Z370" s="385">
        <f t="shared" si="139"/>
        <v>16.562386132267818</v>
      </c>
      <c r="AA370" s="386">
        <f t="shared" si="140"/>
        <v>19.227001525105212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0.1385871525187187</v>
      </c>
      <c r="AD370" s="231">
        <f>(INDEX(Models!$BJ370:$BT370,,AH370)*(1-AF370)+INDEX(Models!$BJ370:$BT370,,AH370+1)*AF370-ERP_i)*AE370*Ramure*Pc/MaxiM</f>
        <v>1.1729188131396336E-2</v>
      </c>
      <c r="AE370" s="305">
        <f t="shared" si="142"/>
        <v>0.7</v>
      </c>
      <c r="AF370" s="177">
        <f t="shared" si="143"/>
        <v>3.7235684266612168E-5</v>
      </c>
      <c r="AG370" s="921">
        <f t="shared" si="149"/>
        <v>2</v>
      </c>
      <c r="AH370" s="176">
        <f t="shared" si="144"/>
        <v>8</v>
      </c>
      <c r="AI370" s="225">
        <f t="shared" si="145"/>
        <v>2.0000372356842666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17.435557477251681</v>
      </c>
      <c r="C371" s="955"/>
      <c r="D371" s="393">
        <f t="shared" si="127"/>
        <v>18.526540589888835</v>
      </c>
      <c r="E371" s="385">
        <f t="shared" si="150"/>
        <v>19.971740225130173</v>
      </c>
      <c r="F371" s="385">
        <f t="shared" si="128"/>
        <v>19.974590388500506</v>
      </c>
      <c r="G371" s="110">
        <f t="shared" si="151"/>
        <v>0.73462326130132849</v>
      </c>
      <c r="H371" s="414" t="b">
        <f>Wh_hp&gt;='2024'!Maxi_hp</f>
        <v>0</v>
      </c>
      <c r="I371" s="390">
        <f>IF(H371,Wh_hp,'2024'!Maxi_hp)</f>
        <v>22.375250435644084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5.8887578463114543E-2</v>
      </c>
      <c r="M371" s="959"/>
      <c r="N371" s="959"/>
      <c r="O371" s="48">
        <f>IF(t&lt;Tnet,'2024'!Resal+('2024'!Salim-'2024'!Resal)*(1-EXP(('2024'!Tnet-t)/('2024'!Tau_j))),Resal+(Salim-Resal)*(1-EXP((Tnet-t)/(Tau_j))))*Salcycl</f>
        <v>7.2362228776782403E-2</v>
      </c>
      <c r="P371" s="169">
        <f>(INDEX(Models!$BJ371:$BT371,,T371)*(1-R371)+INDEX(Models!$BJ371:$BT371,,T371+1)*R371-ERP_i)*Q371*Ramure*Pc/MaxiM</f>
        <v>2.297804127579724E-4</v>
      </c>
      <c r="Q371" s="305">
        <f t="shared" si="130"/>
        <v>0.7</v>
      </c>
      <c r="R371" s="177">
        <f t="shared" si="131"/>
        <v>0.47504966931028747</v>
      </c>
      <c r="S371" s="921">
        <f t="shared" si="132"/>
        <v>-2</v>
      </c>
      <c r="T371" s="176">
        <f t="shared" si="133"/>
        <v>4</v>
      </c>
      <c r="U371" s="251">
        <f t="shared" si="134"/>
        <v>-1.5249503306897125</v>
      </c>
      <c r="V371" s="383">
        <f t="shared" si="135"/>
        <v>23.7319449294687</v>
      </c>
      <c r="W371" s="402">
        <f t="shared" si="136"/>
        <v>17.435557477251681</v>
      </c>
      <c r="X371" s="157">
        <f t="shared" si="137"/>
        <v>46014</v>
      </c>
      <c r="Y371" s="385">
        <f t="shared" si="138"/>
        <v>16.075304972472559</v>
      </c>
      <c r="Z371" s="385">
        <f t="shared" si="139"/>
        <v>17.08117394330079</v>
      </c>
      <c r="AA371" s="386">
        <f t="shared" si="140"/>
        <v>19.8294455983437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0.13859548626374441</v>
      </c>
      <c r="AD371" s="231">
        <f>(INDEX(Models!$BJ371:$BT371,,AH371)*(1-AF371)+INDEX(Models!$BJ371:$BT371,,AH371+1)*AF371-ERP_i)*AE371*Ramure*Pc/MaxiM</f>
        <v>1.1701585298244279E-2</v>
      </c>
      <c r="AE371" s="305">
        <f t="shared" si="142"/>
        <v>0.7</v>
      </c>
      <c r="AF371" s="177">
        <f t="shared" si="143"/>
        <v>3.7235684266612168E-5</v>
      </c>
      <c r="AG371" s="921">
        <f t="shared" si="149"/>
        <v>2</v>
      </c>
      <c r="AH371" s="176">
        <f t="shared" si="144"/>
        <v>8</v>
      </c>
      <c r="AI371" s="225">
        <f t="shared" si="145"/>
        <v>2.0000372356842666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22.853657263180573</v>
      </c>
      <c r="C372" s="955"/>
      <c r="D372" s="393">
        <f t="shared" si="127"/>
        <v>24.28419528303391</v>
      </c>
      <c r="E372" s="385">
        <f t="shared" si="150"/>
        <v>26.180639385888178</v>
      </c>
      <c r="F372" s="385">
        <f t="shared" si="128"/>
        <v>26.186276848895975</v>
      </c>
      <c r="G372" s="110">
        <f t="shared" si="151"/>
        <v>0.95974919272885295</v>
      </c>
      <c r="H372" s="414" t="b">
        <f>Wh_hp&gt;='2024'!Maxi_hp</f>
        <v>1</v>
      </c>
      <c r="I372" s="390">
        <f>IF(H372,Wh_hp,'2024'!Maxi_hp)</f>
        <v>26.186276848895975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5.8908191240447549E-2</v>
      </c>
      <c r="M372" s="959"/>
      <c r="N372" s="959"/>
      <c r="O372" s="48">
        <f>IF(t&lt;Tnet,'2024'!Resal+('2024'!Salim-'2024'!Resal)*(1-EXP(('2024'!Tnet-t)/('2024'!Tau_j))),Resal+(Salim-Resal)*(1-EXP((Tnet-t)/(Tau_j))))*Salcycl</f>
        <v>7.2436890287579547E-2</v>
      </c>
      <c r="P372" s="169">
        <f>(INDEX(Models!$BJ372:$BT372,,T372)*(1-R372)+INDEX(Models!$BJ372:$BT372,,T372+1)*R372-ERP_i)*Q372*Ramure*Pc/MaxiM</f>
        <v>2.2841300405584334E-4</v>
      </c>
      <c r="Q372" s="305">
        <f t="shared" si="130"/>
        <v>0.7</v>
      </c>
      <c r="R372" s="177">
        <f t="shared" si="131"/>
        <v>0.47504966931028747</v>
      </c>
      <c r="S372" s="921">
        <f t="shared" si="132"/>
        <v>-2</v>
      </c>
      <c r="T372" s="176">
        <f t="shared" si="133"/>
        <v>4</v>
      </c>
      <c r="U372" s="251">
        <f t="shared" si="134"/>
        <v>-1.5249503306897125</v>
      </c>
      <c r="V372" s="383">
        <f t="shared" si="135"/>
        <v>23.811801359678736</v>
      </c>
      <c r="W372" s="402">
        <f t="shared" si="136"/>
        <v>22.853657263180573</v>
      </c>
      <c r="X372" s="157">
        <f t="shared" si="137"/>
        <v>46015</v>
      </c>
      <c r="Y372" s="385">
        <f t="shared" si="138"/>
        <v>20.994089013718185</v>
      </c>
      <c r="Z372" s="385">
        <f t="shared" si="139"/>
        <v>22.30822627325847</v>
      </c>
      <c r="AA372" s="386">
        <f t="shared" si="140"/>
        <v>25.897779407487992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0.13860466867640595</v>
      </c>
      <c r="AD372" s="231">
        <f>(INDEX(Models!$BJ372:$BT372,,AH372)*(1-AF372)+INDEX(Models!$BJ372:$BT372,,AH372+1)*AF372-ERP_i)*AE372*Ramure*Pc/MaxiM</f>
        <v>1.1689046502529124E-2</v>
      </c>
      <c r="AE372" s="305">
        <f t="shared" si="142"/>
        <v>0.7</v>
      </c>
      <c r="AF372" s="177">
        <f t="shared" si="143"/>
        <v>3.7235684266612168E-5</v>
      </c>
      <c r="AG372" s="921">
        <f t="shared" si="149"/>
        <v>2</v>
      </c>
      <c r="AH372" s="176">
        <f t="shared" si="144"/>
        <v>8</v>
      </c>
      <c r="AI372" s="225">
        <f t="shared" si="145"/>
        <v>2.0000372356842666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13.387359885142175</v>
      </c>
      <c r="C373" s="955"/>
      <c r="D373" s="393">
        <f t="shared" si="127"/>
        <v>14.225661072058374</v>
      </c>
      <c r="E373" s="385">
        <f t="shared" si="150"/>
        <v>15.337836477540879</v>
      </c>
      <c r="F373" s="385">
        <f t="shared" si="128"/>
        <v>15.33912854540135</v>
      </c>
      <c r="G373" s="110">
        <f t="shared" si="151"/>
        <v>0.55995614378564562</v>
      </c>
      <c r="H373" s="414" t="b">
        <f>Wh_hp&gt;='2024'!Maxi_hp</f>
        <v>0</v>
      </c>
      <c r="I373" s="390">
        <f>IF(H373,Wh_hp,'2024'!Maxi_hp)</f>
        <v>18.791308820692279</v>
      </c>
      <c r="J373" s="85">
        <f>IF(H373,An,'2024'!An_max)</f>
        <v>2019</v>
      </c>
      <c r="K373" s="197">
        <f t="shared" si="129"/>
        <v>46016</v>
      </c>
      <c r="L373" s="147">
        <f>IF(t&lt;Tvie,1-EXP((T0-t)*PertePVj)+'2024'!Pspv,1-EXP((T0-t)*PertePVj)+Pspv)</f>
        <v>5.8928803566307808E-2</v>
      </c>
      <c r="M373" s="959"/>
      <c r="N373" s="959"/>
      <c r="O373" s="48">
        <f>IF(t&lt;Tnet,'2024'!Resal+('2024'!Salim-'2024'!Resal)*(1-EXP(('2024'!Tnet-t)/('2024'!Tau_j))),Resal+(Salim-Resal)*(1-EXP((Tnet-t)/(Tau_j))))*Salcycl</f>
        <v>7.2511883088012971E-2</v>
      </c>
      <c r="P373" s="169">
        <f>(INDEX(Models!$BJ373:$BT373,,T373)*(1-R373)+INDEX(Models!$BJ373:$BT373,,T373+1)*R373-ERP_i)*Q373*Ramure*Pc/MaxiM</f>
        <v>2.2675102431832166E-4</v>
      </c>
      <c r="Q373" s="305">
        <f t="shared" si="130"/>
        <v>0.7</v>
      </c>
      <c r="R373" s="177">
        <f t="shared" si="131"/>
        <v>0.47504966931028747</v>
      </c>
      <c r="S373" s="921">
        <f t="shared" si="132"/>
        <v>-2</v>
      </c>
      <c r="T373" s="176">
        <f t="shared" si="133"/>
        <v>4</v>
      </c>
      <c r="U373" s="251">
        <f t="shared" si="134"/>
        <v>-1.5249503306897125</v>
      </c>
      <c r="V373" s="383">
        <f t="shared" si="135"/>
        <v>23.904464553224582</v>
      </c>
      <c r="W373" s="402">
        <f t="shared" si="136"/>
        <v>13.387359885142175</v>
      </c>
      <c r="X373" s="157">
        <f t="shared" si="137"/>
        <v>46016</v>
      </c>
      <c r="Y373" s="385">
        <f t="shared" si="138"/>
        <v>12.380286167077736</v>
      </c>
      <c r="Z373" s="385">
        <f t="shared" si="139"/>
        <v>13.155525547901572</v>
      </c>
      <c r="AA373" s="386">
        <f t="shared" si="140"/>
        <v>15.272520236460014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0.13861462651753773</v>
      </c>
      <c r="AD373" s="231">
        <f>(INDEX(Models!$BJ373:$BT373,,AH373)*(1-AF373)+INDEX(Models!$BJ373:$BT373,,AH373+1)*AF373-ERP_i)*AE373*Ramure*Pc/MaxiM</f>
        <v>1.168940327566282E-2</v>
      </c>
      <c r="AE373" s="305">
        <f t="shared" si="142"/>
        <v>0.7</v>
      </c>
      <c r="AF373" s="177">
        <f t="shared" si="143"/>
        <v>3.7235684266612168E-5</v>
      </c>
      <c r="AG373" s="921">
        <f t="shared" si="149"/>
        <v>2</v>
      </c>
      <c r="AH373" s="176">
        <f t="shared" si="144"/>
        <v>8</v>
      </c>
      <c r="AI373" s="225">
        <f t="shared" si="145"/>
        <v>2.0000372356842666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22.102373733477108</v>
      </c>
      <c r="C374" s="955"/>
      <c r="D374" s="393">
        <f t="shared" si="127"/>
        <v>23.486913558241842</v>
      </c>
      <c r="E374" s="385">
        <f t="shared" si="150"/>
        <v>25.325198063435884</v>
      </c>
      <c r="F374" s="385">
        <f t="shared" si="128"/>
        <v>25.330244289682089</v>
      </c>
      <c r="G374" s="110">
        <f t="shared" si="151"/>
        <v>0.92040302882436109</v>
      </c>
      <c r="H374" s="414" t="b">
        <f>Wh_hp&gt;='2024'!Maxi_hp</f>
        <v>0</v>
      </c>
      <c r="I374" s="390">
        <f>IF(H374,Wh_hp,'2024'!Maxi_hp)</f>
        <v>26.329619230701343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5.8949415440705311E-2</v>
      </c>
      <c r="M374" s="959"/>
      <c r="N374" s="959"/>
      <c r="O374" s="48">
        <f>IF(t&lt;Tnet,'2024'!Resal+('2024'!Salim-'2024'!Resal)*(1-EXP(('2024'!Tnet-t)/('2024'!Tau_j))),Resal+(Salim-Resal)*(1-EXP((Tnet-t)/(Tau_j))))*Salcycl</f>
        <v>7.2587171898494632E-2</v>
      </c>
      <c r="P374" s="169">
        <f>(INDEX(Models!$BJ374:$BT374,,T374)*(1-R374)+INDEX(Models!$BJ374:$BT374,,T374+1)*R374-ERP_i)*Q374*Ramure*Pc/MaxiM</f>
        <v>2.2476827092204367E-4</v>
      </c>
      <c r="Q374" s="305">
        <f t="shared" si="130"/>
        <v>0.7</v>
      </c>
      <c r="R374" s="177">
        <f t="shared" si="131"/>
        <v>0.47504966931028747</v>
      </c>
      <c r="S374" s="921">
        <f t="shared" si="132"/>
        <v>-2</v>
      </c>
      <c r="T374" s="176">
        <f t="shared" si="133"/>
        <v>4</v>
      </c>
      <c r="U374" s="251">
        <f t="shared" si="134"/>
        <v>-1.5249503306897125</v>
      </c>
      <c r="V374" s="383">
        <f t="shared" si="135"/>
        <v>24.013185739961148</v>
      </c>
      <c r="W374" s="402">
        <f t="shared" si="136"/>
        <v>22.102373733477108</v>
      </c>
      <c r="X374" s="157">
        <f t="shared" si="137"/>
        <v>46017</v>
      </c>
      <c r="Y374" s="385">
        <f t="shared" si="138"/>
        <v>20.319686970592613</v>
      </c>
      <c r="Z374" s="385">
        <f t="shared" si="139"/>
        <v>21.592555494887204</v>
      </c>
      <c r="AA374" s="386">
        <f t="shared" si="140"/>
        <v>25.067552185654087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0.13862528997767828</v>
      </c>
      <c r="AD374" s="231">
        <f>(INDEX(Models!$BJ374:$BT374,,AH374)*(1-AF374)+INDEX(Models!$BJ374:$BT374,,AH374+1)*AF374-ERP_i)*AE374*Ramure*Pc/MaxiM</f>
        <v>1.1700793251523806E-2</v>
      </c>
      <c r="AE374" s="305">
        <f t="shared" si="142"/>
        <v>0.7</v>
      </c>
      <c r="AF374" s="177">
        <f t="shared" si="143"/>
        <v>3.7235684266612168E-5</v>
      </c>
      <c r="AG374" s="921">
        <f t="shared" si="149"/>
        <v>2</v>
      </c>
      <c r="AH374" s="176">
        <f t="shared" si="144"/>
        <v>8</v>
      </c>
      <c r="AI374" s="225">
        <f t="shared" si="145"/>
        <v>2.0000372356842666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6.0029642571257575</v>
      </c>
      <c r="C375" s="955"/>
      <c r="D375" s="393">
        <f t="shared" si="127"/>
        <v>6.3791424593188388</v>
      </c>
      <c r="E375" s="385">
        <f t="shared" si="150"/>
        <v>6.8789884965313535</v>
      </c>
      <c r="F375" s="385">
        <f t="shared" si="128"/>
        <v>6.8789884965313535</v>
      </c>
      <c r="G375" s="110">
        <f t="shared" si="151"/>
        <v>0.24865267123923909</v>
      </c>
      <c r="H375" s="414" t="b">
        <f>Wh_hp&gt;='2024'!Maxi_hp</f>
        <v>0</v>
      </c>
      <c r="I375" s="390">
        <f>IF(H375,Wh_hp,'2024'!Maxi_hp)</f>
        <v>27.615988001355355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5.8970026863649827E-2</v>
      </c>
      <c r="M375" s="959"/>
      <c r="N375" s="959"/>
      <c r="O375" s="48">
        <f>IF(t&lt;Tnet,'2024'!Resal+('2024'!Salim-'2024'!Resal)*(1-EXP(('2024'!Tnet-t)/('2024'!Tau_j))),Resal+(Salim-Resal)*(1-EXP((Tnet-t)/(Tau_j))))*Salcycl</f>
        <v>7.2662723228067022E-2</v>
      </c>
      <c r="P375" s="169">
        <f>(INDEX(Models!$BJ375:$BT375,,T375)*(1-R375)+INDEX(Models!$BJ375:$BT375,,T375+1)*R375-ERP_i)*Q375*Ramure*Pc/MaxiM</f>
        <v>2.2258286649941246E-4</v>
      </c>
      <c r="Q375" s="305">
        <f t="shared" si="130"/>
        <v>0.7</v>
      </c>
      <c r="R375" s="177">
        <f t="shared" si="131"/>
        <v>0.47504966931028747</v>
      </c>
      <c r="S375" s="921">
        <f t="shared" si="132"/>
        <v>-2</v>
      </c>
      <c r="T375" s="176">
        <f t="shared" si="133"/>
        <v>4</v>
      </c>
      <c r="U375" s="251">
        <f t="shared" si="134"/>
        <v>-1.5249503306897125</v>
      </c>
      <c r="V375" s="383">
        <f t="shared" si="135"/>
        <v>24.136592099424892</v>
      </c>
      <c r="W375" s="402">
        <f t="shared" si="136"/>
        <v>6.0029642571257575</v>
      </c>
      <c r="X375" s="157">
        <f t="shared" si="137"/>
        <v>46018</v>
      </c>
      <c r="Y375" s="385">
        <f t="shared" si="138"/>
        <v>5.5758933394945691</v>
      </c>
      <c r="Z375" s="385">
        <f t="shared" si="139"/>
        <v>5.9253089685450986</v>
      </c>
      <c r="AA375" s="386">
        <f t="shared" si="140"/>
        <v>6.8789884965313535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0.13863659293326863</v>
      </c>
      <c r="AD375" s="231">
        <f>(INDEX(Models!$BJ375:$BT375,,AH375)*(1-AF375)+INDEX(Models!$BJ375:$BT375,,AH375+1)*AF375-ERP_i)*AE375*Ramure*Pc/MaxiM</f>
        <v>1.172432458836513E-2</v>
      </c>
      <c r="AE375" s="305">
        <f t="shared" si="142"/>
        <v>0.7</v>
      </c>
      <c r="AF375" s="177">
        <f t="shared" si="143"/>
        <v>3.7235684266612168E-5</v>
      </c>
      <c r="AG375" s="921">
        <f t="shared" si="149"/>
        <v>2</v>
      </c>
      <c r="AH375" s="176">
        <f t="shared" si="144"/>
        <v>8</v>
      </c>
      <c r="AI375" s="225">
        <f t="shared" si="145"/>
        <v>2.0000372356842666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23.403093987991202</v>
      </c>
      <c r="C376" s="955"/>
      <c r="D376" s="393">
        <f t="shared" si="127"/>
        <v>24.87020313395286</v>
      </c>
      <c r="E376" s="385">
        <f t="shared" si="150"/>
        <v>26.821132206387148</v>
      </c>
      <c r="F376" s="385">
        <f t="shared" si="128"/>
        <v>26.826739809313775</v>
      </c>
      <c r="G376" s="110">
        <f t="shared" si="151"/>
        <v>0.9641383338024202</v>
      </c>
      <c r="H376" s="414" t="b">
        <f>Wh_hp&gt;='2024'!Maxi_hp</f>
        <v>1</v>
      </c>
      <c r="I376" s="390">
        <f>IF(H376,Wh_hp,'2024'!Maxi_hp)</f>
        <v>26.826739809313775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5.8990637835151238E-2</v>
      </c>
      <c r="M376" s="959"/>
      <c r="N376" s="959"/>
      <c r="O376" s="48">
        <f>IF(t&lt;Tnet,'2024'!Resal+('2024'!Salim-'2024'!Resal)*(1-EXP(('2024'!Tnet-t)/('2024'!Tau_j))),Resal+(Salim-Resal)*(1-EXP((Tnet-t)/(Tau_j))))*Salcycl</f>
        <v>7.273850549715781E-2</v>
      </c>
      <c r="P376" s="169">
        <f>(INDEX(Models!$BJ376:$BT376,,T376)*(1-R376)+INDEX(Models!$BJ376:$BT376,,T376+1)*R376-ERP_i)*Q376*Ramure*Pc/MaxiM</f>
        <v>2.2031381606758813E-4</v>
      </c>
      <c r="Q376" s="305">
        <f t="shared" si="130"/>
        <v>0.7</v>
      </c>
      <c r="R376" s="177">
        <f t="shared" si="131"/>
        <v>0.47504966931028747</v>
      </c>
      <c r="S376" s="921">
        <f t="shared" si="132"/>
        <v>-2</v>
      </c>
      <c r="T376" s="176">
        <f t="shared" si="133"/>
        <v>4</v>
      </c>
      <c r="U376" s="251">
        <f t="shared" si="134"/>
        <v>-1.5249503306897125</v>
      </c>
      <c r="V376" s="383">
        <f t="shared" si="135"/>
        <v>24.273311250437992</v>
      </c>
      <c r="W376" s="402">
        <f t="shared" si="136"/>
        <v>23.403093987991202</v>
      </c>
      <c r="X376" s="157">
        <f t="shared" si="137"/>
        <v>46019</v>
      </c>
      <c r="Y376" s="385">
        <f t="shared" si="138"/>
        <v>21.501701795781649</v>
      </c>
      <c r="Z376" s="385">
        <f t="shared" si="139"/>
        <v>22.84961516888173</v>
      </c>
      <c r="AA376" s="386">
        <f t="shared" si="140"/>
        <v>26.527630655938413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0.13864847316220191</v>
      </c>
      <c r="AD376" s="231">
        <f>(INDEX(Models!$BJ376:$BT376,,AH376)*(1-AF376)+INDEX(Models!$BJ376:$BT376,,AH376+1)*AF376-ERP_i)*AE376*Ramure*Pc/MaxiM</f>
        <v>1.1751523755000118E-2</v>
      </c>
      <c r="AE376" s="305">
        <f t="shared" si="142"/>
        <v>0.7</v>
      </c>
      <c r="AF376" s="177">
        <f t="shared" si="143"/>
        <v>3.7235684266612168E-5</v>
      </c>
      <c r="AG376" s="921">
        <f t="shared" si="149"/>
        <v>2</v>
      </c>
      <c r="AH376" s="176">
        <f t="shared" si="144"/>
        <v>8</v>
      </c>
      <c r="AI376" s="225">
        <f t="shared" si="145"/>
        <v>2.0000372356842666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10.190794508069555</v>
      </c>
      <c r="C377" s="955"/>
      <c r="D377" s="393">
        <f t="shared" si="127"/>
        <v>10.829879199147472</v>
      </c>
      <c r="E377" s="385">
        <f t="shared" si="150"/>
        <v>11.680380109795015</v>
      </c>
      <c r="F377" s="385">
        <f t="shared" si="128"/>
        <v>11.68080669655436</v>
      </c>
      <c r="G377" s="110">
        <f t="shared" si="151"/>
        <v>0.41720400440042682</v>
      </c>
      <c r="H377" s="414" t="b">
        <f>Wh_hp&gt;='2024'!Maxi_hp</f>
        <v>0</v>
      </c>
      <c r="I377" s="390">
        <f>IF(H377,Wh_hp,'2024'!Maxi_hp)</f>
        <v>27.222037432287717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5.9011248355219537E-2</v>
      </c>
      <c r="M377" s="959"/>
      <c r="N377" s="959"/>
      <c r="O377" s="48">
        <f>IF(t&lt;Tnet,'2024'!Resal+('2024'!Salim-'2024'!Resal)*(1-EXP(('2024'!Tnet-t)/('2024'!Tau_j))),Resal+(Salim-Resal)*(1-EXP((Tnet-t)/(Tau_j))))*Salcycl</f>
        <v>7.2814489139298055E-2</v>
      </c>
      <c r="P377" s="169">
        <f>(INDEX(Models!$BJ377:$BT377,,T377)*(1-R377)+INDEX(Models!$BJ377:$BT377,,T377+1)*R377-ERP_i)*Q377*Ramure*Pc/MaxiM</f>
        <v>2.1797647996881929E-4</v>
      </c>
      <c r="Q377" s="305">
        <f t="shared" si="130"/>
        <v>0.7</v>
      </c>
      <c r="R377" s="177">
        <f t="shared" si="131"/>
        <v>0.47504966931028747</v>
      </c>
      <c r="S377" s="921">
        <f t="shared" si="132"/>
        <v>-2</v>
      </c>
      <c r="T377" s="176">
        <f t="shared" si="133"/>
        <v>4</v>
      </c>
      <c r="U377" s="251">
        <f t="shared" si="134"/>
        <v>-1.5249503306897125</v>
      </c>
      <c r="V377" s="383">
        <f t="shared" si="135"/>
        <v>24.421973784035384</v>
      </c>
      <c r="W377" s="402">
        <f t="shared" si="136"/>
        <v>10.190794508069555</v>
      </c>
      <c r="X377" s="157">
        <f t="shared" si="137"/>
        <v>46020</v>
      </c>
      <c r="Y377" s="385">
        <f t="shared" si="138"/>
        <v>9.4487257580968116</v>
      </c>
      <c r="Z377" s="385">
        <f t="shared" si="139"/>
        <v>10.041273863881072</v>
      </c>
      <c r="AA377" s="386">
        <f t="shared" si="140"/>
        <v>11.657747272246835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0.13866087251814432</v>
      </c>
      <c r="AD377" s="231">
        <f>(INDEX(Models!$BJ377:$BT377,,AH377)*(1-AF377)+INDEX(Models!$BJ377:$BT377,,AH377+1)*AF377-ERP_i)*AE377*Ramure*Pc/MaxiM</f>
        <v>1.1782860181556408E-2</v>
      </c>
      <c r="AE377" s="305">
        <f t="shared" si="142"/>
        <v>0.7</v>
      </c>
      <c r="AF377" s="177">
        <f t="shared" si="143"/>
        <v>3.7235684266612168E-5</v>
      </c>
      <c r="AG377" s="921">
        <f t="shared" si="149"/>
        <v>2</v>
      </c>
      <c r="AH377" s="176">
        <f t="shared" si="144"/>
        <v>8</v>
      </c>
      <c r="AI377" s="225">
        <f t="shared" si="145"/>
        <v>2.0000372356842666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14.636929843229087</v>
      </c>
      <c r="C378" s="955"/>
      <c r="D378" s="393">
        <f t="shared" si="127"/>
        <v>15.555181091160019</v>
      </c>
      <c r="E378" s="385">
        <f t="shared" si="150"/>
        <v>16.778151396577524</v>
      </c>
      <c r="F378" s="385">
        <f t="shared" si="128"/>
        <v>16.779678232320418</v>
      </c>
      <c r="G378" s="110">
        <f t="shared" si="151"/>
        <v>0.59537775174394203</v>
      </c>
      <c r="H378" s="414" t="b">
        <f>Wh_hp&gt;='2024'!Maxi_hp</f>
        <v>0</v>
      </c>
      <c r="I378" s="390">
        <f>IF(H378,Wh_hp,'2024'!Maxi_hp)</f>
        <v>27.784365944966957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5.9031858423864492E-2</v>
      </c>
      <c r="M378" s="959"/>
      <c r="N378" s="959"/>
      <c r="O378" s="48">
        <f>IF(t&lt;Tnet,'2024'!Resal+('2024'!Salim-'2024'!Resal)*(1-EXP(('2024'!Tnet-t)/('2024'!Tau_j))),Resal+(Salim-Resal)*(1-EXP((Tnet-t)/(Tau_j))))*Salcycl</f>
        <v>7.2890646681551069E-2</v>
      </c>
      <c r="P378" s="169">
        <f>(INDEX(Models!$BJ378:$BT378,,T378)*(1-R378)+INDEX(Models!$BJ378:$BT378,,T378+1)*R378-ERP_i)*Q378*Ramure*Pc/MaxiM</f>
        <v>2.155856615342519E-4</v>
      </c>
      <c r="Q378" s="305">
        <f t="shared" si="130"/>
        <v>0.7</v>
      </c>
      <c r="R378" s="177">
        <f t="shared" si="131"/>
        <v>0.47504966931028747</v>
      </c>
      <c r="S378" s="921">
        <f t="shared" si="132"/>
        <v>-2</v>
      </c>
      <c r="T378" s="176">
        <f t="shared" si="133"/>
        <v>4</v>
      </c>
      <c r="U378" s="251">
        <f t="shared" si="134"/>
        <v>-1.5249503306897125</v>
      </c>
      <c r="V378" s="383">
        <f t="shared" si="135"/>
        <v>24.581210806961984</v>
      </c>
      <c r="W378" s="402">
        <f t="shared" si="136"/>
        <v>14.636929843229087</v>
      </c>
      <c r="X378" s="157">
        <f t="shared" si="137"/>
        <v>46021</v>
      </c>
      <c r="Y378" s="385">
        <f t="shared" si="138"/>
        <v>13.531762866436386</v>
      </c>
      <c r="Z378" s="385">
        <f t="shared" si="139"/>
        <v>14.380681203266334</v>
      </c>
      <c r="AA378" s="386">
        <f t="shared" si="140"/>
        <v>16.695974361953603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0.13867373706342684</v>
      </c>
      <c r="AD378" s="231">
        <f>(INDEX(Models!$BJ378:$BT378,,AH378)*(1-AF378)+INDEX(Models!$BJ378:$BT378,,AH378+1)*AF378-ERP_i)*AE378*Ramure*Pc/MaxiM</f>
        <v>1.1818792132681343E-2</v>
      </c>
      <c r="AE378" s="305">
        <f t="shared" si="142"/>
        <v>0.7</v>
      </c>
      <c r="AF378" s="177">
        <f t="shared" si="143"/>
        <v>3.7235684266612168E-5</v>
      </c>
      <c r="AG378" s="921">
        <f t="shared" si="149"/>
        <v>2</v>
      </c>
      <c r="AH378" s="176">
        <f t="shared" si="144"/>
        <v>8</v>
      </c>
      <c r="AI378" s="225">
        <f t="shared" si="145"/>
        <v>2.0000372356842666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11.069371873947155</v>
      </c>
      <c r="C379" s="955"/>
      <c r="D379" s="393">
        <f t="shared" si="127"/>
        <v>11.764069194062792</v>
      </c>
      <c r="E379" s="385">
        <f t="shared" si="150"/>
        <v>12.690021385581094</v>
      </c>
      <c r="F379" s="385">
        <f t="shared" si="128"/>
        <v>12.690590430179016</v>
      </c>
      <c r="G379" s="110">
        <f t="shared" si="151"/>
        <v>0.44717831892435644</v>
      </c>
      <c r="H379" s="414" t="b">
        <f>Wh_hp&gt;='2024'!Maxi_hp</f>
        <v>0</v>
      </c>
      <c r="I379" s="390">
        <f>IF(H379,Wh_hp,'2024'!Maxi_hp)</f>
        <v>28.039920073924794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5.9052468041096096E-2</v>
      </c>
      <c r="M379" s="959"/>
      <c r="N379" s="959"/>
      <c r="O379" s="48">
        <f>IF(t&lt;Tnet,'2024'!Resal+('2024'!Salim-'2024'!Resal)*(1-EXP(('2024'!Tnet-t)/('2024'!Tau_j))),Resal+(Salim-Resal)*(1-EXP((Tnet-t)/(Tau_j))))*Salcycl</f>
        <v>7.2966952803594651E-2</v>
      </c>
      <c r="P379" s="169">
        <f>(INDEX(Models!$BJ379:$BT379,,T379)*(1-R379)+INDEX(Models!$BJ379:$BT379,,T379+1)*R379-ERP_i)*Q379*Ramure*Pc/MaxiM</f>
        <v>2.1315552278195697E-4</v>
      </c>
      <c r="Q379" s="306">
        <f t="shared" si="130"/>
        <v>0.7</v>
      </c>
      <c r="R379" s="177">
        <f t="shared" si="131"/>
        <v>0.47504966931028747</v>
      </c>
      <c r="S379" s="921">
        <f t="shared" si="132"/>
        <v>-2</v>
      </c>
      <c r="T379" s="176">
        <f t="shared" si="133"/>
        <v>4</v>
      </c>
      <c r="U379" s="307">
        <f t="shared" si="134"/>
        <v>-1.5249503306897125</v>
      </c>
      <c r="V379" s="383">
        <f t="shared" si="135"/>
        <v>24.749653938097314</v>
      </c>
      <c r="W379" s="402">
        <f t="shared" si="136"/>
        <v>11.069371873947155</v>
      </c>
      <c r="X379" s="157">
        <f t="shared" si="137"/>
        <v>46022</v>
      </c>
      <c r="Y379" s="385">
        <f t="shared" si="138"/>
        <v>10.259433403085136</v>
      </c>
      <c r="Z379" s="385">
        <f t="shared" si="139"/>
        <v>10.903300189040955</v>
      </c>
      <c r="AA379" s="386">
        <f t="shared" si="140"/>
        <v>12.658929339597515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0.13868701716067711</v>
      </c>
      <c r="AD379" s="231">
        <f>(INDEX(Models!$BJ379:$BT379,,AH379)*(1-AF379)+INDEX(Models!$BJ379:$BT379,,AH379+1)*AF379-ERP_i)*AE379*Ramure*Pc/MaxiM</f>
        <v>1.1859766948646173E-2</v>
      </c>
      <c r="AE379" s="306">
        <f t="shared" si="142"/>
        <v>0.7</v>
      </c>
      <c r="AF379" s="177">
        <f t="shared" si="143"/>
        <v>3.7235684266612168E-5</v>
      </c>
      <c r="AG379" s="921">
        <f t="shared" si="149"/>
        <v>2</v>
      </c>
      <c r="AH379" s="176">
        <f t="shared" si="144"/>
        <v>8</v>
      </c>
      <c r="AI379" s="222">
        <f t="shared" si="145"/>
        <v>2.0000372356842666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18.17506801901466</v>
      </c>
      <c r="J380" s="85">
        <f>IF(H380,An,'2024'!An_max)</f>
        <v>2024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5.1520665313782743E-2</v>
      </c>
      <c r="M381" s="961"/>
      <c r="N381" s="961"/>
      <c r="O381" s="47">
        <f t="shared" si="152"/>
        <v>3.8606042148348764E-2</v>
      </c>
      <c r="P381" s="168">
        <f t="shared" si="152"/>
        <v>0</v>
      </c>
      <c r="Q381" s="310">
        <f t="shared" si="152"/>
        <v>0.7</v>
      </c>
      <c r="R381" s="311">
        <f t="shared" si="152"/>
        <v>3.7855987799595425E-5</v>
      </c>
      <c r="S381" s="921">
        <f t="shared" si="152"/>
        <v>-2</v>
      </c>
      <c r="T381" s="176">
        <f t="shared" si="152"/>
        <v>4</v>
      </c>
      <c r="U381" s="252">
        <f>MIN(U15:U380)</f>
        <v>-1.9999621440122004</v>
      </c>
      <c r="V381" s="57">
        <f>MIN(V15:V380)</f>
        <v>23.448744242882505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0.13023816230728266</v>
      </c>
      <c r="AD381" s="168">
        <f t="shared" si="153"/>
        <v>1.1585226774567939E-3</v>
      </c>
      <c r="AE381" s="310">
        <f t="shared" si="153"/>
        <v>0.7</v>
      </c>
      <c r="AF381" s="311">
        <f t="shared" si="153"/>
        <v>7.6458540778645556E-6</v>
      </c>
      <c r="AG381" s="921">
        <f t="shared" si="153"/>
        <v>1</v>
      </c>
      <c r="AH381" s="176">
        <f t="shared" si="153"/>
        <v>7</v>
      </c>
      <c r="AI381" s="226">
        <f>MIN(AI15:AI380)</f>
        <v>1.5000385087204373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29.017458264512427</v>
      </c>
      <c r="C382" s="375"/>
      <c r="D382" s="375">
        <f>AVERAGE(D15:D380)</f>
        <v>30.712393787820645</v>
      </c>
      <c r="E382" s="375">
        <f>AVERAGE(E15:E380)</f>
        <v>32.606160343118098</v>
      </c>
      <c r="F382" s="376">
        <f>AVERAGE(F15:F380)</f>
        <v>32.628681423835225</v>
      </c>
      <c r="G382" s="126">
        <f>AVERAGE(G15:G380)</f>
        <v>0.67910977021265562</v>
      </c>
      <c r="H382" s="94"/>
      <c r="I382" s="376">
        <f>AVERAGE(I15:I380)</f>
        <v>43.990592704803042</v>
      </c>
      <c r="J382" s="59">
        <f>AVERAGE(J15:J380)</f>
        <v>2020.6530054644809</v>
      </c>
      <c r="K382" s="200" t="s">
        <v>8</v>
      </c>
      <c r="L382" s="147">
        <f t="shared" ref="L382:V382" si="154">AVERAGE(L15:L380)</f>
        <v>5.529155694254298E-2</v>
      </c>
      <c r="M382" s="959"/>
      <c r="N382" s="959"/>
      <c r="O382" s="48">
        <f t="shared" si="154"/>
        <v>5.8029179957483849E-2</v>
      </c>
      <c r="P382" s="169">
        <f t="shared" si="154"/>
        <v>1.2749368769386263E-3</v>
      </c>
      <c r="Q382" s="312">
        <f t="shared" si="154"/>
        <v>0.69999999999999529</v>
      </c>
      <c r="R382" s="177">
        <f t="shared" si="154"/>
        <v>0.3829452062148741</v>
      </c>
      <c r="S382" s="921">
        <f t="shared" si="154"/>
        <v>-1.2684931506849315</v>
      </c>
      <c r="T382" s="176">
        <f t="shared" si="154"/>
        <v>4.7315068493150685</v>
      </c>
      <c r="U382" s="251">
        <f>AVERAGE(U15:U380)</f>
        <v>-0.88554794447005769</v>
      </c>
      <c r="V382" s="59">
        <f t="shared" si="154"/>
        <v>41.539285412900625</v>
      </c>
      <c r="X382" s="112" t="s">
        <v>8</v>
      </c>
      <c r="Y382" s="375">
        <f>AVERAGE(Y15:Y380)</f>
        <v>26.465239165762309</v>
      </c>
      <c r="Z382" s="375">
        <f>AVERAGE(Z15:Z380)</f>
        <v>28.011320663602682</v>
      </c>
      <c r="AA382" s="375">
        <f>AVERAGE(AA15:AA380)</f>
        <v>32.505021844029834</v>
      </c>
      <c r="AB382" s="200" t="s">
        <v>8</v>
      </c>
      <c r="AC382" s="48">
        <f t="shared" ref="AC382:AH382" si="155">AVERAGE(AC15:AC380)</f>
        <v>0.13759190638799457</v>
      </c>
      <c r="AD382" s="169">
        <f t="shared" si="155"/>
        <v>5.6946791732165958E-3</v>
      </c>
      <c r="AE382" s="312">
        <f t="shared" si="155"/>
        <v>0.69999999999999529</v>
      </c>
      <c r="AF382" s="177">
        <f t="shared" si="155"/>
        <v>0.74156594133601939</v>
      </c>
      <c r="AG382" s="921">
        <f t="shared" si="155"/>
        <v>1.0383561643835617</v>
      </c>
      <c r="AH382" s="176">
        <f t="shared" si="155"/>
        <v>7.0383561643835613</v>
      </c>
      <c r="AI382" s="225">
        <f>AVERAGE(AI15:AI380)</f>
        <v>1.7799221057195822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53.78158532041499</v>
      </c>
      <c r="C383" s="377"/>
      <c r="D383" s="377">
        <f>MAX(D15:D380)</f>
        <v>56.887066944609238</v>
      </c>
      <c r="E383" s="377">
        <f>MAX(E15:E380)</f>
        <v>60.233310214333848</v>
      </c>
      <c r="F383" s="378">
        <f>MAX(F15:F380)</f>
        <v>60.251561411651238</v>
      </c>
      <c r="G383" s="127">
        <f>+MAX(G15:G380)</f>
        <v>1.0462551840388286</v>
      </c>
      <c r="H383" s="94"/>
      <c r="I383" s="378">
        <f>MAX(I15:I380)</f>
        <v>61.987907498178245</v>
      </c>
      <c r="J383" s="60">
        <f>MAX(J15:J380)</f>
        <v>2025</v>
      </c>
      <c r="K383" s="200" t="s">
        <v>9</v>
      </c>
      <c r="L383" s="148">
        <f t="shared" ref="L383:T383" si="156">MAX(L15:L380)</f>
        <v>5.9052468041096096E-2</v>
      </c>
      <c r="M383" s="962"/>
      <c r="N383" s="962"/>
      <c r="O383" s="49">
        <f t="shared" si="156"/>
        <v>7.2966952803594651E-2</v>
      </c>
      <c r="P383" s="170">
        <f t="shared" si="156"/>
        <v>9.371112240564609E-3</v>
      </c>
      <c r="Q383" s="313">
        <f t="shared" si="156"/>
        <v>0.7</v>
      </c>
      <c r="R383" s="314">
        <f t="shared" si="156"/>
        <v>0.52404229787811407</v>
      </c>
      <c r="S383" s="922">
        <f t="shared" si="156"/>
        <v>1</v>
      </c>
      <c r="T383" s="233">
        <f t="shared" si="156"/>
        <v>7</v>
      </c>
      <c r="U383" s="253">
        <f>MAX(U15:U380)</f>
        <v>1.5240422978781141</v>
      </c>
      <c r="V383" s="60">
        <f>MAX(V15:V380)</f>
        <v>53.440920271357427</v>
      </c>
      <c r="X383" s="112" t="s">
        <v>9</v>
      </c>
      <c r="Y383" s="377">
        <f>MAX(Y15:Y380)</f>
        <v>48.809597192060139</v>
      </c>
      <c r="Z383" s="377">
        <f>MAX(Z15:Z380)</f>
        <v>51.627983936541774</v>
      </c>
      <c r="AA383" s="377">
        <f>MAX(AA15:AA380)</f>
        <v>59.890532715767172</v>
      </c>
      <c r="AB383" s="200" t="s">
        <v>9</v>
      </c>
      <c r="AC383" s="49">
        <f t="shared" ref="AC383:AH383" si="157">MAX(AC15:AC380)</f>
        <v>0.14269994819454054</v>
      </c>
      <c r="AD383" s="170">
        <f t="shared" si="157"/>
        <v>1.3443647748253509E-2</v>
      </c>
      <c r="AE383" s="313">
        <f t="shared" si="157"/>
        <v>0.7</v>
      </c>
      <c r="AF383" s="314">
        <f t="shared" si="157"/>
        <v>0.99999945723440842</v>
      </c>
      <c r="AG383" s="922">
        <f t="shared" si="157"/>
        <v>2</v>
      </c>
      <c r="AH383" s="233">
        <f t="shared" si="157"/>
        <v>8</v>
      </c>
      <c r="AI383" s="227">
        <f>MAX(AI15:AI380)</f>
        <v>2.0000372356842666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'2025'!An+1</f>
        <v>2026</v>
      </c>
      <c r="K1" s="1217"/>
      <c r="L1" s="113" t="str">
        <f>"Calcul pertes et enveloppes en "&amp;TEXT(An,0)</f>
        <v>Calcul pertes et enveloppes en 2026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2026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184.75158052995167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568.49592616790676</v>
      </c>
      <c r="AK4" s="948">
        <f>AM12-AK12</f>
        <v>40.022316481804936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753.28305041858107</v>
      </c>
      <c r="AA5" s="237">
        <f>Wh_Pvg_s-Wh_Pvg</f>
        <v>40.022316481804936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2767.7165314067383</v>
      </c>
      <c r="AK5" s="517">
        <f>SUMIF(AK15:AK380,"VRAI",Wh)</f>
        <v>0</v>
      </c>
      <c r="AL5" s="517">
        <f>SUMIF(AJ15:AJ380,"VRAI",Wh_s)</f>
        <v>2575.0621621697046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7977.5866302846398</v>
      </c>
      <c r="AK6" s="517">
        <f>SUMIF(AK15:AK380,"FAUX",Wh)</f>
        <v>10745.303161691387</v>
      </c>
      <c r="AL6" s="517">
        <f>SUMIF(AJ15:AJ380,"FAUX",Wh_s)</f>
        <v>7371.7509963374223</v>
      </c>
      <c r="AM6" s="517">
        <f>SUMIF(AK15:AK380,"FAUX",Wh_s)</f>
        <v>9946.8131585071351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AND(YEAR(Tnet)=An,Resal_2026="I")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2945.764870825657</v>
      </c>
      <c r="AK7" s="517">
        <f>SUMIF(AK15:AK380,"VRAI",Wh_sa)</f>
        <v>0</v>
      </c>
      <c r="AL7" s="517">
        <f>SUMIF(AJ15:AJ380,"VRAI",Wh_pvt_s)</f>
        <v>2740.7247082964318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AND(YEAR(Tnet)=An,Resal_2026&lt;&gt;"I")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8518.9891653353443</v>
      </c>
      <c r="AK8" s="517">
        <f>SUMIF(AK15:AK380,"FAUX",Wh_sa)</f>
        <v>11903.941264353298</v>
      </c>
      <c r="AL8" s="517">
        <f>SUMIF(AJ15:AJ380,"FAUX",Wh_pvt_s)</f>
        <v>7872.0742433458336</v>
      </c>
      <c r="AM8" s="517">
        <f>SUMIF(AK15:AK380,"FAUX",Wh_sa_s)</f>
        <v>11855.704970389368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11464.75403616101</v>
      </c>
      <c r="E9" s="184">
        <f>SUM(E$15:E$380)</f>
        <v>11903.941264353298</v>
      </c>
      <c r="F9" s="184">
        <f>SUM(F$15:F$380)</f>
        <v>11910.967738291572</v>
      </c>
      <c r="H9" s="1218">
        <f>+SUM(Wh)</f>
        <v>10745.303161691387</v>
      </c>
      <c r="I9" s="1219"/>
      <c r="J9" s="1220"/>
      <c r="K9" s="191"/>
      <c r="L9" s="232"/>
      <c r="M9" s="232"/>
      <c r="N9" s="232"/>
      <c r="O9" s="223">
        <f>Tnet_2026</f>
        <v>46142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9946.8131585071351</v>
      </c>
      <c r="Y9" s="1213"/>
      <c r="Z9" s="517">
        <f>SUM(Z$15:Z$380)</f>
        <v>10612.798951642262</v>
      </c>
      <c r="AA9" s="517">
        <f>SUM(AA$15:AA$380)</f>
        <v>11855.704970389368</v>
      </c>
      <c r="AB9" s="517">
        <f>F9</f>
        <v>11910.967738291572</v>
      </c>
      <c r="AC9" s="325">
        <f>IF(An_Tnet,Tnet,'2025'!Tnet_s)</f>
        <v>46142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3195.8631536982548</v>
      </c>
      <c r="AK9" s="517">
        <f>SUMIF(AK15:AK380,"VRAI",Wh_hp)</f>
        <v>0</v>
      </c>
      <c r="AL9" s="517">
        <f>SUMIF(AJ15:AJ380,"VRAI",Wh_sa_s)</f>
        <v>3187.4609784590602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8.0000000000000002E-3</v>
      </c>
      <c r="P10" s="422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IF(OR(Inflex,GainD),'2025'!Resal_s+('2025'!Salim-'2025'!Resal_s)*(1-EXP(('2025'!Tnet_s-Tnet)/('2025'!Tau_j))),IF(Acti_net,'2025'!Resal+('2025'!Salim-'2025'!Resal)*(1-EXP(('2025'!Tnet-Tnet)/'2025'!Tau_j)),'2025'!Resal_s))</f>
        <v>8.1960597907046018E-2</v>
      </c>
      <c r="AD10" s="429"/>
      <c r="AE10" s="429"/>
      <c r="AF10" s="260"/>
      <c r="AG10" s="261"/>
      <c r="AH10" s="262"/>
      <c r="AI10" s="474"/>
      <c r="AJ10" s="517">
        <f>SUMIF(AJ15:AJ380,"FAUX",Wh_sa)</f>
        <v>8708.078110655033</v>
      </c>
      <c r="AK10" s="517">
        <f>SUMIF(AK15:AK380,"FAUX",Wh_hp)</f>
        <v>11910.967738291572</v>
      </c>
      <c r="AL10" s="517">
        <f>SUMIF(AJ15:AJ380,"FAUX",Wh_sa_s)</f>
        <v>8668.2439919303069</v>
      </c>
      <c r="AM10" s="517">
        <f>SUMIF(AK15:AK380,"FAUX",Wh_hp)</f>
        <v>11910.967738291572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719.45087446962316</v>
      </c>
      <c r="E11" s="51">
        <f>(E$9-D$9)*Prod_an/D$9</f>
        <v>411.62679083949178</v>
      </c>
      <c r="F11" s="186">
        <f>(F$9-E$9)*Prod_an/E$9</f>
        <v>6.3425709979413663</v>
      </c>
      <c r="G11" s="185" t="s">
        <v>6</v>
      </c>
      <c r="K11" s="194"/>
      <c r="L11" s="211">
        <f>Tvie_2026</f>
        <v>43243</v>
      </c>
      <c r="M11" s="958"/>
      <c r="N11" s="958"/>
      <c r="O11" s="202">
        <f>IF(An_Tnet,Salim_2026,'2025'!Salim)</f>
        <v>0.16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-1.0249503306897125</v>
      </c>
      <c r="V11" s="429"/>
      <c r="W11" s="520"/>
      <c r="X11" s="527" t="s">
        <v>44</v>
      </c>
      <c r="Y11" s="50">
        <f>Z$9-Prod_an_s</f>
        <v>665.9857931351271</v>
      </c>
      <c r="Z11" s="51">
        <f>(AA$9-Z$9)*Prod_an_s/Z$9</f>
        <v>1164.9098412580729</v>
      </c>
      <c r="AA11" s="186">
        <f>(AB$9-AA$9)*Prod_an_s/AA$9</f>
        <v>46.364887479746301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234.98180687751679</v>
      </c>
      <c r="AK11" s="948">
        <f>IF($AK7=0,0,($AK9-$AK7)*$AK5/$AK7)</f>
        <v>0</v>
      </c>
      <c r="AL11" s="947">
        <f>IF($AL7=0,0,($AL9-$AL7)*$AL5/$AL7)</f>
        <v>419.73338740746846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4.6255184038828556E-2</v>
      </c>
      <c r="K12" s="191"/>
      <c r="L12" s="212">
        <f>Pspv_2026</f>
        <v>0</v>
      </c>
      <c r="M12" s="212"/>
      <c r="N12" s="212"/>
      <c r="O12" s="205">
        <f>IF(An_Tnet,Tau_2026*365,'2025'!Tau_j)</f>
        <v>1095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-1.5249503306897125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'2025'!Df_s</f>
        <v>0.7</v>
      </c>
      <c r="AF12" s="203"/>
      <c r="AG12" s="203"/>
      <c r="AH12" s="203"/>
      <c r="AI12" s="297">
        <f>'2025'!Hdf_s</f>
        <v>2.0000372356842666</v>
      </c>
      <c r="AJ12" s="947">
        <f>IF($AJ8=0,0,($AJ10-$AJ8)*$AJ6/$AJ8)</f>
        <v>177.07188175037336</v>
      </c>
      <c r="AK12" s="948">
        <f>IF($AK8=0,0,($AK10-$AK8)*$AK6/$AK8)</f>
        <v>6.3425709979413663</v>
      </c>
      <c r="AL12" s="947">
        <f>IF($AL8=0,0,($AL10-$AL8)*$AL6/$AL8)</f>
        <v>745.5678079182801</v>
      </c>
      <c r="AM12" s="948">
        <f>IF($AM8=0,0,($AM10-$AM8)*$AM6/$AM8)</f>
        <v>46.364887479746301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412.05368862789015</v>
      </c>
      <c r="AK13" s="73">
        <f>+AK11+AK12</f>
        <v>6.3425709979413663</v>
      </c>
      <c r="AL13" s="73">
        <f>+AL11+AL12</f>
        <v>1165.3011953257485</v>
      </c>
      <c r="AM13" s="73">
        <f>+AM11+AM12</f>
        <v>46.364887479746301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2026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2026</v>
      </c>
      <c r="W14" s="372" t="s">
        <v>119</v>
      </c>
      <c r="X14" s="258" t="s">
        <v>2</v>
      </c>
      <c r="Y14" s="107" t="str">
        <f>"Wh / Jour "&amp; TEXT(An,0)</f>
        <v>Wh / Jour 2026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24.48628465342755</v>
      </c>
      <c r="C15" s="955"/>
      <c r="D15" s="393">
        <f t="shared" ref="D15:D78" si="0">Wh/(1-Ppv)</f>
        <v>26.023577453540948</v>
      </c>
      <c r="E15" s="400">
        <f t="shared" ref="E15:E79" si="1">Wh_pvt/(1-Psa)</f>
        <v>28.074212983539933</v>
      </c>
      <c r="F15" s="400">
        <f t="shared" ref="F15:F78" si="2">Wh_sa/(1-Pvg*MEDIAN((-Sdif+Wh/Env_an)/Csdif,0,1))</f>
        <v>28.07998035678612</v>
      </c>
      <c r="G15" s="123">
        <f>+Wh_hp/MaxiM</f>
        <v>0.98235650270621278</v>
      </c>
      <c r="H15" s="414" t="b">
        <f>Wh_hp&gt;='2025'!Maxi_hp</f>
        <v>1</v>
      </c>
      <c r="I15" s="396">
        <f>IF(H15,Wh_hp,'2025'!Maxi_hp)</f>
        <v>28.07998035678612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5.9073077206924229E-2</v>
      </c>
      <c r="M15" s="959"/>
      <c r="N15" s="959"/>
      <c r="O15" s="48">
        <f>IF(t&lt;Tnet,'2025'!Resal+('2025'!Salim-'2025'!Resal)*(1-EXP(('2025'!Tnet-t)/('2025'!Tau_j))),Resal+(Salim-Resal)*(1-EXP((Tnet-t)/(Tau_j))))*Salcycl</f>
        <v>7.3043384375593601E-2</v>
      </c>
      <c r="P15" s="302">
        <f>(INDEX(Models!$BJ15:$BT15,,T15)*(1-R15)+INDEX(Models!$BJ15:$BT15,,T15+1)*R15-ERP_i)*Q15*Ramure*Pc/MaxiM</f>
        <v>2.107000526303561E-4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0.47505086480851677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-1.5249491351914832</v>
      </c>
      <c r="V15" s="382">
        <f t="shared" ref="V15:V78" si="9">MaxiM*(1-Ppv)*(1-Pvg)*(1-Psa)</f>
        <v>24.925935297978743</v>
      </c>
      <c r="W15" s="402">
        <f t="shared" ref="W15:W78" si="10">Wh*(A15&gt;Tmaj)</f>
        <v>24.48628465342755</v>
      </c>
      <c r="X15" s="156">
        <f t="shared" ref="X15:X78" si="11">t</f>
        <v>46023</v>
      </c>
      <c r="Y15" s="385">
        <f t="shared" ref="Y15:Y78" si="12">Wh_pvt_s*(1-Ppv)</f>
        <v>22.492452371034133</v>
      </c>
      <c r="Z15" s="385">
        <f>Wh_sa_s*(1-Psa_s)</f>
        <v>23.904568809942074</v>
      </c>
      <c r="AA15" s="386">
        <f t="shared" ref="AA15:AA78" si="13">Wh_hp*(1-Pvg_s*MEDIAN((-Sdif+Wh/Env_an)/Csdif,0,1))</f>
        <v>27.754077947808767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0.13870066752372945</v>
      </c>
      <c r="AD15" s="231">
        <f>(INDEX(Models!$BJ15:$BT15,,AH15)*(1-AF15)+INDEX(Models!$BJ15:$BT15,,AH15+1)*AF15-ERP_i)*AE15*Ramure*Pc/MaxiM</f>
        <v>1.1906226941230679E-2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3.8431182495912708E-5</v>
      </c>
      <c r="AG15" s="92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2.0000384311824959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17.111978661233429</v>
      </c>
      <c r="C16" s="955"/>
      <c r="D16" s="393">
        <f t="shared" si="0"/>
        <v>18.186697660744152</v>
      </c>
      <c r="E16" s="385">
        <f t="shared" si="1"/>
        <v>19.621413883517732</v>
      </c>
      <c r="F16" s="385">
        <f t="shared" si="2"/>
        <v>19.623643799409226</v>
      </c>
      <c r="G16" s="110">
        <f t="shared" ref="G16:G79" si="21">+Wh_hp/MaxiM</f>
        <v>0.68145177611784236</v>
      </c>
      <c r="H16" s="414" t="b">
        <f>Wh_hp&gt;='2025'!Maxi_hp</f>
        <v>0</v>
      </c>
      <c r="I16" s="390">
        <f>IF(H16,Wh_hp,'2025'!Maxi_hp)</f>
        <v>25.967841110496515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5.9093685921358663E-2</v>
      </c>
      <c r="M16" s="959"/>
      <c r="N16" s="959"/>
      <c r="O16" s="48">
        <f>IF(t&lt;Tnet,'2025'!Resal+('2025'!Salim-'2025'!Resal)*(1-EXP(('2025'!Tnet-t)/('2025'!Tau_j))),Resal+(Salim-Resal)*(1-EXP((Tnet-t)/(Tau_j))))*Salcycl</f>
        <v>7.3119920475188824E-2</v>
      </c>
      <c r="P16" s="169">
        <f>(INDEX(Models!$BJ16:$BT16,,T16)*(1-R16)+INDEX(Models!$BJ16:$BT16,,T16+1)*R16-ERP_i)*Q16*Ramure*Pc/MaxiM</f>
        <v>2.0849402931887194E-4</v>
      </c>
      <c r="Q16" s="305">
        <f t="shared" si="4"/>
        <v>0.7</v>
      </c>
      <c r="R16" s="177">
        <f t="shared" si="5"/>
        <v>0.47508007942251118</v>
      </c>
      <c r="S16" s="921">
        <f t="shared" si="6"/>
        <v>-2</v>
      </c>
      <c r="T16" s="176">
        <f t="shared" si="7"/>
        <v>4</v>
      </c>
      <c r="U16" s="251">
        <f t="shared" si="8"/>
        <v>-1.5249199205774888</v>
      </c>
      <c r="V16" s="383">
        <f t="shared" si="9"/>
        <v>25.108680960280193</v>
      </c>
      <c r="W16" s="402">
        <f t="shared" si="10"/>
        <v>17.111978661233429</v>
      </c>
      <c r="X16" s="157">
        <f t="shared" si="11"/>
        <v>46024</v>
      </c>
      <c r="Y16" s="385">
        <f t="shared" si="12"/>
        <v>15.799292069060549</v>
      </c>
      <c r="Z16" s="385">
        <f t="shared" ref="Z16:Z78" si="22">Wh_sa_s*(1-Psa_s)</f>
        <v>16.791567696653843</v>
      </c>
      <c r="AA16" s="386">
        <f t="shared" si="13"/>
        <v>19.495940158072816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0.13871464722870283</v>
      </c>
      <c r="AD16" s="231">
        <f>(INDEX(Models!$BJ16:$BT16,,AH16)*(1-AF16)+INDEX(Models!$BJ16:$BT16,,AH16+1)*AF16-ERP_i)*AE16*Ramure*Pc/MaxiM</f>
        <v>1.1940112558724502E-2</v>
      </c>
      <c r="AE16" s="305">
        <f t="shared" si="15"/>
        <v>0.7</v>
      </c>
      <c r="AF16" s="177">
        <f t="shared" ref="AF16:AF78" si="23">(Hp_vg_s-AG16)/(INDEX(Echel_vg,AH16+1)-AG16)</f>
        <v>6.7645796490101162E-5</v>
      </c>
      <c r="AG16" s="921">
        <f t="shared" ref="AG16:AG79" si="24">INDEX(Echel_vg,AH16)</f>
        <v>2</v>
      </c>
      <c r="AH16" s="176">
        <f t="shared" si="16"/>
        <v>8</v>
      </c>
      <c r="AI16" s="225">
        <f t="shared" si="17"/>
        <v>2.0000676457964901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18.126268165137468</v>
      </c>
      <c r="C17" s="955"/>
      <c r="D17" s="393">
        <f t="shared" si="0"/>
        <v>19.265111642253107</v>
      </c>
      <c r="E17" s="385">
        <f t="shared" si="1"/>
        <v>20.786620382071916</v>
      </c>
      <c r="F17" s="385">
        <f t="shared" si="2"/>
        <v>20.789175405854291</v>
      </c>
      <c r="G17" s="110">
        <f t="shared" si="21"/>
        <v>0.71649179122138418</v>
      </c>
      <c r="H17" s="414" t="b">
        <f>Wh_hp&gt;='2025'!Maxi_hp</f>
        <v>0</v>
      </c>
      <c r="I17" s="390">
        <f>IF(H17,Wh_hp,'2025'!Maxi_hp)</f>
        <v>30.270872638205173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5.9114294184409388E-2</v>
      </c>
      <c r="M17" s="959"/>
      <c r="N17" s="959"/>
      <c r="O17" s="48">
        <f>IF(t&lt;Tnet,'2025'!Resal+('2025'!Salim-'2025'!Resal)*(1-EXP(('2025'!Tnet-t)/('2025'!Tau_j))),Resal+(Salim-Resal)*(1-EXP((Tnet-t)/(Tau_j))))*Salcycl</f>
        <v>7.3196542384113744E-2</v>
      </c>
      <c r="P17" s="169">
        <f>(INDEX(Models!$BJ17:$BT17,,T17)*(1-R17)+INDEX(Models!$BJ17:$BT17,,T17+1)*R17-ERP_i)*Q17*Ramure*Pc/MaxiM</f>
        <v>2.0653173208706209E-4</v>
      </c>
      <c r="Q17" s="305">
        <f t="shared" si="4"/>
        <v>0.7</v>
      </c>
      <c r="R17" s="177">
        <f t="shared" si="5"/>
        <v>0.47511051601800069</v>
      </c>
      <c r="S17" s="921">
        <f t="shared" si="6"/>
        <v>-2</v>
      </c>
      <c r="T17" s="176">
        <f t="shared" si="7"/>
        <v>4</v>
      </c>
      <c r="U17" s="251">
        <f t="shared" si="8"/>
        <v>-1.5248894839819993</v>
      </c>
      <c r="V17" s="383">
        <f t="shared" si="9"/>
        <v>25.296524397665433</v>
      </c>
      <c r="W17" s="402">
        <f t="shared" si="10"/>
        <v>18.126268165137468</v>
      </c>
      <c r="X17" s="157">
        <f t="shared" si="11"/>
        <v>46025</v>
      </c>
      <c r="Y17" s="385">
        <f t="shared" si="12"/>
        <v>16.726746546389197</v>
      </c>
      <c r="Z17" s="385">
        <f t="shared" si="22"/>
        <v>17.777660392757166</v>
      </c>
      <c r="AA17" s="386">
        <f t="shared" si="13"/>
        <v>20.641190444111654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0.1387289196864793</v>
      </c>
      <c r="AD17" s="231">
        <f>(INDEX(Models!$BJ17:$BT17,,AH17)*(1-AF17)+INDEX(Models!$BJ17:$BT17,,AH17+1)*AF17-ERP_i)*AE17*Ramure*Pc/MaxiM</f>
        <v>1.1962154983599368E-2</v>
      </c>
      <c r="AE17" s="305">
        <f t="shared" si="15"/>
        <v>0.7</v>
      </c>
      <c r="AF17" s="177">
        <f>(Hp_vg_s-AG17)/(INDEX(Echel_vg,AH17+1)-AG17)</f>
        <v>9.8082391979836814E-5</v>
      </c>
      <c r="AG17" s="921">
        <f>INDEX(Echel_vg,AH17)</f>
        <v>2</v>
      </c>
      <c r="AH17" s="176">
        <f t="shared" si="16"/>
        <v>8</v>
      </c>
      <c r="AI17" s="225">
        <f t="shared" si="17"/>
        <v>2.0000980823919798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18.95096059978767</v>
      </c>
      <c r="C18" s="955"/>
      <c r="D18" s="393">
        <f t="shared" si="0"/>
        <v>20.142059302649187</v>
      </c>
      <c r="E18" s="385">
        <f t="shared" si="1"/>
        <v>21.734625600742969</v>
      </c>
      <c r="F18" s="385">
        <f t="shared" si="2"/>
        <v>21.737446549578166</v>
      </c>
      <c r="G18" s="110">
        <f t="shared" si="21"/>
        <v>0.74346611789369987</v>
      </c>
      <c r="H18" s="414" t="b">
        <f>Wh_hp&gt;='2025'!Maxi_hp</f>
        <v>0</v>
      </c>
      <c r="I18" s="390">
        <f>IF(H18,Wh_hp,'2025'!Maxi_hp)</f>
        <v>25.910930416910517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5.9134901996086287E-2</v>
      </c>
      <c r="M18" s="959"/>
      <c r="N18" s="959"/>
      <c r="O18" s="48">
        <f>IF(t&lt;Tnet,'2025'!Resal+('2025'!Salim-'2025'!Resal)*(1-EXP(('2025'!Tnet-t)/('2025'!Tau_j))),Resal+(Salim-Resal)*(1-EXP((Tnet-t)/(Tau_j))))*Salcycl</f>
        <v>7.3273233565124801E-2</v>
      </c>
      <c r="P18" s="169">
        <f>(INDEX(Models!$BJ18:$BT18,,T18)*(1-R18)+INDEX(Models!$BJ18:$BT18,,T18+1)*R18-ERP_i)*Q18*Ramure*Pc/MaxiM</f>
        <v>2.0481871201232166E-4</v>
      </c>
      <c r="Q18" s="305">
        <f t="shared" si="4"/>
        <v>0.7</v>
      </c>
      <c r="R18" s="177">
        <f t="shared" si="5"/>
        <v>0.47514222554929586</v>
      </c>
      <c r="S18" s="921">
        <f t="shared" si="6"/>
        <v>-2</v>
      </c>
      <c r="T18" s="176">
        <f t="shared" si="7"/>
        <v>4</v>
      </c>
      <c r="U18" s="251">
        <f t="shared" si="8"/>
        <v>-1.5248577744507041</v>
      </c>
      <c r="V18" s="383">
        <f t="shared" si="9"/>
        <v>25.488099301410731</v>
      </c>
      <c r="W18" s="402">
        <f t="shared" si="10"/>
        <v>18.95096059978767</v>
      </c>
      <c r="X18" s="157">
        <f t="shared" si="11"/>
        <v>46026</v>
      </c>
      <c r="Y18" s="385">
        <f t="shared" si="12"/>
        <v>17.480795627697802</v>
      </c>
      <c r="Z18" s="385">
        <f>Wh_sa_s*(1-Psa_s)</f>
        <v>18.579492070419096</v>
      </c>
      <c r="AA18" s="386">
        <f t="shared" si="13"/>
        <v>21.572540871864561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0.13874345257813706</v>
      </c>
      <c r="AD18" s="231">
        <f>(INDEX(Models!$BJ18:$BT18,,AH18)*(1-AF18)+INDEX(Models!$BJ18:$BT18,,AH18+1)*AF18-ERP_i)*AE18*Ramure*Pc/MaxiM</f>
        <v>1.1973194299511609E-2</v>
      </c>
      <c r="AE18" s="305">
        <f t="shared" si="15"/>
        <v>0.7</v>
      </c>
      <c r="AF18" s="177">
        <f t="shared" si="23"/>
        <v>1.2979192327478017E-4</v>
      </c>
      <c r="AG18" s="921">
        <f t="shared" si="24"/>
        <v>2</v>
      </c>
      <c r="AH18" s="176">
        <f t="shared" si="16"/>
        <v>8</v>
      </c>
      <c r="AI18" s="225">
        <f t="shared" si="17"/>
        <v>2.0001297919232748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13.385810404983586</v>
      </c>
      <c r="C19" s="955"/>
      <c r="D19" s="393">
        <f t="shared" si="0"/>
        <v>14.227441982284226</v>
      </c>
      <c r="E19" s="385">
        <f t="shared" si="1"/>
        <v>15.353630463906283</v>
      </c>
      <c r="F19" s="385">
        <f t="shared" si="2"/>
        <v>15.354617235575605</v>
      </c>
      <c r="G19" s="110">
        <f t="shared" si="21"/>
        <v>0.52114039432111303</v>
      </c>
      <c r="H19" s="414" t="b">
        <f>Wh_hp&gt;='2025'!Maxi_hp</f>
        <v>0</v>
      </c>
      <c r="I19" s="390">
        <f>IF(H19,Wh_hp,'2025'!Maxi_hp)</f>
        <v>29.868700088933423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5.9155509356399127E-2</v>
      </c>
      <c r="M19" s="959"/>
      <c r="N19" s="959"/>
      <c r="O19" s="48">
        <f>IF(t&lt;Tnet,'2025'!Resal+('2025'!Salim-'2025'!Resal)*(1-EXP(('2025'!Tnet-t)/('2025'!Tau_j))),Resal+(Salim-Resal)*(1-EXP((Tnet-t)/(Tau_j))))*Salcycl</f>
        <v>7.3349979620099023E-2</v>
      </c>
      <c r="P19" s="169">
        <f>(INDEX(Models!$BJ19:$BT19,,T19)*(1-R19)+INDEX(Models!$BJ19:$BT19,,T19+1)*R19-ERP_i)*Q19*Ramure*Pc/MaxiM</f>
        <v>2.03359878925407E-4</v>
      </c>
      <c r="Q19" s="305">
        <f t="shared" si="4"/>
        <v>0.7</v>
      </c>
      <c r="R19" s="177">
        <f t="shared" si="5"/>
        <v>0.47517526108185737</v>
      </c>
      <c r="S19" s="921">
        <f t="shared" si="6"/>
        <v>-2</v>
      </c>
      <c r="T19" s="176">
        <f t="shared" si="7"/>
        <v>4</v>
      </c>
      <c r="U19" s="251">
        <f t="shared" si="8"/>
        <v>-1.5248247389181426</v>
      </c>
      <c r="V19" s="383">
        <f t="shared" si="9"/>
        <v>25.68203988744451</v>
      </c>
      <c r="W19" s="402">
        <f t="shared" si="10"/>
        <v>13.385810404983586</v>
      </c>
      <c r="X19" s="157">
        <f t="shared" si="11"/>
        <v>46027</v>
      </c>
      <c r="Y19" s="385">
        <f t="shared" si="12"/>
        <v>12.394683291233743</v>
      </c>
      <c r="Z19" s="385">
        <f t="shared" si="22"/>
        <v>13.173997843952881</v>
      </c>
      <c r="AA19" s="386">
        <f t="shared" si="13"/>
        <v>15.296515003737058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0.13875821775519642</v>
      </c>
      <c r="AD19" s="231">
        <f>(INDEX(Models!$BJ19:$BT19,,AH19)*(1-AF19)+INDEX(Models!$BJ19:$BT19,,AH19+1)*AF19-ERP_i)*AE19*Ramure*Pc/MaxiM</f>
        <v>1.1974059652642871E-2</v>
      </c>
      <c r="AE19" s="305">
        <f t="shared" si="15"/>
        <v>0.7</v>
      </c>
      <c r="AF19" s="177">
        <f t="shared" si="23"/>
        <v>1.6282745583673375E-4</v>
      </c>
      <c r="AG19" s="921">
        <f t="shared" si="24"/>
        <v>2</v>
      </c>
      <c r="AH19" s="176">
        <f t="shared" si="16"/>
        <v>8</v>
      </c>
      <c r="AI19" s="225">
        <f t="shared" si="17"/>
        <v>2.0001628274558367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24.617861630340958</v>
      </c>
      <c r="C20" s="955"/>
      <c r="D20" s="393">
        <f t="shared" si="0"/>
        <v>26.166280486650987</v>
      </c>
      <c r="E20" s="385">
        <f t="shared" si="1"/>
        <v>28.23984072653948</v>
      </c>
      <c r="F20" s="385">
        <f t="shared" si="2"/>
        <v>28.245153845152206</v>
      </c>
      <c r="G20" s="110">
        <f t="shared" si="21"/>
        <v>0.95132874000869005</v>
      </c>
      <c r="H20" s="414" t="b">
        <f>Wh_hp&gt;='2025'!Maxi_hp</f>
        <v>0</v>
      </c>
      <c r="I20" s="390">
        <f>IF(H20,Wh_hp,'2025'!Maxi_hp)</f>
        <v>28.521480989437787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5.9176116265358014E-2</v>
      </c>
      <c r="M20" s="959"/>
      <c r="N20" s="959"/>
      <c r="O20" s="48">
        <f>IF(t&lt;Tnet,'2025'!Resal+('2025'!Salim-'2025'!Resal)*(1-EXP(('2025'!Tnet-t)/('2025'!Tau_j))),Resal+(Salim-Resal)*(1-EXP((Tnet-t)/(Tau_j))))*Salcycl</f>
        <v>7.3426768230310357E-2</v>
      </c>
      <c r="P20" s="169">
        <f>(INDEX(Models!$BJ20:$BT20,,T20)*(1-R20)+INDEX(Models!$BJ20:$BT20,,T20+1)*R20-ERP_i)*Q20*Ramure*Pc/MaxiM</f>
        <v>2.0215963713897367E-4</v>
      </c>
      <c r="Q20" s="305">
        <f t="shared" si="4"/>
        <v>0.7</v>
      </c>
      <c r="R20" s="177">
        <f t="shared" si="5"/>
        <v>0.47520967787860813</v>
      </c>
      <c r="S20" s="921">
        <f t="shared" si="6"/>
        <v>-2</v>
      </c>
      <c r="T20" s="176">
        <f t="shared" si="7"/>
        <v>4</v>
      </c>
      <c r="U20" s="251">
        <f t="shared" si="8"/>
        <v>-1.5247903221213919</v>
      </c>
      <c r="V20" s="383">
        <f t="shared" si="9"/>
        <v>25.876980890595256</v>
      </c>
      <c r="W20" s="402">
        <f t="shared" si="10"/>
        <v>24.617861630340958</v>
      </c>
      <c r="X20" s="157">
        <f t="shared" si="11"/>
        <v>46028</v>
      </c>
      <c r="Y20" s="385">
        <f t="shared" si="12"/>
        <v>22.631187451676574</v>
      </c>
      <c r="Z20" s="385">
        <f t="shared" si="22"/>
        <v>24.054648104638964</v>
      </c>
      <c r="AA20" s="386">
        <f t="shared" si="13"/>
        <v>27.930677327094742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0.1387731911068176</v>
      </c>
      <c r="AD20" s="231">
        <f>(INDEX(Models!$BJ20:$BT20,,AH20)*(1-AF20)+INDEX(Models!$BJ20:$BT20,,AH20+1)*AF20-ERP_i)*AE20*Ramure*Pc/MaxiM</f>
        <v>1.1965563619632167E-2</v>
      </c>
      <c r="AE20" s="305">
        <f t="shared" si="15"/>
        <v>0.7</v>
      </c>
      <c r="AF20" s="177">
        <f t="shared" si="23"/>
        <v>1.9724425258749179E-4</v>
      </c>
      <c r="AG20" s="921">
        <f t="shared" si="24"/>
        <v>2</v>
      </c>
      <c r="AH20" s="176">
        <f t="shared" si="16"/>
        <v>8</v>
      </c>
      <c r="AI20" s="225">
        <f t="shared" si="17"/>
        <v>2.0001972442525875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8.9470911694242954</v>
      </c>
      <c r="C21" s="955"/>
      <c r="D21" s="393">
        <f t="shared" si="0"/>
        <v>9.5100552745946167</v>
      </c>
      <c r="E21" s="385">
        <f t="shared" si="1"/>
        <v>10.264535472028044</v>
      </c>
      <c r="F21" s="385">
        <f t="shared" si="2"/>
        <v>10.264662865884594</v>
      </c>
      <c r="G21" s="110">
        <f t="shared" si="21"/>
        <v>0.34310960572312882</v>
      </c>
      <c r="H21" s="414" t="b">
        <f>Wh_hp&gt;='2025'!Maxi_hp</f>
        <v>0</v>
      </c>
      <c r="I21" s="390">
        <f>IF(H21,Wh_hp,'2025'!Maxi_hp)</f>
        <v>15.334327230197083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5.9196722722972606E-2</v>
      </c>
      <c r="M21" s="959"/>
      <c r="N21" s="959"/>
      <c r="O21" s="48">
        <f>IF(t&lt;Tnet,'2025'!Resal+('2025'!Salim-'2025'!Resal)*(1-EXP(('2025'!Tnet-t)/('2025'!Tau_j))),Resal+(Salim-Resal)*(1-EXP((Tnet-t)/(Tau_j))))*Salcycl</f>
        <v>7.350358908003829E-2</v>
      </c>
      <c r="P21" s="169">
        <f>(INDEX(Models!$BJ21:$BT21,,T21)*(1-R21)+INDEX(Models!$BJ21:$BT21,,T21+1)*R21-ERP_i)*Q21*Ramure*Pc/MaxiM</f>
        <v>2.012220214589063E-4</v>
      </c>
      <c r="Q21" s="305">
        <f t="shared" si="4"/>
        <v>0.7</v>
      </c>
      <c r="R21" s="177">
        <f t="shared" si="5"/>
        <v>0.47524553348967125</v>
      </c>
      <c r="S21" s="921">
        <f t="shared" si="6"/>
        <v>-2</v>
      </c>
      <c r="T21" s="176">
        <f t="shared" si="7"/>
        <v>4</v>
      </c>
      <c r="U21" s="251">
        <f t="shared" si="8"/>
        <v>-1.5247544665103288</v>
      </c>
      <c r="V21" s="383">
        <f t="shared" si="9"/>
        <v>26.071557569541714</v>
      </c>
      <c r="W21" s="402">
        <f t="shared" si="10"/>
        <v>8.9470911694242954</v>
      </c>
      <c r="X21" s="157">
        <f t="shared" si="11"/>
        <v>46029</v>
      </c>
      <c r="Y21" s="385">
        <f t="shared" si="12"/>
        <v>8.3106163189171074</v>
      </c>
      <c r="Z21" s="385">
        <f t="shared" si="22"/>
        <v>8.8335324925425152</v>
      </c>
      <c r="AA21" s="386">
        <f t="shared" si="13"/>
        <v>10.257098260482261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0.13878835239634466</v>
      </c>
      <c r="AD21" s="231">
        <f>(INDEX(Models!$BJ21:$BT21,,AH21)*(1-AF21)+INDEX(Models!$BJ21:$BT21,,AH21+1)*AF21-ERP_i)*AE21*Ramure*Pc/MaxiM</f>
        <v>1.1948497610605251E-2</v>
      </c>
      <c r="AE21" s="305">
        <f t="shared" si="15"/>
        <v>0.7</v>
      </c>
      <c r="AF21" s="177">
        <f t="shared" si="23"/>
        <v>2.3309986365038782E-4</v>
      </c>
      <c r="AG21" s="921">
        <f t="shared" si="24"/>
        <v>2</v>
      </c>
      <c r="AH21" s="176">
        <f t="shared" si="16"/>
        <v>8</v>
      </c>
      <c r="AI21" s="225">
        <f t="shared" si="17"/>
        <v>2.0002330998636504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5.1861868688495578</v>
      </c>
      <c r="C22" s="955"/>
      <c r="D22" s="393">
        <f t="shared" si="0"/>
        <v>5.5126300974957365</v>
      </c>
      <c r="E22" s="385">
        <f t="shared" si="1"/>
        <v>5.9504681230967886</v>
      </c>
      <c r="F22" s="385">
        <f t="shared" si="2"/>
        <v>5.9504681230967886</v>
      </c>
      <c r="G22" s="110">
        <f t="shared" si="21"/>
        <v>0.1974210584690117</v>
      </c>
      <c r="H22" s="414" t="b">
        <f>Wh_hp&gt;='2025'!Maxi_hp</f>
        <v>0</v>
      </c>
      <c r="I22" s="390">
        <f>IF(H22,Wh_hp,'2025'!Maxi_hp)</f>
        <v>20.926751067686602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5.9217328729253005E-2</v>
      </c>
      <c r="M22" s="959"/>
      <c r="N22" s="959"/>
      <c r="O22" s="48">
        <f>IF(t&lt;Tnet,'2025'!Resal+('2025'!Salim-'2025'!Resal)*(1-EXP(('2025'!Tnet-t)/('2025'!Tau_j))),Resal+(Salim-Resal)*(1-EXP((Tnet-t)/(Tau_j))))*Salcycl</f>
        <v>7.3580433764795894E-2</v>
      </c>
      <c r="P22" s="169">
        <f>(INDEX(Models!$BJ22:$BT22,,T22)*(1-R22)+INDEX(Models!$BJ22:$BT22,,T22+1)*R22-ERP_i)*Q22*Ramure*Pc/MaxiM</f>
        <v>2.0055083255859305E-4</v>
      </c>
      <c r="Q22" s="305">
        <f t="shared" si="4"/>
        <v>0.7</v>
      </c>
      <c r="R22" s="177">
        <f t="shared" si="5"/>
        <v>0.47528288784566852</v>
      </c>
      <c r="S22" s="921">
        <f t="shared" si="6"/>
        <v>-2</v>
      </c>
      <c r="T22" s="176">
        <f t="shared" si="7"/>
        <v>4</v>
      </c>
      <c r="U22" s="251">
        <f t="shared" si="8"/>
        <v>-1.5247171121543315</v>
      </c>
      <c r="V22" s="383">
        <f t="shared" si="9"/>
        <v>26.264405707099854</v>
      </c>
      <c r="W22" s="402">
        <f t="shared" si="10"/>
        <v>5.1861868688495578</v>
      </c>
      <c r="X22" s="157">
        <f t="shared" si="11"/>
        <v>46030</v>
      </c>
      <c r="Y22" s="385">
        <f t="shared" si="12"/>
        <v>4.8210607620722472</v>
      </c>
      <c r="Z22" s="385">
        <f t="shared" si="22"/>
        <v>5.1245212197204664</v>
      </c>
      <c r="AA22" s="386">
        <f t="shared" si="13"/>
        <v>5.9504681230967886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0.13880368506981874</v>
      </c>
      <c r="AD22" s="231">
        <f>(INDEX(Models!$BJ22:$BT22,,AH22)*(1-AF22)+INDEX(Models!$BJ22:$BT22,,AH22+1)*AF22-ERP_i)*AE22*Ramure*Pc/MaxiM</f>
        <v>1.1923628236214847E-2</v>
      </c>
      <c r="AE22" s="305">
        <f t="shared" si="15"/>
        <v>0.7</v>
      </c>
      <c r="AF22" s="177">
        <f t="shared" si="23"/>
        <v>2.7045421964766447E-4</v>
      </c>
      <c r="AG22" s="921">
        <f t="shared" si="24"/>
        <v>2</v>
      </c>
      <c r="AH22" s="176">
        <f t="shared" si="16"/>
        <v>8</v>
      </c>
      <c r="AI22" s="225">
        <f t="shared" si="17"/>
        <v>2.0002704542196477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1.5419103265144223</v>
      </c>
      <c r="C23" s="955"/>
      <c r="D23" s="393">
        <f t="shared" si="0"/>
        <v>1.6390013827154475</v>
      </c>
      <c r="E23" s="385">
        <f t="shared" si="1"/>
        <v>1.7693250835590706</v>
      </c>
      <c r="F23" s="385">
        <f t="shared" si="2"/>
        <v>1.7693250835590706</v>
      </c>
      <c r="G23" s="110">
        <f t="shared" si="21"/>
        <v>5.8267948537919466E-2</v>
      </c>
      <c r="H23" s="414" t="b">
        <f>Wh_hp&gt;='2025'!Maxi_hp</f>
        <v>0</v>
      </c>
      <c r="I23" s="390">
        <f>IF(H23,Wh_hp,'2025'!Maxi_hp)</f>
        <v>27.858667670277544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5.9237934284208871E-2</v>
      </c>
      <c r="M23" s="959"/>
      <c r="N23" s="959"/>
      <c r="O23" s="48">
        <f>IF(t&lt;Tnet,'2025'!Resal+('2025'!Salim-'2025'!Resal)*(1-EXP(('2025'!Tnet-t)/('2025'!Tau_j))),Resal+(Salim-Resal)*(1-EXP((Tnet-t)/(Tau_j))))*Salcycl</f>
        <v>7.3657295685579577E-2</v>
      </c>
      <c r="P23" s="169">
        <f>(INDEX(Models!$BJ23:$BT23,,T23)*(1-R23)+INDEX(Models!$BJ23:$BT23,,T23+1)*R23-ERP_i)*Q23*Ramure*Pc/MaxiM</f>
        <v>2.0012744171838266E-4</v>
      </c>
      <c r="Q23" s="305">
        <f t="shared" si="4"/>
        <v>0.7</v>
      </c>
      <c r="R23" s="177">
        <f t="shared" si="5"/>
        <v>0.47532180335470353</v>
      </c>
      <c r="S23" s="921">
        <f t="shared" si="6"/>
        <v>-2</v>
      </c>
      <c r="T23" s="176">
        <f t="shared" si="7"/>
        <v>4</v>
      </c>
      <c r="U23" s="251">
        <f t="shared" si="8"/>
        <v>-1.5246781966452965</v>
      </c>
      <c r="V23" s="383">
        <f t="shared" si="9"/>
        <v>26.457113844366397</v>
      </c>
      <c r="W23" s="402">
        <f t="shared" si="10"/>
        <v>1.5419103265144223</v>
      </c>
      <c r="X23" s="157">
        <f t="shared" si="11"/>
        <v>46031</v>
      </c>
      <c r="Y23" s="385">
        <f t="shared" si="12"/>
        <v>1.433447469577654</v>
      </c>
      <c r="Z23" s="385">
        <f t="shared" si="22"/>
        <v>1.5237088333137634</v>
      </c>
      <c r="AA23" s="386">
        <f t="shared" si="13"/>
        <v>1.7693250835590706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0.1388191760392839</v>
      </c>
      <c r="AD23" s="231">
        <f>(INDEX(Models!$BJ23:$BT23,,AH23)*(1-AF23)+INDEX(Models!$BJ23:$BT23,,AH23+1)*AF23-ERP_i)*AE23*Ramure*Pc/MaxiM</f>
        <v>1.1890367874918565E-2</v>
      </c>
      <c r="AE23" s="305">
        <f t="shared" si="15"/>
        <v>0.7</v>
      </c>
      <c r="AF23" s="177">
        <f t="shared" si="23"/>
        <v>3.0936972868289558E-4</v>
      </c>
      <c r="AG23" s="921">
        <f t="shared" si="24"/>
        <v>2</v>
      </c>
      <c r="AH23" s="176">
        <f t="shared" si="16"/>
        <v>8</v>
      </c>
      <c r="AI23" s="225">
        <f t="shared" si="17"/>
        <v>2.0003093697286829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1.4266718825251277</v>
      </c>
      <c r="C24" s="955"/>
      <c r="D24" s="393">
        <f t="shared" si="0"/>
        <v>1.5165398170043214</v>
      </c>
      <c r="E24" s="385">
        <f t="shared" si="1"/>
        <v>1.6372619692672565</v>
      </c>
      <c r="F24" s="385">
        <f t="shared" si="2"/>
        <v>1.6372619692672565</v>
      </c>
      <c r="G24" s="110">
        <f t="shared" si="21"/>
        <v>5.3518150943415235E-2</v>
      </c>
      <c r="H24" s="414" t="b">
        <f>Wh_hp&gt;='2025'!Maxi_hp</f>
        <v>0</v>
      </c>
      <c r="I24" s="390">
        <f>IF(H24,Wh_hp,'2025'!Maxi_hp)</f>
        <v>10.822941868477683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5.9258539387850195E-2</v>
      </c>
      <c r="M24" s="959"/>
      <c r="N24" s="959"/>
      <c r="O24" s="48">
        <f>IF(t&lt;Tnet,'2025'!Resal+('2025'!Salim-'2025'!Resal)*(1-EXP(('2025'!Tnet-t)/('2025'!Tau_j))),Resal+(Salim-Resal)*(1-EXP((Tnet-t)/(Tau_j))))*Salcycl</f>
        <v>7.3734169930645521E-2</v>
      </c>
      <c r="P24" s="169">
        <f>(INDEX(Models!$BJ24:$BT24,,T24)*(1-R24)+INDEX(Models!$BJ24:$BT24,,T24+1)*R24-ERP_i)*Q24*Ramure*Pc/MaxiM</f>
        <v>1.9966685347448489E-4</v>
      </c>
      <c r="Q24" s="305">
        <f t="shared" si="4"/>
        <v>0.7</v>
      </c>
      <c r="R24" s="177">
        <f t="shared" si="5"/>
        <v>0.4753623450031732</v>
      </c>
      <c r="S24" s="921">
        <f t="shared" si="6"/>
        <v>-2</v>
      </c>
      <c r="T24" s="176">
        <f t="shared" si="7"/>
        <v>4</v>
      </c>
      <c r="U24" s="251">
        <f t="shared" si="8"/>
        <v>-1.5246376549968268</v>
      </c>
      <c r="V24" s="383">
        <f t="shared" si="9"/>
        <v>26.652397332402664</v>
      </c>
      <c r="W24" s="402">
        <f t="shared" si="10"/>
        <v>1.4266718825251277</v>
      </c>
      <c r="X24" s="157">
        <f t="shared" si="11"/>
        <v>46032</v>
      </c>
      <c r="Y24" s="385">
        <f t="shared" si="12"/>
        <v>1.3264012501937921</v>
      </c>
      <c r="Z24" s="385">
        <f t="shared" si="22"/>
        <v>1.4099530059307577</v>
      </c>
      <c r="AA24" s="386">
        <f t="shared" si="13"/>
        <v>1.6372619692672565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0.13883481544387741</v>
      </c>
      <c r="AD24" s="231">
        <f>(INDEX(Models!$BJ24:$BT24,,AH24)*(1-AF24)+INDEX(Models!$BJ24:$BT24,,AH24+1)*AF24-ERP_i)*AE24*Ramure*Pc/MaxiM</f>
        <v>1.1841212371722629E-2</v>
      </c>
      <c r="AE24" s="305">
        <f t="shared" si="15"/>
        <v>0.7</v>
      </c>
      <c r="AF24" s="177">
        <f t="shared" si="23"/>
        <v>3.4991137715234544E-4</v>
      </c>
      <c r="AG24" s="921">
        <f t="shared" si="24"/>
        <v>2</v>
      </c>
      <c r="AH24" s="176">
        <f t="shared" si="16"/>
        <v>8</v>
      </c>
      <c r="AI24" s="225">
        <f t="shared" si="17"/>
        <v>2.0003499113771523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26.466423205124407</v>
      </c>
      <c r="C25" s="955"/>
      <c r="D25" s="393">
        <f t="shared" si="0"/>
        <v>28.134194152760482</v>
      </c>
      <c r="E25" s="385">
        <f t="shared" si="1"/>
        <v>30.376300913908079</v>
      </c>
      <c r="F25" s="385">
        <f t="shared" si="2"/>
        <v>30.382225730473625</v>
      </c>
      <c r="G25" s="110">
        <f t="shared" si="21"/>
        <v>0.98568898431782626</v>
      </c>
      <c r="H25" s="414" t="b">
        <f>Wh_hp&gt;='2025'!Maxi_hp</f>
        <v>1</v>
      </c>
      <c r="I25" s="390">
        <f>IF(H25,Wh_hp,'2025'!Maxi_hp)</f>
        <v>30.382225730473625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5.9279144040186971E-2</v>
      </c>
      <c r="M25" s="959"/>
      <c r="N25" s="959"/>
      <c r="O25" s="48">
        <f>IF(t&lt;Tnet,'2025'!Resal+('2025'!Salim-'2025'!Resal)*(1-EXP(('2025'!Tnet-t)/('2025'!Tau_j))),Resal+(Salim-Resal)*(1-EXP((Tnet-t)/(Tau_j))))*Salcycl</f>
        <v>7.3811053146402891E-2</v>
      </c>
      <c r="P25" s="169">
        <f>(INDEX(Models!$BJ25:$BT25,,T25)*(1-R25)+INDEX(Models!$BJ25:$BT25,,T25+1)*R25-ERP_i)*Q25*Ramure*Pc/MaxiM</f>
        <v>1.990781744772928E-4</v>
      </c>
      <c r="Q25" s="305">
        <f t="shared" si="4"/>
        <v>0.7</v>
      </c>
      <c r="R25" s="177">
        <f t="shared" si="5"/>
        <v>0.47540458046053913</v>
      </c>
      <c r="S25" s="921">
        <f t="shared" si="6"/>
        <v>-2</v>
      </c>
      <c r="T25" s="176">
        <f t="shared" si="7"/>
        <v>4</v>
      </c>
      <c r="U25" s="251">
        <f t="shared" si="8"/>
        <v>-1.5245954195394609</v>
      </c>
      <c r="V25" s="383">
        <f t="shared" si="9"/>
        <v>26.850574488135496</v>
      </c>
      <c r="W25" s="402">
        <f t="shared" si="10"/>
        <v>26.466423205124407</v>
      </c>
      <c r="X25" s="157">
        <f t="shared" si="11"/>
        <v>46033</v>
      </c>
      <c r="Y25" s="385">
        <f t="shared" si="12"/>
        <v>24.328770044085093</v>
      </c>
      <c r="Z25" s="385">
        <f t="shared" si="22"/>
        <v>25.861837642860127</v>
      </c>
      <c r="AA25" s="386">
        <f t="shared" si="13"/>
        <v>30.031766305011175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0.13885059639183608</v>
      </c>
      <c r="AD25" s="231">
        <f>(INDEX(Models!$BJ25:$BT25,,AH25)*(1-AF25)+INDEX(Models!$BJ25:$BT25,,AH25+1)*AF25-ERP_i)*AE25*Ramure*Pc/MaxiM</f>
        <v>1.1775693285618829E-2</v>
      </c>
      <c r="AE25" s="305">
        <f t="shared" si="15"/>
        <v>0.7</v>
      </c>
      <c r="AF25" s="177">
        <f t="shared" si="23"/>
        <v>3.9214683451849197E-4</v>
      </c>
      <c r="AG25" s="921">
        <f t="shared" si="24"/>
        <v>2</v>
      </c>
      <c r="AH25" s="176">
        <f t="shared" si="16"/>
        <v>8</v>
      </c>
      <c r="AI25" s="225">
        <f t="shared" si="17"/>
        <v>2.0003921468345185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21.463627823504542</v>
      </c>
      <c r="C26" s="955"/>
      <c r="D26" s="393">
        <f t="shared" si="0"/>
        <v>22.816649387916375</v>
      </c>
      <c r="E26" s="385">
        <f t="shared" si="1"/>
        <v>24.637028775610233</v>
      </c>
      <c r="F26" s="385">
        <f t="shared" si="2"/>
        <v>24.640474076846377</v>
      </c>
      <c r="G26" s="110">
        <f t="shared" si="21"/>
        <v>0.79337579781307055</v>
      </c>
      <c r="H26" s="414" t="b">
        <f>Wh_hp&gt;='2025'!Maxi_hp</f>
        <v>0</v>
      </c>
      <c r="I26" s="390">
        <f>IF(H26,Wh_hp,'2025'!Maxi_hp)</f>
        <v>30.267889314428743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5.9299748241228967E-2</v>
      </c>
      <c r="M26" s="959"/>
      <c r="N26" s="959"/>
      <c r="O26" s="48">
        <f>IF(t&lt;Tnet,'2025'!Resal+('2025'!Salim-'2025'!Resal)*(1-EXP(('2025'!Tnet-t)/('2025'!Tau_j))),Resal+(Salim-Resal)*(1-EXP((Tnet-t)/(Tau_j))))*Salcycl</f>
        <v>7.3887943399082695E-2</v>
      </c>
      <c r="P26" s="169">
        <f>(INDEX(Models!$BJ26:$BT26,,T26)*(1-R26)+INDEX(Models!$BJ26:$BT26,,T26+1)*R26-ERP_i)*Q26*Ramure*Pc/MaxiM</f>
        <v>1.9836153079775707E-4</v>
      </c>
      <c r="Q26" s="305">
        <f t="shared" si="4"/>
        <v>0.7</v>
      </c>
      <c r="R26" s="177">
        <f t="shared" si="5"/>
        <v>0.47544858018821023</v>
      </c>
      <c r="S26" s="921">
        <f t="shared" si="6"/>
        <v>-2</v>
      </c>
      <c r="T26" s="176">
        <f t="shared" si="7"/>
        <v>4</v>
      </c>
      <c r="U26" s="251">
        <f t="shared" si="8"/>
        <v>-1.5245514198117898</v>
      </c>
      <c r="V26" s="383">
        <f t="shared" si="9"/>
        <v>27.051961068685234</v>
      </c>
      <c r="W26" s="402">
        <f t="shared" si="10"/>
        <v>21.463627823504542</v>
      </c>
      <c r="X26" s="157">
        <f t="shared" si="11"/>
        <v>46034</v>
      </c>
      <c r="Y26" s="385">
        <f t="shared" si="12"/>
        <v>19.79593762228529</v>
      </c>
      <c r="Z26" s="385">
        <f t="shared" si="22"/>
        <v>21.043831534300121</v>
      </c>
      <c r="AA26" s="386">
        <f t="shared" si="13"/>
        <v>24.437362956153933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0.1388665146866527</v>
      </c>
      <c r="AD26" s="231">
        <f>(INDEX(Models!$BJ26:$BT26,,AH26)*(1-AF26)+INDEX(Models!$BJ26:$BT26,,AH26+1)*AF26-ERP_i)*AE26*Ramure*Pc/MaxiM</f>
        <v>1.1694023268540275E-2</v>
      </c>
      <c r="AE26" s="305">
        <f t="shared" si="15"/>
        <v>0.7</v>
      </c>
      <c r="AF26" s="177">
        <f t="shared" si="23"/>
        <v>4.361465621895988E-4</v>
      </c>
      <c r="AG26" s="921">
        <f t="shared" si="24"/>
        <v>2</v>
      </c>
      <c r="AH26" s="176">
        <f t="shared" si="16"/>
        <v>8</v>
      </c>
      <c r="AI26" s="225">
        <f t="shared" si="17"/>
        <v>2.0004361465621896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5.0145469893503698</v>
      </c>
      <c r="C27" s="955"/>
      <c r="D27" s="393">
        <f t="shared" si="0"/>
        <v>5.3307701510964529</v>
      </c>
      <c r="E27" s="385">
        <f t="shared" si="1"/>
        <v>5.7565526467297179</v>
      </c>
      <c r="F27" s="385">
        <f t="shared" si="2"/>
        <v>5.7565526467297179</v>
      </c>
      <c r="G27" s="110">
        <f t="shared" si="21"/>
        <v>0.18393733547120228</v>
      </c>
      <c r="H27" s="414" t="b">
        <f>Wh_hp&gt;='2025'!Maxi_hp</f>
        <v>0</v>
      </c>
      <c r="I27" s="390">
        <f>IF(H27,Wh_hp,'2025'!Maxi_hp)</f>
        <v>17.075177344016367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5.9320351990985953E-2</v>
      </c>
      <c r="M27" s="959"/>
      <c r="N27" s="959"/>
      <c r="O27" s="48">
        <f>IF(t&lt;Tnet,'2025'!Resal+('2025'!Salim-'2025'!Resal)*(1-EXP(('2025'!Tnet-t)/('2025'!Tau_j))),Resal+(Salim-Resal)*(1-EXP((Tnet-t)/(Tau_j))))*Salcycl</f>
        <v>7.3964840028893128E-2</v>
      </c>
      <c r="P27" s="169">
        <f>(INDEX(Models!$BJ27:$BT27,,T27)*(1-R27)+INDEX(Models!$BJ27:$BT27,,T27+1)*R27-ERP_i)*Q27*Ramure*Pc/MaxiM</f>
        <v>1.9751720355768649E-4</v>
      </c>
      <c r="Q27" s="305">
        <f t="shared" si="4"/>
        <v>0.7</v>
      </c>
      <c r="R27" s="177">
        <f t="shared" si="5"/>
        <v>0.4754944175526794</v>
      </c>
      <c r="S27" s="921">
        <f t="shared" si="6"/>
        <v>-2</v>
      </c>
      <c r="T27" s="176">
        <f t="shared" si="7"/>
        <v>4</v>
      </c>
      <c r="U27" s="251">
        <f t="shared" si="8"/>
        <v>-1.5245055824473206</v>
      </c>
      <c r="V27" s="383">
        <f t="shared" si="9"/>
        <v>27.256872658334562</v>
      </c>
      <c r="W27" s="402">
        <f t="shared" si="10"/>
        <v>5.0145469893503698</v>
      </c>
      <c r="X27" s="157">
        <f t="shared" si="11"/>
        <v>46035</v>
      </c>
      <c r="Y27" s="385">
        <f t="shared" si="12"/>
        <v>4.6630128207401098</v>
      </c>
      <c r="Z27" s="385">
        <f t="shared" si="22"/>
        <v>4.9570678292121686</v>
      </c>
      <c r="AA27" s="386">
        <f t="shared" si="13"/>
        <v>5.7565526467297179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0.13888256854069322</v>
      </c>
      <c r="AD27" s="231">
        <f>(INDEX(Models!$BJ27:$BT27,,AH27)*(1-AF27)+INDEX(Models!$BJ27:$BT27,,AH27+1)*AF27-ERP_i)*AE27*Ramure*Pc/MaxiM</f>
        <v>1.1596426463702889E-2</v>
      </c>
      <c r="AE27" s="305">
        <f t="shared" si="15"/>
        <v>0.7</v>
      </c>
      <c r="AF27" s="177">
        <f t="shared" si="23"/>
        <v>4.8198392665854684E-4</v>
      </c>
      <c r="AG27" s="921">
        <f t="shared" si="24"/>
        <v>2</v>
      </c>
      <c r="AH27" s="176">
        <f t="shared" si="16"/>
        <v>8</v>
      </c>
      <c r="AI27" s="225">
        <f t="shared" si="17"/>
        <v>2.0004819839266585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27.463504783411011</v>
      </c>
      <c r="C28" s="955"/>
      <c r="D28" s="393">
        <f t="shared" si="0"/>
        <v>29.196024784795778</v>
      </c>
      <c r="E28" s="385">
        <f t="shared" si="1"/>
        <v>31.530605812731398</v>
      </c>
      <c r="F28" s="385">
        <f t="shared" si="2"/>
        <v>31.536803550381315</v>
      </c>
      <c r="G28" s="110">
        <f t="shared" si="21"/>
        <v>0.99992279481029245</v>
      </c>
      <c r="H28" s="414" t="b">
        <f>Wh_hp&gt;='2025'!Maxi_hp</f>
        <v>1</v>
      </c>
      <c r="I28" s="390">
        <f>IF(H28,Wh_hp,'2025'!Maxi_hp)</f>
        <v>31.536803550381315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5.9340955289468034E-2</v>
      </c>
      <c r="M28" s="959"/>
      <c r="N28" s="959"/>
      <c r="O28" s="48">
        <f>IF(t&lt;Tnet,'2025'!Resal+('2025'!Salim-'2025'!Resal)*(1-EXP(('2025'!Tnet-t)/('2025'!Tau_j))),Resal+(Salim-Resal)*(1-EXP((Tnet-t)/(Tau_j))))*Salcycl</f>
        <v>7.4041743498406393E-2</v>
      </c>
      <c r="P28" s="169">
        <f>(INDEX(Models!$BJ28:$BT28,,T28)*(1-R28)+INDEX(Models!$BJ28:$BT28,,T28+1)*R28-ERP_i)*Q28*Ramure*Pc/MaxiM</f>
        <v>1.9654563568378107E-4</v>
      </c>
      <c r="Q28" s="305">
        <f t="shared" si="4"/>
        <v>0.7</v>
      </c>
      <c r="R28" s="177">
        <f t="shared" si="5"/>
        <v>0.475542168943069</v>
      </c>
      <c r="S28" s="921">
        <f t="shared" si="6"/>
        <v>-2</v>
      </c>
      <c r="T28" s="176">
        <f t="shared" si="7"/>
        <v>4</v>
      </c>
      <c r="U28" s="251">
        <f t="shared" si="8"/>
        <v>-1.524457831056931</v>
      </c>
      <c r="V28" s="383">
        <f t="shared" si="9"/>
        <v>27.465624676880996</v>
      </c>
      <c r="W28" s="402">
        <f t="shared" si="10"/>
        <v>27.463504783411011</v>
      </c>
      <c r="X28" s="157">
        <f t="shared" si="11"/>
        <v>46036</v>
      </c>
      <c r="Y28" s="385">
        <f t="shared" si="12"/>
        <v>25.251591867593948</v>
      </c>
      <c r="Z28" s="385">
        <f t="shared" si="22"/>
        <v>26.844574566722628</v>
      </c>
      <c r="AA28" s="386">
        <f t="shared" si="13"/>
        <v>31.174701958494833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0.13889875827962117</v>
      </c>
      <c r="AD28" s="231">
        <f>(INDEX(Models!$BJ28:$BT28,,AH28)*(1-AF28)+INDEX(Models!$BJ28:$BT28,,AH28+1)*AF28-ERP_i)*AE28*Ramure*Pc/MaxiM</f>
        <v>1.1483139748652074E-2</v>
      </c>
      <c r="AE28" s="305">
        <f t="shared" si="15"/>
        <v>0.7</v>
      </c>
      <c r="AF28" s="177">
        <f t="shared" si="23"/>
        <v>5.297353170479191E-4</v>
      </c>
      <c r="AG28" s="921">
        <f t="shared" si="24"/>
        <v>2</v>
      </c>
      <c r="AH28" s="176">
        <f t="shared" si="16"/>
        <v>8</v>
      </c>
      <c r="AI28" s="225">
        <f t="shared" si="17"/>
        <v>2.0005297353170479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27.307371086062634</v>
      </c>
      <c r="C29" s="955"/>
      <c r="D29" s="393">
        <f t="shared" si="0"/>
        <v>29.030677325890846</v>
      </c>
      <c r="E29" s="385">
        <f t="shared" si="1"/>
        <v>31.35464116443557</v>
      </c>
      <c r="F29" s="385">
        <f t="shared" si="2"/>
        <v>31.360653105184515</v>
      </c>
      <c r="G29" s="110">
        <f t="shared" si="21"/>
        <v>0.98658658803913191</v>
      </c>
      <c r="H29" s="414" t="b">
        <f>Wh_hp&gt;='2025'!Maxi_hp</f>
        <v>1</v>
      </c>
      <c r="I29" s="390">
        <f>IF(H29,Wh_hp,'2025'!Maxi_hp)</f>
        <v>31.360653105184515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5.9361558136684978E-2</v>
      </c>
      <c r="M29" s="959"/>
      <c r="N29" s="959"/>
      <c r="O29" s="48">
        <f>IF(t&lt;Tnet,'2025'!Resal+('2025'!Salim-'2025'!Resal)*(1-EXP(('2025'!Tnet-t)/('2025'!Tau_j))),Resal+(Salim-Resal)*(1-EXP((Tnet-t)/(Tau_j))))*Salcycl</f>
        <v>7.4118655236938655E-2</v>
      </c>
      <c r="P29" s="169">
        <f>(INDEX(Models!$BJ29:$BT29,,T29)*(1-R29)+INDEX(Models!$BJ29:$BT29,,T29+1)*R29-ERP_i)*Q29*Ramure*Pc/MaxiM</f>
        <v>1.9544743741999572E-4</v>
      </c>
      <c r="Q29" s="305">
        <f t="shared" si="4"/>
        <v>0.7</v>
      </c>
      <c r="R29" s="177">
        <f t="shared" si="5"/>
        <v>0.47559191389324118</v>
      </c>
      <c r="S29" s="921">
        <f t="shared" si="6"/>
        <v>-2</v>
      </c>
      <c r="T29" s="176">
        <f t="shared" si="7"/>
        <v>4</v>
      </c>
      <c r="U29" s="251">
        <f t="shared" si="8"/>
        <v>-1.5244080861067588</v>
      </c>
      <c r="V29" s="383">
        <f t="shared" si="9"/>
        <v>27.678532381261778</v>
      </c>
      <c r="W29" s="402">
        <f t="shared" si="10"/>
        <v>27.307371086062634</v>
      </c>
      <c r="X29" s="157">
        <f t="shared" si="11"/>
        <v>46037</v>
      </c>
      <c r="Y29" s="385">
        <f t="shared" si="12"/>
        <v>25.118284416631578</v>
      </c>
      <c r="Z29" s="385">
        <f t="shared" si="22"/>
        <v>26.703442362906891</v>
      </c>
      <c r="AA29" s="386">
        <f t="shared" si="13"/>
        <v>31.011392639701818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0.13891508604098432</v>
      </c>
      <c r="AD29" s="231">
        <f>(INDEX(Models!$BJ29:$BT29,,AH29)*(1-AF29)+INDEX(Models!$BJ29:$BT29,,AH29+1)*AF29-ERP_i)*AE29*Ramure*Pc/MaxiM</f>
        <v>1.1354413794364004E-2</v>
      </c>
      <c r="AE29" s="305">
        <f t="shared" si="15"/>
        <v>0.7</v>
      </c>
      <c r="AF29" s="177">
        <f t="shared" si="23"/>
        <v>5.7948026722032253E-4</v>
      </c>
      <c r="AG29" s="921">
        <f t="shared" si="24"/>
        <v>2</v>
      </c>
      <c r="AH29" s="176">
        <f t="shared" si="16"/>
        <v>8</v>
      </c>
      <c r="AI29" s="225">
        <f t="shared" si="17"/>
        <v>2.0005794802672203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27.008014103869229</v>
      </c>
      <c r="C30" s="955"/>
      <c r="D30" s="393">
        <f t="shared" si="0"/>
        <v>28.713057493320715</v>
      </c>
      <c r="E30" s="385">
        <f t="shared" si="1"/>
        <v>31.014171886593779</v>
      </c>
      <c r="F30" s="385">
        <f t="shared" si="2"/>
        <v>31.019921581206276</v>
      </c>
      <c r="G30" s="110">
        <f t="shared" si="21"/>
        <v>0.96816249048782155</v>
      </c>
      <c r="H30" s="414" t="b">
        <f>Wh_hp&gt;='2025'!Maxi_hp</f>
        <v>0</v>
      </c>
      <c r="I30" s="390">
        <f>IF(H30,Wh_hp,'2025'!Maxi_hp)</f>
        <v>32.204114318448951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5.9382160532646777E-2</v>
      </c>
      <c r="M30" s="959"/>
      <c r="N30" s="959"/>
      <c r="O30" s="48">
        <f>IF(t&lt;Tnet,'2025'!Resal+('2025'!Salim-'2025'!Resal)*(1-EXP(('2025'!Tnet-t)/('2025'!Tau_j))),Resal+(Salim-Resal)*(1-EXP((Tnet-t)/(Tau_j))))*Salcycl</f>
        <v>7.4195577482684502E-2</v>
      </c>
      <c r="P30" s="169">
        <f>(INDEX(Models!$BJ30:$BT30,,T30)*(1-R30)+INDEX(Models!$BJ30:$BT30,,T30+1)*R30-ERP_i)*Q30*Ramure*Pc/MaxiM</f>
        <v>1.9418446101061339E-4</v>
      </c>
      <c r="Q30" s="305">
        <f t="shared" si="4"/>
        <v>0.7</v>
      </c>
      <c r="R30" s="177">
        <f t="shared" si="5"/>
        <v>0.47564373520863445</v>
      </c>
      <c r="S30" s="921">
        <f t="shared" si="6"/>
        <v>-2</v>
      </c>
      <c r="T30" s="176">
        <f t="shared" si="7"/>
        <v>4</v>
      </c>
      <c r="U30" s="251">
        <f t="shared" si="8"/>
        <v>-1.5243562647913655</v>
      </c>
      <c r="V30" s="383">
        <f t="shared" si="9"/>
        <v>27.895911953037526</v>
      </c>
      <c r="W30" s="402">
        <f t="shared" si="10"/>
        <v>27.008014103869229</v>
      </c>
      <c r="X30" s="157">
        <f t="shared" si="11"/>
        <v>46038</v>
      </c>
      <c r="Y30" s="385">
        <f t="shared" si="12"/>
        <v>24.85562732068831</v>
      </c>
      <c r="Z30" s="385">
        <f t="shared" si="22"/>
        <v>26.424788344183849</v>
      </c>
      <c r="AA30" s="386">
        <f t="shared" si="13"/>
        <v>30.688371536616177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0.13893155547029226</v>
      </c>
      <c r="AD30" s="231">
        <f>(INDEX(Models!$BJ30:$BT30,,AH30)*(1-AF30)+INDEX(Models!$BJ30:$BT30,,AH30+1)*AF30-ERP_i)*AE30*Ramure*Pc/MaxiM</f>
        <v>1.1197441089627291E-2</v>
      </c>
      <c r="AE30" s="305">
        <f t="shared" si="15"/>
        <v>0.7</v>
      </c>
      <c r="AF30" s="177">
        <f t="shared" si="23"/>
        <v>6.3130158261381908E-4</v>
      </c>
      <c r="AG30" s="921">
        <f t="shared" si="24"/>
        <v>2</v>
      </c>
      <c r="AH30" s="176">
        <f t="shared" si="16"/>
        <v>8</v>
      </c>
      <c r="AI30" s="225">
        <f t="shared" si="17"/>
        <v>2.0006313015826138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18.717318362908028</v>
      </c>
      <c r="C31" s="955"/>
      <c r="D31" s="393">
        <f t="shared" si="0"/>
        <v>19.899397548950983</v>
      </c>
      <c r="E31" s="385">
        <f t="shared" si="1"/>
        <v>21.495956240979581</v>
      </c>
      <c r="F31" s="385">
        <f t="shared" si="2"/>
        <v>21.498119441379352</v>
      </c>
      <c r="G31" s="110">
        <f t="shared" si="21"/>
        <v>0.66560713830095908</v>
      </c>
      <c r="H31" s="414" t="b">
        <f>Wh_hp&gt;='2025'!Maxi_hp</f>
        <v>1</v>
      </c>
      <c r="I31" s="390">
        <f>IF(H31,Wh_hp,'2025'!Maxi_hp)</f>
        <v>21.498119441379352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5.9402762477363091E-2</v>
      </c>
      <c r="M31" s="959"/>
      <c r="N31" s="959"/>
      <c r="O31" s="48">
        <f>IF(t&lt;Tnet,'2025'!Resal+('2025'!Salim-'2025'!Resal)*(1-EXP(('2025'!Tnet-t)/('2025'!Tau_j))),Resal+(Salim-Resal)*(1-EXP((Tnet-t)/(Tau_j))))*Salcycl</f>
        <v>7.427251312434946E-2</v>
      </c>
      <c r="P31" s="169">
        <f>(INDEX(Models!$BJ31:$BT31,,T31)*(1-R31)+INDEX(Models!$BJ31:$BT31,,T31+1)*R31-ERP_i)*Q31*Ramure*Pc/MaxiM</f>
        <v>1.9262245270267316E-4</v>
      </c>
      <c r="Q31" s="305">
        <f t="shared" si="4"/>
        <v>0.7</v>
      </c>
      <c r="R31" s="177">
        <f t="shared" si="5"/>
        <v>0.47569771909798853</v>
      </c>
      <c r="S31" s="921">
        <f t="shared" si="6"/>
        <v>-2</v>
      </c>
      <c r="T31" s="176">
        <f t="shared" si="7"/>
        <v>4</v>
      </c>
      <c r="U31" s="251">
        <f t="shared" si="8"/>
        <v>-1.5243022809020115</v>
      </c>
      <c r="V31" s="383">
        <f t="shared" si="9"/>
        <v>28.118082161957119</v>
      </c>
      <c r="W31" s="402">
        <f t="shared" si="10"/>
        <v>18.717318362908028</v>
      </c>
      <c r="X31" s="157">
        <f t="shared" si="11"/>
        <v>46039</v>
      </c>
      <c r="Y31" s="385">
        <f t="shared" si="12"/>
        <v>17.311142663260043</v>
      </c>
      <c r="Z31" s="385">
        <f t="shared" si="22"/>
        <v>18.404415803787032</v>
      </c>
      <c r="AA31" s="386">
        <f t="shared" si="13"/>
        <v>21.374341465707996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0.13894817141785518</v>
      </c>
      <c r="AD31" s="231">
        <f>(INDEX(Models!$BJ31:$BT31,,AH31)*(1-AF31)+INDEX(Models!$BJ31:$BT31,,AH31+1)*AF31-ERP_i)*AE31*Ramure*Pc/MaxiM</f>
        <v>1.1021825470695136E-2</v>
      </c>
      <c r="AE31" s="305">
        <f t="shared" si="15"/>
        <v>0.7</v>
      </c>
      <c r="AF31" s="177">
        <f t="shared" si="23"/>
        <v>6.8528547196766709E-4</v>
      </c>
      <c r="AG31" s="921">
        <f t="shared" si="24"/>
        <v>2</v>
      </c>
      <c r="AH31" s="176">
        <f t="shared" si="16"/>
        <v>8</v>
      </c>
      <c r="AI31" s="225">
        <f t="shared" si="17"/>
        <v>2.0006852854719677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4.0043738426027593</v>
      </c>
      <c r="C32" s="955"/>
      <c r="D32" s="393">
        <f t="shared" si="0"/>
        <v>4.2573605267382293</v>
      </c>
      <c r="E32" s="385">
        <f t="shared" si="1"/>
        <v>4.599317310652455</v>
      </c>
      <c r="F32" s="385">
        <f t="shared" si="2"/>
        <v>4.599317310652455</v>
      </c>
      <c r="G32" s="110">
        <f t="shared" si="21"/>
        <v>0.14124393736327592</v>
      </c>
      <c r="H32" s="414" t="b">
        <f>Wh_hp&gt;='2025'!Maxi_hp</f>
        <v>0</v>
      </c>
      <c r="I32" s="390">
        <f>IF(H32,Wh_hp,'2025'!Maxi_hp)</f>
        <v>30.961638796552403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5.9423363970844023E-2</v>
      </c>
      <c r="M32" s="959"/>
      <c r="N32" s="959"/>
      <c r="O32" s="48">
        <f>IF(t&lt;Tnet,'2025'!Resal+('2025'!Salim-'2025'!Resal)*(1-EXP(('2025'!Tnet-t)/('2025'!Tau_j))),Resal+(Salim-Resal)*(1-EXP((Tnet-t)/(Tau_j))))*Salcycl</f>
        <v>7.4349465543988788E-2</v>
      </c>
      <c r="P32" s="169">
        <f>(INDEX(Models!$BJ32:$BT32,,T32)*(1-R32)+INDEX(Models!$BJ32:$BT32,,T32+1)*R32-ERP_i)*Q32*Ramure*Pc/MaxiM</f>
        <v>1.9076673748436295E-4</v>
      </c>
      <c r="Q32" s="305">
        <f t="shared" si="4"/>
        <v>0.7</v>
      </c>
      <c r="R32" s="177">
        <f t="shared" si="5"/>
        <v>0.47575395531013021</v>
      </c>
      <c r="S32" s="921">
        <f t="shared" si="6"/>
        <v>-2</v>
      </c>
      <c r="T32" s="176">
        <f t="shared" si="7"/>
        <v>4</v>
      </c>
      <c r="U32" s="251">
        <f t="shared" si="8"/>
        <v>-1.5242460446898698</v>
      </c>
      <c r="V32" s="383">
        <f t="shared" si="9"/>
        <v>28.345357797354175</v>
      </c>
      <c r="W32" s="402">
        <f t="shared" si="10"/>
        <v>4.0043738426027593</v>
      </c>
      <c r="X32" s="157">
        <f t="shared" si="11"/>
        <v>46040</v>
      </c>
      <c r="Y32" s="385">
        <f t="shared" si="12"/>
        <v>3.7248466294004632</v>
      </c>
      <c r="Z32" s="385">
        <f t="shared" si="22"/>
        <v>3.9601734581944266</v>
      </c>
      <c r="AA32" s="386">
        <f t="shared" si="13"/>
        <v>4.599317310652455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0.13896493963956574</v>
      </c>
      <c r="AD32" s="231">
        <f>(INDEX(Models!$BJ32:$BT32,,AH32)*(1-AF32)+INDEX(Models!$BJ32:$BT32,,AH32+1)*AF32-ERP_i)*AE32*Ramure*Pc/MaxiM</f>
        <v>1.0827960263706672E-2</v>
      </c>
      <c r="AE32" s="305">
        <f t="shared" si="15"/>
        <v>0.7</v>
      </c>
      <c r="AF32" s="177">
        <f t="shared" si="23"/>
        <v>7.4152168410934749E-4</v>
      </c>
      <c r="AG32" s="921">
        <f t="shared" si="24"/>
        <v>2</v>
      </c>
      <c r="AH32" s="176">
        <f t="shared" si="16"/>
        <v>8</v>
      </c>
      <c r="AI32" s="225">
        <f t="shared" si="17"/>
        <v>2.0007415216841093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9.6998950436770794</v>
      </c>
      <c r="C33" s="955"/>
      <c r="D33" s="393">
        <f t="shared" si="0"/>
        <v>10.312936904192181</v>
      </c>
      <c r="E33" s="385">
        <f t="shared" si="1"/>
        <v>11.142212064769206</v>
      </c>
      <c r="F33" s="385">
        <f t="shared" si="2"/>
        <v>11.14233041329501</v>
      </c>
      <c r="G33" s="110">
        <f t="shared" si="21"/>
        <v>0.33935720744748182</v>
      </c>
      <c r="H33" s="414" t="b">
        <f>Wh_hp&gt;='2025'!Maxi_hp</f>
        <v>0</v>
      </c>
      <c r="I33" s="390">
        <f>IF(H33,Wh_hp,'2025'!Maxi_hp)</f>
        <v>32.578902251016416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5.9443965013099342E-2</v>
      </c>
      <c r="M33" s="959"/>
      <c r="N33" s="959"/>
      <c r="O33" s="48">
        <f>IF(t&lt;Tnet,'2025'!Resal+('2025'!Salim-'2025'!Resal)*(1-EXP(('2025'!Tnet-t)/('2025'!Tau_j))),Resal+(Salim-Resal)*(1-EXP((Tnet-t)/(Tau_j))))*Salcycl</f>
        <v>7.4426438462711408E-2</v>
      </c>
      <c r="P33" s="169">
        <f>(INDEX(Models!$BJ33:$BT33,,T33)*(1-R33)+INDEX(Models!$BJ33:$BT33,,T33+1)*R33-ERP_i)*Q33*Ramure*Pc/MaxiM</f>
        <v>1.8862289554554335E-4</v>
      </c>
      <c r="Q33" s="305">
        <f t="shared" si="4"/>
        <v>0.7</v>
      </c>
      <c r="R33" s="177">
        <f t="shared" si="5"/>
        <v>0.47581253727599115</v>
      </c>
      <c r="S33" s="921">
        <f t="shared" si="6"/>
        <v>-2</v>
      </c>
      <c r="T33" s="176">
        <f t="shared" si="7"/>
        <v>4</v>
      </c>
      <c r="U33" s="251">
        <f t="shared" si="8"/>
        <v>-1.5241874627240088</v>
      </c>
      <c r="V33" s="383">
        <f t="shared" si="9"/>
        <v>28.578053501968121</v>
      </c>
      <c r="W33" s="402">
        <f t="shared" si="10"/>
        <v>9.6998950436770794</v>
      </c>
      <c r="X33" s="157">
        <f t="shared" si="11"/>
        <v>46041</v>
      </c>
      <c r="Y33" s="385">
        <f t="shared" si="12"/>
        <v>9.01806376116485</v>
      </c>
      <c r="Z33" s="385">
        <f t="shared" si="22"/>
        <v>9.5880132875766897</v>
      </c>
      <c r="AA33" s="386">
        <f t="shared" si="13"/>
        <v>11.135669406466578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0.13898186650468908</v>
      </c>
      <c r="AD33" s="231">
        <f>(INDEX(Models!$BJ33:$BT33,,AH33)*(1-AF33)+INDEX(Models!$BJ33:$BT33,,AH33+1)*AF33-ERP_i)*AE33*Ramure*Pc/MaxiM</f>
        <v>1.0616257251067532E-2</v>
      </c>
      <c r="AE33" s="305">
        <f t="shared" si="15"/>
        <v>0.7</v>
      </c>
      <c r="AF33" s="177">
        <f t="shared" si="23"/>
        <v>8.0010364997029626E-4</v>
      </c>
      <c r="AG33" s="921">
        <f t="shared" si="24"/>
        <v>2</v>
      </c>
      <c r="AH33" s="176">
        <f t="shared" si="16"/>
        <v>8</v>
      </c>
      <c r="AI33" s="225">
        <f t="shared" si="17"/>
        <v>2.0008001036499703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5.3541788866619733</v>
      </c>
      <c r="C34" s="955"/>
      <c r="D34" s="393">
        <f t="shared" si="0"/>
        <v>5.6926923652814327</v>
      </c>
      <c r="E34" s="385">
        <f t="shared" si="1"/>
        <v>6.1509600201983075</v>
      </c>
      <c r="F34" s="385">
        <f t="shared" si="2"/>
        <v>6.1509600201983075</v>
      </c>
      <c r="G34" s="110">
        <f t="shared" si="21"/>
        <v>0.18576804852462897</v>
      </c>
      <c r="H34" s="414" t="b">
        <f>Wh_hp&gt;='2025'!Maxi_hp</f>
        <v>0</v>
      </c>
      <c r="I34" s="390">
        <f>IF(H34,Wh_hp,'2025'!Maxi_hp)</f>
        <v>11.984563264269097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5.9464565604139041E-2</v>
      </c>
      <c r="M34" s="959"/>
      <c r="N34" s="959"/>
      <c r="O34" s="48">
        <f>IF(t&lt;Tnet,'2025'!Resal+('2025'!Salim-'2025'!Resal)*(1-EXP(('2025'!Tnet-t)/('2025'!Tau_j))),Resal+(Salim-Resal)*(1-EXP((Tnet-t)/(Tau_j))))*Salcycl</f>
        <v>7.4503435790840955E-2</v>
      </c>
      <c r="P34" s="169">
        <f>(INDEX(Models!$BJ34:$BT34,,T34)*(1-R34)+INDEX(Models!$BJ34:$BT34,,T34+1)*R34-ERP_i)*Q34*Ramure*Pc/MaxiM</f>
        <v>1.8619781186885774E-4</v>
      </c>
      <c r="Q34" s="305">
        <f t="shared" si="4"/>
        <v>0.7</v>
      </c>
      <c r="R34" s="177">
        <f t="shared" si="5"/>
        <v>0.47587356225603394</v>
      </c>
      <c r="S34" s="921">
        <f t="shared" si="6"/>
        <v>-2</v>
      </c>
      <c r="T34" s="176">
        <f t="shared" si="7"/>
        <v>4</v>
      </c>
      <c r="U34" s="251">
        <f t="shared" si="8"/>
        <v>-1.5241264377439661</v>
      </c>
      <c r="V34" s="383">
        <f t="shared" si="9"/>
        <v>28.816483742946797</v>
      </c>
      <c r="W34" s="402">
        <f t="shared" si="10"/>
        <v>5.3541788866619733</v>
      </c>
      <c r="X34" s="157">
        <f t="shared" si="11"/>
        <v>46042</v>
      </c>
      <c r="Y34" s="385">
        <f t="shared" si="12"/>
        <v>4.9810596548123955</v>
      </c>
      <c r="Z34" s="385">
        <f t="shared" si="22"/>
        <v>5.29598298230189</v>
      </c>
      <c r="AA34" s="386">
        <f t="shared" si="13"/>
        <v>6.1509600201983075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0.13899895871357876</v>
      </c>
      <c r="AD34" s="231">
        <f>(INDEX(Models!$BJ34:$BT34,,AH34)*(1-AF34)+INDEX(Models!$BJ34:$BT34,,AH34+1)*AF34-ERP_i)*AE34*Ramure*Pc/MaxiM</f>
        <v>1.0387205127297511E-2</v>
      </c>
      <c r="AE34" s="305">
        <f t="shared" si="15"/>
        <v>0.7</v>
      </c>
      <c r="AF34" s="177">
        <f t="shared" si="23"/>
        <v>8.6112863001286399E-4</v>
      </c>
      <c r="AG34" s="921">
        <f t="shared" si="24"/>
        <v>2</v>
      </c>
      <c r="AH34" s="176">
        <f t="shared" si="16"/>
        <v>8</v>
      </c>
      <c r="AI34" s="225">
        <f t="shared" si="17"/>
        <v>2.0008611286300129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15.751167955079222</v>
      </c>
      <c r="C35" s="955"/>
      <c r="D35" s="393">
        <f t="shared" si="0"/>
        <v>16.74738917599192</v>
      </c>
      <c r="E35" s="385">
        <f t="shared" si="1"/>
        <v>18.097077572890665</v>
      </c>
      <c r="F35" s="385">
        <f t="shared" si="2"/>
        <v>18.098225713106928</v>
      </c>
      <c r="G35" s="110">
        <f t="shared" si="21"/>
        <v>0.54193926212255417</v>
      </c>
      <c r="H35" s="414" t="b">
        <f>Wh_hp&gt;='2025'!Maxi_hp</f>
        <v>1</v>
      </c>
      <c r="I35" s="390">
        <f>IF(H35,Wh_hp,'2025'!Maxi_hp)</f>
        <v>18.098225713106928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5.948516574397289E-2</v>
      </c>
      <c r="M35" s="959"/>
      <c r="N35" s="959"/>
      <c r="O35" s="48">
        <f>IF(t&lt;Tnet,'2025'!Resal+('2025'!Salim-'2025'!Resal)*(1-EXP(('2025'!Tnet-t)/('2025'!Tau_j))),Resal+(Salim-Resal)*(1-EXP((Tnet-t)/(Tau_j))))*Salcycl</f>
        <v>7.4580461484044902E-2</v>
      </c>
      <c r="P35" s="169">
        <f>(INDEX(Models!$BJ35:$BT35,,T35)*(1-R35)+INDEX(Models!$BJ35:$BT35,,T35+1)*R35-ERP_i)*Q35*Ramure*Pc/MaxiM</f>
        <v>1.8349904833325477E-4</v>
      </c>
      <c r="Q35" s="305">
        <f t="shared" si="4"/>
        <v>0.7</v>
      </c>
      <c r="R35" s="177">
        <f t="shared" si="5"/>
        <v>0.4759371314932701</v>
      </c>
      <c r="S35" s="921">
        <f t="shared" si="6"/>
        <v>-2</v>
      </c>
      <c r="T35" s="176">
        <f t="shared" si="7"/>
        <v>4</v>
      </c>
      <c r="U35" s="251">
        <f t="shared" si="8"/>
        <v>-1.5240628685067299</v>
      </c>
      <c r="V35" s="383">
        <f t="shared" si="9"/>
        <v>29.060962834500767</v>
      </c>
      <c r="W35" s="402">
        <f t="shared" si="10"/>
        <v>15.751167955079222</v>
      </c>
      <c r="X35" s="157">
        <f t="shared" si="11"/>
        <v>46043</v>
      </c>
      <c r="Y35" s="385">
        <f t="shared" si="12"/>
        <v>14.603981620429007</v>
      </c>
      <c r="Z35" s="385">
        <f t="shared" si="22"/>
        <v>15.527646230036504</v>
      </c>
      <c r="AA35" s="386">
        <f t="shared" si="13"/>
        <v>18.034772135483202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0.13901622302806685</v>
      </c>
      <c r="AD35" s="231">
        <f>(INDEX(Models!$BJ35:$BT35,,AH35)*(1-AF35)+INDEX(Models!$BJ35:$BT35,,AH35+1)*AF35-ERP_i)*AE35*Ramure*Pc/MaxiM</f>
        <v>1.0141331992715785E-2</v>
      </c>
      <c r="AE35" s="305">
        <f t="shared" si="15"/>
        <v>0.7</v>
      </c>
      <c r="AF35" s="177">
        <f t="shared" si="23"/>
        <v>9.2469786724924674E-4</v>
      </c>
      <c r="AG35" s="921">
        <f t="shared" si="24"/>
        <v>2</v>
      </c>
      <c r="AH35" s="176">
        <f t="shared" si="16"/>
        <v>8</v>
      </c>
      <c r="AI35" s="225">
        <f t="shared" si="17"/>
        <v>2.0009246978672492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28.452534989361421</v>
      </c>
      <c r="C36" s="955"/>
      <c r="D36" s="393">
        <f t="shared" si="0"/>
        <v>30.252747910197542</v>
      </c>
      <c r="E36" s="385">
        <f t="shared" si="1"/>
        <v>32.693568645854604</v>
      </c>
      <c r="F36" s="385">
        <f t="shared" si="2"/>
        <v>32.699224732930489</v>
      </c>
      <c r="G36" s="110">
        <f t="shared" si="21"/>
        <v>0.97067785000714946</v>
      </c>
      <c r="H36" s="414" t="b">
        <f>Wh_hp&gt;='2025'!Maxi_hp</f>
        <v>1</v>
      </c>
      <c r="I36" s="390">
        <f>IF(H36,Wh_hp,'2025'!Maxi_hp)</f>
        <v>32.699224732930489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5.9505765432610769E-2</v>
      </c>
      <c r="M36" s="959"/>
      <c r="N36" s="959"/>
      <c r="O36" s="48">
        <f>IF(t&lt;Tnet,'2025'!Resal+('2025'!Salim-'2025'!Resal)*(1-EXP(('2025'!Tnet-t)/('2025'!Tau_j))),Resal+(Salim-Resal)*(1-EXP((Tnet-t)/(Tau_j))))*Salcycl</f>
        <v>7.4657519406849657E-2</v>
      </c>
      <c r="P36" s="169">
        <f>(INDEX(Models!$BJ36:$BT36,,T36)*(1-R36)+INDEX(Models!$BJ36:$BT36,,T36+1)*R36-ERP_i)*Q36*Ramure*Pc/MaxiM</f>
        <v>1.8053356336106564E-4</v>
      </c>
      <c r="Q36" s="305">
        <f t="shared" si="4"/>
        <v>0.7</v>
      </c>
      <c r="R36" s="177">
        <f t="shared" si="5"/>
        <v>0.47600335037205221</v>
      </c>
      <c r="S36" s="921">
        <f t="shared" si="6"/>
        <v>-2</v>
      </c>
      <c r="T36" s="176">
        <f t="shared" si="7"/>
        <v>4</v>
      </c>
      <c r="U36" s="251">
        <f t="shared" si="8"/>
        <v>-1.5239966496279478</v>
      </c>
      <c r="V36" s="383">
        <f t="shared" si="9"/>
        <v>29.311804980704725</v>
      </c>
      <c r="W36" s="402">
        <f t="shared" si="10"/>
        <v>28.452534989361421</v>
      </c>
      <c r="X36" s="157">
        <f t="shared" si="11"/>
        <v>46044</v>
      </c>
      <c r="Y36" s="385">
        <f t="shared" si="12"/>
        <v>26.227047828578243</v>
      </c>
      <c r="Z36" s="385">
        <f t="shared" si="22"/>
        <v>27.886452531675776</v>
      </c>
      <c r="AA36" s="386">
        <f t="shared" si="13"/>
        <v>32.389713082821878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0.13903366601707998</v>
      </c>
      <c r="AD36" s="231">
        <f>(INDEX(Models!$BJ36:$BT36,,AH36)*(1-AF36)+INDEX(Models!$BJ36:$BT36,,AH36+1)*AF36-ERP_i)*AE36*Ramure*Pc/MaxiM</f>
        <v>9.8791338157004013E-3</v>
      </c>
      <c r="AE36" s="305">
        <f t="shared" si="15"/>
        <v>0.7</v>
      </c>
      <c r="AF36" s="177">
        <f t="shared" si="23"/>
        <v>9.9091674603135615E-4</v>
      </c>
      <c r="AG36" s="921">
        <f t="shared" si="24"/>
        <v>2</v>
      </c>
      <c r="AH36" s="176">
        <f t="shared" si="16"/>
        <v>8</v>
      </c>
      <c r="AI36" s="225">
        <f t="shared" si="17"/>
        <v>2.0009909167460314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28.508332083192936</v>
      </c>
      <c r="C37" s="955"/>
      <c r="D37" s="393">
        <f t="shared" si="0"/>
        <v>30.312739254186145</v>
      </c>
      <c r="E37" s="385">
        <f t="shared" si="1"/>
        <v>32.76112960323816</v>
      </c>
      <c r="F37" s="385">
        <f t="shared" si="2"/>
        <v>32.766640942326909</v>
      </c>
      <c r="G37" s="110">
        <f t="shared" si="21"/>
        <v>0.96406266862245271</v>
      </c>
      <c r="H37" s="414" t="b">
        <f>Wh_hp&gt;='2025'!Maxi_hp</f>
        <v>1</v>
      </c>
      <c r="I37" s="390">
        <f>IF(H37,Wh_hp,'2025'!Maxi_hp)</f>
        <v>32.766640942326909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5.952636467006267E-2</v>
      </c>
      <c r="M37" s="959"/>
      <c r="N37" s="959"/>
      <c r="O37" s="48">
        <f>IF(t&lt;Tnet,'2025'!Resal+('2025'!Salim-'2025'!Resal)*(1-EXP(('2025'!Tnet-t)/('2025'!Tau_j))),Resal+(Salim-Resal)*(1-EXP((Tnet-t)/(Tau_j))))*Salcycl</f>
        <v>7.4734613204851696E-2</v>
      </c>
      <c r="P37" s="169">
        <f>(INDEX(Models!$BJ37:$BT37,,T37)*(1-R37)+INDEX(Models!$BJ37:$BT37,,T37+1)*R37-ERP_i)*Q37*Ramure*Pc/MaxiM</f>
        <v>1.7729988137339884E-4</v>
      </c>
      <c r="Q37" s="305">
        <f t="shared" si="4"/>
        <v>0.7</v>
      </c>
      <c r="R37" s="177">
        <f t="shared" si="5"/>
        <v>0.47607232858282944</v>
      </c>
      <c r="S37" s="921">
        <f t="shared" si="6"/>
        <v>-2</v>
      </c>
      <c r="T37" s="176">
        <f t="shared" si="7"/>
        <v>4</v>
      </c>
      <c r="U37" s="251">
        <f t="shared" si="8"/>
        <v>-1.5239276714171706</v>
      </c>
      <c r="V37" s="383">
        <f t="shared" si="9"/>
        <v>29.570767063530766</v>
      </c>
      <c r="W37" s="402">
        <f t="shared" si="10"/>
        <v>28.508332083192936</v>
      </c>
      <c r="X37" s="157">
        <f t="shared" si="11"/>
        <v>46045</v>
      </c>
      <c r="Y37" s="385">
        <f t="shared" si="12"/>
        <v>26.289492230136521</v>
      </c>
      <c r="Z37" s="385">
        <f t="shared" si="22"/>
        <v>27.953460089196046</v>
      </c>
      <c r="AA37" s="386">
        <f t="shared" si="13"/>
        <v>32.468206164358726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0.13905129381981826</v>
      </c>
      <c r="AD37" s="231">
        <f>(INDEX(Models!$BJ37:$BT37,,AH37)*(1-AF37)+INDEX(Models!$BJ37:$BT37,,AH37+1)*AF37-ERP_i)*AE37*Ramure*Pc/MaxiM</f>
        <v>9.6006523785659281E-3</v>
      </c>
      <c r="AE37" s="305">
        <f t="shared" si="15"/>
        <v>0.7</v>
      </c>
      <c r="AF37" s="177">
        <f t="shared" si="23"/>
        <v>1.0598949568083604E-3</v>
      </c>
      <c r="AG37" s="921">
        <f t="shared" si="24"/>
        <v>2</v>
      </c>
      <c r="AH37" s="176">
        <f t="shared" si="16"/>
        <v>8</v>
      </c>
      <c r="AI37" s="225">
        <f t="shared" si="17"/>
        <v>2.0010598949568084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28.775666878875072</v>
      </c>
      <c r="C38" s="955"/>
      <c r="D38" s="393">
        <f t="shared" si="0"/>
        <v>30.597664913317683</v>
      </c>
      <c r="E38" s="385">
        <f t="shared" si="1"/>
        <v>33.071825963212163</v>
      </c>
      <c r="F38" s="385">
        <f t="shared" si="2"/>
        <v>33.077287375328453</v>
      </c>
      <c r="G38" s="110">
        <f t="shared" si="21"/>
        <v>0.96436539383464803</v>
      </c>
      <c r="H38" s="414" t="b">
        <f>Wh_hp&gt;='2025'!Maxi_hp</f>
        <v>1</v>
      </c>
      <c r="I38" s="390">
        <f>IF(H38,Wh_hp,'2025'!Maxi_hp)</f>
        <v>33.077287375328453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5.9546963456338253E-2</v>
      </c>
      <c r="M38" s="959"/>
      <c r="N38" s="959"/>
      <c r="O38" s="48">
        <f>IF(t&lt;Tnet,'2025'!Resal+('2025'!Salim-'2025'!Resal)*(1-EXP(('2025'!Tnet-t)/('2025'!Tau_j))),Resal+(Salim-Resal)*(1-EXP((Tnet-t)/(Tau_j))))*Salcycl</f>
        <v>7.4811746186818961E-2</v>
      </c>
      <c r="P38" s="169">
        <f>(INDEX(Models!$BJ38:$BT38,,T38)*(1-R38)+INDEX(Models!$BJ38:$BT38,,T38+1)*R38-ERP_i)*Q38*Ramure*Pc/MaxiM</f>
        <v>1.7396445397379831E-4</v>
      </c>
      <c r="Q38" s="305">
        <f t="shared" si="4"/>
        <v>0.7</v>
      </c>
      <c r="R38" s="177">
        <f t="shared" si="5"/>
        <v>0.47614418029305883</v>
      </c>
      <c r="S38" s="921">
        <f t="shared" si="6"/>
        <v>-2</v>
      </c>
      <c r="T38" s="176">
        <f t="shared" si="7"/>
        <v>4</v>
      </c>
      <c r="U38" s="251">
        <f t="shared" si="8"/>
        <v>-1.5238558197069412</v>
      </c>
      <c r="V38" s="383">
        <f t="shared" si="9"/>
        <v>29.838702473555522</v>
      </c>
      <c r="W38" s="402">
        <f t="shared" si="10"/>
        <v>28.775666878875072</v>
      </c>
      <c r="X38" s="157">
        <f t="shared" si="11"/>
        <v>46046</v>
      </c>
      <c r="Y38" s="385">
        <f t="shared" si="12"/>
        <v>26.545160128478408</v>
      </c>
      <c r="Z38" s="385">
        <f t="shared" si="22"/>
        <v>28.225928458944388</v>
      </c>
      <c r="AA38" s="386">
        <f t="shared" si="13"/>
        <v>32.785359254764529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0.13906911192859797</v>
      </c>
      <c r="AD38" s="231">
        <f>(INDEX(Models!$BJ38:$BT38,,AH38)*(1-AF38)+INDEX(Models!$BJ38:$BT38,,AH38+1)*AF38-ERP_i)*AE38*Ramure*Pc/MaxiM</f>
        <v>9.2988983457276304E-3</v>
      </c>
      <c r="AE38" s="305">
        <f t="shared" si="15"/>
        <v>0.7</v>
      </c>
      <c r="AF38" s="177">
        <f t="shared" si="23"/>
        <v>1.1317466670379694E-3</v>
      </c>
      <c r="AG38" s="921">
        <f t="shared" si="24"/>
        <v>2</v>
      </c>
      <c r="AH38" s="176">
        <f t="shared" si="16"/>
        <v>8</v>
      </c>
      <c r="AI38" s="225">
        <f t="shared" si="17"/>
        <v>2.001131746667038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28.342204173598265</v>
      </c>
      <c r="C39" s="955"/>
      <c r="D39" s="393">
        <f t="shared" si="0"/>
        <v>30.13741659909974</v>
      </c>
      <c r="E39" s="385">
        <f t="shared" si="1"/>
        <v>32.577078893888483</v>
      </c>
      <c r="F39" s="385">
        <f t="shared" si="2"/>
        <v>32.582175088656697</v>
      </c>
      <c r="G39" s="110">
        <f t="shared" si="21"/>
        <v>0.94113236526906263</v>
      </c>
      <c r="H39" s="414" t="b">
        <f>Wh_hp&gt;='2025'!Maxi_hp</f>
        <v>1</v>
      </c>
      <c r="I39" s="390">
        <f>IF(H39,Wh_hp,'2025'!Maxi_hp)</f>
        <v>32.582175088656697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5.9567561791447732E-2</v>
      </c>
      <c r="M39" s="959"/>
      <c r="N39" s="959"/>
      <c r="O39" s="48">
        <f>IF(t&lt;Tnet,'2025'!Resal+('2025'!Salim-'2025'!Resal)*(1-EXP(('2025'!Tnet-t)/('2025'!Tau_j))),Resal+(Salim-Resal)*(1-EXP((Tnet-t)/(Tau_j))))*Salcycl</f>
        <v>7.4888921217746957E-2</v>
      </c>
      <c r="P39" s="169">
        <f>(INDEX(Models!$BJ39:$BT39,,T39)*(1-R39)+INDEX(Models!$BJ39:$BT39,,T39+1)*R39-ERP_i)*Q39*Ramure*Pc/MaxiM</f>
        <v>1.7076825029554803E-4</v>
      </c>
      <c r="Q39" s="305">
        <f t="shared" si="4"/>
        <v>0.7</v>
      </c>
      <c r="R39" s="177">
        <f t="shared" si="5"/>
        <v>0.47621902432446706</v>
      </c>
      <c r="S39" s="921">
        <f t="shared" si="6"/>
        <v>-2</v>
      </c>
      <c r="T39" s="176">
        <f t="shared" si="7"/>
        <v>4</v>
      </c>
      <c r="U39" s="251">
        <f t="shared" si="8"/>
        <v>-1.5237809756755329</v>
      </c>
      <c r="V39" s="383">
        <f t="shared" si="9"/>
        <v>30.114570729864656</v>
      </c>
      <c r="W39" s="402">
        <f t="shared" si="10"/>
        <v>28.342204173598265</v>
      </c>
      <c r="X39" s="157">
        <f t="shared" si="11"/>
        <v>46047</v>
      </c>
      <c r="Y39" s="385">
        <f t="shared" si="12"/>
        <v>26.162528920555395</v>
      </c>
      <c r="Z39" s="385">
        <f t="shared" si="22"/>
        <v>27.819679391741204</v>
      </c>
      <c r="AA39" s="386">
        <f t="shared" si="13"/>
        <v>32.314163487823002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0.13908712499320811</v>
      </c>
      <c r="AD39" s="231">
        <f>(INDEX(Models!$BJ39:$BT39,,AH39)*(1-AF39)+INDEX(Models!$BJ39:$BT39,,AH39+1)*AF39-ERP_i)*AE39*Ramure*Pc/MaxiM</f>
        <v>8.9807933595308625E-3</v>
      </c>
      <c r="AE39" s="305">
        <f t="shared" si="15"/>
        <v>0.7</v>
      </c>
      <c r="AF39" s="177">
        <f t="shared" si="23"/>
        <v>1.2065906984464192E-3</v>
      </c>
      <c r="AG39" s="921">
        <f t="shared" si="24"/>
        <v>2</v>
      </c>
      <c r="AH39" s="176">
        <f t="shared" si="16"/>
        <v>8</v>
      </c>
      <c r="AI39" s="225">
        <f t="shared" si="17"/>
        <v>2.0012065906984464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29.07170364506668</v>
      </c>
      <c r="C40" s="955"/>
      <c r="D40" s="393">
        <f t="shared" si="0"/>
        <v>30.913800101700211</v>
      </c>
      <c r="E40" s="385">
        <f t="shared" si="1"/>
        <v>33.419101137062242</v>
      </c>
      <c r="F40" s="385">
        <f t="shared" si="2"/>
        <v>33.424357692694031</v>
      </c>
      <c r="G40" s="110">
        <f t="shared" si="21"/>
        <v>0.95637977122989948</v>
      </c>
      <c r="H40" s="414" t="b">
        <f>Wh_hp&gt;='2025'!Maxi_hp</f>
        <v>1</v>
      </c>
      <c r="I40" s="390">
        <f>IF(H40,Wh_hp,'2025'!Maxi_hp)</f>
        <v>33.424357692694031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5.9588159675400654E-2</v>
      </c>
      <c r="M40" s="959"/>
      <c r="N40" s="959"/>
      <c r="O40" s="48">
        <f>IF(t&lt;Tnet,'2025'!Resal+('2025'!Salim-'2025'!Resal)*(1-EXP(('2025'!Tnet-t)/('2025'!Tau_j))),Resal+(Salim-Resal)*(1-EXP((Tnet-t)/(Tau_j))))*Salcycl</f>
        <v>7.4966140623800873E-2</v>
      </c>
      <c r="P40" s="169">
        <f>(INDEX(Models!$BJ40:$BT40,,T40)*(1-R40)+INDEX(Models!$BJ40:$BT40,,T40+1)*R40-ERP_i)*Q40*Ramure*Pc/MaxiM</f>
        <v>1.6771597592143728E-4</v>
      </c>
      <c r="Q40" s="305">
        <f t="shared" si="4"/>
        <v>0.7</v>
      </c>
      <c r="R40" s="177">
        <f t="shared" si="5"/>
        <v>0.47629698433685985</v>
      </c>
      <c r="S40" s="921">
        <f t="shared" si="6"/>
        <v>-2</v>
      </c>
      <c r="T40" s="176">
        <f t="shared" si="7"/>
        <v>4</v>
      </c>
      <c r="U40" s="251">
        <f t="shared" si="8"/>
        <v>-1.5237030156631401</v>
      </c>
      <c r="V40" s="383">
        <f t="shared" si="9"/>
        <v>30.39733870218403</v>
      </c>
      <c r="W40" s="402">
        <f t="shared" si="10"/>
        <v>29.07170364506668</v>
      </c>
      <c r="X40" s="157">
        <f t="shared" si="11"/>
        <v>46048</v>
      </c>
      <c r="Y40" s="385">
        <f t="shared" si="12"/>
        <v>26.840789979919208</v>
      </c>
      <c r="Z40" s="385">
        <f t="shared" si="22"/>
        <v>28.541527051227522</v>
      </c>
      <c r="AA40" s="386">
        <f t="shared" si="13"/>
        <v>33.15333253444701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0.13910533664836638</v>
      </c>
      <c r="AD40" s="231">
        <f>(INDEX(Models!$BJ40:$BT40,,AH40)*(1-AF40)+INDEX(Models!$BJ40:$BT40,,AH40+1)*AF40-ERP_i)*AE40*Ramure*Pc/MaxiM</f>
        <v>8.647344782154039E-3</v>
      </c>
      <c r="AE40" s="305">
        <f t="shared" si="15"/>
        <v>0.7</v>
      </c>
      <c r="AF40" s="177">
        <f t="shared" si="23"/>
        <v>1.2845507108387721E-3</v>
      </c>
      <c r="AG40" s="921">
        <f t="shared" si="24"/>
        <v>2</v>
      </c>
      <c r="AH40" s="176">
        <f t="shared" si="16"/>
        <v>8</v>
      </c>
      <c r="AI40" s="225">
        <f t="shared" si="17"/>
        <v>2.0012845507108388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28.804234901102156</v>
      </c>
      <c r="C41" s="955"/>
      <c r="D41" s="393">
        <f t="shared" si="0"/>
        <v>30.630054372397581</v>
      </c>
      <c r="E41" s="385">
        <f t="shared" si="1"/>
        <v>33.11512623914323</v>
      </c>
      <c r="F41" s="385">
        <f t="shared" si="2"/>
        <v>33.12010662420785</v>
      </c>
      <c r="G41" s="110">
        <f t="shared" si="21"/>
        <v>0.93866400445334797</v>
      </c>
      <c r="H41" s="414" t="b">
        <f>Wh_hp&gt;='2025'!Maxi_hp</f>
        <v>1</v>
      </c>
      <c r="I41" s="390">
        <f>IF(H41,Wh_hp,'2025'!Maxi_hp)</f>
        <v>33.12010662420785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5.9608757108207122E-2</v>
      </c>
      <c r="M41" s="959"/>
      <c r="N41" s="959"/>
      <c r="O41" s="48">
        <f>IF(t&lt;Tnet,'2025'!Resal+('2025'!Salim-'2025'!Resal)*(1-EXP(('2025'!Tnet-t)/('2025'!Tau_j))),Resal+(Salim-Resal)*(1-EXP((Tnet-t)/(Tau_j))))*Salcycl</f>
        <v>7.5043406109930669E-2</v>
      </c>
      <c r="P41" s="169">
        <f>(INDEX(Models!$BJ41:$BT41,,T41)*(1-R41)+INDEX(Models!$BJ41:$BT41,,T41+1)*R41-ERP_i)*Q41*Ramure*Pc/MaxiM</f>
        <v>1.6481152538942251E-4</v>
      </c>
      <c r="Q41" s="305">
        <f t="shared" si="4"/>
        <v>0.7</v>
      </c>
      <c r="R41" s="177">
        <f t="shared" si="5"/>
        <v>0.47637818901868156</v>
      </c>
      <c r="S41" s="921">
        <f t="shared" si="6"/>
        <v>-2</v>
      </c>
      <c r="T41" s="176">
        <f t="shared" si="7"/>
        <v>4</v>
      </c>
      <c r="U41" s="251">
        <f t="shared" si="8"/>
        <v>-1.5236218109813184</v>
      </c>
      <c r="V41" s="383">
        <f t="shared" si="9"/>
        <v>30.685973707849456</v>
      </c>
      <c r="W41" s="402">
        <f t="shared" si="10"/>
        <v>28.804234901102156</v>
      </c>
      <c r="X41" s="157">
        <f t="shared" si="11"/>
        <v>46049</v>
      </c>
      <c r="Y41" s="385">
        <f t="shared" si="12"/>
        <v>26.609692076833152</v>
      </c>
      <c r="Z41" s="385">
        <f t="shared" si="22"/>
        <v>28.296405648148966</v>
      </c>
      <c r="AA41" s="386">
        <f t="shared" si="13"/>
        <v>32.869306857165839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0.13912374936558586</v>
      </c>
      <c r="AD41" s="231">
        <f>(INDEX(Models!$BJ41:$BT41,,AH41)*(1-AF41)+INDEX(Models!$BJ41:$BT41,,AH41+1)*AF41-ERP_i)*AE41*Ramure*Pc/MaxiM</f>
        <v>8.2994972551701084E-3</v>
      </c>
      <c r="AE41" s="305">
        <f t="shared" si="15"/>
        <v>0.7</v>
      </c>
      <c r="AF41" s="177">
        <f t="shared" si="23"/>
        <v>1.3657553926607058E-3</v>
      </c>
      <c r="AG41" s="921">
        <f t="shared" si="24"/>
        <v>2</v>
      </c>
      <c r="AH41" s="176">
        <f t="shared" si="16"/>
        <v>8</v>
      </c>
      <c r="AI41" s="225">
        <f t="shared" si="17"/>
        <v>2.0013657553926607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3.9021409768756876</v>
      </c>
      <c r="C42" s="955"/>
      <c r="D42" s="393">
        <f t="shared" si="0"/>
        <v>4.1495776094744663</v>
      </c>
      <c r="E42" s="385">
        <f t="shared" si="1"/>
        <v>4.4866153814156009</v>
      </c>
      <c r="F42" s="385">
        <f t="shared" si="2"/>
        <v>4.4866153814156009</v>
      </c>
      <c r="G42" s="110">
        <f t="shared" si="21"/>
        <v>0.12593862767104763</v>
      </c>
      <c r="H42" s="414" t="b">
        <f>Wh_hp&gt;='2025'!Maxi_hp</f>
        <v>0</v>
      </c>
      <c r="I42" s="390">
        <f>IF(H42,Wh_hp,'2025'!Maxi_hp)</f>
        <v>17.427879917759782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5.9629354089877018E-2</v>
      </c>
      <c r="M42" s="959"/>
      <c r="N42" s="959"/>
      <c r="O42" s="48">
        <f>IF(t&lt;Tnet,'2025'!Resal+('2025'!Salim-'2025'!Resal)*(1-EXP(('2025'!Tnet-t)/('2025'!Tau_j))),Resal+(Salim-Resal)*(1-EXP((Tnet-t)/(Tau_j))))*Salcycl</f>
        <v>7.5120718690799282E-2</v>
      </c>
      <c r="P42" s="169">
        <f>(INDEX(Models!$BJ42:$BT42,,T42)*(1-R42)+INDEX(Models!$BJ42:$BT42,,T42+1)*R42-ERP_i)*Q42*Ramure*Pc/MaxiM</f>
        <v>1.6205806088232625E-4</v>
      </c>
      <c r="Q42" s="305">
        <f t="shared" si="4"/>
        <v>0.7</v>
      </c>
      <c r="R42" s="177">
        <f t="shared" si="5"/>
        <v>0.4764627722845276</v>
      </c>
      <c r="S42" s="921">
        <f t="shared" si="6"/>
        <v>-2</v>
      </c>
      <c r="T42" s="176">
        <f t="shared" si="7"/>
        <v>4</v>
      </c>
      <c r="U42" s="251">
        <f t="shared" si="8"/>
        <v>-1.5235372277154724</v>
      </c>
      <c r="V42" s="383">
        <f t="shared" si="9"/>
        <v>30.97944352440021</v>
      </c>
      <c r="W42" s="402">
        <f t="shared" si="10"/>
        <v>3.9021409768756876</v>
      </c>
      <c r="X42" s="157">
        <f t="shared" si="11"/>
        <v>46050</v>
      </c>
      <c r="Y42" s="385">
        <f t="shared" si="12"/>
        <v>3.6320284422928175</v>
      </c>
      <c r="Z42" s="385">
        <f t="shared" si="22"/>
        <v>3.8623371094039367</v>
      </c>
      <c r="AA42" s="386">
        <f t="shared" si="13"/>
        <v>4.4866153814156009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0.1391423643304798</v>
      </c>
      <c r="AD42" s="231">
        <f>(INDEX(Models!$BJ42:$BT42,,AH42)*(1-AF42)+INDEX(Models!$BJ42:$BT42,,AH42+1)*AF42-ERP_i)*AE42*Ramure*Pc/MaxiM</f>
        <v>7.9381284172869056E-3</v>
      </c>
      <c r="AE42" s="305">
        <f t="shared" si="15"/>
        <v>0.7</v>
      </c>
      <c r="AF42" s="177">
        <f t="shared" si="23"/>
        <v>1.4503386585067446E-3</v>
      </c>
      <c r="AG42" s="921">
        <f t="shared" si="24"/>
        <v>2</v>
      </c>
      <c r="AH42" s="176">
        <f t="shared" si="16"/>
        <v>8</v>
      </c>
      <c r="AI42" s="225">
        <f t="shared" si="17"/>
        <v>2.0014503386585067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5.8008867591269571</v>
      </c>
      <c r="C43" s="955"/>
      <c r="D43" s="393">
        <f t="shared" si="0"/>
        <v>6.1688588871285122</v>
      </c>
      <c r="E43" s="385">
        <f t="shared" si="1"/>
        <v>6.6704650418835021</v>
      </c>
      <c r="F43" s="385">
        <f t="shared" si="2"/>
        <v>6.6704650418835021</v>
      </c>
      <c r="G43" s="110">
        <f t="shared" si="21"/>
        <v>0.18544023899707687</v>
      </c>
      <c r="H43" s="414" t="b">
        <f>Wh_hp&gt;='2025'!Maxi_hp</f>
        <v>0</v>
      </c>
      <c r="I43" s="390">
        <f>IF(H43,Wh_hp,'2025'!Maxi_hp)</f>
        <v>22.511927090396647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5.9649950620420111E-2</v>
      </c>
      <c r="M43" s="959"/>
      <c r="N43" s="959"/>
      <c r="O43" s="48">
        <f>IF(t&lt;Tnet,'2025'!Resal+('2025'!Salim-'2025'!Resal)*(1-EXP(('2025'!Tnet-t)/('2025'!Tau_j))),Resal+(Salim-Resal)*(1-EXP((Tnet-t)/(Tau_j))))*Salcycl</f>
        <v>7.5198078635512103E-2</v>
      </c>
      <c r="P43" s="169">
        <f>(INDEX(Models!$BJ43:$BT43,,T43)*(1-R43)+INDEX(Models!$BJ43:$BT43,,T43+1)*R43-ERP_i)*Q43*Ramure*Pc/MaxiM</f>
        <v>1.5945809139357187E-4</v>
      </c>
      <c r="Q43" s="305">
        <f t="shared" si="4"/>
        <v>0.7</v>
      </c>
      <c r="R43" s="177">
        <f t="shared" si="5"/>
        <v>0.47655087347981273</v>
      </c>
      <c r="S43" s="921">
        <f t="shared" si="6"/>
        <v>-2</v>
      </c>
      <c r="T43" s="176">
        <f t="shared" si="7"/>
        <v>4</v>
      </c>
      <c r="U43" s="251">
        <f t="shared" si="8"/>
        <v>-1.5234491265201873</v>
      </c>
      <c r="V43" s="383">
        <f t="shared" si="9"/>
        <v>31.276716381320998</v>
      </c>
      <c r="W43" s="402">
        <f t="shared" si="10"/>
        <v>5.8008867591269571</v>
      </c>
      <c r="X43" s="157">
        <f t="shared" si="11"/>
        <v>46051</v>
      </c>
      <c r="Y43" s="385">
        <f t="shared" si="12"/>
        <v>5.3996735836180534</v>
      </c>
      <c r="Z43" s="385">
        <f t="shared" si="22"/>
        <v>5.7421952465261494</v>
      </c>
      <c r="AA43" s="386">
        <f t="shared" si="13"/>
        <v>6.6704650418835021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0.13916118134624722</v>
      </c>
      <c r="AD43" s="231">
        <f>(INDEX(Models!$BJ43:$BT43,,AH43)*(1-AF43)+INDEX(Models!$BJ43:$BT43,,AH43+1)*AF43-ERP_i)*AE43*Ramure*Pc/MaxiM</f>
        <v>7.5640457251358916E-3</v>
      </c>
      <c r="AE43" s="305">
        <f t="shared" si="15"/>
        <v>0.7</v>
      </c>
      <c r="AF43" s="177">
        <f t="shared" si="23"/>
        <v>1.5384398537920951E-3</v>
      </c>
      <c r="AG43" s="921">
        <f t="shared" si="24"/>
        <v>2</v>
      </c>
      <c r="AH43" s="176">
        <f t="shared" si="16"/>
        <v>8</v>
      </c>
      <c r="AI43" s="225">
        <f t="shared" si="17"/>
        <v>2.0015384398537921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4.7564805367740695</v>
      </c>
      <c r="C44" s="955"/>
      <c r="D44" s="393">
        <f t="shared" si="0"/>
        <v>5.058312828637729</v>
      </c>
      <c r="E44" s="385">
        <f t="shared" si="1"/>
        <v>5.4700754104811695</v>
      </c>
      <c r="F44" s="385">
        <f t="shared" si="2"/>
        <v>5.4700754104811695</v>
      </c>
      <c r="G44" s="110">
        <f t="shared" si="21"/>
        <v>0.15060866151207519</v>
      </c>
      <c r="H44" s="414" t="b">
        <f>Wh_hp&gt;='2025'!Maxi_hp</f>
        <v>0</v>
      </c>
      <c r="I44" s="390">
        <f>IF(H44,Wh_hp,'2025'!Maxi_hp)</f>
        <v>10.423685229998675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5.9670546699846283E-2</v>
      </c>
      <c r="M44" s="959"/>
      <c r="N44" s="959"/>
      <c r="O44" s="48">
        <f>IF(t&lt;Tnet,'2025'!Resal+('2025'!Salim-'2025'!Resal)*(1-EXP(('2025'!Tnet-t)/('2025'!Tau_j))),Resal+(Salim-Resal)*(1-EXP((Tnet-t)/(Tau_j))))*Salcycl</f>
        <v>7.5275485426483379E-2</v>
      </c>
      <c r="P44" s="169">
        <f>(INDEX(Models!$BJ44:$BT44,,T44)*(1-R44)+INDEX(Models!$BJ44:$BT44,,T44+1)*R44-ERP_i)*Q44*Ramure*Pc/MaxiM</f>
        <v>1.5706127762124425E-4</v>
      </c>
      <c r="Q44" s="305">
        <f t="shared" si="4"/>
        <v>0.7</v>
      </c>
      <c r="R44" s="177">
        <f t="shared" si="5"/>
        <v>0.47664263759280634</v>
      </c>
      <c r="S44" s="921">
        <f t="shared" si="6"/>
        <v>-2</v>
      </c>
      <c r="T44" s="176">
        <f t="shared" si="7"/>
        <v>4</v>
      </c>
      <c r="U44" s="251">
        <f t="shared" si="8"/>
        <v>-1.5233573624071937</v>
      </c>
      <c r="V44" s="383">
        <f t="shared" si="9"/>
        <v>31.576759464678517</v>
      </c>
      <c r="W44" s="402">
        <f t="shared" si="10"/>
        <v>4.7564805367740695</v>
      </c>
      <c r="X44" s="157">
        <f t="shared" si="11"/>
        <v>46052</v>
      </c>
      <c r="Y44" s="385">
        <f t="shared" si="12"/>
        <v>4.427775586914251</v>
      </c>
      <c r="Z44" s="385">
        <f t="shared" si="22"/>
        <v>4.7087492275974707</v>
      </c>
      <c r="AA44" s="386">
        <f t="shared" si="13"/>
        <v>5.4700754104811695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0.13918019876379167</v>
      </c>
      <c r="AD44" s="231">
        <f>(INDEX(Models!$BJ44:$BT44,,AH44)*(1-AF44)+INDEX(Models!$BJ44:$BT44,,AH44+1)*AF44-ERP_i)*AE44*Ramure*Pc/MaxiM</f>
        <v>7.1908233828852138E-3</v>
      </c>
      <c r="AE44" s="305">
        <f t="shared" si="15"/>
        <v>0.7</v>
      </c>
      <c r="AF44" s="177">
        <f t="shared" si="23"/>
        <v>1.6302039667852597E-3</v>
      </c>
      <c r="AG44" s="921">
        <f t="shared" si="24"/>
        <v>2</v>
      </c>
      <c r="AH44" s="176">
        <f t="shared" si="16"/>
        <v>8</v>
      </c>
      <c r="AI44" s="225">
        <f t="shared" si="17"/>
        <v>2.0016302039667853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6.5263827169584241</v>
      </c>
      <c r="C45" s="955"/>
      <c r="D45" s="393">
        <f t="shared" si="0"/>
        <v>6.9406798241989076</v>
      </c>
      <c r="E45" s="385">
        <f t="shared" si="1"/>
        <v>7.5063017095185138</v>
      </c>
      <c r="F45" s="385">
        <f t="shared" si="2"/>
        <v>7.5063017095185138</v>
      </c>
      <c r="G45" s="110">
        <f t="shared" si="21"/>
        <v>0.2046948070956679</v>
      </c>
      <c r="H45" s="414" t="b">
        <f>Wh_hp&gt;='2025'!Maxi_hp</f>
        <v>0</v>
      </c>
      <c r="I45" s="390">
        <f>IF(H45,Wh_hp,'2025'!Maxi_hp)</f>
        <v>26.210661022055326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5.9691142328165525E-2</v>
      </c>
      <c r="M45" s="959"/>
      <c r="N45" s="959"/>
      <c r="O45" s="48">
        <f>IF(t&lt;Tnet,'2025'!Resal+('2025'!Salim-'2025'!Resal)*(1-EXP(('2025'!Tnet-t)/('2025'!Tau_j))),Resal+(Salim-Resal)*(1-EXP((Tnet-t)/(Tau_j))))*Salcycl</f>
        <v>7.5352937732619821E-2</v>
      </c>
      <c r="P45" s="169">
        <f>(INDEX(Models!$BJ45:$BT45,,T45)*(1-R45)+INDEX(Models!$BJ45:$BT45,,T45+1)*R45-ERP_i)*Q45*Ramure*Pc/MaxiM</f>
        <v>1.5490179957942292E-4</v>
      </c>
      <c r="Q45" s="305">
        <f t="shared" si="4"/>
        <v>0.7</v>
      </c>
      <c r="R45" s="177">
        <f t="shared" si="5"/>
        <v>0.47673821547423634</v>
      </c>
      <c r="S45" s="921">
        <f t="shared" si="6"/>
        <v>-2</v>
      </c>
      <c r="T45" s="176">
        <f t="shared" si="7"/>
        <v>4</v>
      </c>
      <c r="U45" s="251">
        <f t="shared" si="8"/>
        <v>-1.5232617845257637</v>
      </c>
      <c r="V45" s="383">
        <f t="shared" si="9"/>
        <v>31.878540843887013</v>
      </c>
      <c r="W45" s="402">
        <f t="shared" si="10"/>
        <v>6.5263827169584241</v>
      </c>
      <c r="X45" s="157">
        <f t="shared" si="11"/>
        <v>46053</v>
      </c>
      <c r="Y45" s="385">
        <f t="shared" si="12"/>
        <v>6.0757388414837141</v>
      </c>
      <c r="Z45" s="385">
        <f t="shared" si="22"/>
        <v>6.4614289144600745</v>
      </c>
      <c r="AA45" s="386">
        <f t="shared" si="13"/>
        <v>7.5063017095185138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0.13919941343864015</v>
      </c>
      <c r="AD45" s="231">
        <f>(INDEX(Models!$BJ45:$BT45,,AH45)*(1-AF45)+INDEX(Models!$BJ45:$BT45,,AH45+1)*AF45-ERP_i)*AE45*Ramure*Pc/MaxiM</f>
        <v>6.8301778655170068E-3</v>
      </c>
      <c r="AE45" s="305">
        <f t="shared" si="15"/>
        <v>0.7</v>
      </c>
      <c r="AF45" s="177">
        <f t="shared" si="23"/>
        <v>1.7257818482154796E-3</v>
      </c>
      <c r="AG45" s="921">
        <f t="shared" si="24"/>
        <v>2</v>
      </c>
      <c r="AH45" s="176">
        <f t="shared" si="16"/>
        <v>8</v>
      </c>
      <c r="AI45" s="225">
        <f t="shared" si="17"/>
        <v>2.0017257818482155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13.50182966468493</v>
      </c>
      <c r="C46" s="955"/>
      <c r="D46" s="393">
        <f t="shared" si="0"/>
        <v>14.359245141340145</v>
      </c>
      <c r="E46" s="385">
        <f t="shared" si="1"/>
        <v>15.530735230768755</v>
      </c>
      <c r="F46" s="385">
        <f t="shared" si="2"/>
        <v>15.531141034956503</v>
      </c>
      <c r="G46" s="110">
        <f t="shared" si="21"/>
        <v>0.41950543080927089</v>
      </c>
      <c r="H46" s="414" t="b">
        <f>Wh_hp&gt;='2025'!Maxi_hp</f>
        <v>0</v>
      </c>
      <c r="I46" s="390">
        <f>IF(H46,Wh_hp,'2025'!Maxi_hp)</f>
        <v>29.47119267155292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5.9711737505387608E-2</v>
      </c>
      <c r="M46" s="959"/>
      <c r="N46" s="959"/>
      <c r="O46" s="48">
        <f>IF(t&lt;Tnet,'2025'!Resal+('2025'!Salim-'2025'!Resal)*(1-EXP(('2025'!Tnet-t)/('2025'!Tau_j))),Resal+(Salim-Resal)*(1-EXP((Tnet-t)/(Tau_j))))*Salcycl</f>
        <v>7.5430433396849697E-2</v>
      </c>
      <c r="P46" s="169">
        <f>(INDEX(Models!$BJ46:$BT46,,T46)*(1-R46)+INDEX(Models!$BJ46:$BT46,,T46+1)*R46-ERP_i)*Q46*Ramure*Pc/MaxiM</f>
        <v>1.5297842553009704E-4</v>
      </c>
      <c r="Q46" s="305">
        <f t="shared" si="4"/>
        <v>0.7</v>
      </c>
      <c r="R46" s="177">
        <f t="shared" si="5"/>
        <v>0.47683776406467682</v>
      </c>
      <c r="S46" s="921">
        <f t="shared" si="6"/>
        <v>-2</v>
      </c>
      <c r="T46" s="176">
        <f t="shared" si="7"/>
        <v>4</v>
      </c>
      <c r="U46" s="251">
        <f t="shared" si="8"/>
        <v>-1.5231622359353232</v>
      </c>
      <c r="V46" s="383">
        <f t="shared" si="9"/>
        <v>32.181030140021797</v>
      </c>
      <c r="W46" s="402">
        <f t="shared" si="10"/>
        <v>13.50182966468493</v>
      </c>
      <c r="X46" s="157">
        <f t="shared" si="11"/>
        <v>46054</v>
      </c>
      <c r="Y46" s="385">
        <f t="shared" si="12"/>
        <v>12.556715677655548</v>
      </c>
      <c r="Z46" s="385">
        <f t="shared" si="22"/>
        <v>13.354112965679496</v>
      </c>
      <c r="AA46" s="386">
        <f t="shared" si="13"/>
        <v>15.513946270020584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0.13921882071454544</v>
      </c>
      <c r="AD46" s="231">
        <f>(INDEX(Models!$BJ46:$BT46,,AH46)*(1-AF46)+INDEX(Models!$BJ46:$BT46,,AH46+1)*AF46-ERP_i)*AE46*Ramure*Pc/MaxiM</f>
        <v>6.4820131153824892E-3</v>
      </c>
      <c r="AE46" s="305">
        <f t="shared" si="15"/>
        <v>0.7</v>
      </c>
      <c r="AF46" s="177">
        <f t="shared" si="23"/>
        <v>1.8253304386557367E-3</v>
      </c>
      <c r="AG46" s="921">
        <f t="shared" si="24"/>
        <v>2</v>
      </c>
      <c r="AH46" s="176">
        <f t="shared" si="16"/>
        <v>8</v>
      </c>
      <c r="AI46" s="225">
        <f t="shared" si="17"/>
        <v>2.0018253304386557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5.0808957577755081</v>
      </c>
      <c r="C47" s="955"/>
      <c r="D47" s="393">
        <f t="shared" si="0"/>
        <v>5.4036695421357175</v>
      </c>
      <c r="E47" s="385">
        <f t="shared" si="1"/>
        <v>5.8450147362006941</v>
      </c>
      <c r="F47" s="385">
        <f t="shared" si="2"/>
        <v>5.8450147362006941</v>
      </c>
      <c r="G47" s="110">
        <f t="shared" si="21"/>
        <v>0.15639245735777901</v>
      </c>
      <c r="H47" s="414" t="b">
        <f>Wh_hp&gt;='2025'!Maxi_hp</f>
        <v>0</v>
      </c>
      <c r="I47" s="390">
        <f>IF(H47,Wh_hp,'2025'!Maxi_hp)</f>
        <v>31.55257955620117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5.9732332231522411E-2</v>
      </c>
      <c r="M47" s="959"/>
      <c r="N47" s="959"/>
      <c r="O47" s="48">
        <f>IF(t&lt;Tnet,'2025'!Resal+('2025'!Salim-'2025'!Resal)*(1-EXP(('2025'!Tnet-t)/('2025'!Tau_j))),Resal+(Salim-Resal)*(1-EXP((Tnet-t)/(Tau_j))))*Salcycl</f>
        <v>7.5507969437876021E-2</v>
      </c>
      <c r="P47" s="169">
        <f>(INDEX(Models!$BJ47:$BT47,,T47)*(1-R47)+INDEX(Models!$BJ47:$BT47,,T47+1)*R47-ERP_i)*Q47*Ramure*Pc/MaxiM</f>
        <v>1.5128967376121547E-4</v>
      </c>
      <c r="Q47" s="305">
        <f t="shared" si="4"/>
        <v>0.7</v>
      </c>
      <c r="R47" s="177">
        <f t="shared" si="5"/>
        <v>0.47694144662992155</v>
      </c>
      <c r="S47" s="921">
        <f t="shared" si="6"/>
        <v>-2</v>
      </c>
      <c r="T47" s="176">
        <f t="shared" si="7"/>
        <v>4</v>
      </c>
      <c r="U47" s="251">
        <f t="shared" si="8"/>
        <v>-1.5230585533700784</v>
      </c>
      <c r="V47" s="383">
        <f t="shared" si="9"/>
        <v>32.483197441498689</v>
      </c>
      <c r="W47" s="402">
        <f t="shared" si="10"/>
        <v>5.0808957577755081</v>
      </c>
      <c r="X47" s="157">
        <f t="shared" si="11"/>
        <v>46055</v>
      </c>
      <c r="Y47" s="385">
        <f t="shared" si="12"/>
        <v>4.7306409833542276</v>
      </c>
      <c r="Z47" s="385">
        <f t="shared" si="22"/>
        <v>5.0311641519923613</v>
      </c>
      <c r="AA47" s="386">
        <f t="shared" si="13"/>
        <v>5.8450147362006941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0.13923841443338122</v>
      </c>
      <c r="AD47" s="231">
        <f>(INDEX(Models!$BJ47:$BT47,,AH47)*(1-AF47)+INDEX(Models!$BJ47:$BT47,,AH47+1)*AF47-ERP_i)*AE47*Ramure*Pc/MaxiM</f>
        <v>6.1461879370390757E-3</v>
      </c>
      <c r="AE47" s="305">
        <f t="shared" si="15"/>
        <v>0.7</v>
      </c>
      <c r="AF47" s="177">
        <f t="shared" si="23"/>
        <v>1.9290130039006925E-3</v>
      </c>
      <c r="AG47" s="921">
        <f t="shared" si="24"/>
        <v>2</v>
      </c>
      <c r="AH47" s="176">
        <f t="shared" si="16"/>
        <v>8</v>
      </c>
      <c r="AI47" s="225">
        <f t="shared" si="17"/>
        <v>2.0019290130039007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11.112980140112775</v>
      </c>
      <c r="C48" s="955"/>
      <c r="D48" s="393">
        <f t="shared" si="0"/>
        <v>11.819212687175192</v>
      </c>
      <c r="E48" s="385">
        <f t="shared" si="1"/>
        <v>12.785620763211355</v>
      </c>
      <c r="F48" s="385">
        <f t="shared" si="2"/>
        <v>12.785727430228052</v>
      </c>
      <c r="G48" s="110">
        <f t="shared" si="21"/>
        <v>0.33892762409757621</v>
      </c>
      <c r="H48" s="414" t="b">
        <f>Wh_hp&gt;='2025'!Maxi_hp</f>
        <v>0</v>
      </c>
      <c r="I48" s="390">
        <f>IF(H48,Wh_hp,'2025'!Maxi_hp)</f>
        <v>28.70079034414249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5.9752926506579929E-2</v>
      </c>
      <c r="M48" s="959"/>
      <c r="N48" s="959"/>
      <c r="O48" s="48">
        <f>IF(t&lt;Tnet,'2025'!Resal+('2025'!Salim-'2025'!Resal)*(1-EXP(('2025'!Tnet-t)/('2025'!Tau_j))),Resal+(Salim-Resal)*(1-EXP((Tnet-t)/(Tau_j))))*Salcycl</f>
        <v>7.5585542065884831E-2</v>
      </c>
      <c r="P48" s="169">
        <f>(INDEX(Models!$BJ48:$BT48,,T48)*(1-R48)+INDEX(Models!$BJ48:$BT48,,T48+1)*R48-ERP_i)*Q48*Ramure*Pc/MaxiM</f>
        <v>1.4983390110532422E-4</v>
      </c>
      <c r="Q48" s="305">
        <f t="shared" si="4"/>
        <v>0.7</v>
      </c>
      <c r="R48" s="177">
        <f t="shared" si="5"/>
        <v>0.47704943300455471</v>
      </c>
      <c r="S48" s="921">
        <f t="shared" si="6"/>
        <v>-2</v>
      </c>
      <c r="T48" s="176">
        <f t="shared" si="7"/>
        <v>4</v>
      </c>
      <c r="U48" s="251">
        <f t="shared" si="8"/>
        <v>-1.5229505669954453</v>
      </c>
      <c r="V48" s="383">
        <f t="shared" si="9"/>
        <v>32.784013304498551</v>
      </c>
      <c r="W48" s="402">
        <f t="shared" si="10"/>
        <v>11.112980140112775</v>
      </c>
      <c r="X48" s="157">
        <f t="shared" si="11"/>
        <v>46056</v>
      </c>
      <c r="Y48" s="385">
        <f t="shared" si="12"/>
        <v>10.344262050931302</v>
      </c>
      <c r="Z48" s="385">
        <f t="shared" si="22"/>
        <v>11.001642379484302</v>
      </c>
      <c r="AA48" s="386">
        <f t="shared" si="13"/>
        <v>12.781582366452842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0.13925818697067233</v>
      </c>
      <c r="AD48" s="231">
        <f>(INDEX(Models!$BJ48:$BT48,,AH48)*(1-AF48)+INDEX(Models!$BJ48:$BT48,,AH48+1)*AF48-ERP_i)*AE48*Ramure*Pc/MaxiM</f>
        <v>5.8225222285564404E-3</v>
      </c>
      <c r="AE48" s="305">
        <f t="shared" si="15"/>
        <v>0.7</v>
      </c>
      <c r="AF48" s="177">
        <f t="shared" si="23"/>
        <v>2.0369993785336327E-3</v>
      </c>
      <c r="AG48" s="921">
        <f t="shared" si="24"/>
        <v>2</v>
      </c>
      <c r="AH48" s="176">
        <f t="shared" si="16"/>
        <v>8</v>
      </c>
      <c r="AI48" s="225">
        <f t="shared" si="17"/>
        <v>2.0020369993785336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10.657764353732672</v>
      </c>
      <c r="C49" s="955"/>
      <c r="D49" s="393">
        <f t="shared" si="0"/>
        <v>11.335316101158719</v>
      </c>
      <c r="E49" s="385">
        <f t="shared" si="1"/>
        <v>12.263187452534122</v>
      </c>
      <c r="F49" s="385">
        <f t="shared" si="2"/>
        <v>12.263245139480084</v>
      </c>
      <c r="G49" s="110">
        <f t="shared" si="21"/>
        <v>0.3221113018712824</v>
      </c>
      <c r="H49" s="414" t="b">
        <f>Wh_hp&gt;='2025'!Maxi_hp</f>
        <v>0</v>
      </c>
      <c r="I49" s="390">
        <f>IF(H49,Wh_hp,'2025'!Maxi_hp)</f>
        <v>29.923583051666235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5.9773520330569929E-2</v>
      </c>
      <c r="M49" s="959"/>
      <c r="N49" s="959"/>
      <c r="O49" s="48">
        <f>IF(t&lt;Tnet,'2025'!Resal+('2025'!Salim-'2025'!Resal)*(1-EXP(('2025'!Tnet-t)/('2025'!Tau_j))),Resal+(Salim-Resal)*(1-EXP((Tnet-t)/(Tau_j))))*Salcycl</f>
        <v>7.566314671180073E-2</v>
      </c>
      <c r="P49" s="169">
        <f>(INDEX(Models!$BJ49:$BT49,,T49)*(1-R49)+INDEX(Models!$BJ49:$BT49,,T49+1)*R49-ERP_i)*Q49*Ramure*Pc/MaxiM</f>
        <v>1.486093855586401E-4</v>
      </c>
      <c r="Q49" s="305">
        <f t="shared" si="4"/>
        <v>0.7</v>
      </c>
      <c r="R49" s="177">
        <f t="shared" si="5"/>
        <v>0.47716189984392066</v>
      </c>
      <c r="S49" s="921">
        <f t="shared" si="6"/>
        <v>-2</v>
      </c>
      <c r="T49" s="176">
        <f t="shared" si="7"/>
        <v>4</v>
      </c>
      <c r="U49" s="251">
        <f t="shared" si="8"/>
        <v>-1.5228381001560793</v>
      </c>
      <c r="V49" s="383">
        <f t="shared" si="9"/>
        <v>33.082448754451647</v>
      </c>
      <c r="W49" s="402">
        <f t="shared" si="10"/>
        <v>10.657764353732672</v>
      </c>
      <c r="X49" s="157">
        <f t="shared" si="11"/>
        <v>46057</v>
      </c>
      <c r="Y49" s="385">
        <f t="shared" si="12"/>
        <v>9.9225880704533704</v>
      </c>
      <c r="Z49" s="385">
        <f t="shared" si="22"/>
        <v>10.553402063236943</v>
      </c>
      <c r="AA49" s="386">
        <f t="shared" si="13"/>
        <v>12.26110596516304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0.13927812929585015</v>
      </c>
      <c r="AD49" s="231">
        <f>(INDEX(Models!$BJ49:$BT49,,AH49)*(1-AF49)+INDEX(Models!$BJ49:$BT49,,AH49+1)*AF49-ERP_i)*AE49*Ramure*Pc/MaxiM</f>
        <v>5.5108027571062358E-3</v>
      </c>
      <c r="AE49" s="305">
        <f t="shared" si="15"/>
        <v>0.7</v>
      </c>
      <c r="AF49" s="177">
        <f t="shared" si="23"/>
        <v>2.149466217899576E-3</v>
      </c>
      <c r="AG49" s="921">
        <f t="shared" si="24"/>
        <v>2</v>
      </c>
      <c r="AH49" s="176">
        <f t="shared" si="16"/>
        <v>8</v>
      </c>
      <c r="AI49" s="225">
        <f t="shared" si="17"/>
        <v>2.0021494662178996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10.069106672988108</v>
      </c>
      <c r="C50" s="955"/>
      <c r="D50" s="393">
        <f t="shared" si="0"/>
        <v>10.709469936048427</v>
      </c>
      <c r="E50" s="385">
        <f t="shared" si="1"/>
        <v>11.587084750618024</v>
      </c>
      <c r="F50" s="385">
        <f t="shared" si="2"/>
        <v>11.587088840250278</v>
      </c>
      <c r="G50" s="110">
        <f t="shared" si="21"/>
        <v>0.30162928127655969</v>
      </c>
      <c r="H50" s="414" t="b">
        <f>Wh_hp&gt;='2025'!Maxi_hp</f>
        <v>0</v>
      </c>
      <c r="I50" s="390">
        <f>IF(H50,Wh_hp,'2025'!Maxi_hp)</f>
        <v>37.591562892350396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5.9794113703502294E-2</v>
      </c>
      <c r="M50" s="959"/>
      <c r="N50" s="959"/>
      <c r="O50" s="48">
        <f>IF(t&lt;Tnet,'2025'!Resal+('2025'!Salim-'2025'!Resal)*(1-EXP(('2025'!Tnet-t)/('2025'!Tau_j))),Resal+(Salim-Resal)*(1-EXP((Tnet-t)/(Tau_j))))*Salcycl</f>
        <v>7.574077806954746E-2</v>
      </c>
      <c r="P50" s="169">
        <f>(INDEX(Models!$BJ50:$BT50,,T50)*(1-R50)+INDEX(Models!$BJ50:$BT50,,T50+1)*R50-ERP_i)*Q50*Ramure*Pc/MaxiM</f>
        <v>1.4761440330431067E-4</v>
      </c>
      <c r="Q50" s="305">
        <f t="shared" si="4"/>
        <v>0.7</v>
      </c>
      <c r="R50" s="177">
        <f t="shared" si="5"/>
        <v>0.47727903088470147</v>
      </c>
      <c r="S50" s="921">
        <f t="shared" si="6"/>
        <v>-2</v>
      </c>
      <c r="T50" s="176">
        <f t="shared" si="7"/>
        <v>4</v>
      </c>
      <c r="U50" s="251">
        <f t="shared" si="8"/>
        <v>-1.5227209691152985</v>
      </c>
      <c r="V50" s="383">
        <f t="shared" si="9"/>
        <v>33.377475285381955</v>
      </c>
      <c r="W50" s="402">
        <f t="shared" si="10"/>
        <v>10.069106672988108</v>
      </c>
      <c r="X50" s="157">
        <f t="shared" si="11"/>
        <v>46058</v>
      </c>
      <c r="Y50" s="385">
        <f t="shared" si="12"/>
        <v>9.3765826750950279</v>
      </c>
      <c r="Z50" s="385">
        <f t="shared" si="22"/>
        <v>9.9729036073467903</v>
      </c>
      <c r="AA50" s="386">
        <f t="shared" si="13"/>
        <v>11.586944476230828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0.13929823105608569</v>
      </c>
      <c r="AD50" s="231">
        <f>(INDEX(Models!$BJ50:$BT50,,AH50)*(1-AF50)+INDEX(Models!$BJ50:$BT50,,AH50+1)*AF50-ERP_i)*AE50*Ramure*Pc/MaxiM</f>
        <v>5.2107884678600849E-3</v>
      </c>
      <c r="AE50" s="305">
        <f t="shared" si="15"/>
        <v>0.7</v>
      </c>
      <c r="AF50" s="177">
        <f t="shared" si="23"/>
        <v>2.2665972586803917E-3</v>
      </c>
      <c r="AG50" s="921">
        <f t="shared" si="24"/>
        <v>2</v>
      </c>
      <c r="AH50" s="176">
        <f t="shared" si="16"/>
        <v>8</v>
      </c>
      <c r="AI50" s="225">
        <f t="shared" si="17"/>
        <v>2.0022665972586804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22.219516682603007</v>
      </c>
      <c r="C51" s="955"/>
      <c r="D51" s="393">
        <f t="shared" si="0"/>
        <v>23.633125128824719</v>
      </c>
      <c r="E51" s="385">
        <f t="shared" si="1"/>
        <v>25.571950252889202</v>
      </c>
      <c r="F51" s="385">
        <f t="shared" si="2"/>
        <v>25.573880823051951</v>
      </c>
      <c r="G51" s="110">
        <f t="shared" si="21"/>
        <v>0.65984085172577245</v>
      </c>
      <c r="H51" s="414" t="b">
        <f>Wh_hp&gt;='2025'!Maxi_hp</f>
        <v>0</v>
      </c>
      <c r="I51" s="390">
        <f>IF(H51,Wh_hp,'2025'!Maxi_hp)</f>
        <v>39.747861870771352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5.9814706625387015E-2</v>
      </c>
      <c r="M51" s="959"/>
      <c r="N51" s="959"/>
      <c r="O51" s="48">
        <f>IF(t&lt;Tnet,'2025'!Resal+('2025'!Salim-'2025'!Resal)*(1-EXP(('2025'!Tnet-t)/('2025'!Tau_j))),Resal+(Salim-Resal)*(1-EXP((Tnet-t)/(Tau_j))))*Salcycl</f>
        <v>7.5818430150646321E-2</v>
      </c>
      <c r="P51" s="169">
        <f>(INDEX(Models!$BJ51:$BT51,,T51)*(1-R51)+INDEX(Models!$BJ51:$BT51,,T51+1)*R51-ERP_i)*Q51*Ramure*Pc/MaxiM</f>
        <v>1.4683165975385961E-4</v>
      </c>
      <c r="Q51" s="305">
        <f t="shared" si="4"/>
        <v>0.7</v>
      </c>
      <c r="R51" s="177">
        <f t="shared" si="5"/>
        <v>0.47740101721429551</v>
      </c>
      <c r="S51" s="921">
        <f t="shared" si="6"/>
        <v>-2</v>
      </c>
      <c r="T51" s="176">
        <f t="shared" si="7"/>
        <v>4</v>
      </c>
      <c r="U51" s="251">
        <f t="shared" si="8"/>
        <v>-1.5225989827857045</v>
      </c>
      <c r="V51" s="383">
        <f t="shared" si="9"/>
        <v>33.671651771476718</v>
      </c>
      <c r="W51" s="402">
        <f t="shared" si="10"/>
        <v>22.219516682603007</v>
      </c>
      <c r="X51" s="157">
        <f t="shared" si="11"/>
        <v>46059</v>
      </c>
      <c r="Y51" s="385">
        <f t="shared" si="12"/>
        <v>20.642022688159322</v>
      </c>
      <c r="Z51" s="385">
        <f t="shared" si="22"/>
        <v>21.955270768029969</v>
      </c>
      <c r="AA51" s="386">
        <f t="shared" si="13"/>
        <v>25.509169507247712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0.13931848068232888</v>
      </c>
      <c r="AD51" s="231">
        <f>(INDEX(Models!$BJ51:$BT51,,AH51)*(1-AF51)+INDEX(Models!$BJ51:$BT51,,AH51+1)*AF51-ERP_i)*AE51*Ramure*Pc/MaxiM</f>
        <v>4.9216910567342707E-3</v>
      </c>
      <c r="AE51" s="305">
        <f t="shared" si="15"/>
        <v>0.7</v>
      </c>
      <c r="AF51" s="177">
        <f t="shared" si="23"/>
        <v>2.3885835882748729E-3</v>
      </c>
      <c r="AG51" s="921">
        <f t="shared" si="24"/>
        <v>2</v>
      </c>
      <c r="AH51" s="176">
        <f t="shared" si="16"/>
        <v>8</v>
      </c>
      <c r="AI51" s="225">
        <f t="shared" si="17"/>
        <v>2.0023885835882749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8.7504912288040053</v>
      </c>
      <c r="C52" s="955"/>
      <c r="D52" s="393">
        <f t="shared" si="0"/>
        <v>9.3074024374583413</v>
      </c>
      <c r="E52" s="385">
        <f t="shared" si="1"/>
        <v>10.071813787064356</v>
      </c>
      <c r="F52" s="385">
        <f t="shared" si="2"/>
        <v>10.071813787064356</v>
      </c>
      <c r="G52" s="110">
        <f t="shared" si="21"/>
        <v>0.2575728520582074</v>
      </c>
      <c r="H52" s="414" t="b">
        <f>Wh_hp&gt;='2025'!Maxi_hp</f>
        <v>0</v>
      </c>
      <c r="I52" s="390">
        <f>IF(H52,Wh_hp,'2025'!Maxi_hp)</f>
        <v>25.290736794333089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5.9835299096233863E-2</v>
      </c>
      <c r="M52" s="959"/>
      <c r="N52" s="959"/>
      <c r="O52" s="48">
        <f>IF(t&lt;Tnet,'2025'!Resal+('2025'!Salim-'2025'!Resal)*(1-EXP(('2025'!Tnet-t)/('2025'!Tau_j))),Resal+(Salim-Resal)*(1-EXP((Tnet-t)/(Tau_j))))*Salcycl</f>
        <v>7.5896096350369313E-2</v>
      </c>
      <c r="P52" s="169">
        <f>(INDEX(Models!$BJ52:$BT52,,T52)*(1-R52)+INDEX(Models!$BJ52:$BT52,,T52+1)*R52-ERP_i)*Q52*Ramure*Pc/MaxiM</f>
        <v>1.4627533750651429E-4</v>
      </c>
      <c r="Q52" s="305">
        <f t="shared" si="4"/>
        <v>0.7</v>
      </c>
      <c r="R52" s="177">
        <f t="shared" si="5"/>
        <v>0.47752805754919714</v>
      </c>
      <c r="S52" s="921">
        <f t="shared" si="6"/>
        <v>-2</v>
      </c>
      <c r="T52" s="176">
        <f t="shared" si="7"/>
        <v>4</v>
      </c>
      <c r="U52" s="251">
        <f t="shared" si="8"/>
        <v>-1.5224719424508029</v>
      </c>
      <c r="V52" s="383">
        <f t="shared" si="9"/>
        <v>33.967909186985977</v>
      </c>
      <c r="W52" s="402">
        <f t="shared" si="10"/>
        <v>8.7504912288040053</v>
      </c>
      <c r="X52" s="157">
        <f t="shared" si="11"/>
        <v>46060</v>
      </c>
      <c r="Y52" s="385">
        <f t="shared" si="12"/>
        <v>8.1497412558602349</v>
      </c>
      <c r="Z52" s="385">
        <f t="shared" si="22"/>
        <v>8.6684186802865622</v>
      </c>
      <c r="AA52" s="386">
        <f t="shared" si="13"/>
        <v>10.071813787064356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0.13933886551598396</v>
      </c>
      <c r="AD52" s="231">
        <f>(INDEX(Models!$BJ52:$BT52,,AH52)*(1-AF52)+INDEX(Models!$BJ52:$BT52,,AH52+1)*AF52-ERP_i)*AE52*Ramure*Pc/MaxiM</f>
        <v>4.6538019775426605E-3</v>
      </c>
      <c r="AE52" s="305">
        <f t="shared" si="15"/>
        <v>0.7</v>
      </c>
      <c r="AF52" s="177">
        <f t="shared" si="23"/>
        <v>2.515623923176058E-3</v>
      </c>
      <c r="AG52" s="921">
        <f t="shared" si="24"/>
        <v>2</v>
      </c>
      <c r="AH52" s="176">
        <f t="shared" si="16"/>
        <v>8</v>
      </c>
      <c r="AI52" s="225">
        <f t="shared" si="17"/>
        <v>2.0025156239231761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33.79722104829046</v>
      </c>
      <c r="C53" s="955"/>
      <c r="D53" s="393">
        <f t="shared" si="0"/>
        <v>35.948979235121108</v>
      </c>
      <c r="E53" s="385">
        <f t="shared" si="1"/>
        <v>38.904717257457264</v>
      </c>
      <c r="F53" s="385">
        <f t="shared" si="2"/>
        <v>38.910279591584541</v>
      </c>
      <c r="G53" s="110">
        <f t="shared" si="21"/>
        <v>0.98632281729058924</v>
      </c>
      <c r="H53" s="414" t="b">
        <f>Wh_hp&gt;='2025'!Maxi_hp</f>
        <v>1</v>
      </c>
      <c r="I53" s="390">
        <f>IF(H53,Wh_hp,'2025'!Maxi_hp)</f>
        <v>38.910279591584541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5.9855891116052717E-2</v>
      </c>
      <c r="M53" s="959"/>
      <c r="N53" s="959"/>
      <c r="O53" s="48">
        <f>IF(t&lt;Tnet,'2025'!Resal+('2025'!Salim-'2025'!Resal)*(1-EXP(('2025'!Tnet-t)/('2025'!Tau_j))),Resal+(Salim-Resal)*(1-EXP((Tnet-t)/(Tau_j))))*Salcycl</f>
        <v>7.5973769524558046E-2</v>
      </c>
      <c r="P53" s="169">
        <f>(INDEX(Models!$BJ53:$BT53,,T53)*(1-R53)+INDEX(Models!$BJ53:$BT53,,T53+1)*R53-ERP_i)*Q53*Ramure*Pc/MaxiM</f>
        <v>1.458010146506915E-4</v>
      </c>
      <c r="Q53" s="305">
        <f t="shared" si="4"/>
        <v>0.7</v>
      </c>
      <c r="R53" s="177">
        <f t="shared" si="5"/>
        <v>0.47766035852256339</v>
      </c>
      <c r="S53" s="921">
        <f t="shared" si="6"/>
        <v>-2</v>
      </c>
      <c r="T53" s="176">
        <f t="shared" si="7"/>
        <v>4</v>
      </c>
      <c r="U53" s="251">
        <f t="shared" si="8"/>
        <v>-1.5223396414774366</v>
      </c>
      <c r="V53" s="383">
        <f t="shared" si="9"/>
        <v>34.265784164098626</v>
      </c>
      <c r="W53" s="402">
        <f t="shared" si="10"/>
        <v>33.79722104829046</v>
      </c>
      <c r="X53" s="157">
        <f t="shared" si="11"/>
        <v>46061</v>
      </c>
      <c r="Y53" s="385">
        <f t="shared" si="12"/>
        <v>31.347101992024559</v>
      </c>
      <c r="Z53" s="385">
        <f t="shared" si="22"/>
        <v>33.342869136559244</v>
      </c>
      <c r="AA53" s="386">
        <f t="shared" si="13"/>
        <v>38.741918577884206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0.13935937195446496</v>
      </c>
      <c r="AD53" s="231">
        <f>(INDEX(Models!$BJ53:$BT53,,AH53)*(1-AF53)+INDEX(Models!$BJ53:$BT53,,AH53+1)*AF53-ERP_i)*AE53*Ramure*Pc/MaxiM</f>
        <v>4.4131125645143314E-3</v>
      </c>
      <c r="AE53" s="305">
        <f t="shared" si="15"/>
        <v>0.7</v>
      </c>
      <c r="AF53" s="177">
        <f t="shared" si="23"/>
        <v>2.6479248965425306E-3</v>
      </c>
      <c r="AG53" s="921">
        <f t="shared" si="24"/>
        <v>2</v>
      </c>
      <c r="AH53" s="176">
        <f t="shared" si="16"/>
        <v>8</v>
      </c>
      <c r="AI53" s="225">
        <f t="shared" si="17"/>
        <v>2.0026479248965425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33.872017936495439</v>
      </c>
      <c r="C54" s="955"/>
      <c r="D54" s="393">
        <f t="shared" si="0"/>
        <v>36.029327330550039</v>
      </c>
      <c r="E54" s="385">
        <f t="shared" si="1"/>
        <v>38.99494947154686</v>
      </c>
      <c r="F54" s="385">
        <f t="shared" si="2"/>
        <v>39.000458100500268</v>
      </c>
      <c r="G54" s="110">
        <f t="shared" si="21"/>
        <v>0.97995267818514564</v>
      </c>
      <c r="H54" s="414" t="b">
        <f>Wh_hp&gt;='2025'!Maxi_hp</f>
        <v>1</v>
      </c>
      <c r="I54" s="390">
        <f>IF(H54,Wh_hp,'2025'!Maxi_hp)</f>
        <v>39.000458100500268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5.9876482684853571E-2</v>
      </c>
      <c r="M54" s="959"/>
      <c r="N54" s="959"/>
      <c r="O54" s="48">
        <f>IF(t&lt;Tnet,'2025'!Resal+('2025'!Salim-'2025'!Resal)*(1-EXP(('2025'!Tnet-t)/('2025'!Tau_j))),Resal+(Salim-Resal)*(1-EXP((Tnet-t)/(Tau_j))))*Salcycl</f>
        <v>7.605144207612638E-2</v>
      </c>
      <c r="P54" s="169">
        <f>(INDEX(Models!$BJ54:$BT54,,T54)*(1-R54)+INDEX(Models!$BJ54:$BT54,,T54+1)*R54-ERP_i)*Q54*Ramure*Pc/MaxiM</f>
        <v>1.4540875536855086E-4</v>
      </c>
      <c r="Q54" s="305">
        <f t="shared" si="4"/>
        <v>0.7</v>
      </c>
      <c r="R54" s="177">
        <f t="shared" si="5"/>
        <v>0.47779813498115442</v>
      </c>
      <c r="S54" s="921">
        <f t="shared" si="6"/>
        <v>-2</v>
      </c>
      <c r="T54" s="176">
        <f t="shared" si="7"/>
        <v>4</v>
      </c>
      <c r="U54" s="251">
        <f t="shared" si="8"/>
        <v>-1.5222018650188456</v>
      </c>
      <c r="V54" s="383">
        <f t="shared" si="9"/>
        <v>34.564808733968277</v>
      </c>
      <c r="W54" s="402">
        <f t="shared" si="10"/>
        <v>33.872017936495439</v>
      </c>
      <c r="X54" s="157">
        <f t="shared" si="11"/>
        <v>46062</v>
      </c>
      <c r="Y54" s="385">
        <f t="shared" si="12"/>
        <v>31.426141286385704</v>
      </c>
      <c r="Z54" s="385">
        <f t="shared" si="22"/>
        <v>33.427672755314227</v>
      </c>
      <c r="AA54" s="386">
        <f t="shared" si="13"/>
        <v>38.841384346786214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0.13937998561371873</v>
      </c>
      <c r="AD54" s="231">
        <f>(INDEX(Models!$BJ54:$BT54,,AH54)*(1-AF54)+INDEX(Models!$BJ54:$BT54,,AH54+1)*AF54-ERP_i)*AE54*Ramure*Pc/MaxiM</f>
        <v>4.1989970163175353E-3</v>
      </c>
      <c r="AE54" s="305">
        <f t="shared" si="15"/>
        <v>0.7</v>
      </c>
      <c r="AF54" s="177">
        <f t="shared" si="23"/>
        <v>2.785701355133785E-3</v>
      </c>
      <c r="AG54" s="921">
        <f t="shared" si="24"/>
        <v>2</v>
      </c>
      <c r="AH54" s="176">
        <f t="shared" si="16"/>
        <v>8</v>
      </c>
      <c r="AI54" s="225">
        <f t="shared" si="17"/>
        <v>2.0027857013551338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31.471619986815927</v>
      </c>
      <c r="C55" s="955"/>
      <c r="D55" s="393">
        <f t="shared" si="0"/>
        <v>33.476781222367087</v>
      </c>
      <c r="E55" s="385">
        <f t="shared" si="1"/>
        <v>36.235345697756571</v>
      </c>
      <c r="F55" s="385">
        <f t="shared" si="2"/>
        <v>36.239873016342578</v>
      </c>
      <c r="G55" s="110">
        <f t="shared" si="21"/>
        <v>0.90266521482681517</v>
      </c>
      <c r="H55" s="414" t="b">
        <f>Wh_hp&gt;='2025'!Maxi_hp</f>
        <v>1</v>
      </c>
      <c r="I55" s="390">
        <f>IF(H55,Wh_hp,'2025'!Maxi_hp)</f>
        <v>36.239873016342578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5.9897073802646195E-2</v>
      </c>
      <c r="M55" s="959"/>
      <c r="N55" s="959"/>
      <c r="O55" s="48">
        <f>IF(t&lt;Tnet,'2025'!Resal+('2025'!Salim-'2025'!Resal)*(1-EXP(('2025'!Tnet-t)/('2025'!Tau_j))),Resal+(Salim-Resal)*(1-EXP((Tnet-t)/(Tau_j))))*Salcycl</f>
        <v>7.6129106050181208E-2</v>
      </c>
      <c r="P55" s="169">
        <f>(INDEX(Models!$BJ55:$BT55,,T55)*(1-R55)+INDEX(Models!$BJ55:$BT55,,T55+1)*R55-ERP_i)*Q55*Ramure*Pc/MaxiM</f>
        <v>1.4509858626342615E-4</v>
      </c>
      <c r="Q55" s="305">
        <f t="shared" si="4"/>
        <v>0.7</v>
      </c>
      <c r="R55" s="177">
        <f t="shared" si="5"/>
        <v>0.47794161029181703</v>
      </c>
      <c r="S55" s="921">
        <f t="shared" si="6"/>
        <v>-2</v>
      </c>
      <c r="T55" s="176">
        <f t="shared" si="7"/>
        <v>4</v>
      </c>
      <c r="U55" s="251">
        <f t="shared" si="8"/>
        <v>-1.522058389708183</v>
      </c>
      <c r="V55" s="383">
        <f t="shared" si="9"/>
        <v>34.864515149885591</v>
      </c>
      <c r="W55" s="402">
        <f t="shared" si="10"/>
        <v>31.471619986815927</v>
      </c>
      <c r="X55" s="157">
        <f t="shared" si="11"/>
        <v>46063</v>
      </c>
      <c r="Y55" s="385">
        <f t="shared" si="12"/>
        <v>29.218690550379037</v>
      </c>
      <c r="Z55" s="385">
        <f t="shared" si="22"/>
        <v>31.080310183233298</v>
      </c>
      <c r="AA55" s="386">
        <f t="shared" si="13"/>
        <v>36.114728278843238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0.13940069150566486</v>
      </c>
      <c r="AD55" s="231">
        <f>(INDEX(Models!$BJ55:$BT55,,AH55)*(1-AF55)+INDEX(Models!$BJ55:$BT55,,AH55+1)*AF55-ERP_i)*AE55*Ramure*Pc/MaxiM</f>
        <v>4.0108342597267909E-3</v>
      </c>
      <c r="AE55" s="305">
        <f t="shared" si="15"/>
        <v>0.7</v>
      </c>
      <c r="AF55" s="177">
        <f t="shared" si="23"/>
        <v>2.9291766657961738E-3</v>
      </c>
      <c r="AG55" s="921">
        <f t="shared" si="24"/>
        <v>2</v>
      </c>
      <c r="AH55" s="176">
        <f t="shared" si="16"/>
        <v>8</v>
      </c>
      <c r="AI55" s="225">
        <f t="shared" si="17"/>
        <v>2.0029291766657962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15.842576585647052</v>
      </c>
      <c r="C56" s="955"/>
      <c r="D56" s="393">
        <f t="shared" si="0"/>
        <v>16.852328766188219</v>
      </c>
      <c r="E56" s="385">
        <f t="shared" si="1"/>
        <v>18.24253297502716</v>
      </c>
      <c r="F56" s="385">
        <f t="shared" si="2"/>
        <v>18.243101303000088</v>
      </c>
      <c r="G56" s="110">
        <f t="shared" si="21"/>
        <v>0.45047715267289512</v>
      </c>
      <c r="H56" s="414" t="b">
        <f>Wh_hp&gt;='2025'!Maxi_hp</f>
        <v>0</v>
      </c>
      <c r="I56" s="390">
        <f>IF(H56,Wh_hp,'2025'!Maxi_hp)</f>
        <v>32.069160070810902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5.9917664469440468E-2</v>
      </c>
      <c r="M56" s="959"/>
      <c r="N56" s="959"/>
      <c r="O56" s="48">
        <f>IF(t&lt;Tnet,'2025'!Resal+('2025'!Salim-'2025'!Resal)*(1-EXP(('2025'!Tnet-t)/('2025'!Tau_j))),Resal+(Salim-Resal)*(1-EXP((Tnet-t)/(Tau_j))))*Salcycl</f>
        <v>7.6206753236627803E-2</v>
      </c>
      <c r="P56" s="169">
        <f>(INDEX(Models!$BJ56:$BT56,,T56)*(1-R56)+INDEX(Models!$BJ56:$BT56,,T56+1)*R56-ERP_i)*Q56*Ramure*Pc/MaxiM</f>
        <v>1.4487051169860673E-4</v>
      </c>
      <c r="Q56" s="305">
        <f t="shared" si="4"/>
        <v>0.7</v>
      </c>
      <c r="R56" s="177">
        <f t="shared" si="5"/>
        <v>0.47809101665767817</v>
      </c>
      <c r="S56" s="921">
        <f t="shared" si="6"/>
        <v>-2</v>
      </c>
      <c r="T56" s="176">
        <f t="shared" si="7"/>
        <v>4</v>
      </c>
      <c r="U56" s="251">
        <f t="shared" si="8"/>
        <v>-1.5219089833423218</v>
      </c>
      <c r="V56" s="383">
        <f t="shared" si="9"/>
        <v>35.164435882476404</v>
      </c>
      <c r="W56" s="402">
        <f t="shared" si="10"/>
        <v>15.842576585647052</v>
      </c>
      <c r="X56" s="157">
        <f t="shared" si="11"/>
        <v>46064</v>
      </c>
      <c r="Y56" s="385">
        <f t="shared" si="12"/>
        <v>14.746723885068834</v>
      </c>
      <c r="Z56" s="385">
        <f t="shared" si="22"/>
        <v>15.686630125590161</v>
      </c>
      <c r="AA56" s="386">
        <f t="shared" si="13"/>
        <v>18.228005528635826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0.13942147422839077</v>
      </c>
      <c r="AD56" s="231">
        <f>(INDEX(Models!$BJ56:$BT56,,AH56)*(1-AF56)+INDEX(Models!$BJ56:$BT56,,AH56+1)*AF56-ERP_i)*AE56*Ramure*Pc/MaxiM</f>
        <v>3.8480114666491023E-3</v>
      </c>
      <c r="AE56" s="305">
        <f t="shared" si="15"/>
        <v>0.7</v>
      </c>
      <c r="AF56" s="177">
        <f t="shared" si="23"/>
        <v>3.0785830316575336E-3</v>
      </c>
      <c r="AG56" s="921">
        <f t="shared" si="24"/>
        <v>2</v>
      </c>
      <c r="AH56" s="176">
        <f t="shared" si="16"/>
        <v>8</v>
      </c>
      <c r="AI56" s="225">
        <f t="shared" si="17"/>
        <v>2.0030785830316575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26.349602814872149</v>
      </c>
      <c r="C57" s="955"/>
      <c r="D57" s="393">
        <f t="shared" si="0"/>
        <v>28.029651186422559</v>
      </c>
      <c r="E57" s="385">
        <f t="shared" si="1"/>
        <v>30.344459307907403</v>
      </c>
      <c r="F57" s="385">
        <f t="shared" si="2"/>
        <v>30.34723877002493</v>
      </c>
      <c r="G57" s="110">
        <f t="shared" si="21"/>
        <v>0.74295413924562115</v>
      </c>
      <c r="H57" s="414" t="b">
        <f>Wh_hp&gt;='2025'!Maxi_hp</f>
        <v>0</v>
      </c>
      <c r="I57" s="390">
        <f>IF(H57,Wh_hp,'2025'!Maxi_hp)</f>
        <v>40.986650074876621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5.9938254685246273E-2</v>
      </c>
      <c r="M57" s="959"/>
      <c r="N57" s="959"/>
      <c r="O57" s="48">
        <f>IF(t&lt;Tnet,'2025'!Resal+('2025'!Salim-'2025'!Resal)*(1-EXP(('2025'!Tnet-t)/('2025'!Tau_j))),Resal+(Salim-Resal)*(1-EXP((Tnet-t)/(Tau_j))))*Salcycl</f>
        <v>7.6284375279068908E-2</v>
      </c>
      <c r="P57" s="169">
        <f>(INDEX(Models!$BJ57:$BT57,,T57)*(1-R57)+INDEX(Models!$BJ57:$BT57,,T57+1)*R57-ERP_i)*Q57*Ramure*Pc/MaxiM</f>
        <v>1.4472452857068556E-4</v>
      </c>
      <c r="Q57" s="305">
        <f t="shared" si="4"/>
        <v>0.7</v>
      </c>
      <c r="R57" s="177">
        <f t="shared" si="5"/>
        <v>0.47824659544420101</v>
      </c>
      <c r="S57" s="921">
        <f t="shared" si="6"/>
        <v>-2</v>
      </c>
      <c r="T57" s="176">
        <f t="shared" si="7"/>
        <v>4</v>
      </c>
      <c r="U57" s="251">
        <f t="shared" si="8"/>
        <v>-1.521753404555799</v>
      </c>
      <c r="V57" s="383">
        <f t="shared" si="9"/>
        <v>35.464103616999779</v>
      </c>
      <c r="W57" s="402">
        <f t="shared" si="10"/>
        <v>26.349602814872149</v>
      </c>
      <c r="X57" s="157">
        <f t="shared" si="11"/>
        <v>46065</v>
      </c>
      <c r="Y57" s="385">
        <f t="shared" si="12"/>
        <v>24.492589470292728</v>
      </c>
      <c r="Z57" s="385">
        <f t="shared" si="22"/>
        <v>26.054234833364124</v>
      </c>
      <c r="AA57" s="386">
        <f t="shared" si="13"/>
        <v>30.27598891205497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0.13944231816685176</v>
      </c>
      <c r="AD57" s="231">
        <f>(INDEX(Models!$BJ57:$BT57,,AH57)*(1-AF57)+INDEX(Models!$BJ57:$BT57,,AH57+1)*AF57-ERP_i)*AE57*Ramure*Pc/MaxiM</f>
        <v>3.709927197926911E-3</v>
      </c>
      <c r="AE57" s="305">
        <f t="shared" si="15"/>
        <v>0.7</v>
      </c>
      <c r="AF57" s="177">
        <f t="shared" si="23"/>
        <v>3.2341618181801479E-3</v>
      </c>
      <c r="AG57" s="921">
        <f t="shared" si="24"/>
        <v>2</v>
      </c>
      <c r="AH57" s="176">
        <f t="shared" si="16"/>
        <v>8</v>
      </c>
      <c r="AI57" s="225">
        <f t="shared" si="17"/>
        <v>2.0032341618181801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32.20015817454324</v>
      </c>
      <c r="C58" s="955"/>
      <c r="D58" s="393">
        <f t="shared" si="0"/>
        <v>34.253987694513292</v>
      </c>
      <c r="E58" s="385">
        <f t="shared" si="1"/>
        <v>37.085943141777982</v>
      </c>
      <c r="F58" s="385">
        <f t="shared" si="2"/>
        <v>37.090546595870364</v>
      </c>
      <c r="G58" s="110">
        <f t="shared" si="21"/>
        <v>0.90035652331575255</v>
      </c>
      <c r="H58" s="414" t="b">
        <f>Wh_hp&gt;='2025'!Maxi_hp</f>
        <v>0</v>
      </c>
      <c r="I58" s="390">
        <f>IF(H58,Wh_hp,'2025'!Maxi_hp)</f>
        <v>42.930559585857665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5.995884445007349E-2</v>
      </c>
      <c r="M58" s="959"/>
      <c r="N58" s="959"/>
      <c r="O58" s="48">
        <f>IF(t&lt;Tnet,'2025'!Resal+('2025'!Salim-'2025'!Resal)*(1-EXP(('2025'!Tnet-t)/('2025'!Tau_j))),Resal+(Salim-Resal)*(1-EXP((Tnet-t)/(Tau_j))))*Salcycl</f>
        <v>7.6361963788766127E-2</v>
      </c>
      <c r="P58" s="169">
        <f>(INDEX(Models!$BJ58:$BT58,,T58)*(1-R58)+INDEX(Models!$BJ58:$BT58,,T58+1)*R58-ERP_i)*Q58*Ramure*Pc/MaxiM</f>
        <v>1.447091436503986E-4</v>
      </c>
      <c r="Q58" s="305">
        <f t="shared" si="4"/>
        <v>0.7</v>
      </c>
      <c r="R58" s="177">
        <f t="shared" si="5"/>
        <v>0.47840859751524012</v>
      </c>
      <c r="S58" s="921">
        <f t="shared" si="6"/>
        <v>-2</v>
      </c>
      <c r="T58" s="176">
        <f t="shared" si="7"/>
        <v>4</v>
      </c>
      <c r="U58" s="251">
        <f t="shared" si="8"/>
        <v>-1.5215914024847599</v>
      </c>
      <c r="V58" s="383">
        <f t="shared" si="9"/>
        <v>35.763049514004592</v>
      </c>
      <c r="W58" s="402">
        <f t="shared" si="10"/>
        <v>32.20015817454324</v>
      </c>
      <c r="X58" s="157">
        <f t="shared" si="11"/>
        <v>46066</v>
      </c>
      <c r="Y58" s="385">
        <f t="shared" si="12"/>
        <v>29.911445819409</v>
      </c>
      <c r="Z58" s="385">
        <f t="shared" si="22"/>
        <v>31.81929391369118</v>
      </c>
      <c r="AA58" s="386">
        <f t="shared" si="13"/>
        <v>36.976099335289874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0.13946320770176684</v>
      </c>
      <c r="AD58" s="231">
        <f>(INDEX(Models!$BJ58:$BT58,,AH58)*(1-AF58)+INDEX(Models!$BJ58:$BT58,,AH58+1)*AF58-ERP_i)*AE58*Ramure*Pc/MaxiM</f>
        <v>3.5976388032521321E-3</v>
      </c>
      <c r="AE58" s="305">
        <f t="shared" si="15"/>
        <v>0.7</v>
      </c>
      <c r="AF58" s="177">
        <f t="shared" si="23"/>
        <v>3.3961638892194834E-3</v>
      </c>
      <c r="AG58" s="921">
        <f t="shared" si="24"/>
        <v>2</v>
      </c>
      <c r="AH58" s="176">
        <f t="shared" si="16"/>
        <v>8</v>
      </c>
      <c r="AI58" s="225">
        <f t="shared" si="17"/>
        <v>2.0033961638892195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17.863021844284763</v>
      </c>
      <c r="C59" s="955"/>
      <c r="D59" s="393">
        <f t="shared" si="0"/>
        <v>19.002798966207738</v>
      </c>
      <c r="E59" s="385">
        <f t="shared" si="1"/>
        <v>20.575586744428517</v>
      </c>
      <c r="F59" s="385">
        <f t="shared" si="2"/>
        <v>20.576418156162514</v>
      </c>
      <c r="G59" s="110">
        <f t="shared" si="21"/>
        <v>0.49530662820043525</v>
      </c>
      <c r="H59" s="414" t="b">
        <f>Wh_hp&gt;='2025'!Maxi_hp</f>
        <v>0</v>
      </c>
      <c r="I59" s="390">
        <f>IF(H59,Wh_hp,'2025'!Maxi_hp)</f>
        <v>42.898613753230741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5.9979433763932111E-2</v>
      </c>
      <c r="M59" s="959"/>
      <c r="N59" s="959"/>
      <c r="O59" s="48">
        <f>IF(t&lt;Tnet,'2025'!Resal+('2025'!Salim-'2025'!Resal)*(1-EXP(('2025'!Tnet-t)/('2025'!Tau_j))),Resal+(Salim-Resal)*(1-EXP((Tnet-t)/(Tau_j))))*Salcycl</f>
        <v>7.6439510462400662E-2</v>
      </c>
      <c r="P59" s="169">
        <f>(INDEX(Models!$BJ59:$BT59,,T59)*(1-R59)+INDEX(Models!$BJ59:$BT59,,T59+1)*R59-ERP_i)*Q59*Ramure*Pc/MaxiM</f>
        <v>1.4478129961679502E-4</v>
      </c>
      <c r="Q59" s="305">
        <f t="shared" si="4"/>
        <v>0.7</v>
      </c>
      <c r="R59" s="177">
        <f t="shared" si="5"/>
        <v>0.47857728357922191</v>
      </c>
      <c r="S59" s="921">
        <f t="shared" si="6"/>
        <v>-2</v>
      </c>
      <c r="T59" s="176">
        <f t="shared" si="7"/>
        <v>4</v>
      </c>
      <c r="U59" s="251">
        <f t="shared" si="8"/>
        <v>-1.5214227164207781</v>
      </c>
      <c r="V59" s="383">
        <f t="shared" si="9"/>
        <v>36.060808183479296</v>
      </c>
      <c r="W59" s="402">
        <f t="shared" si="10"/>
        <v>17.863021844284763</v>
      </c>
      <c r="X59" s="157">
        <f t="shared" si="11"/>
        <v>46067</v>
      </c>
      <c r="Y59" s="385">
        <f t="shared" si="12"/>
        <v>16.628063629668326</v>
      </c>
      <c r="Z59" s="385">
        <f t="shared" si="22"/>
        <v>17.689042375156408</v>
      </c>
      <c r="AA59" s="386">
        <f t="shared" si="13"/>
        <v>20.556323176481051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0.13948412742436164</v>
      </c>
      <c r="AD59" s="231">
        <f>(INDEX(Models!$BJ59:$BT59,,AH59)*(1-AF59)+INDEX(Models!$BJ59:$BT59,,AH59+1)*AF59-ERP_i)*AE59*Ramure*Pc/MaxiM</f>
        <v>3.4993218823924218E-3</v>
      </c>
      <c r="AE59" s="305">
        <f t="shared" si="15"/>
        <v>0.7</v>
      </c>
      <c r="AF59" s="177">
        <f t="shared" si="23"/>
        <v>3.5648499532010547E-3</v>
      </c>
      <c r="AG59" s="921">
        <f t="shared" si="24"/>
        <v>2</v>
      </c>
      <c r="AH59" s="176">
        <f t="shared" si="16"/>
        <v>8</v>
      </c>
      <c r="AI59" s="225">
        <f t="shared" si="17"/>
        <v>2.0035648499532011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17.603227362747809</v>
      </c>
      <c r="C60" s="955"/>
      <c r="D60" s="393">
        <f t="shared" si="0"/>
        <v>18.726838070720028</v>
      </c>
      <c r="E60" s="385">
        <f t="shared" si="1"/>
        <v>20.278487223666236</v>
      </c>
      <c r="F60" s="385">
        <f t="shared" si="2"/>
        <v>20.279260586945028</v>
      </c>
      <c r="G60" s="110">
        <f t="shared" si="21"/>
        <v>0.4841265596439101</v>
      </c>
      <c r="H60" s="414" t="b">
        <f>Wh_hp&gt;='2025'!Maxi_hp</f>
        <v>0</v>
      </c>
      <c r="I60" s="390">
        <f>IF(H60,Wh_hp,'2025'!Maxi_hp)</f>
        <v>43.307632323541206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6.0000022626831906E-2</v>
      </c>
      <c r="M60" s="959"/>
      <c r="N60" s="959"/>
      <c r="O60" s="48">
        <f>IF(t&lt;Tnet,'2025'!Resal+('2025'!Salim-'2025'!Resal)*(1-EXP(('2025'!Tnet-t)/('2025'!Tau_j))),Resal+(Salim-Resal)*(1-EXP((Tnet-t)/(Tau_j))))*Salcycl</f>
        <v>7.6517007202358753E-2</v>
      </c>
      <c r="P60" s="169">
        <f>(INDEX(Models!$BJ60:$BT60,,T60)*(1-R60)+INDEX(Models!$BJ60:$BT60,,T60+1)*R60-ERP_i)*Q60*Ramure*Pc/MaxiM</f>
        <v>1.4494093923638778E-4</v>
      </c>
      <c r="Q60" s="305">
        <f t="shared" si="4"/>
        <v>0.7</v>
      </c>
      <c r="R60" s="177">
        <f t="shared" si="5"/>
        <v>0.47875292454555241</v>
      </c>
      <c r="S60" s="921">
        <f t="shared" si="6"/>
        <v>-2</v>
      </c>
      <c r="T60" s="176">
        <f t="shared" si="7"/>
        <v>4</v>
      </c>
      <c r="U60" s="251">
        <f t="shared" si="8"/>
        <v>-1.5212470754544476</v>
      </c>
      <c r="V60" s="383">
        <f t="shared" si="9"/>
        <v>36.356912925065267</v>
      </c>
      <c r="W60" s="402">
        <f t="shared" si="10"/>
        <v>17.603227362747809</v>
      </c>
      <c r="X60" s="157">
        <f t="shared" si="11"/>
        <v>46068</v>
      </c>
      <c r="Y60" s="385">
        <f t="shared" si="12"/>
        <v>16.388451338735944</v>
      </c>
      <c r="Z60" s="385">
        <f t="shared" si="22"/>
        <v>17.434523120451029</v>
      </c>
      <c r="AA60" s="386">
        <f t="shared" si="13"/>
        <v>20.261040893695114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0.13950506235460242</v>
      </c>
      <c r="AD60" s="231">
        <f>(INDEX(Models!$BJ60:$BT60,,AH60)*(1-AF60)+INDEX(Models!$BJ60:$BT60,,AH60+1)*AF60-ERP_i)*AE60*Ramure*Pc/MaxiM</f>
        <v>3.4146687910541116E-3</v>
      </c>
      <c r="AE60" s="305">
        <f t="shared" si="15"/>
        <v>0.7</v>
      </c>
      <c r="AF60" s="177">
        <f t="shared" si="23"/>
        <v>3.7404909195313252E-3</v>
      </c>
      <c r="AG60" s="921">
        <f t="shared" si="24"/>
        <v>2</v>
      </c>
      <c r="AH60" s="176">
        <f t="shared" si="16"/>
        <v>8</v>
      </c>
      <c r="AI60" s="225">
        <f t="shared" si="17"/>
        <v>2.0037404909195313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7.6561772269295219</v>
      </c>
      <c r="C61" s="955"/>
      <c r="D61" s="393">
        <f t="shared" si="0"/>
        <v>8.1450479838610672</v>
      </c>
      <c r="E61" s="385">
        <f t="shared" si="1"/>
        <v>8.8206616807534477</v>
      </c>
      <c r="F61" s="385">
        <f t="shared" si="2"/>
        <v>8.8206616807534477</v>
      </c>
      <c r="G61" s="110">
        <f t="shared" si="21"/>
        <v>0.2088643449269765</v>
      </c>
      <c r="H61" s="414" t="b">
        <f>Wh_hp&gt;='2025'!Maxi_hp</f>
        <v>0</v>
      </c>
      <c r="I61" s="390">
        <f>IF(H61,Wh_hp,'2025'!Maxi_hp)</f>
        <v>43.625435149292962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6.0020611038782645E-2</v>
      </c>
      <c r="M61" s="959"/>
      <c r="N61" s="959"/>
      <c r="O61" s="48">
        <f>IF(t&lt;Tnet,'2025'!Resal+('2025'!Salim-'2025'!Resal)*(1-EXP(('2025'!Tnet-t)/('2025'!Tau_j))),Resal+(Salim-Resal)*(1-EXP((Tnet-t)/(Tau_j))))*Salcycl</f>
        <v>7.6594446238263364E-2</v>
      </c>
      <c r="P61" s="169">
        <f>(INDEX(Models!$BJ61:$BT61,,T61)*(1-R61)+INDEX(Models!$BJ61:$BT61,,T61+1)*R61-ERP_i)*Q61*Ramure*Pc/MaxiM</f>
        <v>1.4518806104258787E-4</v>
      </c>
      <c r="Q61" s="305">
        <f t="shared" si="4"/>
        <v>0.7</v>
      </c>
      <c r="R61" s="177">
        <f t="shared" si="5"/>
        <v>0.47893580189134033</v>
      </c>
      <c r="S61" s="921">
        <f t="shared" si="6"/>
        <v>-2</v>
      </c>
      <c r="T61" s="176">
        <f t="shared" si="7"/>
        <v>4</v>
      </c>
      <c r="U61" s="251">
        <f t="shared" si="8"/>
        <v>-1.5210641981086597</v>
      </c>
      <c r="V61" s="383">
        <f t="shared" si="9"/>
        <v>36.65089723226491</v>
      </c>
      <c r="W61" s="402">
        <f t="shared" si="10"/>
        <v>7.6561772269295219</v>
      </c>
      <c r="X61" s="157">
        <f t="shared" si="11"/>
        <v>46069</v>
      </c>
      <c r="Y61" s="385">
        <f t="shared" si="12"/>
        <v>7.1343966152360494</v>
      </c>
      <c r="Z61" s="385">
        <f t="shared" si="22"/>
        <v>7.589950055309572</v>
      </c>
      <c r="AA61" s="386">
        <f t="shared" si="13"/>
        <v>8.8206616807534477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0.1395259981605767</v>
      </c>
      <c r="AD61" s="231">
        <f>(INDEX(Models!$BJ61:$BT61,,AH61)*(1-AF61)+INDEX(Models!$BJ61:$BT61,,AH61+1)*AF61-ERP_i)*AE61*Ramure*Pc/MaxiM</f>
        <v>3.3433820302181307E-3</v>
      </c>
      <c r="AE61" s="305">
        <f t="shared" si="15"/>
        <v>0.7</v>
      </c>
      <c r="AF61" s="177">
        <f t="shared" si="23"/>
        <v>3.9233682653194712E-3</v>
      </c>
      <c r="AG61" s="921">
        <f t="shared" si="24"/>
        <v>2</v>
      </c>
      <c r="AH61" s="176">
        <f t="shared" si="16"/>
        <v>8</v>
      </c>
      <c r="AI61" s="225">
        <f t="shared" si="17"/>
        <v>2.0039233682653195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8.9470294224688338</v>
      </c>
      <c r="C62" s="955"/>
      <c r="D62" s="393">
        <f t="shared" si="0"/>
        <v>9.5185335920556771</v>
      </c>
      <c r="E62" s="385">
        <f t="shared" si="1"/>
        <v>10.308938685936477</v>
      </c>
      <c r="F62" s="385">
        <f t="shared" si="2"/>
        <v>10.308938685936477</v>
      </c>
      <c r="G62" s="110">
        <f t="shared" si="21"/>
        <v>0.24215408052557949</v>
      </c>
      <c r="H62" s="414" t="b">
        <f>Wh_hp&gt;='2025'!Maxi_hp</f>
        <v>0</v>
      </c>
      <c r="I62" s="390">
        <f>IF(H62,Wh_hp,'2025'!Maxi_hp)</f>
        <v>44.343925318135149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6.0041198999794432E-2</v>
      </c>
      <c r="M62" s="959"/>
      <c r="N62" s="959"/>
      <c r="O62" s="48">
        <f>IF(t&lt;Tnet,'2025'!Resal+('2025'!Salim-'2025'!Resal)*(1-EXP(('2025'!Tnet-t)/('2025'!Tau_j))),Resal+(Salim-Resal)*(1-EXP((Tnet-t)/(Tau_j))))*Salcycl</f>
        <v>7.6671820248487524E-2</v>
      </c>
      <c r="P62" s="169">
        <f>(INDEX(Models!$BJ62:$BT62,,T62)*(1-R62)+INDEX(Models!$BJ62:$BT62,,T62+1)*R62-ERP_i)*Q62*Ramure*Pc/MaxiM</f>
        <v>1.4552273221548714E-4</v>
      </c>
      <c r="Q62" s="305">
        <f t="shared" si="4"/>
        <v>0.7</v>
      </c>
      <c r="R62" s="177">
        <f t="shared" si="5"/>
        <v>0.47912620803849681</v>
      </c>
      <c r="S62" s="921">
        <f t="shared" si="6"/>
        <v>-2</v>
      </c>
      <c r="T62" s="176">
        <f t="shared" si="7"/>
        <v>4</v>
      </c>
      <c r="U62" s="251">
        <f t="shared" si="8"/>
        <v>-1.5208737919615032</v>
      </c>
      <c r="V62" s="383">
        <f t="shared" si="9"/>
        <v>36.942294785559469</v>
      </c>
      <c r="W62" s="402">
        <f t="shared" si="10"/>
        <v>8.9470294224688338</v>
      </c>
      <c r="X62" s="157">
        <f t="shared" si="11"/>
        <v>46070</v>
      </c>
      <c r="Y62" s="385">
        <f t="shared" si="12"/>
        <v>8.3377710979949082</v>
      </c>
      <c r="Z62" s="385">
        <f t="shared" si="22"/>
        <v>8.8703580296527118</v>
      </c>
      <c r="AA62" s="386">
        <f t="shared" si="13"/>
        <v>10.308938685936477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0.13954692137671623</v>
      </c>
      <c r="AD62" s="231">
        <f>(INDEX(Models!$BJ62:$BT62,,AH62)*(1-AF62)+INDEX(Models!$BJ62:$BT62,,AH62+1)*AF62-ERP_i)*AE62*Ramure*Pc/MaxiM</f>
        <v>3.2851754594524097E-3</v>
      </c>
      <c r="AE62" s="305">
        <f t="shared" si="15"/>
        <v>0.7</v>
      </c>
      <c r="AF62" s="177">
        <f t="shared" si="23"/>
        <v>4.1137744124757347E-3</v>
      </c>
      <c r="AG62" s="921">
        <f t="shared" si="24"/>
        <v>2</v>
      </c>
      <c r="AH62" s="176">
        <f t="shared" si="16"/>
        <v>8</v>
      </c>
      <c r="AI62" s="225">
        <f t="shared" si="17"/>
        <v>2.0041137744124757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29.323001021581831</v>
      </c>
      <c r="C63" s="955"/>
      <c r="D63" s="393">
        <f t="shared" si="0"/>
        <v>31.196732509365056</v>
      </c>
      <c r="E63" s="385">
        <f t="shared" si="1"/>
        <v>33.790092453719971</v>
      </c>
      <c r="F63" s="385">
        <f t="shared" si="2"/>
        <v>33.793527972178339</v>
      </c>
      <c r="G63" s="110">
        <f t="shared" si="21"/>
        <v>0.78756913152854513</v>
      </c>
      <c r="H63" s="414" t="b">
        <f>Wh_hp&gt;='2025'!Maxi_hp</f>
        <v>0</v>
      </c>
      <c r="I63" s="390">
        <f>IF(H63,Wh_hp,'2025'!Maxi_hp)</f>
        <v>43.682090944826165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6.0061786509877035E-2</v>
      </c>
      <c r="M63" s="959"/>
      <c r="N63" s="959"/>
      <c r="O63" s="48">
        <f>IF(t&lt;Tnet,'2025'!Resal+('2025'!Salim-'2025'!Resal)*(1-EXP(('2025'!Tnet-t)/('2025'!Tau_j))),Resal+(Salim-Resal)*(1-EXP((Tnet-t)/(Tau_j))))*Salcycl</f>
        <v>7.6749122480409521E-2</v>
      </c>
      <c r="P63" s="169">
        <f>(INDEX(Models!$BJ63:$BT63,,T63)*(1-R63)+INDEX(Models!$BJ63:$BT63,,T63+1)*R63-ERP_i)*Q63*Ramure*Pc/MaxiM</f>
        <v>1.4594510114270014E-4</v>
      </c>
      <c r="Q63" s="305">
        <f t="shared" si="4"/>
        <v>0.7</v>
      </c>
      <c r="R63" s="177">
        <f t="shared" si="5"/>
        <v>0.47932444674124497</v>
      </c>
      <c r="S63" s="921">
        <f t="shared" si="6"/>
        <v>-2</v>
      </c>
      <c r="T63" s="176">
        <f t="shared" si="7"/>
        <v>4</v>
      </c>
      <c r="U63" s="251">
        <f t="shared" si="8"/>
        <v>-1.520675553258755</v>
      </c>
      <c r="V63" s="383">
        <f t="shared" si="9"/>
        <v>37.230639448678879</v>
      </c>
      <c r="W63" s="402">
        <f t="shared" si="10"/>
        <v>29.323001021581831</v>
      </c>
      <c r="X63" s="157">
        <f t="shared" si="11"/>
        <v>46071</v>
      </c>
      <c r="Y63" s="385">
        <f t="shared" si="12"/>
        <v>27.268941576014402</v>
      </c>
      <c r="Z63" s="385">
        <f t="shared" si="22"/>
        <v>29.011419245059717</v>
      </c>
      <c r="AA63" s="386">
        <f t="shared" si="13"/>
        <v>33.717264308037151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0.13956781961861922</v>
      </c>
      <c r="AD63" s="231">
        <f>(INDEX(Models!$BJ63:$BT63,,AH63)*(1-AF63)+INDEX(Models!$BJ63:$BT63,,AH63+1)*AF63-ERP_i)*AE63*Ramure*Pc/MaxiM</f>
        <v>3.2397753967784793E-3</v>
      </c>
      <c r="AE63" s="305">
        <f t="shared" si="15"/>
        <v>0.7</v>
      </c>
      <c r="AF63" s="177">
        <f t="shared" si="23"/>
        <v>4.3120131152241115E-3</v>
      </c>
      <c r="AG63" s="921">
        <f t="shared" si="24"/>
        <v>2</v>
      </c>
      <c r="AH63" s="176">
        <f t="shared" si="16"/>
        <v>8</v>
      </c>
      <c r="AI63" s="225">
        <f t="shared" si="17"/>
        <v>2.0043120131152241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17.87956943635016</v>
      </c>
      <c r="C64" s="955"/>
      <c r="D64" s="393">
        <f t="shared" si="0"/>
        <v>19.022485517419412</v>
      </c>
      <c r="E64" s="385">
        <f t="shared" si="1"/>
        <v>20.605533371632912</v>
      </c>
      <c r="F64" s="385">
        <f t="shared" si="2"/>
        <v>20.606294710905434</v>
      </c>
      <c r="G64" s="110">
        <f t="shared" si="21"/>
        <v>0.47653977569627587</v>
      </c>
      <c r="H64" s="414" t="b">
        <f>Wh_hp&gt;='2025'!Maxi_hp</f>
        <v>0</v>
      </c>
      <c r="I64" s="390">
        <f>IF(H64,Wh_hp,'2025'!Maxi_hp)</f>
        <v>40.826390842051637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6.0082373569040337E-2</v>
      </c>
      <c r="M64" s="959"/>
      <c r="N64" s="959"/>
      <c r="O64" s="48">
        <f>IF(t&lt;Tnet,'2025'!Resal+('2025'!Salim-'2025'!Resal)*(1-EXP(('2025'!Tnet-t)/('2025'!Tau_j))),Resal+(Salim-Resal)*(1-EXP((Tnet-t)/(Tau_j))))*Salcycl</f>
        <v>7.6826346868207745E-2</v>
      </c>
      <c r="P64" s="169">
        <f>(INDEX(Models!$BJ64:$BT64,,T64)*(1-R64)+INDEX(Models!$BJ64:$BT64,,T64+1)*R64-ERP_i)*Q64*Ramure*Pc/MaxiM</f>
        <v>1.4645540977078402E-4</v>
      </c>
      <c r="Q64" s="305">
        <f t="shared" si="4"/>
        <v>0.7</v>
      </c>
      <c r="R64" s="177">
        <f t="shared" si="5"/>
        <v>0.47953083348405401</v>
      </c>
      <c r="S64" s="921">
        <f t="shared" si="6"/>
        <v>-2</v>
      </c>
      <c r="T64" s="176">
        <f t="shared" si="7"/>
        <v>4</v>
      </c>
      <c r="U64" s="251">
        <f t="shared" si="8"/>
        <v>-1.520469166515946</v>
      </c>
      <c r="V64" s="383">
        <f t="shared" si="9"/>
        <v>37.515465258633071</v>
      </c>
      <c r="W64" s="402">
        <f t="shared" si="10"/>
        <v>17.87956943635016</v>
      </c>
      <c r="X64" s="157">
        <f t="shared" si="11"/>
        <v>46072</v>
      </c>
      <c r="Y64" s="385">
        <f t="shared" si="12"/>
        <v>16.651153284341664</v>
      </c>
      <c r="Z64" s="385">
        <f t="shared" si="22"/>
        <v>17.715545294718176</v>
      </c>
      <c r="AA64" s="386">
        <f t="shared" si="13"/>
        <v>20.589623729754315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0.13958868179231326</v>
      </c>
      <c r="AD64" s="231">
        <f>(INDEX(Models!$BJ64:$BT64,,AH64)*(1-AF64)+INDEX(Models!$BJ64:$BT64,,AH64+1)*AF64-ERP_i)*AE64*Ramure*Pc/MaxiM</f>
        <v>3.2069216233681394E-3</v>
      </c>
      <c r="AE64" s="305">
        <f t="shared" si="15"/>
        <v>0.7</v>
      </c>
      <c r="AF64" s="177">
        <f t="shared" si="23"/>
        <v>4.5183998580329288E-3</v>
      </c>
      <c r="AG64" s="921">
        <f t="shared" si="24"/>
        <v>2</v>
      </c>
      <c r="AH64" s="176">
        <f t="shared" si="16"/>
        <v>8</v>
      </c>
      <c r="AI64" s="225">
        <f t="shared" si="17"/>
        <v>2.0045183998580329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21.07473363279351</v>
      </c>
      <c r="C65" s="955"/>
      <c r="D65" s="393">
        <f t="shared" si="0"/>
        <v>22.422385367623743</v>
      </c>
      <c r="E65" s="385">
        <f t="shared" si="1"/>
        <v>24.290402010743907</v>
      </c>
      <c r="F65" s="385">
        <f t="shared" si="2"/>
        <v>24.291716406228229</v>
      </c>
      <c r="G65" s="110">
        <f t="shared" si="21"/>
        <v>0.5575210524909493</v>
      </c>
      <c r="H65" s="414" t="b">
        <f>Wh_hp&gt;='2025'!Maxi_hp</f>
        <v>0</v>
      </c>
      <c r="I65" s="390">
        <f>IF(H65,Wh_hp,'2025'!Maxi_hp)</f>
        <v>43.218540620250515</v>
      </c>
      <c r="J65" s="85">
        <f>IF(H65,An,'2025'!An_max)</f>
        <v>2019</v>
      </c>
      <c r="K65" s="197">
        <f t="shared" si="3"/>
        <v>46073</v>
      </c>
      <c r="L65" s="147">
        <f>IF(t&lt;Tvie,1-EXP((T0-t)*PertePVj)+'2025'!Pspv,1-EXP((T0-t)*PertePVj)+Pspv)</f>
        <v>6.0102960177294107E-2</v>
      </c>
      <c r="M65" s="959"/>
      <c r="N65" s="959"/>
      <c r="O65" s="48">
        <f>IF(t&lt;Tnet,'2025'!Resal+('2025'!Salim-'2025'!Resal)*(1-EXP(('2025'!Tnet-t)/('2025'!Tau_j))),Resal+(Salim-Resal)*(1-EXP((Tnet-t)/(Tau_j))))*Salcycl</f>
        <v>7.6903488147043397E-2</v>
      </c>
      <c r="P65" s="169">
        <f>(INDEX(Models!$BJ65:$BT65,,T65)*(1-R65)+INDEX(Models!$BJ65:$BT65,,T65+1)*R65-ERP_i)*Q65*Ramure*Pc/MaxiM</f>
        <v>1.4705025003681015E-4</v>
      </c>
      <c r="Q65" s="305">
        <f t="shared" si="4"/>
        <v>0.7</v>
      </c>
      <c r="R65" s="177">
        <f t="shared" si="5"/>
        <v>0.47974569588996419</v>
      </c>
      <c r="S65" s="921">
        <f t="shared" si="6"/>
        <v>-2</v>
      </c>
      <c r="T65" s="176">
        <f t="shared" si="7"/>
        <v>4</v>
      </c>
      <c r="U65" s="251">
        <f t="shared" si="8"/>
        <v>-1.5202543041100358</v>
      </c>
      <c r="V65" s="383">
        <f t="shared" si="9"/>
        <v>37.797271898932181</v>
      </c>
      <c r="W65" s="402">
        <f t="shared" si="10"/>
        <v>21.07473363279351</v>
      </c>
      <c r="X65" s="157">
        <f t="shared" si="11"/>
        <v>46073</v>
      </c>
      <c r="Y65" s="385">
        <f t="shared" si="12"/>
        <v>19.621156998657234</v>
      </c>
      <c r="Z65" s="385">
        <f t="shared" si="22"/>
        <v>20.875857851790236</v>
      </c>
      <c r="AA65" s="386">
        <f t="shared" si="13"/>
        <v>24.263236065999525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0.13960949829590447</v>
      </c>
      <c r="AD65" s="231">
        <f>(INDEX(Models!$BJ65:$BT65,,AH65)*(1-AF65)+INDEX(Models!$BJ65:$BT65,,AH65+1)*AF65-ERP_i)*AE65*Ramure*Pc/MaxiM</f>
        <v>3.1862869294130101E-3</v>
      </c>
      <c r="AE65" s="305">
        <f t="shared" si="15"/>
        <v>0.7</v>
      </c>
      <c r="AF65" s="177">
        <f t="shared" si="23"/>
        <v>4.7332622639433275E-3</v>
      </c>
      <c r="AG65" s="921">
        <f t="shared" si="24"/>
        <v>2</v>
      </c>
      <c r="AH65" s="176">
        <f t="shared" si="16"/>
        <v>8</v>
      </c>
      <c r="AI65" s="225">
        <f t="shared" si="17"/>
        <v>2.0047332622639433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20.750681378653439</v>
      </c>
      <c r="C66" s="955"/>
      <c r="D66" s="393">
        <f t="shared" si="0"/>
        <v>22.078094730141881</v>
      </c>
      <c r="E66" s="385">
        <f t="shared" si="1"/>
        <v>23.919425032582396</v>
      </c>
      <c r="F66" s="385">
        <f t="shared" si="2"/>
        <v>23.920660397547731</v>
      </c>
      <c r="G66" s="110">
        <f t="shared" si="21"/>
        <v>0.54491489136219773</v>
      </c>
      <c r="H66" s="414" t="b">
        <f>Wh_hp&gt;='2025'!Maxi_hp</f>
        <v>0</v>
      </c>
      <c r="I66" s="390">
        <f>IF(H66,Wh_hp,'2025'!Maxi_hp)</f>
        <v>42.441850727741603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6.0123546334648448E-2</v>
      </c>
      <c r="M66" s="959"/>
      <c r="N66" s="959"/>
      <c r="O66" s="48">
        <f>IF(t&lt;Tnet,'2025'!Resal+('2025'!Salim-'2025'!Resal)*(1-EXP(('2025'!Tnet-t)/('2025'!Tau_j))),Resal+(Salim-Resal)*(1-EXP((Tnet-t)/(Tau_j))))*Salcycl</f>
        <v>7.6980541962539048E-2</v>
      </c>
      <c r="P66" s="169">
        <f>(INDEX(Models!$BJ66:$BT66,,T66)*(1-R66)+INDEX(Models!$BJ66:$BT66,,T66+1)*R66-ERP_i)*Q66*Ramure*Pc/MaxiM</f>
        <v>1.4757482090893578E-4</v>
      </c>
      <c r="Q66" s="305">
        <f t="shared" si="4"/>
        <v>0.7</v>
      </c>
      <c r="R66" s="177">
        <f t="shared" si="5"/>
        <v>0.479969374139251</v>
      </c>
      <c r="S66" s="921">
        <f t="shared" si="6"/>
        <v>-2</v>
      </c>
      <c r="T66" s="176">
        <f t="shared" si="7"/>
        <v>4</v>
      </c>
      <c r="U66" s="251">
        <f t="shared" si="8"/>
        <v>-1.520030625860749</v>
      </c>
      <c r="V66" s="383">
        <f t="shared" si="9"/>
        <v>38.076938216187699</v>
      </c>
      <c r="W66" s="402">
        <f t="shared" si="10"/>
        <v>20.750681378653439</v>
      </c>
      <c r="X66" s="157">
        <f t="shared" si="11"/>
        <v>46074</v>
      </c>
      <c r="Y66" s="385">
        <f t="shared" si="12"/>
        <v>19.321729494572047</v>
      </c>
      <c r="Z66" s="385">
        <f t="shared" si="22"/>
        <v>20.557733326780053</v>
      </c>
      <c r="AA66" s="386">
        <f t="shared" si="13"/>
        <v>23.894068328962955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0.13963026121168309</v>
      </c>
      <c r="AD66" s="231">
        <f>(INDEX(Models!$BJ66:$BT66,,AH66)*(1-AF66)+INDEX(Models!$BJ66:$BT66,,AH66+1)*AF66-ERP_i)*AE66*Ramure*Pc/MaxiM</f>
        <v>3.1766480911399313E-3</v>
      </c>
      <c r="AE66" s="305">
        <f t="shared" si="15"/>
        <v>0.7</v>
      </c>
      <c r="AF66" s="177">
        <f t="shared" si="23"/>
        <v>4.9569405132299238E-3</v>
      </c>
      <c r="AG66" s="921">
        <f t="shared" si="24"/>
        <v>2</v>
      </c>
      <c r="AH66" s="176">
        <f t="shared" si="16"/>
        <v>8</v>
      </c>
      <c r="AI66" s="225">
        <f t="shared" si="17"/>
        <v>2.0049569405132299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33.979101072073611</v>
      </c>
      <c r="C67" s="955"/>
      <c r="D67" s="393">
        <f t="shared" si="0"/>
        <v>36.153523354455444</v>
      </c>
      <c r="E67" s="385">
        <f t="shared" si="1"/>
        <v>39.172021604073862</v>
      </c>
      <c r="F67" s="385">
        <f t="shared" si="2"/>
        <v>39.176874887528299</v>
      </c>
      <c r="G67" s="110">
        <f t="shared" si="21"/>
        <v>0.88589940104057119</v>
      </c>
      <c r="H67" s="414" t="b">
        <f>Wh_hp&gt;='2025'!Maxi_hp</f>
        <v>0</v>
      </c>
      <c r="I67" s="390">
        <f>IF(H67,Wh_hp,'2025'!Maxi_hp)</f>
        <v>42.464770609772728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6.0144132041113019E-2</v>
      </c>
      <c r="M67" s="959"/>
      <c r="N67" s="959"/>
      <c r="O67" s="48">
        <f>IF(t&lt;Tnet,'2025'!Resal+('2025'!Salim-'2025'!Resal)*(1-EXP(('2025'!Tnet-t)/('2025'!Tau_j))),Resal+(Salim-Resal)*(1-EXP((Tnet-t)/(Tau_j))))*Salcycl</f>
        <v>7.7057504974532509E-2</v>
      </c>
      <c r="P67" s="169">
        <f>(INDEX(Models!$BJ67:$BT67,,T67)*(1-R67)+INDEX(Models!$BJ67:$BT67,,T67+1)*R67-ERP_i)*Q67*Ramure*Pc/MaxiM</f>
        <v>1.4800112358457146E-4</v>
      </c>
      <c r="Q67" s="305">
        <f t="shared" si="4"/>
        <v>0.7</v>
      </c>
      <c r="R67" s="177">
        <f t="shared" si="5"/>
        <v>0.48020222139832014</v>
      </c>
      <c r="S67" s="921">
        <f t="shared" si="6"/>
        <v>-2</v>
      </c>
      <c r="T67" s="176">
        <f t="shared" si="7"/>
        <v>4</v>
      </c>
      <c r="U67" s="251">
        <f t="shared" si="8"/>
        <v>-1.5197977786016799</v>
      </c>
      <c r="V67" s="383">
        <f t="shared" si="9"/>
        <v>38.354559628094897</v>
      </c>
      <c r="W67" s="402">
        <f t="shared" si="10"/>
        <v>33.979101072073611</v>
      </c>
      <c r="X67" s="157">
        <f t="shared" si="11"/>
        <v>46075</v>
      </c>
      <c r="Y67" s="385">
        <f t="shared" si="12"/>
        <v>31.594579173354568</v>
      </c>
      <c r="Z67" s="385">
        <f t="shared" si="22"/>
        <v>33.616408909559141</v>
      </c>
      <c r="AA67" s="386">
        <f t="shared" si="13"/>
        <v>39.072989591382125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0.13965096448689662</v>
      </c>
      <c r="AD67" s="231">
        <f>(INDEX(Models!$BJ67:$BT67,,AH67)*(1-AF67)+INDEX(Models!$BJ67:$BT67,,AH67+1)*AF67-ERP_i)*AE67*Ramure*Pc/MaxiM</f>
        <v>3.167987342570414E-3</v>
      </c>
      <c r="AE67" s="305">
        <f t="shared" si="15"/>
        <v>0.7</v>
      </c>
      <c r="AF67" s="177">
        <f t="shared" si="23"/>
        <v>5.1897877722995034E-3</v>
      </c>
      <c r="AG67" s="921">
        <f t="shared" si="24"/>
        <v>2</v>
      </c>
      <c r="AH67" s="176">
        <f t="shared" si="16"/>
        <v>8</v>
      </c>
      <c r="AI67" s="225">
        <f t="shared" si="17"/>
        <v>2.0051897877722995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35.443033713369964</v>
      </c>
      <c r="C68" s="955"/>
      <c r="D68" s="393">
        <f t="shared" si="0"/>
        <v>37.711963325555445</v>
      </c>
      <c r="E68" s="385">
        <f t="shared" si="1"/>
        <v>40.863980954629753</v>
      </c>
      <c r="F68" s="385">
        <f t="shared" si="2"/>
        <v>40.869328595671092</v>
      </c>
      <c r="G68" s="110">
        <f t="shared" si="21"/>
        <v>0.91747871130896907</v>
      </c>
      <c r="H68" s="414" t="b">
        <f>Wh_hp&gt;='2025'!Maxi_hp</f>
        <v>0</v>
      </c>
      <c r="I68" s="390">
        <f>IF(H68,Wh_hp,'2025'!Maxi_hp)</f>
        <v>43.491209699160983</v>
      </c>
      <c r="J68" s="85">
        <f>IF(H68,An,'2025'!An_max)</f>
        <v>2019</v>
      </c>
      <c r="K68" s="197">
        <f t="shared" si="3"/>
        <v>46076</v>
      </c>
      <c r="L68" s="147">
        <f>IF(t&lt;Tvie,1-EXP((T0-t)*PertePVj)+'2025'!Pspv,1-EXP((T0-t)*PertePVj)+Pspv)</f>
        <v>6.0164717296697812E-2</v>
      </c>
      <c r="M68" s="959"/>
      <c r="N68" s="959"/>
      <c r="O68" s="48">
        <f>IF(t&lt;Tnet,'2025'!Resal+('2025'!Salim-'2025'!Resal)*(1-EXP(('2025'!Tnet-t)/('2025'!Tau_j))),Resal+(Salim-Resal)*(1-EXP((Tnet-t)/(Tau_j))))*Salcycl</f>
        <v>7.713437495416596E-2</v>
      </c>
      <c r="P68" s="169">
        <f>(INDEX(Models!$BJ68:$BT68,,T68)*(1-R68)+INDEX(Models!$BJ68:$BT68,,T68+1)*R68-ERP_i)*Q68*Ramure*Pc/MaxiM</f>
        <v>1.4833017609400424E-4</v>
      </c>
      <c r="Q68" s="305">
        <f t="shared" si="4"/>
        <v>0.7</v>
      </c>
      <c r="R68" s="177">
        <f t="shared" si="5"/>
        <v>0.48044460425869806</v>
      </c>
      <c r="S68" s="921">
        <f t="shared" si="6"/>
        <v>-2</v>
      </c>
      <c r="T68" s="176">
        <f t="shared" si="7"/>
        <v>4</v>
      </c>
      <c r="U68" s="251">
        <f t="shared" si="8"/>
        <v>-1.5195553957413019</v>
      </c>
      <c r="V68" s="383">
        <f t="shared" si="9"/>
        <v>38.630230379213693</v>
      </c>
      <c r="W68" s="402">
        <f t="shared" si="10"/>
        <v>35.443033713369964</v>
      </c>
      <c r="X68" s="157">
        <f t="shared" si="11"/>
        <v>46076</v>
      </c>
      <c r="Y68" s="385">
        <f t="shared" si="12"/>
        <v>32.953465765666678</v>
      </c>
      <c r="Z68" s="385">
        <f t="shared" si="22"/>
        <v>35.06302260847319</v>
      </c>
      <c r="AA68" s="386">
        <f t="shared" si="13"/>
        <v>40.755393842204725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0.13967160410155904</v>
      </c>
      <c r="AD68" s="231">
        <f>(INDEX(Models!$BJ68:$BT68,,AH68)*(1-AF68)+INDEX(Models!$BJ68:$BT68,,AH68+1)*AF68-ERP_i)*AE68*Ramure*Pc/MaxiM</f>
        <v>3.1602648558960479E-3</v>
      </c>
      <c r="AE68" s="305">
        <f t="shared" si="15"/>
        <v>0.7</v>
      </c>
      <c r="AF68" s="177">
        <f t="shared" si="23"/>
        <v>5.4321706326772023E-3</v>
      </c>
      <c r="AG68" s="921">
        <f t="shared" si="24"/>
        <v>2</v>
      </c>
      <c r="AH68" s="176">
        <f t="shared" si="16"/>
        <v>8</v>
      </c>
      <c r="AI68" s="225">
        <f t="shared" si="17"/>
        <v>2.0054321706326772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20.16120527977473</v>
      </c>
      <c r="C69" s="955"/>
      <c r="D69" s="393">
        <f t="shared" si="0"/>
        <v>21.452319616680722</v>
      </c>
      <c r="E69" s="385">
        <f t="shared" si="1"/>
        <v>23.247267928070663</v>
      </c>
      <c r="F69" s="385">
        <f t="shared" si="2"/>
        <v>23.248344688597456</v>
      </c>
      <c r="G69" s="110">
        <f t="shared" si="21"/>
        <v>0.51817603924136479</v>
      </c>
      <c r="H69" s="414" t="b">
        <f>Wh_hp&gt;='2025'!Maxi_hp</f>
        <v>0</v>
      </c>
      <c r="I69" s="390">
        <f>IF(H69,Wh_hp,'2025'!Maxi_hp)</f>
        <v>44.144707241290959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6.0185302101412708E-2</v>
      </c>
      <c r="M69" s="959"/>
      <c r="N69" s="959"/>
      <c r="O69" s="48">
        <f>IF(t&lt;Tnet,'2025'!Resal+('2025'!Salim-'2025'!Resal)*(1-EXP(('2025'!Tnet-t)/('2025'!Tau_j))),Resal+(Salim-Resal)*(1-EXP((Tnet-t)/(Tau_j))))*Salcycl</f>
        <v>7.7211150873456924E-2</v>
      </c>
      <c r="P69" s="169">
        <f>(INDEX(Models!$BJ69:$BT69,,T69)*(1-R69)+INDEX(Models!$BJ69:$BT69,,T69+1)*R69-ERP_i)*Q69*Ramure*Pc/MaxiM</f>
        <v>1.4856366637594129E-4</v>
      </c>
      <c r="Q69" s="305">
        <f t="shared" si="4"/>
        <v>0.7</v>
      </c>
      <c r="R69" s="177">
        <f t="shared" si="5"/>
        <v>0.48069690318591629</v>
      </c>
      <c r="S69" s="921">
        <f t="shared" si="6"/>
        <v>-2</v>
      </c>
      <c r="T69" s="176">
        <f t="shared" si="7"/>
        <v>4</v>
      </c>
      <c r="U69" s="251">
        <f t="shared" si="8"/>
        <v>-1.5193030968140837</v>
      </c>
      <c r="V69" s="383">
        <f t="shared" si="9"/>
        <v>38.904044596721235</v>
      </c>
      <c r="W69" s="402">
        <f t="shared" si="10"/>
        <v>20.16120527977473</v>
      </c>
      <c r="X69" s="157">
        <f t="shared" si="11"/>
        <v>46077</v>
      </c>
      <c r="Y69" s="385">
        <f t="shared" si="12"/>
        <v>18.778503152025369</v>
      </c>
      <c r="Z69" s="385">
        <f t="shared" si="22"/>
        <v>19.981069879002575</v>
      </c>
      <c r="AA69" s="386">
        <f t="shared" si="13"/>
        <v>23.225489032174313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0.13969217822183372</v>
      </c>
      <c r="AD69" s="231">
        <f>(INDEX(Models!$BJ69:$BT69,,AH69)*(1-AF69)+INDEX(Models!$BJ69:$BT69,,AH69+1)*AF69-ERP_i)*AE69*Ramure*Pc/MaxiM</f>
        <v>3.1534589457537805E-3</v>
      </c>
      <c r="AE69" s="305">
        <f t="shared" si="15"/>
        <v>0.7</v>
      </c>
      <c r="AF69" s="177">
        <f t="shared" si="23"/>
        <v>5.6844695598954331E-3</v>
      </c>
      <c r="AG69" s="921">
        <f t="shared" si="24"/>
        <v>2</v>
      </c>
      <c r="AH69" s="176">
        <f t="shared" si="16"/>
        <v>8</v>
      </c>
      <c r="AI69" s="225">
        <f t="shared" si="17"/>
        <v>2.0056844695598954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29.322299497517093</v>
      </c>
      <c r="C70" s="955"/>
      <c r="D70" s="393">
        <f t="shared" si="0"/>
        <v>31.200769482284489</v>
      </c>
      <c r="E70" s="385">
        <f t="shared" si="1"/>
        <v>33.814195366333777</v>
      </c>
      <c r="F70" s="385">
        <f t="shared" si="2"/>
        <v>33.817417179262705</v>
      </c>
      <c r="G70" s="110">
        <f t="shared" si="21"/>
        <v>0.7484342583075182</v>
      </c>
      <c r="H70" s="414" t="b">
        <f>Wh_hp&gt;='2025'!Maxi_hp</f>
        <v>0</v>
      </c>
      <c r="I70" s="390">
        <f>IF(H70,Wh_hp,'2025'!Maxi_hp)</f>
        <v>44.223095559004854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6.0205886455267477E-2</v>
      </c>
      <c r="M70" s="959"/>
      <c r="N70" s="959"/>
      <c r="O70" s="48">
        <f>IF(t&lt;Tnet,'2025'!Resal+('2025'!Salim-'2025'!Resal)*(1-EXP(('2025'!Tnet-t)/('2025'!Tau_j))),Resal+(Salim-Resal)*(1-EXP((Tnet-t)/(Tau_j))))*Salcycl</f>
        <v>7.7287832986594571E-2</v>
      </c>
      <c r="P70" s="169">
        <f>(INDEX(Models!$BJ70:$BT70,,T70)*(1-R70)+INDEX(Models!$BJ70:$BT70,,T70+1)*R70-ERP_i)*Q70*Ramure*Pc/MaxiM</f>
        <v>1.4870323202495963E-4</v>
      </c>
      <c r="Q70" s="305">
        <f t="shared" si="4"/>
        <v>0.7</v>
      </c>
      <c r="R70" s="177">
        <f t="shared" si="5"/>
        <v>0.48095951297805239</v>
      </c>
      <c r="S70" s="921">
        <f t="shared" si="6"/>
        <v>-2</v>
      </c>
      <c r="T70" s="176">
        <f t="shared" si="7"/>
        <v>4</v>
      </c>
      <c r="U70" s="251">
        <f t="shared" si="8"/>
        <v>-1.5190404870219476</v>
      </c>
      <c r="V70" s="383">
        <f t="shared" si="9"/>
        <v>39.176096312366646</v>
      </c>
      <c r="W70" s="402">
        <f t="shared" si="10"/>
        <v>29.322299497517093</v>
      </c>
      <c r="X70" s="157">
        <f t="shared" si="11"/>
        <v>46078</v>
      </c>
      <c r="Y70" s="385">
        <f t="shared" si="12"/>
        <v>27.286008274212673</v>
      </c>
      <c r="Z70" s="385">
        <f t="shared" si="22"/>
        <v>29.034027646007285</v>
      </c>
      <c r="AA70" s="386">
        <f t="shared" si="13"/>
        <v>33.749222171087332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0.13971268733771039</v>
      </c>
      <c r="AD70" s="231">
        <f>(INDEX(Models!$BJ70:$BT70,,AH70)*(1-AF70)+INDEX(Models!$BJ70:$BT70,,AH70+1)*AF70-ERP_i)*AE70*Ramure*Pc/MaxiM</f>
        <v>3.1475502604712247E-3</v>
      </c>
      <c r="AE70" s="305">
        <f t="shared" si="15"/>
        <v>0.7</v>
      </c>
      <c r="AF70" s="177">
        <f t="shared" si="23"/>
        <v>5.9470793520315368E-3</v>
      </c>
      <c r="AG70" s="921">
        <f t="shared" si="24"/>
        <v>2</v>
      </c>
      <c r="AH70" s="176">
        <f t="shared" si="16"/>
        <v>8</v>
      </c>
      <c r="AI70" s="225">
        <f t="shared" si="17"/>
        <v>2.0059470793520315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39.576781907879543</v>
      </c>
      <c r="C71" s="955"/>
      <c r="D71" s="393">
        <f t="shared" si="0"/>
        <v>42.113105614889463</v>
      </c>
      <c r="E71" s="385">
        <f t="shared" si="1"/>
        <v>45.644354781292151</v>
      </c>
      <c r="F71" s="385">
        <f t="shared" si="2"/>
        <v>45.651145410531811</v>
      </c>
      <c r="G71" s="110">
        <f t="shared" si="21"/>
        <v>1.0033032719379251</v>
      </c>
      <c r="H71" s="414" t="b">
        <f>Wh_hp&gt;='2025'!Maxi_hp</f>
        <v>1</v>
      </c>
      <c r="I71" s="390">
        <f>IF(H71,Wh_hp,'2025'!Maxi_hp)</f>
        <v>45.651145410531811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6.0226470358272111E-2</v>
      </c>
      <c r="M71" s="959"/>
      <c r="N71" s="959"/>
      <c r="O71" s="48">
        <f>IF(t&lt;Tnet,'2025'!Resal+('2025'!Salim-'2025'!Resal)*(1-EXP(('2025'!Tnet-t)/('2025'!Tau_j))),Resal+(Salim-Resal)*(1-EXP((Tnet-t)/(Tau_j))))*Salcycl</f>
        <v>7.7364422902304039E-2</v>
      </c>
      <c r="P71" s="169">
        <f>(INDEX(Models!$BJ71:$BT71,,T71)*(1-R71)+INDEX(Models!$BJ71:$BT71,,T71+1)*R71-ERP_i)*Q71*Ramure*Pc/MaxiM</f>
        <v>1.4875046789283712E-4</v>
      </c>
      <c r="Q71" s="305">
        <f t="shared" si="4"/>
        <v>0.7</v>
      </c>
      <c r="R71" s="177">
        <f t="shared" si="5"/>
        <v>0.4812328432336177</v>
      </c>
      <c r="S71" s="921">
        <f t="shared" si="6"/>
        <v>-2</v>
      </c>
      <c r="T71" s="176">
        <f t="shared" si="7"/>
        <v>4</v>
      </c>
      <c r="U71" s="251">
        <f t="shared" si="8"/>
        <v>-1.5187671567663823</v>
      </c>
      <c r="V71" s="383">
        <f t="shared" si="9"/>
        <v>39.446479459231917</v>
      </c>
      <c r="W71" s="402">
        <f t="shared" si="10"/>
        <v>39.576781907879543</v>
      </c>
      <c r="X71" s="157">
        <f t="shared" si="11"/>
        <v>46079</v>
      </c>
      <c r="Y71" s="385">
        <f t="shared" si="12"/>
        <v>36.790962851640955</v>
      </c>
      <c r="Z71" s="385">
        <f t="shared" si="22"/>
        <v>39.148754131930978</v>
      </c>
      <c r="AA71" s="386">
        <f t="shared" si="13"/>
        <v>45.507685692268346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0.13973313438388563</v>
      </c>
      <c r="AD71" s="231">
        <f>(INDEX(Models!$BJ71:$BT71,,AH71)*(1-AF71)+INDEX(Models!$BJ71:$BT71,,AH71+1)*AF71-ERP_i)*AE71*Ramure*Pc/MaxiM</f>
        <v>3.1425217696808461E-3</v>
      </c>
      <c r="AE71" s="305">
        <f t="shared" si="15"/>
        <v>0.7</v>
      </c>
      <c r="AF71" s="177">
        <f t="shared" si="23"/>
        <v>6.220409607596622E-3</v>
      </c>
      <c r="AG71" s="921">
        <f t="shared" si="24"/>
        <v>2</v>
      </c>
      <c r="AH71" s="176">
        <f t="shared" si="16"/>
        <v>8</v>
      </c>
      <c r="AI71" s="225">
        <f t="shared" si="17"/>
        <v>2.0062204096075966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27.313161691848116</v>
      </c>
      <c r="C72" s="955"/>
      <c r="D72" s="393">
        <f t="shared" si="0"/>
        <v>29.064193735806182</v>
      </c>
      <c r="E72" s="385">
        <f t="shared" si="1"/>
        <v>31.503883578591275</v>
      </c>
      <c r="F72" s="385">
        <f t="shared" si="2"/>
        <v>31.506472395814015</v>
      </c>
      <c r="G72" s="110">
        <f t="shared" si="21"/>
        <v>0.68767836307549979</v>
      </c>
      <c r="H72" s="414" t="b">
        <f>Wh_hp&gt;='2025'!Maxi_hp</f>
        <v>0</v>
      </c>
      <c r="I72" s="390">
        <f>IF(H72,Wh_hp,'2025'!Maxi_hp)</f>
        <v>44.962572405256154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6.0247053810436491E-2</v>
      </c>
      <c r="M72" s="959"/>
      <c r="N72" s="959"/>
      <c r="O72" s="48">
        <f>IF(t&lt;Tnet,'2025'!Resal+('2025'!Salim-'2025'!Resal)*(1-EXP(('2025'!Tnet-t)/('2025'!Tau_j))),Resal+(Salim-Resal)*(1-EXP((Tnet-t)/(Tau_j))))*Salcycl</f>
        <v>7.7440923646727944E-2</v>
      </c>
      <c r="P72" s="169">
        <f>(INDEX(Models!$BJ72:$BT72,,T72)*(1-R72)+INDEX(Models!$BJ72:$BT72,,T72+1)*R72-ERP_i)*Q72*Ramure*Pc/MaxiM</f>
        <v>1.4834642999460746E-4</v>
      </c>
      <c r="Q72" s="305">
        <f t="shared" si="4"/>
        <v>0.7</v>
      </c>
      <c r="R72" s="177">
        <f t="shared" si="5"/>
        <v>0.48151731882842785</v>
      </c>
      <c r="S72" s="921">
        <f t="shared" si="6"/>
        <v>-2</v>
      </c>
      <c r="T72" s="176">
        <f t="shared" si="7"/>
        <v>4</v>
      </c>
      <c r="U72" s="251">
        <f t="shared" si="8"/>
        <v>-1.5184826811715721</v>
      </c>
      <c r="V72" s="383">
        <f t="shared" si="9"/>
        <v>39.715302184712954</v>
      </c>
      <c r="W72" s="402">
        <f t="shared" si="10"/>
        <v>27.313161691848116</v>
      </c>
      <c r="X72" s="157">
        <f t="shared" si="11"/>
        <v>46080</v>
      </c>
      <c r="Y72" s="385">
        <f t="shared" si="12"/>
        <v>25.426193066957357</v>
      </c>
      <c r="Z72" s="385">
        <f t="shared" si="22"/>
        <v>27.056252571543926</v>
      </c>
      <c r="AA72" s="386">
        <f t="shared" si="13"/>
        <v>31.451744764899551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0.13975352484295356</v>
      </c>
      <c r="AD72" s="231">
        <f>(INDEX(Models!$BJ72:$BT72,,AH72)*(1-AF72)+INDEX(Models!$BJ72:$BT72,,AH72+1)*AF72-ERP_i)*AE72*Ramure*Pc/MaxiM</f>
        <v>3.1360455256968529E-3</v>
      </c>
      <c r="AE72" s="305">
        <f t="shared" si="15"/>
        <v>0.7</v>
      </c>
      <c r="AF72" s="177">
        <f t="shared" si="23"/>
        <v>6.5048852024069959E-3</v>
      </c>
      <c r="AG72" s="921">
        <f t="shared" si="24"/>
        <v>2</v>
      </c>
      <c r="AH72" s="176">
        <f t="shared" si="16"/>
        <v>8</v>
      </c>
      <c r="AI72" s="225">
        <f t="shared" si="17"/>
        <v>2.006504885202407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31.644951294758815</v>
      </c>
      <c r="C73" s="955"/>
      <c r="D73" s="393">
        <f t="shared" si="0"/>
        <v>33.67442958694857</v>
      </c>
      <c r="E73" s="385">
        <f t="shared" si="1"/>
        <v>36.50413285448132</v>
      </c>
      <c r="F73" s="385">
        <f t="shared" si="2"/>
        <v>36.507912437739414</v>
      </c>
      <c r="G73" s="110">
        <f t="shared" si="21"/>
        <v>0.79143211266120916</v>
      </c>
      <c r="H73" s="414" t="b">
        <f>Wh_hp&gt;='2025'!Maxi_hp</f>
        <v>0</v>
      </c>
      <c r="I73" s="390">
        <f>IF(H73,Wh_hp,'2025'!Maxi_hp)</f>
        <v>37.080698817786207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6.0267636811770386E-2</v>
      </c>
      <c r="M73" s="959"/>
      <c r="N73" s="959"/>
      <c r="O73" s="48">
        <f>IF(t&lt;Tnet,'2025'!Resal+('2025'!Salim-'2025'!Resal)*(1-EXP(('2025'!Tnet-t)/('2025'!Tau_j))),Resal+(Salim-Resal)*(1-EXP((Tnet-t)/(Tau_j))))*Salcycl</f>
        <v>7.7517339716381375E-2</v>
      </c>
      <c r="P73" s="169">
        <f>(INDEX(Models!$BJ73:$BT73,,T73)*(1-R73)+INDEX(Models!$BJ73:$BT73,,T73+1)*R73-ERP_i)*Q73*Ramure*Pc/MaxiM</f>
        <v>1.4745540532172443E-4</v>
      </c>
      <c r="Q73" s="305">
        <f t="shared" si="4"/>
        <v>0.7</v>
      </c>
      <c r="R73" s="177">
        <f t="shared" si="5"/>
        <v>0.4818133804010154</v>
      </c>
      <c r="S73" s="921">
        <f t="shared" si="6"/>
        <v>-2</v>
      </c>
      <c r="T73" s="176">
        <f t="shared" si="7"/>
        <v>4</v>
      </c>
      <c r="U73" s="251">
        <f t="shared" si="8"/>
        <v>-1.5181866195989846</v>
      </c>
      <c r="V73" s="383">
        <f t="shared" si="9"/>
        <v>39.982659987069205</v>
      </c>
      <c r="W73" s="402">
        <f t="shared" si="10"/>
        <v>31.644951294758815</v>
      </c>
      <c r="X73" s="157">
        <f t="shared" si="11"/>
        <v>46081</v>
      </c>
      <c r="Y73" s="385">
        <f t="shared" si="12"/>
        <v>29.447565781036165</v>
      </c>
      <c r="Z73" s="385">
        <f t="shared" si="22"/>
        <v>31.336119659782089</v>
      </c>
      <c r="AA73" s="386">
        <f t="shared" si="13"/>
        <v>36.427769921745892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0.1397738668302145</v>
      </c>
      <c r="AD73" s="231">
        <f>(INDEX(Models!$BJ73:$BT73,,AH73)*(1-AF73)+INDEX(Models!$BJ73:$BT73,,AH73+1)*AF73-ERP_i)*AE73*Ramure*Pc/MaxiM</f>
        <v>3.1266534885850887E-3</v>
      </c>
      <c r="AE73" s="305">
        <f t="shared" si="15"/>
        <v>0.7</v>
      </c>
      <c r="AF73" s="177">
        <f t="shared" si="23"/>
        <v>6.8009467749945429E-3</v>
      </c>
      <c r="AG73" s="921">
        <f t="shared" si="24"/>
        <v>2</v>
      </c>
      <c r="AH73" s="176">
        <f t="shared" si="16"/>
        <v>8</v>
      </c>
      <c r="AI73" s="225">
        <f t="shared" si="17"/>
        <v>2.0068009467749945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40.446832493154083</v>
      </c>
      <c r="C74" s="955"/>
      <c r="D74" s="393">
        <f t="shared" si="0"/>
        <v>43.041742507160727</v>
      </c>
      <c r="E74" s="385">
        <f t="shared" si="1"/>
        <v>46.662453887796921</v>
      </c>
      <c r="F74" s="385">
        <f t="shared" si="2"/>
        <v>46.669271608719839</v>
      </c>
      <c r="G74" s="110">
        <f t="shared" si="21"/>
        <v>1.0049240409767168</v>
      </c>
      <c r="H74" s="414" t="b">
        <f>Wh_hp&gt;='2025'!Maxi_hp</f>
        <v>1</v>
      </c>
      <c r="I74" s="390">
        <f>IF(H74,Wh_hp,'2025'!Maxi_hp)</f>
        <v>46.669271608719839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6.028821936228379E-2</v>
      </c>
      <c r="M74" s="959"/>
      <c r="N74" s="959"/>
      <c r="O74" s="48">
        <f>IF(t&lt;Tnet,'2025'!Resal+('2025'!Salim-'2025'!Resal)*(1-EXP(('2025'!Tnet-t)/('2025'!Tau_j))),Resal+(Salim-Resal)*(1-EXP((Tnet-t)/(Tau_j))))*Salcycl</f>
        <v>7.7593677120848442E-2</v>
      </c>
      <c r="P74" s="169">
        <f>(INDEX(Models!$BJ74:$BT74,,T74)*(1-R74)+INDEX(Models!$BJ74:$BT74,,T74+1)*R74-ERP_i)*Q74*Ramure*Pc/MaxiM</f>
        <v>1.460858652365779E-4</v>
      </c>
      <c r="Q74" s="305">
        <f t="shared" si="4"/>
        <v>0.7</v>
      </c>
      <c r="R74" s="177">
        <f t="shared" si="5"/>
        <v>0.4821214848460742</v>
      </c>
      <c r="S74" s="921">
        <f t="shared" si="6"/>
        <v>-2</v>
      </c>
      <c r="T74" s="176">
        <f t="shared" si="7"/>
        <v>4</v>
      </c>
      <c r="U74" s="251">
        <f t="shared" si="8"/>
        <v>-1.5178785151539258</v>
      </c>
      <c r="V74" s="383">
        <f t="shared" si="9"/>
        <v>40.248646508488896</v>
      </c>
      <c r="W74" s="402">
        <f t="shared" si="10"/>
        <v>40.446832493154083</v>
      </c>
      <c r="X74" s="157">
        <f t="shared" si="11"/>
        <v>46082</v>
      </c>
      <c r="Y74" s="385">
        <f t="shared" si="12"/>
        <v>37.607407619513431</v>
      </c>
      <c r="Z74" s="385">
        <f t="shared" si="22"/>
        <v>40.020151278716469</v>
      </c>
      <c r="AA74" s="386">
        <f t="shared" si="13"/>
        <v>46.523924782823386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0.13979417115961176</v>
      </c>
      <c r="AD74" s="231">
        <f>(INDEX(Models!$BJ74:$BT74,,AH74)*(1-AF74)+INDEX(Models!$BJ74:$BT74,,AH74+1)*AF74-ERP_i)*AE74*Ramure*Pc/MaxiM</f>
        <v>3.1144009941929066E-3</v>
      </c>
      <c r="AE74" s="305">
        <f t="shared" si="15"/>
        <v>0.7</v>
      </c>
      <c r="AF74" s="177">
        <f t="shared" si="23"/>
        <v>7.1090512200533418E-3</v>
      </c>
      <c r="AG74" s="921">
        <f t="shared" si="24"/>
        <v>2</v>
      </c>
      <c r="AH74" s="176">
        <f t="shared" si="16"/>
        <v>8</v>
      </c>
      <c r="AI74" s="225">
        <f t="shared" si="17"/>
        <v>2.0071090512200533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10.200329263243104</v>
      </c>
      <c r="C75" s="955"/>
      <c r="D75" s="393">
        <f t="shared" si="0"/>
        <v>10.85498010315829</v>
      </c>
      <c r="E75" s="385">
        <f t="shared" si="1"/>
        <v>11.769084207609676</v>
      </c>
      <c r="F75" s="385">
        <f t="shared" si="2"/>
        <v>11.769084207609676</v>
      </c>
      <c r="G75" s="110">
        <f t="shared" si="21"/>
        <v>0.25174063805290853</v>
      </c>
      <c r="H75" s="414" t="b">
        <f>Wh_hp&gt;='2025'!Maxi_hp</f>
        <v>0</v>
      </c>
      <c r="I75" s="390">
        <f>IF(H75,Wh_hp,'2025'!Maxi_hp)</f>
        <v>32.956677810715547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6.0308801461986472E-2</v>
      </c>
      <c r="M75" s="959"/>
      <c r="N75" s="959"/>
      <c r="O75" s="48">
        <f>IF(t&lt;Tnet,'2025'!Resal+('2025'!Salim-'2025'!Resal)*(1-EXP(('2025'!Tnet-t)/('2025'!Tau_j))),Resal+(Salim-Resal)*(1-EXP((Tnet-t)/(Tau_j))))*Salcycl</f>
        <v>7.7669943414997666E-2</v>
      </c>
      <c r="P75" s="169">
        <f>(INDEX(Models!$BJ75:$BT75,,T75)*(1-R75)+INDEX(Models!$BJ75:$BT75,,T75+1)*R75-ERP_i)*Q75*Ramure*Pc/MaxiM</f>
        <v>1.4424593942696402E-4</v>
      </c>
      <c r="Q75" s="305">
        <f t="shared" si="4"/>
        <v>0.7</v>
      </c>
      <c r="R75" s="177">
        <f t="shared" si="5"/>
        <v>0.48244210581533586</v>
      </c>
      <c r="S75" s="921">
        <f t="shared" si="6"/>
        <v>-2</v>
      </c>
      <c r="T75" s="176">
        <f t="shared" si="7"/>
        <v>4</v>
      </c>
      <c r="U75" s="251">
        <f t="shared" si="8"/>
        <v>-1.5175578941846641</v>
      </c>
      <c r="V75" s="383">
        <f t="shared" si="9"/>
        <v>40.513355277277718</v>
      </c>
      <c r="W75" s="402">
        <f t="shared" si="10"/>
        <v>10.200329263243104</v>
      </c>
      <c r="X75" s="157">
        <f t="shared" si="11"/>
        <v>46083</v>
      </c>
      <c r="Y75" s="385">
        <f t="shared" si="12"/>
        <v>9.5130542051153171</v>
      </c>
      <c r="Z75" s="385">
        <f t="shared" si="22"/>
        <v>10.123596155754015</v>
      </c>
      <c r="AA75" s="386">
        <f t="shared" si="13"/>
        <v>11.769084207609676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0.13981445139050999</v>
      </c>
      <c r="AD75" s="231">
        <f>(INDEX(Models!$BJ75:$BT75,,AH75)*(1-AF75)+INDEX(Models!$BJ75:$BT75,,AH75+1)*AF75-ERP_i)*AE75*Ramure*Pc/MaxiM</f>
        <v>3.0993425982775813E-3</v>
      </c>
      <c r="AE75" s="305">
        <f t="shared" si="15"/>
        <v>0.7</v>
      </c>
      <c r="AF75" s="177">
        <f t="shared" si="23"/>
        <v>7.4296721893150064E-3</v>
      </c>
      <c r="AG75" s="921">
        <f t="shared" si="24"/>
        <v>2</v>
      </c>
      <c r="AH75" s="176">
        <f t="shared" si="16"/>
        <v>8</v>
      </c>
      <c r="AI75" s="225">
        <f t="shared" si="17"/>
        <v>2.007429672189315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38.243752115146656</v>
      </c>
      <c r="C76" s="955"/>
      <c r="D76" s="393">
        <f t="shared" si="0"/>
        <v>40.699103949591425</v>
      </c>
      <c r="E76" s="385">
        <f t="shared" si="1"/>
        <v>44.130044942617062</v>
      </c>
      <c r="F76" s="385">
        <f t="shared" si="2"/>
        <v>44.135753753550254</v>
      </c>
      <c r="G76" s="110">
        <f t="shared" si="21"/>
        <v>0.93786652090510747</v>
      </c>
      <c r="H76" s="414" t="b">
        <f>Wh_hp&gt;='2025'!Maxi_hp</f>
        <v>1</v>
      </c>
      <c r="I76" s="390">
        <f>IF(H76,Wh_hp,'2025'!Maxi_hp)</f>
        <v>44.135753753550254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6.0329383110888313E-2</v>
      </c>
      <c r="M76" s="959"/>
      <c r="N76" s="959"/>
      <c r="O76" s="48">
        <f>IF(t&lt;Tnet,'2025'!Resal+('2025'!Salim-'2025'!Resal)*(1-EXP(('2025'!Tnet-t)/('2025'!Tau_j))),Resal+(Salim-Resal)*(1-EXP((Tnet-t)/(Tau_j))))*Salcycl</f>
        <v>7.77461477206048E-2</v>
      </c>
      <c r="P76" s="169">
        <f>(INDEX(Models!$BJ76:$BT76,,T76)*(1-R76)+INDEX(Models!$BJ76:$BT76,,T76+1)*R76-ERP_i)*Q76*Ramure*Pc/MaxiM</f>
        <v>1.4194343115885304E-4</v>
      </c>
      <c r="Q76" s="305">
        <f t="shared" si="4"/>
        <v>0.7</v>
      </c>
      <c r="R76" s="177">
        <f t="shared" si="5"/>
        <v>0.48277573422519371</v>
      </c>
      <c r="S76" s="921">
        <f t="shared" si="6"/>
        <v>-2</v>
      </c>
      <c r="T76" s="176">
        <f t="shared" si="7"/>
        <v>4</v>
      </c>
      <c r="U76" s="251">
        <f t="shared" si="8"/>
        <v>-1.5172242657748063</v>
      </c>
      <c r="V76" s="383">
        <f t="shared" si="9"/>
        <v>40.776879706624506</v>
      </c>
      <c r="W76" s="402">
        <f t="shared" si="10"/>
        <v>38.243752115146656</v>
      </c>
      <c r="X76" s="157">
        <f t="shared" si="11"/>
        <v>46084</v>
      </c>
      <c r="Y76" s="385">
        <f t="shared" si="12"/>
        <v>35.573521622220618</v>
      </c>
      <c r="Z76" s="385">
        <f t="shared" si="22"/>
        <v>37.857437471005404</v>
      </c>
      <c r="AA76" s="386">
        <f t="shared" si="13"/>
        <v>44.011817869097101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0.13983472385522597</v>
      </c>
      <c r="AD76" s="231">
        <f>(INDEX(Models!$BJ76:$BT76,,AH76)*(1-AF76)+INDEX(Models!$BJ76:$BT76,,AH76+1)*AF76-ERP_i)*AE76*Ramure*Pc/MaxiM</f>
        <v>3.0815321945074415E-3</v>
      </c>
      <c r="AE76" s="305">
        <f t="shared" si="15"/>
        <v>0.7</v>
      </c>
      <c r="AF76" s="177">
        <f t="shared" si="23"/>
        <v>7.763300599172851E-3</v>
      </c>
      <c r="AG76" s="921">
        <f t="shared" si="24"/>
        <v>2</v>
      </c>
      <c r="AH76" s="176">
        <f t="shared" si="16"/>
        <v>8</v>
      </c>
      <c r="AI76" s="225">
        <f t="shared" si="17"/>
        <v>2.0077633005991729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4.0889002330071476</v>
      </c>
      <c r="C77" s="955"/>
      <c r="D77" s="393">
        <f t="shared" si="0"/>
        <v>4.3515139442316393</v>
      </c>
      <c r="E77" s="385">
        <f t="shared" si="1"/>
        <v>4.7187369069010661</v>
      </c>
      <c r="F77" s="385">
        <f t="shared" si="2"/>
        <v>4.7187369069010661</v>
      </c>
      <c r="G77" s="110">
        <f t="shared" si="21"/>
        <v>9.9619871975480057E-2</v>
      </c>
      <c r="H77" s="414" t="b">
        <f>Wh_hp&gt;='2025'!Maxi_hp</f>
        <v>0</v>
      </c>
      <c r="I77" s="390">
        <f>IF(H77,Wh_hp,'2025'!Maxi_hp)</f>
        <v>33.323703114447028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6.0349964308999193E-2</v>
      </c>
      <c r="M77" s="959"/>
      <c r="N77" s="959"/>
      <c r="O77" s="48">
        <f>IF(t&lt;Tnet,'2025'!Resal+('2025'!Salim-'2025'!Resal)*(1-EXP(('2025'!Tnet-t)/('2025'!Tau_j))),Resal+(Salim-Resal)*(1-EXP((Tnet-t)/(Tau_j))))*Salcycl</f>
        <v>7.7822300737379543E-2</v>
      </c>
      <c r="P77" s="169">
        <f>(INDEX(Models!$BJ77:$BT77,,T77)*(1-R77)+INDEX(Models!$BJ77:$BT77,,T77+1)*R77-ERP_i)*Q77*Ramure*Pc/MaxiM</f>
        <v>1.391858289623385E-4</v>
      </c>
      <c r="Q77" s="305">
        <f t="shared" si="4"/>
        <v>0.7</v>
      </c>
      <c r="R77" s="177">
        <f t="shared" si="5"/>
        <v>0.48312287877029192</v>
      </c>
      <c r="S77" s="921">
        <f t="shared" si="6"/>
        <v>-2</v>
      </c>
      <c r="T77" s="176">
        <f t="shared" si="7"/>
        <v>4</v>
      </c>
      <c r="U77" s="251">
        <f t="shared" si="8"/>
        <v>-1.5168771212297081</v>
      </c>
      <c r="V77" s="383">
        <f t="shared" si="9"/>
        <v>41.039313090514248</v>
      </c>
      <c r="W77" s="402">
        <f t="shared" si="10"/>
        <v>4.0889002330071476</v>
      </c>
      <c r="X77" s="157">
        <f t="shared" si="11"/>
        <v>46085</v>
      </c>
      <c r="Y77" s="385">
        <f t="shared" si="12"/>
        <v>3.8138496109598763</v>
      </c>
      <c r="Z77" s="385">
        <f t="shared" si="22"/>
        <v>4.0587979206058815</v>
      </c>
      <c r="AA77" s="386">
        <f t="shared" si="13"/>
        <v>4.7187369069010661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0.13985500766741971</v>
      </c>
      <c r="AD77" s="231">
        <f>(INDEX(Models!$BJ77:$BT77,,AH77)*(1-AF77)+INDEX(Models!$BJ77:$BT77,,AH77+1)*AF77-ERP_i)*AE77*Ramure*Pc/MaxiM</f>
        <v>3.0610231090649185E-3</v>
      </c>
      <c r="AE77" s="305">
        <f t="shared" si="15"/>
        <v>0.7</v>
      </c>
      <c r="AF77" s="177">
        <f t="shared" si="23"/>
        <v>8.1104451442710612E-3</v>
      </c>
      <c r="AG77" s="921">
        <f t="shared" si="24"/>
        <v>2</v>
      </c>
      <c r="AH77" s="176">
        <f t="shared" si="16"/>
        <v>8</v>
      </c>
      <c r="AI77" s="225">
        <f t="shared" si="17"/>
        <v>2.0081104451442711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14.537221147208824</v>
      </c>
      <c r="C78" s="955"/>
      <c r="D78" s="393">
        <f t="shared" si="0"/>
        <v>15.471227589476007</v>
      </c>
      <c r="E78" s="385">
        <f t="shared" si="1"/>
        <v>16.77822469546274</v>
      </c>
      <c r="F78" s="385">
        <f t="shared" si="2"/>
        <v>16.778394129953128</v>
      </c>
      <c r="G78" s="110">
        <f t="shared" si="21"/>
        <v>0.35194013781256805</v>
      </c>
      <c r="H78" s="414" t="b">
        <f>Wh_hp&gt;='2025'!Maxi_hp</f>
        <v>0</v>
      </c>
      <c r="I78" s="390">
        <f>IF(H78,Wh_hp,'2025'!Maxi_hp)</f>
        <v>47.032781812856342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6.0370545056329106E-2</v>
      </c>
      <c r="M78" s="959"/>
      <c r="N78" s="959"/>
      <c r="O78" s="48">
        <f>IF(t&lt;Tnet,'2025'!Resal+('2025'!Salim-'2025'!Resal)*(1-EXP(('2025'!Tnet-t)/('2025'!Tau_j))),Resal+(Salim-Resal)*(1-EXP((Tnet-t)/(Tau_j))))*Salcycl</f>
        <v>7.7898414743496597E-2</v>
      </c>
      <c r="P78" s="169">
        <f>(INDEX(Models!$BJ78:$BT78,,T78)*(1-R78)+INDEX(Models!$BJ78:$BT78,,T78+1)*R78-ERP_i)*Q78*Ramure*Pc/MaxiM</f>
        <v>1.3598031490967728E-4</v>
      </c>
      <c r="Q78" s="305">
        <f t="shared" si="4"/>
        <v>0.7</v>
      </c>
      <c r="R78" s="177">
        <f t="shared" si="5"/>
        <v>0.48348406644218755</v>
      </c>
      <c r="S78" s="921">
        <f t="shared" si="6"/>
        <v>-2</v>
      </c>
      <c r="T78" s="176">
        <f t="shared" si="7"/>
        <v>4</v>
      </c>
      <c r="U78" s="251">
        <f t="shared" si="8"/>
        <v>-1.5165159335578124</v>
      </c>
      <c r="V78" s="383">
        <f t="shared" si="9"/>
        <v>41.300748603016736</v>
      </c>
      <c r="W78" s="402">
        <f t="shared" si="10"/>
        <v>14.537221147208824</v>
      </c>
      <c r="X78" s="157">
        <f t="shared" si="11"/>
        <v>46086</v>
      </c>
      <c r="Y78" s="385">
        <f t="shared" si="12"/>
        <v>13.557213395490651</v>
      </c>
      <c r="Z78" s="385">
        <f t="shared" si="22"/>
        <v>14.42825501495521</v>
      </c>
      <c r="AA78" s="386">
        <f t="shared" si="13"/>
        <v>16.774608878786157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0.13987532471163838</v>
      </c>
      <c r="AD78" s="231">
        <f>(INDEX(Models!$BJ78:$BT78,,AH78)*(1-AF78)+INDEX(Models!$BJ78:$BT78,,AH78+1)*AF78-ERP_i)*AE78*Ramure*Pc/MaxiM</f>
        <v>3.0378681726454149E-3</v>
      </c>
      <c r="AE78" s="305">
        <f t="shared" si="15"/>
        <v>0.7</v>
      </c>
      <c r="AF78" s="177">
        <f t="shared" si="23"/>
        <v>8.4716328161666965E-3</v>
      </c>
      <c r="AG78" s="921">
        <f t="shared" si="24"/>
        <v>2</v>
      </c>
      <c r="AH78" s="176">
        <f t="shared" si="16"/>
        <v>8</v>
      </c>
      <c r="AI78" s="225">
        <f t="shared" si="17"/>
        <v>2.0084716328161667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20.58188910176084</v>
      </c>
      <c r="C79" s="955"/>
      <c r="D79" s="393">
        <f t="shared" ref="D79:D142" si="25">Wh/(1-Ppv)</f>
        <v>21.904741065255216</v>
      </c>
      <c r="E79" s="385">
        <f t="shared" si="1"/>
        <v>23.757196683220339</v>
      </c>
      <c r="F79" s="385">
        <f t="shared" ref="F79:F142" si="26">Wh_sa/(1-Pvg*MEDIAN((-Sdif+Wh/Env_an)/Csdif,0,1))</f>
        <v>23.758073461315771</v>
      </c>
      <c r="G79" s="110">
        <f t="shared" si="21"/>
        <v>0.49516618584342481</v>
      </c>
      <c r="H79" s="414" t="b">
        <f>Wh_hp&gt;='2025'!Maxi_hp</f>
        <v>0</v>
      </c>
      <c r="I79" s="390">
        <f>IF(H79,Wh_hp,'2025'!Maxi_hp)</f>
        <v>24.181479709212134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6.039112535288782E-2</v>
      </c>
      <c r="M79" s="959"/>
      <c r="N79" s="959"/>
      <c r="O79" s="48">
        <f>IF(t&lt;Tnet,'2025'!Resal+('2025'!Salim-'2025'!Resal)*(1-EXP(('2025'!Tnet-t)/('2025'!Tau_j))),Resal+(Salim-Resal)*(1-EXP((Tnet-t)/(Tau_j))))*Salcycl</f>
        <v>7.797450358583384E-2</v>
      </c>
      <c r="P79" s="169">
        <f>(INDEX(Models!$BJ79:$BT79,,T79)*(1-R79)+INDEX(Models!$BJ79:$BT79,,T79+1)*R79-ERP_i)*Q79*Ramure*Pc/MaxiM</f>
        <v>1.323325816089716E-4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0.48385984305208574</v>
      </c>
      <c r="S79" s="92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-1.5161401569479143</v>
      </c>
      <c r="V79" s="383">
        <f t="shared" ref="V79:V142" si="33">MaxiM*(1-Ppv)*(1-Pvg)*(1-Psa)</f>
        <v>41.561652483462076</v>
      </c>
      <c r="W79" s="402">
        <f t="shared" ref="W79:W142" si="34">Wh*(A79&gt;Tmaj)</f>
        <v>20.58188910176084</v>
      </c>
      <c r="X79" s="157">
        <f t="shared" ref="X79:X142" si="35">t</f>
        <v>46087</v>
      </c>
      <c r="Y79" s="385">
        <f t="shared" ref="Y79:Y142" si="36">Wh_pvt_s*(1-Ppv)</f>
        <v>19.184235130908593</v>
      </c>
      <c r="Z79" s="385">
        <f t="shared" ref="Z79:Z142" si="37">Wh_sa_s*(1-Psa_s)</f>
        <v>20.417256210051864</v>
      </c>
      <c r="AA79" s="386">
        <f t="shared" ref="AA79:AA142" si="38">Wh_hp*(1-Pvg_s*MEDIAN((-Sdif+Wh/Env_an)/Csdif,0,1))</f>
        <v>23.738116645737591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0.13989569961448559</v>
      </c>
      <c r="AD79" s="231">
        <f>(INDEX(Models!$BJ79:$BT79,,AH79)*(1-AF79)+INDEX(Models!$BJ79:$BT79,,AH79+1)*AF79-ERP_i)*AE79*Ramure*Pc/MaxiM</f>
        <v>3.0120927289517012E-3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8.8474094260648783E-3</v>
      </c>
      <c r="AG79" s="92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2.0088474094260649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31.228876895641225</v>
      </c>
      <c r="C80" s="955"/>
      <c r="D80" s="393">
        <f t="shared" si="25"/>
        <v>33.236766643889361</v>
      </c>
      <c r="E80" s="385">
        <f t="shared" ref="E80:E143" si="47">Wh_pvt/(1-Psa)</f>
        <v>36.050531643906773</v>
      </c>
      <c r="F80" s="385">
        <f t="shared" si="26"/>
        <v>36.053482569370843</v>
      </c>
      <c r="G80" s="110">
        <f t="shared" ref="G80:G143" si="48">+Wh_hp/MaxiM</f>
        <v>0.74667034344084515</v>
      </c>
      <c r="H80" s="414" t="b">
        <f>Wh_hp&gt;='2025'!Maxi_hp</f>
        <v>0</v>
      </c>
      <c r="I80" s="390">
        <f>IF(H80,Wh_hp,'2025'!Maxi_hp)</f>
        <v>43.018931785268983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6.0411705198685217E-2</v>
      </c>
      <c r="M80" s="959"/>
      <c r="N80" s="959"/>
      <c r="O80" s="48">
        <f>IF(t&lt;Tnet,'2025'!Resal+('2025'!Salim-'2025'!Resal)*(1-EXP(('2025'!Tnet-t)/('2025'!Tau_j))),Resal+(Salim-Resal)*(1-EXP((Tnet-t)/(Tau_j))))*Salcycl</f>
        <v>7.8050582660214127E-2</v>
      </c>
      <c r="P80" s="169">
        <f>(INDEX(Models!$BJ80:$BT80,,T80)*(1-R80)+INDEX(Models!$BJ80:$BT80,,T80+1)*R80-ERP_i)*Q80*Ramure*Pc/MaxiM</f>
        <v>1.2825911639617686E-4</v>
      </c>
      <c r="Q80" s="305">
        <f t="shared" si="28"/>
        <v>0.7</v>
      </c>
      <c r="R80" s="177">
        <f t="shared" si="29"/>
        <v>0.48425077375652137</v>
      </c>
      <c r="S80" s="921">
        <f t="shared" si="30"/>
        <v>-2</v>
      </c>
      <c r="T80" s="176">
        <f t="shared" si="31"/>
        <v>4</v>
      </c>
      <c r="U80" s="251">
        <f t="shared" si="32"/>
        <v>-1.5157492262434786</v>
      </c>
      <c r="V80" s="383">
        <f t="shared" si="33"/>
        <v>41.822241504066284</v>
      </c>
      <c r="W80" s="402">
        <f t="shared" si="34"/>
        <v>31.228876895641225</v>
      </c>
      <c r="X80" s="157">
        <f t="shared" si="35"/>
        <v>46088</v>
      </c>
      <c r="Y80" s="385">
        <f t="shared" si="36"/>
        <v>29.080261904815607</v>
      </c>
      <c r="Z80" s="385">
        <f t="shared" si="37"/>
        <v>30.950004449517877</v>
      </c>
      <c r="AA80" s="386">
        <f t="shared" si="38"/>
        <v>35.984869147933743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0.13991615969805382</v>
      </c>
      <c r="AD80" s="231">
        <f>(INDEX(Models!$BJ80:$BT80,,AH80)*(1-AF80)+INDEX(Models!$BJ80:$BT80,,AH80+1)*AF80-ERP_i)*AE80*Ramure*Pc/MaxiM</f>
        <v>2.9822158890802229E-3</v>
      </c>
      <c r="AE80" s="305">
        <f t="shared" si="40"/>
        <v>0.7</v>
      </c>
      <c r="AF80" s="177">
        <f t="shared" si="41"/>
        <v>9.2383401305005108E-3</v>
      </c>
      <c r="AG80" s="921">
        <f t="shared" ref="AG80:AG143" si="49">INDEX(Echel_vg,AH80)</f>
        <v>2</v>
      </c>
      <c r="AH80" s="176">
        <f t="shared" si="42"/>
        <v>8</v>
      </c>
      <c r="AI80" s="225">
        <f t="shared" si="43"/>
        <v>2.0092383401305005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29.957551688324646</v>
      </c>
      <c r="C81" s="955"/>
      <c r="D81" s="393">
        <f t="shared" si="25"/>
        <v>31.88439874753573</v>
      </c>
      <c r="E81" s="385">
        <f t="shared" si="47"/>
        <v>34.586529050438244</v>
      </c>
      <c r="F81" s="385">
        <f t="shared" si="26"/>
        <v>34.58905079019069</v>
      </c>
      <c r="G81" s="110">
        <f t="shared" si="48"/>
        <v>0.71184498009284269</v>
      </c>
      <c r="H81" s="414" t="b">
        <f>Wh_hp&gt;='2025'!Maxi_hp</f>
        <v>1</v>
      </c>
      <c r="I81" s="390">
        <f>IF(H81,Wh_hp,'2025'!Maxi_hp)</f>
        <v>34.58905079019069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6.0432284593731178E-2</v>
      </c>
      <c r="M81" s="959"/>
      <c r="N81" s="959"/>
      <c r="O81" s="48">
        <f>IF(t&lt;Tnet,'2025'!Resal+('2025'!Salim-'2025'!Resal)*(1-EXP(('2025'!Tnet-t)/('2025'!Tau_j))),Resal+(Salim-Resal)*(1-EXP((Tnet-t)/(Tau_j))))*Salcycl</f>
        <v>7.8126668882036135E-2</v>
      </c>
      <c r="P81" s="169">
        <f>(INDEX(Models!$BJ81:$BT81,,T81)*(1-R81)+INDEX(Models!$BJ81:$BT81,,T81+1)*R81-ERP_i)*Q81*Ramure*Pc/MaxiM</f>
        <v>1.2390464808681876E-4</v>
      </c>
      <c r="Q81" s="305">
        <f t="shared" si="28"/>
        <v>0.7</v>
      </c>
      <c r="R81" s="177">
        <f t="shared" si="29"/>
        <v>0.48465744358473151</v>
      </c>
      <c r="S81" s="921">
        <f t="shared" si="30"/>
        <v>-2</v>
      </c>
      <c r="T81" s="176">
        <f t="shared" si="31"/>
        <v>4</v>
      </c>
      <c r="U81" s="251">
        <f t="shared" si="32"/>
        <v>-1.5153425564152685</v>
      </c>
      <c r="V81" s="383">
        <f t="shared" si="33"/>
        <v>42.082229434401192</v>
      </c>
      <c r="W81" s="402">
        <f t="shared" si="34"/>
        <v>29.957551688324646</v>
      </c>
      <c r="X81" s="157">
        <f t="shared" si="35"/>
        <v>46089</v>
      </c>
      <c r="Y81" s="385">
        <f t="shared" si="36"/>
        <v>27.902483226391027</v>
      </c>
      <c r="Z81" s="385">
        <f t="shared" si="37"/>
        <v>29.697149836960929</v>
      </c>
      <c r="AA81" s="386">
        <f t="shared" si="38"/>
        <v>34.529029482586701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0.13993673491641379</v>
      </c>
      <c r="AD81" s="231">
        <f>(INDEX(Models!$BJ81:$BT81,,AH81)*(1-AF81)+INDEX(Models!$BJ81:$BT81,,AH81+1)*AF81-ERP_i)*AE81*Ramure*Pc/MaxiM</f>
        <v>2.9491223228581011E-3</v>
      </c>
      <c r="AE81" s="305">
        <f t="shared" si="40"/>
        <v>0.7</v>
      </c>
      <c r="AF81" s="177">
        <f t="shared" si="41"/>
        <v>9.6450099587106486E-3</v>
      </c>
      <c r="AG81" s="921">
        <f t="shared" si="49"/>
        <v>2</v>
      </c>
      <c r="AH81" s="176">
        <f t="shared" si="42"/>
        <v>8</v>
      </c>
      <c r="AI81" s="225">
        <f t="shared" si="43"/>
        <v>2.0096450099587106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31.620851635307904</v>
      </c>
      <c r="C82" s="955"/>
      <c r="D82" s="393">
        <f t="shared" si="25"/>
        <v>33.655418028713243</v>
      </c>
      <c r="E82" s="385">
        <f t="shared" si="47"/>
        <v>36.510652584050391</v>
      </c>
      <c r="F82" s="385">
        <f t="shared" si="26"/>
        <v>36.513432434633124</v>
      </c>
      <c r="G82" s="110">
        <f t="shared" si="48"/>
        <v>0.7467758568599826</v>
      </c>
      <c r="H82" s="414" t="b">
        <f>Wh_hp&gt;='2025'!Maxi_hp</f>
        <v>0</v>
      </c>
      <c r="I82" s="390">
        <f>IF(H82,Wh_hp,'2025'!Maxi_hp)</f>
        <v>44.616353864796501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6.0452863538035473E-2</v>
      </c>
      <c r="M82" s="959"/>
      <c r="N82" s="959"/>
      <c r="O82" s="48">
        <f>IF(t&lt;Tnet,'2025'!Resal+('2025'!Salim-'2025'!Resal)*(1-EXP(('2025'!Tnet-t)/('2025'!Tau_j))),Resal+(Salim-Resal)*(1-EXP((Tnet-t)/(Tau_j))))*Salcycl</f>
        <v>7.8202780647762274E-2</v>
      </c>
      <c r="P82" s="169">
        <f>(INDEX(Models!$BJ82:$BT82,,T82)*(1-R82)+INDEX(Models!$BJ82:$BT82,,T82+1)*R82-ERP_i)*Q82*Ramure*Pc/MaxiM</f>
        <v>1.1927400887146842E-4</v>
      </c>
      <c r="Q82" s="305">
        <f t="shared" si="28"/>
        <v>0.7</v>
      </c>
      <c r="R82" s="177">
        <f t="shared" si="29"/>
        <v>0.48508045796631838</v>
      </c>
      <c r="S82" s="921">
        <f t="shared" si="30"/>
        <v>-2</v>
      </c>
      <c r="T82" s="176">
        <f t="shared" si="31"/>
        <v>4</v>
      </c>
      <c r="U82" s="251">
        <f t="shared" si="32"/>
        <v>-1.5149195420336816</v>
      </c>
      <c r="V82" s="383">
        <f t="shared" si="33"/>
        <v>42.341335840642799</v>
      </c>
      <c r="W82" s="402">
        <f t="shared" si="34"/>
        <v>31.620851635307904</v>
      </c>
      <c r="X82" s="157">
        <f t="shared" si="35"/>
        <v>46090</v>
      </c>
      <c r="Y82" s="385">
        <f t="shared" si="36"/>
        <v>29.449839758529237</v>
      </c>
      <c r="Z82" s="385">
        <f t="shared" si="37"/>
        <v>31.344717700303956</v>
      </c>
      <c r="AA82" s="386">
        <f t="shared" si="38"/>
        <v>36.445543285861696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0.13995745777609245</v>
      </c>
      <c r="AD82" s="231">
        <f>(INDEX(Models!$BJ82:$BT82,,AH82)*(1-AF82)+INDEX(Models!$BJ82:$BT82,,AH82+1)*AF82-ERP_i)*AE82*Ramure*Pc/MaxiM</f>
        <v>2.9128943055943702E-3</v>
      </c>
      <c r="AE82" s="305">
        <f t="shared" si="40"/>
        <v>0.7</v>
      </c>
      <c r="AF82" s="177">
        <f t="shared" si="41"/>
        <v>1.0068024340297299E-2</v>
      </c>
      <c r="AG82" s="921">
        <f t="shared" si="49"/>
        <v>2</v>
      </c>
      <c r="AH82" s="176">
        <f t="shared" si="42"/>
        <v>8</v>
      </c>
      <c r="AI82" s="225">
        <f t="shared" si="43"/>
        <v>2.0100680243402973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22.885287218594286</v>
      </c>
      <c r="C83" s="955"/>
      <c r="D83" s="393">
        <f t="shared" si="25"/>
        <v>24.358318585565954</v>
      </c>
      <c r="E83" s="385">
        <f t="shared" si="47"/>
        <v>26.426995741102221</v>
      </c>
      <c r="F83" s="385">
        <f t="shared" si="26"/>
        <v>26.428020072794776</v>
      </c>
      <c r="G83" s="110">
        <f t="shared" si="48"/>
        <v>0.53718176849990718</v>
      </c>
      <c r="H83" s="414" t="b">
        <f>Wh_hp&gt;='2025'!Maxi_hp</f>
        <v>0</v>
      </c>
      <c r="I83" s="390">
        <f>IF(H83,Wh_hp,'2025'!Maxi_hp)</f>
        <v>45.293809105395539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6.0473442031608204E-2</v>
      </c>
      <c r="M83" s="959"/>
      <c r="N83" s="959"/>
      <c r="O83" s="48">
        <f>IF(t&lt;Tnet,'2025'!Resal+('2025'!Salim-'2025'!Resal)*(1-EXP(('2025'!Tnet-t)/('2025'!Tau_j))),Resal+(Salim-Resal)*(1-EXP((Tnet-t)/(Tau_j))))*Salcycl</f>
        <v>7.8278937787802719E-2</v>
      </c>
      <c r="P83" s="169">
        <f>(INDEX(Models!$BJ83:$BT83,,T83)*(1-R83)+INDEX(Models!$BJ83:$BT83,,T83+1)*R83-ERP_i)*Q83*Ramure*Pc/MaxiM</f>
        <v>1.1437163866224725E-4</v>
      </c>
      <c r="Q83" s="305">
        <f t="shared" si="28"/>
        <v>0.7</v>
      </c>
      <c r="R83" s="177">
        <f t="shared" si="29"/>
        <v>0.4855204432576552</v>
      </c>
      <c r="S83" s="921">
        <f t="shared" si="30"/>
        <v>-2</v>
      </c>
      <c r="T83" s="176">
        <f t="shared" si="31"/>
        <v>4</v>
      </c>
      <c r="U83" s="251">
        <f t="shared" si="32"/>
        <v>-1.5144795567423448</v>
      </c>
      <c r="V83" s="383">
        <f t="shared" si="33"/>
        <v>42.599280324523455</v>
      </c>
      <c r="W83" s="402">
        <f t="shared" si="34"/>
        <v>22.885287218594286</v>
      </c>
      <c r="X83" s="157">
        <f t="shared" si="35"/>
        <v>46091</v>
      </c>
      <c r="Y83" s="385">
        <f t="shared" si="36"/>
        <v>21.333392761268144</v>
      </c>
      <c r="Z83" s="385">
        <f t="shared" si="37"/>
        <v>22.706535095079087</v>
      </c>
      <c r="AA83" s="386">
        <f t="shared" si="38"/>
        <v>26.402283529359416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0.1399783632415979</v>
      </c>
      <c r="AD83" s="231">
        <f>(INDEX(Models!$BJ83:$BT83,,AH83)*(1-AF83)+INDEX(Models!$BJ83:$BT83,,AH83+1)*AF83-ERP_i)*AE83*Ramure*Pc/MaxiM</f>
        <v>2.8736108309376659E-3</v>
      </c>
      <c r="AE83" s="305">
        <f t="shared" si="40"/>
        <v>0.7</v>
      </c>
      <c r="AF83" s="177">
        <f t="shared" si="41"/>
        <v>1.0508009631634341E-2</v>
      </c>
      <c r="AG83" s="921">
        <f t="shared" si="49"/>
        <v>2</v>
      </c>
      <c r="AH83" s="176">
        <f t="shared" si="42"/>
        <v>8</v>
      </c>
      <c r="AI83" s="225">
        <f t="shared" si="43"/>
        <v>2.0105080096316343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15.258461554863439</v>
      </c>
      <c r="C84" s="955"/>
      <c r="D84" s="393">
        <f t="shared" si="25"/>
        <v>16.2409413892956</v>
      </c>
      <c r="E84" s="385">
        <f t="shared" si="47"/>
        <v>17.62169190458339</v>
      </c>
      <c r="F84" s="385">
        <f t="shared" si="26"/>
        <v>17.621845966883249</v>
      </c>
      <c r="G84" s="110">
        <f t="shared" si="48"/>
        <v>0.35600630288019519</v>
      </c>
      <c r="H84" s="414" t="b">
        <f>Wh_hp&gt;='2025'!Maxi_hp</f>
        <v>0</v>
      </c>
      <c r="I84" s="390">
        <f>IF(H84,Wh_hp,'2025'!Maxi_hp)</f>
        <v>36.273412618426136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6.0494020074459032E-2</v>
      </c>
      <c r="M84" s="959"/>
      <c r="N84" s="959"/>
      <c r="O84" s="48">
        <f>IF(t&lt;Tnet,'2025'!Resal+('2025'!Salim-'2025'!Resal)*(1-EXP(('2025'!Tnet-t)/('2025'!Tau_j))),Resal+(Salim-Resal)*(1-EXP((Tnet-t)/(Tau_j))))*Salcycl</f>
        <v>7.8355161511401664E-2</v>
      </c>
      <c r="P84" s="169">
        <f>(INDEX(Models!$BJ84:$BT84,,T84)*(1-R84)+INDEX(Models!$BJ84:$BT84,,T84+1)*R84-ERP_i)*Q84*Ramure*Pc/MaxiM</f>
        <v>1.0920155980801081E-4</v>
      </c>
      <c r="Q84" s="305">
        <f t="shared" si="28"/>
        <v>0.7</v>
      </c>
      <c r="R84" s="177">
        <f t="shared" si="29"/>
        <v>0.4859780472653199</v>
      </c>
      <c r="S84" s="921">
        <f t="shared" si="30"/>
        <v>-2</v>
      </c>
      <c r="T84" s="176">
        <f t="shared" si="31"/>
        <v>4</v>
      </c>
      <c r="U84" s="251">
        <f t="shared" si="32"/>
        <v>-1.5140219527346801</v>
      </c>
      <c r="V84" s="383">
        <f t="shared" si="33"/>
        <v>42.855782524619769</v>
      </c>
      <c r="W84" s="402">
        <f t="shared" si="34"/>
        <v>15.258461554863439</v>
      </c>
      <c r="X84" s="157">
        <f t="shared" si="35"/>
        <v>46092</v>
      </c>
      <c r="Y84" s="385">
        <f t="shared" si="36"/>
        <v>14.234794530848566</v>
      </c>
      <c r="Z84" s="385">
        <f t="shared" si="37"/>
        <v>15.151361284551612</v>
      </c>
      <c r="AA84" s="386">
        <f t="shared" si="38"/>
        <v>17.617851482861365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0.13999948862715486</v>
      </c>
      <c r="AD84" s="231">
        <f>(INDEX(Models!$BJ84:$BT84,,AH84)*(1-AF84)+INDEX(Models!$BJ84:$BT84,,AH84+1)*AF84-ERP_i)*AE84*Ramure*Pc/MaxiM</f>
        <v>2.8313473589658511E-3</v>
      </c>
      <c r="AE84" s="305">
        <f t="shared" si="40"/>
        <v>0.7</v>
      </c>
      <c r="AF84" s="177">
        <f t="shared" si="41"/>
        <v>1.0965613639299043E-2</v>
      </c>
      <c r="AG84" s="921">
        <f t="shared" si="49"/>
        <v>2</v>
      </c>
      <c r="AH84" s="176">
        <f t="shared" si="42"/>
        <v>8</v>
      </c>
      <c r="AI84" s="225">
        <f t="shared" si="43"/>
        <v>2.010965613639299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12.599705270502685</v>
      </c>
      <c r="C85" s="955"/>
      <c r="D85" s="393">
        <f t="shared" si="25"/>
        <v>13.411283708303257</v>
      </c>
      <c r="E85" s="385">
        <f t="shared" si="47"/>
        <v>14.552671163285863</v>
      </c>
      <c r="F85" s="385">
        <f t="shared" si="26"/>
        <v>14.552671163285863</v>
      </c>
      <c r="G85" s="110">
        <f t="shared" si="48"/>
        <v>0.29223459898361165</v>
      </c>
      <c r="H85" s="414" t="b">
        <f>Wh_hp&gt;='2025'!Maxi_hp</f>
        <v>0</v>
      </c>
      <c r="I85" s="390">
        <f>IF(H85,Wh_hp,'2025'!Maxi_hp)</f>
        <v>43.935491435363161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6.0514597666597947E-2</v>
      </c>
      <c r="M85" s="959"/>
      <c r="N85" s="959"/>
      <c r="O85" s="48">
        <f>IF(t&lt;Tnet,'2025'!Resal+('2025'!Salim-'2025'!Resal)*(1-EXP(('2025'!Tnet-t)/('2025'!Tau_j))),Resal+(Salim-Resal)*(1-EXP((Tnet-t)/(Tau_j))))*Salcycl</f>
        <v>7.8431474344184335E-2</v>
      </c>
      <c r="P85" s="169">
        <f>(INDEX(Models!$BJ85:$BT85,,T85)*(1-R85)+INDEX(Models!$BJ85:$BT85,,T85+1)*R85-ERP_i)*Q85*Ramure*Pc/MaxiM</f>
        <v>1.0376735182232626E-4</v>
      </c>
      <c r="Q85" s="305">
        <f t="shared" si="28"/>
        <v>0.7</v>
      </c>
      <c r="R85" s="177">
        <f t="shared" si="29"/>
        <v>0.48645393976467521</v>
      </c>
      <c r="S85" s="921">
        <f t="shared" si="30"/>
        <v>-2</v>
      </c>
      <c r="T85" s="176">
        <f t="shared" si="31"/>
        <v>4</v>
      </c>
      <c r="U85" s="251">
        <f t="shared" si="32"/>
        <v>-1.5135460602353248</v>
      </c>
      <c r="V85" s="383">
        <f t="shared" si="33"/>
        <v>43.110562117798828</v>
      </c>
      <c r="W85" s="402">
        <f t="shared" si="34"/>
        <v>12.599705270502685</v>
      </c>
      <c r="X85" s="157">
        <f t="shared" si="35"/>
        <v>46093</v>
      </c>
      <c r="Y85" s="385">
        <f t="shared" si="36"/>
        <v>11.757653643039797</v>
      </c>
      <c r="Z85" s="385">
        <f t="shared" si="37"/>
        <v>12.514993435594938</v>
      </c>
      <c r="AA85" s="386">
        <f t="shared" si="38"/>
        <v>14.552671163285863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0.14002087347590664</v>
      </c>
      <c r="AD85" s="231">
        <f>(INDEX(Models!$BJ85:$BT85,,AH85)*(1-AF85)+INDEX(Models!$BJ85:$BT85,,AH85+1)*AF85-ERP_i)*AE85*Ramure*Pc/MaxiM</f>
        <v>2.7861755674179933E-3</v>
      </c>
      <c r="AE85" s="305">
        <f t="shared" si="40"/>
        <v>0.7</v>
      </c>
      <c r="AF85" s="177">
        <f t="shared" si="41"/>
        <v>1.1441506138654134E-2</v>
      </c>
      <c r="AG85" s="921">
        <f t="shared" si="49"/>
        <v>2</v>
      </c>
      <c r="AH85" s="176">
        <f t="shared" si="42"/>
        <v>8</v>
      </c>
      <c r="AI85" s="225">
        <f t="shared" si="43"/>
        <v>2.0114415061386541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11.860125078857227</v>
      </c>
      <c r="C86" s="955"/>
      <c r="D86" s="393">
        <f t="shared" si="25"/>
        <v>12.624341817623444</v>
      </c>
      <c r="E86" s="385">
        <f t="shared" si="47"/>
        <v>13.699891532909188</v>
      </c>
      <c r="F86" s="385">
        <f t="shared" si="26"/>
        <v>13.699891532909188</v>
      </c>
      <c r="G86" s="110">
        <f t="shared" si="48"/>
        <v>0.27347898600644932</v>
      </c>
      <c r="H86" s="414" t="b">
        <f>Wh_hp&gt;='2025'!Maxi_hp</f>
        <v>0</v>
      </c>
      <c r="I86" s="390">
        <f>IF(H86,Wh_hp,'2025'!Maxi_hp)</f>
        <v>42.800557177693996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6.053517480803472E-2</v>
      </c>
      <c r="M86" s="959"/>
      <c r="N86" s="959"/>
      <c r="O86" s="48">
        <f>IF(t&lt;Tnet,'2025'!Resal+('2025'!Salim-'2025'!Resal)*(1-EXP(('2025'!Tnet-t)/('2025'!Tau_j))),Resal+(Salim-Resal)*(1-EXP((Tnet-t)/(Tau_j))))*Salcycl</f>
        <v>7.850790005907074E-2</v>
      </c>
      <c r="P86" s="169">
        <f>(INDEX(Models!$BJ86:$BT86,,T86)*(1-R86)+INDEX(Models!$BJ86:$BT86,,T86+1)*R86-ERP_i)*Q86*Ramure*Pc/MaxiM</f>
        <v>9.8279598274908414E-5</v>
      </c>
      <c r="Q86" s="305">
        <f t="shared" si="28"/>
        <v>0.7</v>
      </c>
      <c r="R86" s="177">
        <f t="shared" si="29"/>
        <v>0.48694881301152093</v>
      </c>
      <c r="S86" s="921">
        <f t="shared" si="30"/>
        <v>-2</v>
      </c>
      <c r="T86" s="176">
        <f t="shared" si="31"/>
        <v>4</v>
      </c>
      <c r="U86" s="251">
        <f t="shared" si="32"/>
        <v>-1.5130511869884791</v>
      </c>
      <c r="V86" s="383">
        <f t="shared" si="33"/>
        <v>43.363329825456212</v>
      </c>
      <c r="W86" s="402">
        <f t="shared" si="34"/>
        <v>11.860125078857227</v>
      </c>
      <c r="X86" s="157">
        <f t="shared" si="35"/>
        <v>46094</v>
      </c>
      <c r="Y86" s="385">
        <f t="shared" si="36"/>
        <v>11.068139171603011</v>
      </c>
      <c r="Z86" s="385">
        <f t="shared" si="37"/>
        <v>11.781323658755831</v>
      </c>
      <c r="AA86" s="386">
        <f t="shared" si="38"/>
        <v>13.699891532909188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0.14004255942791008</v>
      </c>
      <c r="AD86" s="231">
        <f>(INDEX(Models!$BJ86:$BT86,,AH86)*(1-AF86)+INDEX(Models!$BJ86:$BT86,,AH86+1)*AF86-ERP_i)*AE86*Ramure*Pc/MaxiM</f>
        <v>2.738462360337817E-3</v>
      </c>
      <c r="AE86" s="305">
        <f t="shared" si="40"/>
        <v>0.7</v>
      </c>
      <c r="AF86" s="177">
        <f t="shared" si="41"/>
        <v>1.1936379385500295E-2</v>
      </c>
      <c r="AG86" s="921">
        <f t="shared" si="49"/>
        <v>2</v>
      </c>
      <c r="AH86" s="176">
        <f t="shared" si="42"/>
        <v>8</v>
      </c>
      <c r="AI86" s="225">
        <f t="shared" si="43"/>
        <v>2.0119363793855003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12.529735818257972</v>
      </c>
      <c r="C87" s="955"/>
      <c r="D87" s="393">
        <f t="shared" si="25"/>
        <v>13.337391588961005</v>
      </c>
      <c r="E87" s="385">
        <f t="shared" si="47"/>
        <v>14.474893315875013</v>
      </c>
      <c r="F87" s="385">
        <f t="shared" si="26"/>
        <v>14.474893315875013</v>
      </c>
      <c r="G87" s="110">
        <f t="shared" si="48"/>
        <v>0.28726165316543079</v>
      </c>
      <c r="H87" s="414" t="b">
        <f>Wh_hp&gt;='2025'!Maxi_hp</f>
        <v>0</v>
      </c>
      <c r="I87" s="390">
        <f>IF(H87,Wh_hp,'2025'!Maxi_hp)</f>
        <v>36.891466840324576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6.0555751498779342E-2</v>
      </c>
      <c r="M87" s="959"/>
      <c r="N87" s="959"/>
      <c r="O87" s="48">
        <f>IF(t&lt;Tnet,'2025'!Resal+('2025'!Salim-'2025'!Resal)*(1-EXP(('2025'!Tnet-t)/('2025'!Tau_j))),Resal+(Salim-Resal)*(1-EXP((Tnet-t)/(Tau_j))))*Salcycl</f>
        <v>7.8584463601294965E-2</v>
      </c>
      <c r="P87" s="169">
        <f>(INDEX(Models!$BJ87:$BT87,,T87)*(1-R87)+INDEX(Models!$BJ87:$BT87,,T87+1)*R87-ERP_i)*Q87*Ramure*Pc/MaxiM</f>
        <v>9.3071077920560077E-5</v>
      </c>
      <c r="Q87" s="305">
        <f t="shared" si="28"/>
        <v>0.7</v>
      </c>
      <c r="R87" s="177">
        <f t="shared" si="29"/>
        <v>0.48746338224455865</v>
      </c>
      <c r="S87" s="921">
        <f t="shared" si="30"/>
        <v>-2</v>
      </c>
      <c r="T87" s="176">
        <f t="shared" si="31"/>
        <v>4</v>
      </c>
      <c r="U87" s="251">
        <f t="shared" si="32"/>
        <v>-1.5125366177554413</v>
      </c>
      <c r="V87" s="383">
        <f t="shared" si="33"/>
        <v>43.613790856464384</v>
      </c>
      <c r="W87" s="402">
        <f t="shared" si="34"/>
        <v>12.529735818257972</v>
      </c>
      <c r="X87" s="157">
        <f t="shared" si="35"/>
        <v>46095</v>
      </c>
      <c r="Y87" s="385">
        <f t="shared" si="36"/>
        <v>11.693707216178188</v>
      </c>
      <c r="Z87" s="385">
        <f t="shared" si="37"/>
        <v>12.447473317159805</v>
      </c>
      <c r="AA87" s="386">
        <f t="shared" si="38"/>
        <v>14.474893315875013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0.14006459007830346</v>
      </c>
      <c r="AD87" s="231">
        <f>(INDEX(Models!$BJ87:$BT87,,AH87)*(1-AF87)+INDEX(Models!$BJ87:$BT87,,AH87+1)*AF87-ERP_i)*AE87*Ramure*Pc/MaxiM</f>
        <v>2.6903790778449363E-3</v>
      </c>
      <c r="AE87" s="305">
        <f t="shared" si="40"/>
        <v>0.7</v>
      </c>
      <c r="AF87" s="177">
        <f t="shared" si="41"/>
        <v>1.2450948618537794E-2</v>
      </c>
      <c r="AG87" s="921">
        <f t="shared" si="49"/>
        <v>2</v>
      </c>
      <c r="AH87" s="176">
        <f t="shared" si="42"/>
        <v>8</v>
      </c>
      <c r="AI87" s="225">
        <f t="shared" si="43"/>
        <v>2.0124509486185378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14.224810098114611</v>
      </c>
      <c r="C88" s="955"/>
      <c r="D88" s="393">
        <f t="shared" si="25"/>
        <v>15.142060518739129</v>
      </c>
      <c r="E88" s="385">
        <f t="shared" si="47"/>
        <v>16.434845000516475</v>
      </c>
      <c r="F88" s="385">
        <f t="shared" si="26"/>
        <v>16.43489530724813</v>
      </c>
      <c r="G88" s="110">
        <f t="shared" si="48"/>
        <v>0.32428317363124692</v>
      </c>
      <c r="H88" s="414" t="b">
        <f>Wh_hp&gt;='2025'!Maxi_hp</f>
        <v>0</v>
      </c>
      <c r="I88" s="390">
        <f>IF(H88,Wh_hp,'2025'!Maxi_hp)</f>
        <v>34.951737117929945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6.0576327738841695E-2</v>
      </c>
      <c r="M88" s="959"/>
      <c r="N88" s="959"/>
      <c r="O88" s="48">
        <f>IF(t&lt;Tnet,'2025'!Resal+('2025'!Salim-'2025'!Resal)*(1-EXP(('2025'!Tnet-t)/('2025'!Tau_j))),Resal+(Salim-Resal)*(1-EXP((Tnet-t)/(Tau_j))))*Salcycl</f>
        <v>7.8661191008294967E-2</v>
      </c>
      <c r="P88" s="169">
        <f>(INDEX(Models!$BJ88:$BT88,,T88)*(1-R88)+INDEX(Models!$BJ88:$BT88,,T88+1)*R88-ERP_i)*Q88*Ramure*Pc/MaxiM</f>
        <v>8.8137063964623867E-5</v>
      </c>
      <c r="Q88" s="305">
        <f t="shared" si="28"/>
        <v>0.7</v>
      </c>
      <c r="R88" s="177">
        <f t="shared" si="29"/>
        <v>0.48799838617619029</v>
      </c>
      <c r="S88" s="921">
        <f t="shared" si="30"/>
        <v>-2</v>
      </c>
      <c r="T88" s="176">
        <f t="shared" si="31"/>
        <v>4</v>
      </c>
      <c r="U88" s="251">
        <f t="shared" si="32"/>
        <v>-1.5120016138238097</v>
      </c>
      <c r="V88" s="383">
        <f t="shared" si="33"/>
        <v>43.861664926570093</v>
      </c>
      <c r="W88" s="402">
        <f t="shared" si="34"/>
        <v>14.224810098114611</v>
      </c>
      <c r="X88" s="157">
        <f t="shared" si="35"/>
        <v>46096</v>
      </c>
      <c r="Y88" s="385">
        <f t="shared" si="36"/>
        <v>13.275261986549404</v>
      </c>
      <c r="Z88" s="385">
        <f t="shared" si="37"/>
        <v>14.131283230915756</v>
      </c>
      <c r="AA88" s="386">
        <f t="shared" si="38"/>
        <v>16.4333873413253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0.14008701082706221</v>
      </c>
      <c r="AD88" s="231">
        <f>(INDEX(Models!$BJ88:$BT88,,AH88)*(1-AF88)+INDEX(Models!$BJ88:$BT88,,AH88+1)*AF88-ERP_i)*AE88*Ramure*Pc/MaxiM</f>
        <v>2.6419464081122676E-3</v>
      </c>
      <c r="AE88" s="305">
        <f t="shared" si="40"/>
        <v>0.7</v>
      </c>
      <c r="AF88" s="177">
        <f t="shared" si="41"/>
        <v>1.2985952550169433E-2</v>
      </c>
      <c r="AG88" s="921">
        <f t="shared" si="49"/>
        <v>2</v>
      </c>
      <c r="AH88" s="176">
        <f t="shared" si="42"/>
        <v>8</v>
      </c>
      <c r="AI88" s="225">
        <f t="shared" si="43"/>
        <v>2.0129859525501694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9.7640174048078592</v>
      </c>
      <c r="C89" s="955"/>
      <c r="D89" s="393">
        <f t="shared" si="25"/>
        <v>10.393852693779461</v>
      </c>
      <c r="E89" s="385">
        <f t="shared" si="47"/>
        <v>11.28219108918835</v>
      </c>
      <c r="F89" s="385">
        <f t="shared" si="26"/>
        <v>11.28219108918835</v>
      </c>
      <c r="G89" s="110">
        <f t="shared" si="48"/>
        <v>0.22135432071282166</v>
      </c>
      <c r="H89" s="414" t="b">
        <f>Wh_hp&gt;='2025'!Maxi_hp</f>
        <v>0</v>
      </c>
      <c r="I89" s="390">
        <f>IF(H89,Wh_hp,'2025'!Maxi_hp)</f>
        <v>52.275659986289419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6.0596903528231438E-2</v>
      </c>
      <c r="M89" s="959"/>
      <c r="N89" s="959"/>
      <c r="O89" s="48">
        <f>IF(t&lt;Tnet,'2025'!Resal+('2025'!Salim-'2025'!Resal)*(1-EXP(('2025'!Tnet-t)/('2025'!Tau_j))),Resal+(Salim-Resal)*(1-EXP((Tnet-t)/(Tau_j))))*Salcycl</f>
        <v>7.8738109325251243E-2</v>
      </c>
      <c r="P89" s="169">
        <f>(INDEX(Models!$BJ89:$BT89,,T89)*(1-R89)+INDEX(Models!$BJ89:$BT89,,T89+1)*R89-ERP_i)*Q89*Ramure*Pc/MaxiM</f>
        <v>8.3472918822997087E-5</v>
      </c>
      <c r="Q89" s="305">
        <f t="shared" si="28"/>
        <v>0.7</v>
      </c>
      <c r="R89" s="177">
        <f t="shared" si="29"/>
        <v>0.48855458746896208</v>
      </c>
      <c r="S89" s="921">
        <f t="shared" si="30"/>
        <v>-2</v>
      </c>
      <c r="T89" s="176">
        <f t="shared" si="31"/>
        <v>4</v>
      </c>
      <c r="U89" s="251">
        <f t="shared" si="32"/>
        <v>-1.5114454125310379</v>
      </c>
      <c r="V89" s="383">
        <f t="shared" si="33"/>
        <v>44.106671793599737</v>
      </c>
      <c r="W89" s="402">
        <f t="shared" si="34"/>
        <v>9.7640174048078592</v>
      </c>
      <c r="X89" s="157">
        <f t="shared" si="35"/>
        <v>46097</v>
      </c>
      <c r="Y89" s="385">
        <f t="shared" si="36"/>
        <v>9.11356726356472</v>
      </c>
      <c r="Z89" s="385">
        <f t="shared" si="37"/>
        <v>9.7014447767882199</v>
      </c>
      <c r="AA89" s="386">
        <f t="shared" si="38"/>
        <v>11.28219108918835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0.14010986872177247</v>
      </c>
      <c r="AD89" s="231">
        <f>(INDEX(Models!$BJ89:$BT89,,AH89)*(1-AF89)+INDEX(Models!$BJ89:$BT89,,AH89+1)*AF89-ERP_i)*AE89*Ramure*Pc/MaxiM</f>
        <v>2.5931826825956366E-3</v>
      </c>
      <c r="AE89" s="305">
        <f t="shared" si="40"/>
        <v>0.7</v>
      </c>
      <c r="AF89" s="177">
        <f t="shared" si="41"/>
        <v>1.3542153842941218E-2</v>
      </c>
      <c r="AG89" s="921">
        <f t="shared" si="49"/>
        <v>2</v>
      </c>
      <c r="AH89" s="176">
        <f t="shared" si="42"/>
        <v>8</v>
      </c>
      <c r="AI89" s="225">
        <f t="shared" si="43"/>
        <v>2.0135421538429412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10.573297953313135</v>
      </c>
      <c r="C90" s="955"/>
      <c r="D90" s="393">
        <f t="shared" si="25"/>
        <v>11.255583019109292</v>
      </c>
      <c r="E90" s="385">
        <f t="shared" si="47"/>
        <v>12.218594561571509</v>
      </c>
      <c r="F90" s="385">
        <f t="shared" si="26"/>
        <v>12.218594561571509</v>
      </c>
      <c r="G90" s="110">
        <f t="shared" si="48"/>
        <v>0.23839485948165601</v>
      </c>
      <c r="H90" s="414" t="b">
        <f>Wh_hp&gt;='2025'!Maxi_hp</f>
        <v>0</v>
      </c>
      <c r="I90" s="390">
        <f>IF(H90,Wh_hp,'2025'!Maxi_hp)</f>
        <v>27.107916637934526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6.0617478866958674E-2</v>
      </c>
      <c r="M90" s="959"/>
      <c r="N90" s="959"/>
      <c r="O90" s="48">
        <f>IF(t&lt;Tnet,'2025'!Resal+('2025'!Salim-'2025'!Resal)*(1-EXP(('2025'!Tnet-t)/('2025'!Tau_j))),Resal+(Salim-Resal)*(1-EXP((Tnet-t)/(Tau_j))))*Salcycl</f>
        <v>7.8815246517055931E-2</v>
      </c>
      <c r="P90" s="169">
        <f>(INDEX(Models!$BJ90:$BT90,,T90)*(1-R90)+INDEX(Models!$BJ90:$BT90,,T90+1)*R90-ERP_i)*Q90*Ramure*Pc/MaxiM</f>
        <v>7.9074112225167807E-5</v>
      </c>
      <c r="Q90" s="305">
        <f t="shared" si="28"/>
        <v>0.7</v>
      </c>
      <c r="R90" s="177">
        <f t="shared" si="29"/>
        <v>0.48913277319472637</v>
      </c>
      <c r="S90" s="921">
        <f t="shared" si="30"/>
        <v>-2</v>
      </c>
      <c r="T90" s="176">
        <f t="shared" si="31"/>
        <v>4</v>
      </c>
      <c r="U90" s="251">
        <f t="shared" si="32"/>
        <v>-1.5108672268052736</v>
      </c>
      <c r="V90" s="383">
        <f t="shared" si="33"/>
        <v>44.348531265111916</v>
      </c>
      <c r="W90" s="402">
        <f t="shared" si="34"/>
        <v>10.573297953313135</v>
      </c>
      <c r="X90" s="157">
        <f t="shared" si="35"/>
        <v>46098</v>
      </c>
      <c r="Y90" s="385">
        <f t="shared" si="36"/>
        <v>9.8694943790481915</v>
      </c>
      <c r="Z90" s="385">
        <f t="shared" si="37"/>
        <v>10.506363655930118</v>
      </c>
      <c r="AA90" s="386">
        <f t="shared" si="38"/>
        <v>12.218594561571509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0.14013321229484935</v>
      </c>
      <c r="AD90" s="231">
        <f>(INDEX(Models!$BJ90:$BT90,,AH90)*(1-AF90)+INDEX(Models!$BJ90:$BT90,,AH90+1)*AF90-ERP_i)*AE90*Ramure*Pc/MaxiM</f>
        <v>2.5441038072282398E-3</v>
      </c>
      <c r="AE90" s="305">
        <f t="shared" si="40"/>
        <v>0.7</v>
      </c>
      <c r="AF90" s="177">
        <f t="shared" si="41"/>
        <v>1.4120339568705731E-2</v>
      </c>
      <c r="AG90" s="921">
        <f t="shared" si="49"/>
        <v>2</v>
      </c>
      <c r="AH90" s="176">
        <f t="shared" si="42"/>
        <v>8</v>
      </c>
      <c r="AI90" s="225">
        <f t="shared" si="43"/>
        <v>2.0141203395687057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12.968175564978706</v>
      </c>
      <c r="C91" s="955"/>
      <c r="D91" s="393">
        <f t="shared" si="25"/>
        <v>13.805302223299627</v>
      </c>
      <c r="E91" s="385">
        <f t="shared" si="47"/>
        <v>14.987723140186199</v>
      </c>
      <c r="F91" s="385">
        <f t="shared" si="26"/>
        <v>14.987723140186199</v>
      </c>
      <c r="G91" s="110">
        <f t="shared" si="48"/>
        <v>0.29082949026524862</v>
      </c>
      <c r="H91" s="414" t="b">
        <f>Wh_hp&gt;='2025'!Maxi_hp</f>
        <v>0</v>
      </c>
      <c r="I91" s="390">
        <f>IF(H91,Wh_hp,'2025'!Maxi_hp)</f>
        <v>38.270489516966428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6.0638053755033172E-2</v>
      </c>
      <c r="M91" s="959"/>
      <c r="N91" s="959"/>
      <c r="O91" s="48">
        <f>IF(t&lt;Tnet,'2025'!Resal+('2025'!Salim-'2025'!Resal)*(1-EXP(('2025'!Tnet-t)/('2025'!Tau_j))),Resal+(Salim-Resal)*(1-EXP((Tnet-t)/(Tau_j))))*Salcycl</f>
        <v>7.8892631377489073E-2</v>
      </c>
      <c r="P91" s="169">
        <f>(INDEX(Models!$BJ91:$BT91,,T91)*(1-R91)+INDEX(Models!$BJ91:$BT91,,T91+1)*R91-ERP_i)*Q91*Ramure*Pc/MaxiM</f>
        <v>7.4936239223987803E-5</v>
      </c>
      <c r="Q91" s="305">
        <f t="shared" si="28"/>
        <v>0.7</v>
      </c>
      <c r="R91" s="177">
        <f t="shared" si="29"/>
        <v>0.48973375527335183</v>
      </c>
      <c r="S91" s="921">
        <f t="shared" si="30"/>
        <v>-2</v>
      </c>
      <c r="T91" s="176">
        <f t="shared" si="31"/>
        <v>4</v>
      </c>
      <c r="U91" s="251">
        <f t="shared" si="32"/>
        <v>-1.5102662447266482</v>
      </c>
      <c r="V91" s="383">
        <f t="shared" si="33"/>
        <v>44.586963195670556</v>
      </c>
      <c r="W91" s="402">
        <f t="shared" si="34"/>
        <v>12.968175564978706</v>
      </c>
      <c r="X91" s="157">
        <f t="shared" si="35"/>
        <v>46099</v>
      </c>
      <c r="Y91" s="385">
        <f t="shared" si="36"/>
        <v>12.105639556163929</v>
      </c>
      <c r="Z91" s="385">
        <f t="shared" si="37"/>
        <v>12.88708745820008</v>
      </c>
      <c r="AA91" s="386">
        <f t="shared" si="38"/>
        <v>14.987723140186199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0.14015709139660701</v>
      </c>
      <c r="AD91" s="231">
        <f>(INDEX(Models!$BJ91:$BT91,,AH91)*(1-AF91)+INDEX(Models!$BJ91:$BT91,,AH91+1)*AF91-ERP_i)*AE91*Ramure*Pc/MaxiM</f>
        <v>2.4947231953429817E-3</v>
      </c>
      <c r="AE91" s="305">
        <f t="shared" si="40"/>
        <v>0.7</v>
      </c>
      <c r="AF91" s="177">
        <f t="shared" si="41"/>
        <v>1.4721321647330754E-2</v>
      </c>
      <c r="AG91" s="921">
        <f t="shared" si="49"/>
        <v>2</v>
      </c>
      <c r="AH91" s="176">
        <f t="shared" si="42"/>
        <v>8</v>
      </c>
      <c r="AI91" s="225">
        <f t="shared" si="43"/>
        <v>2.0147213216473308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29.714620870976557</v>
      </c>
      <c r="C92" s="955"/>
      <c r="D92" s="393">
        <f t="shared" si="25"/>
        <v>31.633463363588426</v>
      </c>
      <c r="E92" s="385">
        <f t="shared" si="47"/>
        <v>34.345757946953555</v>
      </c>
      <c r="F92" s="385">
        <f t="shared" si="26"/>
        <v>34.347023367735197</v>
      </c>
      <c r="G92" s="110">
        <f t="shared" si="48"/>
        <v>0.6629291727148241</v>
      </c>
      <c r="H92" s="414" t="b">
        <f>Wh_hp&gt;='2025'!Maxi_hp</f>
        <v>0</v>
      </c>
      <c r="I92" s="390">
        <f>IF(H92,Wh_hp,'2025'!Maxi_hp)</f>
        <v>46.831517578729603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6.0658628192464814E-2</v>
      </c>
      <c r="M92" s="959"/>
      <c r="N92" s="959"/>
      <c r="O92" s="48">
        <f>IF(t&lt;Tnet,'2025'!Resal+('2025'!Salim-'2025'!Resal)*(1-EXP(('2025'!Tnet-t)/('2025'!Tau_j))),Resal+(Salim-Resal)*(1-EXP((Tnet-t)/(Tau_j))))*Salcycl</f>
        <v>7.8970293436360348E-2</v>
      </c>
      <c r="P92" s="169">
        <f>(INDEX(Models!$BJ92:$BT92,,T92)*(1-R92)+INDEX(Models!$BJ92:$BT92,,T92+1)*R92-ERP_i)*Q92*Ramure*Pc/MaxiM</f>
        <v>7.1055038085616207E-5</v>
      </c>
      <c r="Q92" s="305">
        <f t="shared" si="28"/>
        <v>0.7</v>
      </c>
      <c r="R92" s="177">
        <f t="shared" si="29"/>
        <v>0.49035837088755829</v>
      </c>
      <c r="S92" s="921">
        <f t="shared" si="30"/>
        <v>-2</v>
      </c>
      <c r="T92" s="176">
        <f t="shared" si="31"/>
        <v>4</v>
      </c>
      <c r="U92" s="251">
        <f t="shared" si="32"/>
        <v>-1.5096416291124417</v>
      </c>
      <c r="V92" s="383">
        <f t="shared" si="33"/>
        <v>44.8216874980535</v>
      </c>
      <c r="W92" s="402">
        <f t="shared" si="34"/>
        <v>29.714620870976557</v>
      </c>
      <c r="X92" s="157">
        <f t="shared" si="35"/>
        <v>46100</v>
      </c>
      <c r="Y92" s="385">
        <f t="shared" si="36"/>
        <v>27.705652297488296</v>
      </c>
      <c r="Z92" s="385">
        <f t="shared" si="37"/>
        <v>29.494764234833468</v>
      </c>
      <c r="AA92" s="386">
        <f t="shared" si="38"/>
        <v>34.30347938664751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0.14018155702554816</v>
      </c>
      <c r="AD92" s="231">
        <f>(INDEX(Models!$BJ92:$BT92,,AH92)*(1-AF92)+INDEX(Models!$BJ92:$BT92,,AH92+1)*AF92-ERP_i)*AE92*Ramure*Pc/MaxiM</f>
        <v>2.4450517009526177E-3</v>
      </c>
      <c r="AE92" s="305">
        <f t="shared" si="40"/>
        <v>0.7</v>
      </c>
      <c r="AF92" s="177">
        <f t="shared" si="41"/>
        <v>1.5345937261537657E-2</v>
      </c>
      <c r="AG92" s="921">
        <f t="shared" si="49"/>
        <v>2</v>
      </c>
      <c r="AH92" s="176">
        <f t="shared" si="42"/>
        <v>8</v>
      </c>
      <c r="AI92" s="225">
        <f t="shared" si="43"/>
        <v>2.0153459372615377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30.636408944244604</v>
      </c>
      <c r="C93" s="955"/>
      <c r="D93" s="393">
        <f t="shared" si="25"/>
        <v>32.615490911435529</v>
      </c>
      <c r="E93" s="385">
        <f t="shared" si="47"/>
        <v>35.414983865399797</v>
      </c>
      <c r="F93" s="385">
        <f t="shared" si="26"/>
        <v>35.416280092372041</v>
      </c>
      <c r="G93" s="110">
        <f t="shared" si="48"/>
        <v>0.67996404980738134</v>
      </c>
      <c r="H93" s="414" t="b">
        <f>Wh_hp&gt;='2025'!Maxi_hp</f>
        <v>0</v>
      </c>
      <c r="I93" s="390">
        <f>IF(H93,Wh_hp,'2025'!Maxi_hp)</f>
        <v>53.139538604347429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6.0679202179263481E-2</v>
      </c>
      <c r="M93" s="959"/>
      <c r="N93" s="959"/>
      <c r="O93" s="48">
        <f>IF(t&lt;Tnet,'2025'!Resal+('2025'!Salim-'2025'!Resal)*(1-EXP(('2025'!Tnet-t)/('2025'!Tau_j))),Resal+(Salim-Resal)*(1-EXP((Tnet-t)/(Tau_j))))*Salcycl</f>
        <v>7.9048262865350452E-2</v>
      </c>
      <c r="P93" s="169">
        <f>(INDEX(Models!$BJ93:$BT93,,T93)*(1-R93)+INDEX(Models!$BJ93:$BT93,,T93+1)*R93-ERP_i)*Q93*Ramure*Pc/MaxiM</f>
        <v>6.74232504548758E-5</v>
      </c>
      <c r="Q93" s="305">
        <f t="shared" si="28"/>
        <v>0.7</v>
      </c>
      <c r="R93" s="177">
        <f t="shared" si="29"/>
        <v>0.49100748287017981</v>
      </c>
      <c r="S93" s="921">
        <f t="shared" si="30"/>
        <v>-2</v>
      </c>
      <c r="T93" s="176">
        <f t="shared" si="31"/>
        <v>4</v>
      </c>
      <c r="U93" s="251">
        <f t="shared" si="32"/>
        <v>-1.5089925171298202</v>
      </c>
      <c r="V93" s="383">
        <f t="shared" si="33"/>
        <v>45.054535746372238</v>
      </c>
      <c r="W93" s="402">
        <f t="shared" si="34"/>
        <v>30.636408944244604</v>
      </c>
      <c r="X93" s="157">
        <f t="shared" si="35"/>
        <v>46101</v>
      </c>
      <c r="Y93" s="385">
        <f t="shared" si="36"/>
        <v>28.565772399499004</v>
      </c>
      <c r="Z93" s="385">
        <f t="shared" si="37"/>
        <v>30.411093276943074</v>
      </c>
      <c r="AA93" s="386">
        <f t="shared" si="38"/>
        <v>35.370235966090434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0.14020666115718616</v>
      </c>
      <c r="AD93" s="231">
        <f>(INDEX(Models!$BJ93:$BT93,,AH93)*(1-AF93)+INDEX(Models!$BJ93:$BT93,,AH93+1)*AF93-ERP_i)*AE93*Ramure*Pc/MaxiM</f>
        <v>2.3949853881525258E-3</v>
      </c>
      <c r="AE93" s="305">
        <f t="shared" si="40"/>
        <v>0.7</v>
      </c>
      <c r="AF93" s="177">
        <f t="shared" si="41"/>
        <v>1.5995049244159176E-2</v>
      </c>
      <c r="AG93" s="921">
        <f t="shared" si="49"/>
        <v>2</v>
      </c>
      <c r="AH93" s="176">
        <f t="shared" si="42"/>
        <v>8</v>
      </c>
      <c r="AI93" s="225">
        <f t="shared" si="43"/>
        <v>2.0159950492441592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44.177868253023789</v>
      </c>
      <c r="C94" s="955"/>
      <c r="D94" s="393">
        <f t="shared" si="25"/>
        <v>47.032745346859521</v>
      </c>
      <c r="E94" s="385">
        <f t="shared" si="47"/>
        <v>51.074060597484852</v>
      </c>
      <c r="F94" s="385">
        <f t="shared" si="26"/>
        <v>51.077218061706844</v>
      </c>
      <c r="G94" s="110">
        <f t="shared" si="48"/>
        <v>0.97550471920886517</v>
      </c>
      <c r="H94" s="414" t="b">
        <f>Wh_hp&gt;='2025'!Maxi_hp</f>
        <v>0</v>
      </c>
      <c r="I94" s="390">
        <f>IF(H94,Wh_hp,'2025'!Maxi_hp)</f>
        <v>53.219933275475654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6.0699775715439053E-2</v>
      </c>
      <c r="M94" s="959"/>
      <c r="N94" s="959"/>
      <c r="O94" s="48">
        <f>IF(t&lt;Tnet,'2025'!Resal+('2025'!Salim-'2025'!Resal)*(1-EXP(('2025'!Tnet-t)/('2025'!Tau_j))),Resal+(Salim-Resal)*(1-EXP((Tnet-t)/(Tau_j))))*Salcycl</f>
        <v>7.9126570383251271E-2</v>
      </c>
      <c r="P94" s="169">
        <f>(INDEX(Models!$BJ94:$BT94,,T94)*(1-R94)+INDEX(Models!$BJ94:$BT94,,T94+1)*R94-ERP_i)*Q94*Ramure*Pc/MaxiM</f>
        <v>6.4058895993283462E-5</v>
      </c>
      <c r="Q94" s="305">
        <f t="shared" si="28"/>
        <v>0.7</v>
      </c>
      <c r="R94" s="177">
        <f t="shared" si="29"/>
        <v>0.49168198005988017</v>
      </c>
      <c r="S94" s="921">
        <f t="shared" si="30"/>
        <v>-2</v>
      </c>
      <c r="T94" s="176">
        <f t="shared" si="31"/>
        <v>4</v>
      </c>
      <c r="U94" s="251">
        <f t="shared" si="32"/>
        <v>-1.5083180199401198</v>
      </c>
      <c r="V94" s="383">
        <f t="shared" si="33"/>
        <v>45.287089191283762</v>
      </c>
      <c r="W94" s="402">
        <f t="shared" si="34"/>
        <v>44.177868253023789</v>
      </c>
      <c r="X94" s="157">
        <f t="shared" si="35"/>
        <v>46102</v>
      </c>
      <c r="Y94" s="385">
        <f t="shared" si="36"/>
        <v>41.155609785390837</v>
      </c>
      <c r="Z94" s="385">
        <f t="shared" si="37"/>
        <v>43.815181473780576</v>
      </c>
      <c r="AA94" s="386">
        <f t="shared" si="38"/>
        <v>50.961660286822251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0.14023245657264474</v>
      </c>
      <c r="AD94" s="231">
        <f>(INDEX(Models!$BJ94:$BT94,,AH94)*(1-AF94)+INDEX(Models!$BJ94:$BT94,,AH94+1)*AF94-ERP_i)*AE94*Ramure*Pc/MaxiM</f>
        <v>2.3444457203905902E-3</v>
      </c>
      <c r="AE94" s="305">
        <f t="shared" si="40"/>
        <v>0.7</v>
      </c>
      <c r="AF94" s="177">
        <f t="shared" si="41"/>
        <v>1.6669546433859317E-2</v>
      </c>
      <c r="AG94" s="921">
        <f t="shared" si="49"/>
        <v>2</v>
      </c>
      <c r="AH94" s="176">
        <f t="shared" si="42"/>
        <v>8</v>
      </c>
      <c r="AI94" s="225">
        <f t="shared" si="43"/>
        <v>2.0166695464338593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38.984914693589396</v>
      </c>
      <c r="C95" s="955"/>
      <c r="D95" s="393">
        <f t="shared" si="25"/>
        <v>41.505120060702701</v>
      </c>
      <c r="E95" s="385">
        <f t="shared" si="47"/>
        <v>45.075322087517996</v>
      </c>
      <c r="F95" s="385">
        <f t="shared" si="26"/>
        <v>45.077506169974534</v>
      </c>
      <c r="G95" s="110">
        <f t="shared" si="48"/>
        <v>0.85644871476347562</v>
      </c>
      <c r="H95" s="414" t="b">
        <f>Wh_hp&gt;='2025'!Maxi_hp</f>
        <v>0</v>
      </c>
      <c r="I95" s="390">
        <f>IF(H95,Wh_hp,'2025'!Maxi_hp)</f>
        <v>52.117627843898426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6.0720348801001411E-2</v>
      </c>
      <c r="M95" s="959"/>
      <c r="N95" s="959"/>
      <c r="O95" s="48">
        <f>IF(t&lt;Tnet,'2025'!Resal+('2025'!Salim-'2025'!Resal)*(1-EXP(('2025'!Tnet-t)/('2025'!Tau_j))),Resal+(Salim-Resal)*(1-EXP((Tnet-t)/(Tau_j))))*Salcycl</f>
        <v>7.9205247161260622E-2</v>
      </c>
      <c r="P95" s="169">
        <f>(INDEX(Models!$BJ95:$BT95,,T95)*(1-R95)+INDEX(Models!$BJ95:$BT95,,T95+1)*R95-ERP_i)*Q95*Ramure*Pc/MaxiM</f>
        <v>6.0949997277254107E-5</v>
      </c>
      <c r="Q95" s="305">
        <f t="shared" si="28"/>
        <v>0.7</v>
      </c>
      <c r="R95" s="177">
        <f t="shared" si="29"/>
        <v>0.49238277762105476</v>
      </c>
      <c r="S95" s="921">
        <f t="shared" si="30"/>
        <v>-2</v>
      </c>
      <c r="T95" s="176">
        <f t="shared" si="31"/>
        <v>4</v>
      </c>
      <c r="U95" s="251">
        <f t="shared" si="32"/>
        <v>-1.5076172223789452</v>
      </c>
      <c r="V95" s="383">
        <f t="shared" si="33"/>
        <v>45.51869452715146</v>
      </c>
      <c r="W95" s="402">
        <f t="shared" si="34"/>
        <v>38.984914693589396</v>
      </c>
      <c r="X95" s="157">
        <f t="shared" si="35"/>
        <v>46103</v>
      </c>
      <c r="Y95" s="385">
        <f t="shared" si="36"/>
        <v>36.33535631035469</v>
      </c>
      <c r="Z95" s="385">
        <f t="shared" si="37"/>
        <v>38.684279238853193</v>
      </c>
      <c r="AA95" s="386">
        <f t="shared" si="38"/>
        <v>44.995270773218401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0.14025899668819355</v>
      </c>
      <c r="AD95" s="231">
        <f>(INDEX(Models!$BJ95:$BT95,,AH95)*(1-AF95)+INDEX(Models!$BJ95:$BT95,,AH95+1)*AF95-ERP_i)*AE95*Ramure*Pc/MaxiM</f>
        <v>2.2948983420414413E-3</v>
      </c>
      <c r="AE95" s="305">
        <f t="shared" si="40"/>
        <v>0.7</v>
      </c>
      <c r="AF95" s="177">
        <f t="shared" si="41"/>
        <v>1.7370343995033899E-2</v>
      </c>
      <c r="AG95" s="921">
        <f t="shared" si="49"/>
        <v>2</v>
      </c>
      <c r="AH95" s="176">
        <f t="shared" si="42"/>
        <v>8</v>
      </c>
      <c r="AI95" s="225">
        <f t="shared" si="43"/>
        <v>2.0173703439950339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45.906688189216418</v>
      </c>
      <c r="C96" s="955"/>
      <c r="D96" s="393">
        <f t="shared" si="25"/>
        <v>48.875426638834931</v>
      </c>
      <c r="E96" s="385">
        <f t="shared" si="47"/>
        <v>53.084169143145992</v>
      </c>
      <c r="F96" s="385">
        <f t="shared" si="26"/>
        <v>53.087253194145475</v>
      </c>
      <c r="G96" s="110">
        <f t="shared" si="48"/>
        <v>1.0034534301766027</v>
      </c>
      <c r="H96" s="414" t="b">
        <f>Wh_hp&gt;='2025'!Maxi_hp</f>
        <v>1</v>
      </c>
      <c r="I96" s="390">
        <f>IF(H96,Wh_hp,'2025'!Maxi_hp)</f>
        <v>53.087253194145475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6.0740921435960327E-2</v>
      </c>
      <c r="M96" s="959"/>
      <c r="N96" s="959"/>
      <c r="O96" s="48">
        <f>IF(t&lt;Tnet,'2025'!Resal+('2025'!Salim-'2025'!Resal)*(1-EXP(('2025'!Tnet-t)/('2025'!Tau_j))),Resal+(Salim-Resal)*(1-EXP((Tnet-t)/(Tau_j))))*Salcycl</f>
        <v>7.9284324728938094E-2</v>
      </c>
      <c r="P96" s="169">
        <f>(INDEX(Models!$BJ96:$BT96,,T96)*(1-R96)+INDEX(Models!$BJ96:$BT96,,T96+1)*R96-ERP_i)*Q96*Ramure*Pc/MaxiM</f>
        <v>5.809400211775087E-5</v>
      </c>
      <c r="Q96" s="305">
        <f t="shared" si="28"/>
        <v>0.7</v>
      </c>
      <c r="R96" s="177">
        <f t="shared" si="29"/>
        <v>0.49311081732334938</v>
      </c>
      <c r="S96" s="921">
        <f t="shared" si="30"/>
        <v>-2</v>
      </c>
      <c r="T96" s="176">
        <f t="shared" si="31"/>
        <v>4</v>
      </c>
      <c r="U96" s="251">
        <f t="shared" si="32"/>
        <v>-1.5068891826766506</v>
      </c>
      <c r="V96" s="383">
        <f t="shared" si="33"/>
        <v>45.748698254125323</v>
      </c>
      <c r="W96" s="402">
        <f t="shared" si="34"/>
        <v>45.906688189216418</v>
      </c>
      <c r="X96" s="157">
        <f t="shared" si="35"/>
        <v>46104</v>
      </c>
      <c r="Y96" s="385">
        <f t="shared" si="36"/>
        <v>42.771335072495262</v>
      </c>
      <c r="Z96" s="385">
        <f t="shared" si="37"/>
        <v>45.537313451241843</v>
      </c>
      <c r="AA96" s="386">
        <f t="shared" si="38"/>
        <v>52.968000074453933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0.14028633538678492</v>
      </c>
      <c r="AD96" s="231">
        <f>(INDEX(Models!$BJ96:$BT96,,AH96)*(1-AF96)+INDEX(Models!$BJ96:$BT96,,AH96+1)*AF96-ERP_i)*AE96*Ramure*Pc/MaxiM</f>
        <v>2.2463607083873386E-3</v>
      </c>
      <c r="AE96" s="305">
        <f t="shared" si="40"/>
        <v>0.7</v>
      </c>
      <c r="AF96" s="177">
        <f t="shared" si="41"/>
        <v>1.8098383697328746E-2</v>
      </c>
      <c r="AG96" s="921">
        <f t="shared" si="49"/>
        <v>2</v>
      </c>
      <c r="AH96" s="176">
        <f t="shared" si="42"/>
        <v>8</v>
      </c>
      <c r="AI96" s="225">
        <f t="shared" si="43"/>
        <v>2.0180983836973287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43.209380712038531</v>
      </c>
      <c r="C97" s="955"/>
      <c r="D97" s="393">
        <f t="shared" si="25"/>
        <v>46.004694673976381</v>
      </c>
      <c r="E97" s="385">
        <f t="shared" si="47"/>
        <v>49.97054908010098</v>
      </c>
      <c r="F97" s="385">
        <f t="shared" si="26"/>
        <v>49.973083596493439</v>
      </c>
      <c r="G97" s="110">
        <f t="shared" si="48"/>
        <v>0.93981108327601837</v>
      </c>
      <c r="H97" s="414" t="b">
        <f>Wh_hp&gt;='2025'!Maxi_hp</f>
        <v>0</v>
      </c>
      <c r="I97" s="390">
        <f>IF(H97,Wh_hp,'2025'!Maxi_hp)</f>
        <v>52.635831121779191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6.076149362032579E-2</v>
      </c>
      <c r="M97" s="959"/>
      <c r="N97" s="959"/>
      <c r="O97" s="48">
        <f>IF(t&lt;Tnet,'2025'!Resal+('2025'!Salim-'2025'!Resal)*(1-EXP(('2025'!Tnet-t)/('2025'!Tau_j))),Resal+(Salim-Resal)*(1-EXP((Tnet-t)/(Tau_j))))*Salcycl</f>
        <v>7.936383488137129E-2</v>
      </c>
      <c r="P97" s="169">
        <f>(INDEX(Models!$BJ97:$BT97,,T97)*(1-R97)+INDEX(Models!$BJ97:$BT97,,T97+1)*R97-ERP_i)*Q97*Ramure*Pc/MaxiM</f>
        <v>5.54883988829166E-5</v>
      </c>
      <c r="Q97" s="305">
        <f t="shared" si="28"/>
        <v>0.7</v>
      </c>
      <c r="R97" s="177">
        <f t="shared" si="29"/>
        <v>0.49386706777590916</v>
      </c>
      <c r="S97" s="921">
        <f t="shared" si="30"/>
        <v>-2</v>
      </c>
      <c r="T97" s="176">
        <f t="shared" si="31"/>
        <v>4</v>
      </c>
      <c r="U97" s="251">
        <f t="shared" si="32"/>
        <v>-1.5061329322240908</v>
      </c>
      <c r="V97" s="383">
        <f t="shared" si="33"/>
        <v>45.976447105751419</v>
      </c>
      <c r="W97" s="402">
        <f t="shared" si="34"/>
        <v>43.209380712038531</v>
      </c>
      <c r="X97" s="157">
        <f t="shared" si="35"/>
        <v>46105</v>
      </c>
      <c r="Y97" s="385">
        <f t="shared" si="36"/>
        <v>40.269654612288626</v>
      </c>
      <c r="Z97" s="385">
        <f t="shared" si="37"/>
        <v>42.874790949009679</v>
      </c>
      <c r="AA97" s="386">
        <f t="shared" si="38"/>
        <v>49.872647948833986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0.14031452685254744</v>
      </c>
      <c r="AD97" s="231">
        <f>(INDEX(Models!$BJ97:$BT97,,AH97)*(1-AF97)+INDEX(Models!$BJ97:$BT97,,AH97+1)*AF97-ERP_i)*AE97*Ramure*Pc/MaxiM</f>
        <v>2.1988468080083997E-3</v>
      </c>
      <c r="AE97" s="305">
        <f t="shared" si="40"/>
        <v>0.7</v>
      </c>
      <c r="AF97" s="177">
        <f t="shared" si="41"/>
        <v>1.8854634149888305E-2</v>
      </c>
      <c r="AG97" s="921">
        <f t="shared" si="49"/>
        <v>2</v>
      </c>
      <c r="AH97" s="176">
        <f t="shared" si="42"/>
        <v>8</v>
      </c>
      <c r="AI97" s="225">
        <f t="shared" si="43"/>
        <v>2.0188546341498883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39.33656883447518</v>
      </c>
      <c r="C98" s="955"/>
      <c r="D98" s="393">
        <f t="shared" si="25"/>
        <v>41.882259040662383</v>
      </c>
      <c r="E98" s="385">
        <f t="shared" si="47"/>
        <v>45.496689367674044</v>
      </c>
      <c r="F98" s="385">
        <f t="shared" si="26"/>
        <v>45.498593627721228</v>
      </c>
      <c r="G98" s="110">
        <f t="shared" si="48"/>
        <v>0.85140754399725338</v>
      </c>
      <c r="H98" s="414" t="b">
        <f>Wh_hp&gt;='2025'!Maxi_hp</f>
        <v>0</v>
      </c>
      <c r="I98" s="390">
        <f>IF(H98,Wh_hp,'2025'!Maxi_hp)</f>
        <v>47.578792902284313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6.0782065354107573E-2</v>
      </c>
      <c r="M98" s="959"/>
      <c r="N98" s="959"/>
      <c r="O98" s="48">
        <f>IF(t&lt;Tnet,'2025'!Resal+('2025'!Salim-'2025'!Resal)*(1-EXP(('2025'!Tnet-t)/('2025'!Tau_j))),Resal+(Salim-Resal)*(1-EXP((Tnet-t)/(Tau_j))))*Salcycl</f>
        <v>7.9443809588039122E-2</v>
      </c>
      <c r="P98" s="169">
        <f>(INDEX(Models!$BJ98:$BT98,,T98)*(1-R98)+INDEX(Models!$BJ98:$BT98,,T98+1)*R98-ERP_i)*Q98*Ramure*Pc/MaxiM</f>
        <v>5.3130763467113261E-5</v>
      </c>
      <c r="Q98" s="305">
        <f t="shared" si="28"/>
        <v>0.7</v>
      </c>
      <c r="R98" s="177">
        <f t="shared" si="29"/>
        <v>0.49465252461115639</v>
      </c>
      <c r="S98" s="921">
        <f t="shared" si="30"/>
        <v>-2</v>
      </c>
      <c r="T98" s="176">
        <f t="shared" si="31"/>
        <v>4</v>
      </c>
      <c r="U98" s="251">
        <f t="shared" si="32"/>
        <v>-1.5053474753888436</v>
      </c>
      <c r="V98" s="383">
        <f t="shared" si="33"/>
        <v>46.201288056616242</v>
      </c>
      <c r="W98" s="402">
        <f t="shared" si="34"/>
        <v>39.33656883447518</v>
      </c>
      <c r="X98" s="157">
        <f t="shared" si="35"/>
        <v>46106</v>
      </c>
      <c r="Y98" s="385">
        <f t="shared" si="36"/>
        <v>36.673492009498702</v>
      </c>
      <c r="Z98" s="385">
        <f t="shared" si="37"/>
        <v>39.046839563732867</v>
      </c>
      <c r="AA98" s="386">
        <f t="shared" si="38"/>
        <v>45.421450614280303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0.1403436254090768</v>
      </c>
      <c r="AD98" s="231">
        <f>(INDEX(Models!$BJ98:$BT98,,AH98)*(1-AF98)+INDEX(Models!$BJ98:$BT98,,AH98+1)*AF98-ERP_i)*AE98*Ramure*Pc/MaxiM</f>
        <v>2.15236737563063E-3</v>
      </c>
      <c r="AE98" s="305">
        <f t="shared" si="40"/>
        <v>0.7</v>
      </c>
      <c r="AF98" s="177">
        <f t="shared" si="41"/>
        <v>1.964009098513575E-2</v>
      </c>
      <c r="AG98" s="921">
        <f t="shared" si="49"/>
        <v>2</v>
      </c>
      <c r="AH98" s="176">
        <f t="shared" si="42"/>
        <v>8</v>
      </c>
      <c r="AI98" s="225">
        <f t="shared" si="43"/>
        <v>2.0196400909851357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42.72765587097436</v>
      </c>
      <c r="C99" s="955"/>
      <c r="D99" s="393">
        <f t="shared" si="25"/>
        <v>45.493798787927886</v>
      </c>
      <c r="E99" s="385">
        <f t="shared" si="47"/>
        <v>49.424224717841689</v>
      </c>
      <c r="F99" s="385">
        <f t="shared" si="26"/>
        <v>49.426459670966153</v>
      </c>
      <c r="G99" s="110">
        <f t="shared" si="48"/>
        <v>0.92040163931124819</v>
      </c>
      <c r="H99" s="414" t="b">
        <f>Wh_hp&gt;='2025'!Maxi_hp</f>
        <v>0</v>
      </c>
      <c r="I99" s="390">
        <f>IF(H99,Wh_hp,'2025'!Maxi_hp)</f>
        <v>56.081839676566283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6.0802636637315555E-2</v>
      </c>
      <c r="M99" s="959"/>
      <c r="N99" s="959"/>
      <c r="O99" s="48">
        <f>IF(t&lt;Tnet,'2025'!Resal+('2025'!Salim-'2025'!Resal)*(1-EXP(('2025'!Tnet-t)/('2025'!Tau_j))),Resal+(Salim-Resal)*(1-EXP((Tnet-t)/(Tau_j))))*Salcycl</f>
        <v>7.9524280903792391E-2</v>
      </c>
      <c r="P99" s="169">
        <f>(INDEX(Models!$BJ99:$BT99,,T99)*(1-R99)+INDEX(Models!$BJ99:$BT99,,T99+1)*R99-ERP_i)*Q99*Ramure*Pc/MaxiM</f>
        <v>5.101880481147892E-5</v>
      </c>
      <c r="Q99" s="305">
        <f t="shared" si="28"/>
        <v>0.7</v>
      </c>
      <c r="R99" s="177">
        <f t="shared" si="29"/>
        <v>0.49546821061256008</v>
      </c>
      <c r="S99" s="921">
        <f t="shared" si="30"/>
        <v>-2</v>
      </c>
      <c r="T99" s="176">
        <f t="shared" si="31"/>
        <v>4</v>
      </c>
      <c r="U99" s="251">
        <f t="shared" si="32"/>
        <v>-1.5045317893874399</v>
      </c>
      <c r="V99" s="383">
        <f t="shared" si="33"/>
        <v>46.422568332360775</v>
      </c>
      <c r="W99" s="402">
        <f t="shared" si="34"/>
        <v>42.72765587097436</v>
      </c>
      <c r="X99" s="157">
        <f t="shared" si="35"/>
        <v>46107</v>
      </c>
      <c r="Y99" s="385">
        <f t="shared" si="36"/>
        <v>39.830368686501366</v>
      </c>
      <c r="Z99" s="385">
        <f t="shared" si="37"/>
        <v>42.408944318043517</v>
      </c>
      <c r="AA99" s="386">
        <f t="shared" si="38"/>
        <v>49.334162526090644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0.14037368536224137</v>
      </c>
      <c r="AD99" s="231">
        <f>(INDEX(Models!$BJ99:$BT99,,AH99)*(1-AF99)+INDEX(Models!$BJ99:$BT99,,AH99+1)*AF99-ERP_i)*AE99*Ramure*Pc/MaxiM</f>
        <v>2.1069301040412191E-3</v>
      </c>
      <c r="AE99" s="305">
        <f t="shared" si="40"/>
        <v>0.7</v>
      </c>
      <c r="AF99" s="177">
        <f t="shared" si="41"/>
        <v>2.045577698653922E-2</v>
      </c>
      <c r="AG99" s="921">
        <f t="shared" si="49"/>
        <v>2</v>
      </c>
      <c r="AH99" s="176">
        <f t="shared" si="42"/>
        <v>8</v>
      </c>
      <c r="AI99" s="225">
        <f t="shared" si="43"/>
        <v>2.0204557769865392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43.430515752117287</v>
      </c>
      <c r="C100" s="955"/>
      <c r="D100" s="393">
        <f t="shared" si="25"/>
        <v>46.243173913103405</v>
      </c>
      <c r="E100" s="385">
        <f t="shared" si="47"/>
        <v>50.242763189072448</v>
      </c>
      <c r="F100" s="385">
        <f t="shared" si="26"/>
        <v>50.244992479887649</v>
      </c>
      <c r="G100" s="110">
        <f t="shared" si="48"/>
        <v>0.93118884128634605</v>
      </c>
      <c r="H100" s="414" t="b">
        <f>Wh_hp&gt;='2025'!Maxi_hp</f>
        <v>0</v>
      </c>
      <c r="I100" s="390">
        <f>IF(H100,Wh_hp,'2025'!Maxi_hp)</f>
        <v>55.275486537639232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6.0823207469959728E-2</v>
      </c>
      <c r="M100" s="959"/>
      <c r="N100" s="959"/>
      <c r="O100" s="48">
        <f>IF(t&lt;Tnet,'2025'!Resal+('2025'!Salim-'2025'!Resal)*(1-EXP(('2025'!Tnet-t)/('2025'!Tau_j))),Resal+(Salim-Resal)*(1-EXP((Tnet-t)/(Tau_j))))*Salcycl</f>
        <v>7.9605280882300858E-2</v>
      </c>
      <c r="P100" s="169">
        <f>(INDEX(Models!$BJ100:$BT100,,T100)*(1-R100)+INDEX(Models!$BJ100:$BT100,,T100+1)*R100-ERP_i)*Q100*Ramure*Pc/MaxiM</f>
        <v>4.9205037793488839E-5</v>
      </c>
      <c r="Q100" s="305">
        <f t="shared" si="28"/>
        <v>0.7</v>
      </c>
      <c r="R100" s="177">
        <f t="shared" si="29"/>
        <v>0.49631517578052464</v>
      </c>
      <c r="S100" s="921">
        <f t="shared" si="30"/>
        <v>-2</v>
      </c>
      <c r="T100" s="176">
        <f t="shared" si="31"/>
        <v>4</v>
      </c>
      <c r="U100" s="251">
        <f t="shared" si="32"/>
        <v>-1.5036848242194754</v>
      </c>
      <c r="V100" s="383">
        <f t="shared" si="33"/>
        <v>46.639632865336353</v>
      </c>
      <c r="W100" s="402">
        <f t="shared" si="34"/>
        <v>43.430515752117287</v>
      </c>
      <c r="X100" s="157">
        <f t="shared" si="35"/>
        <v>46108</v>
      </c>
      <c r="Y100" s="385">
        <f t="shared" si="36"/>
        <v>40.487926443340235</v>
      </c>
      <c r="Z100" s="385">
        <f t="shared" si="37"/>
        <v>43.110015883452739</v>
      </c>
      <c r="AA100" s="386">
        <f t="shared" si="38"/>
        <v>50.151529370946378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0.14040476084808901</v>
      </c>
      <c r="AD100" s="231">
        <f>(INDEX(Models!$BJ100:$BT100,,AH100)*(1-AF100)+INDEX(Models!$BJ100:$BT100,,AH100+1)*AF100-ERP_i)*AE100*Ramure*Pc/MaxiM</f>
        <v>2.0629232293920045E-3</v>
      </c>
      <c r="AE100" s="305">
        <f t="shared" si="40"/>
        <v>0.7</v>
      </c>
      <c r="AF100" s="177">
        <f t="shared" si="41"/>
        <v>2.1302742154504006E-2</v>
      </c>
      <c r="AG100" s="921">
        <f t="shared" si="49"/>
        <v>2</v>
      </c>
      <c r="AH100" s="176">
        <f t="shared" si="42"/>
        <v>8</v>
      </c>
      <c r="AI100" s="225">
        <f t="shared" si="43"/>
        <v>2.021302742154504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33.319371328679765</v>
      </c>
      <c r="C101" s="955"/>
      <c r="D101" s="393">
        <f t="shared" si="25"/>
        <v>35.477986029283628</v>
      </c>
      <c r="E101" s="385">
        <f t="shared" si="47"/>
        <v>38.549906302338911</v>
      </c>
      <c r="F101" s="385">
        <f t="shared" si="26"/>
        <v>38.55098165271415</v>
      </c>
      <c r="G101" s="110">
        <f t="shared" si="48"/>
        <v>0.71115071190481594</v>
      </c>
      <c r="H101" s="414" t="b">
        <f>Wh_hp&gt;='2025'!Maxi_hp</f>
        <v>0</v>
      </c>
      <c r="I101" s="390">
        <f>IF(H101,Wh_hp,'2025'!Maxi_hp)</f>
        <v>54.062253279945516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6.0843777852049863E-2</v>
      </c>
      <c r="M101" s="959"/>
      <c r="N101" s="959"/>
      <c r="O101" s="48">
        <f>IF(t&lt;Tnet,'2025'!Resal+('2025'!Salim-'2025'!Resal)*(1-EXP(('2025'!Tnet-t)/('2025'!Tau_j))),Resal+(Salim-Resal)*(1-EXP((Tnet-t)/(Tau_j))))*Salcycl</f>
        <v>7.9686841492242616E-2</v>
      </c>
      <c r="P101" s="169">
        <f>(INDEX(Models!$BJ101:$BT101,,T101)*(1-R101)+INDEX(Models!$BJ101:$BT101,,T101+1)*R101-ERP_i)*Q101*Ramure*Pc/MaxiM</f>
        <v>4.7489415372300383E-5</v>
      </c>
      <c r="Q101" s="305">
        <f t="shared" si="28"/>
        <v>0.7</v>
      </c>
      <c r="R101" s="177">
        <f t="shared" si="29"/>
        <v>0.49719449733018894</v>
      </c>
      <c r="S101" s="921">
        <f t="shared" si="30"/>
        <v>-2</v>
      </c>
      <c r="T101" s="176">
        <f t="shared" si="31"/>
        <v>4</v>
      </c>
      <c r="U101" s="251">
        <f t="shared" si="32"/>
        <v>-1.5028055026698111</v>
      </c>
      <c r="V101" s="383">
        <f t="shared" si="33"/>
        <v>46.851838652222924</v>
      </c>
      <c r="W101" s="402">
        <f t="shared" si="34"/>
        <v>33.319371328679765</v>
      </c>
      <c r="X101" s="157">
        <f t="shared" si="35"/>
        <v>46109</v>
      </c>
      <c r="Y101" s="385">
        <f t="shared" si="36"/>
        <v>31.083894606154519</v>
      </c>
      <c r="Z101" s="385">
        <f t="shared" si="37"/>
        <v>33.09768265716469</v>
      </c>
      <c r="AA101" s="386">
        <f t="shared" si="38"/>
        <v>38.505239319972524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0.14043690568631148</v>
      </c>
      <c r="AD101" s="231">
        <f>(INDEX(Models!$BJ101:$BT101,,AH101)*(1-AF101)+INDEX(Models!$BJ101:$BT101,,AH101+1)*AF101-ERP_i)*AE101*Ramure*Pc/MaxiM</f>
        <v>2.0200640551083942E-3</v>
      </c>
      <c r="AE101" s="305">
        <f t="shared" si="40"/>
        <v>0.7</v>
      </c>
      <c r="AF101" s="177">
        <f t="shared" si="41"/>
        <v>2.2182063704168087E-2</v>
      </c>
      <c r="AG101" s="921">
        <f t="shared" si="49"/>
        <v>2</v>
      </c>
      <c r="AH101" s="176">
        <f t="shared" si="42"/>
        <v>8</v>
      </c>
      <c r="AI101" s="225">
        <f t="shared" si="43"/>
        <v>2.0221820637041681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26.258788361133245</v>
      </c>
      <c r="C102" s="955"/>
      <c r="D102" s="393">
        <f t="shared" si="25"/>
        <v>27.960591528136824</v>
      </c>
      <c r="E102" s="385">
        <f t="shared" si="47"/>
        <v>30.384318026810895</v>
      </c>
      <c r="F102" s="385">
        <f t="shared" si="26"/>
        <v>30.3848317397375</v>
      </c>
      <c r="G102" s="110">
        <f t="shared" si="48"/>
        <v>0.5579865261683572</v>
      </c>
      <c r="H102" s="414" t="b">
        <f>Wh_hp&gt;='2025'!Maxi_hp</f>
        <v>0</v>
      </c>
      <c r="I102" s="390">
        <f>IF(H102,Wh_hp,'2025'!Maxi_hp)</f>
        <v>54.934926813744624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6.0864347783595729E-2</v>
      </c>
      <c r="M102" s="959"/>
      <c r="N102" s="959"/>
      <c r="O102" s="48">
        <f>IF(t&lt;Tnet,'2025'!Resal+('2025'!Salim-'2025'!Resal)*(1-EXP(('2025'!Tnet-t)/('2025'!Tau_j))),Resal+(Salim-Resal)*(1-EXP((Tnet-t)/(Tau_j))))*Salcycl</f>
        <v>7.976899453643789E-2</v>
      </c>
      <c r="P102" s="169">
        <f>(INDEX(Models!$BJ102:$BT102,,T102)*(1-R102)+INDEX(Models!$BJ102:$BT102,,T102+1)*R102-ERP_i)*Q102*Ramure*Pc/MaxiM</f>
        <v>4.5870921726962218E-5</v>
      </c>
      <c r="Q102" s="305">
        <f t="shared" si="28"/>
        <v>0.7</v>
      </c>
      <c r="R102" s="177">
        <f t="shared" si="29"/>
        <v>0.49810727961457535</v>
      </c>
      <c r="S102" s="921">
        <f t="shared" si="30"/>
        <v>-2</v>
      </c>
      <c r="T102" s="176">
        <f t="shared" si="31"/>
        <v>4</v>
      </c>
      <c r="U102" s="251">
        <f t="shared" si="32"/>
        <v>-1.5018927203854247</v>
      </c>
      <c r="V102" s="383">
        <f t="shared" si="33"/>
        <v>47.058533775244285</v>
      </c>
      <c r="W102" s="402">
        <f t="shared" si="34"/>
        <v>26.258788361133245</v>
      </c>
      <c r="X102" s="157">
        <f t="shared" si="35"/>
        <v>46110</v>
      </c>
      <c r="Y102" s="385">
        <f t="shared" si="36"/>
        <v>24.509210688761026</v>
      </c>
      <c r="Z102" s="385">
        <f t="shared" si="37"/>
        <v>26.097625652820376</v>
      </c>
      <c r="AA102" s="386">
        <f t="shared" si="38"/>
        <v>30.362676012283238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0.14047017323958641</v>
      </c>
      <c r="AD102" s="231">
        <f>(INDEX(Models!$BJ102:$BT102,,AH102)*(1-AF102)+INDEX(Models!$BJ102:$BT102,,AH102+1)*AF102-ERP_i)*AE102*Ramure*Pc/MaxiM</f>
        <v>1.9783493605649159E-3</v>
      </c>
      <c r="AE102" s="305">
        <f t="shared" si="40"/>
        <v>0.7</v>
      </c>
      <c r="AF102" s="177">
        <f t="shared" si="41"/>
        <v>2.3094845988554269E-2</v>
      </c>
      <c r="AG102" s="921">
        <f t="shared" si="49"/>
        <v>2</v>
      </c>
      <c r="AH102" s="176">
        <f t="shared" si="42"/>
        <v>8</v>
      </c>
      <c r="AI102" s="225">
        <f t="shared" si="43"/>
        <v>2.0230948459885543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6.854513332128926</v>
      </c>
      <c r="C103" s="955"/>
      <c r="D103" s="393">
        <f t="shared" si="25"/>
        <v>7.29890666026101</v>
      </c>
      <c r="E103" s="385">
        <f t="shared" si="47"/>
        <v>7.9323161581769259</v>
      </c>
      <c r="F103" s="385">
        <f t="shared" si="26"/>
        <v>7.9323161581769259</v>
      </c>
      <c r="G103" s="110">
        <f t="shared" si="48"/>
        <v>0.14503480149035944</v>
      </c>
      <c r="H103" s="414" t="b">
        <f>Wh_hp&gt;='2025'!Maxi_hp</f>
        <v>0</v>
      </c>
      <c r="I103" s="390">
        <f>IF(H103,Wh_hp,'2025'!Maxi_hp)</f>
        <v>56.1503147173473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6.088491726460743E-2</v>
      </c>
      <c r="M103" s="959"/>
      <c r="N103" s="959"/>
      <c r="O103" s="48">
        <f>IF(t&lt;Tnet,'2025'!Resal+('2025'!Salim-'2025'!Resal)*(1-EXP(('2025'!Tnet-t)/('2025'!Tau_j))),Resal+(Salim-Resal)*(1-EXP((Tnet-t)/(Tau_j))))*Salcycl</f>
        <v>7.9851771574053321E-2</v>
      </c>
      <c r="P103" s="169">
        <f>(INDEX(Models!$BJ103:$BT103,,T103)*(1-R103)+INDEX(Models!$BJ103:$BT103,,T103+1)*R103-ERP_i)*Q103*Ramure*Pc/MaxiM</f>
        <v>4.4348571220132619E-5</v>
      </c>
      <c r="Q103" s="305">
        <f t="shared" si="28"/>
        <v>0.7</v>
      </c>
      <c r="R103" s="177">
        <f t="shared" si="29"/>
        <v>0.49905465396619353</v>
      </c>
      <c r="S103" s="921">
        <f t="shared" si="30"/>
        <v>-2</v>
      </c>
      <c r="T103" s="176">
        <f t="shared" si="31"/>
        <v>4</v>
      </c>
      <c r="U103" s="251">
        <f t="shared" si="32"/>
        <v>-1.5009453460338065</v>
      </c>
      <c r="V103" s="383">
        <f t="shared" si="33"/>
        <v>47.259066609001707</v>
      </c>
      <c r="W103" s="402">
        <f t="shared" si="34"/>
        <v>6.854513332128926</v>
      </c>
      <c r="X103" s="157">
        <f t="shared" si="35"/>
        <v>46111</v>
      </c>
      <c r="Y103" s="385">
        <f t="shared" si="36"/>
        <v>6.4026885936596702</v>
      </c>
      <c r="Z103" s="385">
        <f t="shared" si="37"/>
        <v>6.8177891201686815</v>
      </c>
      <c r="AA103" s="386">
        <f t="shared" si="38"/>
        <v>7.9323161581769259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0.14050461627898531</v>
      </c>
      <c r="AD103" s="231">
        <f>(INDEX(Models!$BJ103:$BT103,,AH103)*(1-AF103)+INDEX(Models!$BJ103:$BT103,,AH103+1)*AF103-ERP_i)*AE103*Ramure*Pc/MaxiM</f>
        <v>1.93777372992424E-3</v>
      </c>
      <c r="AE103" s="305">
        <f t="shared" si="40"/>
        <v>0.7</v>
      </c>
      <c r="AF103" s="177">
        <f t="shared" si="41"/>
        <v>2.4042220340172893E-2</v>
      </c>
      <c r="AG103" s="921">
        <f t="shared" si="49"/>
        <v>2</v>
      </c>
      <c r="AH103" s="176">
        <f t="shared" si="42"/>
        <v>8</v>
      </c>
      <c r="AI103" s="225">
        <f t="shared" si="43"/>
        <v>2.0240422203401729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20.403735040543193</v>
      </c>
      <c r="C104" s="955"/>
      <c r="D104" s="393">
        <f t="shared" si="25"/>
        <v>21.727030392336765</v>
      </c>
      <c r="E104" s="385">
        <f t="shared" si="47"/>
        <v>23.61467418724979</v>
      </c>
      <c r="F104" s="385">
        <f t="shared" si="26"/>
        <v>23.614862394811997</v>
      </c>
      <c r="G104" s="110">
        <f t="shared" si="48"/>
        <v>0.42996468041744074</v>
      </c>
      <c r="H104" s="414" t="b">
        <f>Wh_hp&gt;='2025'!Maxi_hp</f>
        <v>0</v>
      </c>
      <c r="I104" s="390">
        <f>IF(H104,Wh_hp,'2025'!Maxi_hp)</f>
        <v>49.506417533337903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6.0905486295094624E-2</v>
      </c>
      <c r="M104" s="959"/>
      <c r="N104" s="959"/>
      <c r="O104" s="48">
        <f>IF(t&lt;Tnet,'2025'!Resal+('2025'!Salim-'2025'!Resal)*(1-EXP(('2025'!Tnet-t)/('2025'!Tau_j))),Resal+(Salim-Resal)*(1-EXP((Tnet-t)/(Tau_j))))*Salcycl</f>
        <v>7.9935203845929628E-2</v>
      </c>
      <c r="P104" s="169">
        <f>(INDEX(Models!$BJ104:$BT104,,T104)*(1-R104)+INDEX(Models!$BJ104:$BT104,,T104+1)*R104-ERP_i)*Q104*Ramure*Pc/MaxiM</f>
        <v>4.292142477287212E-5</v>
      </c>
      <c r="Q104" s="305">
        <f t="shared" si="28"/>
        <v>0.7</v>
      </c>
      <c r="R104" s="177">
        <f t="shared" si="29"/>
        <v>0.50003777844985797</v>
      </c>
      <c r="S104" s="921">
        <f t="shared" si="30"/>
        <v>-2</v>
      </c>
      <c r="T104" s="176">
        <f t="shared" si="31"/>
        <v>4</v>
      </c>
      <c r="U104" s="251">
        <f t="shared" si="32"/>
        <v>-1.499962221550142</v>
      </c>
      <c r="V104" s="383">
        <f t="shared" si="33"/>
        <v>47.452785826367077</v>
      </c>
      <c r="W104" s="402">
        <f t="shared" si="34"/>
        <v>20.403735040543193</v>
      </c>
      <c r="X104" s="157">
        <f t="shared" si="35"/>
        <v>46112</v>
      </c>
      <c r="Y104" s="385">
        <f t="shared" si="36"/>
        <v>19.053165262559624</v>
      </c>
      <c r="Z104" s="385">
        <f t="shared" si="37"/>
        <v>20.288868675625935</v>
      </c>
      <c r="AA104" s="386">
        <f t="shared" si="38"/>
        <v>23.606538346509865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0.14054028685550315</v>
      </c>
      <c r="AD104" s="231">
        <f>(INDEX(Models!$BJ104:$BT104,,AH104)*(1-AF104)+INDEX(Models!$BJ104:$BT104,,AH104+1)*AF104-ERP_i)*AE104*Ramure*Pc/MaxiM</f>
        <v>1.8983297420111865E-3</v>
      </c>
      <c r="AE104" s="305">
        <f t="shared" si="40"/>
        <v>0.7</v>
      </c>
      <c r="AF104" s="177">
        <f t="shared" si="41"/>
        <v>2.5025344823836893E-2</v>
      </c>
      <c r="AG104" s="921">
        <f t="shared" si="49"/>
        <v>2</v>
      </c>
      <c r="AH104" s="176">
        <f t="shared" si="42"/>
        <v>8</v>
      </c>
      <c r="AI104" s="225">
        <f t="shared" si="43"/>
        <v>2.0250253448238369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30.393078156662813</v>
      </c>
      <c r="C105" s="955"/>
      <c r="D105" s="393">
        <f t="shared" si="25"/>
        <v>32.364946673735446</v>
      </c>
      <c r="E105" s="385">
        <f t="shared" si="47"/>
        <v>35.180028727600586</v>
      </c>
      <c r="F105" s="385">
        <f t="shared" si="26"/>
        <v>35.180735176820768</v>
      </c>
      <c r="G105" s="110">
        <f t="shared" si="48"/>
        <v>0.63797306122131958</v>
      </c>
      <c r="H105" s="414" t="b">
        <f>Wh_hp&gt;='2025'!Maxi_hp</f>
        <v>0</v>
      </c>
      <c r="I105" s="390">
        <f>IF(H105,Wh_hp,'2025'!Maxi_hp)</f>
        <v>49.445909039564896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6.0926054875067304E-2</v>
      </c>
      <c r="M105" s="959"/>
      <c r="N105" s="959"/>
      <c r="O105" s="48">
        <f>IF(t&lt;Tnet,'2025'!Resal+('2025'!Salim-'2025'!Resal)*(1-EXP(('2025'!Tnet-t)/('2025'!Tau_j))),Resal+(Salim-Resal)*(1-EXP((Tnet-t)/(Tau_j))))*Salcycl</f>
        <v>8.0019322203013457E-2</v>
      </c>
      <c r="P105" s="169">
        <f>(INDEX(Models!$BJ105:$BT105,,T105)*(1-R105)+INDEX(Models!$BJ105:$BT105,,T105+1)*R105-ERP_i)*Q105*Ramure*Pc/MaxiM</f>
        <v>4.1588605793699156E-5</v>
      </c>
      <c r="Q105" s="305">
        <f t="shared" si="28"/>
        <v>0.7</v>
      </c>
      <c r="R105" s="177">
        <f t="shared" si="29"/>
        <v>0.50105783751914323</v>
      </c>
      <c r="S105" s="921">
        <f t="shared" si="30"/>
        <v>-2</v>
      </c>
      <c r="T105" s="176">
        <f t="shared" si="31"/>
        <v>4</v>
      </c>
      <c r="U105" s="251">
        <f t="shared" si="32"/>
        <v>-1.4989421624808568</v>
      </c>
      <c r="V105" s="383">
        <f t="shared" si="33"/>
        <v>47.639040416447621</v>
      </c>
      <c r="W105" s="402">
        <f t="shared" si="34"/>
        <v>30.393078156662813</v>
      </c>
      <c r="X105" s="157">
        <f t="shared" si="35"/>
        <v>46113</v>
      </c>
      <c r="Y105" s="385">
        <f t="shared" si="36"/>
        <v>28.367518505317644</v>
      </c>
      <c r="Z105" s="385">
        <f t="shared" si="37"/>
        <v>30.207971004395912</v>
      </c>
      <c r="AA105" s="386">
        <f t="shared" si="38"/>
        <v>35.149139953011272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0.14057723617763923</v>
      </c>
      <c r="AD105" s="231">
        <f>(INDEX(Models!$BJ105:$BT105,,AH105)*(1-AF105)+INDEX(Models!$BJ105:$BT105,,AH105+1)*AF105-ERP_i)*AE105*Ramure*Pc/MaxiM</f>
        <v>1.8600081512381557E-3</v>
      </c>
      <c r="AE105" s="305">
        <f t="shared" si="40"/>
        <v>0.7</v>
      </c>
      <c r="AF105" s="177">
        <f t="shared" si="41"/>
        <v>2.6045403893122376E-2</v>
      </c>
      <c r="AG105" s="921">
        <f t="shared" si="49"/>
        <v>2</v>
      </c>
      <c r="AH105" s="176">
        <f t="shared" si="42"/>
        <v>8</v>
      </c>
      <c r="AI105" s="225">
        <f t="shared" si="43"/>
        <v>2.0260454038931224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18.643069479165092</v>
      </c>
      <c r="C106" s="955"/>
      <c r="D106" s="393">
        <f t="shared" si="25"/>
        <v>19.85304556255819</v>
      </c>
      <c r="E106" s="385">
        <f t="shared" si="47"/>
        <v>21.581840720823944</v>
      </c>
      <c r="F106" s="385">
        <f t="shared" si="26"/>
        <v>21.581952536524778</v>
      </c>
      <c r="G106" s="110">
        <f t="shared" si="48"/>
        <v>0.38986853579370645</v>
      </c>
      <c r="H106" s="414" t="b">
        <f>Wh_hp&gt;='2025'!Maxi_hp</f>
        <v>0</v>
      </c>
      <c r="I106" s="390">
        <f>IF(H106,Wh_hp,'2025'!Maxi_hp)</f>
        <v>44.480418756560418</v>
      </c>
      <c r="J106" s="85">
        <f>IF(H106,An,'2025'!An_max)</f>
        <v>2020</v>
      </c>
      <c r="K106" s="197">
        <f t="shared" si="27"/>
        <v>46114</v>
      </c>
      <c r="L106" s="147">
        <f>IF(t&lt;Tvie,1-EXP((T0-t)*PertePVj)+'2025'!Pspv,1-EXP((T0-t)*PertePVj)+Pspv)</f>
        <v>6.094662300453535E-2</v>
      </c>
      <c r="M106" s="959"/>
      <c r="N106" s="959"/>
      <c r="O106" s="48">
        <f>IF(t&lt;Tnet,'2025'!Resal+('2025'!Salim-'2025'!Resal)*(1-EXP(('2025'!Tnet-t)/('2025'!Tau_j))),Resal+(Salim-Resal)*(1-EXP((Tnet-t)/(Tau_j))))*Salcycl</f>
        <v>8.0104157037804102E-2</v>
      </c>
      <c r="P106" s="169">
        <f>(INDEX(Models!$BJ106:$BT106,,T106)*(1-R106)+INDEX(Models!$BJ106:$BT106,,T106+1)*R106-ERP_i)*Q106*Ramure*Pc/MaxiM</f>
        <v>4.0349315754732422E-5</v>
      </c>
      <c r="Q106" s="305">
        <f t="shared" si="28"/>
        <v>0.7</v>
      </c>
      <c r="R106" s="177">
        <f t="shared" si="29"/>
        <v>0.50211604156858258</v>
      </c>
      <c r="S106" s="921">
        <f t="shared" si="30"/>
        <v>-2</v>
      </c>
      <c r="T106" s="176">
        <f t="shared" si="31"/>
        <v>4</v>
      </c>
      <c r="U106" s="251">
        <f t="shared" si="32"/>
        <v>-1.4978839584314174</v>
      </c>
      <c r="V106" s="383">
        <f t="shared" si="33"/>
        <v>47.817179686275189</v>
      </c>
      <c r="W106" s="402">
        <f t="shared" si="34"/>
        <v>18.643069479165092</v>
      </c>
      <c r="X106" s="157">
        <f t="shared" si="35"/>
        <v>46114</v>
      </c>
      <c r="Y106" s="385">
        <f t="shared" si="36"/>
        <v>17.412729806665737</v>
      </c>
      <c r="Z106" s="385">
        <f t="shared" si="37"/>
        <v>18.54285414784237</v>
      </c>
      <c r="AA106" s="386">
        <f t="shared" si="38"/>
        <v>21.576901213131091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0.14061551449483792</v>
      </c>
      <c r="AD106" s="231">
        <f>(INDEX(Models!$BJ106:$BT106,,AH106)*(1-AF106)+INDEX(Models!$BJ106:$BT106,,AH106+1)*AF106-ERP_i)*AE106*Ramure*Pc/MaxiM</f>
        <v>1.8227980602866479E-3</v>
      </c>
      <c r="AE106" s="305">
        <f t="shared" si="40"/>
        <v>0.7</v>
      </c>
      <c r="AF106" s="177">
        <f t="shared" si="41"/>
        <v>2.7103607942561503E-2</v>
      </c>
      <c r="AG106" s="921">
        <f t="shared" si="49"/>
        <v>2</v>
      </c>
      <c r="AH106" s="176">
        <f t="shared" si="42"/>
        <v>8</v>
      </c>
      <c r="AI106" s="225">
        <f t="shared" si="43"/>
        <v>2.0271036079425615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23.808774990415891</v>
      </c>
      <c r="C107" s="955"/>
      <c r="D107" s="393">
        <f t="shared" si="25"/>
        <v>25.354572017292938</v>
      </c>
      <c r="E107" s="385">
        <f t="shared" si="47"/>
        <v>27.565002338841445</v>
      </c>
      <c r="F107" s="385">
        <f t="shared" si="26"/>
        <v>27.565305143311264</v>
      </c>
      <c r="G107" s="110">
        <f t="shared" si="48"/>
        <v>0.4961347269889968</v>
      </c>
      <c r="H107" s="414" t="b">
        <f>Wh_hp&gt;='2025'!Maxi_hp</f>
        <v>0</v>
      </c>
      <c r="I107" s="390">
        <f>IF(H107,Wh_hp,'2025'!Maxi_hp)</f>
        <v>52.947397962650761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6.0967190683508532E-2</v>
      </c>
      <c r="M107" s="959"/>
      <c r="N107" s="959"/>
      <c r="O107" s="48">
        <f>IF(t&lt;Tnet,'2025'!Resal+('2025'!Salim-'2025'!Resal)*(1-EXP(('2025'!Tnet-t)/('2025'!Tau_j))),Resal+(Salim-Resal)*(1-EXP((Tnet-t)/(Tau_j))))*Salcycl</f>
        <v>8.0189738218662224E-2</v>
      </c>
      <c r="P107" s="169">
        <f>(INDEX(Models!$BJ107:$BT107,,T107)*(1-R107)+INDEX(Models!$BJ107:$BT107,,T107+1)*R107-ERP_i)*Q107*Ramure*Pc/MaxiM</f>
        <v>3.9202342893946576E-5</v>
      </c>
      <c r="Q107" s="305">
        <f t="shared" si="28"/>
        <v>0.7</v>
      </c>
      <c r="R107" s="177">
        <f t="shared" si="29"/>
        <v>0.50321362637339595</v>
      </c>
      <c r="S107" s="921">
        <f t="shared" si="30"/>
        <v>-2</v>
      </c>
      <c r="T107" s="176">
        <f t="shared" si="31"/>
        <v>4</v>
      </c>
      <c r="U107" s="251">
        <f t="shared" si="32"/>
        <v>-1.496786373626604</v>
      </c>
      <c r="V107" s="383">
        <f t="shared" si="33"/>
        <v>47.987173376888812</v>
      </c>
      <c r="W107" s="402">
        <f t="shared" si="34"/>
        <v>23.808774990415891</v>
      </c>
      <c r="X107" s="157">
        <f t="shared" si="35"/>
        <v>46115</v>
      </c>
      <c r="Y107" s="385">
        <f t="shared" si="36"/>
        <v>22.232769065272258</v>
      </c>
      <c r="Z107" s="385">
        <f t="shared" si="37"/>
        <v>23.676243092565819</v>
      </c>
      <c r="AA107" s="386">
        <f t="shared" si="38"/>
        <v>27.55150469660121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0.14065517098648517</v>
      </c>
      <c r="AD107" s="231">
        <f>(INDEX(Models!$BJ107:$BT107,,AH107)*(1-AF107)+INDEX(Models!$BJ107:$BT107,,AH107+1)*AF107-ERP_i)*AE107*Ramure*Pc/MaxiM</f>
        <v>1.786663995895302E-3</v>
      </c>
      <c r="AE107" s="305">
        <f t="shared" si="40"/>
        <v>0.7</v>
      </c>
      <c r="AF107" s="177">
        <f t="shared" si="41"/>
        <v>2.8201192747375092E-2</v>
      </c>
      <c r="AG107" s="921">
        <f t="shared" si="49"/>
        <v>2</v>
      </c>
      <c r="AH107" s="176">
        <f t="shared" si="42"/>
        <v>8</v>
      </c>
      <c r="AI107" s="225">
        <f t="shared" si="43"/>
        <v>2.0282011927473751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41.753253316431895</v>
      </c>
      <c r="C108" s="955"/>
      <c r="D108" s="393">
        <f t="shared" si="25"/>
        <v>44.465078776383855</v>
      </c>
      <c r="E108" s="385">
        <f t="shared" si="47"/>
        <v>48.346116194161418</v>
      </c>
      <c r="F108" s="385">
        <f t="shared" si="26"/>
        <v>48.347617778781583</v>
      </c>
      <c r="G108" s="110">
        <f t="shared" si="48"/>
        <v>0.86714822172404937</v>
      </c>
      <c r="H108" s="414" t="b">
        <f>Wh_hp&gt;='2025'!Maxi_hp</f>
        <v>0</v>
      </c>
      <c r="I108" s="390">
        <f>IF(H108,Wh_hp,'2025'!Maxi_hp)</f>
        <v>55.741875297523443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6.0987757911996732E-2</v>
      </c>
      <c r="M108" s="959"/>
      <c r="N108" s="959"/>
      <c r="O108" s="48">
        <f>IF(t&lt;Tnet,'2025'!Resal+('2025'!Salim-'2025'!Resal)*(1-EXP(('2025'!Tnet-t)/('2025'!Tau_j))),Resal+(Salim-Resal)*(1-EXP((Tnet-t)/(Tau_j))))*Salcycl</f>
        <v>8.0276095026765762E-2</v>
      </c>
      <c r="P108" s="169">
        <f>(INDEX(Models!$BJ108:$BT108,,T108)*(1-R108)+INDEX(Models!$BJ108:$BT108,,T108+1)*R108-ERP_i)*Q108*Ramure*Pc/MaxiM</f>
        <v>3.8332872613817479E-5</v>
      </c>
      <c r="Q108" s="305">
        <f t="shared" si="28"/>
        <v>0.7</v>
      </c>
      <c r="R108" s="177">
        <f t="shared" si="29"/>
        <v>0.50435185240824865</v>
      </c>
      <c r="S108" s="921">
        <f t="shared" si="30"/>
        <v>-2</v>
      </c>
      <c r="T108" s="176">
        <f t="shared" si="31"/>
        <v>4</v>
      </c>
      <c r="U108" s="251">
        <f t="shared" si="32"/>
        <v>-1.4956481475917514</v>
      </c>
      <c r="V108" s="383">
        <f t="shared" si="33"/>
        <v>48.149726327185398</v>
      </c>
      <c r="W108" s="402">
        <f t="shared" si="34"/>
        <v>41.753253316431895</v>
      </c>
      <c r="X108" s="157">
        <f t="shared" si="35"/>
        <v>46116</v>
      </c>
      <c r="Y108" s="385">
        <f t="shared" si="36"/>
        <v>38.956123318944478</v>
      </c>
      <c r="Z108" s="385">
        <f t="shared" si="37"/>
        <v>41.486278424145986</v>
      </c>
      <c r="AA108" s="386">
        <f t="shared" si="38"/>
        <v>48.278945135124076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0.14069625365605315</v>
      </c>
      <c r="AD108" s="231">
        <f>(INDEX(Models!$BJ108:$BT108,,AH108)*(1-AF108)+INDEX(Models!$BJ108:$BT108,,AH108+1)*AF108-ERP_i)*AE108*Ramure*Pc/MaxiM</f>
        <v>1.753094475010569E-3</v>
      </c>
      <c r="AE108" s="305">
        <f t="shared" si="40"/>
        <v>0.7</v>
      </c>
      <c r="AF108" s="177">
        <f t="shared" si="41"/>
        <v>2.9339418782227789E-2</v>
      </c>
      <c r="AG108" s="921">
        <f t="shared" si="49"/>
        <v>2</v>
      </c>
      <c r="AH108" s="176">
        <f t="shared" si="42"/>
        <v>8</v>
      </c>
      <c r="AI108" s="225">
        <f t="shared" si="43"/>
        <v>2.0293394187822278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48.116794826759573</v>
      </c>
      <c r="C109" s="955"/>
      <c r="D109" s="393">
        <f t="shared" si="25"/>
        <v>51.243047294188983</v>
      </c>
      <c r="E109" s="385">
        <f t="shared" si="47"/>
        <v>55.720965515822542</v>
      </c>
      <c r="F109" s="385">
        <f t="shared" si="26"/>
        <v>55.723055503689437</v>
      </c>
      <c r="G109" s="110">
        <f t="shared" si="48"/>
        <v>0.99609731464383311</v>
      </c>
      <c r="H109" s="414" t="b">
        <f>Wh_hp&gt;='2025'!Maxi_hp</f>
        <v>0</v>
      </c>
      <c r="I109" s="390">
        <f>IF(H109,Wh_hp,'2025'!Maxi_hp)</f>
        <v>58.256884739736201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6.100832469000983E-2</v>
      </c>
      <c r="M109" s="959"/>
      <c r="N109" s="959"/>
      <c r="O109" s="48">
        <f>IF(t&lt;Tnet,'2025'!Resal+('2025'!Salim-'2025'!Resal)*(1-EXP(('2025'!Tnet-t)/('2025'!Tau_j))),Resal+(Salim-Resal)*(1-EXP((Tnet-t)/(Tau_j))))*Salcycl</f>
        <v>8.0363256095445937E-2</v>
      </c>
      <c r="P109" s="169">
        <f>(INDEX(Models!$BJ109:$BT109,,T109)*(1-R109)+INDEX(Models!$BJ109:$BT109,,T109+1)*R109-ERP_i)*Q109*Ramure*Pc/MaxiM</f>
        <v>3.7716969749596742E-5</v>
      </c>
      <c r="Q109" s="305">
        <f t="shared" si="28"/>
        <v>0.7</v>
      </c>
      <c r="R109" s="177">
        <f t="shared" si="29"/>
        <v>0.50553200403626741</v>
      </c>
      <c r="S109" s="921">
        <f t="shared" si="30"/>
        <v>-2</v>
      </c>
      <c r="T109" s="176">
        <f t="shared" si="31"/>
        <v>4</v>
      </c>
      <c r="U109" s="251">
        <f t="shared" si="32"/>
        <v>-1.4944679959637326</v>
      </c>
      <c r="V109" s="383">
        <f t="shared" si="33"/>
        <v>48.305305115723066</v>
      </c>
      <c r="W109" s="402">
        <f t="shared" si="34"/>
        <v>48.116794826759573</v>
      </c>
      <c r="X109" s="157">
        <f t="shared" si="35"/>
        <v>46117</v>
      </c>
      <c r="Y109" s="385">
        <f t="shared" si="36"/>
        <v>44.882549773108622</v>
      </c>
      <c r="Z109" s="385">
        <f t="shared" si="37"/>
        <v>47.798666328209464</v>
      </c>
      <c r="AA109" s="386">
        <f t="shared" si="38"/>
        <v>55.62763318260685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0.14073880922989321</v>
      </c>
      <c r="AD109" s="231">
        <f>(INDEX(Models!$BJ109:$BT109,,AH109)*(1-AF109)+INDEX(Models!$BJ109:$BT109,,AH109+1)*AF109-ERP_i)*AE109*Ramure*Pc/MaxiM</f>
        <v>1.7220390867857874E-3</v>
      </c>
      <c r="AE109" s="305">
        <f t="shared" si="40"/>
        <v>0.7</v>
      </c>
      <c r="AF109" s="177">
        <f t="shared" si="41"/>
        <v>3.0519570410246555E-2</v>
      </c>
      <c r="AG109" s="921">
        <f t="shared" si="49"/>
        <v>2</v>
      </c>
      <c r="AH109" s="176">
        <f t="shared" si="42"/>
        <v>8</v>
      </c>
      <c r="AI109" s="225">
        <f t="shared" si="43"/>
        <v>2.0305195704102466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11.30053345660159</v>
      </c>
      <c r="C110" s="955"/>
      <c r="D110" s="393">
        <f t="shared" si="25"/>
        <v>12.035017210324943</v>
      </c>
      <c r="E110" s="385">
        <f t="shared" si="47"/>
        <v>13.0879599388706</v>
      </c>
      <c r="F110" s="385">
        <f t="shared" si="26"/>
        <v>13.0879599388706</v>
      </c>
      <c r="G110" s="110">
        <f t="shared" si="48"/>
        <v>0.23321137304713288</v>
      </c>
      <c r="H110" s="414" t="b">
        <f>Wh_hp&gt;='2025'!Maxi_hp</f>
        <v>0</v>
      </c>
      <c r="I110" s="390">
        <f>IF(H110,Wh_hp,'2025'!Maxi_hp)</f>
        <v>57.685469912803519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6.1028891017557707E-2</v>
      </c>
      <c r="M110" s="959"/>
      <c r="N110" s="959"/>
      <c r="O110" s="48">
        <f>IF(t&lt;Tnet,'2025'!Resal+('2025'!Salim-'2025'!Resal)*(1-EXP(('2025'!Tnet-t)/('2025'!Tau_j))),Resal+(Salim-Resal)*(1-EXP((Tnet-t)/(Tau_j))))*Salcycl</f>
        <v>8.0451249351586707E-2</v>
      </c>
      <c r="P110" s="169">
        <f>(INDEX(Models!$BJ110:$BT110,,T110)*(1-R110)+INDEX(Models!$BJ110:$BT110,,T110+1)*R110-ERP_i)*Q110*Ramure*Pc/MaxiM</f>
        <v>3.7354586499223057E-5</v>
      </c>
      <c r="Q110" s="305">
        <f t="shared" si="28"/>
        <v>0.7</v>
      </c>
      <c r="R110" s="177">
        <f t="shared" si="29"/>
        <v>0.50675538855930768</v>
      </c>
      <c r="S110" s="921">
        <f t="shared" si="30"/>
        <v>-2</v>
      </c>
      <c r="T110" s="176">
        <f t="shared" si="31"/>
        <v>4</v>
      </c>
      <c r="U110" s="251">
        <f t="shared" si="32"/>
        <v>-1.4932446114406923</v>
      </c>
      <c r="V110" s="383">
        <f t="shared" si="33"/>
        <v>48.454375025540905</v>
      </c>
      <c r="W110" s="402">
        <f t="shared" si="34"/>
        <v>11.30053345660159</v>
      </c>
      <c r="X110" s="157">
        <f t="shared" si="35"/>
        <v>46118</v>
      </c>
      <c r="Y110" s="385">
        <f t="shared" si="36"/>
        <v>10.559104962752077</v>
      </c>
      <c r="Z110" s="385">
        <f t="shared" si="37"/>
        <v>11.245399205301343</v>
      </c>
      <c r="AA110" s="386">
        <f t="shared" si="38"/>
        <v>13.0879599388706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0.14078288306009723</v>
      </c>
      <c r="AD110" s="231">
        <f>(INDEX(Models!$BJ110:$BT110,,AH110)*(1-AF110)+INDEX(Models!$BJ110:$BT110,,AH110+1)*AF110-ERP_i)*AE110*Ramure*Pc/MaxiM</f>
        <v>1.6934475231627016E-3</v>
      </c>
      <c r="AE110" s="305">
        <f t="shared" si="40"/>
        <v>0.7</v>
      </c>
      <c r="AF110" s="177">
        <f t="shared" si="41"/>
        <v>3.1742954933286605E-2</v>
      </c>
      <c r="AG110" s="921">
        <f t="shared" si="49"/>
        <v>2</v>
      </c>
      <c r="AH110" s="176">
        <f t="shared" si="42"/>
        <v>8</v>
      </c>
      <c r="AI110" s="225">
        <f t="shared" si="43"/>
        <v>2.0317429549332866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37.22318174440916</v>
      </c>
      <c r="C111" s="955"/>
      <c r="D111" s="393">
        <f t="shared" si="25"/>
        <v>39.643389119625589</v>
      </c>
      <c r="E111" s="385">
        <f t="shared" si="47"/>
        <v>43.115952315134358</v>
      </c>
      <c r="F111" s="385">
        <f t="shared" si="26"/>
        <v>43.117021301554047</v>
      </c>
      <c r="G111" s="110">
        <f t="shared" si="48"/>
        <v>0.76594050878283793</v>
      </c>
      <c r="H111" s="414" t="b">
        <f>Wh_hp&gt;='2025'!Maxi_hp</f>
        <v>0</v>
      </c>
      <c r="I111" s="390">
        <f>IF(H111,Wh_hp,'2025'!Maxi_hp)</f>
        <v>56.268394657199678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6.1049456894650245E-2</v>
      </c>
      <c r="M111" s="959"/>
      <c r="N111" s="959"/>
      <c r="O111" s="48">
        <f>IF(t&lt;Tnet,'2025'!Resal+('2025'!Salim-'2025'!Resal)*(1-EXP(('2025'!Tnet-t)/('2025'!Tau_j))),Resal+(Salim-Resal)*(1-EXP((Tnet-t)/(Tau_j))))*Salcycl</f>
        <v>8.0540101958732499E-2</v>
      </c>
      <c r="P111" s="169">
        <f>(INDEX(Models!$BJ111:$BT111,,T111)*(1-R111)+INDEX(Models!$BJ111:$BT111,,T111+1)*R111-ERP_i)*Q111*Ramure*Pc/MaxiM</f>
        <v>3.7246212524887434E-5</v>
      </c>
      <c r="Q111" s="305">
        <f t="shared" si="28"/>
        <v>0.7</v>
      </c>
      <c r="R111" s="177">
        <f t="shared" si="29"/>
        <v>0.50802333512025677</v>
      </c>
      <c r="S111" s="921">
        <f t="shared" si="30"/>
        <v>-2</v>
      </c>
      <c r="T111" s="176">
        <f t="shared" si="31"/>
        <v>4</v>
      </c>
      <c r="U111" s="251">
        <f t="shared" si="32"/>
        <v>-1.4919766648797432</v>
      </c>
      <c r="V111" s="383">
        <f t="shared" si="33"/>
        <v>48.597401163548504</v>
      </c>
      <c r="W111" s="402">
        <f t="shared" si="34"/>
        <v>37.22318174440916</v>
      </c>
      <c r="X111" s="157">
        <f t="shared" si="35"/>
        <v>46119</v>
      </c>
      <c r="Y111" s="385">
        <f t="shared" si="36"/>
        <v>34.744740234242535</v>
      </c>
      <c r="Z111" s="385">
        <f t="shared" si="37"/>
        <v>37.003802265594082</v>
      </c>
      <c r="AA111" s="386">
        <f t="shared" si="38"/>
        <v>43.06916964218906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0.14082851903078145</v>
      </c>
      <c r="AD111" s="231">
        <f>(INDEX(Models!$BJ111:$BT111,,AH111)*(1-AF111)+INDEX(Models!$BJ111:$BT111,,AH111+1)*AF111-ERP_i)*AE111*Ramure*Pc/MaxiM</f>
        <v>1.6672738227046405E-3</v>
      </c>
      <c r="AE111" s="305">
        <f t="shared" si="40"/>
        <v>0.7</v>
      </c>
      <c r="AF111" s="177">
        <f t="shared" si="41"/>
        <v>3.3010901494235689E-2</v>
      </c>
      <c r="AG111" s="921">
        <f t="shared" si="49"/>
        <v>2</v>
      </c>
      <c r="AH111" s="176">
        <f t="shared" si="42"/>
        <v>8</v>
      </c>
      <c r="AI111" s="225">
        <f t="shared" si="43"/>
        <v>2.0330109014942357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30.201955032752753</v>
      </c>
      <c r="C112" s="955"/>
      <c r="D112" s="393">
        <f t="shared" si="25"/>
        <v>32.166355053888502</v>
      </c>
      <c r="E112" s="385">
        <f t="shared" si="47"/>
        <v>34.987382082357612</v>
      </c>
      <c r="F112" s="385">
        <f t="shared" si="26"/>
        <v>34.987979639141081</v>
      </c>
      <c r="G112" s="110">
        <f t="shared" si="48"/>
        <v>0.61970730296820697</v>
      </c>
      <c r="H112" s="414" t="b">
        <f>Wh_hp&gt;='2025'!Maxi_hp</f>
        <v>0</v>
      </c>
      <c r="I112" s="390">
        <f>IF(H112,Wh_hp,'2025'!Maxi_hp)</f>
        <v>56.211155978326396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6.1070022321297324E-2</v>
      </c>
      <c r="M112" s="959"/>
      <c r="N112" s="959"/>
      <c r="O112" s="48">
        <f>IF(t&lt;Tnet,'2025'!Resal+('2025'!Salim-'2025'!Resal)*(1-EXP(('2025'!Tnet-t)/('2025'!Tau_j))),Resal+(Salim-Resal)*(1-EXP((Tnet-t)/(Tau_j))))*Salcycl</f>
        <v>8.0629840261515789E-2</v>
      </c>
      <c r="P112" s="169">
        <f>(INDEX(Models!$BJ112:$BT112,,T112)*(1-R112)+INDEX(Models!$BJ112:$BT112,,T112+1)*R112-ERP_i)*Q112*Ramure*Pc/MaxiM</f>
        <v>3.7392861245566655E-5</v>
      </c>
      <c r="Q112" s="305">
        <f t="shared" si="28"/>
        <v>0.7</v>
      </c>
      <c r="R112" s="177">
        <f t="shared" si="29"/>
        <v>0.50933719344800021</v>
      </c>
      <c r="S112" s="921">
        <f t="shared" si="30"/>
        <v>-2</v>
      </c>
      <c r="T112" s="176">
        <f t="shared" si="31"/>
        <v>4</v>
      </c>
      <c r="U112" s="251">
        <f t="shared" si="32"/>
        <v>-1.4906628065519998</v>
      </c>
      <c r="V112" s="383">
        <f t="shared" si="33"/>
        <v>48.734848462772753</v>
      </c>
      <c r="W112" s="402">
        <f t="shared" si="34"/>
        <v>30.201955032752753</v>
      </c>
      <c r="X112" s="157">
        <f t="shared" si="35"/>
        <v>46120</v>
      </c>
      <c r="Y112" s="385">
        <f t="shared" si="36"/>
        <v>28.202130614244915</v>
      </c>
      <c r="Z112" s="385">
        <f t="shared" si="37"/>
        <v>30.036457760107375</v>
      </c>
      <c r="AA112" s="386">
        <f t="shared" si="38"/>
        <v>34.961716062715283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0.14087575946709385</v>
      </c>
      <c r="AD112" s="231">
        <f>(INDEX(Models!$BJ112:$BT112,,AH112)*(1-AF112)+INDEX(Models!$BJ112:$BT112,,AH112+1)*AF112-ERP_i)*AE112*Ramure*Pc/MaxiM</f>
        <v>1.6434760616374773E-3</v>
      </c>
      <c r="AE112" s="305">
        <f t="shared" si="40"/>
        <v>0.7</v>
      </c>
      <c r="AF112" s="177">
        <f t="shared" si="41"/>
        <v>3.4324759821979356E-2</v>
      </c>
      <c r="AG112" s="921">
        <f t="shared" si="49"/>
        <v>2</v>
      </c>
      <c r="AH112" s="176">
        <f t="shared" si="42"/>
        <v>8</v>
      </c>
      <c r="AI112" s="225">
        <f t="shared" si="43"/>
        <v>2.0343247598219794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32.962650726479765</v>
      </c>
      <c r="C113" s="955"/>
      <c r="D113" s="393">
        <f t="shared" si="25"/>
        <v>35.107381266529615</v>
      </c>
      <c r="E113" s="385">
        <f t="shared" si="47"/>
        <v>38.190105266521414</v>
      </c>
      <c r="F113" s="385">
        <f t="shared" si="26"/>
        <v>38.190877593365265</v>
      </c>
      <c r="G113" s="110">
        <f t="shared" si="48"/>
        <v>0.67452368487925385</v>
      </c>
      <c r="H113" s="414" t="b">
        <f>Wh_hp&gt;='2025'!Maxi_hp</f>
        <v>0</v>
      </c>
      <c r="I113" s="390">
        <f>IF(H113,Wh_hp,'2025'!Maxi_hp)</f>
        <v>45.992596170964376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6.1090587297508714E-2</v>
      </c>
      <c r="M113" s="959"/>
      <c r="N113" s="959"/>
      <c r="O113" s="48">
        <f>IF(t&lt;Tnet,'2025'!Resal+('2025'!Salim-'2025'!Resal)*(1-EXP(('2025'!Tnet-t)/('2025'!Tau_j))),Resal+(Salim-Resal)*(1-EXP((Tnet-t)/(Tau_j))))*Salcycl</f>
        <v>8.0720489730993356E-2</v>
      </c>
      <c r="P113" s="169">
        <f>(INDEX(Models!$BJ113:$BT113,,T113)*(1-R113)+INDEX(Models!$BJ113:$BT113,,T113+1)*R113-ERP_i)*Q113*Ramure*Pc/MaxiM</f>
        <v>3.7796057275986548E-5</v>
      </c>
      <c r="Q113" s="305">
        <f t="shared" si="28"/>
        <v>0.7</v>
      </c>
      <c r="R113" s="177">
        <f t="shared" si="29"/>
        <v>0.51069833243556628</v>
      </c>
      <c r="S113" s="921">
        <f t="shared" si="30"/>
        <v>-2</v>
      </c>
      <c r="T113" s="176">
        <f t="shared" si="31"/>
        <v>4</v>
      </c>
      <c r="U113" s="251">
        <f t="shared" si="32"/>
        <v>-1.4893016675644337</v>
      </c>
      <c r="V113" s="383">
        <f t="shared" si="33"/>
        <v>48.867181676264828</v>
      </c>
      <c r="W113" s="402">
        <f t="shared" si="34"/>
        <v>32.962650726479765</v>
      </c>
      <c r="X113" s="157">
        <f t="shared" si="35"/>
        <v>46121</v>
      </c>
      <c r="Y113" s="385">
        <f t="shared" si="36"/>
        <v>30.777796266287972</v>
      </c>
      <c r="Z113" s="385">
        <f t="shared" si="37"/>
        <v>32.780368212199846</v>
      </c>
      <c r="AA113" s="386">
        <f t="shared" si="38"/>
        <v>38.157733222323827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0.14092464504621063</v>
      </c>
      <c r="AD113" s="231">
        <f>(INDEX(Models!$BJ113:$BT113,,AH113)*(1-AF113)+INDEX(Models!$BJ113:$BT113,,AH113+1)*AF113-ERP_i)*AE113*Ramure*Pc/MaxiM</f>
        <v>1.6220160625400883E-3</v>
      </c>
      <c r="AE113" s="305">
        <f t="shared" si="40"/>
        <v>0.7</v>
      </c>
      <c r="AF113" s="177">
        <f t="shared" si="41"/>
        <v>3.5685898809545424E-2</v>
      </c>
      <c r="AG113" s="921">
        <f t="shared" si="49"/>
        <v>2</v>
      </c>
      <c r="AH113" s="176">
        <f t="shared" si="42"/>
        <v>8</v>
      </c>
      <c r="AI113" s="225">
        <f t="shared" si="43"/>
        <v>2.0356858988095454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50.391421547252044</v>
      </c>
      <c r="C114" s="955"/>
      <c r="D114" s="393">
        <f t="shared" si="25"/>
        <v>53.671338886504721</v>
      </c>
      <c r="E114" s="385">
        <f t="shared" si="47"/>
        <v>58.389952066958188</v>
      </c>
      <c r="F114" s="385">
        <f t="shared" si="26"/>
        <v>58.392220786132825</v>
      </c>
      <c r="G114" s="110">
        <f t="shared" si="48"/>
        <v>1.0285045397372836</v>
      </c>
      <c r="H114" s="414" t="b">
        <f>Wh_hp&gt;='2025'!Maxi_hp</f>
        <v>1</v>
      </c>
      <c r="I114" s="390">
        <f>IF(H114,Wh_hp,'2025'!Maxi_hp)</f>
        <v>58.392220786132825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6.1111151823294407E-2</v>
      </c>
      <c r="M114" s="959"/>
      <c r="N114" s="959"/>
      <c r="O114" s="48">
        <f>IF(t&lt;Tnet,'2025'!Resal+('2025'!Salim-'2025'!Resal)*(1-EXP(('2025'!Tnet-t)/('2025'!Tau_j))),Resal+(Salim-Resal)*(1-EXP((Tnet-t)/(Tau_j))))*Salcycl</f>
        <v>8.0812074910464701E-2</v>
      </c>
      <c r="P114" s="169">
        <f>(INDEX(Models!$BJ114:$BT114,,T114)*(1-R114)+INDEX(Models!$BJ114:$BT114,,T114+1)*R114-ERP_i)*Q114*Ramure*Pc/MaxiM</f>
        <v>3.885310652850416E-5</v>
      </c>
      <c r="Q114" s="305">
        <f t="shared" si="28"/>
        <v>0.7</v>
      </c>
      <c r="R114" s="177">
        <f t="shared" si="29"/>
        <v>0.51210813854190884</v>
      </c>
      <c r="S114" s="921">
        <f t="shared" si="30"/>
        <v>-2</v>
      </c>
      <c r="T114" s="176">
        <f t="shared" si="31"/>
        <v>4</v>
      </c>
      <c r="U114" s="251">
        <f t="shared" si="32"/>
        <v>-1.4878918614580912</v>
      </c>
      <c r="V114" s="383">
        <f t="shared" si="33"/>
        <v>48.994846012175884</v>
      </c>
      <c r="W114" s="402">
        <f t="shared" si="34"/>
        <v>50.391421547252044</v>
      </c>
      <c r="X114" s="157">
        <f t="shared" si="35"/>
        <v>46122</v>
      </c>
      <c r="Y114" s="385">
        <f t="shared" si="36"/>
        <v>47.019394080730926</v>
      </c>
      <c r="Z114" s="385">
        <f t="shared" si="37"/>
        <v>50.07983018654572</v>
      </c>
      <c r="AA114" s="386">
        <f t="shared" si="38"/>
        <v>58.298469431954565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0.14097521470956564</v>
      </c>
      <c r="AD114" s="231">
        <f>(INDEX(Models!$BJ114:$BT114,,AH114)*(1-AF114)+INDEX(Models!$BJ114:$BT114,,AH114+1)*AF114-ERP_i)*AE114*Ramure*Pc/MaxiM</f>
        <v>1.6055452749713535E-3</v>
      </c>
      <c r="AE114" s="305">
        <f t="shared" si="40"/>
        <v>0.7</v>
      </c>
      <c r="AF114" s="177">
        <f t="shared" si="41"/>
        <v>3.7095704915887762E-2</v>
      </c>
      <c r="AG114" s="921">
        <f t="shared" si="49"/>
        <v>2</v>
      </c>
      <c r="AH114" s="176">
        <f t="shared" si="42"/>
        <v>8</v>
      </c>
      <c r="AI114" s="225">
        <f t="shared" si="43"/>
        <v>2.0370957049158878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41.582390841590474</v>
      </c>
      <c r="C115" s="955"/>
      <c r="D115" s="393">
        <f t="shared" si="25"/>
        <v>44.289908974177592</v>
      </c>
      <c r="E115" s="385">
        <f t="shared" si="47"/>
        <v>48.188588374148445</v>
      </c>
      <c r="F115" s="385">
        <f t="shared" si="26"/>
        <v>48.190112872347953</v>
      </c>
      <c r="G115" s="110">
        <f t="shared" si="48"/>
        <v>0.84656868409239072</v>
      </c>
      <c r="H115" s="414" t="b">
        <f>Wh_hp&gt;='2025'!Maxi_hp</f>
        <v>0</v>
      </c>
      <c r="I115" s="390">
        <f>IF(H115,Wh_hp,'2025'!Maxi_hp)</f>
        <v>56.926003902955259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6.1131715898664174E-2</v>
      </c>
      <c r="M115" s="959"/>
      <c r="N115" s="959"/>
      <c r="O115" s="48">
        <f>IF(t&lt;Tnet,'2025'!Resal+('2025'!Salim-'2025'!Resal)*(1-EXP(('2025'!Tnet-t)/('2025'!Tau_j))),Resal+(Salim-Resal)*(1-EXP((Tnet-t)/(Tau_j))))*Salcycl</f>
        <v>8.0904619361341648E-2</v>
      </c>
      <c r="P115" s="169">
        <f>(INDEX(Models!$BJ115:$BT115,,T115)*(1-R115)+INDEX(Models!$BJ115:$BT115,,T115+1)*R115-ERP_i)*Q115*Ramure*Pc/MaxiM</f>
        <v>4.0515042035231647E-5</v>
      </c>
      <c r="Q115" s="305">
        <f t="shared" si="28"/>
        <v>0.7</v>
      </c>
      <c r="R115" s="177">
        <f t="shared" si="29"/>
        <v>0.51356801400780583</v>
      </c>
      <c r="S115" s="921">
        <f t="shared" si="30"/>
        <v>-2</v>
      </c>
      <c r="T115" s="176">
        <f t="shared" si="31"/>
        <v>4</v>
      </c>
      <c r="U115" s="251">
        <f t="shared" si="32"/>
        <v>-1.4864319859921942</v>
      </c>
      <c r="V115" s="383">
        <f t="shared" si="33"/>
        <v>49.118308249901432</v>
      </c>
      <c r="W115" s="402">
        <f t="shared" si="34"/>
        <v>41.582390841590474</v>
      </c>
      <c r="X115" s="157">
        <f t="shared" si="35"/>
        <v>46123</v>
      </c>
      <c r="Y115" s="385">
        <f t="shared" si="36"/>
        <v>38.815135332850019</v>
      </c>
      <c r="Z115" s="385">
        <f t="shared" si="37"/>
        <v>41.3424715587267</v>
      </c>
      <c r="AA115" s="386">
        <f t="shared" si="38"/>
        <v>48.13014599079581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0.14102750557555246</v>
      </c>
      <c r="AD115" s="231">
        <f>(INDEX(Models!$BJ115:$BT115,,AH115)*(1-AF115)+INDEX(Models!$BJ115:$BT115,,AH115+1)*AF115-ERP_i)*AE115*Ramure*Pc/MaxiM</f>
        <v>1.5936789742293214E-3</v>
      </c>
      <c r="AE115" s="305">
        <f t="shared" si="40"/>
        <v>0.7</v>
      </c>
      <c r="AF115" s="177">
        <f t="shared" si="41"/>
        <v>3.8555580381784971E-2</v>
      </c>
      <c r="AG115" s="921">
        <f t="shared" si="49"/>
        <v>2</v>
      </c>
      <c r="AH115" s="176">
        <f t="shared" si="42"/>
        <v>8</v>
      </c>
      <c r="AI115" s="225">
        <f t="shared" si="43"/>
        <v>2.038555580381785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2.3495876272963137</v>
      </c>
      <c r="C116" s="955"/>
      <c r="D116" s="393">
        <f t="shared" si="25"/>
        <v>2.5026291016653168</v>
      </c>
      <c r="E116" s="385">
        <f t="shared" si="47"/>
        <v>2.7232035383897779</v>
      </c>
      <c r="F116" s="385">
        <f t="shared" si="26"/>
        <v>2.7232035383897779</v>
      </c>
      <c r="G116" s="110">
        <f t="shared" si="48"/>
        <v>4.7716916814827794E-2</v>
      </c>
      <c r="H116" s="414" t="b">
        <f>Wh_hp&gt;='2025'!Maxi_hp</f>
        <v>0</v>
      </c>
      <c r="I116" s="390">
        <f>IF(H116,Wh_hp,'2025'!Maxi_hp)</f>
        <v>56.893751444283453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6.1152279523627895E-2</v>
      </c>
      <c r="M116" s="959"/>
      <c r="N116" s="959"/>
      <c r="O116" s="48">
        <f>IF(t&lt;Tnet,'2025'!Resal+('2025'!Salim-'2025'!Resal)*(1-EXP(('2025'!Tnet-t)/('2025'!Tau_j))),Resal+(Salim-Resal)*(1-EXP((Tnet-t)/(Tau_j))))*Salcycl</f>
        <v>8.099814560864077E-2</v>
      </c>
      <c r="P116" s="169">
        <f>(INDEX(Models!$BJ116:$BT116,,T116)*(1-R116)+INDEX(Models!$BJ116:$BT116,,T116+1)*R116-ERP_i)*Q116*Ramure*Pc/MaxiM</f>
        <v>4.2788847378422955E-5</v>
      </c>
      <c r="Q116" s="305">
        <f t="shared" si="28"/>
        <v>0.7</v>
      </c>
      <c r="R116" s="177">
        <f t="shared" si="29"/>
        <v>0.51507937487643418</v>
      </c>
      <c r="S116" s="921">
        <f t="shared" si="30"/>
        <v>-2</v>
      </c>
      <c r="T116" s="176">
        <f t="shared" si="31"/>
        <v>4</v>
      </c>
      <c r="U116" s="251">
        <f t="shared" si="32"/>
        <v>-1.4849206251235658</v>
      </c>
      <c r="V116" s="383">
        <f t="shared" si="33"/>
        <v>49.238032295075605</v>
      </c>
      <c r="W116" s="402">
        <f t="shared" si="34"/>
        <v>2.3495876272963137</v>
      </c>
      <c r="X116" s="157">
        <f t="shared" si="35"/>
        <v>46124</v>
      </c>
      <c r="Y116" s="385">
        <f t="shared" si="36"/>
        <v>2.1959739761484811</v>
      </c>
      <c r="Z116" s="385">
        <f t="shared" si="37"/>
        <v>2.3390097544618227</v>
      </c>
      <c r="AA116" s="386">
        <f t="shared" si="38"/>
        <v>2.7232035383897779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0.1410815528519502</v>
      </c>
      <c r="AD116" s="231">
        <f>(INDEX(Models!$BJ116:$BT116,,AH116)*(1-AF116)+INDEX(Models!$BJ116:$BT116,,AH116+1)*AF116-ERP_i)*AE116*Ramure*Pc/MaxiM</f>
        <v>1.586401973269585E-3</v>
      </c>
      <c r="AE116" s="305">
        <f t="shared" si="40"/>
        <v>0.7</v>
      </c>
      <c r="AF116" s="177">
        <f t="shared" si="41"/>
        <v>4.0066941250413546E-2</v>
      </c>
      <c r="AG116" s="921">
        <f t="shared" si="49"/>
        <v>2</v>
      </c>
      <c r="AH116" s="176">
        <f t="shared" si="42"/>
        <v>8</v>
      </c>
      <c r="AI116" s="225">
        <f t="shared" si="43"/>
        <v>2.0400669412504135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Wh_hp&gt;='2025'!Maxi_hp</f>
        <v>0</v>
      </c>
      <c r="I117" s="390">
        <f>IF(H117,Wh_hp,'2025'!Maxi_hp)</f>
        <v>58.336070770675065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6.1172842698195562E-2</v>
      </c>
      <c r="M117" s="959"/>
      <c r="N117" s="959"/>
      <c r="O117" s="48">
        <f>IF(t&lt;Tnet,'2025'!Resal+('2025'!Salim-'2025'!Resal)*(1-EXP(('2025'!Tnet-t)/('2025'!Tau_j))),Resal+(Salim-Resal)*(1-EXP((Tnet-t)/(Tau_j))))*Salcycl</f>
        <v>8.1092675085685684E-2</v>
      </c>
      <c r="P117" s="169">
        <f>(INDEX(Models!$BJ117:$BT117,,T117)*(1-R117)+INDEX(Models!$BJ117:$BT117,,T117+1)*R117-ERP_i)*Q117*Ramure*Pc/MaxiM</f>
        <v>4.5682627681324466E-5</v>
      </c>
      <c r="Q117" s="305">
        <f t="shared" si="28"/>
        <v>0.7</v>
      </c>
      <c r="R117" s="177">
        <f t="shared" si="29"/>
        <v>0.51664364880935576</v>
      </c>
      <c r="S117" s="921">
        <f t="shared" si="30"/>
        <v>-2</v>
      </c>
      <c r="T117" s="176">
        <f t="shared" si="31"/>
        <v>4</v>
      </c>
      <c r="U117" s="251">
        <f t="shared" si="32"/>
        <v>-1.4833563511906442</v>
      </c>
      <c r="V117" s="383">
        <f t="shared" si="33"/>
        <v>49.354481841241181</v>
      </c>
      <c r="W117" s="402">
        <f t="shared" si="34"/>
        <v>0</v>
      </c>
      <c r="X117" s="157">
        <f t="shared" si="35"/>
        <v>46125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0.14113738974735249</v>
      </c>
      <c r="AD117" s="231">
        <f>(INDEX(Models!$BJ117:$BT117,,AH117)*(1-AF117)+INDEX(Models!$BJ117:$BT117,,AH117+1)*AF117-ERP_i)*AE117*Ramure*Pc/MaxiM</f>
        <v>1.5837052427002329E-3</v>
      </c>
      <c r="AE117" s="305">
        <f t="shared" si="40"/>
        <v>0.7</v>
      </c>
      <c r="AF117" s="177">
        <f t="shared" si="41"/>
        <v>4.1631215183334902E-2</v>
      </c>
      <c r="AG117" s="921">
        <f t="shared" si="49"/>
        <v>2</v>
      </c>
      <c r="AH117" s="176">
        <f t="shared" si="42"/>
        <v>8</v>
      </c>
      <c r="AI117" s="225">
        <f t="shared" si="43"/>
        <v>2.0416312151833349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39.465757250503053</v>
      </c>
      <c r="C118" s="955"/>
      <c r="D118" s="393">
        <f t="shared" si="25"/>
        <v>42.038219030895306</v>
      </c>
      <c r="E118" s="385">
        <f t="shared" si="47"/>
        <v>45.752808481046479</v>
      </c>
      <c r="F118" s="385">
        <f t="shared" si="26"/>
        <v>45.754409534464273</v>
      </c>
      <c r="G118" s="110">
        <f t="shared" si="48"/>
        <v>0.79779049611253527</v>
      </c>
      <c r="H118" s="414" t="b">
        <f>Wh_hp&gt;='2025'!Maxi_hp</f>
        <v>0</v>
      </c>
      <c r="I118" s="390">
        <f>IF(H118,Wh_hp,'2025'!Maxi_hp)</f>
        <v>56.615625243922842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6.1193405422376834E-2</v>
      </c>
      <c r="M118" s="959"/>
      <c r="N118" s="959"/>
      <c r="O118" s="48">
        <f>IF(t&lt;Tnet,'2025'!Resal+('2025'!Salim-'2025'!Resal)*(1-EXP(('2025'!Tnet-t)/('2025'!Tau_j))),Resal+(Salim-Resal)*(1-EXP((Tnet-t)/(Tau_j))))*Salcycl</f>
        <v>8.1188228077626587E-2</v>
      </c>
      <c r="P118" s="169">
        <f>(INDEX(Models!$BJ118:$BT118,,T118)*(1-R118)+INDEX(Models!$BJ118:$BT118,,T118+1)*R118-ERP_i)*Q118*Ramure*Pc/MaxiM</f>
        <v>4.9205586535002961E-5</v>
      </c>
      <c r="Q118" s="305">
        <f t="shared" si="28"/>
        <v>0.7</v>
      </c>
      <c r="R118" s="177">
        <f t="shared" si="29"/>
        <v>0.51826227268891945</v>
      </c>
      <c r="S118" s="921">
        <f t="shared" si="30"/>
        <v>-2</v>
      </c>
      <c r="T118" s="176">
        <f t="shared" si="31"/>
        <v>4</v>
      </c>
      <c r="U118" s="251">
        <f t="shared" si="32"/>
        <v>-1.4817377273110806</v>
      </c>
      <c r="V118" s="383">
        <f t="shared" si="33"/>
        <v>49.468120372785727</v>
      </c>
      <c r="W118" s="402">
        <f t="shared" si="34"/>
        <v>39.465757250503053</v>
      </c>
      <c r="X118" s="157">
        <f t="shared" si="35"/>
        <v>46126</v>
      </c>
      <c r="Y118" s="385">
        <f t="shared" si="36"/>
        <v>36.84797687630109</v>
      </c>
      <c r="Z118" s="385">
        <f t="shared" si="37"/>
        <v>39.249806178533824</v>
      </c>
      <c r="AA118" s="386">
        <f t="shared" si="38"/>
        <v>45.702817687339369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0.14119504738092242</v>
      </c>
      <c r="AD118" s="231">
        <f>(INDEX(Models!$BJ118:$BT118,,AH118)*(1-AF118)+INDEX(Models!$BJ118:$BT118,,AH118+1)*AF118-ERP_i)*AE118*Ramure*Pc/MaxiM</f>
        <v>1.5855855088847725E-3</v>
      </c>
      <c r="AE118" s="305">
        <f t="shared" si="40"/>
        <v>0.7</v>
      </c>
      <c r="AF118" s="177">
        <f t="shared" si="41"/>
        <v>4.3249839062898587E-2</v>
      </c>
      <c r="AG118" s="921">
        <f t="shared" si="49"/>
        <v>2</v>
      </c>
      <c r="AH118" s="176">
        <f t="shared" si="42"/>
        <v>8</v>
      </c>
      <c r="AI118" s="225">
        <f t="shared" si="43"/>
        <v>2.0432498390628986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43.924954571205888</v>
      </c>
      <c r="C119" s="955"/>
      <c r="D119" s="393">
        <f t="shared" si="25"/>
        <v>46.789101094114386</v>
      </c>
      <c r="E119" s="385">
        <f t="shared" si="47"/>
        <v>50.928843127081102</v>
      </c>
      <c r="F119" s="385">
        <f t="shared" si="26"/>
        <v>50.931118370163752</v>
      </c>
      <c r="G119" s="110">
        <f t="shared" si="48"/>
        <v>0.88594381407723655</v>
      </c>
      <c r="H119" s="414" t="b">
        <f>Wh_hp&gt;='2025'!Maxi_hp</f>
        <v>0</v>
      </c>
      <c r="I119" s="390">
        <f>IF(H119,Wh_hp,'2025'!Maxi_hp)</f>
        <v>56.990205602590848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6.1213967696181704E-2</v>
      </c>
      <c r="M119" s="959"/>
      <c r="N119" s="959"/>
      <c r="O119" s="48">
        <f>IF(t&lt;Tnet,'2025'!Resal+('2025'!Salim-'2025'!Resal)*(1-EXP(('2025'!Tnet-t)/('2025'!Tau_j))),Resal+(Salim-Resal)*(1-EXP((Tnet-t)/(Tau_j))))*Salcycl</f>
        <v>8.1284823663419062E-2</v>
      </c>
      <c r="P119" s="169">
        <f>(INDEX(Models!$BJ119:$BT119,,T119)*(1-R119)+INDEX(Models!$BJ119:$BT119,,T119+1)*R119-ERP_i)*Q119*Ramure*Pc/MaxiM</f>
        <v>5.3368002302876817E-5</v>
      </c>
      <c r="Q119" s="305">
        <f t="shared" si="28"/>
        <v>0.7</v>
      </c>
      <c r="R119" s="177">
        <f t="shared" si="29"/>
        <v>0.51993668999845077</v>
      </c>
      <c r="S119" s="921">
        <f t="shared" si="30"/>
        <v>-2</v>
      </c>
      <c r="T119" s="176">
        <f t="shared" si="31"/>
        <v>4</v>
      </c>
      <c r="U119" s="251">
        <f t="shared" si="32"/>
        <v>-1.4800633100015492</v>
      </c>
      <c r="V119" s="383">
        <f t="shared" si="33"/>
        <v>49.579411161558383</v>
      </c>
      <c r="W119" s="402">
        <f t="shared" si="34"/>
        <v>43.924954571205888</v>
      </c>
      <c r="X119" s="157">
        <f t="shared" si="35"/>
        <v>46127</v>
      </c>
      <c r="Y119" s="385">
        <f t="shared" si="36"/>
        <v>41.004840448306417</v>
      </c>
      <c r="Z119" s="385">
        <f t="shared" si="37"/>
        <v>43.678579609539895</v>
      </c>
      <c r="AA119" s="386">
        <f t="shared" si="38"/>
        <v>50.863244571579656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0.14125455468985681</v>
      </c>
      <c r="AD119" s="231">
        <f>(INDEX(Models!$BJ119:$BT119,,AH119)*(1-AF119)+INDEX(Models!$BJ119:$BT119,,AH119+1)*AF119-ERP_i)*AE119*Ramure*Pc/MaxiM</f>
        <v>1.5920448530339353E-3</v>
      </c>
      <c r="AE119" s="305">
        <f t="shared" si="40"/>
        <v>0.7</v>
      </c>
      <c r="AF119" s="177">
        <f t="shared" si="41"/>
        <v>4.4924256372429916E-2</v>
      </c>
      <c r="AG119" s="921">
        <f t="shared" si="49"/>
        <v>2</v>
      </c>
      <c r="AH119" s="176">
        <f t="shared" si="42"/>
        <v>8</v>
      </c>
      <c r="AI119" s="225">
        <f t="shared" si="43"/>
        <v>2.0449242563724299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39.521114192375279</v>
      </c>
      <c r="C120" s="955"/>
      <c r="D120" s="393">
        <f t="shared" si="25"/>
        <v>42.099028389009391</v>
      </c>
      <c r="E120" s="385">
        <f t="shared" si="47"/>
        <v>45.828680007367637</v>
      </c>
      <c r="F120" s="385">
        <f t="shared" si="26"/>
        <v>45.830567006503642</v>
      </c>
      <c r="G120" s="110">
        <f t="shared" si="48"/>
        <v>0.79535887902095759</v>
      </c>
      <c r="H120" s="414" t="b">
        <f>Wh_hp&gt;='2025'!Maxi_hp</f>
        <v>0</v>
      </c>
      <c r="I120" s="390">
        <f>IF(H120,Wh_hp,'2025'!Maxi_hp)</f>
        <v>53.394011325702145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6.123452951961994E-2</v>
      </c>
      <c r="M120" s="959"/>
      <c r="N120" s="959"/>
      <c r="O120" s="48">
        <f>IF(t&lt;Tnet,'2025'!Resal+('2025'!Salim-'2025'!Resal)*(1-EXP(('2025'!Tnet-t)/('2025'!Tau_j))),Resal+(Salim-Resal)*(1-EXP((Tnet-t)/(Tau_j))))*Salcycl</f>
        <v>8.1382479655941461E-2</v>
      </c>
      <c r="P120" s="169">
        <f>(INDEX(Models!$BJ120:$BT120,,T120)*(1-R120)+INDEX(Models!$BJ120:$BT120,,T120+1)*R120-ERP_i)*Q120*Ramure*Pc/MaxiM</f>
        <v>5.8181203275694994E-5</v>
      </c>
      <c r="Q120" s="305">
        <f t="shared" si="28"/>
        <v>0.7</v>
      </c>
      <c r="R120" s="177">
        <f t="shared" si="29"/>
        <v>0.52166834797209316</v>
      </c>
      <c r="S120" s="921">
        <f t="shared" si="30"/>
        <v>-2</v>
      </c>
      <c r="T120" s="176">
        <f t="shared" si="31"/>
        <v>4</v>
      </c>
      <c r="U120" s="251">
        <f t="shared" si="32"/>
        <v>-1.4783316520279068</v>
      </c>
      <c r="V120" s="383">
        <f t="shared" si="33"/>
        <v>49.688817260750191</v>
      </c>
      <c r="W120" s="402">
        <f t="shared" si="34"/>
        <v>39.521114192375279</v>
      </c>
      <c r="X120" s="157">
        <f t="shared" si="35"/>
        <v>46128</v>
      </c>
      <c r="Y120" s="385">
        <f t="shared" si="36"/>
        <v>36.90224321868363</v>
      </c>
      <c r="Z120" s="385">
        <f t="shared" si="37"/>
        <v>39.309331647871765</v>
      </c>
      <c r="AA120" s="386">
        <f t="shared" si="38"/>
        <v>45.778573753430805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0.14131593833401607</v>
      </c>
      <c r="AD120" s="231">
        <f>(INDEX(Models!$BJ120:$BT120,,AH120)*(1-AF120)+INDEX(Models!$BJ120:$BT120,,AH120+1)*AF120-ERP_i)*AE120*Ramure*Pc/MaxiM</f>
        <v>1.6030903079233673E-3</v>
      </c>
      <c r="AE120" s="305">
        <f t="shared" si="40"/>
        <v>0.7</v>
      </c>
      <c r="AF120" s="177">
        <f t="shared" si="41"/>
        <v>4.6655914346072525E-2</v>
      </c>
      <c r="AG120" s="921">
        <f t="shared" si="49"/>
        <v>2</v>
      </c>
      <c r="AH120" s="176">
        <f t="shared" si="42"/>
        <v>8</v>
      </c>
      <c r="AI120" s="225">
        <f t="shared" si="43"/>
        <v>2.0466559143460725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49.906835519347617</v>
      </c>
      <c r="C121" s="955"/>
      <c r="D121" s="393">
        <f t="shared" si="25"/>
        <v>53.16336209674536</v>
      </c>
      <c r="E121" s="385">
        <f t="shared" si="47"/>
        <v>57.879449851818642</v>
      </c>
      <c r="F121" s="385">
        <f t="shared" si="26"/>
        <v>57.88313462083768</v>
      </c>
      <c r="G121" s="110">
        <f t="shared" si="48"/>
        <v>1.0022289716869432</v>
      </c>
      <c r="H121" s="414" t="b">
        <f>Wh_hp&gt;='2025'!Maxi_hp</f>
        <v>1</v>
      </c>
      <c r="I121" s="390">
        <f>IF(H121,Wh_hp,'2025'!Maxi_hp)</f>
        <v>57.88313462083768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6.1255090892701536E-2</v>
      </c>
      <c r="M121" s="959"/>
      <c r="N121" s="959"/>
      <c r="O121" s="48">
        <f>IF(t&lt;Tnet,'2025'!Resal+('2025'!Salim-'2025'!Resal)*(1-EXP(('2025'!Tnet-t)/('2025'!Tau_j))),Resal+(Salim-Resal)*(1-EXP((Tnet-t)/(Tau_j))))*Salcycl</f>
        <v>8.1481212539982348E-2</v>
      </c>
      <c r="P121" s="169">
        <f>(INDEX(Models!$BJ121:$BT121,,T121)*(1-R121)+INDEX(Models!$BJ121:$BT121,,T121+1)*R121-ERP_i)*Q121*Ramure*Pc/MaxiM</f>
        <v>6.3658767673413071E-5</v>
      </c>
      <c r="Q121" s="305">
        <f t="shared" si="28"/>
        <v>0.7</v>
      </c>
      <c r="R121" s="177">
        <f t="shared" si="29"/>
        <v>0.52345869450677007</v>
      </c>
      <c r="S121" s="921">
        <f t="shared" si="30"/>
        <v>-2</v>
      </c>
      <c r="T121" s="176">
        <f t="shared" si="31"/>
        <v>4</v>
      </c>
      <c r="U121" s="251">
        <f t="shared" si="32"/>
        <v>-1.4765413054932299</v>
      </c>
      <c r="V121" s="383">
        <f t="shared" si="33"/>
        <v>49.795841997407898</v>
      </c>
      <c r="W121" s="402">
        <f t="shared" si="34"/>
        <v>49.906835519347617</v>
      </c>
      <c r="X121" s="157">
        <f t="shared" si="35"/>
        <v>46129</v>
      </c>
      <c r="Y121" s="385">
        <f t="shared" si="36"/>
        <v>46.579780773164536</v>
      </c>
      <c r="Z121" s="385">
        <f t="shared" si="37"/>
        <v>49.619209991199504</v>
      </c>
      <c r="AA121" s="386">
        <f t="shared" si="38"/>
        <v>57.789435449365627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0.14137922259726465</v>
      </c>
      <c r="AD121" s="231">
        <f>(INDEX(Models!$BJ121:$BT121,,AH121)*(1-AF121)+INDEX(Models!$BJ121:$BT121,,AH121+1)*AF121-ERP_i)*AE121*Ramure*Pc/MaxiM</f>
        <v>1.6187646381943552E-3</v>
      </c>
      <c r="AE121" s="305">
        <f t="shared" si="40"/>
        <v>0.7</v>
      </c>
      <c r="AF121" s="177">
        <f t="shared" si="41"/>
        <v>4.8446260880749215E-2</v>
      </c>
      <c r="AG121" s="921">
        <f t="shared" si="49"/>
        <v>2</v>
      </c>
      <c r="AH121" s="176">
        <f t="shared" si="42"/>
        <v>8</v>
      </c>
      <c r="AI121" s="225">
        <f t="shared" si="43"/>
        <v>2.0484462608807492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35.588089062914186</v>
      </c>
      <c r="C122" s="955"/>
      <c r="D122" s="393">
        <f t="shared" si="25"/>
        <v>37.91111749869853</v>
      </c>
      <c r="E122" s="385">
        <f t="shared" si="47"/>
        <v>41.278674594979385</v>
      </c>
      <c r="F122" s="385">
        <f t="shared" si="26"/>
        <v>41.280385657535312</v>
      </c>
      <c r="G122" s="110">
        <f t="shared" si="48"/>
        <v>0.71317339135486912</v>
      </c>
      <c r="H122" s="414" t="b">
        <f>Wh_hp&gt;='2025'!Maxi_hp</f>
        <v>0</v>
      </c>
      <c r="I122" s="390">
        <f>IF(H122,Wh_hp,'2025'!Maxi_hp)</f>
        <v>42.269665111428111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6.1275651815436261E-2</v>
      </c>
      <c r="M122" s="959"/>
      <c r="N122" s="959"/>
      <c r="O122" s="48">
        <f>IF(t&lt;Tnet,'2025'!Resal+('2025'!Salim-'2025'!Resal)*(1-EXP(('2025'!Tnet-t)/('2025'!Tau_j))),Resal+(Salim-Resal)*(1-EXP((Tnet-t)/(Tau_j))))*Salcycl</f>
        <v>8.1581037407883403E-2</v>
      </c>
      <c r="P122" s="169">
        <f>(INDEX(Models!$BJ122:$BT122,,T122)*(1-R122)+INDEX(Models!$BJ122:$BT122,,T122+1)*R122-ERP_i)*Q122*Ramure*Pc/MaxiM</f>
        <v>7.0220880044921094E-5</v>
      </c>
      <c r="Q122" s="305">
        <f t="shared" si="28"/>
        <v>0.7</v>
      </c>
      <c r="R122" s="177">
        <f t="shared" si="29"/>
        <v>0.52530917482949291</v>
      </c>
      <c r="S122" s="921">
        <f t="shared" si="30"/>
        <v>-2</v>
      </c>
      <c r="T122" s="176">
        <f t="shared" si="31"/>
        <v>4</v>
      </c>
      <c r="U122" s="251">
        <f t="shared" si="32"/>
        <v>-1.4746908251705071</v>
      </c>
      <c r="V122" s="383">
        <f t="shared" si="33"/>
        <v>49.899597409395007</v>
      </c>
      <c r="W122" s="402">
        <f t="shared" si="34"/>
        <v>35.588089062914186</v>
      </c>
      <c r="X122" s="157">
        <f t="shared" si="35"/>
        <v>46130</v>
      </c>
      <c r="Y122" s="385">
        <f t="shared" si="36"/>
        <v>33.23756572808913</v>
      </c>
      <c r="Z122" s="385">
        <f t="shared" si="37"/>
        <v>35.407162701562584</v>
      </c>
      <c r="AA122" s="386">
        <f t="shared" si="38"/>
        <v>41.240385490810617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0.14144442928516798</v>
      </c>
      <c r="AD122" s="231">
        <f>(INDEX(Models!$BJ122:$BT122,,AH122)*(1-AF122)+INDEX(Models!$BJ122:$BT122,,AH122+1)*AF122-ERP_i)*AE122*Ramure*Pc/MaxiM</f>
        <v>1.6415804902184684E-3</v>
      </c>
      <c r="AE122" s="305">
        <f t="shared" si="40"/>
        <v>0.7</v>
      </c>
      <c r="AF122" s="177">
        <f t="shared" si="41"/>
        <v>5.0296741203472273E-2</v>
      </c>
      <c r="AG122" s="921">
        <f t="shared" si="49"/>
        <v>2</v>
      </c>
      <c r="AH122" s="176">
        <f t="shared" si="42"/>
        <v>8</v>
      </c>
      <c r="AI122" s="225">
        <f t="shared" si="43"/>
        <v>2.0502967412034723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8.5188952996796239</v>
      </c>
      <c r="C123" s="955"/>
      <c r="D123" s="393">
        <f t="shared" si="25"/>
        <v>9.0751687712287854</v>
      </c>
      <c r="E123" s="385">
        <f t="shared" si="47"/>
        <v>9.8823811075597909</v>
      </c>
      <c r="F123" s="385">
        <f t="shared" si="26"/>
        <v>9.8823811075597909</v>
      </c>
      <c r="G123" s="110">
        <f t="shared" si="48"/>
        <v>0.17036467148384921</v>
      </c>
      <c r="H123" s="414" t="b">
        <f>Wh_hp&gt;='2025'!Maxi_hp</f>
        <v>0</v>
      </c>
      <c r="I123" s="390">
        <f>IF(H123,Wh_hp,'2025'!Maxi_hp)</f>
        <v>56.035337326864806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6.1296212287834106E-2</v>
      </c>
      <c r="M123" s="959"/>
      <c r="N123" s="959"/>
      <c r="O123" s="48">
        <f>IF(t&lt;Tnet,'2025'!Resal+('2025'!Salim-'2025'!Resal)*(1-EXP(('2025'!Tnet-t)/('2025'!Tau_j))),Resal+(Salim-Resal)*(1-EXP((Tnet-t)/(Tau_j))))*Salcycl</f>
        <v>8.1681967892687973E-2</v>
      </c>
      <c r="P123" s="169">
        <f>(INDEX(Models!$BJ123:$BT123,,T123)*(1-R123)+INDEX(Models!$BJ123:$BT123,,T123+1)*R123-ERP_i)*Q123*Ramure*Pc/MaxiM</f>
        <v>7.7693738547208744E-5</v>
      </c>
      <c r="Q123" s="305">
        <f t="shared" si="28"/>
        <v>0.7</v>
      </c>
      <c r="R123" s="177">
        <f t="shared" si="29"/>
        <v>0.52722122791412973</v>
      </c>
      <c r="S123" s="921">
        <f t="shared" si="30"/>
        <v>-2</v>
      </c>
      <c r="T123" s="176">
        <f t="shared" si="31"/>
        <v>4</v>
      </c>
      <c r="U123" s="251">
        <f t="shared" si="32"/>
        <v>-1.4727787720858703</v>
      </c>
      <c r="V123" s="383">
        <f t="shared" si="33"/>
        <v>49.999999182125272</v>
      </c>
      <c r="W123" s="402">
        <f t="shared" si="34"/>
        <v>8.5188952996796239</v>
      </c>
      <c r="X123" s="157">
        <f t="shared" si="35"/>
        <v>46131</v>
      </c>
      <c r="Y123" s="385">
        <f t="shared" si="36"/>
        <v>7.9638782323267456</v>
      </c>
      <c r="Z123" s="385">
        <f t="shared" si="37"/>
        <v>8.483909766398753</v>
      </c>
      <c r="AA123" s="386">
        <f t="shared" si="38"/>
        <v>9.8823811075597909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0.14151157761880279</v>
      </c>
      <c r="AD123" s="231">
        <f>(INDEX(Models!$BJ123:$BT123,,AH123)*(1-AF123)+INDEX(Models!$BJ123:$BT123,,AH123+1)*AF123-ERP_i)*AE123*Ramure*Pc/MaxiM</f>
        <v>1.6700313420034039E-3</v>
      </c>
      <c r="AE123" s="305">
        <f t="shared" si="40"/>
        <v>0.7</v>
      </c>
      <c r="AF123" s="177">
        <f t="shared" si="41"/>
        <v>5.2208794288108873E-2</v>
      </c>
      <c r="AG123" s="921">
        <f t="shared" si="49"/>
        <v>2</v>
      </c>
      <c r="AH123" s="176">
        <f t="shared" si="42"/>
        <v>8</v>
      </c>
      <c r="AI123" s="225">
        <f t="shared" si="43"/>
        <v>2.0522087942881089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9.6115488146538652</v>
      </c>
      <c r="C124" s="955"/>
      <c r="D124" s="393">
        <f t="shared" si="25"/>
        <v>10.239395496930198</v>
      </c>
      <c r="E124" s="385">
        <f t="shared" si="47"/>
        <v>11.151401932065481</v>
      </c>
      <c r="F124" s="385">
        <f t="shared" si="26"/>
        <v>11.151401932065481</v>
      </c>
      <c r="G124" s="110">
        <f t="shared" si="48"/>
        <v>0.1918424297006491</v>
      </c>
      <c r="H124" s="414" t="b">
        <f>Wh_hp&gt;='2025'!Maxi_hp</f>
        <v>0</v>
      </c>
      <c r="I124" s="390">
        <f>IF(H124,Wh_hp,'2025'!Maxi_hp)</f>
        <v>54.638540839726012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6.1316772309904732E-2</v>
      </c>
      <c r="M124" s="959"/>
      <c r="N124" s="959"/>
      <c r="O124" s="48">
        <f>IF(t&lt;Tnet,'2025'!Resal+('2025'!Salim-'2025'!Resal)*(1-EXP(('2025'!Tnet-t)/('2025'!Tau_j))),Resal+(Salim-Resal)*(1-EXP((Tnet-t)/(Tau_j))))*Salcycl</f>
        <v>8.1784016098714746E-2</v>
      </c>
      <c r="P124" s="169">
        <f>(INDEX(Models!$BJ124:$BT124,,T124)*(1-R124)+INDEX(Models!$BJ124:$BT124,,T124+1)*R124-ERP_i)*Q124*Ramure*Pc/MaxiM</f>
        <v>8.6099103763237277E-5</v>
      </c>
      <c r="Q124" s="305">
        <f t="shared" si="28"/>
        <v>0.7</v>
      </c>
      <c r="R124" s="177">
        <f t="shared" si="29"/>
        <v>0.52919628264279894</v>
      </c>
      <c r="S124" s="921">
        <f t="shared" si="30"/>
        <v>-2</v>
      </c>
      <c r="T124" s="176">
        <f t="shared" si="31"/>
        <v>4</v>
      </c>
      <c r="U124" s="251">
        <f t="shared" si="32"/>
        <v>-1.4708037173572011</v>
      </c>
      <c r="V124" s="383">
        <f t="shared" si="33"/>
        <v>50.096953442008193</v>
      </c>
      <c r="W124" s="402">
        <f t="shared" si="34"/>
        <v>9.6115488146538652</v>
      </c>
      <c r="X124" s="157">
        <f t="shared" si="35"/>
        <v>46132</v>
      </c>
      <c r="Y124" s="385">
        <f t="shared" si="36"/>
        <v>8.9856191817997946</v>
      </c>
      <c r="Z124" s="385">
        <f t="shared" si="37"/>
        <v>9.5725788175757014</v>
      </c>
      <c r="AA124" s="386">
        <f t="shared" si="38"/>
        <v>11.151401932065481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0.14158068412456082</v>
      </c>
      <c r="AD124" s="231">
        <f>(INDEX(Models!$BJ124:$BT124,,AH124)*(1-AF124)+INDEX(Models!$BJ124:$BT124,,AH124+1)*AF124-ERP_i)*AE124*Ramure*Pc/MaxiM</f>
        <v>1.7041736829941077E-3</v>
      </c>
      <c r="AE124" s="305">
        <f t="shared" si="40"/>
        <v>0.7</v>
      </c>
      <c r="AF124" s="177">
        <f t="shared" si="41"/>
        <v>5.4183849016778307E-2</v>
      </c>
      <c r="AG124" s="921">
        <f t="shared" si="49"/>
        <v>2</v>
      </c>
      <c r="AH124" s="176">
        <f t="shared" si="42"/>
        <v>8</v>
      </c>
      <c r="AI124" s="225">
        <f t="shared" si="43"/>
        <v>2.0541838490167783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8.6806097271227678</v>
      </c>
      <c r="C125" s="955"/>
      <c r="D125" s="393">
        <f t="shared" si="25"/>
        <v>9.247848052297698</v>
      </c>
      <c r="E125" s="385">
        <f t="shared" si="47"/>
        <v>10.072670784080477</v>
      </c>
      <c r="F125" s="385">
        <f t="shared" si="26"/>
        <v>10.072670784080477</v>
      </c>
      <c r="G125" s="110">
        <f t="shared" si="48"/>
        <v>0.17293719283133852</v>
      </c>
      <c r="H125" s="414" t="b">
        <f>Wh_hp&gt;='2025'!Maxi_hp</f>
        <v>0</v>
      </c>
      <c r="I125" s="390">
        <f>IF(H125,Wh_hp,'2025'!Maxi_hp)</f>
        <v>49.293646269634195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6.133733188165813E-2</v>
      </c>
      <c r="M125" s="959"/>
      <c r="N125" s="959"/>
      <c r="O125" s="48">
        <f>IF(t&lt;Tnet,'2025'!Resal+('2025'!Salim-'2025'!Resal)*(1-EXP(('2025'!Tnet-t)/('2025'!Tau_j))),Resal+(Salim-Resal)*(1-EXP((Tnet-t)/(Tau_j))))*Salcycl</f>
        <v>8.1887192529550762E-2</v>
      </c>
      <c r="P125" s="169">
        <f>(INDEX(Models!$BJ125:$BT125,,T125)*(1-R125)+INDEX(Models!$BJ125:$BT125,,T125+1)*R125-ERP_i)*Q125*Ramure*Pc/MaxiM</f>
        <v>9.5460965207154285E-5</v>
      </c>
      <c r="Q125" s="305">
        <f t="shared" si="28"/>
        <v>0.7</v>
      </c>
      <c r="R125" s="177">
        <f t="shared" si="29"/>
        <v>0.53123575370827214</v>
      </c>
      <c r="S125" s="921">
        <f t="shared" si="30"/>
        <v>-2</v>
      </c>
      <c r="T125" s="176">
        <f t="shared" si="31"/>
        <v>4</v>
      </c>
      <c r="U125" s="251">
        <f t="shared" si="32"/>
        <v>-1.4687642462917279</v>
      </c>
      <c r="V125" s="383">
        <f t="shared" si="33"/>
        <v>50.190366373095991</v>
      </c>
      <c r="W125" s="402">
        <f t="shared" si="34"/>
        <v>8.6806097271227678</v>
      </c>
      <c r="X125" s="157">
        <f t="shared" si="35"/>
        <v>46133</v>
      </c>
      <c r="Y125" s="385">
        <f t="shared" si="36"/>
        <v>8.1155452782067634</v>
      </c>
      <c r="Z125" s="385">
        <f t="shared" si="37"/>
        <v>8.6458592142322175</v>
      </c>
      <c r="AA125" s="386">
        <f t="shared" si="38"/>
        <v>10.072670784080477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0.14165176251995523</v>
      </c>
      <c r="AD125" s="231">
        <f>(INDEX(Models!$BJ125:$BT125,,AH125)*(1-AF125)+INDEX(Models!$BJ125:$BT125,,AH125+1)*AF125-ERP_i)*AE125*Ramure*Pc/MaxiM</f>
        <v>1.7440760863005726E-3</v>
      </c>
      <c r="AE125" s="305">
        <f t="shared" si="40"/>
        <v>0.7</v>
      </c>
      <c r="AF125" s="177">
        <f t="shared" si="41"/>
        <v>5.622332008225106E-2</v>
      </c>
      <c r="AG125" s="921">
        <f t="shared" si="49"/>
        <v>2</v>
      </c>
      <c r="AH125" s="176">
        <f t="shared" si="42"/>
        <v>8</v>
      </c>
      <c r="AI125" s="225">
        <f t="shared" si="43"/>
        <v>2.0562233200822511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26.246434318331801</v>
      </c>
      <c r="C126" s="955"/>
      <c r="D126" s="393">
        <f t="shared" si="25"/>
        <v>27.96213175049299</v>
      </c>
      <c r="E126" s="385">
        <f t="shared" si="47"/>
        <v>30.459556674761366</v>
      </c>
      <c r="F126" s="385">
        <f t="shared" si="26"/>
        <v>30.460578811244304</v>
      </c>
      <c r="G126" s="110">
        <f t="shared" si="48"/>
        <v>0.52196624268879022</v>
      </c>
      <c r="H126" s="414" t="b">
        <f>Wh_hp&gt;='2025'!Maxi_hp</f>
        <v>0</v>
      </c>
      <c r="I126" s="390">
        <f>IF(H126,Wh_hp,'2025'!Maxi_hp)</f>
        <v>60.094501166563738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6.1357891003104181E-2</v>
      </c>
      <c r="M126" s="959"/>
      <c r="N126" s="959"/>
      <c r="O126" s="48">
        <f>IF(t&lt;Tnet,'2025'!Resal+('2025'!Salim-'2025'!Resal)*(1-EXP(('2025'!Tnet-t)/('2025'!Tau_j))),Resal+(Salim-Resal)*(1-EXP((Tnet-t)/(Tau_j))))*Salcycl</f>
        <v>8.1991506013537288E-2</v>
      </c>
      <c r="P126" s="169">
        <f>(INDEX(Models!$BJ126:$BT126,,T126)*(1-R126)+INDEX(Models!$BJ126:$BT126,,T126+1)*R126-ERP_i)*Q126*Ramure*Pc/MaxiM</f>
        <v>1.0580545521969352E-4</v>
      </c>
      <c r="Q126" s="305">
        <f t="shared" si="28"/>
        <v>0.7</v>
      </c>
      <c r="R126" s="177">
        <f t="shared" si="29"/>
        <v>0.53334103725515458</v>
      </c>
      <c r="S126" s="921">
        <f t="shared" si="30"/>
        <v>-2</v>
      </c>
      <c r="T126" s="176">
        <f t="shared" si="31"/>
        <v>4</v>
      </c>
      <c r="U126" s="251">
        <f t="shared" si="32"/>
        <v>-1.4666589627448454</v>
      </c>
      <c r="V126" s="383">
        <f t="shared" si="33"/>
        <v>50.280144229336415</v>
      </c>
      <c r="W126" s="402">
        <f t="shared" si="34"/>
        <v>26.246434318331801</v>
      </c>
      <c r="X126" s="157">
        <f t="shared" si="35"/>
        <v>46134</v>
      </c>
      <c r="Y126" s="385">
        <f t="shared" si="36"/>
        <v>24.525515529634362</v>
      </c>
      <c r="Z126" s="385">
        <f t="shared" si="37"/>
        <v>26.128718597383394</v>
      </c>
      <c r="AA126" s="386">
        <f t="shared" si="38"/>
        <v>30.443288254991316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0.14172482359557623</v>
      </c>
      <c r="AD126" s="231">
        <f>(INDEX(Models!$BJ126:$BT126,,AH126)*(1-AF126)+INDEX(Models!$BJ126:$BT126,,AH126+1)*AF126-ERP_i)*AE126*Ramure*Pc/MaxiM</f>
        <v>1.78981496687406E-3</v>
      </c>
      <c r="AE126" s="305">
        <f t="shared" si="40"/>
        <v>0.7</v>
      </c>
      <c r="AF126" s="177">
        <f t="shared" si="41"/>
        <v>5.8328603629133724E-2</v>
      </c>
      <c r="AG126" s="921">
        <f t="shared" si="49"/>
        <v>2</v>
      </c>
      <c r="AH126" s="176">
        <f t="shared" si="42"/>
        <v>8</v>
      </c>
      <c r="AI126" s="225">
        <f t="shared" si="43"/>
        <v>2.0583286036291337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9.0186587180407471</v>
      </c>
      <c r="C127" s="955"/>
      <c r="D127" s="393">
        <f t="shared" si="25"/>
        <v>9.6084078987008485</v>
      </c>
      <c r="E127" s="385">
        <f t="shared" si="47"/>
        <v>10.467780928872939</v>
      </c>
      <c r="F127" s="385">
        <f t="shared" si="26"/>
        <v>10.467780928872939</v>
      </c>
      <c r="G127" s="110">
        <f t="shared" si="48"/>
        <v>0.17904077094139914</v>
      </c>
      <c r="H127" s="414" t="b">
        <f>Wh_hp&gt;='2025'!Maxi_hp</f>
        <v>0</v>
      </c>
      <c r="I127" s="390">
        <f>IF(H127,Wh_hp,'2025'!Maxi_hp)</f>
        <v>60.511949341362161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6.1378449674252655E-2</v>
      </c>
      <c r="M127" s="959"/>
      <c r="N127" s="959"/>
      <c r="O127" s="48">
        <f>IF(t&lt;Tnet,'2025'!Resal+('2025'!Salim-'2025'!Resal)*(1-EXP(('2025'!Tnet-t)/('2025'!Tau_j))),Resal+(Salim-Resal)*(1-EXP((Tnet-t)/(Tau_j))))*Salcycl</f>
        <v>8.209696362690494E-2</v>
      </c>
      <c r="P127" s="169">
        <f>(INDEX(Models!$BJ127:$BT127,,T127)*(1-R127)+INDEX(Models!$BJ127:$BT127,,T127+1)*R127-ERP_i)*Q127*Ramure*Pc/MaxiM</f>
        <v>1.1716060378392051E-4</v>
      </c>
      <c r="Q127" s="305">
        <f t="shared" si="28"/>
        <v>0.7</v>
      </c>
      <c r="R127" s="177">
        <f t="shared" si="29"/>
        <v>0.53551350625918803</v>
      </c>
      <c r="S127" s="921">
        <f t="shared" si="30"/>
        <v>-2</v>
      </c>
      <c r="T127" s="176">
        <f t="shared" si="31"/>
        <v>4</v>
      </c>
      <c r="U127" s="251">
        <f t="shared" si="32"/>
        <v>-1.464486493740812</v>
      </c>
      <c r="V127" s="383">
        <f t="shared" si="33"/>
        <v>50.366193348729055</v>
      </c>
      <c r="W127" s="402">
        <f t="shared" si="34"/>
        <v>9.0186587180407471</v>
      </c>
      <c r="X127" s="157">
        <f t="shared" si="35"/>
        <v>46135</v>
      </c>
      <c r="Y127" s="385">
        <f t="shared" si="36"/>
        <v>8.4320606116459693</v>
      </c>
      <c r="Z127" s="385">
        <f t="shared" si="37"/>
        <v>8.9834509006528069</v>
      </c>
      <c r="AA127" s="386">
        <f t="shared" si="38"/>
        <v>10.467780928872939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0.14179987509348357</v>
      </c>
      <c r="AD127" s="231">
        <f>(INDEX(Models!$BJ127:$BT127,,AH127)*(1-AF127)+INDEX(Models!$BJ127:$BT127,,AH127+1)*AF127-ERP_i)*AE127*Ramure*Pc/MaxiM</f>
        <v>1.8414695225923215E-3</v>
      </c>
      <c r="AE127" s="305">
        <f t="shared" si="40"/>
        <v>0.7</v>
      </c>
      <c r="AF127" s="177">
        <f t="shared" si="41"/>
        <v>6.0501072633166952E-2</v>
      </c>
      <c r="AG127" s="921">
        <f t="shared" si="49"/>
        <v>2</v>
      </c>
      <c r="AH127" s="176">
        <f t="shared" si="42"/>
        <v>8</v>
      </c>
      <c r="AI127" s="225">
        <f t="shared" si="43"/>
        <v>2.060501072633167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23.182900274020771</v>
      </c>
      <c r="C128" s="955"/>
      <c r="D128" s="393">
        <f t="shared" si="25"/>
        <v>24.699420167915331</v>
      </c>
      <c r="E128" s="385">
        <f t="shared" si="47"/>
        <v>26.911654237378713</v>
      </c>
      <c r="F128" s="385">
        <f t="shared" si="26"/>
        <v>26.912450281293598</v>
      </c>
      <c r="G128" s="110">
        <f t="shared" si="48"/>
        <v>0.45949075043399834</v>
      </c>
      <c r="H128" s="414" t="b">
        <f>Wh_hp&gt;='2025'!Maxi_hp</f>
        <v>0</v>
      </c>
      <c r="I128" s="390">
        <f>IF(H128,Wh_hp,'2025'!Maxi_hp)</f>
        <v>59.112989516648078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6.1399007895113544E-2</v>
      </c>
      <c r="M128" s="959"/>
      <c r="N128" s="959"/>
      <c r="O128" s="48">
        <f>IF(t&lt;Tnet,'2025'!Resal+('2025'!Salim-'2025'!Resal)*(1-EXP(('2025'!Tnet-t)/('2025'!Tau_j))),Resal+(Salim-Resal)*(1-EXP((Tnet-t)/(Tau_j))))*Salcycl</f>
        <v>8.22035706147978E-2</v>
      </c>
      <c r="P128" s="169">
        <f>(INDEX(Models!$BJ128:$BT128,,T128)*(1-R128)+INDEX(Models!$BJ128:$BT128,,T128+1)*R128-ERP_i)*Q128*Ramure*Pc/MaxiM</f>
        <v>1.2978393887927848E-4</v>
      </c>
      <c r="Q128" s="305">
        <f t="shared" si="28"/>
        <v>0.7</v>
      </c>
      <c r="R128" s="177">
        <f t="shared" si="29"/>
        <v>0.53775450564576954</v>
      </c>
      <c r="S128" s="921">
        <f t="shared" si="30"/>
        <v>-2</v>
      </c>
      <c r="T128" s="176">
        <f t="shared" si="31"/>
        <v>4</v>
      </c>
      <c r="U128" s="251">
        <f t="shared" si="32"/>
        <v>-1.4622454943542305</v>
      </c>
      <c r="V128" s="383">
        <f t="shared" si="33"/>
        <v>50.44840868456658</v>
      </c>
      <c r="W128" s="402">
        <f t="shared" si="34"/>
        <v>23.182900274020771</v>
      </c>
      <c r="X128" s="157">
        <f t="shared" si="35"/>
        <v>46136</v>
      </c>
      <c r="Y128" s="385">
        <f t="shared" si="36"/>
        <v>21.666844461754486</v>
      </c>
      <c r="Z128" s="385">
        <f t="shared" si="37"/>
        <v>23.084190879837966</v>
      </c>
      <c r="AA128" s="386">
        <f t="shared" si="38"/>
        <v>26.900792509167342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0.1418769215824679</v>
      </c>
      <c r="AD128" s="231">
        <f>(INDEX(Models!$BJ128:$BT128,,AH128)*(1-AF128)+INDEX(Models!$BJ128:$BT128,,AH128+1)*AF128-ERP_i)*AE128*Ramure*Pc/MaxiM</f>
        <v>1.900638340191667E-3</v>
      </c>
      <c r="AE128" s="305">
        <f t="shared" si="40"/>
        <v>0.7</v>
      </c>
      <c r="AF128" s="177">
        <f t="shared" si="41"/>
        <v>6.2742072019748463E-2</v>
      </c>
      <c r="AG128" s="921">
        <f t="shared" si="49"/>
        <v>2</v>
      </c>
      <c r="AH128" s="176">
        <f t="shared" si="42"/>
        <v>8</v>
      </c>
      <c r="AI128" s="225">
        <f t="shared" si="43"/>
        <v>2.0627420720197485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43.969110135070189</v>
      </c>
      <c r="C129" s="955"/>
      <c r="D129" s="393">
        <f t="shared" si="25"/>
        <v>46.846395393119053</v>
      </c>
      <c r="E129" s="385">
        <f t="shared" si="47"/>
        <v>51.048244290702861</v>
      </c>
      <c r="F129" s="385">
        <f t="shared" si="26"/>
        <v>51.054203273278517</v>
      </c>
      <c r="G129" s="110">
        <f t="shared" si="48"/>
        <v>0.87019192202226325</v>
      </c>
      <c r="H129" s="414" t="b">
        <f>Wh_hp&gt;='2025'!Maxi_hp</f>
        <v>0</v>
      </c>
      <c r="I129" s="390">
        <f>IF(H129,Wh_hp,'2025'!Maxi_hp)</f>
        <v>55.415664195239167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6.1419565665696618E-2</v>
      </c>
      <c r="M129" s="959"/>
      <c r="N129" s="959"/>
      <c r="O129" s="48">
        <f>IF(t&lt;Tnet,'2025'!Resal+('2025'!Salim-'2025'!Resal)*(1-EXP(('2025'!Tnet-t)/('2025'!Tau_j))),Resal+(Salim-Resal)*(1-EXP((Tnet-t)/(Tau_j))))*Salcycl</f>
        <v>8.2311330310513117E-2</v>
      </c>
      <c r="P129" s="169">
        <f>(INDEX(Models!$BJ129:$BT129,,T129)*(1-R129)+INDEX(Models!$BJ129:$BT129,,T129+1)*R129-ERP_i)*Q129*Ramure*Pc/MaxiM</f>
        <v>1.432847538964765E-4</v>
      </c>
      <c r="Q129" s="305">
        <f t="shared" si="28"/>
        <v>0.7</v>
      </c>
      <c r="R129" s="177">
        <f t="shared" si="29"/>
        <v>0.54006534715073529</v>
      </c>
      <c r="S129" s="921">
        <f t="shared" si="30"/>
        <v>-2</v>
      </c>
      <c r="T129" s="176">
        <f t="shared" si="31"/>
        <v>4</v>
      </c>
      <c r="U129" s="251">
        <f t="shared" si="32"/>
        <v>-1.4599346528492647</v>
      </c>
      <c r="V129" s="383">
        <f t="shared" si="33"/>
        <v>50.526718074794779</v>
      </c>
      <c r="W129" s="402">
        <f t="shared" si="34"/>
        <v>43.969110135070189</v>
      </c>
      <c r="X129" s="157">
        <f t="shared" si="35"/>
        <v>46137</v>
      </c>
      <c r="Y129" s="385">
        <f t="shared" si="36"/>
        <v>41.050360793629494</v>
      </c>
      <c r="Z129" s="385">
        <f t="shared" si="37"/>
        <v>43.736646633535287</v>
      </c>
      <c r="AA129" s="386">
        <f t="shared" si="38"/>
        <v>50.972496533260475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0.14195596433075749</v>
      </c>
      <c r="AD129" s="231">
        <f>(INDEX(Models!$BJ129:$BT129,,AH129)*(1-AF129)+INDEX(Models!$BJ129:$BT129,,AH129+1)*AF129-ERP_i)*AE129*Ramure*Pc/MaxiM</f>
        <v>1.9646525202142492E-3</v>
      </c>
      <c r="AE129" s="305">
        <f t="shared" si="40"/>
        <v>0.7</v>
      </c>
      <c r="AF129" s="177">
        <f t="shared" si="41"/>
        <v>6.5052913524714207E-2</v>
      </c>
      <c r="AG129" s="921">
        <f t="shared" si="49"/>
        <v>2</v>
      </c>
      <c r="AH129" s="176">
        <f t="shared" si="42"/>
        <v>8</v>
      </c>
      <c r="AI129" s="225">
        <f t="shared" si="43"/>
        <v>2.0650529135247142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49.176146698993975</v>
      </c>
      <c r="C130" s="955"/>
      <c r="D130" s="393">
        <f t="shared" si="25"/>
        <v>52.395321708666067</v>
      </c>
      <c r="E130" s="385">
        <f t="shared" si="47"/>
        <v>57.101653964250559</v>
      </c>
      <c r="F130" s="385">
        <f t="shared" si="26"/>
        <v>57.110297592033028</v>
      </c>
      <c r="G130" s="110">
        <f t="shared" si="48"/>
        <v>0.97183468915298821</v>
      </c>
      <c r="H130" s="414" t="b">
        <f>Wh_hp&gt;='2025'!Maxi_hp</f>
        <v>0</v>
      </c>
      <c r="I130" s="390">
        <f>IF(H130,Wh_hp,'2025'!Maxi_hp)</f>
        <v>57.110631606618483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6.1440122986011647E-2</v>
      </c>
      <c r="M130" s="959"/>
      <c r="N130" s="959"/>
      <c r="O130" s="48">
        <f>IF(t&lt;Tnet,'2025'!Resal+('2025'!Salim-'2025'!Resal)*(1-EXP(('2025'!Tnet-t)/('2025'!Tau_j))),Resal+(Salim-Resal)*(1-EXP((Tnet-t)/(Tau_j))))*Salcycl</f>
        <v>8.2420244053367842E-2</v>
      </c>
      <c r="P130" s="169">
        <f>(INDEX(Models!$BJ130:$BT130,,T130)*(1-R130)+INDEX(Models!$BJ130:$BT130,,T130+1)*R130-ERP_i)*Q130*Ramure*Pc/MaxiM</f>
        <v>1.5769330795917962E-4</v>
      </c>
      <c r="Q130" s="305">
        <f t="shared" si="28"/>
        <v>0.7</v>
      </c>
      <c r="R130" s="177">
        <f t="shared" si="29"/>
        <v>0.54244730392859419</v>
      </c>
      <c r="S130" s="921">
        <f t="shared" si="30"/>
        <v>-2</v>
      </c>
      <c r="T130" s="176">
        <f t="shared" si="31"/>
        <v>4</v>
      </c>
      <c r="U130" s="251">
        <f t="shared" si="32"/>
        <v>-1.4575526960714058</v>
      </c>
      <c r="V130" s="383">
        <f t="shared" si="33"/>
        <v>50.601028392617749</v>
      </c>
      <c r="W130" s="402">
        <f t="shared" si="34"/>
        <v>49.176146698993975</v>
      </c>
      <c r="X130" s="157">
        <f t="shared" si="35"/>
        <v>46138</v>
      </c>
      <c r="Y130" s="385">
        <f t="shared" si="36"/>
        <v>45.898287803929833</v>
      </c>
      <c r="Z130" s="385">
        <f t="shared" si="37"/>
        <v>48.902887208384001</v>
      </c>
      <c r="AA130" s="386">
        <f t="shared" si="38"/>
        <v>56.998830107435126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0.14203700117689017</v>
      </c>
      <c r="AD130" s="231">
        <f>(INDEX(Models!$BJ130:$BT130,,AH130)*(1-AF130)+INDEX(Models!$BJ130:$BT130,,AH130+1)*AF130-ERP_i)*AE130*Ramure*Pc/MaxiM</f>
        <v>2.0335994120180213E-3</v>
      </c>
      <c r="AE130" s="305">
        <f t="shared" si="40"/>
        <v>0.7</v>
      </c>
      <c r="AF130" s="177">
        <f t="shared" si="41"/>
        <v>6.7434870302573557E-2</v>
      </c>
      <c r="AG130" s="921">
        <f t="shared" si="49"/>
        <v>2</v>
      </c>
      <c r="AH130" s="176">
        <f t="shared" si="42"/>
        <v>8</v>
      </c>
      <c r="AI130" s="225">
        <f t="shared" si="43"/>
        <v>2.0674348703025736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36.248454036567011</v>
      </c>
      <c r="C131" s="955"/>
      <c r="D131" s="393">
        <f t="shared" si="25"/>
        <v>38.622200752343616</v>
      </c>
      <c r="E131" s="385">
        <f t="shared" si="47"/>
        <v>42.096432416082422</v>
      </c>
      <c r="F131" s="385">
        <f t="shared" si="26"/>
        <v>42.100755294386033</v>
      </c>
      <c r="G131" s="110">
        <f t="shared" si="48"/>
        <v>0.715315009171687</v>
      </c>
      <c r="H131" s="414" t="b">
        <f>Wh_hp&gt;='2025'!Maxi_hp</f>
        <v>0</v>
      </c>
      <c r="I131" s="390">
        <f>IF(H131,Wh_hp,'2025'!Maxi_hp)</f>
        <v>42.103474182693475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6.1460679856068734E-2</v>
      </c>
      <c r="M131" s="959"/>
      <c r="N131" s="959"/>
      <c r="O131" s="48">
        <f>IF(t&lt;Tnet,'2025'!Resal+('2025'!Salim-'2025'!Resal)*(1-EXP(('2025'!Tnet-t)/('2025'!Tau_j))),Resal+(Salim-Resal)*(1-EXP((Tnet-t)/(Tau_j))))*Salcycl</f>
        <v>8.253031110568701E-2</v>
      </c>
      <c r="P131" s="169">
        <f>(INDEX(Models!$BJ131:$BT131,,T131)*(1-R131)+INDEX(Models!$BJ131:$BT131,,T131+1)*R131-ERP_i)*Q131*Ramure*Pc/MaxiM</f>
        <v>1.7304175002829934E-4</v>
      </c>
      <c r="Q131" s="305">
        <f t="shared" si="28"/>
        <v>0.7</v>
      </c>
      <c r="R131" s="177">
        <f t="shared" si="29"/>
        <v>0.54490160491572914</v>
      </c>
      <c r="S131" s="921">
        <f t="shared" si="30"/>
        <v>-2</v>
      </c>
      <c r="T131" s="176">
        <f t="shared" si="31"/>
        <v>4</v>
      </c>
      <c r="U131" s="251">
        <f t="shared" si="32"/>
        <v>-1.4550983950842709</v>
      </c>
      <c r="V131" s="383">
        <f t="shared" si="33"/>
        <v>50.671246628113238</v>
      </c>
      <c r="W131" s="402">
        <f t="shared" si="34"/>
        <v>36.248454036567011</v>
      </c>
      <c r="X131" s="157">
        <f t="shared" si="35"/>
        <v>46139</v>
      </c>
      <c r="Y131" s="385">
        <f t="shared" si="36"/>
        <v>33.855203233395144</v>
      </c>
      <c r="Z131" s="385">
        <f t="shared" si="37"/>
        <v>36.072226817522385</v>
      </c>
      <c r="AA131" s="386">
        <f t="shared" si="38"/>
        <v>42.048104545596139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0.14212002639961172</v>
      </c>
      <c r="AD131" s="231">
        <f>(INDEX(Models!$BJ131:$BT131,,AH131)*(1-AF131)+INDEX(Models!$BJ131:$BT131,,AH131+1)*AF131-ERP_i)*AE131*Ramure*Pc/MaxiM</f>
        <v>2.1075721015063648E-3</v>
      </c>
      <c r="AE131" s="305">
        <f t="shared" si="40"/>
        <v>0.7</v>
      </c>
      <c r="AF131" s="177">
        <f t="shared" si="41"/>
        <v>6.9889171289708507E-2</v>
      </c>
      <c r="AG131" s="921">
        <f t="shared" si="49"/>
        <v>2</v>
      </c>
      <c r="AH131" s="176">
        <f t="shared" si="42"/>
        <v>8</v>
      </c>
      <c r="AI131" s="225">
        <f t="shared" si="43"/>
        <v>2.0698891712897085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19.495258290241125</v>
      </c>
      <c r="C132" s="955"/>
      <c r="D132" s="393">
        <f t="shared" si="25"/>
        <v>20.772369230938207</v>
      </c>
      <c r="E132" s="385">
        <f t="shared" si="47"/>
        <v>22.643677338637556</v>
      </c>
      <c r="F132" s="385">
        <f t="shared" si="26"/>
        <v>22.644193364527368</v>
      </c>
      <c r="G132" s="110">
        <f t="shared" si="48"/>
        <v>0.38417532080653244</v>
      </c>
      <c r="H132" s="414" t="b">
        <f>Wh_hp&gt;='2025'!Maxi_hp</f>
        <v>0</v>
      </c>
      <c r="I132" s="390">
        <f>IF(H132,Wh_hp,'2025'!Maxi_hp)</f>
        <v>44.927139058198264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6.1481236275877538E-2</v>
      </c>
      <c r="M132" s="959"/>
      <c r="N132" s="959"/>
      <c r="O132" s="48">
        <f>IF(t&lt;Tnet,'2025'!Resal+('2025'!Salim-'2025'!Resal)*(1-EXP(('2025'!Tnet-t)/('2025'!Tau_j))),Resal+(Salim-Resal)*(1-EXP((Tnet-t)/(Tau_j))))*Salcycl</f>
        <v>8.2641528569490905E-2</v>
      </c>
      <c r="P132" s="169">
        <f>(INDEX(Models!$BJ132:$BT132,,T132)*(1-R132)+INDEX(Models!$BJ132:$BT132,,T132+1)*R132-ERP_i)*Q132*Ramure*Pc/MaxiM</f>
        <v>1.8936416056422554E-4</v>
      </c>
      <c r="Q132" s="305">
        <f t="shared" si="28"/>
        <v>0.7</v>
      </c>
      <c r="R132" s="177">
        <f t="shared" si="29"/>
        <v>0.54742942895860658</v>
      </c>
      <c r="S132" s="921">
        <f t="shared" si="30"/>
        <v>-2</v>
      </c>
      <c r="T132" s="176">
        <f t="shared" si="31"/>
        <v>4</v>
      </c>
      <c r="U132" s="251">
        <f t="shared" si="32"/>
        <v>-1.4525705710413934</v>
      </c>
      <c r="V132" s="383">
        <f t="shared" si="33"/>
        <v>50.737279892571379</v>
      </c>
      <c r="W132" s="402">
        <f t="shared" si="34"/>
        <v>19.495258290241125</v>
      </c>
      <c r="X132" s="157">
        <f t="shared" si="35"/>
        <v>46140</v>
      </c>
      <c r="Y132" s="385">
        <f t="shared" si="36"/>
        <v>18.225061850620417</v>
      </c>
      <c r="Z132" s="385">
        <f t="shared" si="37"/>
        <v>19.41896374911229</v>
      </c>
      <c r="AA132" s="386">
        <f t="shared" si="38"/>
        <v>22.638234591675118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0.14220503058779457</v>
      </c>
      <c r="AD132" s="231">
        <f>(INDEX(Models!$BJ132:$BT132,,AH132)*(1-AF132)+INDEX(Models!$BJ132:$BT132,,AH132+1)*AF132-ERP_i)*AE132*Ramure*Pc/MaxiM</f>
        <v>2.1866693928299522E-3</v>
      </c>
      <c r="AE132" s="305">
        <f t="shared" si="40"/>
        <v>0.7</v>
      </c>
      <c r="AF132" s="177">
        <f t="shared" si="41"/>
        <v>7.2416995332585721E-2</v>
      </c>
      <c r="AG132" s="921">
        <f t="shared" si="49"/>
        <v>2</v>
      </c>
      <c r="AH132" s="176">
        <f t="shared" si="42"/>
        <v>8</v>
      </c>
      <c r="AI132" s="225">
        <f t="shared" si="43"/>
        <v>2.0724169953325857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39.468451097824691</v>
      </c>
      <c r="C133" s="955"/>
      <c r="D133" s="393">
        <f t="shared" si="25"/>
        <v>42.054903005362995</v>
      </c>
      <c r="E133" s="385">
        <f t="shared" si="47"/>
        <v>45.849093941787189</v>
      </c>
      <c r="F133" s="385">
        <f t="shared" si="26"/>
        <v>45.855552009166288</v>
      </c>
      <c r="G133" s="110">
        <f t="shared" si="48"/>
        <v>0.77690158770362483</v>
      </c>
      <c r="H133" s="414" t="b">
        <f>Wh_hp&gt;='2025'!Maxi_hp</f>
        <v>0</v>
      </c>
      <c r="I133" s="390">
        <f>IF(H133,Wh_hp,'2025'!Maxi_hp)</f>
        <v>53.012856919854819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6.150179224544805E-2</v>
      </c>
      <c r="M133" s="959"/>
      <c r="N133" s="959"/>
      <c r="O133" s="48">
        <f>IF(t&lt;Tnet,'2025'!Resal+('2025'!Salim-'2025'!Resal)*(1-EXP(('2025'!Tnet-t)/('2025'!Tau_j))),Resal+(Salim-Resal)*(1-EXP((Tnet-t)/(Tau_j))))*Salcycl</f>
        <v>8.2753891303534374E-2</v>
      </c>
      <c r="P133" s="169">
        <f>(INDEX(Models!$BJ133:$BT133,,T133)*(1-R133)+INDEX(Models!$BJ133:$BT133,,T133+1)*R133-ERP_i)*Q133*Ramure*Pc/MaxiM</f>
        <v>2.0669659103427556E-4</v>
      </c>
      <c r="Q133" s="305">
        <f t="shared" si="28"/>
        <v>0.7</v>
      </c>
      <c r="R133" s="177">
        <f t="shared" si="29"/>
        <v>0.55003189871973857</v>
      </c>
      <c r="S133" s="921">
        <f t="shared" si="30"/>
        <v>-2</v>
      </c>
      <c r="T133" s="176">
        <f t="shared" si="31"/>
        <v>4</v>
      </c>
      <c r="U133" s="251">
        <f t="shared" si="32"/>
        <v>-1.4499681012802614</v>
      </c>
      <c r="V133" s="383">
        <f t="shared" si="33"/>
        <v>50.799035427331717</v>
      </c>
      <c r="W133" s="402">
        <f t="shared" si="34"/>
        <v>39.468451097824691</v>
      </c>
      <c r="X133" s="157">
        <f t="shared" si="35"/>
        <v>46141</v>
      </c>
      <c r="Y133" s="385">
        <f t="shared" si="36"/>
        <v>36.854650758514765</v>
      </c>
      <c r="Z133" s="385">
        <f t="shared" si="37"/>
        <v>39.269814746575911</v>
      </c>
      <c r="AA133" s="386">
        <f t="shared" si="38"/>
        <v>45.784596587643698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0.14229200051149934</v>
      </c>
      <c r="AD133" s="231">
        <f>(INDEX(Models!$BJ133:$BT133,,AH133)*(1-AF133)+INDEX(Models!$BJ133:$BT133,,AH133+1)*AF133-ERP_i)*AE133*Ramure*Pc/MaxiM</f>
        <v>2.2709957767853453E-3</v>
      </c>
      <c r="AE133" s="305">
        <f t="shared" si="40"/>
        <v>0.7</v>
      </c>
      <c r="AF133" s="177">
        <f t="shared" si="41"/>
        <v>7.501946509371793E-2</v>
      </c>
      <c r="AG133" s="921">
        <f t="shared" si="49"/>
        <v>2</v>
      </c>
      <c r="AH133" s="176">
        <f t="shared" si="42"/>
        <v>8</v>
      </c>
      <c r="AI133" s="225">
        <f t="shared" si="43"/>
        <v>2.0750194650937179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41.624624717683275</v>
      </c>
      <c r="C134" s="955"/>
      <c r="D134" s="393">
        <f t="shared" si="25"/>
        <v>44.353346740377063</v>
      </c>
      <c r="E134" s="385">
        <f t="shared" si="47"/>
        <v>44.715024674951493</v>
      </c>
      <c r="F134" s="385">
        <f t="shared" si="26"/>
        <v>44.721592897445241</v>
      </c>
      <c r="G134" s="110">
        <f t="shared" si="48"/>
        <v>0.75671053971988567</v>
      </c>
      <c r="H134" s="414" t="b">
        <f>Wh_hp&gt;='2025'!Maxi_hp</f>
        <v>0</v>
      </c>
      <c r="I134" s="390">
        <f>IF(H134,Wh_hp,'2025'!Maxi_hp)</f>
        <v>59.629748537925202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6.1522347764789931E-2</v>
      </c>
      <c r="M134" s="959"/>
      <c r="N134" s="959"/>
      <c r="O134" s="48">
        <f>IF(t&lt;Tnet,'2025'!Resal+('2025'!Salim-'2025'!Resal)*(1-EXP(('2025'!Tnet-t)/('2025'!Tau_j))),Resal+(Salim-Resal)*(1-EXP((Tnet-t)/(Tau_j))))*Salcycl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2.2507710092120961E-4</v>
      </c>
      <c r="Q134" s="305">
        <f t="shared" si="28"/>
        <v>0.7</v>
      </c>
      <c r="R134" s="177">
        <f t="shared" si="29"/>
        <v>0.55271007437701769</v>
      </c>
      <c r="S134" s="921">
        <f t="shared" si="30"/>
        <v>-2</v>
      </c>
      <c r="T134" s="176">
        <f t="shared" si="31"/>
        <v>4</v>
      </c>
      <c r="U134" s="251">
        <f t="shared" si="32"/>
        <v>-1.4472899256229823</v>
      </c>
      <c r="V134" s="383">
        <f t="shared" si="33"/>
        <v>55.003025170557372</v>
      </c>
      <c r="W134" s="402">
        <f t="shared" si="34"/>
        <v>41.624624717683275</v>
      </c>
      <c r="X134" s="157">
        <f t="shared" si="35"/>
        <v>46142</v>
      </c>
      <c r="Y134" s="385">
        <f t="shared" si="36"/>
        <v>38.432959818686214</v>
      </c>
      <c r="Z134" s="385">
        <f t="shared" si="37"/>
        <v>40.952450734600745</v>
      </c>
      <c r="AA134" s="386">
        <f t="shared" si="38"/>
        <v>44.652703840533349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8.2867391841425539E-2</v>
      </c>
      <c r="AD134" s="231">
        <f>(INDEX(Models!$BJ134:$BT134,,AH134)*(1-AF134)+INDEX(Models!$BJ134:$BT134,,AH134+1)*AF134-ERP_i)*AE134*Ramure*Pc/MaxiM</f>
        <v>2.3606613858906632E-3</v>
      </c>
      <c r="AE134" s="305">
        <f t="shared" si="40"/>
        <v>0.7</v>
      </c>
      <c r="AF134" s="177">
        <f t="shared" si="41"/>
        <v>7.7697640750996833E-2</v>
      </c>
      <c r="AG134" s="921">
        <f t="shared" si="49"/>
        <v>2</v>
      </c>
      <c r="AH134" s="176">
        <f t="shared" si="42"/>
        <v>8</v>
      </c>
      <c r="AI134" s="225">
        <f t="shared" si="43"/>
        <v>2.0776976407509968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46.592069929376045</v>
      </c>
      <c r="C135" s="955"/>
      <c r="D135" s="393">
        <f t="shared" si="25"/>
        <v>49.647522587950824</v>
      </c>
      <c r="E135" s="385">
        <f t="shared" si="47"/>
        <v>50.059664894298599</v>
      </c>
      <c r="F135" s="385">
        <f t="shared" si="26"/>
        <v>50.069219389727721</v>
      </c>
      <c r="G135" s="110">
        <f t="shared" si="48"/>
        <v>0.84617959051531122</v>
      </c>
      <c r="H135" s="414" t="b">
        <f>Wh_hp&gt;='2025'!Maxi_hp</f>
        <v>0</v>
      </c>
      <c r="I135" s="390">
        <f>IF(H135,Wh_hp,'2025'!Maxi_hp)</f>
        <v>57.486763345827086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6.1542902833913393E-2</v>
      </c>
      <c r="M135" s="959"/>
      <c r="N135" s="959"/>
      <c r="O135" s="48">
        <f>IF(t&lt;Tnet,'2025'!Resal+('2025'!Salim-'2025'!Resal)*(1-EXP(('2025'!Tnet-t)/('2025'!Tau_j))),Resal+(Salim-Resal)*(1-EXP((Tnet-t)/(Tau_j))))*Salcycl</f>
        <v>8.2330216795900822E-3</v>
      </c>
      <c r="P135" s="169">
        <f>(INDEX(Models!$BJ135:$BT135,,T135)*(1-R135)+INDEX(Models!$BJ135:$BT135,,T135+1)*R135-ERP_i)*Q135*Ramure*Pc/MaxiM</f>
        <v>2.4454757210844023E-4</v>
      </c>
      <c r="Q135" s="305">
        <f t="shared" si="28"/>
        <v>0.7</v>
      </c>
      <c r="R135" s="177">
        <f t="shared" si="29"/>
        <v>0.55546494713507766</v>
      </c>
      <c r="S135" s="921">
        <f t="shared" si="30"/>
        <v>-2</v>
      </c>
      <c r="T135" s="176">
        <f t="shared" si="31"/>
        <v>4</v>
      </c>
      <c r="U135" s="251">
        <f t="shared" si="32"/>
        <v>-1.4445350528649223</v>
      </c>
      <c r="V135" s="383">
        <f t="shared" si="33"/>
        <v>55.058721531597811</v>
      </c>
      <c r="W135" s="402">
        <f t="shared" si="34"/>
        <v>46.592069929376045</v>
      </c>
      <c r="X135" s="157">
        <f t="shared" si="35"/>
        <v>46143</v>
      </c>
      <c r="Y135" s="385">
        <f t="shared" si="36"/>
        <v>43.006099128412252</v>
      </c>
      <c r="Z135" s="385">
        <f t="shared" si="37"/>
        <v>45.826388077068486</v>
      </c>
      <c r="AA135" s="386">
        <f t="shared" si="38"/>
        <v>49.973271072221479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8.2982020311616431E-2</v>
      </c>
      <c r="AD135" s="231">
        <f>(INDEX(Models!$BJ135:$BT135,,AH135)*(1-AF135)+INDEX(Models!$BJ135:$BT135,,AH135+1)*AF135-ERP_i)*AE135*Ramure*Pc/MaxiM</f>
        <v>2.4557998136174415E-3</v>
      </c>
      <c r="AE135" s="305">
        <f t="shared" si="40"/>
        <v>0.7</v>
      </c>
      <c r="AF135" s="177">
        <f t="shared" si="41"/>
        <v>8.04525135090568E-2</v>
      </c>
      <c r="AG135" s="921">
        <f t="shared" si="49"/>
        <v>2</v>
      </c>
      <c r="AH135" s="176">
        <f t="shared" si="42"/>
        <v>8</v>
      </c>
      <c r="AI135" s="225">
        <f t="shared" si="43"/>
        <v>2.0804525135090568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27.292765351491287</v>
      </c>
      <c r="C136" s="955"/>
      <c r="D136" s="393">
        <f t="shared" si="25"/>
        <v>29.083229514284788</v>
      </c>
      <c r="E136" s="385">
        <f t="shared" si="47"/>
        <v>29.328937400728268</v>
      </c>
      <c r="F136" s="385">
        <f t="shared" si="26"/>
        <v>29.331108532708118</v>
      </c>
      <c r="G136" s="110">
        <f t="shared" si="48"/>
        <v>0.49515580634475059</v>
      </c>
      <c r="H136" s="414" t="b">
        <f>Wh_hp&gt;='2025'!Maxi_hp</f>
        <v>0</v>
      </c>
      <c r="I136" s="390">
        <f>IF(H136,Wh_hp,'2025'!Maxi_hp)</f>
        <v>52.039309618554178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6.1563457452827985E-2</v>
      </c>
      <c r="M136" s="959"/>
      <c r="N136" s="959"/>
      <c r="O136" s="48">
        <f>IF(t&lt;Tnet,'2025'!Resal+('2025'!Salim-'2025'!Resal)*(1-EXP(('2025'!Tnet-t)/('2025'!Tau_j))),Resal+(Salim-Resal)*(1-EXP((Tnet-t)/(Tau_j))))*Salcycl</f>
        <v>8.3776607071137481E-3</v>
      </c>
      <c r="P136" s="169">
        <f>(INDEX(Models!$BJ136:$BT136,,T136)*(1-R136)+INDEX(Models!$BJ136:$BT136,,T136+1)*R136-ERP_i)*Q136*Ramure*Pc/MaxiM</f>
        <v>2.6537710350515531E-4</v>
      </c>
      <c r="Q136" s="305">
        <f t="shared" si="28"/>
        <v>0.7</v>
      </c>
      <c r="R136" s="177">
        <f t="shared" si="29"/>
        <v>0.55829743257051279</v>
      </c>
      <c r="S136" s="921">
        <f t="shared" si="30"/>
        <v>-2</v>
      </c>
      <c r="T136" s="176">
        <f t="shared" si="31"/>
        <v>4</v>
      </c>
      <c r="U136" s="251">
        <f t="shared" si="32"/>
        <v>-1.4417025674294872</v>
      </c>
      <c r="V136" s="383">
        <f t="shared" si="33"/>
        <v>55.109002037367759</v>
      </c>
      <c r="W136" s="402">
        <f t="shared" si="34"/>
        <v>27.292765351491287</v>
      </c>
      <c r="X136" s="157">
        <f t="shared" si="35"/>
        <v>46144</v>
      </c>
      <c r="Y136" s="385">
        <f t="shared" si="36"/>
        <v>25.220078733881568</v>
      </c>
      <c r="Z136" s="385">
        <f t="shared" si="37"/>
        <v>26.874570192489962</v>
      </c>
      <c r="AA136" s="386">
        <f t="shared" si="38"/>
        <v>29.310180679988068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8.3097764360117232E-2</v>
      </c>
      <c r="AD136" s="231">
        <f>(INDEX(Models!$BJ136:$BT136,,AH136)*(1-AF136)+INDEX(Models!$BJ136:$BT136,,AH136+1)*AF136-ERP_i)*AE136*Ramure*Pc/MaxiM</f>
        <v>2.5580079833779153E-3</v>
      </c>
      <c r="AE136" s="305">
        <f t="shared" si="40"/>
        <v>0.7</v>
      </c>
      <c r="AF136" s="177">
        <f t="shared" si="41"/>
        <v>8.3284998944491928E-2</v>
      </c>
      <c r="AG136" s="921">
        <f t="shared" si="49"/>
        <v>2</v>
      </c>
      <c r="AH136" s="176">
        <f t="shared" si="42"/>
        <v>8</v>
      </c>
      <c r="AI136" s="225">
        <f t="shared" si="43"/>
        <v>2.0832849989444919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31.172911377787855</v>
      </c>
      <c r="C137" s="955"/>
      <c r="D137" s="393">
        <f t="shared" si="25"/>
        <v>33.218649046733894</v>
      </c>
      <c r="E137" s="385">
        <f t="shared" si="47"/>
        <v>33.504186162188013</v>
      </c>
      <c r="F137" s="385">
        <f t="shared" si="26"/>
        <v>33.507831505690696</v>
      </c>
      <c r="G137" s="110">
        <f t="shared" si="48"/>
        <v>0.56509485995479891</v>
      </c>
      <c r="H137" s="414" t="b">
        <f>Wh_hp&gt;='2025'!Maxi_hp</f>
        <v>0</v>
      </c>
      <c r="I137" s="390">
        <f>IF(H137,Wh_hp,'2025'!Maxi_hp)</f>
        <v>59.632265422182535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6.1584011621543588E-2</v>
      </c>
      <c r="M137" s="959"/>
      <c r="N137" s="959"/>
      <c r="O137" s="48">
        <f>IF(t&lt;Tnet,'2025'!Resal+('2025'!Salim-'2025'!Resal)*(1-EXP(('2025'!Tnet-t)/('2025'!Tau_j))),Resal+(Salim-Resal)*(1-EXP((Tnet-t)/(Tau_j))))*Salcycl</f>
        <v>8.5224310201680777E-3</v>
      </c>
      <c r="P137" s="169">
        <f>(INDEX(Models!$BJ137:$BT137,,T137)*(1-R137)+INDEX(Models!$BJ137:$BT137,,T137+1)*R137-ERP_i)*Q137*Ramure*Pc/MaxiM</f>
        <v>2.8715985354164507E-4</v>
      </c>
      <c r="Q137" s="305">
        <f t="shared" si="28"/>
        <v>0.7</v>
      </c>
      <c r="R137" s="177">
        <f t="shared" si="29"/>
        <v>0.56120836383607653</v>
      </c>
      <c r="S137" s="921">
        <f t="shared" si="30"/>
        <v>-2</v>
      </c>
      <c r="T137" s="176">
        <f t="shared" si="31"/>
        <v>4</v>
      </c>
      <c r="U137" s="251">
        <f t="shared" si="32"/>
        <v>-1.4387916361639235</v>
      </c>
      <c r="V137" s="383">
        <f t="shared" si="33"/>
        <v>55.15419215162607</v>
      </c>
      <c r="W137" s="402">
        <f t="shared" si="34"/>
        <v>31.172911377787855</v>
      </c>
      <c r="X137" s="157">
        <f t="shared" si="35"/>
        <v>46145</v>
      </c>
      <c r="Y137" s="385">
        <f t="shared" si="36"/>
        <v>28.79855743444196</v>
      </c>
      <c r="Z137" s="385">
        <f t="shared" si="37"/>
        <v>30.688476955944306</v>
      </c>
      <c r="AA137" s="386">
        <f t="shared" si="38"/>
        <v>33.474003032533467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8.3214609076838017E-2</v>
      </c>
      <c r="AD137" s="231">
        <f>(INDEX(Models!$BJ137:$BT137,,AH137)*(1-AF137)+INDEX(Models!$BJ137:$BT137,,AH137+1)*AF137-ERP_i)*AE137*Ramure*Pc/MaxiM</f>
        <v>2.6648186625553827E-3</v>
      </c>
      <c r="AE137" s="305">
        <f t="shared" si="40"/>
        <v>0.7</v>
      </c>
      <c r="AF137" s="177">
        <f t="shared" si="41"/>
        <v>8.6195930210055671E-2</v>
      </c>
      <c r="AG137" s="921">
        <f t="shared" si="49"/>
        <v>2</v>
      </c>
      <c r="AH137" s="176">
        <f t="shared" si="42"/>
        <v>8</v>
      </c>
      <c r="AI137" s="225">
        <f t="shared" si="43"/>
        <v>2.0861959302100557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18.386583745311633</v>
      </c>
      <c r="C138" s="955"/>
      <c r="D138" s="393">
        <f t="shared" si="25"/>
        <v>19.593641514224593</v>
      </c>
      <c r="E138" s="385">
        <f t="shared" si="47"/>
        <v>19.764950984030172</v>
      </c>
      <c r="F138" s="385">
        <f t="shared" si="26"/>
        <v>19.765240852427496</v>
      </c>
      <c r="G138" s="110">
        <f t="shared" si="48"/>
        <v>0.33302455512676632</v>
      </c>
      <c r="H138" s="414" t="b">
        <f>Wh_hp&gt;='2025'!Maxi_hp</f>
        <v>0</v>
      </c>
      <c r="I138" s="390">
        <f>IF(H138,Wh_hp,'2025'!Maxi_hp)</f>
        <v>56.02715044671482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6.1604565340070194E-2</v>
      </c>
      <c r="M138" s="959"/>
      <c r="N138" s="959"/>
      <c r="O138" s="48">
        <f>IF(t&lt;Tnet,'2025'!Resal+('2025'!Salim-'2025'!Resal)*(1-EXP(('2025'!Tnet-t)/('2025'!Tau_j))),Resal+(Salim-Resal)*(1-EXP((Tnet-t)/(Tau_j))))*Salcycl</f>
        <v>8.6673359293423895E-3</v>
      </c>
      <c r="P138" s="169">
        <f>(INDEX(Models!$BJ138:$BT138,,T138)*(1-R138)+INDEX(Models!$BJ138:$BT138,,T138+1)*R138-ERP_i)*Q138*Ramure*Pc/MaxiM</f>
        <v>3.0993328680633864E-4</v>
      </c>
      <c r="Q138" s="305">
        <f t="shared" si="28"/>
        <v>0.7</v>
      </c>
      <c r="R138" s="177">
        <f t="shared" si="29"/>
        <v>0.56419848475236689</v>
      </c>
      <c r="S138" s="921">
        <f t="shared" si="30"/>
        <v>-2</v>
      </c>
      <c r="T138" s="176">
        <f t="shared" si="31"/>
        <v>4</v>
      </c>
      <c r="U138" s="251">
        <f t="shared" si="32"/>
        <v>-1.4358015152476331</v>
      </c>
      <c r="V138" s="383">
        <f t="shared" si="33"/>
        <v>55.194592765014875</v>
      </c>
      <c r="W138" s="402">
        <f t="shared" si="34"/>
        <v>18.386583745311633</v>
      </c>
      <c r="X138" s="157">
        <f t="shared" si="35"/>
        <v>46146</v>
      </c>
      <c r="Y138" s="385">
        <f t="shared" si="36"/>
        <v>16.999758660353038</v>
      </c>
      <c r="Z138" s="385">
        <f t="shared" si="37"/>
        <v>18.115772980623753</v>
      </c>
      <c r="AA138" s="386">
        <f t="shared" si="38"/>
        <v>19.762644263475121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8.3332536926502249E-2</v>
      </c>
      <c r="AD138" s="231">
        <f>(INDEX(Models!$BJ138:$BT138,,AH138)*(1-AF138)+INDEX(Models!$BJ138:$BT138,,AH138+1)*AF138-ERP_i)*AE138*Ramure*Pc/MaxiM</f>
        <v>2.7763266224271085E-3</v>
      </c>
      <c r="AE138" s="305">
        <f t="shared" si="40"/>
        <v>0.7</v>
      </c>
      <c r="AF138" s="177">
        <f t="shared" si="41"/>
        <v>8.9186051126346033E-2</v>
      </c>
      <c r="AG138" s="921">
        <f t="shared" si="49"/>
        <v>2</v>
      </c>
      <c r="AH138" s="176">
        <f t="shared" si="42"/>
        <v>8</v>
      </c>
      <c r="AI138" s="225">
        <f t="shared" si="43"/>
        <v>2.089186051126346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38.61448614799788</v>
      </c>
      <c r="C139" s="955"/>
      <c r="D139" s="393">
        <f t="shared" si="25"/>
        <v>41.150383406185952</v>
      </c>
      <c r="E139" s="385">
        <f t="shared" si="47"/>
        <v>41.516240221554568</v>
      </c>
      <c r="F139" s="385">
        <f t="shared" si="26"/>
        <v>41.524142331835556</v>
      </c>
      <c r="G139" s="110">
        <f t="shared" si="48"/>
        <v>0.69905112725518415</v>
      </c>
      <c r="H139" s="414" t="b">
        <f>Wh_hp&gt;='2025'!Maxi_hp</f>
        <v>0</v>
      </c>
      <c r="I139" s="390">
        <f>IF(H139,Wh_hp,'2025'!Maxi_hp)</f>
        <v>58.496922298592779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6.1625118608417684E-2</v>
      </c>
      <c r="M139" s="959"/>
      <c r="N139" s="959"/>
      <c r="O139" s="48">
        <f>IF(t&lt;Tnet,'2025'!Resal+('2025'!Salim-'2025'!Resal)*(1-EXP(('2025'!Tnet-t)/('2025'!Tau_j))),Resal+(Salim-Resal)*(1-EXP((Tnet-t)/(Tau_j))))*Salcycl</f>
        <v>8.8123783227044439E-3</v>
      </c>
      <c r="P139" s="169">
        <f>(INDEX(Models!$BJ139:$BT139,,T139)*(1-R139)+INDEX(Models!$BJ139:$BT139,,T139+1)*R139-ERP_i)*Q139*Ramure*Pc/MaxiM</f>
        <v>3.3373577793756922E-4</v>
      </c>
      <c r="Q139" s="305">
        <f t="shared" si="28"/>
        <v>0.7</v>
      </c>
      <c r="R139" s="177">
        <f t="shared" si="29"/>
        <v>0.5672684428189434</v>
      </c>
      <c r="S139" s="921">
        <f t="shared" si="30"/>
        <v>-2</v>
      </c>
      <c r="T139" s="176">
        <f t="shared" si="31"/>
        <v>4</v>
      </c>
      <c r="U139" s="251">
        <f t="shared" si="32"/>
        <v>-1.4327315571810566</v>
      </c>
      <c r="V139" s="383">
        <f t="shared" si="33"/>
        <v>55.230504538192889</v>
      </c>
      <c r="W139" s="402">
        <f t="shared" si="34"/>
        <v>38.61448614799788</v>
      </c>
      <c r="X139" s="157">
        <f t="shared" si="35"/>
        <v>46147</v>
      </c>
      <c r="Y139" s="385">
        <f t="shared" si="36"/>
        <v>35.654598973198169</v>
      </c>
      <c r="Z139" s="385">
        <f t="shared" si="37"/>
        <v>37.996114005442529</v>
      </c>
      <c r="AA139" s="386">
        <f t="shared" si="38"/>
        <v>41.455651450137964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8.3451527685109439E-2</v>
      </c>
      <c r="AD139" s="231">
        <f>(INDEX(Models!$BJ139:$BT139,,AH139)*(1-AF139)+INDEX(Models!$BJ139:$BT139,,AH139+1)*AF139-ERP_i)*AE139*Ramure*Pc/MaxiM</f>
        <v>2.8926270163508088E-3</v>
      </c>
      <c r="AE139" s="305">
        <f t="shared" si="40"/>
        <v>0.7</v>
      </c>
      <c r="AF139" s="177">
        <f t="shared" si="41"/>
        <v>9.2256009192922317E-2</v>
      </c>
      <c r="AG139" s="921">
        <f t="shared" si="49"/>
        <v>2</v>
      </c>
      <c r="AH139" s="176">
        <f t="shared" si="42"/>
        <v>8</v>
      </c>
      <c r="AI139" s="225">
        <f t="shared" si="43"/>
        <v>2.0922560091929223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36.062064774415958</v>
      </c>
      <c r="C140" s="955"/>
      <c r="D140" s="393">
        <f t="shared" si="25"/>
        <v>38.431180713197882</v>
      </c>
      <c r="E140" s="385">
        <f t="shared" si="47"/>
        <v>38.778541853352209</v>
      </c>
      <c r="F140" s="385">
        <f t="shared" si="26"/>
        <v>38.785547147255528</v>
      </c>
      <c r="G140" s="110">
        <f t="shared" si="48"/>
        <v>0.65244645898877962</v>
      </c>
      <c r="H140" s="414" t="b">
        <f>Wh_hp&gt;='2025'!Maxi_hp</f>
        <v>0</v>
      </c>
      <c r="I140" s="390">
        <f>IF(H140,Wh_hp,'2025'!Maxi_hp)</f>
        <v>61.787025291973102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6.1645671426595827E-2</v>
      </c>
      <c r="M140" s="959"/>
      <c r="N140" s="959"/>
      <c r="O140" s="48">
        <f>IF(t&lt;Tnet,'2025'!Resal+('2025'!Salim-'2025'!Resal)*(1-EXP(('2025'!Tnet-t)/('2025'!Tau_j))),Resal+(Salim-Resal)*(1-EXP((Tnet-t)/(Tau_j))))*Salcycl</f>
        <v>8.9575606392817159E-3</v>
      </c>
      <c r="P140" s="169">
        <f>(INDEX(Models!$BJ140:$BT140,,T140)*(1-R140)+INDEX(Models!$BJ140:$BT140,,T140+1)*R140-ERP_i)*Q140*Ramure*Pc/MaxiM</f>
        <v>3.5860653628024143E-4</v>
      </c>
      <c r="Q140" s="305">
        <f t="shared" si="28"/>
        <v>0.7</v>
      </c>
      <c r="R140" s="177">
        <f t="shared" si="29"/>
        <v>0.57041878218028463</v>
      </c>
      <c r="S140" s="921">
        <f t="shared" si="30"/>
        <v>-2</v>
      </c>
      <c r="T140" s="176">
        <f t="shared" si="31"/>
        <v>4</v>
      </c>
      <c r="U140" s="251">
        <f t="shared" si="32"/>
        <v>-1.4295812178197154</v>
      </c>
      <c r="V140" s="383">
        <f t="shared" si="33"/>
        <v>55.262227904174424</v>
      </c>
      <c r="W140" s="402">
        <f t="shared" si="34"/>
        <v>36.062064774415958</v>
      </c>
      <c r="X140" s="157">
        <f t="shared" si="35"/>
        <v>46148</v>
      </c>
      <c r="Y140" s="385">
        <f t="shared" si="36"/>
        <v>33.302405850424933</v>
      </c>
      <c r="Z140" s="385">
        <f t="shared" si="37"/>
        <v>35.490224573328433</v>
      </c>
      <c r="AA140" s="386">
        <f t="shared" si="38"/>
        <v>38.726672985732819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8.357155838294486E-2</v>
      </c>
      <c r="AD140" s="231">
        <f>(INDEX(Models!$BJ140:$BT140,,AH140)*(1-AF140)+INDEX(Models!$BJ140:$BT140,,AH140+1)*AF140-ERP_i)*AE140*Ramure*Pc/MaxiM</f>
        <v>3.0138148993378282E-3</v>
      </c>
      <c r="AE140" s="305">
        <f t="shared" si="40"/>
        <v>0.7</v>
      </c>
      <c r="AF140" s="177">
        <f t="shared" si="41"/>
        <v>9.5406348554263776E-2</v>
      </c>
      <c r="AG140" s="921">
        <f t="shared" si="49"/>
        <v>2</v>
      </c>
      <c r="AH140" s="176">
        <f t="shared" si="42"/>
        <v>8</v>
      </c>
      <c r="AI140" s="225">
        <f t="shared" si="43"/>
        <v>2.0954063485542638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46.663707011299145</v>
      </c>
      <c r="C141" s="955"/>
      <c r="D141" s="393">
        <f t="shared" si="25"/>
        <v>49.730392526214729</v>
      </c>
      <c r="E141" s="385">
        <f t="shared" si="47"/>
        <v>50.1872412034771</v>
      </c>
      <c r="F141" s="385">
        <f t="shared" si="26"/>
        <v>50.202244992661676</v>
      </c>
      <c r="G141" s="110">
        <f t="shared" si="48"/>
        <v>0.8439076259534517</v>
      </c>
      <c r="H141" s="414" t="b">
        <f>Wh_hp&gt;='2025'!Maxi_hp</f>
        <v>0</v>
      </c>
      <c r="I141" s="390">
        <f>IF(H141,Wh_hp,'2025'!Maxi_hp)</f>
        <v>57.268675300754929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6.1666223794614505E-2</v>
      </c>
      <c r="M141" s="959"/>
      <c r="N141" s="959"/>
      <c r="O141" s="48">
        <f>IF(t&lt;Tnet,'2025'!Resal+('2025'!Salim-'2025'!Resal)*(1-EXP(('2025'!Tnet-t)/('2025'!Tau_j))),Resal+(Salim-Resal)*(1-EXP((Tnet-t)/(Tau_j))))*Salcycl</f>
        <v>9.1028848429851889E-3</v>
      </c>
      <c r="P141" s="169">
        <f>(INDEX(Models!$BJ141:$BT141,,T141)*(1-R141)+INDEX(Models!$BJ141:$BT141,,T141+1)*R141-ERP_i)*Q141*Ramure*Pc/MaxiM</f>
        <v>3.8458551940452802E-4</v>
      </c>
      <c r="Q141" s="305">
        <f t="shared" si="28"/>
        <v>0.7</v>
      </c>
      <c r="R141" s="177">
        <f t="shared" si="29"/>
        <v>0.57364993658543706</v>
      </c>
      <c r="S141" s="921">
        <f t="shared" si="30"/>
        <v>-2</v>
      </c>
      <c r="T141" s="176">
        <f t="shared" si="31"/>
        <v>4</v>
      </c>
      <c r="U141" s="251">
        <f t="shared" si="32"/>
        <v>-1.4263500634145629</v>
      </c>
      <c r="V141" s="383">
        <f t="shared" si="33"/>
        <v>55.290063073067863</v>
      </c>
      <c r="W141" s="402">
        <f t="shared" si="34"/>
        <v>46.663707011299145</v>
      </c>
      <c r="X141" s="157">
        <f t="shared" si="35"/>
        <v>46149</v>
      </c>
      <c r="Y141" s="385">
        <f t="shared" si="36"/>
        <v>43.058674034339184</v>
      </c>
      <c r="Z141" s="385">
        <f t="shared" si="37"/>
        <v>45.888440900495056</v>
      </c>
      <c r="AA141" s="386">
        <f t="shared" si="38"/>
        <v>50.079745141763425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8.3692603255144854E-2</v>
      </c>
      <c r="AD141" s="231">
        <f>(INDEX(Models!$BJ141:$BT141,,AH141)*(1-AF141)+INDEX(Models!$BJ141:$BT141,,AH141+1)*AF141-ERP_i)*AE141*Ramure*Pc/MaxiM</f>
        <v>3.1399847202006237E-3</v>
      </c>
      <c r="AE141" s="305">
        <f t="shared" si="40"/>
        <v>0.7</v>
      </c>
      <c r="AF141" s="177">
        <f t="shared" si="41"/>
        <v>9.8637502959416423E-2</v>
      </c>
      <c r="AG141" s="921">
        <f t="shared" si="49"/>
        <v>2</v>
      </c>
      <c r="AH141" s="176">
        <f t="shared" si="42"/>
        <v>8</v>
      </c>
      <c r="AI141" s="225">
        <f t="shared" si="43"/>
        <v>2.0986375029594164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48.681484115292214</v>
      </c>
      <c r="C142" s="955"/>
      <c r="D142" s="393">
        <f t="shared" si="25"/>
        <v>51.881911983343535</v>
      </c>
      <c r="E142" s="385">
        <f t="shared" si="47"/>
        <v>52.366213176505362</v>
      </c>
      <c r="F142" s="385">
        <f t="shared" si="26"/>
        <v>52.384087337613799</v>
      </c>
      <c r="G142" s="110">
        <f t="shared" si="48"/>
        <v>0.88002635986593791</v>
      </c>
      <c r="H142" s="414" t="b">
        <f>Wh_hp&gt;='2025'!Maxi_hp</f>
        <v>0</v>
      </c>
      <c r="I142" s="390">
        <f>IF(H142,Wh_hp,'2025'!Maxi_hp)</f>
        <v>59.229596839292704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6.1686775712483488E-2</v>
      </c>
      <c r="M142" s="959"/>
      <c r="N142" s="959"/>
      <c r="O142" s="48">
        <f>IF(t&lt;Tnet,'2025'!Resal+('2025'!Salim-'2025'!Resal)*(1-EXP(('2025'!Tnet-t)/('2025'!Tau_j))),Resal+(Salim-Resal)*(1-EXP((Tnet-t)/(Tau_j))))*Salcycl</f>
        <v>9.2483523971733216E-3</v>
      </c>
      <c r="P142" s="169">
        <f>(INDEX(Models!$BJ142:$BT142,,T142)*(1-R142)+INDEX(Models!$BJ142:$BT142,,T142+1)*R142-ERP_i)*Q142*Ramure*Pc/MaxiM</f>
        <v>4.117466771915653E-4</v>
      </c>
      <c r="Q142" s="305">
        <f t="shared" si="28"/>
        <v>0.7</v>
      </c>
      <c r="R142" s="177">
        <f t="shared" si="29"/>
        <v>0.57696222238356998</v>
      </c>
      <c r="S142" s="921">
        <f t="shared" si="30"/>
        <v>-2</v>
      </c>
      <c r="T142" s="176">
        <f t="shared" si="31"/>
        <v>4</v>
      </c>
      <c r="U142" s="251">
        <f t="shared" si="32"/>
        <v>-1.42303777761643</v>
      </c>
      <c r="V142" s="383">
        <f t="shared" si="33"/>
        <v>55.314308191906122</v>
      </c>
      <c r="W142" s="402">
        <f t="shared" si="34"/>
        <v>48.681484115292214</v>
      </c>
      <c r="X142" s="157">
        <f t="shared" si="35"/>
        <v>46150</v>
      </c>
      <c r="Y142" s="385">
        <f t="shared" si="36"/>
        <v>44.910881700289821</v>
      </c>
      <c r="Z142" s="385">
        <f t="shared" si="37"/>
        <v>47.863421870017575</v>
      </c>
      <c r="AA142" s="386">
        <f t="shared" si="38"/>
        <v>52.242071998329642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8.3814633700823843E-2</v>
      </c>
      <c r="AD142" s="231">
        <f>(INDEX(Models!$BJ142:$BT142,,AH142)*(1-AF142)+INDEX(Models!$BJ142:$BT142,,AH142+1)*AF142-ERP_i)*AE142*Ramure*Pc/MaxiM</f>
        <v>3.2714455076091041E-3</v>
      </c>
      <c r="AE142" s="305">
        <f t="shared" si="40"/>
        <v>0.7</v>
      </c>
      <c r="AF142" s="177">
        <f t="shared" si="41"/>
        <v>0.10194978875754934</v>
      </c>
      <c r="AG142" s="921">
        <f t="shared" si="49"/>
        <v>2</v>
      </c>
      <c r="AH142" s="176">
        <f t="shared" si="42"/>
        <v>8</v>
      </c>
      <c r="AI142" s="225">
        <f t="shared" si="43"/>
        <v>2.1019497887575493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52.957587448471116</v>
      </c>
      <c r="C143" s="955"/>
      <c r="D143" s="393">
        <f t="shared" ref="D143:D206" si="50">Wh/(1-Ppv)</f>
        <v>56.440371946336619</v>
      </c>
      <c r="E143" s="385">
        <f t="shared" si="47"/>
        <v>56.975598682920257</v>
      </c>
      <c r="F143" s="385">
        <f t="shared" ref="F143:F206" si="51">Wh_sa/(1-Pvg*MEDIAN((-Sdif+Wh/Env_an)/Csdif,0,1))</f>
        <v>56.99913180694336</v>
      </c>
      <c r="G143" s="110">
        <f t="shared" si="48"/>
        <v>0.95700535534558917</v>
      </c>
      <c r="H143" s="414" t="b">
        <f>Wh_hp&gt;='2025'!Maxi_hp</f>
        <v>0</v>
      </c>
      <c r="I143" s="390">
        <f>IF(H143,Wh_hp,'2025'!Maxi_hp)</f>
        <v>57.000458488064048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6.1707327180212879E-2</v>
      </c>
      <c r="M143" s="959"/>
      <c r="N143" s="959"/>
      <c r="O143" s="48">
        <f>IF(t&lt;Tnet,'2025'!Resal+('2025'!Salim-'2025'!Resal)*(1-EXP(('2025'!Tnet-t)/('2025'!Tau_j))),Resal+(Salim-Resal)*(1-EXP((Tnet-t)/(Tau_j))))*Salcycl</f>
        <v>9.3939642400649448E-3</v>
      </c>
      <c r="P143" s="169">
        <f>(INDEX(Models!$BJ143:$BT143,,T143)*(1-R143)+INDEX(Models!$BJ143:$BT143,,T143+1)*R143-ERP_i)*Q143*Ramure*Pc/MaxiM</f>
        <v>4.3986902984332639E-4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0.58035583160091542</v>
      </c>
      <c r="S143" s="92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-1.4196441683990846</v>
      </c>
      <c r="V143" s="383">
        <f t="shared" ref="V143:V206" si="58">MaxiM*(1-Ppv)*(1-Pvg)*(1-Psa)</f>
        <v>55.335277549577228</v>
      </c>
      <c r="W143" s="402">
        <f t="shared" ref="W143:W206" si="59">Wh*(A143&gt;Tmaj)</f>
        <v>52.957587448471116</v>
      </c>
      <c r="X143" s="157">
        <f t="shared" ref="X143:X206" si="60">t</f>
        <v>46151</v>
      </c>
      <c r="Y143" s="385">
        <f t="shared" ref="Y143:Y206" si="61">Wh_pvt_s*(1-Ppv)</f>
        <v>48.836070975532216</v>
      </c>
      <c r="Z143" s="385">
        <f t="shared" ref="Z143:Z206" si="62">Wh_sa_s*(1-Psa_s)</f>
        <v>52.047801704310977</v>
      </c>
      <c r="AA143" s="386">
        <f t="shared" ref="AA143:AA206" si="63">Wh_hp*(1-Pvg_s*MEDIAN((-Sdif+Wh/Env_an)/Csdif,0,1))</f>
        <v>56.81687485625293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8.393761825175601E-2</v>
      </c>
      <c r="AD143" s="231">
        <f>(INDEX(Models!$BJ143:$BT143,,AH143)*(1-AF143)+INDEX(Models!$BJ143:$BT143,,AH143+1)*AF143-ERP_i)*AE143*Ramure*Pc/MaxiM</f>
        <v>3.4066530225100185E-3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0.10534339797489434</v>
      </c>
      <c r="AG143" s="92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2.1053433979748943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50.473676759345942</v>
      </c>
      <c r="C144" s="955"/>
      <c r="D144" s="393">
        <f t="shared" si="50"/>
        <v>53.794283754694256</v>
      </c>
      <c r="E144" s="385">
        <f t="shared" ref="E144:E169" si="72">Wh_pvt/(1-Psa)</f>
        <v>54.312408970138399</v>
      </c>
      <c r="F144" s="385">
        <f t="shared" si="51"/>
        <v>54.334682096615353</v>
      </c>
      <c r="G144" s="110">
        <f t="shared" ref="G144:G169" si="73">+Wh_hp/MaxiM</f>
        <v>0.91179244539740556</v>
      </c>
      <c r="H144" s="414" t="b">
        <f>Wh_hp&gt;='2025'!Maxi_hp</f>
        <v>0</v>
      </c>
      <c r="I144" s="390">
        <f>IF(H144,Wh_hp,'2025'!Maxi_hp)</f>
        <v>54.337432013839013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6.1727878197812225E-2</v>
      </c>
      <c r="M144" s="959"/>
      <c r="N144" s="959"/>
      <c r="O144" s="48">
        <f>IF(t&lt;Tnet,'2025'!Resal+('2025'!Salim-'2025'!Resal)*(1-EXP(('2025'!Tnet-t)/('2025'!Tau_j))),Resal+(Salim-Resal)*(1-EXP((Tnet-t)/(Tau_j))))*Salcycl</f>
        <v>9.5397207612171672E-3</v>
      </c>
      <c r="P144" s="169">
        <f>(INDEX(Models!$BJ144:$BT144,,T144)*(1-R144)+INDEX(Models!$BJ144:$BT144,,T144+1)*R144-ERP_i)*Q144*Ramure*Pc/MaxiM</f>
        <v>4.6898584928981447E-4</v>
      </c>
      <c r="Q144" s="305">
        <f t="shared" si="53"/>
        <v>0.7</v>
      </c>
      <c r="R144" s="177">
        <f t="shared" si="54"/>
        <v>0.58383082514763363</v>
      </c>
      <c r="S144" s="921">
        <f t="shared" si="55"/>
        <v>-2</v>
      </c>
      <c r="T144" s="176">
        <f t="shared" si="56"/>
        <v>4</v>
      </c>
      <c r="U144" s="251">
        <f t="shared" si="57"/>
        <v>-1.4161691748523664</v>
      </c>
      <c r="V144" s="383">
        <f t="shared" si="58"/>
        <v>55.353271193022991</v>
      </c>
      <c r="W144" s="402">
        <f t="shared" si="59"/>
        <v>50.473676759345942</v>
      </c>
      <c r="X144" s="157">
        <f t="shared" si="60"/>
        <v>46152</v>
      </c>
      <c r="Y144" s="385">
        <f t="shared" si="61"/>
        <v>46.550485361361645</v>
      </c>
      <c r="Z144" s="385">
        <f t="shared" si="62"/>
        <v>49.612989962815604</v>
      </c>
      <c r="AA144" s="386">
        <f t="shared" si="63"/>
        <v>54.166290841962557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8.4061522551577728E-2</v>
      </c>
      <c r="AD144" s="231">
        <f>(INDEX(Models!$BJ144:$BT144,,AH144)*(1-AF144)+INDEX(Models!$BJ144:$BT144,,AH144+1)*AF144-ERP_i)*AE144*Ramure*Pc/MaxiM</f>
        <v>3.545668169129032E-3</v>
      </c>
      <c r="AE144" s="305">
        <f t="shared" si="65"/>
        <v>0.7</v>
      </c>
      <c r="AF144" s="177">
        <f t="shared" si="66"/>
        <v>0.10881839152161277</v>
      </c>
      <c r="AG144" s="921">
        <f t="shared" ref="AG144:AG207" si="74">INDEX(Echel_vg,AH144)</f>
        <v>2</v>
      </c>
      <c r="AH144" s="176">
        <f t="shared" si="67"/>
        <v>8</v>
      </c>
      <c r="AI144" s="225">
        <f t="shared" si="68"/>
        <v>2.1088183915216128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54.145772170725216</v>
      </c>
      <c r="C145" s="955"/>
      <c r="D145" s="393">
        <f t="shared" si="50"/>
        <v>57.7092262147466</v>
      </c>
      <c r="E145" s="385">
        <f t="shared" si="72"/>
        <v>58.273642677421719</v>
      </c>
      <c r="F145" s="385">
        <f t="shared" si="51"/>
        <v>58.301824765966366</v>
      </c>
      <c r="G145" s="110">
        <f t="shared" si="73"/>
        <v>0.977899565115534</v>
      </c>
      <c r="H145" s="414" t="b">
        <f>Wh_hp&gt;='2025'!Maxi_hp</f>
        <v>0</v>
      </c>
      <c r="I145" s="390">
        <f>IF(H145,Wh_hp,'2025'!Maxi_hp)</f>
        <v>58.302606785219012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6.174842876529163E-2</v>
      </c>
      <c r="M145" s="959"/>
      <c r="N145" s="959"/>
      <c r="O145" s="48">
        <f>IF(t&lt;Tnet,'2025'!Resal+('2025'!Salim-'2025'!Resal)*(1-EXP(('2025'!Tnet-t)/('2025'!Tau_j))),Resal+(Salim-Resal)*(1-EXP((Tnet-t)/(Tau_j))))*Salcycl</f>
        <v>9.6856217792920633E-3</v>
      </c>
      <c r="P145" s="169">
        <f>(INDEX(Models!$BJ145:$BT145,,T145)*(1-R145)+INDEX(Models!$BJ145:$BT145,,T145+1)*R145-ERP_i)*Q145*Ramure*Pc/MaxiM</f>
        <v>4.9913019281002204E-4</v>
      </c>
      <c r="Q145" s="305">
        <f t="shared" si="53"/>
        <v>0.7</v>
      </c>
      <c r="R145" s="177">
        <f t="shared" si="54"/>
        <v>0.58738712620599798</v>
      </c>
      <c r="S145" s="921">
        <f t="shared" si="55"/>
        <v>-2</v>
      </c>
      <c r="T145" s="176">
        <f t="shared" si="56"/>
        <v>4</v>
      </c>
      <c r="U145" s="251">
        <f t="shared" si="57"/>
        <v>-1.412612873794002</v>
      </c>
      <c r="V145" s="383">
        <f t="shared" si="58"/>
        <v>55.36858898923137</v>
      </c>
      <c r="W145" s="402">
        <f t="shared" si="59"/>
        <v>54.145772170725216</v>
      </c>
      <c r="X145" s="157">
        <f t="shared" si="60"/>
        <v>46153</v>
      </c>
      <c r="Y145" s="385">
        <f t="shared" si="61"/>
        <v>49.917683936790127</v>
      </c>
      <c r="Z145" s="385">
        <f t="shared" si="62"/>
        <v>53.202878062969923</v>
      </c>
      <c r="AA145" s="386">
        <f t="shared" si="63"/>
        <v>58.093560519937427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8.4186309346438601E-2</v>
      </c>
      <c r="AD145" s="231">
        <f>(INDEX(Models!$BJ145:$BT145,,AH145)*(1-AF145)+INDEX(Models!$BJ145:$BT145,,AH145+1)*AF145-ERP_i)*AE145*Ramure*Pc/MaxiM</f>
        <v>3.6885475365381459E-3</v>
      </c>
      <c r="AE145" s="305">
        <f t="shared" si="65"/>
        <v>0.7</v>
      </c>
      <c r="AF145" s="177">
        <f t="shared" si="66"/>
        <v>0.1123746925799769</v>
      </c>
      <c r="AG145" s="921">
        <f t="shared" si="74"/>
        <v>2</v>
      </c>
      <c r="AH145" s="176">
        <f t="shared" si="67"/>
        <v>8</v>
      </c>
      <c r="AI145" s="225">
        <f t="shared" si="68"/>
        <v>2.1123746925799769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41.683164783407427</v>
      </c>
      <c r="C146" s="955"/>
      <c r="D146" s="393">
        <f t="shared" si="50"/>
        <v>44.427399910276847</v>
      </c>
      <c r="E146" s="385">
        <f t="shared" si="72"/>
        <v>44.868532357719872</v>
      </c>
      <c r="F146" s="385">
        <f t="shared" si="51"/>
        <v>44.883924881782143</v>
      </c>
      <c r="G146" s="110">
        <f t="shared" si="73"/>
        <v>0.75251352653576686</v>
      </c>
      <c r="H146" s="414" t="b">
        <f>Wh_hp&gt;='2025'!Maxi_hp</f>
        <v>0</v>
      </c>
      <c r="I146" s="390">
        <f>IF(H146,Wh_hp,'2025'!Maxi_hp)</f>
        <v>54.342875304504368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6.1768978882660863E-2</v>
      </c>
      <c r="M146" s="959"/>
      <c r="N146" s="959"/>
      <c r="O146" s="48">
        <f>IF(t&lt;Tnet,'2025'!Resal+('2025'!Salim-'2025'!Resal)*(1-EXP(('2025'!Tnet-t)/('2025'!Tau_j))),Resal+(Salim-Resal)*(1-EXP((Tnet-t)/(Tau_j))))*Salcycl</f>
        <v>9.8316665213393807E-3</v>
      </c>
      <c r="P146" s="169">
        <f>(INDEX(Models!$BJ146:$BT146,,T146)*(1-R146)+INDEX(Models!$BJ146:$BT146,,T146+1)*R146-ERP_i)*Q146*Ramure*Pc/MaxiM</f>
        <v>5.3033476700087745E-4</v>
      </c>
      <c r="Q146" s="305">
        <f t="shared" si="53"/>
        <v>0.7</v>
      </c>
      <c r="R146" s="177">
        <f t="shared" si="54"/>
        <v>0.59102451385382659</v>
      </c>
      <c r="S146" s="921">
        <f t="shared" si="55"/>
        <v>-2</v>
      </c>
      <c r="T146" s="176">
        <f t="shared" si="56"/>
        <v>4</v>
      </c>
      <c r="U146" s="251">
        <f t="shared" si="57"/>
        <v>-1.4089754861461734</v>
      </c>
      <c r="V146" s="383">
        <f t="shared" si="58"/>
        <v>55.381530638103037</v>
      </c>
      <c r="W146" s="402">
        <f t="shared" si="59"/>
        <v>41.683164783407427</v>
      </c>
      <c r="X146" s="157">
        <f t="shared" si="60"/>
        <v>46154</v>
      </c>
      <c r="Y146" s="385">
        <f t="shared" si="61"/>
        <v>38.465353289084796</v>
      </c>
      <c r="Z146" s="385">
        <f t="shared" si="62"/>
        <v>40.997741945556662</v>
      </c>
      <c r="AA146" s="386">
        <f t="shared" si="63"/>
        <v>44.772607254330133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8.4311938487977856E-2</v>
      </c>
      <c r="AD146" s="231">
        <f>(INDEX(Models!$BJ146:$BT146,,AH146)*(1-AF146)+INDEX(Models!$BJ146:$BT146,,AH146+1)*AF146-ERP_i)*AE146*Ramure*Pc/MaxiM</f>
        <v>3.8353429092597663E-3</v>
      </c>
      <c r="AE146" s="305">
        <f t="shared" si="65"/>
        <v>0.7</v>
      </c>
      <c r="AF146" s="177">
        <f t="shared" si="66"/>
        <v>0.11601208022780574</v>
      </c>
      <c r="AG146" s="921">
        <f t="shared" si="74"/>
        <v>2</v>
      </c>
      <c r="AH146" s="176">
        <f t="shared" si="67"/>
        <v>8</v>
      </c>
      <c r="AI146" s="225">
        <f t="shared" si="68"/>
        <v>2.1160120802278057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38.168933686436908</v>
      </c>
      <c r="C147" s="955"/>
      <c r="D147" s="393">
        <f t="shared" si="50"/>
        <v>40.682698443393136</v>
      </c>
      <c r="E147" s="385">
        <f t="shared" si="72"/>
        <v>41.092715543267488</v>
      </c>
      <c r="F147" s="385">
        <f t="shared" si="51"/>
        <v>41.105569845420831</v>
      </c>
      <c r="G147" s="110">
        <f t="shared" si="73"/>
        <v>0.68889224155606232</v>
      </c>
      <c r="H147" s="414" t="b">
        <f>Wh_hp&gt;='2025'!Maxi_hp</f>
        <v>0</v>
      </c>
      <c r="I147" s="390">
        <f>IF(H147,Wh_hp,'2025'!Maxi_hp)</f>
        <v>61.987907498178245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6.1789528549929806E-2</v>
      </c>
      <c r="M147" s="959"/>
      <c r="N147" s="959"/>
      <c r="O147" s="48">
        <f>IF(t&lt;Tnet,'2025'!Resal+('2025'!Salim-'2025'!Resal)*(1-EXP(('2025'!Tnet-t)/('2025'!Tau_j))),Resal+(Salim-Resal)*(1-EXP((Tnet-t)/(Tau_j))))*Salcycl</f>
        <v>9.9778536038252416E-3</v>
      </c>
      <c r="P147" s="169">
        <f>(INDEX(Models!$BJ147:$BT147,,T147)*(1-R147)+INDEX(Models!$BJ147:$BT147,,T147+1)*R147-ERP_i)*Q147*Ramure*Pc/MaxiM</f>
        <v>5.6263178101661766E-4</v>
      </c>
      <c r="Q147" s="305">
        <f t="shared" si="53"/>
        <v>0.7</v>
      </c>
      <c r="R147" s="177">
        <f t="shared" si="54"/>
        <v>0.59474261697927866</v>
      </c>
      <c r="S147" s="921">
        <f t="shared" si="55"/>
        <v>-2</v>
      </c>
      <c r="T147" s="176">
        <f t="shared" si="56"/>
        <v>4</v>
      </c>
      <c r="U147" s="251">
        <f t="shared" si="57"/>
        <v>-1.4052573830207213</v>
      </c>
      <c r="V147" s="383">
        <f t="shared" si="58"/>
        <v>55.392395674257436</v>
      </c>
      <c r="W147" s="402">
        <f t="shared" si="59"/>
        <v>38.168933686436908</v>
      </c>
      <c r="X147" s="157">
        <f t="shared" si="60"/>
        <v>46155</v>
      </c>
      <c r="Y147" s="385">
        <f t="shared" si="61"/>
        <v>35.231025689786414</v>
      </c>
      <c r="Z147" s="385">
        <f t="shared" si="62"/>
        <v>37.551302998499246</v>
      </c>
      <c r="AA147" s="386">
        <f t="shared" si="63"/>
        <v>41.014500436614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8.4438366949439417E-2</v>
      </c>
      <c r="AD147" s="231">
        <f>(INDEX(Models!$BJ147:$BT147,,AH147)*(1-AF147)+INDEX(Models!$BJ147:$BT147,,AH147+1)*AF147-ERP_i)*AE147*Ramure*Pc/MaxiM</f>
        <v>3.9861007670333693E-3</v>
      </c>
      <c r="AE147" s="305">
        <f t="shared" si="65"/>
        <v>0.7</v>
      </c>
      <c r="AF147" s="177">
        <f t="shared" si="66"/>
        <v>0.11973018335325802</v>
      </c>
      <c r="AG147" s="921">
        <f t="shared" si="74"/>
        <v>2</v>
      </c>
      <c r="AH147" s="176">
        <f t="shared" si="67"/>
        <v>8</v>
      </c>
      <c r="AI147" s="225">
        <f t="shared" si="68"/>
        <v>2.119730183353258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49.818921032513565</v>
      </c>
      <c r="C148" s="955"/>
      <c r="D148" s="393">
        <f t="shared" si="50"/>
        <v>53.101104426643751</v>
      </c>
      <c r="E148" s="385">
        <f t="shared" si="72"/>
        <v>53.644208099887479</v>
      </c>
      <c r="F148" s="385">
        <f t="shared" si="51"/>
        <v>53.671594057528445</v>
      </c>
      <c r="G148" s="110">
        <f t="shared" si="73"/>
        <v>0.89915722734047143</v>
      </c>
      <c r="H148" s="414" t="b">
        <f>Wh_hp&gt;='2025'!Maxi_hp</f>
        <v>0</v>
      </c>
      <c r="I148" s="390">
        <f>IF(H148,Wh_hp,'2025'!Maxi_hp)</f>
        <v>60.924968033525275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6.1810077767108229E-2</v>
      </c>
      <c r="M148" s="959"/>
      <c r="N148" s="959"/>
      <c r="O148" s="48">
        <f>IF(t&lt;Tnet,'2025'!Resal+('2025'!Salim-'2025'!Resal)*(1-EXP(('2025'!Tnet-t)/('2025'!Tau_j))),Resal+(Salim-Resal)*(1-EXP((Tnet-t)/(Tau_j))))*Salcycl</f>
        <v>1.0124181015636382E-2</v>
      </c>
      <c r="P148" s="169">
        <f>(INDEX(Models!$BJ148:$BT148,,T148)*(1-R148)+INDEX(Models!$BJ148:$BT148,,T148+1)*R148-ERP_i)*Q148*Ramure*Pc/MaxiM</f>
        <v>5.9605278904556046E-4</v>
      </c>
      <c r="Q148" s="305">
        <f t="shared" si="53"/>
        <v>0.7</v>
      </c>
      <c r="R148" s="177">
        <f t="shared" si="54"/>
        <v>0.59854090854488118</v>
      </c>
      <c r="S148" s="921">
        <f t="shared" si="55"/>
        <v>-2</v>
      </c>
      <c r="T148" s="176">
        <f t="shared" si="56"/>
        <v>4</v>
      </c>
      <c r="U148" s="251">
        <f t="shared" si="57"/>
        <v>-1.4014590914551188</v>
      </c>
      <c r="V148" s="383">
        <f t="shared" si="58"/>
        <v>55.40148347593896</v>
      </c>
      <c r="W148" s="402">
        <f t="shared" si="59"/>
        <v>49.818921032513565</v>
      </c>
      <c r="X148" s="157">
        <f t="shared" si="60"/>
        <v>46156</v>
      </c>
      <c r="Y148" s="385">
        <f t="shared" si="61"/>
        <v>45.932522472468904</v>
      </c>
      <c r="Z148" s="385">
        <f t="shared" si="62"/>
        <v>48.958661123911362</v>
      </c>
      <c r="AA148" s="386">
        <f t="shared" si="63"/>
        <v>53.481339994044113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8.456554885566471E-2</v>
      </c>
      <c r="AD148" s="231">
        <f>(INDEX(Models!$BJ148:$BT148,,AH148)*(1-AF148)+INDEX(Models!$BJ148:$BT148,,AH148+1)*AF148-ERP_i)*AE148*Ramure*Pc/MaxiM</f>
        <v>4.1408617749946674E-3</v>
      </c>
      <c r="AE148" s="305">
        <f t="shared" si="65"/>
        <v>0.7</v>
      </c>
      <c r="AF148" s="177">
        <f t="shared" si="66"/>
        <v>0.1235284749188601</v>
      </c>
      <c r="AG148" s="921">
        <f t="shared" si="74"/>
        <v>2</v>
      </c>
      <c r="AH148" s="176">
        <f t="shared" si="67"/>
        <v>8</v>
      </c>
      <c r="AI148" s="225">
        <f t="shared" si="68"/>
        <v>2.1235284749188601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50.827979043889272</v>
      </c>
      <c r="C149" s="955"/>
      <c r="D149" s="393">
        <f t="shared" si="50"/>
        <v>54.177828099546765</v>
      </c>
      <c r="E149" s="385">
        <f t="shared" si="72"/>
        <v>54.740043716234645</v>
      </c>
      <c r="F149" s="385">
        <f t="shared" si="51"/>
        <v>54.770505328500548</v>
      </c>
      <c r="G149" s="110">
        <f t="shared" si="73"/>
        <v>0.91726962751561847</v>
      </c>
      <c r="H149" s="414" t="b">
        <f>Wh_hp&gt;='2025'!Maxi_hp</f>
        <v>0</v>
      </c>
      <c r="I149" s="390">
        <f>IF(H149,Wh_hp,'2025'!Maxi_hp)</f>
        <v>61.115724809852011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6.1830626534206123E-2</v>
      </c>
      <c r="M149" s="959"/>
      <c r="N149" s="959"/>
      <c r="O149" s="48">
        <f>IF(t&lt;Tnet,'2025'!Resal+('2025'!Salim-'2025'!Resal)*(1-EXP(('2025'!Tnet-t)/('2025'!Tau_j))),Resal+(Salim-Resal)*(1-EXP((Tnet-t)/(Tau_j))))*Salcycl</f>
        <v>1.0270646103286502E-2</v>
      </c>
      <c r="P149" s="169">
        <f>(INDEX(Models!$BJ149:$BT149,,T149)*(1-R149)+INDEX(Models!$BJ149:$BT149,,T149+1)*R149-ERP_i)*Q149*Ramure*Pc/MaxiM</f>
        <v>6.3063951681264238E-4</v>
      </c>
      <c r="Q149" s="305">
        <f t="shared" si="53"/>
        <v>0.7</v>
      </c>
      <c r="R149" s="177">
        <f t="shared" si="54"/>
        <v>0.60241870025992084</v>
      </c>
      <c r="S149" s="921">
        <f t="shared" si="55"/>
        <v>-2</v>
      </c>
      <c r="T149" s="176">
        <f t="shared" si="56"/>
        <v>4</v>
      </c>
      <c r="U149" s="251">
        <f t="shared" si="57"/>
        <v>-1.3975812997400792</v>
      </c>
      <c r="V149" s="383">
        <f t="shared" si="58"/>
        <v>55.408126667839618</v>
      </c>
      <c r="W149" s="402">
        <f t="shared" si="59"/>
        <v>50.827979043889272</v>
      </c>
      <c r="X149" s="157">
        <f t="shared" si="60"/>
        <v>46157</v>
      </c>
      <c r="Y149" s="385">
        <f t="shared" si="61"/>
        <v>46.853777147080706</v>
      </c>
      <c r="Z149" s="385">
        <f t="shared" si="62"/>
        <v>49.941703995295704</v>
      </c>
      <c r="AA149" s="386">
        <f t="shared" si="63"/>
        <v>54.562816365338598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8.4693435527614894E-2</v>
      </c>
      <c r="AD149" s="231">
        <f>(INDEX(Models!$BJ149:$BT149,,AH149)*(1-AF149)+INDEX(Models!$BJ149:$BT149,,AH149+1)*AF149-ERP_i)*AE149*Ramure*Pc/MaxiM</f>
        <v>4.2997352284720883E-3</v>
      </c>
      <c r="AE149" s="305">
        <f t="shared" si="65"/>
        <v>0.7</v>
      </c>
      <c r="AF149" s="177">
        <f t="shared" si="66"/>
        <v>0.12740626663389998</v>
      </c>
      <c r="AG149" s="921">
        <f t="shared" si="74"/>
        <v>2</v>
      </c>
      <c r="AH149" s="176">
        <f t="shared" si="67"/>
        <v>8</v>
      </c>
      <c r="AI149" s="225">
        <f t="shared" si="68"/>
        <v>2.1274062666339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48.944043373913736</v>
      </c>
      <c r="C150" s="955"/>
      <c r="D150" s="393">
        <f t="shared" si="50"/>
        <v>52.170873172657274</v>
      </c>
      <c r="E150" s="385">
        <f t="shared" si="72"/>
        <v>52.720071099161252</v>
      </c>
      <c r="F150" s="385">
        <f t="shared" si="51"/>
        <v>52.749363121692241</v>
      </c>
      <c r="G150" s="110">
        <f t="shared" si="73"/>
        <v>0.88318451925249686</v>
      </c>
      <c r="H150" s="414" t="b">
        <f>Wh_hp&gt;='2025'!Maxi_hp</f>
        <v>0</v>
      </c>
      <c r="I150" s="390">
        <f>IF(H150,Wh_hp,'2025'!Maxi_hp)</f>
        <v>53.059049152756259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6.1851174851233259E-2</v>
      </c>
      <c r="M150" s="959"/>
      <c r="N150" s="959"/>
      <c r="O150" s="48">
        <f>IF(t&lt;Tnet,'2025'!Resal+('2025'!Salim-'2025'!Resal)*(1-EXP(('2025'!Tnet-t)/('2025'!Tau_j))),Resal+(Salim-Resal)*(1-EXP((Tnet-t)/(Tau_j))))*Salcycl</f>
        <v>1.0417245558546265E-2</v>
      </c>
      <c r="P150" s="169">
        <f>(INDEX(Models!$BJ150:$BT150,,T150)*(1-R150)+INDEX(Models!$BJ150:$BT150,,T150+1)*R150-ERP_i)*Q150*Ramure*Pc/MaxiM</f>
        <v>6.6642467089345135E-4</v>
      </c>
      <c r="Q150" s="305">
        <f t="shared" si="53"/>
        <v>0.7</v>
      </c>
      <c r="R150" s="177">
        <f t="shared" si="54"/>
        <v>0.6063751377210469</v>
      </c>
      <c r="S150" s="921">
        <f t="shared" si="55"/>
        <v>-2</v>
      </c>
      <c r="T150" s="176">
        <f t="shared" si="56"/>
        <v>4</v>
      </c>
      <c r="U150" s="251">
        <f t="shared" si="57"/>
        <v>-1.3936248622789531</v>
      </c>
      <c r="V150" s="383">
        <f t="shared" si="58"/>
        <v>55.411525761699075</v>
      </c>
      <c r="W150" s="402">
        <f t="shared" si="59"/>
        <v>48.944043373913736</v>
      </c>
      <c r="X150" s="157">
        <f t="shared" si="60"/>
        <v>46158</v>
      </c>
      <c r="Y150" s="385">
        <f t="shared" si="61"/>
        <v>45.120783925217239</v>
      </c>
      <c r="Z150" s="385">
        <f t="shared" si="62"/>
        <v>48.095550210876425</v>
      </c>
      <c r="AA150" s="386">
        <f t="shared" si="63"/>
        <v>52.553217981123566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8.4821975541978831E-2</v>
      </c>
      <c r="AD150" s="231">
        <f>(INDEX(Models!$BJ150:$BT150,,AH150)*(1-AF150)+INDEX(Models!$BJ150:$BT150,,AH150+1)*AF150-ERP_i)*AE150*Ramure*Pc/MaxiM</f>
        <v>4.4625105901289989E-3</v>
      </c>
      <c r="AE150" s="305">
        <f t="shared" si="65"/>
        <v>0.7</v>
      </c>
      <c r="AF150" s="177">
        <f t="shared" si="66"/>
        <v>0.13136270409502604</v>
      </c>
      <c r="AG150" s="921">
        <f t="shared" si="74"/>
        <v>2</v>
      </c>
      <c r="AH150" s="176">
        <f t="shared" si="67"/>
        <v>8</v>
      </c>
      <c r="AI150" s="225">
        <f t="shared" si="68"/>
        <v>2.131362704095026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52.407531119551685</v>
      </c>
      <c r="C151" s="955"/>
      <c r="D151" s="393">
        <f t="shared" si="50"/>
        <v>55.863928621148688</v>
      </c>
      <c r="E151" s="385">
        <f t="shared" si="72"/>
        <v>56.460374630309843</v>
      </c>
      <c r="F151" s="385">
        <f t="shared" si="51"/>
        <v>56.497024830083809</v>
      </c>
      <c r="G151" s="110">
        <f t="shared" si="73"/>
        <v>0.9457313954987524</v>
      </c>
      <c r="H151" s="414" t="b">
        <f>Wh_hp&gt;='2025'!Maxi_hp</f>
        <v>0</v>
      </c>
      <c r="I151" s="390">
        <f>IF(H151,Wh_hp,'2025'!Maxi_hp)</f>
        <v>56.499547485861797</v>
      </c>
      <c r="J151" s="85">
        <f>IF(H151,An,'2025'!An_max)</f>
        <v>2025</v>
      </c>
      <c r="K151" s="197">
        <f t="shared" si="52"/>
        <v>46159</v>
      </c>
      <c r="L151" s="147">
        <f>IF(t&lt;Tvie,1-EXP((T0-t)*PertePVj)+'2025'!Pspv,1-EXP((T0-t)*PertePVj)+Pspv)</f>
        <v>6.1871722718199518E-2</v>
      </c>
      <c r="M151" s="959"/>
      <c r="N151" s="959"/>
      <c r="O151" s="48">
        <f>IF(t&lt;Tnet,'2025'!Resal+('2025'!Salim-'2025'!Resal)*(1-EXP(('2025'!Tnet-t)/('2025'!Tau_j))),Resal+(Salim-Resal)*(1-EXP((Tnet-t)/(Tau_j))))*Salcycl</f>
        <v>1.0563975408710105E-2</v>
      </c>
      <c r="P151" s="169">
        <f>(INDEX(Models!$BJ151:$BT151,,T151)*(1-R151)+INDEX(Models!$BJ151:$BT151,,T151+1)*R151-ERP_i)*Q151*Ramure*Pc/MaxiM</f>
        <v>7.0317308795542818E-4</v>
      </c>
      <c r="Q151" s="305">
        <f t="shared" si="53"/>
        <v>0.7</v>
      </c>
      <c r="R151" s="177">
        <f t="shared" si="54"/>
        <v>0.61040919608102073</v>
      </c>
      <c r="S151" s="921">
        <f t="shared" si="55"/>
        <v>-2</v>
      </c>
      <c r="T151" s="176">
        <f t="shared" si="56"/>
        <v>4</v>
      </c>
      <c r="U151" s="251">
        <f t="shared" si="57"/>
        <v>-1.3895908039189793</v>
      </c>
      <c r="V151" s="383">
        <f t="shared" si="58"/>
        <v>55.411795837519286</v>
      </c>
      <c r="W151" s="402">
        <f t="shared" si="59"/>
        <v>52.407531119551685</v>
      </c>
      <c r="X151" s="157">
        <f t="shared" si="60"/>
        <v>46159</v>
      </c>
      <c r="Y151" s="385">
        <f t="shared" si="61"/>
        <v>48.291872388564599</v>
      </c>
      <c r="Z151" s="385">
        <f t="shared" si="62"/>
        <v>51.476832708303924</v>
      </c>
      <c r="AA151" s="386">
        <f t="shared" si="63"/>
        <v>56.255828012301194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8.4951114806314315E-2</v>
      </c>
      <c r="AD151" s="231">
        <f>(INDEX(Models!$BJ151:$BT151,,AH151)*(1-AF151)+INDEX(Models!$BJ151:$BT151,,AH151+1)*AF151-ERP_i)*AE151*Ramure*Pc/MaxiM</f>
        <v>4.6276176449572019E-3</v>
      </c>
      <c r="AE151" s="305">
        <f t="shared" si="65"/>
        <v>0.7</v>
      </c>
      <c r="AF151" s="177">
        <f t="shared" si="66"/>
        <v>0.13539676245499965</v>
      </c>
      <c r="AG151" s="921">
        <f t="shared" si="74"/>
        <v>2</v>
      </c>
      <c r="AH151" s="176">
        <f t="shared" si="67"/>
        <v>8</v>
      </c>
      <c r="AI151" s="225">
        <f t="shared" si="68"/>
        <v>2.1353967624549997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50.772940770795678</v>
      </c>
      <c r="C152" s="955"/>
      <c r="D152" s="393">
        <f t="shared" si="50"/>
        <v>54.122718696826482</v>
      </c>
      <c r="E152" s="385">
        <f t="shared" si="72"/>
        <v>54.708694275977969</v>
      </c>
      <c r="F152" s="385">
        <f t="shared" si="51"/>
        <v>54.744406677863168</v>
      </c>
      <c r="G152" s="110">
        <f t="shared" si="73"/>
        <v>0.91624838751584203</v>
      </c>
      <c r="H152" s="414" t="b">
        <f>Wh_hp&gt;='2025'!Maxi_hp</f>
        <v>0</v>
      </c>
      <c r="I152" s="390">
        <f>IF(H152,Wh_hp,'2025'!Maxi_hp)</f>
        <v>59.62470514235855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6.1892270135114669E-2</v>
      </c>
      <c r="M152" s="959"/>
      <c r="N152" s="959"/>
      <c r="O152" s="48">
        <f>IF(t&lt;Tnet,'2025'!Resal+('2025'!Salim-'2025'!Resal)*(1-EXP(('2025'!Tnet-t)/('2025'!Tau_j))),Resal+(Salim-Resal)*(1-EXP((Tnet-t)/(Tau_j))))*Salcycl</f>
        <v>1.0710831009702732E-2</v>
      </c>
      <c r="P152" s="169">
        <f>(INDEX(Models!$BJ152:$BT152,,T152)*(1-R152)+INDEX(Models!$BJ152:$BT152,,T152+1)*R152-ERP_i)*Q152*Ramure*Pc/MaxiM</f>
        <v>7.409080744511696E-4</v>
      </c>
      <c r="Q152" s="305">
        <f t="shared" si="53"/>
        <v>0.7</v>
      </c>
      <c r="R152" s="177">
        <f t="shared" si="54"/>
        <v>0.61451967630497784</v>
      </c>
      <c r="S152" s="921">
        <f t="shared" si="55"/>
        <v>-2</v>
      </c>
      <c r="T152" s="176">
        <f t="shared" si="56"/>
        <v>4</v>
      </c>
      <c r="U152" s="251">
        <f t="shared" si="57"/>
        <v>-1.3854803236950222</v>
      </c>
      <c r="V152" s="383">
        <f t="shared" si="58"/>
        <v>55.409037625378225</v>
      </c>
      <c r="W152" s="402">
        <f t="shared" si="59"/>
        <v>50.772940770795678</v>
      </c>
      <c r="X152" s="157">
        <f t="shared" si="60"/>
        <v>46160</v>
      </c>
      <c r="Y152" s="385">
        <f t="shared" si="61"/>
        <v>46.788354790744542</v>
      </c>
      <c r="Z152" s="385">
        <f t="shared" si="62"/>
        <v>49.875247054497059</v>
      </c>
      <c r="AA152" s="386">
        <f t="shared" si="63"/>
        <v>54.513280376978287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8.50807966500568E-2</v>
      </c>
      <c r="AD152" s="231">
        <f>(INDEX(Models!$BJ152:$BT152,,AH152)*(1-AF152)+INDEX(Models!$BJ152:$BT152,,AH152+1)*AF152-ERP_i)*AE152*Ramure*Pc/MaxiM</f>
        <v>4.7950665176232721E-3</v>
      </c>
      <c r="AE152" s="305">
        <f t="shared" si="65"/>
        <v>0.7</v>
      </c>
      <c r="AF152" s="177">
        <f t="shared" si="66"/>
        <v>0.13950724267895698</v>
      </c>
      <c r="AG152" s="921">
        <f t="shared" si="74"/>
        <v>2</v>
      </c>
      <c r="AH152" s="176">
        <f t="shared" si="67"/>
        <v>8</v>
      </c>
      <c r="AI152" s="225">
        <f t="shared" si="68"/>
        <v>2.139507242678957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53.041841419217313</v>
      </c>
      <c r="C153" s="955"/>
      <c r="D153" s="393">
        <f t="shared" si="50"/>
        <v>56.542549974253319</v>
      </c>
      <c r="E153" s="385">
        <f t="shared" si="72"/>
        <v>57.163217156045853</v>
      </c>
      <c r="F153" s="385">
        <f t="shared" si="51"/>
        <v>57.205101453000623</v>
      </c>
      <c r="G153" s="110">
        <f t="shared" si="73"/>
        <v>0.95733055216280183</v>
      </c>
      <c r="H153" s="414" t="b">
        <f>Wh_hp&gt;='2025'!Maxi_hp</f>
        <v>0</v>
      </c>
      <c r="I153" s="390">
        <f>IF(H153,Wh_hp,'2025'!Maxi_hp)</f>
        <v>59.775748831066402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6.1912817101988815E-2</v>
      </c>
      <c r="M153" s="959"/>
      <c r="N153" s="959"/>
      <c r="O153" s="48">
        <f>IF(t&lt;Tnet,'2025'!Resal+('2025'!Salim-'2025'!Resal)*(1-EXP(('2025'!Tnet-t)/('2025'!Tau_j))),Resal+(Salim-Resal)*(1-EXP((Tnet-t)/(Tau_j))))*Salcycl</f>
        <v>1.0857807042214205E-2</v>
      </c>
      <c r="P153" s="169">
        <f>(INDEX(Models!$BJ153:$BT153,,T153)*(1-R153)+INDEX(Models!$BJ153:$BT153,,T153+1)*R153-ERP_i)*Q153*Ramure*Pc/MaxiM</f>
        <v>7.7965172053814935E-4</v>
      </c>
      <c r="Q153" s="305">
        <f t="shared" si="53"/>
        <v>0.7</v>
      </c>
      <c r="R153" s="177">
        <f t="shared" si="54"/>
        <v>0.61870520207227431</v>
      </c>
      <c r="S153" s="921">
        <f t="shared" si="55"/>
        <v>-2</v>
      </c>
      <c r="T153" s="176">
        <f t="shared" si="56"/>
        <v>4</v>
      </c>
      <c r="U153" s="251">
        <f t="shared" si="57"/>
        <v>-1.3812947979277257</v>
      </c>
      <c r="V153" s="383">
        <f t="shared" si="58"/>
        <v>55.403351895960732</v>
      </c>
      <c r="W153" s="402">
        <f t="shared" si="59"/>
        <v>53.041841419217313</v>
      </c>
      <c r="X153" s="157">
        <f t="shared" si="60"/>
        <v>46161</v>
      </c>
      <c r="Y153" s="385">
        <f t="shared" si="61"/>
        <v>48.861777490567846</v>
      </c>
      <c r="Z153" s="385">
        <f t="shared" si="62"/>
        <v>52.086606001395602</v>
      </c>
      <c r="AA153" s="386">
        <f t="shared" si="63"/>
        <v>56.938380144320448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8.5210961931603268E-2</v>
      </c>
      <c r="AD153" s="231">
        <f>(INDEX(Models!$BJ153:$BT153,,AH153)*(1-AF153)+INDEX(Models!$BJ153:$BT153,,AH153+1)*AF153-ERP_i)*AE153*Ramure*Pc/MaxiM</f>
        <v>4.9648613522454959E-3</v>
      </c>
      <c r="AE153" s="305">
        <f t="shared" si="65"/>
        <v>0.7</v>
      </c>
      <c r="AF153" s="177">
        <f t="shared" si="66"/>
        <v>0.14369276844625345</v>
      </c>
      <c r="AG153" s="921">
        <f t="shared" si="74"/>
        <v>2</v>
      </c>
      <c r="AH153" s="176">
        <f t="shared" si="67"/>
        <v>8</v>
      </c>
      <c r="AI153" s="225">
        <f t="shared" si="68"/>
        <v>2.1436927684462534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48.112105983763357</v>
      </c>
      <c r="C154" s="955"/>
      <c r="D154" s="393">
        <f t="shared" si="50"/>
        <v>51.288580275456859</v>
      </c>
      <c r="E154" s="385">
        <f t="shared" si="72"/>
        <v>51.859286407365445</v>
      </c>
      <c r="F154" s="385">
        <f t="shared" si="51"/>
        <v>51.893823077246466</v>
      </c>
      <c r="G154" s="110">
        <f t="shared" si="73"/>
        <v>0.86839671536427065</v>
      </c>
      <c r="H154" s="414" t="b">
        <f>Wh_hp&gt;='2025'!Maxi_hp</f>
        <v>0</v>
      </c>
      <c r="I154" s="390">
        <f>IF(H154,Wh_hp,'2025'!Maxi_hp)</f>
        <v>61.745336141235896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6.1933363618831505E-2</v>
      </c>
      <c r="M154" s="959"/>
      <c r="N154" s="959"/>
      <c r="O154" s="48">
        <f>IF(t&lt;Tnet,'2025'!Resal+('2025'!Salim-'2025'!Resal)*(1-EXP(('2025'!Tnet-t)/('2025'!Tau_j))),Resal+(Salim-Resal)*(1-EXP((Tnet-t)/(Tau_j))))*Salcycl</f>
        <v>1.1004897511037266E-2</v>
      </c>
      <c r="P154" s="169">
        <f>(INDEX(Models!$BJ154:$BT154,,T154)*(1-R154)+INDEX(Models!$BJ154:$BT154,,T154+1)*R154-ERP_i)*Q154*Ramure*Pc/MaxiM</f>
        <v>8.1942476804145446E-4</v>
      </c>
      <c r="Q154" s="305">
        <f t="shared" si="53"/>
        <v>0.7</v>
      </c>
      <c r="R154" s="177">
        <f t="shared" si="54"/>
        <v>0.62296421737993501</v>
      </c>
      <c r="S154" s="921">
        <f t="shared" si="55"/>
        <v>-2</v>
      </c>
      <c r="T154" s="176">
        <f t="shared" si="56"/>
        <v>4</v>
      </c>
      <c r="U154" s="251">
        <f t="shared" si="57"/>
        <v>-1.377035782620065</v>
      </c>
      <c r="V154" s="383">
        <f t="shared" si="58"/>
        <v>55.394839467326868</v>
      </c>
      <c r="W154" s="402">
        <f t="shared" si="59"/>
        <v>48.112105983763357</v>
      </c>
      <c r="X154" s="157">
        <f t="shared" si="60"/>
        <v>46162</v>
      </c>
      <c r="Y154" s="385">
        <f t="shared" si="61"/>
        <v>44.339679901732126</v>
      </c>
      <c r="Z154" s="385">
        <f t="shared" si="62"/>
        <v>47.267089758978912</v>
      </c>
      <c r="AA154" s="386">
        <f t="shared" si="63"/>
        <v>51.677311586253985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8.5341549161550845E-2</v>
      </c>
      <c r="AD154" s="231">
        <f>(INDEX(Models!$BJ154:$BT154,,AH154)*(1-AF154)+INDEX(Models!$BJ154:$BT154,,AH154+1)*AF154-ERP_i)*AE154*Ramure*Pc/MaxiM</f>
        <v>5.1370001478433592E-3</v>
      </c>
      <c r="AE154" s="305">
        <f t="shared" si="65"/>
        <v>0.7</v>
      </c>
      <c r="AF154" s="177">
        <f t="shared" si="66"/>
        <v>0.14795178375391416</v>
      </c>
      <c r="AG154" s="921">
        <f t="shared" si="74"/>
        <v>2</v>
      </c>
      <c r="AH154" s="176">
        <f t="shared" si="67"/>
        <v>8</v>
      </c>
      <c r="AI154" s="225">
        <f t="shared" si="68"/>
        <v>2.1479517837539142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48.702530798607782</v>
      </c>
      <c r="C155" s="955"/>
      <c r="D155" s="393">
        <f t="shared" si="50"/>
        <v>51.919123486018854</v>
      </c>
      <c r="E155" s="385">
        <f t="shared" si="72"/>
        <v>52.504660486973286</v>
      </c>
      <c r="F155" s="385">
        <f t="shared" si="51"/>
        <v>52.542070345279534</v>
      </c>
      <c r="G155" s="110">
        <f t="shared" si="73"/>
        <v>0.87923689536755734</v>
      </c>
      <c r="H155" s="414" t="b">
        <f>Wh_hp&gt;='2025'!Maxi_hp</f>
        <v>0</v>
      </c>
      <c r="I155" s="390">
        <f>IF(H155,Wh_hp,'2025'!Maxi_hp)</f>
        <v>58.246676654523853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6.1953909685652842E-2</v>
      </c>
      <c r="M155" s="959"/>
      <c r="N155" s="959"/>
      <c r="O155" s="48">
        <f>IF(t&lt;Tnet,'2025'!Resal+('2025'!Salim-'2025'!Resal)*(1-EXP(('2025'!Tnet-t)/('2025'!Tau_j))),Resal+(Salim-Resal)*(1-EXP((Tnet-t)/(Tau_j))))*Salcycl</f>
        <v>1.1152095747761425E-2</v>
      </c>
      <c r="P155" s="169">
        <f>(INDEX(Models!$BJ155:$BT155,,T155)*(1-R155)+INDEX(Models!$BJ155:$BT155,,T155+1)*R155-ERP_i)*Q155*Ramure*Pc/MaxiM</f>
        <v>8.6024647645125134E-4</v>
      </c>
      <c r="Q155" s="305">
        <f t="shared" si="53"/>
        <v>0.7</v>
      </c>
      <c r="R155" s="177">
        <f t="shared" si="54"/>
        <v>0.62729498490087776</v>
      </c>
      <c r="S155" s="921">
        <f t="shared" si="55"/>
        <v>-2</v>
      </c>
      <c r="T155" s="176">
        <f t="shared" si="56"/>
        <v>4</v>
      </c>
      <c r="U155" s="251">
        <f t="shared" si="57"/>
        <v>-1.3727050150991222</v>
      </c>
      <c r="V155" s="383">
        <f t="shared" si="58"/>
        <v>55.383601215401654</v>
      </c>
      <c r="W155" s="402">
        <f t="shared" si="59"/>
        <v>48.702530798607782</v>
      </c>
      <c r="X155" s="157">
        <f t="shared" si="60"/>
        <v>46163</v>
      </c>
      <c r="Y155" s="385">
        <f t="shared" si="61"/>
        <v>44.876058417676084</v>
      </c>
      <c r="Z155" s="385">
        <f t="shared" si="62"/>
        <v>47.839929062161261</v>
      </c>
      <c r="AA155" s="386">
        <f t="shared" si="63"/>
        <v>52.311088274415056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8.5472494642031729E-2</v>
      </c>
      <c r="AD155" s="231">
        <f>(INDEX(Models!$BJ155:$BT155,,AH155)*(1-AF155)+INDEX(Models!$BJ155:$BT155,,AH155+1)*AF155-ERP_i)*AE155*Ramure*Pc/MaxiM</f>
        <v>5.3114746107278026E-3</v>
      </c>
      <c r="AE155" s="305">
        <f t="shared" si="65"/>
        <v>0.7</v>
      </c>
      <c r="AF155" s="177">
        <f t="shared" si="66"/>
        <v>0.1522825512748569</v>
      </c>
      <c r="AG155" s="921">
        <f t="shared" si="74"/>
        <v>2</v>
      </c>
      <c r="AH155" s="176">
        <f t="shared" si="67"/>
        <v>8</v>
      </c>
      <c r="AI155" s="225">
        <f t="shared" si="68"/>
        <v>2.1522825512748569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37.25610649541666</v>
      </c>
      <c r="C156" s="955"/>
      <c r="D156" s="393">
        <f t="shared" si="50"/>
        <v>39.717582006180592</v>
      </c>
      <c r="E156" s="385">
        <f t="shared" si="72"/>
        <v>40.171495579047324</v>
      </c>
      <c r="F156" s="385">
        <f t="shared" si="51"/>
        <v>40.190808640490111</v>
      </c>
      <c r="G156" s="110">
        <f t="shared" si="73"/>
        <v>0.67257662861223355</v>
      </c>
      <c r="H156" s="414" t="b">
        <f>Wh_hp&gt;='2025'!Maxi_hp</f>
        <v>0</v>
      </c>
      <c r="I156" s="390">
        <f>IF(H156,Wh_hp,'2025'!Maxi_hp)</f>
        <v>58.677512490213942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6.1974455302462594E-2</v>
      </c>
      <c r="M156" s="959"/>
      <c r="N156" s="959"/>
      <c r="O156" s="48">
        <f>IF(t&lt;Tnet,'2025'!Resal+('2025'!Salim-'2025'!Resal)*(1-EXP(('2025'!Tnet-t)/('2025'!Tau_j))),Resal+(Salim-Resal)*(1-EXP((Tnet-t)/(Tau_j))))*Salcycl</f>
        <v>1.1299394416957835E-2</v>
      </c>
      <c r="P156" s="169">
        <f>(INDEX(Models!$BJ156:$BT156,,T156)*(1-R156)+INDEX(Models!$BJ156:$BT156,,T156+1)*R156-ERP_i)*Q156*Ramure*Pc/MaxiM</f>
        <v>9.0214448534210929E-4</v>
      </c>
      <c r="Q156" s="305">
        <f t="shared" si="53"/>
        <v>0.7</v>
      </c>
      <c r="R156" s="177">
        <f t="shared" si="54"/>
        <v>0.63169558514643342</v>
      </c>
      <c r="S156" s="921">
        <f t="shared" si="55"/>
        <v>-2</v>
      </c>
      <c r="T156" s="176">
        <f t="shared" si="56"/>
        <v>4</v>
      </c>
      <c r="U156" s="251">
        <f t="shared" si="57"/>
        <v>-1.3683044148535666</v>
      </c>
      <c r="V156" s="383">
        <f t="shared" si="58"/>
        <v>55.369737521268</v>
      </c>
      <c r="W156" s="402">
        <f t="shared" si="59"/>
        <v>37.25610649541666</v>
      </c>
      <c r="X156" s="157">
        <f t="shared" si="60"/>
        <v>46164</v>
      </c>
      <c r="Y156" s="385">
        <f t="shared" si="61"/>
        <v>34.371967328130985</v>
      </c>
      <c r="Z156" s="385">
        <f t="shared" si="62"/>
        <v>36.642890508076825</v>
      </c>
      <c r="AA156" s="386">
        <f t="shared" si="63"/>
        <v>40.073315930244235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8.5603732621946302E-2</v>
      </c>
      <c r="AD156" s="231">
        <f>(INDEX(Models!$BJ156:$BT156,,AH156)*(1-AF156)+INDEX(Models!$BJ156:$BT156,,AH156+1)*AF156-ERP_i)*AE156*Ramure*Pc/MaxiM</f>
        <v>5.4882754311229524E-3</v>
      </c>
      <c r="AE156" s="305">
        <f t="shared" si="65"/>
        <v>0.7</v>
      </c>
      <c r="AF156" s="177">
        <f t="shared" si="66"/>
        <v>0.15668315152041234</v>
      </c>
      <c r="AG156" s="921">
        <f t="shared" si="74"/>
        <v>2</v>
      </c>
      <c r="AH156" s="176">
        <f t="shared" si="67"/>
        <v>8</v>
      </c>
      <c r="AI156" s="225">
        <f t="shared" si="68"/>
        <v>2.1566831515204123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17.401608853809318</v>
      </c>
      <c r="C157" s="955"/>
      <c r="D157" s="393">
        <f t="shared" si="50"/>
        <v>18.551722925267025</v>
      </c>
      <c r="E157" s="385">
        <f t="shared" si="72"/>
        <v>18.7665394777332</v>
      </c>
      <c r="F157" s="385">
        <f t="shared" si="51"/>
        <v>18.766903661106621</v>
      </c>
      <c r="G157" s="110">
        <f t="shared" si="73"/>
        <v>0.31408215686798552</v>
      </c>
      <c r="H157" s="414" t="b">
        <f>Wh_hp&gt;='2025'!Maxi_hp</f>
        <v>0</v>
      </c>
      <c r="I157" s="390">
        <f>IF(H157,Wh_hp,'2025'!Maxi_hp)</f>
        <v>53.955691624579302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6.1995000469270534E-2</v>
      </c>
      <c r="M157" s="959"/>
      <c r="N157" s="959"/>
      <c r="O157" s="48">
        <f>IF(t&lt;Tnet,'2025'!Resal+('2025'!Salim-'2025'!Resal)*(1-EXP(('2025'!Tnet-t)/('2025'!Tau_j))),Resal+(Salim-Resal)*(1-EXP((Tnet-t)/(Tau_j))))*Salcycl</f>
        <v>1.1446785525965387E-2</v>
      </c>
      <c r="P157" s="169">
        <f>(INDEX(Models!$BJ157:$BT157,,T157)*(1-R157)+INDEX(Models!$BJ157:$BT157,,T157+1)*R157-ERP_i)*Q157*Ramure*Pc/MaxiM</f>
        <v>9.4508938927603272E-4</v>
      </c>
      <c r="Q157" s="305">
        <f t="shared" si="53"/>
        <v>0.7</v>
      </c>
      <c r="R157" s="177">
        <f t="shared" si="54"/>
        <v>0.6361639164782058</v>
      </c>
      <c r="S157" s="921">
        <f t="shared" si="55"/>
        <v>-2</v>
      </c>
      <c r="T157" s="176">
        <f t="shared" si="56"/>
        <v>4</v>
      </c>
      <c r="U157" s="251">
        <f t="shared" si="57"/>
        <v>-1.3638360835217942</v>
      </c>
      <c r="V157" s="383">
        <f t="shared" si="58"/>
        <v>55.353351898995747</v>
      </c>
      <c r="W157" s="402">
        <f t="shared" si="59"/>
        <v>17.401608853809318</v>
      </c>
      <c r="X157" s="157">
        <f t="shared" si="60"/>
        <v>46165</v>
      </c>
      <c r="Y157" s="385">
        <f t="shared" si="61"/>
        <v>16.092341506298467</v>
      </c>
      <c r="Z157" s="385">
        <f t="shared" si="62"/>
        <v>17.155922958139069</v>
      </c>
      <c r="AA157" s="386">
        <f t="shared" si="63"/>
        <v>18.764719885412536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8.5735195467752545E-2</v>
      </c>
      <c r="AD157" s="231">
        <f>(INDEX(Models!$BJ157:$BT157,,AH157)*(1-AF157)+INDEX(Models!$BJ157:$BT157,,AH157+1)*AF157-ERP_i)*AE157*Ramure*Pc/MaxiM</f>
        <v>5.6670990156546955E-3</v>
      </c>
      <c r="AE157" s="305">
        <f t="shared" si="65"/>
        <v>0.7</v>
      </c>
      <c r="AF157" s="177">
        <f t="shared" si="66"/>
        <v>0.16115148285218472</v>
      </c>
      <c r="AG157" s="921">
        <f t="shared" si="74"/>
        <v>2</v>
      </c>
      <c r="AH157" s="176">
        <f t="shared" si="67"/>
        <v>8</v>
      </c>
      <c r="AI157" s="225">
        <f t="shared" si="68"/>
        <v>2.1611514828521847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16.542441636004593</v>
      </c>
      <c r="C158" s="955"/>
      <c r="D158" s="393">
        <f t="shared" si="50"/>
        <v>17.636157562212954</v>
      </c>
      <c r="E158" s="385">
        <f t="shared" si="72"/>
        <v>17.843034349471392</v>
      </c>
      <c r="F158" s="385">
        <f t="shared" si="51"/>
        <v>17.843034349471392</v>
      </c>
      <c r="G158" s="110">
        <f t="shared" si="73"/>
        <v>0.29865754675020384</v>
      </c>
      <c r="H158" s="414" t="b">
        <f>Wh_hp&gt;='2025'!Maxi_hp</f>
        <v>0</v>
      </c>
      <c r="I158" s="390">
        <f>IF(H158,Wh_hp,'2025'!Maxi_hp)</f>
        <v>25.770368698840517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6.2015545186086651E-2</v>
      </c>
      <c r="M158" s="959"/>
      <c r="N158" s="959"/>
      <c r="O158" s="48">
        <f>IF(t&lt;Tnet,'2025'!Resal+('2025'!Salim-'2025'!Resal)*(1-EXP(('2025'!Tnet-t)/('2025'!Tau_j))),Resal+(Salim-Resal)*(1-EXP((Tnet-t)/(Tau_j))))*Salcycl</f>
        <v>1.1594260438363424E-2</v>
      </c>
      <c r="P158" s="169">
        <f>(INDEX(Models!$BJ158:$BT158,,T158)*(1-R158)+INDEX(Models!$BJ158:$BT158,,T158+1)*R158-ERP_i)*Q158*Ramure*Pc/MaxiM</f>
        <v>9.8908877763295017E-4</v>
      </c>
      <c r="Q158" s="305">
        <f t="shared" si="53"/>
        <v>0.7</v>
      </c>
      <c r="R158" s="177">
        <f t="shared" si="54"/>
        <v>0.64069769600903514</v>
      </c>
      <c r="S158" s="921">
        <f t="shared" si="55"/>
        <v>-2</v>
      </c>
      <c r="T158" s="176">
        <f t="shared" si="56"/>
        <v>4</v>
      </c>
      <c r="U158" s="251">
        <f t="shared" si="57"/>
        <v>-1.3593023039909649</v>
      </c>
      <c r="V158" s="383">
        <f t="shared" si="58"/>
        <v>55.334545778111988</v>
      </c>
      <c r="W158" s="402">
        <f t="shared" si="59"/>
        <v>16.542441636004593</v>
      </c>
      <c r="X158" s="157">
        <f t="shared" si="60"/>
        <v>46166</v>
      </c>
      <c r="Y158" s="385">
        <f t="shared" si="61"/>
        <v>15.299379874239861</v>
      </c>
      <c r="Z158" s="385">
        <f t="shared" si="62"/>
        <v>16.310909840478224</v>
      </c>
      <c r="AA158" s="386">
        <f t="shared" si="63"/>
        <v>17.843034349471392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8.5866813849324666E-2</v>
      </c>
      <c r="AD158" s="231">
        <f>(INDEX(Models!$BJ158:$BT158,,AH158)*(1-AF158)+INDEX(Models!$BJ158:$BT158,,AH158+1)*AF158-ERP_i)*AE158*Ramure*Pc/MaxiM</f>
        <v>5.847879329892264E-3</v>
      </c>
      <c r="AE158" s="305">
        <f t="shared" si="65"/>
        <v>0.7</v>
      </c>
      <c r="AF158" s="177">
        <f t="shared" si="66"/>
        <v>0.16568526238301429</v>
      </c>
      <c r="AG158" s="921">
        <f t="shared" si="74"/>
        <v>2</v>
      </c>
      <c r="AH158" s="176">
        <f t="shared" si="67"/>
        <v>8</v>
      </c>
      <c r="AI158" s="225">
        <f t="shared" si="68"/>
        <v>2.1656852623830143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38.536363662265174</v>
      </c>
      <c r="C159" s="955"/>
      <c r="D159" s="393">
        <f t="shared" si="50"/>
        <v>41.085124095860316</v>
      </c>
      <c r="E159" s="385">
        <f t="shared" si="72"/>
        <v>41.573269523156377</v>
      </c>
      <c r="F159" s="385">
        <f t="shared" si="51"/>
        <v>41.59764808874629</v>
      </c>
      <c r="G159" s="110">
        <f t="shared" si="73"/>
        <v>0.6963786589318538</v>
      </c>
      <c r="H159" s="414" t="b">
        <f>Wh_hp&gt;='2025'!Maxi_hp</f>
        <v>0</v>
      </c>
      <c r="I159" s="390">
        <f>IF(H159,Wh_hp,'2025'!Maxi_hp)</f>
        <v>55.122596698708996</v>
      </c>
      <c r="J159" s="85">
        <f>IF(H159,An,'2025'!An_max)</f>
        <v>2021</v>
      </c>
      <c r="K159" s="197">
        <f t="shared" si="52"/>
        <v>46167</v>
      </c>
      <c r="L159" s="147">
        <f>IF(t&lt;Tvie,1-EXP((T0-t)*PertePVj)+'2025'!Pspv,1-EXP((T0-t)*PertePVj)+Pspv)</f>
        <v>6.2036089452920717E-2</v>
      </c>
      <c r="M159" s="959"/>
      <c r="N159" s="959"/>
      <c r="O159" s="48">
        <f>IF(t&lt;Tnet,'2025'!Resal+('2025'!Salim-'2025'!Resal)*(1-EXP(('2025'!Tnet-t)/('2025'!Tau_j))),Resal+(Salim-Resal)*(1-EXP((Tnet-t)/(Tau_j))))*Salcycl</f>
        <v>1.1741809891189049E-2</v>
      </c>
      <c r="P159" s="169">
        <f>(INDEX(Models!$BJ159:$BT159,,T159)*(1-R159)+INDEX(Models!$BJ159:$BT159,,T159+1)*R159-ERP_i)*Q159*Ramure*Pc/MaxiM</f>
        <v>1.0341535681270061E-3</v>
      </c>
      <c r="Q159" s="305">
        <f t="shared" si="53"/>
        <v>0.7</v>
      </c>
      <c r="R159" s="177">
        <f t="shared" si="54"/>
        <v>0.6452944614267524</v>
      </c>
      <c r="S159" s="921">
        <f t="shared" si="55"/>
        <v>-2</v>
      </c>
      <c r="T159" s="176">
        <f t="shared" si="56"/>
        <v>4</v>
      </c>
      <c r="U159" s="251">
        <f t="shared" si="57"/>
        <v>-1.3547055385732476</v>
      </c>
      <c r="V159" s="383">
        <f t="shared" si="58"/>
        <v>55.31342037077254</v>
      </c>
      <c r="W159" s="402">
        <f t="shared" si="59"/>
        <v>38.536363662265174</v>
      </c>
      <c r="X159" s="157">
        <f t="shared" si="60"/>
        <v>46167</v>
      </c>
      <c r="Y159" s="385">
        <f t="shared" si="61"/>
        <v>35.539805471094262</v>
      </c>
      <c r="Z159" s="385">
        <f t="shared" si="62"/>
        <v>37.890376240984814</v>
      </c>
      <c r="AA159" s="386">
        <f t="shared" si="63"/>
        <v>41.455486608338276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8.5998516940249375E-2</v>
      </c>
      <c r="AD159" s="231">
        <f>(INDEX(Models!$BJ159:$BT159,,AH159)*(1-AF159)+INDEX(Models!$BJ159:$BT159,,AH159+1)*AF159-ERP_i)*AE159*Ramure*Pc/MaxiM</f>
        <v>6.0305763959713123E-3</v>
      </c>
      <c r="AE159" s="305">
        <f t="shared" si="65"/>
        <v>0.7</v>
      </c>
      <c r="AF159" s="177">
        <f t="shared" si="66"/>
        <v>0.17028202780073132</v>
      </c>
      <c r="AG159" s="921">
        <f t="shared" si="74"/>
        <v>2</v>
      </c>
      <c r="AH159" s="176">
        <f t="shared" si="67"/>
        <v>8</v>
      </c>
      <c r="AI159" s="225">
        <f t="shared" si="68"/>
        <v>2.1702820278007313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26.224898282383215</v>
      </c>
      <c r="C160" s="955"/>
      <c r="D160" s="393">
        <f t="shared" si="50"/>
        <v>27.96000186429842</v>
      </c>
      <c r="E160" s="385">
        <f t="shared" si="72"/>
        <v>28.29643012013377</v>
      </c>
      <c r="F160" s="385">
        <f t="shared" si="51"/>
        <v>28.304044350443359</v>
      </c>
      <c r="G160" s="110">
        <f t="shared" si="73"/>
        <v>0.47392983225182672</v>
      </c>
      <c r="H160" s="414" t="b">
        <f>Wh_hp&gt;='2025'!Maxi_hp</f>
        <v>0</v>
      </c>
      <c r="I160" s="390">
        <f>IF(H160,Wh_hp,'2025'!Maxi_hp)</f>
        <v>58.823190702914935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6.2056633269782613E-2</v>
      </c>
      <c r="M160" s="959"/>
      <c r="N160" s="959"/>
      <c r="O160" s="48">
        <f>IF(t&lt;Tnet,'2025'!Resal+('2025'!Salim-'2025'!Resal)*(1-EXP(('2025'!Tnet-t)/('2025'!Tau_j))),Resal+(Salim-Resal)*(1-EXP((Tnet-t)/(Tau_j))))*Salcycl</f>
        <v>1.1889424015928143E-2</v>
      </c>
      <c r="P160" s="169">
        <f>(INDEX(Models!$BJ160:$BT160,,T160)*(1-R160)+INDEX(Models!$BJ160:$BT160,,T160+1)*R160-ERP_i)*Q160*Ramure*Pc/MaxiM</f>
        <v>1.0802927192957365E-3</v>
      </c>
      <c r="Q160" s="305">
        <f t="shared" si="53"/>
        <v>0.7</v>
      </c>
      <c r="R160" s="177">
        <f t="shared" si="54"/>
        <v>0.64995157376758472</v>
      </c>
      <c r="S160" s="921">
        <f t="shared" si="55"/>
        <v>-2</v>
      </c>
      <c r="T160" s="176">
        <f t="shared" si="56"/>
        <v>4</v>
      </c>
      <c r="U160" s="251">
        <f t="shared" si="57"/>
        <v>-1.3500484262324153</v>
      </c>
      <c r="V160" s="383">
        <f t="shared" si="58"/>
        <v>55.290076958643894</v>
      </c>
      <c r="W160" s="402">
        <f t="shared" si="59"/>
        <v>26.224898282383215</v>
      </c>
      <c r="X160" s="157">
        <f t="shared" si="60"/>
        <v>46168</v>
      </c>
      <c r="Y160" s="385">
        <f t="shared" si="61"/>
        <v>24.223491635971303</v>
      </c>
      <c r="Z160" s="385">
        <f t="shared" si="62"/>
        <v>25.826177246092467</v>
      </c>
      <c r="AA160" s="386">
        <f t="shared" si="63"/>
        <v>28.260238130502238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8.6130232631784001E-2</v>
      </c>
      <c r="AD160" s="231">
        <f>(INDEX(Models!$BJ160:$BT160,,AH160)*(1-AF160)+INDEX(Models!$BJ160:$BT160,,AH160+1)*AF160-ERP_i)*AE160*Ramure*Pc/MaxiM</f>
        <v>6.2151443465888389E-3</v>
      </c>
      <c r="AE160" s="305">
        <f t="shared" si="65"/>
        <v>0.7</v>
      </c>
      <c r="AF160" s="177">
        <f t="shared" si="66"/>
        <v>0.17493914014156386</v>
      </c>
      <c r="AG160" s="921">
        <f t="shared" si="74"/>
        <v>2</v>
      </c>
      <c r="AH160" s="176">
        <f t="shared" si="67"/>
        <v>8</v>
      </c>
      <c r="AI160" s="225">
        <f t="shared" si="68"/>
        <v>2.1749391401415639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41.795908877540576</v>
      </c>
      <c r="C161" s="955"/>
      <c r="D161" s="393">
        <f t="shared" si="50"/>
        <v>44.562204732009526</v>
      </c>
      <c r="E161" s="385">
        <f t="shared" si="72"/>
        <v>45.105139461769419</v>
      </c>
      <c r="F161" s="385">
        <f t="shared" si="51"/>
        <v>45.138314158058478</v>
      </c>
      <c r="G161" s="110">
        <f t="shared" si="73"/>
        <v>0.75598985193831181</v>
      </c>
      <c r="H161" s="414" t="b">
        <f>Wh_hp&gt;='2025'!Maxi_hp</f>
        <v>0</v>
      </c>
      <c r="I161" s="390">
        <f>IF(H161,Wh_hp,'2025'!Maxi_hp)</f>
        <v>60.55384086599669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6.2077176636682219E-2</v>
      </c>
      <c r="M161" s="959"/>
      <c r="N161" s="959"/>
      <c r="O161" s="48">
        <f>IF(t&lt;Tnet,'2025'!Resal+('2025'!Salim-'2025'!Resal)*(1-EXP(('2025'!Tnet-t)/('2025'!Tau_j))),Resal+(Salim-Resal)*(1-EXP((Tnet-t)/(Tau_j))))*Salcycl</f>
        <v>1.2037092363278922E-2</v>
      </c>
      <c r="P161" s="169">
        <f>(INDEX(Models!$BJ161:$BT161,,T161)*(1-R161)+INDEX(Models!$BJ161:$BT161,,T161+1)*R161-ERP_i)*Q161*Ramure*Pc/MaxiM</f>
        <v>1.127513128363205E-3</v>
      </c>
      <c r="Q161" s="305">
        <f t="shared" si="53"/>
        <v>0.7</v>
      </c>
      <c r="R161" s="177">
        <f t="shared" si="54"/>
        <v>0.65466622115856055</v>
      </c>
      <c r="S161" s="921">
        <f t="shared" si="55"/>
        <v>-2</v>
      </c>
      <c r="T161" s="176">
        <f t="shared" si="56"/>
        <v>4</v>
      </c>
      <c r="U161" s="251">
        <f t="shared" si="57"/>
        <v>-1.3453337788414395</v>
      </c>
      <c r="V161" s="383">
        <f t="shared" si="58"/>
        <v>55.264616900399673</v>
      </c>
      <c r="W161" s="402">
        <f t="shared" si="59"/>
        <v>41.795908877540576</v>
      </c>
      <c r="X161" s="157">
        <f t="shared" si="60"/>
        <v>46169</v>
      </c>
      <c r="Y161" s="385">
        <f t="shared" si="61"/>
        <v>38.522829501773849</v>
      </c>
      <c r="Z161" s="385">
        <f t="shared" si="62"/>
        <v>41.072493964518316</v>
      </c>
      <c r="AA161" s="386">
        <f t="shared" si="63"/>
        <v>44.949962592466072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8.6261887759560521E-2</v>
      </c>
      <c r="AD161" s="231">
        <f>(INDEX(Models!$BJ161:$BT161,,AH161)*(1-AF161)+INDEX(Models!$BJ161:$BT161,,AH161+1)*AF161-ERP_i)*AE161*Ramure*Pc/MaxiM</f>
        <v>6.4015314896252841E-3</v>
      </c>
      <c r="AE161" s="305">
        <f t="shared" si="65"/>
        <v>0.7</v>
      </c>
      <c r="AF161" s="177">
        <f t="shared" si="66"/>
        <v>0.17965378753253969</v>
      </c>
      <c r="AG161" s="921">
        <f t="shared" si="74"/>
        <v>2</v>
      </c>
      <c r="AH161" s="176">
        <f t="shared" si="67"/>
        <v>8</v>
      </c>
      <c r="AI161" s="225">
        <f t="shared" si="68"/>
        <v>2.1796537875325397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51.482798238902213</v>
      </c>
      <c r="C162" s="955"/>
      <c r="D162" s="393">
        <f t="shared" si="50"/>
        <v>54.89143092220683</v>
      </c>
      <c r="E162" s="385">
        <f t="shared" si="72"/>
        <v>55.568522473315959</v>
      </c>
      <c r="F162" s="385">
        <f t="shared" si="51"/>
        <v>55.627579563490151</v>
      </c>
      <c r="G162" s="110">
        <f t="shared" si="73"/>
        <v>0.93192574363185565</v>
      </c>
      <c r="H162" s="414" t="b">
        <f>Wh_hp&gt;='2025'!Maxi_hp</f>
        <v>0</v>
      </c>
      <c r="I162" s="390">
        <f>IF(H162,Wh_hp,'2025'!Maxi_hp)</f>
        <v>57.676626455771242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6.2097719553629305E-2</v>
      </c>
      <c r="M162" s="959"/>
      <c r="N162" s="959"/>
      <c r="O162" s="48">
        <f>IF(t&lt;Tnet,'2025'!Resal+('2025'!Salim-'2025'!Resal)*(1-EXP(('2025'!Tnet-t)/('2025'!Tau_j))),Resal+(Salim-Resal)*(1-EXP((Tnet-t)/(Tau_j))))*Salcycl</f>
        <v>1.2184803931655235E-2</v>
      </c>
      <c r="P162" s="169">
        <f>(INDEX(Models!$BJ162:$BT162,,T162)*(1-R162)+INDEX(Models!$BJ162:$BT162,,T162+1)*R162-ERP_i)*Q162*Ramure*Pc/MaxiM</f>
        <v>1.175819536275439E-3</v>
      </c>
      <c r="Q162" s="305">
        <f t="shared" si="53"/>
        <v>0.7</v>
      </c>
      <c r="R162" s="177">
        <f t="shared" si="54"/>
        <v>0.65943542354010276</v>
      </c>
      <c r="S162" s="921">
        <f t="shared" si="55"/>
        <v>-2</v>
      </c>
      <c r="T162" s="176">
        <f t="shared" si="56"/>
        <v>4</v>
      </c>
      <c r="U162" s="251">
        <f t="shared" si="57"/>
        <v>-1.3405645764598972</v>
      </c>
      <c r="V162" s="383">
        <f t="shared" si="58"/>
        <v>55.23714163048701</v>
      </c>
      <c r="W162" s="402">
        <f t="shared" si="59"/>
        <v>51.482798238902213</v>
      </c>
      <c r="X162" s="157">
        <f t="shared" si="60"/>
        <v>46170</v>
      </c>
      <c r="Y162" s="385">
        <f t="shared" si="61"/>
        <v>47.382206118570799</v>
      </c>
      <c r="Z162" s="385">
        <f t="shared" si="62"/>
        <v>50.519342053439132</v>
      </c>
      <c r="AA162" s="386">
        <f t="shared" si="63"/>
        <v>55.296604156233656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8.6393408341983571E-2</v>
      </c>
      <c r="AD162" s="231">
        <f>(INDEX(Models!$BJ162:$BT162,,AH162)*(1-AF162)+INDEX(Models!$BJ162:$BT162,,AH162+1)*AF162-ERP_i)*AE162*Ramure*Pc/MaxiM</f>
        <v>6.5896804046908734E-3</v>
      </c>
      <c r="AE162" s="305">
        <f t="shared" si="65"/>
        <v>0.7</v>
      </c>
      <c r="AF162" s="177">
        <f t="shared" si="66"/>
        <v>0.1844229899140819</v>
      </c>
      <c r="AG162" s="921">
        <f t="shared" si="74"/>
        <v>2</v>
      </c>
      <c r="AH162" s="176">
        <f t="shared" si="67"/>
        <v>8</v>
      </c>
      <c r="AI162" s="225">
        <f t="shared" si="68"/>
        <v>2.1844229899140819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55.743559569472566</v>
      </c>
      <c r="C163" s="955"/>
      <c r="D163" s="393">
        <f t="shared" si="50"/>
        <v>59.435595461715828</v>
      </c>
      <c r="E163" s="385">
        <f t="shared" si="72"/>
        <v>60.177740284120866</v>
      </c>
      <c r="F163" s="385">
        <f t="shared" si="51"/>
        <v>60.251561411651252</v>
      </c>
      <c r="G163" s="110">
        <f t="shared" si="73"/>
        <v>1.0097058919531767</v>
      </c>
      <c r="H163" s="414" t="b">
        <f>Wh_hp&gt;='2025'!Maxi_hp</f>
        <v>1</v>
      </c>
      <c r="I163" s="390">
        <f>IF(H163,Wh_hp,'2025'!Maxi_hp)</f>
        <v>60.251561411651252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6.2118262020633863E-2</v>
      </c>
      <c r="M163" s="959"/>
      <c r="N163" s="959"/>
      <c r="O163" s="48">
        <f>IF(t&lt;Tnet,'2025'!Resal+('2025'!Salim-'2025'!Resal)*(1-EXP(('2025'!Tnet-t)/('2025'!Tau_j))),Resal+(Salim-Resal)*(1-EXP((Tnet-t)/(Tau_j))))*Salcycl</f>
        <v>1.2332547199364821E-2</v>
      </c>
      <c r="P163" s="169">
        <f>(INDEX(Models!$BJ163:$BT163,,T163)*(1-R163)+INDEX(Models!$BJ163:$BT163,,T163+1)*R163-ERP_i)*Q163*Ramure*Pc/MaxiM</f>
        <v>1.2252151778445301E-3</v>
      </c>
      <c r="Q163" s="305">
        <f t="shared" si="53"/>
        <v>0.7</v>
      </c>
      <c r="R163" s="177">
        <f t="shared" si="54"/>
        <v>0.66425603837132474</v>
      </c>
      <c r="S163" s="921">
        <f t="shared" si="55"/>
        <v>-2</v>
      </c>
      <c r="T163" s="176">
        <f t="shared" si="56"/>
        <v>4</v>
      </c>
      <c r="U163" s="251">
        <f t="shared" si="57"/>
        <v>-1.3357439616286753</v>
      </c>
      <c r="V163" s="383">
        <f t="shared" si="58"/>
        <v>55.2077194098988</v>
      </c>
      <c r="W163" s="402">
        <f t="shared" si="59"/>
        <v>55.743559569472566</v>
      </c>
      <c r="X163" s="157">
        <f t="shared" si="60"/>
        <v>46171</v>
      </c>
      <c r="Y163" s="385">
        <f t="shared" si="61"/>
        <v>51.269472089585385</v>
      </c>
      <c r="Z163" s="385">
        <f t="shared" si="62"/>
        <v>54.665177936019624</v>
      </c>
      <c r="AA163" s="386">
        <f t="shared" si="63"/>
        <v>59.843084014046703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8.652471982914002E-2</v>
      </c>
      <c r="AD163" s="231">
        <f>(INDEX(Models!$BJ163:$BT163,,AH163)*(1-AF163)+INDEX(Models!$BJ163:$BT163,,AH163+1)*AF163-ERP_i)*AE163*Ramure*Pc/MaxiM</f>
        <v>6.7795321487811077E-3</v>
      </c>
      <c r="AE163" s="305">
        <f t="shared" si="65"/>
        <v>0.7</v>
      </c>
      <c r="AF163" s="177">
        <f t="shared" si="66"/>
        <v>0.18924360474530388</v>
      </c>
      <c r="AG163" s="921">
        <f t="shared" si="74"/>
        <v>2</v>
      </c>
      <c r="AH163" s="176">
        <f t="shared" si="67"/>
        <v>8</v>
      </c>
      <c r="AI163" s="225">
        <f t="shared" si="68"/>
        <v>2.1892436047453039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46.709572743981397</v>
      </c>
      <c r="C164" s="955"/>
      <c r="D164" s="393">
        <f t="shared" si="50"/>
        <v>49.804355852525639</v>
      </c>
      <c r="E164" s="385">
        <f t="shared" si="72"/>
        <v>50.433785133553563</v>
      </c>
      <c r="F164" s="385">
        <f t="shared" si="51"/>
        <v>50.484048766272338</v>
      </c>
      <c r="G164" s="110">
        <f t="shared" si="73"/>
        <v>0.8463142674912465</v>
      </c>
      <c r="H164" s="414" t="b">
        <f>Wh_hp&gt;='2025'!Maxi_hp</f>
        <v>0</v>
      </c>
      <c r="I164" s="390">
        <f>IF(H164,Wh_hp,'2025'!Maxi_hp)</f>
        <v>58.524365554999449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6.2138804037705553E-2</v>
      </c>
      <c r="M164" s="959"/>
      <c r="N164" s="959"/>
      <c r="O164" s="48">
        <f>IF(t&lt;Tnet,'2025'!Resal+('2025'!Salim-'2025'!Resal)*(1-EXP(('2025'!Tnet-t)/('2025'!Tau_j))),Resal+(Salim-Resal)*(1-EXP((Tnet-t)/(Tau_j))))*Salcycl</f>
        <v>1.2480310160364451E-2</v>
      </c>
      <c r="P164" s="169">
        <f>(INDEX(Models!$BJ164:$BT164,,T164)*(1-R164)+INDEX(Models!$BJ164:$BT164,,T164+1)*R164-ERP_i)*Q164*Ramure*Pc/MaxiM</f>
        <v>1.2751666021897071E-3</v>
      </c>
      <c r="Q164" s="305">
        <f t="shared" si="53"/>
        <v>0.7</v>
      </c>
      <c r="R164" s="177">
        <f t="shared" si="54"/>
        <v>0.66912476731141246</v>
      </c>
      <c r="S164" s="921">
        <f t="shared" si="55"/>
        <v>-2</v>
      </c>
      <c r="T164" s="176">
        <f t="shared" si="56"/>
        <v>4</v>
      </c>
      <c r="U164" s="251">
        <f t="shared" si="57"/>
        <v>-1.3308752326885875</v>
      </c>
      <c r="V164" s="383">
        <f t="shared" si="58"/>
        <v>55.176315316885145</v>
      </c>
      <c r="W164" s="402">
        <f t="shared" si="59"/>
        <v>46.709572743981397</v>
      </c>
      <c r="X164" s="157">
        <f t="shared" si="60"/>
        <v>46172</v>
      </c>
      <c r="Y164" s="385">
        <f t="shared" si="61"/>
        <v>43.00883918113329</v>
      </c>
      <c r="Z164" s="385">
        <f t="shared" si="62"/>
        <v>45.858426989298749</v>
      </c>
      <c r="AA164" s="386">
        <f t="shared" si="63"/>
        <v>50.209356282466374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8.6655747360915913E-2</v>
      </c>
      <c r="AD164" s="231">
        <f>(INDEX(Models!$BJ164:$BT164,,AH164)*(1-AF164)+INDEX(Models!$BJ164:$BT164,,AH164+1)*AF164-ERP_i)*AE164*Ramure*Pc/MaxiM</f>
        <v>6.9688293956337863E-3</v>
      </c>
      <c r="AE164" s="305">
        <f t="shared" si="65"/>
        <v>0.7</v>
      </c>
      <c r="AF164" s="177">
        <f t="shared" si="66"/>
        <v>0.19411233368539138</v>
      </c>
      <c r="AG164" s="921">
        <f t="shared" si="74"/>
        <v>2</v>
      </c>
      <c r="AH164" s="176">
        <f t="shared" si="67"/>
        <v>8</v>
      </c>
      <c r="AI164" s="225">
        <f t="shared" si="68"/>
        <v>2.1941123336853914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51.901313079683497</v>
      </c>
      <c r="C165" s="955"/>
      <c r="D165" s="393">
        <f t="shared" si="50"/>
        <v>55.341291547183914</v>
      </c>
      <c r="E165" s="385">
        <f t="shared" si="72"/>
        <v>56.04908388275372</v>
      </c>
      <c r="F165" s="385">
        <f t="shared" si="51"/>
        <v>56.117229473706765</v>
      </c>
      <c r="G165" s="110">
        <f t="shared" si="73"/>
        <v>0.94111104128319378</v>
      </c>
      <c r="H165" s="414" t="b">
        <f>Wh_hp&gt;='2025'!Maxi_hp</f>
        <v>0</v>
      </c>
      <c r="I165" s="390">
        <f>IF(H165,Wh_hp,'2025'!Maxi_hp)</f>
        <v>59.313017833892296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6.2159345604854477E-2</v>
      </c>
      <c r="M165" s="959"/>
      <c r="N165" s="959"/>
      <c r="O165" s="48">
        <f>IF(t&lt;Tnet,'2025'!Resal+('2025'!Salim-'2025'!Resal)*(1-EXP(('2025'!Tnet-t)/('2025'!Tau_j))),Resal+(Salim-Resal)*(1-EXP((Tnet-t)/(Tau_j))))*Salcycl</f>
        <v>1.2628080363461421E-2</v>
      </c>
      <c r="P165" s="169">
        <f>(INDEX(Models!$BJ165:$BT165,,T165)*(1-R165)+INDEX(Models!$BJ165:$BT165,,T165+1)*R165-ERP_i)*Q165*Ramure*Pc/MaxiM</f>
        <v>1.3256694966225567E-3</v>
      </c>
      <c r="Q165" s="305">
        <f t="shared" si="53"/>
        <v>0.7</v>
      </c>
      <c r="R165" s="177">
        <f t="shared" si="54"/>
        <v>0.6740381638610391</v>
      </c>
      <c r="S165" s="921">
        <f t="shared" si="55"/>
        <v>-2</v>
      </c>
      <c r="T165" s="176">
        <f t="shared" si="56"/>
        <v>4</v>
      </c>
      <c r="U165" s="251">
        <f t="shared" si="57"/>
        <v>-1.3259618361389609</v>
      </c>
      <c r="V165" s="383">
        <f t="shared" si="58"/>
        <v>55.142832047532522</v>
      </c>
      <c r="W165" s="402">
        <f t="shared" si="59"/>
        <v>51.901313079683497</v>
      </c>
      <c r="X165" s="157">
        <f t="shared" si="60"/>
        <v>46173</v>
      </c>
      <c r="Y165" s="385">
        <f t="shared" si="61"/>
        <v>47.746408197616987</v>
      </c>
      <c r="Z165" s="385">
        <f t="shared" si="62"/>
        <v>50.911002816795921</v>
      </c>
      <c r="AA165" s="386">
        <f t="shared" si="63"/>
        <v>55.749283311832755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8.6786416032901922E-2</v>
      </c>
      <c r="AD165" s="231">
        <f>(INDEX(Models!$BJ165:$BT165,,AH165)*(1-AF165)+INDEX(Models!$BJ165:$BT165,,AH165+1)*AF165-ERP_i)*AE165*Ramure*Pc/MaxiM</f>
        <v>7.1578365727553708E-3</v>
      </c>
      <c r="AE165" s="305">
        <f t="shared" si="65"/>
        <v>0.7</v>
      </c>
      <c r="AF165" s="177">
        <f t="shared" si="66"/>
        <v>0.19902573023501802</v>
      </c>
      <c r="AG165" s="921">
        <f t="shared" si="74"/>
        <v>2</v>
      </c>
      <c r="AH165" s="176">
        <f t="shared" si="67"/>
        <v>8</v>
      </c>
      <c r="AI165" s="225">
        <f t="shared" si="68"/>
        <v>2.199025730235018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52.756613242381853</v>
      </c>
      <c r="C166" s="955"/>
      <c r="D166" s="393">
        <f t="shared" si="50"/>
        <v>56.254512454403056</v>
      </c>
      <c r="E166" s="385">
        <f t="shared" si="72"/>
        <v>56.982512195345656</v>
      </c>
      <c r="F166" s="385">
        <f t="shared" si="51"/>
        <v>57.056275354515925</v>
      </c>
      <c r="G166" s="110">
        <f t="shared" si="73"/>
        <v>0.9572652458362928</v>
      </c>
      <c r="H166" s="414" t="b">
        <f>Wh_hp&gt;='2025'!Maxi_hp</f>
        <v>0</v>
      </c>
      <c r="I166" s="390">
        <f>IF(H166,Wh_hp,'2025'!Maxi_hp)</f>
        <v>60.331915443766647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6.2179886722090294E-2</v>
      </c>
      <c r="M166" s="959"/>
      <c r="N166" s="959"/>
      <c r="O166" s="48">
        <f>IF(t&lt;Tnet,'2025'!Resal+('2025'!Salim-'2025'!Resal)*(1-EXP(('2025'!Tnet-t)/('2025'!Tau_j))),Resal+(Salim-Resal)*(1-EXP((Tnet-t)/(Tau_j))))*Salcycl</f>
        <v>1.2775844954797676E-2</v>
      </c>
      <c r="P166" s="169">
        <f>(INDEX(Models!$BJ166:$BT166,,T166)*(1-R166)+INDEX(Models!$BJ166:$BT166,,T166+1)*R166-ERP_i)*Q166*Ramure*Pc/MaxiM</f>
        <v>1.3767032285330954E-3</v>
      </c>
      <c r="Q166" s="305">
        <f t="shared" si="53"/>
        <v>0.7</v>
      </c>
      <c r="R166" s="177">
        <f t="shared" si="54"/>
        <v>0.67899264193812137</v>
      </c>
      <c r="S166" s="921">
        <f t="shared" si="55"/>
        <v>-2</v>
      </c>
      <c r="T166" s="176">
        <f t="shared" si="56"/>
        <v>4</v>
      </c>
      <c r="U166" s="251">
        <f t="shared" si="57"/>
        <v>-1.3210073580618786</v>
      </c>
      <c r="V166" s="383">
        <f t="shared" si="58"/>
        <v>55.10717331299572</v>
      </c>
      <c r="W166" s="402">
        <f t="shared" si="59"/>
        <v>52.756613242381853</v>
      </c>
      <c r="X166" s="157">
        <f t="shared" si="60"/>
        <v>46174</v>
      </c>
      <c r="Y166" s="385">
        <f t="shared" si="61"/>
        <v>48.520680811001917</v>
      </c>
      <c r="Z166" s="385">
        <f t="shared" si="62"/>
        <v>51.737726802862355</v>
      </c>
      <c r="AA166" s="386">
        <f t="shared" si="63"/>
        <v>56.662655023855592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8.6916651168565714E-2</v>
      </c>
      <c r="AD166" s="231">
        <f>(INDEX(Models!$BJ166:$BT166,,AH166)*(1-AF166)+INDEX(Models!$BJ166:$BT166,,AH166+1)*AF166-ERP_i)*AE166*Ramure*Pc/MaxiM</f>
        <v>7.3464638192281672E-3</v>
      </c>
      <c r="AE166" s="305">
        <f t="shared" si="65"/>
        <v>0.7</v>
      </c>
      <c r="AF166" s="177">
        <f t="shared" si="66"/>
        <v>0.20398020831210051</v>
      </c>
      <c r="AG166" s="921">
        <f t="shared" si="74"/>
        <v>2</v>
      </c>
      <c r="AH166" s="176">
        <f t="shared" si="67"/>
        <v>8</v>
      </c>
      <c r="AI166" s="225">
        <f t="shared" si="68"/>
        <v>2.2039802083121005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41.764177238861734</v>
      </c>
      <c r="C167" s="955"/>
      <c r="D167" s="393">
        <f t="shared" si="50"/>
        <v>44.534225071783418</v>
      </c>
      <c r="E167" s="385">
        <f t="shared" si="72"/>
        <v>45.117302625459573</v>
      </c>
      <c r="F167" s="385">
        <f t="shared" si="51"/>
        <v>45.159539623419462</v>
      </c>
      <c r="G167" s="110">
        <f t="shared" si="73"/>
        <v>0.75801967743170151</v>
      </c>
      <c r="H167" s="414" t="b">
        <f>Wh_hp&gt;='2025'!Maxi_hp</f>
        <v>0</v>
      </c>
      <c r="I167" s="390">
        <f>IF(H167,Wh_hp,'2025'!Maxi_hp)</f>
        <v>59.300139796564821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6.2200427389422996E-2</v>
      </c>
      <c r="M167" s="959"/>
      <c r="N167" s="959"/>
      <c r="O167" s="48">
        <f>IF(t&lt;Tnet,'2025'!Resal+('2025'!Salim-'2025'!Resal)*(1-EXP(('2025'!Tnet-t)/('2025'!Tau_j))),Resal+(Salim-Resal)*(1-EXP((Tnet-t)/(Tau_j))))*Salcycl</f>
        <v>1.2923590723420792E-2</v>
      </c>
      <c r="P167" s="169">
        <f>(INDEX(Models!$BJ167:$BT167,,T167)*(1-R167)+INDEX(Models!$BJ167:$BT167,,T167+1)*R167-ERP_i)*Q167*Ramure*Pc/MaxiM</f>
        <v>1.4282451575999108E-3</v>
      </c>
      <c r="Q167" s="305">
        <f t="shared" si="53"/>
        <v>0.7</v>
      </c>
      <c r="R167" s="177">
        <f t="shared" si="54"/>
        <v>0.68398448535253387</v>
      </c>
      <c r="S167" s="921">
        <f t="shared" si="55"/>
        <v>-2</v>
      </c>
      <c r="T167" s="176">
        <f t="shared" si="56"/>
        <v>4</v>
      </c>
      <c r="U167" s="251">
        <f t="shared" si="57"/>
        <v>-1.3160155146474661</v>
      </c>
      <c r="V167" s="383">
        <f t="shared" si="58"/>
        <v>55.069243046890051</v>
      </c>
      <c r="W167" s="402">
        <f t="shared" si="59"/>
        <v>41.764177238861734</v>
      </c>
      <c r="X167" s="157">
        <f t="shared" si="60"/>
        <v>46175</v>
      </c>
      <c r="Y167" s="385">
        <f t="shared" si="61"/>
        <v>38.473360738893518</v>
      </c>
      <c r="Z167" s="385">
        <f t="shared" si="62"/>
        <v>41.025142111969856</v>
      </c>
      <c r="AA167" s="386">
        <f t="shared" si="63"/>
        <v>44.936720935376954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8.7046378596077278E-2</v>
      </c>
      <c r="AD167" s="231">
        <f>(INDEX(Models!$BJ167:$BT167,,AH167)*(1-AF167)+INDEX(Models!$BJ167:$BT167,,AH167+1)*AF167-ERP_i)*AE167*Ramure*Pc/MaxiM</f>
        <v>7.5346195892449378E-3</v>
      </c>
      <c r="AE167" s="305">
        <f t="shared" si="65"/>
        <v>0.7</v>
      </c>
      <c r="AF167" s="177">
        <f t="shared" si="66"/>
        <v>0.20897205172651301</v>
      </c>
      <c r="AG167" s="921">
        <f t="shared" si="74"/>
        <v>2</v>
      </c>
      <c r="AH167" s="176">
        <f t="shared" si="67"/>
        <v>8</v>
      </c>
      <c r="AI167" s="225">
        <f t="shared" si="68"/>
        <v>2.208972051726513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52.463832424851489</v>
      </c>
      <c r="C168" s="955"/>
      <c r="D168" s="393">
        <f t="shared" si="50"/>
        <v>55.944770156534588</v>
      </c>
      <c r="E168" s="385">
        <f t="shared" si="72"/>
        <v>56.685726528941913</v>
      </c>
      <c r="F168" s="385">
        <f t="shared" si="51"/>
        <v>56.76415742913192</v>
      </c>
      <c r="G168" s="110">
        <f t="shared" si="73"/>
        <v>0.95329200602483499</v>
      </c>
      <c r="H168" s="414" t="b">
        <f>Wh_hp&gt;='2025'!Maxi_hp</f>
        <v>0</v>
      </c>
      <c r="I168" s="390">
        <f>IF(H168,Wh_hp,'2025'!Maxi_hp)</f>
        <v>56.76822569134054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6.2220967606862354E-2</v>
      </c>
      <c r="M168" s="959"/>
      <c r="N168" s="959"/>
      <c r="O168" s="48">
        <f>IF(t&lt;Tnet,'2025'!Resal+('2025'!Salim-'2025'!Resal)*(1-EXP(('2025'!Tnet-t)/('2025'!Tau_j))),Resal+(Salim-Resal)*(1-EXP((Tnet-t)/(Tau_j))))*Salcycl</f>
        <v>1.30713041497142E-2</v>
      </c>
      <c r="P168" s="169">
        <f>(INDEX(Models!$BJ168:$BT168,,T168)*(1-R168)+INDEX(Models!$BJ168:$BT168,,T168+1)*R168-ERP_i)*Q168*Ramure*Pc/MaxiM</f>
        <v>1.4802707008143656E-3</v>
      </c>
      <c r="Q168" s="305">
        <f t="shared" si="53"/>
        <v>0.7</v>
      </c>
      <c r="R168" s="177">
        <f t="shared" si="54"/>
        <v>0.68900985813480586</v>
      </c>
      <c r="S168" s="921">
        <f t="shared" si="55"/>
        <v>-2</v>
      </c>
      <c r="T168" s="176">
        <f t="shared" si="56"/>
        <v>4</v>
      </c>
      <c r="U168" s="251">
        <f t="shared" si="57"/>
        <v>-1.3109901418651941</v>
      </c>
      <c r="V168" s="383">
        <f t="shared" si="58"/>
        <v>55.028945397000982</v>
      </c>
      <c r="W168" s="402">
        <f t="shared" si="59"/>
        <v>52.463832424851489</v>
      </c>
      <c r="X168" s="157">
        <f t="shared" si="60"/>
        <v>46176</v>
      </c>
      <c r="Y168" s="385">
        <f t="shared" si="61"/>
        <v>48.241440573647964</v>
      </c>
      <c r="Z168" s="385">
        <f t="shared" si="62"/>
        <v>51.442225628077473</v>
      </c>
      <c r="AA168" s="386">
        <f t="shared" si="63"/>
        <v>56.355002558432894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8.7175524928093134E-2</v>
      </c>
      <c r="AD168" s="231">
        <f>(INDEX(Models!$BJ168:$BT168,,AH168)*(1-AF168)+INDEX(Models!$BJ168:$BT168,,AH168+1)*AF168-ERP_i)*AE168*Ramure*Pc/MaxiM</f>
        <v>7.7222110893028547E-3</v>
      </c>
      <c r="AE168" s="305">
        <f t="shared" si="65"/>
        <v>0.7</v>
      </c>
      <c r="AF168" s="177">
        <f t="shared" si="66"/>
        <v>0.21399742450878501</v>
      </c>
      <c r="AG168" s="921">
        <f t="shared" si="74"/>
        <v>2</v>
      </c>
      <c r="AH168" s="176">
        <f t="shared" si="67"/>
        <v>8</v>
      </c>
      <c r="AI168" s="225">
        <f t="shared" si="68"/>
        <v>2.213997424508785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21.729210850421687</v>
      </c>
      <c r="C169" s="955"/>
      <c r="D169" s="393">
        <f t="shared" si="50"/>
        <v>23.171435952110851</v>
      </c>
      <c r="E169" s="385">
        <f t="shared" si="72"/>
        <v>23.481841747921017</v>
      </c>
      <c r="F169" s="385">
        <f t="shared" si="51"/>
        <v>23.486736419657248</v>
      </c>
      <c r="G169" s="110">
        <f t="shared" si="73"/>
        <v>0.39465236299026796</v>
      </c>
      <c r="H169" s="414" t="b">
        <f>Wh_hp&gt;='2025'!Maxi_hp</f>
        <v>0</v>
      </c>
      <c r="I169" s="390">
        <f>IF(H169,Wh_hp,'2025'!Maxi_hp)</f>
        <v>57.111684044434135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6.2241507374418137E-2</v>
      </c>
      <c r="M169" s="959"/>
      <c r="N169" s="959"/>
      <c r="O169" s="48">
        <f>IF(t&lt;Tnet,'2025'!Resal+('2025'!Salim-'2025'!Resal)*(1-EXP(('2025'!Tnet-t)/('2025'!Tau_j))),Resal+(Salim-Resal)*(1-EXP((Tnet-t)/(Tau_j))))*Salcycl</f>
        <v>1.3218971456429618E-2</v>
      </c>
      <c r="P169" s="169">
        <f>(INDEX(Models!$BJ169:$BT169,,T169)*(1-R169)+INDEX(Models!$BJ169:$BT169,,T169+1)*R169-ERP_i)*Q169*Ramure*Pc/MaxiM</f>
        <v>1.532753413027874E-3</v>
      </c>
      <c r="Q169" s="305">
        <f t="shared" si="53"/>
        <v>0.7</v>
      </c>
      <c r="R169" s="177">
        <f t="shared" si="54"/>
        <v>0.69406481566446576</v>
      </c>
      <c r="S169" s="921">
        <f t="shared" si="55"/>
        <v>-2</v>
      </c>
      <c r="T169" s="176">
        <f t="shared" si="56"/>
        <v>4</v>
      </c>
      <c r="U169" s="251">
        <f t="shared" si="57"/>
        <v>-1.3059351843355342</v>
      </c>
      <c r="V169" s="383">
        <f t="shared" si="58"/>
        <v>54.986184717563717</v>
      </c>
      <c r="W169" s="402">
        <f t="shared" si="59"/>
        <v>21.729210850421687</v>
      </c>
      <c r="X169" s="157">
        <f t="shared" si="60"/>
        <v>46177</v>
      </c>
      <c r="Y169" s="385">
        <f t="shared" si="61"/>
        <v>20.080408328335643</v>
      </c>
      <c r="Z169" s="385">
        <f t="shared" si="62"/>
        <v>21.413198052852113</v>
      </c>
      <c r="AA169" s="386">
        <f t="shared" si="63"/>
        <v>23.461479475607657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8.7304017842740611E-2</v>
      </c>
      <c r="AD169" s="231">
        <f>(INDEX(Models!$BJ169:$BT169,,AH169)*(1-AF169)+INDEX(Models!$BJ169:$BT169,,AH169+1)*AF169-ERP_i)*AE169*Ramure*Pc/MaxiM</f>
        <v>7.9091447355107824E-3</v>
      </c>
      <c r="AE169" s="305">
        <f t="shared" si="65"/>
        <v>0.7</v>
      </c>
      <c r="AF169" s="177">
        <f t="shared" si="66"/>
        <v>0.2190523820384449</v>
      </c>
      <c r="AG169" s="921">
        <f t="shared" si="74"/>
        <v>2</v>
      </c>
      <c r="AH169" s="176">
        <f t="shared" si="67"/>
        <v>8</v>
      </c>
      <c r="AI169" s="225">
        <f t="shared" si="68"/>
        <v>2.2190523820384449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30.658003880709167</v>
      </c>
      <c r="C170" s="955"/>
      <c r="D170" s="393">
        <f t="shared" si="50"/>
        <v>32.693572626086116</v>
      </c>
      <c r="E170" s="385">
        <f t="shared" ref="E170:E232" si="75">Wh_pvt/(1-Psa)</f>
        <v>33.136494182155971</v>
      </c>
      <c r="F170" s="385">
        <f t="shared" si="51"/>
        <v>33.155860487389504</v>
      </c>
      <c r="G170" s="110">
        <f t="shared" ref="G170:G232" si="76">+Wh_hp/MaxiM</f>
        <v>0.55745899896741258</v>
      </c>
      <c r="H170" s="414" t="b">
        <f>Wh_hp&gt;='2025'!Maxi_hp</f>
        <v>0</v>
      </c>
      <c r="I170" s="390">
        <f>IF(H170,Wh_hp,'2025'!Maxi_hp)</f>
        <v>42.716075181662134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6.2262046692100448E-2</v>
      </c>
      <c r="M170" s="959"/>
      <c r="N170" s="959"/>
      <c r="O170" s="48">
        <f>IF(t&lt;Tnet,'2025'!Resal+('2025'!Salim-'2025'!Resal)*(1-EXP(('2025'!Tnet-t)/('2025'!Tau_j))),Resal+(Salim-Resal)*(1-EXP((Tnet-t)/(Tau_j))))*Salcycl</f>
        <v>1.336657866203513E-2</v>
      </c>
      <c r="P170" s="169">
        <f>(INDEX(Models!$BJ170:$BT170,,T170)*(1-R170)+INDEX(Models!$BJ170:$BT170,,T170+1)*R170-ERP_i)*Q170*Ramure*Pc/MaxiM</f>
        <v>1.5846563197179117E-3</v>
      </c>
      <c r="Q170" s="305">
        <f t="shared" si="53"/>
        <v>0.7</v>
      </c>
      <c r="R170" s="177">
        <f t="shared" si="54"/>
        <v>0.69914531653473766</v>
      </c>
      <c r="S170" s="921">
        <f t="shared" si="55"/>
        <v>-2</v>
      </c>
      <c r="T170" s="176">
        <f t="shared" si="56"/>
        <v>4</v>
      </c>
      <c r="U170" s="251">
        <f t="shared" si="57"/>
        <v>-1.3008546834652623</v>
      </c>
      <c r="V170" s="383">
        <f t="shared" si="58"/>
        <v>54.940921071767065</v>
      </c>
      <c r="W170" s="402">
        <f t="shared" si="59"/>
        <v>30.658003880709167</v>
      </c>
      <c r="X170" s="157">
        <f t="shared" si="60"/>
        <v>46178</v>
      </c>
      <c r="Y170" s="385">
        <f t="shared" si="61"/>
        <v>28.288511339587494</v>
      </c>
      <c r="Z170" s="385">
        <f t="shared" si="62"/>
        <v>30.166755264409314</v>
      </c>
      <c r="AA170" s="386">
        <f t="shared" si="63"/>
        <v>33.056986659894491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8.7431786363990419E-2</v>
      </c>
      <c r="AD170" s="231">
        <f>(INDEX(Models!$BJ170:$BT170,,AH170)*(1-AF170)+INDEX(Models!$BJ170:$BT170,,AH170+1)*AF170-ERP_i)*AE170*Ramure*Pc/MaxiM</f>
        <v>8.0903937898994041E-3</v>
      </c>
      <c r="AE170" s="305">
        <f t="shared" si="65"/>
        <v>0.7</v>
      </c>
      <c r="AF170" s="177">
        <f t="shared" si="66"/>
        <v>0.2241328829087168</v>
      </c>
      <c r="AG170" s="921">
        <f t="shared" si="74"/>
        <v>2</v>
      </c>
      <c r="AH170" s="176">
        <f t="shared" si="67"/>
        <v>8</v>
      </c>
      <c r="AI170" s="225">
        <f t="shared" si="68"/>
        <v>2.2241328829087168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45.933820801214175</v>
      </c>
      <c r="C171" s="955"/>
      <c r="D171" s="393">
        <f t="shared" si="50"/>
        <v>48.984715537827185</v>
      </c>
      <c r="E171" s="385">
        <f t="shared" si="75"/>
        <v>49.655769145433311</v>
      </c>
      <c r="F171" s="385">
        <f t="shared" si="51"/>
        <v>49.718139043696866</v>
      </c>
      <c r="G171" s="110">
        <f t="shared" si="76"/>
        <v>0.83646779299314722</v>
      </c>
      <c r="H171" s="414" t="b">
        <f>Wh_hp&gt;='2025'!Maxi_hp</f>
        <v>0</v>
      </c>
      <c r="I171" s="390">
        <f>IF(H171,Wh_hp,'2025'!Maxi_hp)</f>
        <v>56.000265625104696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6.2282585559918835E-2</v>
      </c>
      <c r="M171" s="959"/>
      <c r="N171" s="959"/>
      <c r="O171" s="48">
        <f>IF(t&lt;Tnet,'2025'!Resal+('2025'!Salim-'2025'!Resal)*(1-EXP(('2025'!Tnet-t)/('2025'!Tau_j))),Resal+(Salim-Resal)*(1-EXP((Tnet-t)/(Tau_j))))*Salcycl</f>
        <v>1.3514111636066261E-2</v>
      </c>
      <c r="P171" s="169">
        <f>(INDEX(Models!$BJ171:$BT171,,T171)*(1-R171)+INDEX(Models!$BJ171:$BT171,,T171+1)*R171-ERP_i)*Q171*Ramure*Pc/MaxiM</f>
        <v>1.6358968810723743E-3</v>
      </c>
      <c r="Q171" s="305">
        <f t="shared" si="53"/>
        <v>0.7</v>
      </c>
      <c r="R171" s="177">
        <f t="shared" si="54"/>
        <v>0.70424723508187759</v>
      </c>
      <c r="S171" s="921">
        <f t="shared" si="55"/>
        <v>-2</v>
      </c>
      <c r="T171" s="176">
        <f t="shared" si="56"/>
        <v>4</v>
      </c>
      <c r="U171" s="251">
        <f t="shared" si="57"/>
        <v>-1.2957527649181224</v>
      </c>
      <c r="V171" s="383">
        <f t="shared" si="58"/>
        <v>54.893061957647028</v>
      </c>
      <c r="W171" s="402">
        <f t="shared" si="59"/>
        <v>45.933820801214175</v>
      </c>
      <c r="X171" s="157">
        <f t="shared" si="60"/>
        <v>46179</v>
      </c>
      <c r="Y171" s="385">
        <f t="shared" si="61"/>
        <v>42.269801393840112</v>
      </c>
      <c r="Z171" s="385">
        <f t="shared" si="62"/>
        <v>45.077334325799804</v>
      </c>
      <c r="AA171" s="386">
        <f t="shared" si="63"/>
        <v>49.402999783414032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8.7558761139570937E-2</v>
      </c>
      <c r="AD171" s="231">
        <f>(INDEX(Models!$BJ171:$BT171,,AH171)*(1-AF171)+INDEX(Models!$BJ171:$BT171,,AH171+1)*AF171-ERP_i)*AE171*Ramure*Pc/MaxiM</f>
        <v>8.2657715877884376E-3</v>
      </c>
      <c r="AE171" s="305">
        <f t="shared" si="65"/>
        <v>0.7</v>
      </c>
      <c r="AF171" s="177">
        <f t="shared" si="66"/>
        <v>0.22923480145585673</v>
      </c>
      <c r="AG171" s="921">
        <f t="shared" si="74"/>
        <v>2</v>
      </c>
      <c r="AH171" s="176">
        <f t="shared" si="67"/>
        <v>8</v>
      </c>
      <c r="AI171" s="225">
        <f t="shared" si="68"/>
        <v>2.2292348014558567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26.893753030697464</v>
      </c>
      <c r="C172" s="955"/>
      <c r="D172" s="393">
        <f t="shared" si="50"/>
        <v>28.680646932285551</v>
      </c>
      <c r="E172" s="385">
        <f t="shared" si="75"/>
        <v>29.077896244735495</v>
      </c>
      <c r="F172" s="385">
        <f t="shared" si="51"/>
        <v>29.091239140177859</v>
      </c>
      <c r="G172" s="110">
        <f t="shared" si="76"/>
        <v>0.48977913371453402</v>
      </c>
      <c r="H172" s="414" t="b">
        <f>Wh_hp&gt;='2025'!Maxi_hp</f>
        <v>0</v>
      </c>
      <c r="I172" s="390">
        <f>IF(H172,Wh_hp,'2025'!Maxi_hp)</f>
        <v>55.156942491889488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6.2303123977883401E-2</v>
      </c>
      <c r="M172" s="959"/>
      <c r="N172" s="959"/>
      <c r="O172" s="48">
        <f>IF(t&lt;Tnet,'2025'!Resal+('2025'!Salim-'2025'!Resal)*(1-EXP(('2025'!Tnet-t)/('2025'!Tau_j))),Resal+(Salim-Resal)*(1-EXP((Tnet-t)/(Tau_j))))*Salcycl</f>
        <v>1.3661556156142667E-2</v>
      </c>
      <c r="P172" s="169">
        <f>(INDEX(Models!$BJ172:$BT172,,T172)*(1-R172)+INDEX(Models!$BJ172:$BT172,,T172+1)*R172-ERP_i)*Q172*Ramure*Pc/MaxiM</f>
        <v>1.6864024256880281E-3</v>
      </c>
      <c r="Q172" s="305">
        <f t="shared" si="53"/>
        <v>0.7</v>
      </c>
      <c r="R172" s="177">
        <f t="shared" si="54"/>
        <v>0.70936637449970363</v>
      </c>
      <c r="S172" s="921">
        <f t="shared" si="55"/>
        <v>-2</v>
      </c>
      <c r="T172" s="176">
        <f t="shared" si="56"/>
        <v>4</v>
      </c>
      <c r="U172" s="251">
        <f t="shared" si="57"/>
        <v>-1.2906336255002964</v>
      </c>
      <c r="V172" s="383">
        <f t="shared" si="58"/>
        <v>54.842514398023717</v>
      </c>
      <c r="W172" s="402">
        <f t="shared" si="59"/>
        <v>26.893753030697464</v>
      </c>
      <c r="X172" s="157">
        <f t="shared" si="60"/>
        <v>46180</v>
      </c>
      <c r="Y172" s="385">
        <f t="shared" si="61"/>
        <v>24.829735621367007</v>
      </c>
      <c r="Z172" s="385">
        <f t="shared" si="62"/>
        <v>26.479490607561083</v>
      </c>
      <c r="AA172" s="386">
        <f t="shared" si="63"/>
        <v>29.02450027809876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8.7684874714555744E-2</v>
      </c>
      <c r="AD172" s="231">
        <f>(INDEX(Models!$BJ172:$BT172,,AH172)*(1-AF172)+INDEX(Models!$BJ172:$BT172,,AH172+1)*AF172-ERP_i)*AE172*Ramure*Pc/MaxiM</f>
        <v>8.4350941206137765E-3</v>
      </c>
      <c r="AE172" s="305">
        <f t="shared" si="65"/>
        <v>0.7</v>
      </c>
      <c r="AF172" s="177">
        <f t="shared" si="66"/>
        <v>0.23435394087368255</v>
      </c>
      <c r="AG172" s="921">
        <f t="shared" si="74"/>
        <v>2</v>
      </c>
      <c r="AH172" s="176">
        <f t="shared" si="67"/>
        <v>8</v>
      </c>
      <c r="AI172" s="225">
        <f t="shared" si="68"/>
        <v>2.2343539408736826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19.996641860544472</v>
      </c>
      <c r="C173" s="955"/>
      <c r="D173" s="393">
        <f t="shared" si="50"/>
        <v>21.32574007577545</v>
      </c>
      <c r="E173" s="385">
        <f t="shared" si="75"/>
        <v>21.624348497768661</v>
      </c>
      <c r="F173" s="385">
        <f t="shared" si="51"/>
        <v>21.627833721284784</v>
      </c>
      <c r="G173" s="110">
        <f t="shared" si="76"/>
        <v>0.36439933904906935</v>
      </c>
      <c r="H173" s="414" t="b">
        <f>Wh_hp&gt;='2025'!Maxi_hp</f>
        <v>0</v>
      </c>
      <c r="I173" s="390">
        <f>IF(H173,Wh_hp,'2025'!Maxi_hp)</f>
        <v>61.487890344452325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6.2323661946003917E-2</v>
      </c>
      <c r="M173" s="959"/>
      <c r="N173" s="959"/>
      <c r="O173" s="48">
        <f>IF(t&lt;Tnet,'2025'!Resal+('2025'!Salim-'2025'!Resal)*(1-EXP(('2025'!Tnet-t)/('2025'!Tau_j))),Resal+(Salim-Resal)*(1-EXP((Tnet-t)/(Tau_j))))*Salcycl</f>
        <v>1.3808897966291388E-2</v>
      </c>
      <c r="P173" s="169">
        <f>(INDEX(Models!$BJ173:$BT173,,T173)*(1-R173)+INDEX(Models!$BJ173:$BT173,,T173+1)*R173-ERP_i)*Q173*Ramure*Pc/MaxiM</f>
        <v>1.7360985913322691E-3</v>
      </c>
      <c r="Q173" s="305">
        <f t="shared" si="53"/>
        <v>0.7</v>
      </c>
      <c r="R173" s="177">
        <f t="shared" si="54"/>
        <v>0.71449848045297015</v>
      </c>
      <c r="S173" s="921">
        <f t="shared" si="55"/>
        <v>-2</v>
      </c>
      <c r="T173" s="176">
        <f t="shared" si="56"/>
        <v>4</v>
      </c>
      <c r="U173" s="251">
        <f t="shared" si="57"/>
        <v>-1.2855015195470298</v>
      </c>
      <c r="V173" s="383">
        <f t="shared" si="58"/>
        <v>54.789185566637428</v>
      </c>
      <c r="W173" s="402">
        <f t="shared" si="59"/>
        <v>19.996641860544472</v>
      </c>
      <c r="X173" s="157">
        <f t="shared" si="60"/>
        <v>46181</v>
      </c>
      <c r="Y173" s="385">
        <f t="shared" si="61"/>
        <v>18.484364058380088</v>
      </c>
      <c r="Z173" s="385">
        <f t="shared" si="62"/>
        <v>19.712947110024722</v>
      </c>
      <c r="AA173" s="386">
        <f t="shared" si="63"/>
        <v>21.61057284724804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8.7810061798753655E-2</v>
      </c>
      <c r="AD173" s="231">
        <f>(INDEX(Models!$BJ173:$BT173,,AH173)*(1-AF173)+INDEX(Models!$BJ173:$BT173,,AH173+1)*AF173-ERP_i)*AE173*Ramure*Pc/MaxiM</f>
        <v>8.5981799909591542E-3</v>
      </c>
      <c r="AE173" s="305">
        <f t="shared" si="65"/>
        <v>0.7</v>
      </c>
      <c r="AF173" s="177">
        <f t="shared" si="66"/>
        <v>0.23948604682694929</v>
      </c>
      <c r="AG173" s="921">
        <f t="shared" si="74"/>
        <v>2</v>
      </c>
      <c r="AH173" s="176">
        <f t="shared" si="67"/>
        <v>8</v>
      </c>
      <c r="AI173" s="225">
        <f t="shared" si="68"/>
        <v>2.2394860468269493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44.430153632036848</v>
      </c>
      <c r="C174" s="955"/>
      <c r="D174" s="393">
        <f t="shared" si="50"/>
        <v>47.384289210019944</v>
      </c>
      <c r="E174" s="385">
        <f t="shared" si="75"/>
        <v>48.054949995038044</v>
      </c>
      <c r="F174" s="385">
        <f t="shared" si="51"/>
        <v>48.117740128522271</v>
      </c>
      <c r="G174" s="110">
        <f t="shared" si="76"/>
        <v>0.81137182397690266</v>
      </c>
      <c r="H174" s="414" t="b">
        <f>Wh_hp&gt;='2025'!Maxi_hp</f>
        <v>0</v>
      </c>
      <c r="I174" s="390">
        <f>IF(H174,Wh_hp,'2025'!Maxi_hp)</f>
        <v>58.767455716335284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6.2344199464290151E-2</v>
      </c>
      <c r="M174" s="959"/>
      <c r="N174" s="959"/>
      <c r="O174" s="48">
        <f>IF(t&lt;Tnet,'2025'!Resal+('2025'!Salim-'2025'!Resal)*(1-EXP(('2025'!Tnet-t)/('2025'!Tau_j))),Resal+(Salim-Resal)*(1-EXP((Tnet-t)/(Tau_j))))*Salcycl</f>
        <v>1.3956122836197991E-2</v>
      </c>
      <c r="P174" s="169">
        <f>(INDEX(Models!$BJ174:$BT174,,T174)*(1-R174)+INDEX(Models!$BJ174:$BT174,,T174+1)*R174-ERP_i)*Q174*Ramure*Pc/MaxiM</f>
        <v>1.7849095736678549E-3</v>
      </c>
      <c r="Q174" s="305">
        <f t="shared" si="53"/>
        <v>0.7</v>
      </c>
      <c r="R174" s="177">
        <f t="shared" si="54"/>
        <v>0.71963925509727589</v>
      </c>
      <c r="S174" s="921">
        <f t="shared" si="55"/>
        <v>-2</v>
      </c>
      <c r="T174" s="176">
        <f t="shared" si="56"/>
        <v>4</v>
      </c>
      <c r="U174" s="251">
        <f t="shared" si="57"/>
        <v>-1.2803607449027241</v>
      </c>
      <c r="V174" s="383">
        <f t="shared" si="58"/>
        <v>54.732982771835182</v>
      </c>
      <c r="W174" s="402">
        <f t="shared" si="59"/>
        <v>44.430153632036848</v>
      </c>
      <c r="X174" s="157">
        <f t="shared" si="60"/>
        <v>46182</v>
      </c>
      <c r="Y174" s="385">
        <f t="shared" si="61"/>
        <v>40.887084419588767</v>
      </c>
      <c r="Z174" s="385">
        <f t="shared" si="62"/>
        <v>43.605643346128495</v>
      </c>
      <c r="AA174" s="386">
        <f t="shared" si="63"/>
        <v>47.809759111737527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8.7934259526041059E-2</v>
      </c>
      <c r="AD174" s="231">
        <f>(INDEX(Models!$BJ174:$BT174,,AH174)*(1-AF174)+INDEX(Models!$BJ174:$BT174,,AH174+1)*AF174-ERP_i)*AE174*Ramure*Pc/MaxiM</f>
        <v>8.7548510388999641E-3</v>
      </c>
      <c r="AE174" s="305">
        <f t="shared" si="65"/>
        <v>0.7</v>
      </c>
      <c r="AF174" s="177">
        <f t="shared" si="66"/>
        <v>0.24462682147125525</v>
      </c>
      <c r="AG174" s="921">
        <f t="shared" si="74"/>
        <v>2</v>
      </c>
      <c r="AH174" s="176">
        <f t="shared" si="67"/>
        <v>8</v>
      </c>
      <c r="AI174" s="225">
        <f t="shared" si="68"/>
        <v>2.2446268214712553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54.403726608871757</v>
      </c>
      <c r="C175" s="955"/>
      <c r="D175" s="393">
        <f t="shared" si="50"/>
        <v>58.022270203121586</v>
      </c>
      <c r="E175" s="385">
        <f t="shared" si="75"/>
        <v>58.852276608773629</v>
      </c>
      <c r="F175" s="385">
        <f t="shared" si="51"/>
        <v>58.959572679781502</v>
      </c>
      <c r="G175" s="110">
        <f t="shared" si="76"/>
        <v>0.99504713968132463</v>
      </c>
      <c r="H175" s="414" t="b">
        <f>Wh_hp&gt;='2025'!Maxi_hp</f>
        <v>0</v>
      </c>
      <c r="I175" s="390">
        <f>IF(H175,Wh_hp,'2025'!Maxi_hp)</f>
        <v>58.960100044628135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6.2364736532752096E-2</v>
      </c>
      <c r="M175" s="959"/>
      <c r="N175" s="959"/>
      <c r="O175" s="48">
        <f>IF(t&lt;Tnet,'2025'!Resal+('2025'!Salim-'2025'!Resal)*(1-EXP(('2025'!Tnet-t)/('2025'!Tau_j))),Resal+(Salim-Resal)*(1-EXP((Tnet-t)/(Tau_j))))*Salcycl</f>
        <v>1.4103216620991413E-2</v>
      </c>
      <c r="P175" s="169">
        <f>(INDEX(Models!$BJ175:$BT175,,T175)*(1-R175)+INDEX(Models!$BJ175:$BT175,,T175+1)*R175-ERP_i)*Q175*Ramure*Pc/MaxiM</f>
        <v>1.8327583852731672E-3</v>
      </c>
      <c r="Q175" s="305">
        <f t="shared" si="53"/>
        <v>0.7</v>
      </c>
      <c r="R175" s="177">
        <f t="shared" si="54"/>
        <v>0.72478437140828755</v>
      </c>
      <c r="S175" s="921">
        <f t="shared" si="55"/>
        <v>-2</v>
      </c>
      <c r="T175" s="176">
        <f t="shared" si="56"/>
        <v>4</v>
      </c>
      <c r="U175" s="251">
        <f t="shared" si="57"/>
        <v>-1.2752156285917124</v>
      </c>
      <c r="V175" s="383">
        <f t="shared" si="58"/>
        <v>54.673813431901785</v>
      </c>
      <c r="W175" s="402">
        <f t="shared" si="59"/>
        <v>54.403726608871757</v>
      </c>
      <c r="X175" s="157">
        <f t="shared" si="60"/>
        <v>46183</v>
      </c>
      <c r="Y175" s="385">
        <f t="shared" si="61"/>
        <v>49.968764416740569</v>
      </c>
      <c r="Z175" s="385">
        <f t="shared" si="62"/>
        <v>53.292326306033821</v>
      </c>
      <c r="AA175" s="386">
        <f t="shared" si="63"/>
        <v>58.438246832893682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8.8057407703807503E-2</v>
      </c>
      <c r="AD175" s="231">
        <f>(INDEX(Models!$BJ175:$BT175,,AH175)*(1-AF175)+INDEX(Models!$BJ175:$BT175,,AH175+1)*AF175-ERP_i)*AE175*Ramure*Pc/MaxiM</f>
        <v>8.9049329427277508E-3</v>
      </c>
      <c r="AE175" s="305">
        <f t="shared" si="65"/>
        <v>0.7</v>
      </c>
      <c r="AF175" s="177">
        <f t="shared" si="66"/>
        <v>0.24977193778226647</v>
      </c>
      <c r="AG175" s="921">
        <f t="shared" si="74"/>
        <v>2</v>
      </c>
      <c r="AH175" s="176">
        <f t="shared" si="67"/>
        <v>8</v>
      </c>
      <c r="AI175" s="225">
        <f t="shared" si="68"/>
        <v>2.2497719377822665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52.92433416882713</v>
      </c>
      <c r="C176" s="955"/>
      <c r="D176" s="393">
        <f t="shared" si="50"/>
        <v>56.445715551749196</v>
      </c>
      <c r="E176" s="385">
        <f t="shared" si="75"/>
        <v>57.261704304661755</v>
      </c>
      <c r="F176" s="385">
        <f t="shared" si="51"/>
        <v>57.364766406614194</v>
      </c>
      <c r="G176" s="110">
        <f t="shared" si="76"/>
        <v>0.96902398550554436</v>
      </c>
      <c r="H176" s="414" t="b">
        <f>Wh_hp&gt;='2025'!Maxi_hp</f>
        <v>0</v>
      </c>
      <c r="I176" s="390">
        <f>IF(H176,Wh_hp,'2025'!Maxi_hp)</f>
        <v>57.368034348642254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6.2385273151399412E-2</v>
      </c>
      <c r="M176" s="959"/>
      <c r="N176" s="959"/>
      <c r="O176" s="48">
        <f>IF(t&lt;Tnet,'2025'!Resal+('2025'!Salim-'2025'!Resal)*(1-EXP(('2025'!Tnet-t)/('2025'!Tau_j))),Resal+(Salim-Resal)*(1-EXP((Tnet-t)/(Tau_j))))*Salcycl</f>
        <v>1.4250165321155604E-2</v>
      </c>
      <c r="P176" s="169">
        <f>(INDEX(Models!$BJ176:$BT176,,T176)*(1-R176)+INDEX(Models!$BJ176:$BT176,,T176+1)*R176-ERP_i)*Q176*Ramure*Pc/MaxiM</f>
        <v>1.8795671220866996E-3</v>
      </c>
      <c r="Q176" s="305">
        <f t="shared" si="53"/>
        <v>0.7</v>
      </c>
      <c r="R176" s="177">
        <f t="shared" si="54"/>
        <v>0.729929487719299</v>
      </c>
      <c r="S176" s="921">
        <f t="shared" si="55"/>
        <v>-2</v>
      </c>
      <c r="T176" s="176">
        <f t="shared" si="56"/>
        <v>4</v>
      </c>
      <c r="U176" s="251">
        <f t="shared" si="57"/>
        <v>-1.270070512280701</v>
      </c>
      <c r="V176" s="383">
        <f t="shared" si="58"/>
        <v>54.611585056336509</v>
      </c>
      <c r="W176" s="402">
        <f t="shared" si="59"/>
        <v>52.92433416882713</v>
      </c>
      <c r="X176" s="157">
        <f t="shared" si="60"/>
        <v>46184</v>
      </c>
      <c r="Y176" s="385">
        <f t="shared" si="61"/>
        <v>48.619055673066065</v>
      </c>
      <c r="Z176" s="385">
        <f t="shared" si="62"/>
        <v>51.853980404593969</v>
      </c>
      <c r="AA176" s="386">
        <f t="shared" si="63"/>
        <v>56.868624369795477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8.8179449050730441E-2</v>
      </c>
      <c r="AD176" s="231">
        <f>(INDEX(Models!$BJ176:$BT176,,AH176)*(1-AF176)+INDEX(Models!$BJ176:$BT176,,AH176+1)*AF176-ERP_i)*AE176*Ramure*Pc/MaxiM</f>
        <v>9.0482557858162695E-3</v>
      </c>
      <c r="AE176" s="305">
        <f t="shared" si="65"/>
        <v>0.7</v>
      </c>
      <c r="AF176" s="177">
        <f t="shared" si="66"/>
        <v>0.25491705409327814</v>
      </c>
      <c r="AG176" s="921">
        <f t="shared" si="74"/>
        <v>2</v>
      </c>
      <c r="AH176" s="176">
        <f t="shared" si="67"/>
        <v>8</v>
      </c>
      <c r="AI176" s="225">
        <f t="shared" si="68"/>
        <v>2.2549170540932781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40.568251993521194</v>
      </c>
      <c r="C177" s="955"/>
      <c r="D177" s="393">
        <f t="shared" si="50"/>
        <v>43.268454942227322</v>
      </c>
      <c r="E177" s="385">
        <f t="shared" si="75"/>
        <v>43.900488303044803</v>
      </c>
      <c r="F177" s="385">
        <f t="shared" si="51"/>
        <v>43.954133781566668</v>
      </c>
      <c r="G177" s="110">
        <f t="shared" si="76"/>
        <v>0.74322459000294716</v>
      </c>
      <c r="H177" s="414" t="b">
        <f>Wh_hp&gt;='2025'!Maxi_hp</f>
        <v>0</v>
      </c>
      <c r="I177" s="390">
        <f>IF(H177,Wh_hp,'2025'!Maxi_hp)</f>
        <v>53.061432092137871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6.24058093202422E-2</v>
      </c>
      <c r="M177" s="959"/>
      <c r="N177" s="959"/>
      <c r="O177" s="48">
        <f>IF(t&lt;Tnet,'2025'!Resal+('2025'!Salim-'2025'!Resal)*(1-EXP(('2025'!Tnet-t)/('2025'!Tau_j))),Resal+(Salim-Resal)*(1-EXP((Tnet-t)/(Tau_j))))*Salcycl</f>
        <v>1.4396955142151436E-2</v>
      </c>
      <c r="P177" s="169">
        <f>(INDEX(Models!$BJ177:$BT177,,T177)*(1-R177)+INDEX(Models!$BJ177:$BT177,,T177+1)*R177-ERP_i)*Q177*Ramure*Pc/MaxiM</f>
        <v>1.9252788541211712E-3</v>
      </c>
      <c r="Q177" s="305">
        <f t="shared" si="53"/>
        <v>0.7</v>
      </c>
      <c r="R177" s="177">
        <f t="shared" si="54"/>
        <v>0.73507026236360495</v>
      </c>
      <c r="S177" s="921">
        <f t="shared" si="55"/>
        <v>-2</v>
      </c>
      <c r="T177" s="176">
        <f t="shared" si="56"/>
        <v>4</v>
      </c>
      <c r="U177" s="251">
        <f t="shared" si="57"/>
        <v>-1.264929737636395</v>
      </c>
      <c r="V177" s="383">
        <f t="shared" si="58"/>
        <v>54.545591539397826</v>
      </c>
      <c r="W177" s="402">
        <f t="shared" si="59"/>
        <v>40.568251993521194</v>
      </c>
      <c r="X177" s="157">
        <f t="shared" si="60"/>
        <v>46185</v>
      </c>
      <c r="Y177" s="385">
        <f t="shared" si="61"/>
        <v>37.353420197385269</v>
      </c>
      <c r="Z177" s="385">
        <f t="shared" si="62"/>
        <v>39.839645519032025</v>
      </c>
      <c r="AA177" s="386">
        <f t="shared" si="63"/>
        <v>43.698212037016148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8.8300329421157578E-2</v>
      </c>
      <c r="AD177" s="231">
        <f>(INDEX(Models!$BJ177:$BT177,,AH177)*(1-AF177)+INDEX(Models!$BJ177:$BT177,,AH177+1)*AF177-ERP_i)*AE177*Ramure*Pc/MaxiM</f>
        <v>9.1847577217919404E-3</v>
      </c>
      <c r="AE177" s="305">
        <f t="shared" si="65"/>
        <v>0.7</v>
      </c>
      <c r="AF177" s="177">
        <f t="shared" si="66"/>
        <v>0.2600578287375841</v>
      </c>
      <c r="AG177" s="921">
        <f t="shared" si="74"/>
        <v>2</v>
      </c>
      <c r="AH177" s="176">
        <f t="shared" si="67"/>
        <v>8</v>
      </c>
      <c r="AI177" s="225">
        <f t="shared" si="68"/>
        <v>2.2600578287375841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49.837955385205355</v>
      </c>
      <c r="C178" s="955"/>
      <c r="D178" s="393">
        <f t="shared" si="50"/>
        <v>53.156309503271906</v>
      </c>
      <c r="E178" s="385">
        <f t="shared" si="75"/>
        <v>53.94080146293269</v>
      </c>
      <c r="F178" s="385">
        <f t="shared" si="51"/>
        <v>54.034251199630319</v>
      </c>
      <c r="G178" s="110">
        <f t="shared" si="76"/>
        <v>0.91464956790885965</v>
      </c>
      <c r="H178" s="414" t="b">
        <f>Wh_hp&gt;='2025'!Maxi_hp</f>
        <v>0</v>
      </c>
      <c r="I178" s="390">
        <f>IF(H178,Wh_hp,'2025'!Maxi_hp)</f>
        <v>61.924411785677407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6.2426345039290121E-2</v>
      </c>
      <c r="M178" s="959"/>
      <c r="N178" s="959"/>
      <c r="O178" s="48">
        <f>IF(t&lt;Tnet,'2025'!Resal+('2025'!Salim-'2025'!Resal)*(1-EXP(('2025'!Tnet-t)/('2025'!Tau_j))),Resal+(Salim-Resal)*(1-EXP((Tnet-t)/(Tau_j))))*Salcycl</f>
        <v>1.4543572553327326E-2</v>
      </c>
      <c r="P178" s="169">
        <f>(INDEX(Models!$BJ178:$BT178,,T178)*(1-R178)+INDEX(Models!$BJ178:$BT178,,T178+1)*R178-ERP_i)*Q178*Ramure*Pc/MaxiM</f>
        <v>1.9689032606777009E-3</v>
      </c>
      <c r="Q178" s="305">
        <f t="shared" si="53"/>
        <v>0.7</v>
      </c>
      <c r="R178" s="177">
        <f t="shared" si="54"/>
        <v>0.74020236831687147</v>
      </c>
      <c r="S178" s="921">
        <f t="shared" si="55"/>
        <v>-2</v>
      </c>
      <c r="T178" s="176">
        <f t="shared" si="56"/>
        <v>4</v>
      </c>
      <c r="U178" s="251">
        <f t="shared" si="57"/>
        <v>-1.2597976316831285</v>
      </c>
      <c r="V178" s="383">
        <f t="shared" si="58"/>
        <v>54.475509291561217</v>
      </c>
      <c r="W178" s="402">
        <f t="shared" si="59"/>
        <v>49.837955385205355</v>
      </c>
      <c r="X178" s="157">
        <f t="shared" si="60"/>
        <v>46186</v>
      </c>
      <c r="Y178" s="385">
        <f t="shared" si="61"/>
        <v>45.803902555948909</v>
      </c>
      <c r="Z178" s="385">
        <f t="shared" si="62"/>
        <v>48.853657857812117</v>
      </c>
      <c r="AA178" s="386">
        <f t="shared" si="63"/>
        <v>53.592287842429855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8.8419998014454812E-2</v>
      </c>
      <c r="AD178" s="231">
        <f>(INDEX(Models!$BJ178:$BT178,,AH178)*(1-AF178)+INDEX(Models!$BJ178:$BT178,,AH178+1)*AF178-ERP_i)*AE178*Ramure*Pc/MaxiM</f>
        <v>9.3117768529157856E-3</v>
      </c>
      <c r="AE178" s="305">
        <f t="shared" si="65"/>
        <v>0.7</v>
      </c>
      <c r="AF178" s="177">
        <f t="shared" si="66"/>
        <v>0.26518993469085039</v>
      </c>
      <c r="AG178" s="921">
        <f t="shared" si="74"/>
        <v>2</v>
      </c>
      <c r="AH178" s="176">
        <f t="shared" si="67"/>
        <v>8</v>
      </c>
      <c r="AI178" s="225">
        <f t="shared" si="68"/>
        <v>2.2651899346908504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47.451629775360054</v>
      </c>
      <c r="C179" s="955"/>
      <c r="D179" s="393">
        <f t="shared" si="50"/>
        <v>50.612204022078885</v>
      </c>
      <c r="E179" s="385">
        <f t="shared" si="75"/>
        <v>51.366782276951682</v>
      </c>
      <c r="F179" s="385">
        <f t="shared" si="51"/>
        <v>51.451365762752751</v>
      </c>
      <c r="G179" s="110">
        <f t="shared" si="76"/>
        <v>0.87192453687513294</v>
      </c>
      <c r="H179" s="414" t="b">
        <f>Wh_hp&gt;='2025'!Maxi_hp</f>
        <v>0</v>
      </c>
      <c r="I179" s="390">
        <f>IF(H179,Wh_hp,'2025'!Maxi_hp)</f>
        <v>57.572810186062441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6.2446880308553165E-2</v>
      </c>
      <c r="M179" s="959"/>
      <c r="N179" s="959"/>
      <c r="O179" s="48">
        <f>IF(t&lt;Tnet,'2025'!Resal+('2025'!Salim-'2025'!Resal)*(1-EXP(('2025'!Tnet-t)/('2025'!Tau_j))),Resal+(Salim-Resal)*(1-EXP((Tnet-t)/(Tau_j))))*Salcycl</f>
        <v>1.4690004345695137E-2</v>
      </c>
      <c r="P179" s="169">
        <f>(INDEX(Models!$BJ179:$BT179,,T179)*(1-R179)+INDEX(Models!$BJ179:$BT179,,T179+1)*R179-ERP_i)*Q179*Ramure*Pc/MaxiM</f>
        <v>2.010965221912576E-3</v>
      </c>
      <c r="Q179" s="305">
        <f t="shared" si="53"/>
        <v>0.7</v>
      </c>
      <c r="R179" s="177">
        <f t="shared" si="54"/>
        <v>0.7453215077346973</v>
      </c>
      <c r="S179" s="921">
        <f t="shared" si="55"/>
        <v>-2</v>
      </c>
      <c r="T179" s="176">
        <f t="shared" si="56"/>
        <v>4</v>
      </c>
      <c r="U179" s="251">
        <f t="shared" si="57"/>
        <v>-1.2546784922653027</v>
      </c>
      <c r="V179" s="383">
        <f t="shared" si="58"/>
        <v>54.401709819608072</v>
      </c>
      <c r="W179" s="402">
        <f t="shared" si="59"/>
        <v>47.451629775360054</v>
      </c>
      <c r="X179" s="157">
        <f t="shared" si="60"/>
        <v>46187</v>
      </c>
      <c r="Y179" s="385">
        <f t="shared" si="61"/>
        <v>43.628442503608305</v>
      </c>
      <c r="Z179" s="385">
        <f t="shared" si="62"/>
        <v>46.534368653124027</v>
      </c>
      <c r="AA179" s="386">
        <f t="shared" si="63"/>
        <v>51.054667623401848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8.8538407567770788E-2</v>
      </c>
      <c r="AD179" s="231">
        <f>(INDEX(Models!$BJ179:$BT179,,AH179)*(1-AF179)+INDEX(Models!$BJ179:$BT179,,AH179+1)*AF179-ERP_i)*AE179*Ramure*Pc/MaxiM</f>
        <v>9.4314647153260212E-3</v>
      </c>
      <c r="AE179" s="305">
        <f t="shared" si="65"/>
        <v>0.7</v>
      </c>
      <c r="AF179" s="177">
        <f t="shared" si="66"/>
        <v>0.27030907410867666</v>
      </c>
      <c r="AG179" s="921">
        <f t="shared" si="74"/>
        <v>2</v>
      </c>
      <c r="AH179" s="176">
        <f t="shared" si="67"/>
        <v>8</v>
      </c>
      <c r="AI179" s="225">
        <f t="shared" si="68"/>
        <v>2.2703090741086767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50.94334939765497</v>
      </c>
      <c r="C180" s="955"/>
      <c r="D180" s="393">
        <f t="shared" si="50"/>
        <v>54.33768406525563</v>
      </c>
      <c r="E180" s="385">
        <f t="shared" si="75"/>
        <v>55.15599146454926</v>
      </c>
      <c r="F180" s="385">
        <f t="shared" si="51"/>
        <v>55.259268723231301</v>
      </c>
      <c r="G180" s="110">
        <f t="shared" si="76"/>
        <v>0.93758704349624589</v>
      </c>
      <c r="H180" s="414" t="b">
        <f>Wh_hp&gt;='2025'!Maxi_hp</f>
        <v>0</v>
      </c>
      <c r="I180" s="390">
        <f>IF(H180,Wh_hp,'2025'!Maxi_hp)</f>
        <v>55.266002789326365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6.2467415128040993E-2</v>
      </c>
      <c r="M180" s="959"/>
      <c r="N180" s="959"/>
      <c r="O180" s="48">
        <f>IF(t&lt;Tnet,'2025'!Resal+('2025'!Salim-'2025'!Resal)*(1-EXP(('2025'!Tnet-t)/('2025'!Tau_j))),Resal+(Salim-Resal)*(1-EXP((Tnet-t)/(Tau_j))))*Salcycl</f>
        <v>1.4836237688150128E-2</v>
      </c>
      <c r="P180" s="169">
        <f>(INDEX(Models!$BJ180:$BT180,,T180)*(1-R180)+INDEX(Models!$BJ180:$BT180,,T180+1)*R180-ERP_i)*Q180*Ramure*Pc/MaxiM</f>
        <v>2.0513577844110597E-3</v>
      </c>
      <c r="Q180" s="305">
        <f t="shared" si="53"/>
        <v>0.7</v>
      </c>
      <c r="R180" s="177">
        <f t="shared" si="54"/>
        <v>0.75042342628183745</v>
      </c>
      <c r="S180" s="921">
        <f t="shared" si="55"/>
        <v>-2</v>
      </c>
      <c r="T180" s="176">
        <f t="shared" si="56"/>
        <v>4</v>
      </c>
      <c r="U180" s="251">
        <f t="shared" si="57"/>
        <v>-1.2495765737181626</v>
      </c>
      <c r="V180" s="383">
        <f t="shared" si="58"/>
        <v>54.324598768599131</v>
      </c>
      <c r="W180" s="402">
        <f t="shared" si="59"/>
        <v>50.94334939765497</v>
      </c>
      <c r="X180" s="157">
        <f t="shared" si="60"/>
        <v>46188</v>
      </c>
      <c r="Y180" s="385">
        <f t="shared" si="61"/>
        <v>46.803827528474763</v>
      </c>
      <c r="Z180" s="385">
        <f t="shared" si="62"/>
        <v>49.922347536183899</v>
      </c>
      <c r="AA180" s="386">
        <f t="shared" si="63"/>
        <v>54.778789285678897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8.8655514530779286E-2</v>
      </c>
      <c r="AD180" s="231">
        <f>(INDEX(Models!$BJ180:$BT180,,AH180)*(1-AF180)+INDEX(Models!$BJ180:$BT180,,AH180+1)*AF180-ERP_i)*AE180*Ramure*Pc/MaxiM</f>
        <v>9.5435843965133021E-3</v>
      </c>
      <c r="AE180" s="305">
        <f t="shared" si="65"/>
        <v>0.7</v>
      </c>
      <c r="AF180" s="177">
        <f t="shared" si="66"/>
        <v>0.27541099265581659</v>
      </c>
      <c r="AG180" s="921">
        <f t="shared" si="74"/>
        <v>2</v>
      </c>
      <c r="AH180" s="176">
        <f t="shared" si="67"/>
        <v>8</v>
      </c>
      <c r="AI180" s="225">
        <f t="shared" si="68"/>
        <v>2.2754109926558166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49.43847569523718</v>
      </c>
      <c r="C181" s="955"/>
      <c r="D181" s="393">
        <f t="shared" si="50"/>
        <v>52.733696242893522</v>
      </c>
      <c r="E181" s="385">
        <f t="shared" si="75"/>
        <v>53.535783276981434</v>
      </c>
      <c r="F181" s="385">
        <f t="shared" si="51"/>
        <v>53.633688360594249</v>
      </c>
      <c r="G181" s="110">
        <f t="shared" si="76"/>
        <v>0.91115780409846459</v>
      </c>
      <c r="H181" s="414" t="b">
        <f>Wh_hp&gt;='2025'!Maxi_hp</f>
        <v>0</v>
      </c>
      <c r="I181" s="390">
        <f>IF(H181,Wh_hp,'2025'!Maxi_hp)</f>
        <v>59.636866753529013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6.2487949497763706E-2</v>
      </c>
      <c r="M181" s="959"/>
      <c r="N181" s="959"/>
      <c r="O181" s="48">
        <f>IF(t&lt;Tnet,'2025'!Resal+('2025'!Salim-'2025'!Resal)*(1-EXP(('2025'!Tnet-t)/('2025'!Tau_j))),Resal+(Salim-Resal)*(1-EXP((Tnet-t)/(Tau_j))))*Salcycl</f>
        <v>1.498226018171997E-2</v>
      </c>
      <c r="P181" s="169">
        <f>(INDEX(Models!$BJ181:$BT181,,T181)*(1-R181)+INDEX(Models!$BJ181:$BT181,,T181+1)*R181-ERP_i)*Q181*Ramure*Pc/MaxiM</f>
        <v>2.0899728906998817E-3</v>
      </c>
      <c r="Q181" s="305">
        <f t="shared" si="53"/>
        <v>0.7</v>
      </c>
      <c r="R181" s="177">
        <f t="shared" si="54"/>
        <v>0.75550392715210934</v>
      </c>
      <c r="S181" s="921">
        <f t="shared" si="55"/>
        <v>-2</v>
      </c>
      <c r="T181" s="176">
        <f t="shared" si="56"/>
        <v>4</v>
      </c>
      <c r="U181" s="251">
        <f t="shared" si="57"/>
        <v>-1.2444960728478907</v>
      </c>
      <c r="V181" s="383">
        <f t="shared" si="58"/>
        <v>54.244581406579428</v>
      </c>
      <c r="W181" s="402">
        <f t="shared" si="59"/>
        <v>49.43847569523718</v>
      </c>
      <c r="X181" s="157">
        <f t="shared" si="60"/>
        <v>46189</v>
      </c>
      <c r="Y181" s="385">
        <f t="shared" si="61"/>
        <v>45.432509671931179</v>
      </c>
      <c r="Z181" s="385">
        <f t="shared" si="62"/>
        <v>48.460720742301334</v>
      </c>
      <c r="AA181" s="386">
        <f t="shared" si="63"/>
        <v>53.181731037710477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8.8771279221083202E-2</v>
      </c>
      <c r="AD181" s="231">
        <f>(INDEX(Models!$BJ181:$BT181,,AH181)*(1-AF181)+INDEX(Models!$BJ181:$BT181,,AH181+1)*AF181-ERP_i)*AE181*Ramure*Pc/MaxiM</f>
        <v>9.6479009845481835E-3</v>
      </c>
      <c r="AE181" s="305">
        <f t="shared" si="65"/>
        <v>0.7</v>
      </c>
      <c r="AF181" s="177">
        <f t="shared" si="66"/>
        <v>0.28049149352608849</v>
      </c>
      <c r="AG181" s="921">
        <f t="shared" si="74"/>
        <v>2</v>
      </c>
      <c r="AH181" s="176">
        <f t="shared" si="67"/>
        <v>8</v>
      </c>
      <c r="AI181" s="225">
        <f t="shared" si="68"/>
        <v>2.2804914935260885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50.084802132134058</v>
      </c>
      <c r="C182" s="955"/>
      <c r="D182" s="393">
        <f t="shared" si="50"/>
        <v>53.424272376057168</v>
      </c>
      <c r="E182" s="385">
        <f t="shared" si="75"/>
        <v>54.244892357531398</v>
      </c>
      <c r="F182" s="385">
        <f t="shared" si="51"/>
        <v>54.348044595461225</v>
      </c>
      <c r="G182" s="110">
        <f t="shared" si="76"/>
        <v>0.92450920679982118</v>
      </c>
      <c r="H182" s="414" t="b">
        <f>Wh_hp&gt;='2025'!Maxi_hp</f>
        <v>0</v>
      </c>
      <c r="I182" s="390">
        <f>IF(H182,Wh_hp,'2025'!Maxi_hp)</f>
        <v>58.647204437041879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6.2508483417730965E-2</v>
      </c>
      <c r="M182" s="959"/>
      <c r="N182" s="959"/>
      <c r="O182" s="48">
        <f>IF(t&lt;Tnet,'2025'!Resal+('2025'!Salim-'2025'!Resal)*(1-EXP(('2025'!Tnet-t)/('2025'!Tau_j))),Resal+(Salim-Resal)*(1-EXP((Tnet-t)/(Tau_j))))*Salcycl</f>
        <v>1.5128059911437864E-2</v>
      </c>
      <c r="P182" s="169">
        <f>(INDEX(Models!$BJ182:$BT182,,T182)*(1-R182)+INDEX(Models!$BJ182:$BT182,,T182+1)*R182-ERP_i)*Q182*Ramure*Pc/MaxiM</f>
        <v>2.1267017908964958E-3</v>
      </c>
      <c r="Q182" s="305">
        <f t="shared" si="53"/>
        <v>0.7</v>
      </c>
      <c r="R182" s="177">
        <f t="shared" si="54"/>
        <v>0.76055888468176902</v>
      </c>
      <c r="S182" s="921">
        <f t="shared" si="55"/>
        <v>-2</v>
      </c>
      <c r="T182" s="176">
        <f t="shared" si="56"/>
        <v>4</v>
      </c>
      <c r="U182" s="251">
        <f t="shared" si="57"/>
        <v>-1.239441115318231</v>
      </c>
      <c r="V182" s="383">
        <f t="shared" si="58"/>
        <v>54.162062610305036</v>
      </c>
      <c r="W182" s="402">
        <f t="shared" si="59"/>
        <v>50.084802132134058</v>
      </c>
      <c r="X182" s="157">
        <f t="shared" si="60"/>
        <v>46190</v>
      </c>
      <c r="Y182" s="385">
        <f t="shared" si="61"/>
        <v>46.018333212372454</v>
      </c>
      <c r="Z182" s="385">
        <f t="shared" si="62"/>
        <v>49.086666277405342</v>
      </c>
      <c r="AA182" s="386">
        <f t="shared" si="63"/>
        <v>53.875418752002467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8.8885665959099927E-2</v>
      </c>
      <c r="AD182" s="231">
        <f>(INDEX(Models!$BJ182:$BT182,,AH182)*(1-AF182)+INDEX(Models!$BJ182:$BT182,,AH182+1)*AF182-ERP_i)*AE182*Ramure*Pc/MaxiM</f>
        <v>9.744182461571679E-3</v>
      </c>
      <c r="AE182" s="305">
        <f t="shared" si="65"/>
        <v>0.7</v>
      </c>
      <c r="AF182" s="177">
        <f t="shared" si="66"/>
        <v>0.28554645105574838</v>
      </c>
      <c r="AG182" s="921">
        <f t="shared" si="74"/>
        <v>2</v>
      </c>
      <c r="AH182" s="176">
        <f t="shared" si="67"/>
        <v>8</v>
      </c>
      <c r="AI182" s="225">
        <f t="shared" si="68"/>
        <v>2.2855464510557484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51.773162837422063</v>
      </c>
      <c r="C183" s="955"/>
      <c r="D183" s="393">
        <f t="shared" si="50"/>
        <v>55.226416358568073</v>
      </c>
      <c r="E183" s="385">
        <f t="shared" si="75"/>
        <v>56.083007207311105</v>
      </c>
      <c r="F183" s="385">
        <f t="shared" si="51"/>
        <v>56.1970795958227</v>
      </c>
      <c r="G183" s="110">
        <f t="shared" si="76"/>
        <v>0.95726296453430793</v>
      </c>
      <c r="H183" s="414" t="b">
        <f>Wh_hp&gt;='2025'!Maxi_hp</f>
        <v>0</v>
      </c>
      <c r="I183" s="390">
        <f>IF(H183,Wh_hp,'2025'!Maxi_hp)</f>
        <v>56.677985927992459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6.2529016887952649E-2</v>
      </c>
      <c r="M183" s="959"/>
      <c r="N183" s="959"/>
      <c r="O183" s="48">
        <f>IF(t&lt;Tnet,'2025'!Resal+('2025'!Salim-'2025'!Resal)*(1-EXP(('2025'!Tnet-t)/('2025'!Tau_j))),Resal+(Salim-Resal)*(1-EXP((Tnet-t)/(Tau_j))))*Salcycl</f>
        <v>1.5273625495448846E-2</v>
      </c>
      <c r="P183" s="169">
        <f>(INDEX(Models!$BJ183:$BT183,,T183)*(1-R183)+INDEX(Models!$BJ183:$BT183,,T183+1)*R183-ERP_i)*Q183*Ramure*Pc/MaxiM</f>
        <v>2.1614354595023977E-3</v>
      </c>
      <c r="Q183" s="305">
        <f t="shared" si="53"/>
        <v>0.7</v>
      </c>
      <c r="R183" s="177">
        <f t="shared" si="54"/>
        <v>0.76558425746404102</v>
      </c>
      <c r="S183" s="921">
        <f t="shared" si="55"/>
        <v>-2</v>
      </c>
      <c r="T183" s="176">
        <f t="shared" si="56"/>
        <v>4</v>
      </c>
      <c r="U183" s="251">
        <f t="shared" si="57"/>
        <v>-1.234415742535959</v>
      </c>
      <c r="V183" s="383">
        <f t="shared" si="58"/>
        <v>54.077446837762864</v>
      </c>
      <c r="W183" s="402">
        <f t="shared" si="59"/>
        <v>51.773162837422063</v>
      </c>
      <c r="X183" s="157">
        <f t="shared" si="60"/>
        <v>46191</v>
      </c>
      <c r="Y183" s="385">
        <f t="shared" si="61"/>
        <v>47.551238833565115</v>
      </c>
      <c r="Z183" s="385">
        <f t="shared" si="62"/>
        <v>50.7228913642885</v>
      </c>
      <c r="AA183" s="386">
        <f t="shared" si="63"/>
        <v>55.678173237219802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8.899864318139647E-2</v>
      </c>
      <c r="AD183" s="231">
        <f>(INDEX(Models!$BJ183:$BT183,,AH183)*(1-AF183)+INDEX(Models!$BJ183:$BT183,,AH183+1)*AF183-ERP_i)*AE183*Ramure*Pc/MaxiM</f>
        <v>9.8322005726357749E-3</v>
      </c>
      <c r="AE183" s="305">
        <f t="shared" si="65"/>
        <v>0.7</v>
      </c>
      <c r="AF183" s="177">
        <f t="shared" si="66"/>
        <v>0.29057182383801994</v>
      </c>
      <c r="AG183" s="921">
        <f t="shared" si="74"/>
        <v>2</v>
      </c>
      <c r="AH183" s="176">
        <f t="shared" si="67"/>
        <v>8</v>
      </c>
      <c r="AI183" s="225">
        <f t="shared" si="68"/>
        <v>2.2905718238380199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52.862868182351562</v>
      </c>
      <c r="C184" s="955"/>
      <c r="D184" s="393">
        <f t="shared" si="50"/>
        <v>56.390039790570704</v>
      </c>
      <c r="E184" s="385">
        <f t="shared" si="75"/>
        <v>57.273131113969342</v>
      </c>
      <c r="F184" s="385">
        <f t="shared" si="51"/>
        <v>57.395245263419021</v>
      </c>
      <c r="G184" s="110">
        <f t="shared" si="76"/>
        <v>0.97903746855494</v>
      </c>
      <c r="H184" s="414" t="b">
        <f>Wh_hp&gt;='2025'!Maxi_hp</f>
        <v>0</v>
      </c>
      <c r="I184" s="390">
        <f>IF(H184,Wh_hp,'2025'!Maxi_hp)</f>
        <v>57.397690921112854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6.254954990843864E-2</v>
      </c>
      <c r="M184" s="959"/>
      <c r="N184" s="959"/>
      <c r="O184" s="48">
        <f>IF(t&lt;Tnet,'2025'!Resal+('2025'!Salim-'2025'!Resal)*(1-EXP(('2025'!Tnet-t)/('2025'!Tau_j))),Resal+(Salim-Resal)*(1-EXP((Tnet-t)/(Tau_j))))*Salcycl</f>
        <v>1.541894613097637E-2</v>
      </c>
      <c r="P184" s="169">
        <f>(INDEX(Models!$BJ184:$BT184,,T184)*(1-R184)+INDEX(Models!$BJ184:$BT184,,T184+1)*R184-ERP_i)*Q184*Ramure*Pc/MaxiM</f>
        <v>2.1930740115822167E-3</v>
      </c>
      <c r="Q184" s="305">
        <f t="shared" si="53"/>
        <v>0.7</v>
      </c>
      <c r="R184" s="177">
        <f t="shared" si="54"/>
        <v>0.77057610087845352</v>
      </c>
      <c r="S184" s="921">
        <f t="shared" si="55"/>
        <v>-2</v>
      </c>
      <c r="T184" s="176">
        <f t="shared" si="56"/>
        <v>4</v>
      </c>
      <c r="U184" s="251">
        <f t="shared" si="57"/>
        <v>-1.2294238991215465</v>
      </c>
      <c r="V184" s="383">
        <f t="shared" si="58"/>
        <v>53.991191736869624</v>
      </c>
      <c r="W184" s="402">
        <f t="shared" si="59"/>
        <v>52.862868182351562</v>
      </c>
      <c r="X184" s="157">
        <f t="shared" si="60"/>
        <v>46192</v>
      </c>
      <c r="Y184" s="385">
        <f t="shared" si="61"/>
        <v>48.539456089930454</v>
      </c>
      <c r="Z184" s="385">
        <f t="shared" si="62"/>
        <v>51.77815647236563</v>
      </c>
      <c r="AA184" s="386">
        <f t="shared" si="63"/>
        <v>56.843490328077372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8.911018353160069E-2</v>
      </c>
      <c r="AD184" s="231">
        <f>(INDEX(Models!$BJ184:$BT184,,AH184)*(1-AF184)+INDEX(Models!$BJ184:$BT184,,AH184+1)*AF184-ERP_i)*AE184*Ramure*Pc/MaxiM</f>
        <v>9.9090843682993826E-3</v>
      </c>
      <c r="AE184" s="305">
        <f t="shared" si="65"/>
        <v>0.7</v>
      </c>
      <c r="AF184" s="177">
        <f t="shared" si="66"/>
        <v>0.29556366725243244</v>
      </c>
      <c r="AG184" s="921">
        <f t="shared" si="74"/>
        <v>2</v>
      </c>
      <c r="AH184" s="176">
        <f t="shared" si="67"/>
        <v>8</v>
      </c>
      <c r="AI184" s="225">
        <f t="shared" si="68"/>
        <v>2.2955636672524324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33.343197104331026</v>
      </c>
      <c r="C185" s="955"/>
      <c r="D185" s="393">
        <f t="shared" si="50"/>
        <v>35.568735839488667</v>
      </c>
      <c r="E185" s="385">
        <f t="shared" si="75"/>
        <v>36.131080395209786</v>
      </c>
      <c r="F185" s="385">
        <f t="shared" si="51"/>
        <v>36.167665700253423</v>
      </c>
      <c r="G185" s="110">
        <f t="shared" si="76"/>
        <v>0.6178205183154809</v>
      </c>
      <c r="H185" s="414" t="b">
        <f>Wh_hp&gt;='2025'!Maxi_hp</f>
        <v>0</v>
      </c>
      <c r="I185" s="390">
        <f>IF(H185,Wh_hp,'2025'!Maxi_hp)</f>
        <v>50.746590499850917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6.2570082479198819E-2</v>
      </c>
      <c r="M185" s="959"/>
      <c r="N185" s="959"/>
      <c r="O185" s="48">
        <f>IF(t&lt;Tnet,'2025'!Resal+('2025'!Salim-'2025'!Resal)*(1-EXP(('2025'!Tnet-t)/('2025'!Tau_j))),Resal+(Salim-Resal)*(1-EXP((Tnet-t)/(Tau_j))))*Salcycl</f>
        <v>1.5564011636797607E-2</v>
      </c>
      <c r="P185" s="169">
        <f>(INDEX(Models!$BJ185:$BT185,,T185)*(1-R185)+INDEX(Models!$BJ185:$BT185,,T185+1)*R185-ERP_i)*Q185*Ramure*Pc/MaxiM</f>
        <v>2.2226892388279925E-3</v>
      </c>
      <c r="Q185" s="305">
        <f t="shared" si="53"/>
        <v>0.7</v>
      </c>
      <c r="R185" s="177">
        <f t="shared" si="54"/>
        <v>0.77553057895553579</v>
      </c>
      <c r="S185" s="921">
        <f t="shared" si="55"/>
        <v>-2</v>
      </c>
      <c r="T185" s="176">
        <f t="shared" si="56"/>
        <v>4</v>
      </c>
      <c r="U185" s="251">
        <f t="shared" si="57"/>
        <v>-1.2244694210444642</v>
      </c>
      <c r="V185" s="383">
        <f t="shared" si="58"/>
        <v>53.903636868746823</v>
      </c>
      <c r="W185" s="402">
        <f t="shared" si="59"/>
        <v>33.343197104331026</v>
      </c>
      <c r="X185" s="157">
        <f t="shared" si="60"/>
        <v>46193</v>
      </c>
      <c r="Y185" s="385">
        <f t="shared" si="61"/>
        <v>30.739418126390092</v>
      </c>
      <c r="Z185" s="385">
        <f t="shared" si="62"/>
        <v>32.791163959953302</v>
      </c>
      <c r="AA185" s="386">
        <f t="shared" si="63"/>
        <v>36.003396497797816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8.9220263928182206E-2</v>
      </c>
      <c r="AD185" s="231">
        <f>(INDEX(Models!$BJ185:$BT185,,AH185)*(1-AF185)+INDEX(Models!$BJ185:$BT185,,AH185+1)*AF185-ERP_i)*AE185*Ramure*Pc/MaxiM</f>
        <v>9.9799465422917427E-3</v>
      </c>
      <c r="AE185" s="305">
        <f t="shared" si="65"/>
        <v>0.7</v>
      </c>
      <c r="AF185" s="177">
        <f t="shared" si="66"/>
        <v>0.30051814532951493</v>
      </c>
      <c r="AG185" s="921">
        <f t="shared" si="74"/>
        <v>2</v>
      </c>
      <c r="AH185" s="176">
        <f t="shared" si="67"/>
        <v>8</v>
      </c>
      <c r="AI185" s="225">
        <f t="shared" si="68"/>
        <v>2.3005181453295149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23.573704466910858</v>
      </c>
      <c r="C186" s="955"/>
      <c r="D186" s="393">
        <f t="shared" si="50"/>
        <v>25.147715431564492</v>
      </c>
      <c r="E186" s="385">
        <f t="shared" si="75"/>
        <v>25.549060837606632</v>
      </c>
      <c r="F186" s="385">
        <f t="shared" si="51"/>
        <v>25.560403665966692</v>
      </c>
      <c r="G186" s="110">
        <f t="shared" si="76"/>
        <v>0.43725765621487561</v>
      </c>
      <c r="H186" s="414" t="b">
        <f>Wh_hp&gt;='2025'!Maxi_hp</f>
        <v>0</v>
      </c>
      <c r="I186" s="390">
        <f>IF(H186,Wh_hp,'2025'!Maxi_hp)</f>
        <v>50.271199376554243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6.2590614600242955E-2</v>
      </c>
      <c r="M186" s="959"/>
      <c r="N186" s="959"/>
      <c r="O186" s="48">
        <f>IF(t&lt;Tnet,'2025'!Resal+('2025'!Salim-'2025'!Resal)*(1-EXP(('2025'!Tnet-t)/('2025'!Tau_j))),Resal+(Salim-Resal)*(1-EXP((Tnet-t)/(Tau_j))))*Salcycl</f>
        <v>1.5708812491901248E-2</v>
      </c>
      <c r="P186" s="169">
        <f>(INDEX(Models!$BJ186:$BT186,,T186)*(1-R186)+INDEX(Models!$BJ186:$BT186,,T186+1)*R186-ERP_i)*Q186*Ramure*Pc/MaxiM</f>
        <v>2.2501810491681986E-3</v>
      </c>
      <c r="Q186" s="305">
        <f t="shared" si="53"/>
        <v>0.7</v>
      </c>
      <c r="R186" s="177">
        <f t="shared" si="54"/>
        <v>0.78044397550516242</v>
      </c>
      <c r="S186" s="921">
        <f t="shared" si="55"/>
        <v>-2</v>
      </c>
      <c r="T186" s="176">
        <f t="shared" si="56"/>
        <v>4</v>
      </c>
      <c r="U186" s="251">
        <f t="shared" si="57"/>
        <v>-1.2195560244948376</v>
      </c>
      <c r="V186" s="383">
        <f t="shared" si="58"/>
        <v>53.815184990597345</v>
      </c>
      <c r="W186" s="402">
        <f t="shared" si="59"/>
        <v>23.573704466910858</v>
      </c>
      <c r="X186" s="157">
        <f t="shared" si="60"/>
        <v>46194</v>
      </c>
      <c r="Y186" s="385">
        <f t="shared" si="61"/>
        <v>21.776968144388942</v>
      </c>
      <c r="Z186" s="385">
        <f t="shared" si="62"/>
        <v>23.231011427416188</v>
      </c>
      <c r="AA186" s="386">
        <f t="shared" si="63"/>
        <v>25.509770267332282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8.9328865608572949E-2</v>
      </c>
      <c r="AD186" s="231">
        <f>(INDEX(Models!$BJ186:$BT186,,AH186)*(1-AF186)+INDEX(Models!$BJ186:$BT186,,AH186+1)*AF186-ERP_i)*AE186*Ramure*Pc/MaxiM</f>
        <v>1.0044612370520119E-2</v>
      </c>
      <c r="AE186" s="305">
        <f t="shared" si="65"/>
        <v>0.7</v>
      </c>
      <c r="AF186" s="177">
        <f t="shared" si="66"/>
        <v>0.30543154187914157</v>
      </c>
      <c r="AG186" s="921">
        <f t="shared" si="74"/>
        <v>2</v>
      </c>
      <c r="AH186" s="176">
        <f t="shared" si="67"/>
        <v>8</v>
      </c>
      <c r="AI186" s="225">
        <f t="shared" si="68"/>
        <v>2.3054315418791416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41.6269371975282</v>
      </c>
      <c r="C187" s="955"/>
      <c r="D187" s="393">
        <f t="shared" si="50"/>
        <v>44.407331100598292</v>
      </c>
      <c r="E187" s="385">
        <f t="shared" si="75"/>
        <v>45.122676222600496</v>
      </c>
      <c r="F187" s="385">
        <f t="shared" si="51"/>
        <v>45.192426052842826</v>
      </c>
      <c r="G187" s="110">
        <f t="shared" si="76"/>
        <v>0.7742290949185352</v>
      </c>
      <c r="H187" s="414" t="b">
        <f>Wh_hp&gt;='2025'!Maxi_hp</f>
        <v>0</v>
      </c>
      <c r="I187" s="390">
        <f>IF(H187,Wh_hp,'2025'!Maxi_hp)</f>
        <v>58.651325061036623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6.2611146271581042E-2</v>
      </c>
      <c r="M187" s="959"/>
      <c r="N187" s="959"/>
      <c r="O187" s="48">
        <f>IF(t&lt;Tnet,'2025'!Resal+('2025'!Salim-'2025'!Resal)*(1-EXP(('2025'!Tnet-t)/('2025'!Tau_j))),Resal+(Salim-Resal)*(1-EXP((Tnet-t)/(Tau_j))))*Salcycl</f>
        <v>1.5853339870030039E-2</v>
      </c>
      <c r="P187" s="169">
        <f>(INDEX(Models!$BJ187:$BT187,,T187)*(1-R187)+INDEX(Models!$BJ187:$BT187,,T187+1)*R187-ERP_i)*Q187*Ramure*Pc/MaxiM</f>
        <v>2.275450653320387E-3</v>
      </c>
      <c r="Q187" s="305">
        <f t="shared" si="53"/>
        <v>0.7</v>
      </c>
      <c r="R187" s="177">
        <f t="shared" si="54"/>
        <v>0.78531270444525014</v>
      </c>
      <c r="S187" s="921">
        <f t="shared" si="55"/>
        <v>-2</v>
      </c>
      <c r="T187" s="176">
        <f t="shared" si="56"/>
        <v>4</v>
      </c>
      <c r="U187" s="251">
        <f t="shared" si="57"/>
        <v>-1.2146872955547499</v>
      </c>
      <c r="V187" s="383">
        <f t="shared" si="58"/>
        <v>53.72623838548612</v>
      </c>
      <c r="W187" s="402">
        <f t="shared" si="59"/>
        <v>41.6269371975282</v>
      </c>
      <c r="X187" s="157">
        <f t="shared" si="60"/>
        <v>46195</v>
      </c>
      <c r="Y187" s="385">
        <f t="shared" si="61"/>
        <v>38.309777596309964</v>
      </c>
      <c r="Z187" s="385">
        <f t="shared" si="62"/>
        <v>40.868607989026827</v>
      </c>
      <c r="AA187" s="386">
        <f t="shared" si="63"/>
        <v>44.882739520534059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8.9435974149277453E-2</v>
      </c>
      <c r="AD187" s="231">
        <f>(INDEX(Models!$BJ187:$BT187,,AH187)*(1-AF187)+INDEX(Models!$BJ187:$BT187,,AH187+1)*AF187-ERP_i)*AE187*Ramure*Pc/MaxiM</f>
        <v>1.0102912362915127E-2</v>
      </c>
      <c r="AE187" s="305">
        <f t="shared" si="65"/>
        <v>0.7</v>
      </c>
      <c r="AF187" s="177">
        <f t="shared" si="66"/>
        <v>0.31030027081922906</v>
      </c>
      <c r="AG187" s="921">
        <f t="shared" si="74"/>
        <v>2</v>
      </c>
      <c r="AH187" s="176">
        <f t="shared" si="67"/>
        <v>8</v>
      </c>
      <c r="AI187" s="225">
        <f t="shared" si="68"/>
        <v>2.3103002708192291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41.264156889870755</v>
      </c>
      <c r="C188" s="955"/>
      <c r="D188" s="393">
        <f t="shared" si="50"/>
        <v>44.021283735638946</v>
      </c>
      <c r="E188" s="385">
        <f t="shared" si="75"/>
        <v>44.736967201046582</v>
      </c>
      <c r="F188" s="385">
        <f t="shared" si="51"/>
        <v>44.806011594268128</v>
      </c>
      <c r="G188" s="110">
        <f t="shared" si="76"/>
        <v>0.76873614741875929</v>
      </c>
      <c r="H188" s="414" t="b">
        <f>Wh_hp&gt;='2025'!Maxi_hp</f>
        <v>0</v>
      </c>
      <c r="I188" s="390">
        <f>IF(H188,Wh_hp,'2025'!Maxi_hp)</f>
        <v>52.717054573900171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6.2631677493222737E-2</v>
      </c>
      <c r="M188" s="959"/>
      <c r="N188" s="959"/>
      <c r="O188" s="48">
        <f>IF(t&lt;Tnet,'2025'!Resal+('2025'!Salim-'2025'!Resal)*(1-EXP(('2025'!Tnet-t)/('2025'!Tau_j))),Resal+(Salim-Resal)*(1-EXP((Tnet-t)/(Tau_j))))*Salcycl</f>
        <v>1.5997585669841656E-2</v>
      </c>
      <c r="P188" s="169">
        <f>(INDEX(Models!$BJ188:$BT188,,T188)*(1-R188)+INDEX(Models!$BJ188:$BT188,,T188+1)*R188-ERP_i)*Q188*Ramure*Pc/MaxiM</f>
        <v>2.2983774298837687E-3</v>
      </c>
      <c r="Q188" s="305">
        <f t="shared" si="53"/>
        <v>0.7</v>
      </c>
      <c r="R188" s="177">
        <f t="shared" si="54"/>
        <v>0.79013331927647212</v>
      </c>
      <c r="S188" s="921">
        <f t="shared" si="55"/>
        <v>-2</v>
      </c>
      <c r="T188" s="176">
        <f t="shared" si="56"/>
        <v>4</v>
      </c>
      <c r="U188" s="251">
        <f t="shared" si="57"/>
        <v>-1.2098666807235279</v>
      </c>
      <c r="V188" s="383">
        <f t="shared" si="58"/>
        <v>53.637200114689392</v>
      </c>
      <c r="W188" s="402">
        <f t="shared" si="59"/>
        <v>41.264156889870755</v>
      </c>
      <c r="X188" s="157">
        <f t="shared" si="60"/>
        <v>46196</v>
      </c>
      <c r="Y188" s="385">
        <f t="shared" si="61"/>
        <v>37.978674146969325</v>
      </c>
      <c r="Z188" s="385">
        <f t="shared" si="62"/>
        <v>40.516276510607959</v>
      </c>
      <c r="AA188" s="386">
        <f t="shared" si="63"/>
        <v>44.500963027677791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8.9541579461808837E-2</v>
      </c>
      <c r="AD188" s="231">
        <f>(INDEX(Models!$BJ188:$BT188,,AH188)*(1-AF188)+INDEX(Models!$BJ188:$BT188,,AH188+1)*AF188-ERP_i)*AE188*Ramure*Pc/MaxiM</f>
        <v>1.0154578927501096E-2</v>
      </c>
      <c r="AE188" s="305">
        <f t="shared" si="65"/>
        <v>0.7</v>
      </c>
      <c r="AF188" s="177">
        <f t="shared" si="66"/>
        <v>0.31512088565045104</v>
      </c>
      <c r="AG188" s="921">
        <f t="shared" si="74"/>
        <v>2</v>
      </c>
      <c r="AH188" s="176">
        <f t="shared" si="67"/>
        <v>8</v>
      </c>
      <c r="AI188" s="225">
        <f t="shared" si="68"/>
        <v>2.315120885650451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39.304513129362789</v>
      </c>
      <c r="C189" s="955"/>
      <c r="D189" s="393">
        <f t="shared" si="50"/>
        <v>41.931621833363359</v>
      </c>
      <c r="E189" s="385">
        <f t="shared" si="75"/>
        <v>42.619567393501406</v>
      </c>
      <c r="F189" s="385">
        <f t="shared" si="51"/>
        <v>42.680928789562579</v>
      </c>
      <c r="G189" s="110">
        <f t="shared" si="76"/>
        <v>0.73335106444278952</v>
      </c>
      <c r="H189" s="414" t="b">
        <f>Wh_hp&gt;='2025'!Maxi_hp</f>
        <v>0</v>
      </c>
      <c r="I189" s="390">
        <f>IF(H189,Wh_hp,'2025'!Maxi_hp)</f>
        <v>57.879746381610467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6.2652208265178033E-2</v>
      </c>
      <c r="M189" s="959"/>
      <c r="N189" s="959"/>
      <c r="O189" s="48">
        <f>IF(t&lt;Tnet,'2025'!Resal+('2025'!Salim-'2025'!Resal)*(1-EXP(('2025'!Tnet-t)/('2025'!Tau_j))),Resal+(Salim-Resal)*(1-EXP((Tnet-t)/(Tau_j))))*Salcycl</f>
        <v>1.614154254045632E-2</v>
      </c>
      <c r="P189" s="169">
        <f>(INDEX(Models!$BJ189:$BT189,,T189)*(1-R189)+INDEX(Models!$BJ189:$BT189,,T189+1)*R189-ERP_i)*Q189*Ramure*Pc/MaxiM</f>
        <v>2.3188406922677609E-3</v>
      </c>
      <c r="Q189" s="305">
        <f t="shared" si="53"/>
        <v>0.7</v>
      </c>
      <c r="R189" s="177">
        <f t="shared" si="54"/>
        <v>0.79490252165801456</v>
      </c>
      <c r="S189" s="921">
        <f t="shared" si="55"/>
        <v>-2</v>
      </c>
      <c r="T189" s="176">
        <f t="shared" si="56"/>
        <v>4</v>
      </c>
      <c r="U189" s="251">
        <f t="shared" si="57"/>
        <v>-1.2050974783419854</v>
      </c>
      <c r="V189" s="383">
        <f t="shared" si="58"/>
        <v>53.548472846918358</v>
      </c>
      <c r="W189" s="402">
        <f t="shared" si="59"/>
        <v>39.304513129362789</v>
      </c>
      <c r="X189" s="157">
        <f t="shared" si="60"/>
        <v>46197</v>
      </c>
      <c r="Y189" s="385">
        <f t="shared" si="61"/>
        <v>36.190123739390984</v>
      </c>
      <c r="Z189" s="385">
        <f t="shared" si="62"/>
        <v>38.609067049073779</v>
      </c>
      <c r="AA189" s="386">
        <f t="shared" si="63"/>
        <v>42.411032738814043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8.9645675764475102E-2</v>
      </c>
      <c r="AD189" s="231">
        <f>(INDEX(Models!$BJ189:$BT189,,AH189)*(1-AF189)+INDEX(Models!$BJ189:$BT189,,AH189+1)*AF189-ERP_i)*AE189*Ramure*Pc/MaxiM</f>
        <v>1.0199343322211576E-2</v>
      </c>
      <c r="AE189" s="305">
        <f t="shared" si="65"/>
        <v>0.7</v>
      </c>
      <c r="AF189" s="177">
        <f t="shared" si="66"/>
        <v>0.3198900880319937</v>
      </c>
      <c r="AG189" s="921">
        <f t="shared" si="74"/>
        <v>2</v>
      </c>
      <c r="AH189" s="176">
        <f t="shared" si="67"/>
        <v>8</v>
      </c>
      <c r="AI189" s="225">
        <f t="shared" si="68"/>
        <v>2.3198900880319937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33.723368256847145</v>
      </c>
      <c r="C190" s="955"/>
      <c r="D190" s="393">
        <f t="shared" si="50"/>
        <v>35.978221956359562</v>
      </c>
      <c r="E190" s="385">
        <f t="shared" si="75"/>
        <v>36.573834305509919</v>
      </c>
      <c r="F190" s="385">
        <f t="shared" si="51"/>
        <v>36.614267835633044</v>
      </c>
      <c r="G190" s="110">
        <f t="shared" si="76"/>
        <v>0.63003127997465247</v>
      </c>
      <c r="H190" s="414" t="b">
        <f>Wh_hp&gt;='2025'!Maxi_hp</f>
        <v>0</v>
      </c>
      <c r="I190" s="390">
        <f>IF(H190,Wh_hp,'2025'!Maxi_hp)</f>
        <v>56.287194704165557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6.26727385874567E-2</v>
      </c>
      <c r="M190" s="959"/>
      <c r="N190" s="959"/>
      <c r="O190" s="48">
        <f>IF(t&lt;Tnet,'2025'!Resal+('2025'!Salim-'2025'!Resal)*(1-EXP(('2025'!Tnet-t)/('2025'!Tau_j))),Resal+(Salim-Resal)*(1-EXP((Tnet-t)/(Tau_j))))*Salcycl</f>
        <v>1.6285203902196014E-2</v>
      </c>
      <c r="P190" s="169">
        <f>(INDEX(Models!$BJ190:$BT190,,T190)*(1-R190)+INDEX(Models!$BJ190:$BT190,,T190+1)*R190-ERP_i)*Q190*Ramure*Pc/MaxiM</f>
        <v>2.336744774492615E-3</v>
      </c>
      <c r="Q190" s="305">
        <f t="shared" si="53"/>
        <v>0.7</v>
      </c>
      <c r="R190" s="177">
        <f t="shared" si="54"/>
        <v>0.79961716904899038</v>
      </c>
      <c r="S190" s="921">
        <f t="shared" si="55"/>
        <v>-2</v>
      </c>
      <c r="T190" s="176">
        <f t="shared" si="56"/>
        <v>4</v>
      </c>
      <c r="U190" s="251">
        <f t="shared" si="57"/>
        <v>-1.2003828309510096</v>
      </c>
      <c r="V190" s="383">
        <f t="shared" si="58"/>
        <v>53.460457525751629</v>
      </c>
      <c r="W190" s="402">
        <f t="shared" si="59"/>
        <v>33.723368256847145</v>
      </c>
      <c r="X190" s="157">
        <f t="shared" si="60"/>
        <v>46198</v>
      </c>
      <c r="Y190" s="385">
        <f t="shared" si="61"/>
        <v>31.088298874722302</v>
      </c>
      <c r="Z190" s="385">
        <f t="shared" si="62"/>
        <v>33.166963295052923</v>
      </c>
      <c r="AA190" s="386">
        <f t="shared" si="63"/>
        <v>36.437132601152797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8.9748261530228413E-2</v>
      </c>
      <c r="AD190" s="231">
        <f>(INDEX(Models!$BJ190:$BT190,,AH190)*(1-AF190)+INDEX(Models!$BJ190:$BT190,,AH190+1)*AF190-ERP_i)*AE190*Ramure*Pc/MaxiM</f>
        <v>1.0237044163341848E-2</v>
      </c>
      <c r="AE190" s="305">
        <f t="shared" si="65"/>
        <v>0.7</v>
      </c>
      <c r="AF190" s="177">
        <f t="shared" si="66"/>
        <v>0.32460473542296953</v>
      </c>
      <c r="AG190" s="921">
        <f t="shared" si="74"/>
        <v>2</v>
      </c>
      <c r="AH190" s="176">
        <f t="shared" si="67"/>
        <v>8</v>
      </c>
      <c r="AI190" s="225">
        <f t="shared" si="68"/>
        <v>2.3246047354229695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10.926885295914895</v>
      </c>
      <c r="C191" s="955"/>
      <c r="D191" s="393">
        <f t="shared" si="50"/>
        <v>11.657747595563261</v>
      </c>
      <c r="E191" s="385">
        <f t="shared" si="75"/>
        <v>11.852466601233356</v>
      </c>
      <c r="F191" s="385">
        <f t="shared" si="51"/>
        <v>11.852466601233356</v>
      </c>
      <c r="G191" s="110">
        <f t="shared" si="76"/>
        <v>0.20424698489124643</v>
      </c>
      <c r="H191" s="414" t="b">
        <f>Wh_hp&gt;='2025'!Maxi_hp</f>
        <v>0</v>
      </c>
      <c r="I191" s="390">
        <f>IF(H191,Wh_hp,'2025'!Maxi_hp)</f>
        <v>59.196700093726733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6.2693268460068619E-2</v>
      </c>
      <c r="M191" s="959"/>
      <c r="N191" s="959"/>
      <c r="O191" s="48">
        <f>IF(t&lt;Tnet,'2025'!Resal+('2025'!Salim-'2025'!Resal)*(1-EXP(('2025'!Tnet-t)/('2025'!Tau_j))),Resal+(Salim-Resal)*(1-EXP((Tnet-t)/(Tau_j))))*Salcycl</f>
        <v>1.6428563962359748E-2</v>
      </c>
      <c r="P191" s="169">
        <f>(INDEX(Models!$BJ191:$BT191,,T191)*(1-R191)+INDEX(Models!$BJ191:$BT191,,T191+1)*R191-ERP_i)*Q191*Ramure*Pc/MaxiM</f>
        <v>2.3520406498732469E-3</v>
      </c>
      <c r="Q191" s="305">
        <f t="shared" si="53"/>
        <v>0.7</v>
      </c>
      <c r="R191" s="177">
        <f t="shared" si="54"/>
        <v>0.80427428138982249</v>
      </c>
      <c r="S191" s="921">
        <f t="shared" si="55"/>
        <v>-2</v>
      </c>
      <c r="T191" s="176">
        <f t="shared" si="56"/>
        <v>4</v>
      </c>
      <c r="U191" s="251">
        <f t="shared" si="57"/>
        <v>-1.1957257186101775</v>
      </c>
      <c r="V191" s="383">
        <f t="shared" si="58"/>
        <v>53.372561770382347</v>
      </c>
      <c r="W191" s="402">
        <f t="shared" si="59"/>
        <v>10.926885295914895</v>
      </c>
      <c r="X191" s="157">
        <f t="shared" si="60"/>
        <v>46199</v>
      </c>
      <c r="Y191" s="385">
        <f t="shared" si="61"/>
        <v>10.111224773181407</v>
      </c>
      <c r="Z191" s="385">
        <f t="shared" si="62"/>
        <v>10.787530306721846</v>
      </c>
      <c r="AA191" s="386">
        <f t="shared" si="63"/>
        <v>11.852466601233356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8.9849339410979154E-2</v>
      </c>
      <c r="AD191" s="231">
        <f>(INDEX(Models!$BJ191:$BT191,,AH191)*(1-AF191)+INDEX(Models!$BJ191:$BT191,,AH191+1)*AF191-ERP_i)*AE191*Ramure*Pc/MaxiM</f>
        <v>1.0267718465301338E-2</v>
      </c>
      <c r="AE191" s="305">
        <f t="shared" si="65"/>
        <v>0.7</v>
      </c>
      <c r="AF191" s="177">
        <f t="shared" si="66"/>
        <v>0.32926184776380163</v>
      </c>
      <c r="AG191" s="921">
        <f t="shared" si="74"/>
        <v>2</v>
      </c>
      <c r="AH191" s="176">
        <f t="shared" si="67"/>
        <v>8</v>
      </c>
      <c r="AI191" s="225">
        <f t="shared" si="68"/>
        <v>2.3292618477638016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10.245235553364603</v>
      </c>
      <c r="C192" s="955"/>
      <c r="D192" s="393">
        <f t="shared" si="50"/>
        <v>10.930744024850123</v>
      </c>
      <c r="E192" s="385">
        <f t="shared" si="75"/>
        <v>11.114936503636253</v>
      </c>
      <c r="F192" s="385">
        <f t="shared" si="51"/>
        <v>11.114936503636253</v>
      </c>
      <c r="G192" s="110">
        <f t="shared" si="76"/>
        <v>0.19182160461771036</v>
      </c>
      <c r="H192" s="414" t="b">
        <f>Wh_hp&gt;='2025'!Maxi_hp</f>
        <v>0</v>
      </c>
      <c r="I192" s="390">
        <f>IF(H192,Wh_hp,'2025'!Maxi_hp)</f>
        <v>57.199547222334189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6.271379788302367E-2</v>
      </c>
      <c r="M192" s="959"/>
      <c r="N192" s="959"/>
      <c r="O192" s="48">
        <f>IF(t&lt;Tnet,'2025'!Resal+('2025'!Salim-'2025'!Resal)*(1-EXP(('2025'!Tnet-t)/('2025'!Tau_j))),Resal+(Salim-Resal)*(1-EXP((Tnet-t)/(Tau_j))))*Salcycl</f>
        <v>1.657161772591972E-2</v>
      </c>
      <c r="P192" s="169">
        <f>(INDEX(Models!$BJ192:$BT192,,T192)*(1-R192)+INDEX(Models!$BJ192:$BT192,,T192+1)*R192-ERP_i)*Q192*Ramure*Pc/MaxiM</f>
        <v>2.3633922111131033E-3</v>
      </c>
      <c r="Q192" s="305">
        <f t="shared" si="53"/>
        <v>0.7</v>
      </c>
      <c r="R192" s="177">
        <f t="shared" si="54"/>
        <v>0.80887104680753974</v>
      </c>
      <c r="S192" s="921">
        <f t="shared" si="55"/>
        <v>-2</v>
      </c>
      <c r="T192" s="176">
        <f t="shared" si="56"/>
        <v>4</v>
      </c>
      <c r="U192" s="251">
        <f t="shared" si="57"/>
        <v>-1.1911289531924603</v>
      </c>
      <c r="V192" s="383">
        <f t="shared" si="58"/>
        <v>53.283998243194148</v>
      </c>
      <c r="W192" s="402">
        <f t="shared" si="59"/>
        <v>10.245235553364603</v>
      </c>
      <c r="X192" s="157">
        <f t="shared" si="60"/>
        <v>46200</v>
      </c>
      <c r="Y192" s="385">
        <f t="shared" si="61"/>
        <v>9.4807999116224515</v>
      </c>
      <c r="Z192" s="385">
        <f t="shared" si="62"/>
        <v>10.115160012180802</v>
      </c>
      <c r="AA192" s="386">
        <f t="shared" si="63"/>
        <v>11.114936503636253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8.9948916138960888E-2</v>
      </c>
      <c r="AD192" s="231">
        <f>(INDEX(Models!$BJ192:$BT192,,AH192)*(1-AF192)+INDEX(Models!$BJ192:$BT192,,AH192+1)*AF192-ERP_i)*AE192*Ramure*Pc/MaxiM</f>
        <v>1.028591898580457E-2</v>
      </c>
      <c r="AE192" s="305">
        <f t="shared" si="65"/>
        <v>0.7</v>
      </c>
      <c r="AF192" s="177">
        <f t="shared" si="66"/>
        <v>0.3338586131815191</v>
      </c>
      <c r="AG192" s="921">
        <f t="shared" si="74"/>
        <v>2</v>
      </c>
      <c r="AH192" s="176">
        <f t="shared" si="67"/>
        <v>8</v>
      </c>
      <c r="AI192" s="225">
        <f t="shared" si="68"/>
        <v>2.3338586131815191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52.758333668601786</v>
      </c>
      <c r="C193" s="955"/>
      <c r="D193" s="393">
        <f t="shared" si="50"/>
        <v>56.289625428877457</v>
      </c>
      <c r="E193" s="385">
        <f t="shared" si="75"/>
        <v>57.246463485610271</v>
      </c>
      <c r="F193" s="385">
        <f t="shared" si="51"/>
        <v>57.380963756960156</v>
      </c>
      <c r="G193" s="110">
        <f t="shared" si="76"/>
        <v>0.99176891309834658</v>
      </c>
      <c r="H193" s="414" t="b">
        <f>Wh_hp&gt;='2025'!Maxi_hp</f>
        <v>0</v>
      </c>
      <c r="I193" s="390">
        <f>IF(H193,Wh_hp,'2025'!Maxi_hp)</f>
        <v>57.381947425116394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6.2734326856331624E-2</v>
      </c>
      <c r="M193" s="959"/>
      <c r="N193" s="959"/>
      <c r="O193" s="48">
        <f>IF(t&lt;Tnet,'2025'!Resal+('2025'!Salim-'2025'!Resal)*(1-EXP(('2025'!Tnet-t)/('2025'!Tau_j))),Resal+(Salim-Resal)*(1-EXP((Tnet-t)/(Tau_j))))*Salcycl</f>
        <v>1.671436100106562E-2</v>
      </c>
      <c r="P193" s="169">
        <f>(INDEX(Models!$BJ193:$BT193,,T193)*(1-R193)+INDEX(Models!$BJ193:$BT193,,T193+1)*R193-ERP_i)*Q193*Ramure*Pc/MaxiM</f>
        <v>2.3717831172195619E-3</v>
      </c>
      <c r="Q193" s="305">
        <f t="shared" si="53"/>
        <v>0.7</v>
      </c>
      <c r="R193" s="177">
        <f t="shared" si="54"/>
        <v>0.8134048263383693</v>
      </c>
      <c r="S193" s="921">
        <f t="shared" si="55"/>
        <v>-2</v>
      </c>
      <c r="T193" s="176">
        <f t="shared" si="56"/>
        <v>4</v>
      </c>
      <c r="U193" s="251">
        <f t="shared" si="57"/>
        <v>-1.1865951736616307</v>
      </c>
      <c r="V193" s="383">
        <f t="shared" si="58"/>
        <v>53.194714095984537</v>
      </c>
      <c r="W193" s="402">
        <f t="shared" si="59"/>
        <v>52.758333668601786</v>
      </c>
      <c r="X193" s="157">
        <f t="shared" si="60"/>
        <v>46201</v>
      </c>
      <c r="Y193" s="385">
        <f t="shared" si="61"/>
        <v>48.440489200772568</v>
      </c>
      <c r="Z193" s="385">
        <f t="shared" si="62"/>
        <v>51.682773186709234</v>
      </c>
      <c r="AA193" s="386">
        <f t="shared" si="63"/>
        <v>56.797189880530496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9.0047002405913526E-2</v>
      </c>
      <c r="AD193" s="231">
        <f>(INDEX(Models!$BJ193:$BT193,,AH193)*(1-AF193)+INDEX(Models!$BJ193:$BT193,,AH193+1)*AF193-ERP_i)*AE193*Ramure*Pc/MaxiM</f>
        <v>1.0294291680556086E-2</v>
      </c>
      <c r="AE193" s="305">
        <f t="shared" si="65"/>
        <v>0.7</v>
      </c>
      <c r="AF193" s="177">
        <f t="shared" si="66"/>
        <v>0.33839239271234822</v>
      </c>
      <c r="AG193" s="921">
        <f t="shared" si="74"/>
        <v>2</v>
      </c>
      <c r="AH193" s="176">
        <f t="shared" si="67"/>
        <v>8</v>
      </c>
      <c r="AI193" s="225">
        <f t="shared" si="68"/>
        <v>2.3383923927123482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53.582915754606454</v>
      </c>
      <c r="C194" s="955"/>
      <c r="D194" s="393">
        <f t="shared" si="50"/>
        <v>57.170651736298346</v>
      </c>
      <c r="E194" s="385">
        <f t="shared" si="75"/>
        <v>58.150889085155342</v>
      </c>
      <c r="F194" s="385">
        <f t="shared" si="51"/>
        <v>58.289451559149803</v>
      </c>
      <c r="G194" s="110">
        <f t="shared" si="76"/>
        <v>1.0090049067127487</v>
      </c>
      <c r="H194" s="414" t="b">
        <f>Wh_hp&gt;='2025'!Maxi_hp</f>
        <v>1</v>
      </c>
      <c r="I194" s="390">
        <f>IF(H194,Wh_hp,'2025'!Maxi_hp)</f>
        <v>58.289451559149803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6.2754855380002472E-2</v>
      </c>
      <c r="M194" s="959"/>
      <c r="N194" s="959"/>
      <c r="O194" s="48">
        <f>IF(t&lt;Tnet,'2025'!Resal+('2025'!Salim-'2025'!Resal)*(1-EXP(('2025'!Tnet-t)/('2025'!Tau_j))),Resal+(Salim-Resal)*(1-EXP((Tnet-t)/(Tau_j))))*Salcycl</f>
        <v>1.6856790399568063E-2</v>
      </c>
      <c r="P194" s="169">
        <f>(INDEX(Models!$BJ194:$BT194,,T194)*(1-R194)+INDEX(Models!$BJ194:$BT194,,T194+1)*R194-ERP_i)*Q194*Ramure*Pc/MaxiM</f>
        <v>2.3771449256792978E-3</v>
      </c>
      <c r="Q194" s="305">
        <f t="shared" si="53"/>
        <v>0.7</v>
      </c>
      <c r="R194" s="177">
        <f t="shared" si="54"/>
        <v>0.81787315767014146</v>
      </c>
      <c r="S194" s="921">
        <f t="shared" si="55"/>
        <v>-2</v>
      </c>
      <c r="T194" s="176">
        <f t="shared" si="56"/>
        <v>4</v>
      </c>
      <c r="U194" s="251">
        <f t="shared" si="57"/>
        <v>-1.1821268423298585</v>
      </c>
      <c r="V194" s="383">
        <f t="shared" si="58"/>
        <v>53.104712770104349</v>
      </c>
      <c r="W194" s="402">
        <f t="shared" si="59"/>
        <v>53.582915754606454</v>
      </c>
      <c r="X194" s="157">
        <f t="shared" si="60"/>
        <v>46202</v>
      </c>
      <c r="Y194" s="385">
        <f t="shared" si="61"/>
        <v>49.195203685369293</v>
      </c>
      <c r="Z194" s="385">
        <f t="shared" si="62"/>
        <v>52.489152883598351</v>
      </c>
      <c r="AA194" s="386">
        <f t="shared" si="63"/>
        <v>57.689492119270604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9.014361272102675E-2</v>
      </c>
      <c r="AD194" s="231">
        <f>(INDEX(Models!$BJ194:$BT194,,AH194)*(1-AF194)+INDEX(Models!$BJ194:$BT194,,AH194+1)*AF194-ERP_i)*AE194*Ramure*Pc/MaxiM</f>
        <v>1.0292761791906557E-2</v>
      </c>
      <c r="AE194" s="305">
        <f t="shared" si="65"/>
        <v>0.7</v>
      </c>
      <c r="AF194" s="177">
        <f t="shared" si="66"/>
        <v>0.3428607240441206</v>
      </c>
      <c r="AG194" s="921">
        <f t="shared" si="74"/>
        <v>2</v>
      </c>
      <c r="AH194" s="176">
        <f t="shared" si="67"/>
        <v>8</v>
      </c>
      <c r="AI194" s="225">
        <f t="shared" si="68"/>
        <v>2.3428607240441206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12.20200069554029</v>
      </c>
      <c r="C195" s="955"/>
      <c r="D195" s="393">
        <f t="shared" si="50"/>
        <v>13.019291725936011</v>
      </c>
      <c r="E195" s="385">
        <f t="shared" si="75"/>
        <v>13.244432554618836</v>
      </c>
      <c r="F195" s="385">
        <f t="shared" si="51"/>
        <v>13.244432554618836</v>
      </c>
      <c r="G195" s="110">
        <f t="shared" si="76"/>
        <v>0.22961798183441379</v>
      </c>
      <c r="H195" s="414" t="b">
        <f>Wh_hp&gt;='2025'!Maxi_hp</f>
        <v>0</v>
      </c>
      <c r="I195" s="390">
        <f>IF(H195,Wh_hp,'2025'!Maxi_hp)</f>
        <v>51.899795502885659</v>
      </c>
      <c r="J195" s="85">
        <f>IF(H195,An,'2025'!An_max)</f>
        <v>2021</v>
      </c>
      <c r="K195" s="197">
        <f t="shared" si="52"/>
        <v>46203</v>
      </c>
      <c r="L195" s="147">
        <f>IF(t&lt;Tvie,1-EXP((T0-t)*PertePVj)+'2025'!Pspv,1-EXP((T0-t)*PertePVj)+Pspv)</f>
        <v>6.2775383454045874E-2</v>
      </c>
      <c r="M195" s="959"/>
      <c r="N195" s="959"/>
      <c r="O195" s="48">
        <f>IF(t&lt;Tnet,'2025'!Resal+('2025'!Salim-'2025'!Resal)*(1-EXP(('2025'!Tnet-t)/('2025'!Tau_j))),Resal+(Salim-Resal)*(1-EXP((Tnet-t)/(Tau_j))))*Salcycl</f>
        <v>1.6998903331974749E-2</v>
      </c>
      <c r="P195" s="169">
        <f>(INDEX(Models!$BJ195:$BT195,,T195)*(1-R195)+INDEX(Models!$BJ195:$BT195,,T195+1)*R195-ERP_i)*Q195*Ramure*Pc/MaxiM</f>
        <v>2.3794130665794767E-3</v>
      </c>
      <c r="Q195" s="305">
        <f t="shared" si="53"/>
        <v>0.7</v>
      </c>
      <c r="R195" s="177">
        <f t="shared" si="54"/>
        <v>0.82227375791569712</v>
      </c>
      <c r="S195" s="921">
        <f t="shared" si="55"/>
        <v>-2</v>
      </c>
      <c r="T195" s="176">
        <f t="shared" si="56"/>
        <v>4</v>
      </c>
      <c r="U195" s="251">
        <f t="shared" si="57"/>
        <v>-1.1777262420843029</v>
      </c>
      <c r="V195" s="383">
        <f t="shared" si="58"/>
        <v>53.013997416044262</v>
      </c>
      <c r="W195" s="402">
        <f t="shared" si="59"/>
        <v>12.20200069554029</v>
      </c>
      <c r="X195" s="157">
        <f t="shared" si="60"/>
        <v>46203</v>
      </c>
      <c r="Y195" s="385">
        <f t="shared" si="61"/>
        <v>11.292873687361999</v>
      </c>
      <c r="Z195" s="385">
        <f t="shared" si="62"/>
        <v>12.049271314469667</v>
      </c>
      <c r="AA195" s="386">
        <f t="shared" si="63"/>
        <v>13.244432554618836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9.0238765248751254E-2</v>
      </c>
      <c r="AD195" s="231">
        <f>(INDEX(Models!$BJ195:$BT195,,AH195)*(1-AF195)+INDEX(Models!$BJ195:$BT195,,AH195+1)*AF195-ERP_i)*AE195*Ramure*Pc/MaxiM</f>
        <v>1.0281264005719883E-2</v>
      </c>
      <c r="AE195" s="305">
        <f t="shared" si="65"/>
        <v>0.7</v>
      </c>
      <c r="AF195" s="177">
        <f t="shared" si="66"/>
        <v>0.34726132428967649</v>
      </c>
      <c r="AG195" s="921">
        <f t="shared" si="74"/>
        <v>2</v>
      </c>
      <c r="AH195" s="176">
        <f t="shared" si="67"/>
        <v>8</v>
      </c>
      <c r="AI195" s="225">
        <f t="shared" si="68"/>
        <v>2.3472613242896765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45.666881020151195</v>
      </c>
      <c r="C196" s="955"/>
      <c r="D196" s="393">
        <f t="shared" si="50"/>
        <v>48.726719782776009</v>
      </c>
      <c r="E196" s="385">
        <f t="shared" si="75"/>
        <v>49.576495520273262</v>
      </c>
      <c r="F196" s="385">
        <f t="shared" si="51"/>
        <v>49.671500960279019</v>
      </c>
      <c r="G196" s="110">
        <f t="shared" si="76"/>
        <v>0.86249714408117795</v>
      </c>
      <c r="H196" s="414" t="b">
        <f>Wh_hp&gt;='2025'!Maxi_hp</f>
        <v>0</v>
      </c>
      <c r="I196" s="390">
        <f>IF(H196,Wh_hp,'2025'!Maxi_hp)</f>
        <v>55.368807466601659</v>
      </c>
      <c r="J196" s="85">
        <f>IF(H196,An,'2025'!An_max)</f>
        <v>2021</v>
      </c>
      <c r="K196" s="197">
        <f t="shared" si="52"/>
        <v>46204</v>
      </c>
      <c r="L196" s="147">
        <f>IF(t&lt;Tvie,1-EXP((T0-t)*PertePVj)+'2025'!Pspv,1-EXP((T0-t)*PertePVj)+Pspv)</f>
        <v>6.2795911078471822E-2</v>
      </c>
      <c r="M196" s="959"/>
      <c r="N196" s="959"/>
      <c r="O196" s="48">
        <f>IF(t&lt;Tnet,'2025'!Resal+('2025'!Salim-'2025'!Resal)*(1-EXP(('2025'!Tnet-t)/('2025'!Tau_j))),Resal+(Salim-Resal)*(1-EXP((Tnet-t)/(Tau_j))))*Salcycl</f>
        <v>1.7140697997698417E-2</v>
      </c>
      <c r="P196" s="169">
        <f>(INDEX(Models!$BJ196:$BT196,,T196)*(1-R196)+INDEX(Models!$BJ196:$BT196,,T196+1)*R196-ERP_i)*Q196*Ramure*Pc/MaxiM</f>
        <v>2.378526860360373E-3</v>
      </c>
      <c r="Q196" s="305">
        <f t="shared" si="53"/>
        <v>0.7</v>
      </c>
      <c r="R196" s="177">
        <f t="shared" si="54"/>
        <v>0.82660452543664009</v>
      </c>
      <c r="S196" s="921">
        <f t="shared" si="55"/>
        <v>-2</v>
      </c>
      <c r="T196" s="176">
        <f t="shared" si="56"/>
        <v>4</v>
      </c>
      <c r="U196" s="251">
        <f t="shared" si="57"/>
        <v>-1.1733954745633599</v>
      </c>
      <c r="V196" s="383">
        <f t="shared" si="58"/>
        <v>52.922570892481922</v>
      </c>
      <c r="W196" s="402">
        <f t="shared" si="59"/>
        <v>45.666881020151195</v>
      </c>
      <c r="X196" s="157">
        <f t="shared" si="60"/>
        <v>46204</v>
      </c>
      <c r="Y196" s="385">
        <f t="shared" si="61"/>
        <v>41.997769442878308</v>
      </c>
      <c r="Z196" s="385">
        <f t="shared" si="62"/>
        <v>44.811765056644745</v>
      </c>
      <c r="AA196" s="386">
        <f t="shared" si="63"/>
        <v>49.261696335854843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9.0332481627743724E-2</v>
      </c>
      <c r="AD196" s="231">
        <f>(INDEX(Models!$BJ196:$BT196,,AH196)*(1-AF196)+INDEX(Models!$BJ196:$BT196,,AH196+1)*AF196-ERP_i)*AE196*Ramure*Pc/MaxiM</f>
        <v>1.0259742038284777E-2</v>
      </c>
      <c r="AE196" s="305">
        <f t="shared" si="65"/>
        <v>0.7</v>
      </c>
      <c r="AF196" s="177">
        <f t="shared" si="66"/>
        <v>0.35159209181061923</v>
      </c>
      <c r="AG196" s="921">
        <f t="shared" si="74"/>
        <v>2</v>
      </c>
      <c r="AH196" s="176">
        <f t="shared" si="67"/>
        <v>8</v>
      </c>
      <c r="AI196" s="225">
        <f t="shared" si="68"/>
        <v>2.3515920918106192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52.557237662372778</v>
      </c>
      <c r="C197" s="955"/>
      <c r="D197" s="393">
        <f t="shared" si="50"/>
        <v>56.079982414989566</v>
      </c>
      <c r="E197" s="385">
        <f t="shared" si="75"/>
        <v>57.066210559452514</v>
      </c>
      <c r="F197" s="385">
        <f t="shared" si="51"/>
        <v>57.201027001476916</v>
      </c>
      <c r="G197" s="110">
        <f t="shared" si="76"/>
        <v>0.99481128275798658</v>
      </c>
      <c r="H197" s="414" t="b">
        <f>Wh_hp&gt;='2025'!Maxi_hp</f>
        <v>0</v>
      </c>
      <c r="I197" s="390">
        <f>IF(H197,Wh_hp,'2025'!Maxi_hp)</f>
        <v>57.201632842646234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6.2816438253290086E-2</v>
      </c>
      <c r="M197" s="959"/>
      <c r="N197" s="959"/>
      <c r="O197" s="48">
        <f>IF(t&lt;Tnet,'2025'!Resal+('2025'!Salim-'2025'!Resal)*(1-EXP(('2025'!Tnet-t)/('2025'!Tau_j))),Resal+(Salim-Resal)*(1-EXP((Tnet-t)/(Tau_j))))*Salcycl</f>
        <v>1.7282173370097523E-2</v>
      </c>
      <c r="P197" s="169">
        <f>(INDEX(Models!$BJ197:$BT197,,T197)*(1-R197)+INDEX(Models!$BJ197:$BT197,,T197+1)*R197-ERP_i)*Q197*Ramure*Pc/MaxiM</f>
        <v>2.3744295032607052E-3</v>
      </c>
      <c r="Q197" s="305">
        <f t="shared" si="53"/>
        <v>0.7</v>
      </c>
      <c r="R197" s="177">
        <f t="shared" si="54"/>
        <v>0.8308635407443008</v>
      </c>
      <c r="S197" s="921">
        <f t="shared" si="55"/>
        <v>-2</v>
      </c>
      <c r="T197" s="176">
        <f t="shared" si="56"/>
        <v>4</v>
      </c>
      <c r="U197" s="251">
        <f t="shared" si="57"/>
        <v>-1.1691364592556992</v>
      </c>
      <c r="V197" s="383">
        <f t="shared" si="58"/>
        <v>52.830435770066359</v>
      </c>
      <c r="W197" s="402">
        <f t="shared" si="59"/>
        <v>52.557237662372778</v>
      </c>
      <c r="X197" s="157">
        <f t="shared" si="60"/>
        <v>46205</v>
      </c>
      <c r="Y197" s="385">
        <f t="shared" si="61"/>
        <v>48.26533863019727</v>
      </c>
      <c r="Z197" s="385">
        <f t="shared" si="62"/>
        <v>51.500411018990761</v>
      </c>
      <c r="AA197" s="386">
        <f t="shared" si="63"/>
        <v>56.620288536932087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9.042478677235545E-2</v>
      </c>
      <c r="AD197" s="231">
        <f>(INDEX(Models!$BJ197:$BT197,,AH197)*(1-AF197)+INDEX(Models!$BJ197:$BT197,,AH197+1)*AF197-ERP_i)*AE197*Ramure*Pc/MaxiM</f>
        <v>1.0228148163441272E-2</v>
      </c>
      <c r="AE197" s="305">
        <f t="shared" si="65"/>
        <v>0.7</v>
      </c>
      <c r="AF197" s="177">
        <f t="shared" si="66"/>
        <v>0.35585110711827994</v>
      </c>
      <c r="AG197" s="921">
        <f t="shared" si="74"/>
        <v>2</v>
      </c>
      <c r="AH197" s="176">
        <f t="shared" si="67"/>
        <v>8</v>
      </c>
      <c r="AI197" s="225">
        <f t="shared" si="68"/>
        <v>2.3558511071182799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45.454977814728487</v>
      </c>
      <c r="C198" s="955"/>
      <c r="D198" s="393">
        <f t="shared" si="50"/>
        <v>48.50274297650482</v>
      </c>
      <c r="E198" s="385">
        <f t="shared" si="75"/>
        <v>49.362807419256313</v>
      </c>
      <c r="F198" s="385">
        <f t="shared" si="51"/>
        <v>49.45674895844337</v>
      </c>
      <c r="G198" s="110">
        <f t="shared" si="76"/>
        <v>0.86150464793297832</v>
      </c>
      <c r="H198" s="414" t="b">
        <f>Wh_hp&gt;='2025'!Maxi_hp</f>
        <v>0</v>
      </c>
      <c r="I198" s="390">
        <f>IF(H198,Wh_hp,'2025'!Maxi_hp)</f>
        <v>49.470616501651506</v>
      </c>
      <c r="J198" s="85">
        <f>IF(H198,An,'2025'!An_max)</f>
        <v>2025</v>
      </c>
      <c r="K198" s="197">
        <f t="shared" si="52"/>
        <v>46206</v>
      </c>
      <c r="L198" s="147">
        <f>IF(t&lt;Tvie,1-EXP((T0-t)*PertePVj)+'2025'!Pspv,1-EXP((T0-t)*PertePVj)+Pspv)</f>
        <v>6.2836964978510546E-2</v>
      </c>
      <c r="M198" s="959"/>
      <c r="N198" s="959"/>
      <c r="O198" s="48">
        <f>IF(t&lt;Tnet,'2025'!Resal+('2025'!Salim-'2025'!Resal)*(1-EXP(('2025'!Tnet-t)/('2025'!Tau_j))),Resal+(Salim-Resal)*(1-EXP((Tnet-t)/(Tau_j))))*Salcycl</f>
        <v>1.742332917669473E-2</v>
      </c>
      <c r="P198" s="169">
        <f>(INDEX(Models!$BJ198:$BT198,,T198)*(1-R198)+INDEX(Models!$BJ198:$BT198,,T198+1)*R198-ERP_i)*Q198*Ramure*Pc/MaxiM</f>
        <v>2.3662744768120042E-3</v>
      </c>
      <c r="Q198" s="305">
        <f t="shared" si="53"/>
        <v>0.7</v>
      </c>
      <c r="R198" s="177">
        <f t="shared" si="54"/>
        <v>0.83504906651159727</v>
      </c>
      <c r="S198" s="921">
        <f t="shared" si="55"/>
        <v>-2</v>
      </c>
      <c r="T198" s="176">
        <f t="shared" si="56"/>
        <v>4</v>
      </c>
      <c r="U198" s="251">
        <f t="shared" si="57"/>
        <v>-1.1649509334884027</v>
      </c>
      <c r="V198" s="383">
        <f t="shared" si="58"/>
        <v>52.737636285287365</v>
      </c>
      <c r="W198" s="402">
        <f t="shared" si="59"/>
        <v>45.454977814728487</v>
      </c>
      <c r="X198" s="157">
        <f t="shared" si="60"/>
        <v>46206</v>
      </c>
      <c r="Y198" s="385">
        <f t="shared" si="61"/>
        <v>41.809123466052</v>
      </c>
      <c r="Z198" s="385">
        <f t="shared" si="62"/>
        <v>44.612433379954325</v>
      </c>
      <c r="AA198" s="386">
        <f t="shared" si="63"/>
        <v>49.052450718127538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9.0515708658209584E-2</v>
      </c>
      <c r="AD198" s="231">
        <f>(INDEX(Models!$BJ198:$BT198,,AH198)*(1-AF198)+INDEX(Models!$BJ198:$BT198,,AH198+1)*AF198-ERP_i)*AE198*Ramure*Pc/MaxiM</f>
        <v>1.0183786803560671E-2</v>
      </c>
      <c r="AE198" s="305">
        <f t="shared" si="65"/>
        <v>0.7</v>
      </c>
      <c r="AF198" s="177">
        <f t="shared" si="66"/>
        <v>0.36003663288557641</v>
      </c>
      <c r="AG198" s="921">
        <f t="shared" si="74"/>
        <v>2</v>
      </c>
      <c r="AH198" s="176">
        <f t="shared" si="67"/>
        <v>8</v>
      </c>
      <c r="AI198" s="225">
        <f t="shared" si="68"/>
        <v>2.3600366328855764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43.347679974049342</v>
      </c>
      <c r="C199" s="955"/>
      <c r="D199" s="393">
        <f t="shared" si="50"/>
        <v>46.25516350982727</v>
      </c>
      <c r="E199" s="385">
        <f t="shared" si="75"/>
        <v>47.08212170519095</v>
      </c>
      <c r="F199" s="385">
        <f t="shared" si="51"/>
        <v>47.165179682942842</v>
      </c>
      <c r="G199" s="110">
        <f t="shared" si="76"/>
        <v>0.82291971778391471</v>
      </c>
      <c r="H199" s="414" t="b">
        <f>Wh_hp&gt;='2025'!Maxi_hp</f>
        <v>0</v>
      </c>
      <c r="I199" s="390">
        <f>IF(H199,Wh_hp,'2025'!Maxi_hp)</f>
        <v>55.745011407918014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6.2857491254143083E-2</v>
      </c>
      <c r="M199" s="959"/>
      <c r="N199" s="959"/>
      <c r="O199" s="48">
        <f>IF(t&lt;Tnet,'2025'!Resal+('2025'!Salim-'2025'!Resal)*(1-EXP(('2025'!Tnet-t)/('2025'!Tau_j))),Resal+(Salim-Resal)*(1-EXP((Tnet-t)/(Tau_j))))*Salcycl</f>
        <v>1.756416587471896E-2</v>
      </c>
      <c r="P199" s="169">
        <f>(INDEX(Models!$BJ199:$BT199,,T199)*(1-R199)+INDEX(Models!$BJ199:$BT199,,T199+1)*R199-ERP_i)*Q199*Ramure*Pc/MaxiM</f>
        <v>2.3551363333172396E-3</v>
      </c>
      <c r="Q199" s="305">
        <f t="shared" si="53"/>
        <v>0.7</v>
      </c>
      <c r="R199" s="177">
        <f t="shared" si="54"/>
        <v>0.83915954673555415</v>
      </c>
      <c r="S199" s="921">
        <f t="shared" si="55"/>
        <v>-2</v>
      </c>
      <c r="T199" s="176">
        <f t="shared" si="56"/>
        <v>4</v>
      </c>
      <c r="U199" s="251">
        <f t="shared" si="57"/>
        <v>-1.1608404532644458</v>
      </c>
      <c r="V199" s="383">
        <f t="shared" si="58"/>
        <v>52.644114925511502</v>
      </c>
      <c r="W199" s="402">
        <f t="shared" si="59"/>
        <v>43.347679974049342</v>
      </c>
      <c r="X199" s="157">
        <f t="shared" si="60"/>
        <v>46207</v>
      </c>
      <c r="Y199" s="385">
        <f t="shared" si="61"/>
        <v>39.891251971740999</v>
      </c>
      <c r="Z199" s="385">
        <f t="shared" si="62"/>
        <v>42.566900550830823</v>
      </c>
      <c r="AA199" s="386">
        <f t="shared" si="63"/>
        <v>46.807947666105719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9.0605278093529751E-2</v>
      </c>
      <c r="AD199" s="231">
        <f>(INDEX(Models!$BJ199:$BT199,,AH199)*(1-AF199)+INDEX(Models!$BJ199:$BT199,,AH199+1)*AF199-ERP_i)*AE199*Ramure*Pc/MaxiM</f>
        <v>1.012943157357447E-2</v>
      </c>
      <c r="AE199" s="305">
        <f t="shared" si="65"/>
        <v>0.7</v>
      </c>
      <c r="AF199" s="177">
        <f t="shared" si="66"/>
        <v>0.36414711310953329</v>
      </c>
      <c r="AG199" s="921">
        <f t="shared" si="74"/>
        <v>2</v>
      </c>
      <c r="AH199" s="176">
        <f t="shared" si="67"/>
        <v>8</v>
      </c>
      <c r="AI199" s="225">
        <f t="shared" si="68"/>
        <v>2.3641471131095333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52.782481584370771</v>
      </c>
      <c r="C200" s="955"/>
      <c r="D200" s="393">
        <f t="shared" si="50"/>
        <v>56.324024562859726</v>
      </c>
      <c r="E200" s="385">
        <f t="shared" si="75"/>
        <v>57.339196961554066</v>
      </c>
      <c r="F200" s="385">
        <f t="shared" si="51"/>
        <v>57.47374171282457</v>
      </c>
      <c r="G200" s="110">
        <f t="shared" si="76"/>
        <v>1.0044264330036197</v>
      </c>
      <c r="H200" s="414" t="b">
        <f>Wh_hp&gt;='2025'!Maxi_hp</f>
        <v>0</v>
      </c>
      <c r="I200" s="390">
        <f>IF(H200,Wh_hp,'2025'!Maxi_hp)</f>
        <v>58.767865102105034</v>
      </c>
      <c r="J200" s="85">
        <f>IF(H200,An,'2025'!An_max)</f>
        <v>2021</v>
      </c>
      <c r="K200" s="197">
        <f t="shared" si="52"/>
        <v>46208</v>
      </c>
      <c r="L200" s="147">
        <f>IF(t&lt;Tvie,1-EXP((T0-t)*PertePVj)+'2025'!Pspv,1-EXP((T0-t)*PertePVj)+Pspv)</f>
        <v>6.2878017080197468E-2</v>
      </c>
      <c r="M200" s="959"/>
      <c r="N200" s="959"/>
      <c r="O200" s="48">
        <f>IF(t&lt;Tnet,'2025'!Resal+('2025'!Salim-'2025'!Resal)*(1-EXP(('2025'!Tnet-t)/('2025'!Tau_j))),Resal+(Salim-Resal)*(1-EXP((Tnet-t)/(Tau_j))))*Salcycl</f>
        <v>1.7704684622196779E-2</v>
      </c>
      <c r="P200" s="169">
        <f>(INDEX(Models!$BJ200:$BT200,,T200)*(1-R200)+INDEX(Models!$BJ200:$BT200,,T200+1)*R200-ERP_i)*Q200*Ramure*Pc/MaxiM</f>
        <v>2.3409777623801557E-3</v>
      </c>
      <c r="Q200" s="305">
        <f t="shared" si="53"/>
        <v>0.7</v>
      </c>
      <c r="R200" s="177">
        <f t="shared" si="54"/>
        <v>0.84319360509552821</v>
      </c>
      <c r="S200" s="921">
        <f t="shared" si="55"/>
        <v>-2</v>
      </c>
      <c r="T200" s="176">
        <f t="shared" si="56"/>
        <v>4</v>
      </c>
      <c r="U200" s="251">
        <f t="shared" si="57"/>
        <v>-1.1568063949044718</v>
      </c>
      <c r="V200" s="383">
        <f t="shared" si="58"/>
        <v>52.549873091781294</v>
      </c>
      <c r="W200" s="402">
        <f t="shared" si="59"/>
        <v>52.782481584370771</v>
      </c>
      <c r="X200" s="157">
        <f t="shared" si="60"/>
        <v>46208</v>
      </c>
      <c r="Y200" s="385">
        <f t="shared" si="61"/>
        <v>48.48222379369841</v>
      </c>
      <c r="Z200" s="385">
        <f t="shared" si="62"/>
        <v>51.735232634967915</v>
      </c>
      <c r="AA200" s="386">
        <f t="shared" si="63"/>
        <v>56.895264968666332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9.0693528477988034E-2</v>
      </c>
      <c r="AD200" s="231">
        <f>(INDEX(Models!$BJ200:$BT200,,AH200)*(1-AF200)+INDEX(Models!$BJ200:$BT200,,AH200+1)*AF200-ERP_i)*AE200*Ramure*Pc/MaxiM</f>
        <v>1.0065061485794198E-2</v>
      </c>
      <c r="AE200" s="305">
        <f t="shared" si="65"/>
        <v>0.7</v>
      </c>
      <c r="AF200" s="177">
        <f t="shared" si="66"/>
        <v>0.36818117146950735</v>
      </c>
      <c r="AG200" s="921">
        <f t="shared" si="74"/>
        <v>2</v>
      </c>
      <c r="AH200" s="176">
        <f t="shared" si="67"/>
        <v>8</v>
      </c>
      <c r="AI200" s="225">
        <f t="shared" si="68"/>
        <v>2.3681811714695074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43.239043130117714</v>
      </c>
      <c r="C201" s="955"/>
      <c r="D201" s="393">
        <f t="shared" si="50"/>
        <v>46.141261207161278</v>
      </c>
      <c r="E201" s="385">
        <f t="shared" si="75"/>
        <v>46.979606996827343</v>
      </c>
      <c r="F201" s="385">
        <f t="shared" si="51"/>
        <v>47.061518925579634</v>
      </c>
      <c r="G201" s="110">
        <f t="shared" si="76"/>
        <v>0.8238271496946814</v>
      </c>
      <c r="H201" s="414" t="b">
        <f>Wh_hp&gt;='2025'!Maxi_hp</f>
        <v>0</v>
      </c>
      <c r="I201" s="390">
        <f>IF(H201,Wh_hp,'2025'!Maxi_hp)</f>
        <v>56.315415913154332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6.2898542456683582E-2</v>
      </c>
      <c r="M201" s="959"/>
      <c r="N201" s="959"/>
      <c r="O201" s="48">
        <f>IF(t&lt;Tnet,'2025'!Resal+('2025'!Salim-'2025'!Resal)*(1-EXP(('2025'!Tnet-t)/('2025'!Tau_j))),Resal+(Salim-Resal)*(1-EXP((Tnet-t)/(Tau_j))))*Salcycl</f>
        <v>1.7844887244856649E-2</v>
      </c>
      <c r="P201" s="169">
        <f>(INDEX(Models!$BJ201:$BT201,,T201)*(1-R201)+INDEX(Models!$BJ201:$BT201,,T201+1)*R201-ERP_i)*Q201*Ramure*Pc/MaxiM</f>
        <v>2.3237646620122079E-3</v>
      </c>
      <c r="Q201" s="305">
        <f t="shared" si="53"/>
        <v>0.7</v>
      </c>
      <c r="R201" s="177">
        <f t="shared" si="54"/>
        <v>0.84715004255665427</v>
      </c>
      <c r="S201" s="921">
        <f t="shared" si="55"/>
        <v>-2</v>
      </c>
      <c r="T201" s="176">
        <f t="shared" si="56"/>
        <v>4</v>
      </c>
      <c r="U201" s="251">
        <f t="shared" si="57"/>
        <v>-1.1528499574433457</v>
      </c>
      <c r="V201" s="383">
        <f t="shared" si="58"/>
        <v>52.454911949786599</v>
      </c>
      <c r="W201" s="402">
        <f t="shared" si="59"/>
        <v>43.239043130117714</v>
      </c>
      <c r="X201" s="157">
        <f t="shared" si="60"/>
        <v>46209</v>
      </c>
      <c r="Y201" s="385">
        <f t="shared" si="61"/>
        <v>39.797811813412778</v>
      </c>
      <c r="Z201" s="385">
        <f t="shared" si="62"/>
        <v>42.469053369894233</v>
      </c>
      <c r="AA201" s="386">
        <f t="shared" si="63"/>
        <v>46.709351440527811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9.078049555092825E-2</v>
      </c>
      <c r="AD201" s="231">
        <f>(INDEX(Models!$BJ201:$BT201,,AH201)*(1-AF201)+INDEX(Models!$BJ201:$BT201,,AH201+1)*AF201-ERP_i)*AE201*Ramure*Pc/MaxiM</f>
        <v>9.9906615475740101E-3</v>
      </c>
      <c r="AE201" s="305">
        <f t="shared" si="65"/>
        <v>0.7</v>
      </c>
      <c r="AF201" s="177">
        <f t="shared" si="66"/>
        <v>0.37213760893063341</v>
      </c>
      <c r="AG201" s="921">
        <f t="shared" si="74"/>
        <v>2</v>
      </c>
      <c r="AH201" s="176">
        <f t="shared" si="67"/>
        <v>8</v>
      </c>
      <c r="AI201" s="225">
        <f t="shared" si="68"/>
        <v>2.3721376089306334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51.075968009993957</v>
      </c>
      <c r="C202" s="955"/>
      <c r="D202" s="393">
        <f t="shared" si="50"/>
        <v>54.505396740265162</v>
      </c>
      <c r="E202" s="385">
        <f t="shared" si="75"/>
        <v>55.503616867877021</v>
      </c>
      <c r="F202" s="385">
        <f t="shared" si="51"/>
        <v>55.627266020611074</v>
      </c>
      <c r="G202" s="110">
        <f t="shared" si="76"/>
        <v>0.9754123036971305</v>
      </c>
      <c r="H202" s="414" t="b">
        <f>Wh_hp&gt;='2025'!Maxi_hp</f>
        <v>0</v>
      </c>
      <c r="I202" s="390">
        <f>IF(H202,Wh_hp,'2025'!Maxi_hp)</f>
        <v>56.989181729783134</v>
      </c>
      <c r="J202" s="85">
        <f>IF(H202,An,'2025'!An_max)</f>
        <v>2018</v>
      </c>
      <c r="K202" s="197">
        <f t="shared" si="52"/>
        <v>46210</v>
      </c>
      <c r="L202" s="147">
        <f>IF(t&lt;Tvie,1-EXP((T0-t)*PertePVj)+'2025'!Pspv,1-EXP((T0-t)*PertePVj)+Pspv)</f>
        <v>6.2919067383611194E-2</v>
      </c>
      <c r="M202" s="959"/>
      <c r="N202" s="959"/>
      <c r="O202" s="48">
        <f>IF(t&lt;Tnet,'2025'!Resal+('2025'!Salim-'2025'!Resal)*(1-EXP(('2025'!Tnet-t)/('2025'!Tau_j))),Resal+(Salim-Resal)*(1-EXP((Tnet-t)/(Tau_j))))*Salcycl</f>
        <v>1.7984776199145038E-2</v>
      </c>
      <c r="P202" s="169">
        <f>(INDEX(Models!$BJ202:$BT202,,T202)*(1-R202)+INDEX(Models!$BJ202:$BT202,,T202+1)*R202-ERP_i)*Q202*Ramure*Pc/MaxiM</f>
        <v>2.3034659876813805E-3</v>
      </c>
      <c r="Q202" s="305">
        <f t="shared" si="53"/>
        <v>0.7</v>
      </c>
      <c r="R202" s="177">
        <f t="shared" si="54"/>
        <v>0.85102783427169371</v>
      </c>
      <c r="S202" s="921">
        <f t="shared" si="55"/>
        <v>-2</v>
      </c>
      <c r="T202" s="176">
        <f t="shared" si="56"/>
        <v>4</v>
      </c>
      <c r="U202" s="251">
        <f t="shared" si="57"/>
        <v>-1.1489721657283063</v>
      </c>
      <c r="V202" s="383">
        <f t="shared" si="58"/>
        <v>52.359232440633946</v>
      </c>
      <c r="W202" s="402">
        <f t="shared" si="59"/>
        <v>51.075968009993957</v>
      </c>
      <c r="X202" s="157">
        <f t="shared" si="60"/>
        <v>46210</v>
      </c>
      <c r="Y202" s="385">
        <f t="shared" si="61"/>
        <v>46.9376191408914</v>
      </c>
      <c r="Z202" s="385">
        <f t="shared" si="62"/>
        <v>50.089183876400753</v>
      </c>
      <c r="AA202" s="386">
        <f t="shared" si="63"/>
        <v>55.095503896385623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9.0866217130891686E-2</v>
      </c>
      <c r="AD202" s="231">
        <f>(INDEX(Models!$BJ202:$BT202,,AH202)*(1-AF202)+INDEX(Models!$BJ202:$BT202,,AH202+1)*AF202-ERP_i)*AE202*Ramure*Pc/MaxiM</f>
        <v>9.9062220775992717E-3</v>
      </c>
      <c r="AE202" s="305">
        <f t="shared" si="65"/>
        <v>0.7</v>
      </c>
      <c r="AF202" s="177">
        <f t="shared" si="66"/>
        <v>0.37601540064567285</v>
      </c>
      <c r="AG202" s="921">
        <f t="shared" si="74"/>
        <v>2</v>
      </c>
      <c r="AH202" s="176">
        <f t="shared" si="67"/>
        <v>8</v>
      </c>
      <c r="AI202" s="225">
        <f t="shared" si="68"/>
        <v>2.3760154006456728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53.529713623712205</v>
      </c>
      <c r="C203" s="955"/>
      <c r="D203" s="393">
        <f t="shared" si="50"/>
        <v>57.125147064981164</v>
      </c>
      <c r="E203" s="385">
        <f t="shared" si="75"/>
        <v>58.179615034381243</v>
      </c>
      <c r="F203" s="385">
        <f t="shared" si="51"/>
        <v>58.312570820398363</v>
      </c>
      <c r="G203" s="110">
        <f t="shared" si="76"/>
        <v>1.0242405204973573</v>
      </c>
      <c r="H203" s="414" t="b">
        <f>Wh_hp&gt;='2025'!Maxi_hp</f>
        <v>0</v>
      </c>
      <c r="I203" s="390">
        <f>IF(H203,Wh_hp,'2025'!Maxi_hp)</f>
        <v>59.606340921073496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6.2939591860990296E-2</v>
      </c>
      <c r="M203" s="959"/>
      <c r="N203" s="959"/>
      <c r="O203" s="48">
        <f>IF(t&lt;Tnet,'2025'!Resal+('2025'!Salim-'2025'!Resal)*(1-EXP(('2025'!Tnet-t)/('2025'!Tau_j))),Resal+(Salim-Resal)*(1-EXP((Tnet-t)/(Tau_j))))*Salcycl</f>
        <v>1.8124354531685091E-2</v>
      </c>
      <c r="P203" s="169">
        <f>(INDEX(Models!$BJ203:$BT203,,T203)*(1-R203)+INDEX(Models!$BJ203:$BT203,,T203+1)*R203-ERP_i)*Q203*Ramure*Pc/MaxiM</f>
        <v>2.2800535827278263E-3</v>
      </c>
      <c r="Q203" s="305">
        <f t="shared" si="53"/>
        <v>0.7</v>
      </c>
      <c r="R203" s="177">
        <f t="shared" si="54"/>
        <v>0.85482612583729622</v>
      </c>
      <c r="S203" s="921">
        <f t="shared" si="55"/>
        <v>-2</v>
      </c>
      <c r="T203" s="176">
        <f t="shared" si="56"/>
        <v>4</v>
      </c>
      <c r="U203" s="251">
        <f t="shared" si="57"/>
        <v>-1.1451738741627038</v>
      </c>
      <c r="V203" s="383">
        <f t="shared" si="58"/>
        <v>52.262835293529399</v>
      </c>
      <c r="W203" s="402">
        <f t="shared" si="59"/>
        <v>53.529713623712205</v>
      </c>
      <c r="X203" s="157">
        <f t="shared" si="60"/>
        <v>46211</v>
      </c>
      <c r="Y203" s="385">
        <f t="shared" si="61"/>
        <v>49.185260079485325</v>
      </c>
      <c r="Z203" s="385">
        <f t="shared" si="62"/>
        <v>52.488889352572947</v>
      </c>
      <c r="AA203" s="386">
        <f t="shared" si="63"/>
        <v>57.740423153348203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9.0950732848426197E-2</v>
      </c>
      <c r="AD203" s="231">
        <f>(INDEX(Models!$BJ203:$BT203,,AH203)*(1-AF203)+INDEX(Models!$BJ203:$BT203,,AH203+1)*AF203-ERP_i)*AE203*Ramure*Pc/MaxiM</f>
        <v>9.8117380009255101E-3</v>
      </c>
      <c r="AE203" s="305">
        <f t="shared" si="65"/>
        <v>0.7</v>
      </c>
      <c r="AF203" s="177">
        <f t="shared" si="66"/>
        <v>0.37981369221127537</v>
      </c>
      <c r="AG203" s="921">
        <f t="shared" si="74"/>
        <v>2</v>
      </c>
      <c r="AH203" s="176">
        <f t="shared" si="67"/>
        <v>8</v>
      </c>
      <c r="AI203" s="225">
        <f t="shared" si="68"/>
        <v>2.3798136922112754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52.921490149576883</v>
      </c>
      <c r="C204" s="955"/>
      <c r="D204" s="393">
        <f t="shared" si="50"/>
        <v>56.477308006772468</v>
      </c>
      <c r="E204" s="385">
        <f t="shared" si="75"/>
        <v>57.527977462217692</v>
      </c>
      <c r="F204" s="385">
        <f t="shared" si="51"/>
        <v>57.657909676559221</v>
      </c>
      <c r="G204" s="110">
        <f t="shared" si="76"/>
        <v>1.0144878493958986</v>
      </c>
      <c r="H204" s="414" t="b">
        <f>Wh_hp&gt;='2025'!Maxi_hp</f>
        <v>1</v>
      </c>
      <c r="I204" s="390">
        <f>IF(H204,Wh_hp,'2025'!Maxi_hp)</f>
        <v>57.657909676559221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6.296011588883077E-2</v>
      </c>
      <c r="M204" s="959"/>
      <c r="N204" s="959"/>
      <c r="O204" s="48">
        <f>IF(t&lt;Tnet,'2025'!Resal+('2025'!Salim-'2025'!Resal)*(1-EXP(('2025'!Tnet-t)/('2025'!Tau_j))),Resal+(Salim-Resal)*(1-EXP((Tnet-t)/(Tau_j))))*Salcycl</f>
        <v>1.826362583553828E-2</v>
      </c>
      <c r="P204" s="169">
        <f>(INDEX(Models!$BJ204:$BT204,,T204)*(1-R204)+INDEX(Models!$BJ204:$BT204,,T204+1)*R204-ERP_i)*Q204*Ramure*Pc/MaxiM</f>
        <v>2.2535019925350483E-3</v>
      </c>
      <c r="Q204" s="305">
        <f t="shared" si="53"/>
        <v>0.7</v>
      </c>
      <c r="R204" s="177">
        <f t="shared" si="54"/>
        <v>0.85854422896274829</v>
      </c>
      <c r="S204" s="921">
        <f t="shared" si="55"/>
        <v>-2</v>
      </c>
      <c r="T204" s="176">
        <f t="shared" si="56"/>
        <v>4</v>
      </c>
      <c r="U204" s="251">
        <f t="shared" si="57"/>
        <v>-1.1414557710372517</v>
      </c>
      <c r="V204" s="383">
        <f t="shared" si="58"/>
        <v>52.165721039527746</v>
      </c>
      <c r="W204" s="402">
        <f t="shared" si="59"/>
        <v>52.921490149576883</v>
      </c>
      <c r="X204" s="157">
        <f t="shared" si="60"/>
        <v>46212</v>
      </c>
      <c r="Y204" s="385">
        <f t="shared" si="61"/>
        <v>48.632678173254767</v>
      </c>
      <c r="Z204" s="385">
        <f t="shared" si="62"/>
        <v>51.900328895162637</v>
      </c>
      <c r="AA204" s="386">
        <f t="shared" si="63"/>
        <v>57.098212347028642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9.1034083874195121E-2</v>
      </c>
      <c r="AD204" s="231">
        <f>(INDEX(Models!$BJ204:$BT204,,AH204)*(1-AF204)+INDEX(Models!$BJ204:$BT204,,AH204+1)*AF204-ERP_i)*AE204*Ramure*Pc/MaxiM</f>
        <v>9.7072081292971651E-3</v>
      </c>
      <c r="AE204" s="305">
        <f t="shared" si="65"/>
        <v>0.7</v>
      </c>
      <c r="AF204" s="177">
        <f t="shared" si="66"/>
        <v>0.38353179533672765</v>
      </c>
      <c r="AG204" s="921">
        <f t="shared" si="74"/>
        <v>2</v>
      </c>
      <c r="AH204" s="176">
        <f t="shared" si="67"/>
        <v>8</v>
      </c>
      <c r="AI204" s="225">
        <f t="shared" si="68"/>
        <v>2.3835317953367277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52.572657068917508</v>
      </c>
      <c r="C205" s="955"/>
      <c r="D205" s="393">
        <f t="shared" si="50"/>
        <v>56.106265551461874</v>
      </c>
      <c r="E205" s="385">
        <f t="shared" si="75"/>
        <v>57.158123299994138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Wh_hp&gt;='2025'!Maxi_hp</f>
        <v>1</v>
      </c>
      <c r="I205" s="390">
        <f>IF(H205,Wh_hp,'2025'!Maxi_hp)</f>
        <v>57.285515204280557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6.2980639467142274E-2</v>
      </c>
      <c r="M205" s="959"/>
      <c r="N205" s="959"/>
      <c r="O205" s="48">
        <f>IF(t&lt;Tnet,'2025'!Resal+('2025'!Salim-'2025'!Resal)*(1-EXP(('2025'!Tnet-t)/('2025'!Tau_j))),Resal+(Salim-Resal)*(1-EXP((Tnet-t)/(Tau_j))))*Salcycl</f>
        <v>1.8402594203654879E-2</v>
      </c>
      <c r="P205" s="169">
        <f>(INDEX(Models!$BJ205:$BT205,,T205)*(1-R205)+INDEX(Models!$BJ205:$BT205,,T205+1)*R205-ERP_i)*Q205*Ramure*Pc/MaxiM</f>
        <v>2.2238065561973053E-3</v>
      </c>
      <c r="Q205" s="305">
        <f t="shared" si="53"/>
        <v>0.7</v>
      </c>
      <c r="R205" s="177">
        <f t="shared" si="54"/>
        <v>0.86218161661057691</v>
      </c>
      <c r="S205" s="921">
        <f t="shared" si="55"/>
        <v>-2</v>
      </c>
      <c r="T205" s="176">
        <f t="shared" si="56"/>
        <v>4</v>
      </c>
      <c r="U205" s="251">
        <f t="shared" si="57"/>
        <v>-1.1378183833894231</v>
      </c>
      <c r="V205" s="383">
        <f t="shared" si="58"/>
        <v>52.067460808073406</v>
      </c>
      <c r="W205" s="402">
        <f t="shared" si="59"/>
        <v>52.572657068917508</v>
      </c>
      <c r="X205" s="157">
        <f t="shared" si="60"/>
        <v>46213</v>
      </c>
      <c r="Y205" s="385">
        <f t="shared" si="61"/>
        <v>48.318731384668325</v>
      </c>
      <c r="Z205" s="385">
        <f t="shared" si="62"/>
        <v>51.566417322680252</v>
      </c>
      <c r="AA205" s="386">
        <f t="shared" si="63"/>
        <v>56.735991678664618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9.111631264441912E-2</v>
      </c>
      <c r="AD205" s="231">
        <f>(INDEX(Models!$BJ205:$BT205,,AH205)*(1-AF205)+INDEX(Models!$BJ205:$BT205,,AH205+1)*AF205-ERP_i)*AE205*Ramure*Pc/MaxiM</f>
        <v>9.5927133352354307E-3</v>
      </c>
      <c r="AE205" s="305">
        <f t="shared" si="65"/>
        <v>0.7</v>
      </c>
      <c r="AF205" s="177">
        <f t="shared" si="66"/>
        <v>0.38716918298455605</v>
      </c>
      <c r="AG205" s="921">
        <f t="shared" si="74"/>
        <v>2</v>
      </c>
      <c r="AH205" s="176">
        <f t="shared" si="67"/>
        <v>8</v>
      </c>
      <c r="AI205" s="225">
        <f t="shared" si="68"/>
        <v>2.387169182984556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51.319677276661984</v>
      </c>
      <c r="C206" s="955"/>
      <c r="D206" s="393">
        <f t="shared" si="50"/>
        <v>54.770267825349734</v>
      </c>
      <c r="E206" s="385">
        <f t="shared" si="75"/>
        <v>55.804962375300704</v>
      </c>
      <c r="F206" s="385">
        <f t="shared" si="51"/>
        <v>55.925310437210406</v>
      </c>
      <c r="G206" s="110">
        <f t="shared" si="76"/>
        <v>0.98749056671605007</v>
      </c>
      <c r="H206" s="414" t="b">
        <f>Wh_hp&gt;='2025'!Maxi_hp</f>
        <v>0</v>
      </c>
      <c r="I206" s="390">
        <f>IF(H206,Wh_hp,'2025'!Maxi_hp)</f>
        <v>56.244702289420005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6.300116259593469E-2</v>
      </c>
      <c r="M206" s="959"/>
      <c r="N206" s="959"/>
      <c r="O206" s="48">
        <f>IF(t&lt;Tnet,'2025'!Resal+('2025'!Salim-'2025'!Resal)*(1-EXP(('2025'!Tnet-t)/('2025'!Tau_j))),Resal+(Salim-Resal)*(1-EXP((Tnet-t)/(Tau_j))))*Salcycl</f>
        <v>1.85412641799204E-2</v>
      </c>
      <c r="P206" s="169">
        <f>(INDEX(Models!$BJ206:$BT206,,T206)*(1-R206)+INDEX(Models!$BJ206:$BT206,,T206+1)*R206-ERP_i)*Q206*Ramure*Pc/MaxiM</f>
        <v>2.1909758564318642E-3</v>
      </c>
      <c r="Q206" s="305">
        <f t="shared" si="53"/>
        <v>0.7</v>
      </c>
      <c r="R206" s="177">
        <f t="shared" si="54"/>
        <v>0.86573791766894126</v>
      </c>
      <c r="S206" s="921">
        <f t="shared" si="55"/>
        <v>-2</v>
      </c>
      <c r="T206" s="176">
        <f t="shared" si="56"/>
        <v>4</v>
      </c>
      <c r="U206" s="251">
        <f t="shared" si="57"/>
        <v>-1.1342620823310587</v>
      </c>
      <c r="V206" s="383">
        <f t="shared" si="58"/>
        <v>51.967756974964622</v>
      </c>
      <c r="W206" s="402">
        <f t="shared" si="59"/>
        <v>51.319677276661984</v>
      </c>
      <c r="X206" s="157">
        <f t="shared" si="60"/>
        <v>46214</v>
      </c>
      <c r="Y206" s="385">
        <f t="shared" si="61"/>
        <v>47.180150351599671</v>
      </c>
      <c r="Z206" s="385">
        <f t="shared" si="62"/>
        <v>50.352410769592034</v>
      </c>
      <c r="AA206" s="386">
        <f t="shared" si="63"/>
        <v>55.405226874533582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9.1197462585682829E-2</v>
      </c>
      <c r="AD206" s="231">
        <f>(INDEX(Models!$BJ206:$BT206,,AH206)*(1-AF206)+INDEX(Models!$BJ206:$BT206,,AH206+1)*AF206-ERP_i)*AE206*Ramure*Pc/MaxiM</f>
        <v>9.4682914794834115E-3</v>
      </c>
      <c r="AE206" s="305">
        <f t="shared" si="65"/>
        <v>0.7</v>
      </c>
      <c r="AF206" s="177">
        <f t="shared" si="66"/>
        <v>0.39072548404292062</v>
      </c>
      <c r="AG206" s="921">
        <f t="shared" si="74"/>
        <v>2</v>
      </c>
      <c r="AH206" s="176">
        <f t="shared" si="67"/>
        <v>8</v>
      </c>
      <c r="AI206" s="225">
        <f t="shared" si="68"/>
        <v>2.3907254840429206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50.877691770562912</v>
      </c>
      <c r="C207" s="955"/>
      <c r="D207" s="393">
        <f t="shared" ref="D207:D270" si="77">Wh/(1-Ppv)</f>
        <v>54.299753762718808</v>
      </c>
      <c r="E207" s="385">
        <f t="shared" si="75"/>
        <v>55.333361066621698</v>
      </c>
      <c r="F207" s="385">
        <f t="shared" ref="F207:F270" si="78">Wh_sa/(1-Pvg*MEDIAN((-Sdif+Wh/Env_an)/Csdif,0,1))</f>
        <v>55.449677888708784</v>
      </c>
      <c r="G207" s="110">
        <f t="shared" si="76"/>
        <v>0.98087338157929194</v>
      </c>
      <c r="H207" s="414" t="b">
        <f>Wh_hp&gt;='2025'!Maxi_hp</f>
        <v>0</v>
      </c>
      <c r="I207" s="390">
        <f>IF(H207,Wh_hp,'2025'!Maxi_hp)</f>
        <v>57.631675116560842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6.3021685275218009E-2</v>
      </c>
      <c r="M207" s="959"/>
      <c r="N207" s="959"/>
      <c r="O207" s="48">
        <f>IF(t&lt;Tnet,'2025'!Resal+('2025'!Salim-'2025'!Resal)*(1-EXP(('2025'!Tnet-t)/('2025'!Tau_j))),Resal+(Salim-Resal)*(1-EXP((Tnet-t)/(Tau_j))))*Salcycl</f>
        <v>1.8679640708223352E-2</v>
      </c>
      <c r="P207" s="169">
        <f>(INDEX(Models!$BJ207:$BT207,,T207)*(1-R207)+INDEX(Models!$BJ207:$BT207,,T207+1)*R207-ERP_i)*Q207*Ramure*Pc/MaxiM</f>
        <v>2.1564448386669987E-3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0.86921291121565947</v>
      </c>
      <c r="S207" s="92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-1.1307870887843405</v>
      </c>
      <c r="V207" s="383">
        <f t="shared" ref="V207:V270" si="85">MaxiM*(1-Ppv)*(1-Pvg)*(1-Psa)</f>
        <v>51.866731906013243</v>
      </c>
      <c r="W207" s="402">
        <f t="shared" ref="W207:W270" si="86">Wh*(A207&gt;Tmaj)</f>
        <v>50.877691770562912</v>
      </c>
      <c r="X207" s="157">
        <f t="shared" ref="X207:X270" si="87">t</f>
        <v>46215</v>
      </c>
      <c r="Y207" s="385">
        <f t="shared" ref="Y207:Y270" si="88">Wh_pvt_s*(1-Ppv)</f>
        <v>46.783863578005025</v>
      </c>
      <c r="Z207" s="385">
        <f t="shared" ref="Z207:Z270" si="89">Wh_sa_s*(1-Psa_s)</f>
        <v>49.930572397235061</v>
      </c>
      <c r="AA207" s="386">
        <f t="shared" ref="AA207:AA270" si="90">Wh_hp*(1-Pvg_s*MEDIAN((-Sdif+Wh/Env_an)/Csdif,0,1))</f>
        <v>54.945901168162344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9.127757784111741E-2</v>
      </c>
      <c r="AD207" s="231">
        <f>(INDEX(Models!$BJ207:$BT207,,AH207)*(1-AF207)+INDEX(Models!$BJ207:$BT207,,AH207+1)*AF207-ERP_i)*AE207*Ramure*Pc/MaxiM</f>
        <v>9.3397213693617483E-3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0.39420047758963861</v>
      </c>
      <c r="AG207" s="92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2.3942004775896386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51.134416321982265</v>
      </c>
      <c r="C208" s="955"/>
      <c r="D208" s="393">
        <f t="shared" si="77"/>
        <v>54.574941082263578</v>
      </c>
      <c r="E208" s="385">
        <f t="shared" si="75"/>
        <v>55.621613536790399</v>
      </c>
      <c r="F208" s="385">
        <f t="shared" si="78"/>
        <v>55.737734316658987</v>
      </c>
      <c r="G208" s="110">
        <f t="shared" si="76"/>
        <v>0.98778980102278258</v>
      </c>
      <c r="H208" s="414" t="b">
        <f>Wh_hp&gt;='2025'!Maxi_hp</f>
        <v>0</v>
      </c>
      <c r="I208" s="390">
        <f>IF(H208,Wh_hp,'2025'!Maxi_hp)</f>
        <v>55.738915540832814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6.304220750500189E-2</v>
      </c>
      <c r="M208" s="959"/>
      <c r="N208" s="959"/>
      <c r="O208" s="48">
        <f>IF(t&lt;Tnet,'2025'!Resal+('2025'!Salim-'2025'!Resal)*(1-EXP(('2025'!Tnet-t)/('2025'!Tau_j))),Resal+(Salim-Resal)*(1-EXP((Tnet-t)/(Tau_j))))*Salcycl</f>
        <v>1.8817729079982696E-2</v>
      </c>
      <c r="P208" s="169">
        <f>(INDEX(Models!$BJ208:$BT208,,T208)*(1-R208)+INDEX(Models!$BJ208:$BT208,,T208+1)*R208-ERP_i)*Q208*Ramure*Pc/MaxiM</f>
        <v>2.1202149604970127E-3</v>
      </c>
      <c r="Q208" s="305">
        <f t="shared" si="80"/>
        <v>0.7</v>
      </c>
      <c r="R208" s="177">
        <f t="shared" si="81"/>
        <v>0.87260652043300491</v>
      </c>
      <c r="S208" s="921">
        <f t="shared" si="82"/>
        <v>-2</v>
      </c>
      <c r="T208" s="176">
        <f t="shared" si="83"/>
        <v>4</v>
      </c>
      <c r="U208" s="251">
        <f t="shared" si="84"/>
        <v>-1.1273934795669951</v>
      </c>
      <c r="V208" s="383">
        <f t="shared" si="85"/>
        <v>51.764582779698515</v>
      </c>
      <c r="W208" s="402">
        <f t="shared" si="86"/>
        <v>51.134416321982265</v>
      </c>
      <c r="X208" s="157">
        <f t="shared" si="87"/>
        <v>46216</v>
      </c>
      <c r="Y208" s="385">
        <f t="shared" si="88"/>
        <v>47.023599415301163</v>
      </c>
      <c r="Z208" s="385">
        <f t="shared" si="89"/>
        <v>50.187532236733276</v>
      </c>
      <c r="AA208" s="386">
        <f t="shared" si="90"/>
        <v>55.23348095168911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9.1356702999931497E-2</v>
      </c>
      <c r="AD208" s="231">
        <f>(INDEX(Models!$BJ208:$BT208,,AH208)*(1-AF208)+INDEX(Models!$BJ208:$BT208,,AH208+1)*AF208-ERP_i)*AE208*Ramure*Pc/MaxiM</f>
        <v>9.207012986823096E-3</v>
      </c>
      <c r="AE208" s="305">
        <f t="shared" si="92"/>
        <v>0.7</v>
      </c>
      <c r="AF208" s="177">
        <f t="shared" si="93"/>
        <v>0.39759408680698405</v>
      </c>
      <c r="AG208" s="921">
        <f t="shared" ref="AG208:AG271" si="99">INDEX(Echel_vg,AH208)</f>
        <v>2</v>
      </c>
      <c r="AH208" s="176">
        <f t="shared" si="94"/>
        <v>8</v>
      </c>
      <c r="AI208" s="225">
        <f t="shared" si="95"/>
        <v>2.397594086806984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50.338725309180191</v>
      </c>
      <c r="C209" s="955"/>
      <c r="D209" s="393">
        <f t="shared" si="77"/>
        <v>53.726889603592547</v>
      </c>
      <c r="E209" s="385">
        <f t="shared" si="75"/>
        <v>54.76498926789484</v>
      </c>
      <c r="F209" s="385">
        <f t="shared" si="78"/>
        <v>54.875075371901545</v>
      </c>
      <c r="G209" s="110">
        <f t="shared" si="76"/>
        <v>0.97432085886364317</v>
      </c>
      <c r="H209" s="414" t="b">
        <f>Wh_hp&gt;='2025'!Maxi_hp</f>
        <v>0</v>
      </c>
      <c r="I209" s="390">
        <f>IF(H209,Wh_hp,'2025'!Maxi_hp)</f>
        <v>56.367501147703905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6.3062729285296326E-2</v>
      </c>
      <c r="M209" s="959"/>
      <c r="N209" s="959"/>
      <c r="O209" s="48">
        <f>IF(t&lt;Tnet,'2025'!Resal+('2025'!Salim-'2025'!Resal)*(1-EXP(('2025'!Tnet-t)/('2025'!Tau_j))),Resal+(Salim-Resal)*(1-EXP((Tnet-t)/(Tau_j))))*Salcycl</f>
        <v>1.8955534880582343E-2</v>
      </c>
      <c r="P209" s="169">
        <f>(INDEX(Models!$BJ209:$BT209,,T209)*(1-R209)+INDEX(Models!$BJ209:$BT209,,T209+1)*R209-ERP_i)*Q209*Ramure*Pc/MaxiM</f>
        <v>2.0822886226156629E-3</v>
      </c>
      <c r="Q209" s="305">
        <f t="shared" si="80"/>
        <v>0.7</v>
      </c>
      <c r="R209" s="177">
        <f t="shared" si="81"/>
        <v>0.87591880623113783</v>
      </c>
      <c r="S209" s="921">
        <f t="shared" si="82"/>
        <v>-2</v>
      </c>
      <c r="T209" s="176">
        <f t="shared" si="83"/>
        <v>4</v>
      </c>
      <c r="U209" s="251">
        <f t="shared" si="84"/>
        <v>-1.1240811937688622</v>
      </c>
      <c r="V209" s="383">
        <f t="shared" si="85"/>
        <v>51.661506597936508</v>
      </c>
      <c r="W209" s="402">
        <f t="shared" si="86"/>
        <v>50.338725309180191</v>
      </c>
      <c r="X209" s="157">
        <f t="shared" si="87"/>
        <v>46217</v>
      </c>
      <c r="Y209" s="385">
        <f t="shared" si="88"/>
        <v>46.305223425794345</v>
      </c>
      <c r="Z209" s="385">
        <f t="shared" si="89"/>
        <v>49.421903550140904</v>
      </c>
      <c r="AA209" s="386">
        <f t="shared" si="90"/>
        <v>54.395554722814296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9.1434882832206341E-2</v>
      </c>
      <c r="AD209" s="231">
        <f>(INDEX(Models!$BJ209:$BT209,,AH209)*(1-AF209)+INDEX(Models!$BJ209:$BT209,,AH209+1)*AF209-ERP_i)*AE209*Ramure*Pc/MaxiM</f>
        <v>9.0701764851527991E-3</v>
      </c>
      <c r="AE209" s="305">
        <f t="shared" si="92"/>
        <v>0.7</v>
      </c>
      <c r="AF209" s="177">
        <f t="shared" si="93"/>
        <v>0.40090637260511697</v>
      </c>
      <c r="AG209" s="921">
        <f t="shared" si="99"/>
        <v>2</v>
      </c>
      <c r="AH209" s="176">
        <f t="shared" si="94"/>
        <v>8</v>
      </c>
      <c r="AI209" s="225">
        <f t="shared" si="95"/>
        <v>2.400906372605117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48.280290837588566</v>
      </c>
      <c r="C210" s="955"/>
      <c r="D210" s="393">
        <f t="shared" si="77"/>
        <v>51.531036102553841</v>
      </c>
      <c r="E210" s="385">
        <f t="shared" si="75"/>
        <v>52.534072507718278</v>
      </c>
      <c r="F210" s="385">
        <f t="shared" si="78"/>
        <v>52.631818846267279</v>
      </c>
      <c r="G210" s="110">
        <f t="shared" si="76"/>
        <v>0.93625817549543133</v>
      </c>
      <c r="H210" s="414" t="b">
        <f>Wh_hp&gt;='2025'!Maxi_hp</f>
        <v>0</v>
      </c>
      <c r="I210" s="390">
        <f>IF(H210,Wh_hp,'2025'!Maxi_hp)</f>
        <v>57.830639820469678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6.3083250616111086E-2</v>
      </c>
      <c r="M210" s="959"/>
      <c r="N210" s="959"/>
      <c r="O210" s="48">
        <f>IF(t&lt;Tnet,'2025'!Resal+('2025'!Salim-'2025'!Resal)*(1-EXP(('2025'!Tnet-t)/('2025'!Tau_j))),Resal+(Salim-Resal)*(1-EXP((Tnet-t)/(Tau_j))))*Salcycl</f>
        <v>1.9093063935164467E-2</v>
      </c>
      <c r="P210" s="169">
        <f>(INDEX(Models!$BJ210:$BT210,,T210)*(1-R210)+INDEX(Models!$BJ210:$BT210,,T210+1)*R210-ERP_i)*Q210*Ramure*Pc/MaxiM</f>
        <v>2.0426690676844622E-3</v>
      </c>
      <c r="Q210" s="305">
        <f t="shared" si="80"/>
        <v>0.7</v>
      </c>
      <c r="R210" s="177">
        <f t="shared" si="81"/>
        <v>0.87914996063629025</v>
      </c>
      <c r="S210" s="921">
        <f t="shared" si="82"/>
        <v>-2</v>
      </c>
      <c r="T210" s="176">
        <f t="shared" si="83"/>
        <v>4</v>
      </c>
      <c r="U210" s="251">
        <f t="shared" si="84"/>
        <v>-1.1208500393637097</v>
      </c>
      <c r="V210" s="383">
        <f t="shared" si="85"/>
        <v>51.557700198004675</v>
      </c>
      <c r="W210" s="402">
        <f t="shared" si="86"/>
        <v>48.280290837588566</v>
      </c>
      <c r="X210" s="157">
        <f t="shared" si="87"/>
        <v>46218</v>
      </c>
      <c r="Y210" s="385">
        <f t="shared" si="88"/>
        <v>44.435324437849602</v>
      </c>
      <c r="Z210" s="385">
        <f t="shared" si="89"/>
        <v>47.42718546452501</v>
      </c>
      <c r="AA210" s="386">
        <f t="shared" si="90"/>
        <v>52.204535363447242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9.1512162030796623E-2</v>
      </c>
      <c r="AD210" s="231">
        <f>(INDEX(Models!$BJ210:$BT210,,AH210)*(1-AF210)+INDEX(Models!$BJ210:$BT210,,AH210+1)*AF210-ERP_i)*AE210*Ramure*Pc/MaxiM</f>
        <v>8.9292219682629969E-3</v>
      </c>
      <c r="AE210" s="305">
        <f t="shared" si="92"/>
        <v>0.7</v>
      </c>
      <c r="AF210" s="177">
        <f t="shared" si="93"/>
        <v>0.40413752701026961</v>
      </c>
      <c r="AG210" s="921">
        <f t="shared" si="99"/>
        <v>2</v>
      </c>
      <c r="AH210" s="176">
        <f t="shared" si="94"/>
        <v>8</v>
      </c>
      <c r="AI210" s="225">
        <f t="shared" si="95"/>
        <v>2.4041375270102696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50.108654749138708</v>
      </c>
      <c r="C211" s="955"/>
      <c r="D211" s="393">
        <f t="shared" si="77"/>
        <v>53.483676446459988</v>
      </c>
      <c r="E211" s="385">
        <f t="shared" si="75"/>
        <v>54.532351132009531</v>
      </c>
      <c r="F211" s="385">
        <f t="shared" si="78"/>
        <v>54.637618132348678</v>
      </c>
      <c r="G211" s="110">
        <f t="shared" si="76"/>
        <v>0.97379263688327877</v>
      </c>
      <c r="H211" s="414" t="b">
        <f>Wh_hp&gt;='2025'!Maxi_hp</f>
        <v>0</v>
      </c>
      <c r="I211" s="390">
        <f>IF(H211,Wh_hp,'2025'!Maxi_hp)</f>
        <v>57.203978991704709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6.3103771497456052E-2</v>
      </c>
      <c r="M211" s="959"/>
      <c r="N211" s="959"/>
      <c r="O211" s="48">
        <f>IF(t&lt;Tnet,'2025'!Resal+('2025'!Salim-'2025'!Resal)*(1-EXP(('2025'!Tnet-t)/('2025'!Tau_j))),Resal+(Salim-Resal)*(1-EXP((Tnet-t)/(Tau_j))))*Salcycl</f>
        <v>1.9230322254233313E-2</v>
      </c>
      <c r="P211" s="169">
        <f>(INDEX(Models!$BJ211:$BT211,,T211)*(1-R211)+INDEX(Models!$BJ211:$BT211,,T211+1)*R211-ERP_i)*Q211*Ramure*Pc/MaxiM</f>
        <v>2.0013602861883011E-3</v>
      </c>
      <c r="Q211" s="305">
        <f t="shared" si="80"/>
        <v>0.7</v>
      </c>
      <c r="R211" s="177">
        <f t="shared" si="81"/>
        <v>0.88230029999763171</v>
      </c>
      <c r="S211" s="921">
        <f t="shared" si="82"/>
        <v>-2</v>
      </c>
      <c r="T211" s="176">
        <f t="shared" si="83"/>
        <v>4</v>
      </c>
      <c r="U211" s="251">
        <f t="shared" si="84"/>
        <v>-1.1176997000023683</v>
      </c>
      <c r="V211" s="383">
        <f t="shared" si="85"/>
        <v>51.453360266047319</v>
      </c>
      <c r="W211" s="402">
        <f t="shared" si="86"/>
        <v>50.108654749138708</v>
      </c>
      <c r="X211" s="157">
        <f t="shared" si="87"/>
        <v>46219</v>
      </c>
      <c r="Y211" s="385">
        <f t="shared" si="88"/>
        <v>46.108153884299405</v>
      </c>
      <c r="Z211" s="385">
        <f t="shared" si="89"/>
        <v>49.213725577692628</v>
      </c>
      <c r="AA211" s="386">
        <f t="shared" si="90"/>
        <v>54.175591326798425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9.1588584962087369E-2</v>
      </c>
      <c r="AD211" s="231">
        <f>(INDEX(Models!$BJ211:$BT211,,AH211)*(1-AF211)+INDEX(Models!$BJ211:$BT211,,AH211+1)*AF211-ERP_i)*AE211*Ramure*Pc/MaxiM</f>
        <v>8.7841592978199941E-3</v>
      </c>
      <c r="AE211" s="305">
        <f t="shared" si="92"/>
        <v>0.7</v>
      </c>
      <c r="AF211" s="177">
        <f t="shared" si="93"/>
        <v>0.40728786637161063</v>
      </c>
      <c r="AG211" s="921">
        <f t="shared" si="99"/>
        <v>2</v>
      </c>
      <c r="AH211" s="176">
        <f t="shared" si="94"/>
        <v>8</v>
      </c>
      <c r="AI211" s="225">
        <f t="shared" si="95"/>
        <v>2.4072878663716106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50.080592399182315</v>
      </c>
      <c r="C212" s="955"/>
      <c r="D212" s="393">
        <f t="shared" si="77"/>
        <v>53.454894782484047</v>
      </c>
      <c r="E212" s="385">
        <f t="shared" si="75"/>
        <v>54.510619168152722</v>
      </c>
      <c r="F212" s="385">
        <f t="shared" si="78"/>
        <v>54.613798485890939</v>
      </c>
      <c r="G212" s="110">
        <f t="shared" si="76"/>
        <v>0.97523678015924664</v>
      </c>
      <c r="H212" s="414" t="b">
        <f>Wh_hp&gt;='2025'!Maxi_hp</f>
        <v>0</v>
      </c>
      <c r="I212" s="390">
        <f>IF(H212,Wh_hp,'2025'!Maxi_hp)</f>
        <v>57.205914857920881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6.3124291929340992E-2</v>
      </c>
      <c r="M212" s="959"/>
      <c r="N212" s="959"/>
      <c r="O212" s="48">
        <f>IF(t&lt;Tnet,'2025'!Resal+('2025'!Salim-'2025'!Resal)*(1-EXP(('2025'!Tnet-t)/('2025'!Tau_j))),Resal+(Salim-Resal)*(1-EXP((Tnet-t)/(Tau_j))))*Salcycl</f>
        <v>1.9367315979515982E-2</v>
      </c>
      <c r="P212" s="169">
        <f>(INDEX(Models!$BJ212:$BT212,,T212)*(1-R212)+INDEX(Models!$BJ212:$BT212,,T212+1)*R212-ERP_i)*Q212*Ramure*Pc/MaxiM</f>
        <v>1.9583431759010142E-3</v>
      </c>
      <c r="Q212" s="305">
        <f t="shared" si="80"/>
        <v>0.7</v>
      </c>
      <c r="R212" s="177">
        <f t="shared" si="81"/>
        <v>0.88537025806420799</v>
      </c>
      <c r="S212" s="921">
        <f t="shared" si="82"/>
        <v>-2</v>
      </c>
      <c r="T212" s="176">
        <f t="shared" si="83"/>
        <v>4</v>
      </c>
      <c r="U212" s="251">
        <f t="shared" si="84"/>
        <v>-1.114629741935792</v>
      </c>
      <c r="V212" s="383">
        <f t="shared" si="85"/>
        <v>51.348684569694981</v>
      </c>
      <c r="W212" s="402">
        <f t="shared" si="86"/>
        <v>50.080592399182315</v>
      </c>
      <c r="X212" s="157">
        <f t="shared" si="87"/>
        <v>46220</v>
      </c>
      <c r="Y212" s="385">
        <f t="shared" si="88"/>
        <v>46.089073068032214</v>
      </c>
      <c r="Z212" s="385">
        <f t="shared" si="89"/>
        <v>49.194437075271232</v>
      </c>
      <c r="AA212" s="386">
        <f t="shared" si="90"/>
        <v>54.158865947611396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9.1664195427251516E-2</v>
      </c>
      <c r="AD212" s="231">
        <f>(INDEX(Models!$BJ212:$BT212,,AH212)*(1-AF212)+INDEX(Models!$BJ212:$BT212,,AH212+1)*AF212-ERP_i)*AE212*Ramure*Pc/MaxiM</f>
        <v>8.6346183650437419E-3</v>
      </c>
      <c r="AE212" s="305">
        <f t="shared" si="92"/>
        <v>0.7</v>
      </c>
      <c r="AF212" s="177">
        <f t="shared" si="93"/>
        <v>0.41035782443818736</v>
      </c>
      <c r="AG212" s="921">
        <f t="shared" si="99"/>
        <v>2</v>
      </c>
      <c r="AH212" s="176">
        <f t="shared" si="94"/>
        <v>8</v>
      </c>
      <c r="AI212" s="225">
        <f t="shared" si="95"/>
        <v>2.4103578244381874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50.862688854587986</v>
      </c>
      <c r="C213" s="955"/>
      <c r="D213" s="393">
        <f t="shared" si="77"/>
        <v>54.290876008681742</v>
      </c>
      <c r="E213" s="385">
        <f t="shared" si="75"/>
        <v>55.37083154943538</v>
      </c>
      <c r="F213" s="385">
        <f t="shared" si="78"/>
        <v>55.475911589680365</v>
      </c>
      <c r="G213" s="110">
        <f t="shared" si="76"/>
        <v>0.99254208005069178</v>
      </c>
      <c r="H213" s="414" t="b">
        <f>Wh_hp&gt;='2025'!Maxi_hp</f>
        <v>0</v>
      </c>
      <c r="I213" s="390">
        <f>IF(H213,Wh_hp,'2025'!Maxi_hp)</f>
        <v>55.476548518307396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6.31448119117759E-2</v>
      </c>
      <c r="M213" s="959"/>
      <c r="N213" s="959"/>
      <c r="O213" s="48">
        <f>IF(t&lt;Tnet,'2025'!Resal+('2025'!Salim-'2025'!Resal)*(1-EXP(('2025'!Tnet-t)/('2025'!Tau_j))),Resal+(Salim-Resal)*(1-EXP((Tnet-t)/(Tau_j))))*Salcycl</f>
        <v>1.9504051330517736E-2</v>
      </c>
      <c r="P213" s="169">
        <f>(INDEX(Models!$BJ213:$BT213,,T213)*(1-R213)+INDEX(Models!$BJ213:$BT213,,T213+1)*R213-ERP_i)*Q213*Ramure*Pc/MaxiM</f>
        <v>1.9144982361518591E-3</v>
      </c>
      <c r="Q213" s="305">
        <f t="shared" si="80"/>
        <v>0.7</v>
      </c>
      <c r="R213" s="177">
        <f t="shared" si="81"/>
        <v>0.88836037898049836</v>
      </c>
      <c r="S213" s="921">
        <f t="shared" si="82"/>
        <v>-2</v>
      </c>
      <c r="T213" s="176">
        <f t="shared" si="83"/>
        <v>4</v>
      </c>
      <c r="U213" s="251">
        <f t="shared" si="84"/>
        <v>-1.1116396210195016</v>
      </c>
      <c r="V213" s="383">
        <f t="shared" si="85"/>
        <v>51.243824580531935</v>
      </c>
      <c r="W213" s="402">
        <f t="shared" si="86"/>
        <v>50.862688854587986</v>
      </c>
      <c r="X213" s="157">
        <f t="shared" si="87"/>
        <v>46221</v>
      </c>
      <c r="Y213" s="385">
        <f t="shared" si="88"/>
        <v>46.808749804115173</v>
      </c>
      <c r="Z213" s="385">
        <f t="shared" si="89"/>
        <v>49.963698124610453</v>
      </c>
      <c r="AA213" s="386">
        <f t="shared" si="90"/>
        <v>55.01028903469323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9.1739036435530372E-2</v>
      </c>
      <c r="AD213" s="231">
        <f>(INDEX(Models!$BJ213:$BT213,,AH213)*(1-AF213)+INDEX(Models!$BJ213:$BT213,,AH213+1)*AF213-ERP_i)*AE213*Ramure*Pc/MaxiM</f>
        <v>8.4833766541875973E-3</v>
      </c>
      <c r="AE213" s="305">
        <f t="shared" si="92"/>
        <v>0.7</v>
      </c>
      <c r="AF213" s="177">
        <f t="shared" si="93"/>
        <v>0.41334794535447772</v>
      </c>
      <c r="AG213" s="921">
        <f t="shared" si="99"/>
        <v>2</v>
      </c>
      <c r="AH213" s="176">
        <f t="shared" si="94"/>
        <v>8</v>
      </c>
      <c r="AI213" s="225">
        <f t="shared" si="95"/>
        <v>2.4133479453544777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34.742869577758761</v>
      </c>
      <c r="C214" s="955"/>
      <c r="D214" s="393">
        <f t="shared" si="77"/>
        <v>37.085379890283761</v>
      </c>
      <c r="E214" s="385">
        <f t="shared" si="75"/>
        <v>37.828348883584297</v>
      </c>
      <c r="F214" s="385">
        <f t="shared" si="78"/>
        <v>37.86672325622326</v>
      </c>
      <c r="G214" s="110">
        <f t="shared" si="76"/>
        <v>0.67879896813486096</v>
      </c>
      <c r="H214" s="414" t="b">
        <f>Wh_hp&gt;='2025'!Maxi_hp</f>
        <v>0</v>
      </c>
      <c r="I214" s="390">
        <f>IF(H214,Wh_hp,'2025'!Maxi_hp)</f>
        <v>57.76277955645417</v>
      </c>
      <c r="J214" s="85">
        <f>IF(H214,An,'2025'!An_max)</f>
        <v>2021</v>
      </c>
      <c r="K214" s="197">
        <f t="shared" si="79"/>
        <v>46222</v>
      </c>
      <c r="L214" s="147">
        <f>IF(t&lt;Tvie,1-EXP((T0-t)*PertePVj)+'2025'!Pspv,1-EXP((T0-t)*PertePVj)+Pspv)</f>
        <v>6.3165331444770545E-2</v>
      </c>
      <c r="M214" s="959"/>
      <c r="N214" s="959"/>
      <c r="O214" s="48">
        <f>IF(t&lt;Tnet,'2025'!Resal+('2025'!Salim-'2025'!Resal)*(1-EXP(('2025'!Tnet-t)/('2025'!Tau_j))),Resal+(Salim-Resal)*(1-EXP((Tnet-t)/(Tau_j))))*Salcycl</f>
        <v>1.9640534552195305E-2</v>
      </c>
      <c r="P214" s="169">
        <f>(INDEX(Models!$BJ214:$BT214,,T214)*(1-R214)+INDEX(Models!$BJ214:$BT214,,T214+1)*R214-ERP_i)*Q214*Ramure*Pc/MaxiM</f>
        <v>1.8698447967968692E-3</v>
      </c>
      <c r="Q214" s="305">
        <f t="shared" si="80"/>
        <v>0.7</v>
      </c>
      <c r="R214" s="177">
        <f t="shared" si="81"/>
        <v>0.8912713102460621</v>
      </c>
      <c r="S214" s="921">
        <f t="shared" si="82"/>
        <v>-2</v>
      </c>
      <c r="T214" s="176">
        <f t="shared" si="83"/>
        <v>4</v>
      </c>
      <c r="U214" s="251">
        <f t="shared" si="84"/>
        <v>-1.1087286897539379</v>
      </c>
      <c r="V214" s="383">
        <f t="shared" si="85"/>
        <v>51.138976175108162</v>
      </c>
      <c r="W214" s="402">
        <f t="shared" si="86"/>
        <v>34.742869577758761</v>
      </c>
      <c r="X214" s="157">
        <f t="shared" si="87"/>
        <v>46222</v>
      </c>
      <c r="Y214" s="385">
        <f t="shared" si="88"/>
        <v>32.072340780439959</v>
      </c>
      <c r="Z214" s="385">
        <f t="shared" si="89"/>
        <v>34.234792815579056</v>
      </c>
      <c r="AA214" s="386">
        <f t="shared" si="90"/>
        <v>37.695759209943425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9.1813149990926018E-2</v>
      </c>
      <c r="AD214" s="231">
        <f>(INDEX(Models!$BJ214:$BT214,,AH214)*(1-AF214)+INDEX(Models!$BJ214:$BT214,,AH214+1)*AF214-ERP_i)*AE214*Ramure*Pc/MaxiM</f>
        <v>8.3304614614361921E-3</v>
      </c>
      <c r="AE214" s="305">
        <f t="shared" si="92"/>
        <v>0.7</v>
      </c>
      <c r="AF214" s="177">
        <f t="shared" si="93"/>
        <v>0.41625887662004146</v>
      </c>
      <c r="AG214" s="921">
        <f t="shared" si="99"/>
        <v>2</v>
      </c>
      <c r="AH214" s="176">
        <f t="shared" si="94"/>
        <v>8</v>
      </c>
      <c r="AI214" s="225">
        <f t="shared" si="95"/>
        <v>2.4162588766200415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39.5489847315785</v>
      </c>
      <c r="C215" s="955"/>
      <c r="D215" s="393">
        <f t="shared" si="77"/>
        <v>42.216468179822996</v>
      </c>
      <c r="E215" s="385">
        <f t="shared" si="75"/>
        <v>43.068218511928926</v>
      </c>
      <c r="F215" s="385">
        <f t="shared" si="78"/>
        <v>43.121596712479999</v>
      </c>
      <c r="G215" s="110">
        <f t="shared" si="76"/>
        <v>0.77449345509223722</v>
      </c>
      <c r="H215" s="414" t="b">
        <f>Wh_hp&gt;='2025'!Maxi_hp</f>
        <v>0</v>
      </c>
      <c r="I215" s="390">
        <f>IF(H215,Wh_hp,'2025'!Maxi_hp)</f>
        <v>55.682250887635263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6.3185850528334697E-2</v>
      </c>
      <c r="M215" s="959"/>
      <c r="N215" s="959"/>
      <c r="O215" s="48">
        <f>IF(t&lt;Tnet,'2025'!Resal+('2025'!Salim-'2025'!Resal)*(1-EXP(('2025'!Tnet-t)/('2025'!Tau_j))),Resal+(Salim-Resal)*(1-EXP((Tnet-t)/(Tau_j))))*Salcycl</f>
        <v>1.9776771864153539E-2</v>
      </c>
      <c r="P215" s="169">
        <f>(INDEX(Models!$BJ215:$BT215,,T215)*(1-R215)+INDEX(Models!$BJ215:$BT215,,T215+1)*R215-ERP_i)*Q215*Ramure*Pc/MaxiM</f>
        <v>1.8244020718717713E-3</v>
      </c>
      <c r="Q215" s="305">
        <f t="shared" si="80"/>
        <v>0.7</v>
      </c>
      <c r="R215" s="177">
        <f t="shared" si="81"/>
        <v>0.89410379568149723</v>
      </c>
      <c r="S215" s="921">
        <f t="shared" si="82"/>
        <v>-2</v>
      </c>
      <c r="T215" s="176">
        <f t="shared" si="83"/>
        <v>4</v>
      </c>
      <c r="U215" s="251">
        <f t="shared" si="84"/>
        <v>-1.1058962043185028</v>
      </c>
      <c r="V215" s="383">
        <f t="shared" si="85"/>
        <v>51.03433515583702</v>
      </c>
      <c r="W215" s="402">
        <f t="shared" si="86"/>
        <v>39.5489847315785</v>
      </c>
      <c r="X215" s="157">
        <f t="shared" si="87"/>
        <v>46223</v>
      </c>
      <c r="Y215" s="385">
        <f t="shared" si="88"/>
        <v>36.481483327159033</v>
      </c>
      <c r="Z215" s="385">
        <f t="shared" si="89"/>
        <v>38.942071218430549</v>
      </c>
      <c r="AA215" s="386">
        <f t="shared" si="90"/>
        <v>42.882386965736544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9.1886576893547137E-2</v>
      </c>
      <c r="AD215" s="231">
        <f>(INDEX(Models!$BJ215:$BT215,,AH215)*(1-AF215)+INDEX(Models!$BJ215:$BT215,,AH215+1)*AF215-ERP_i)*AE215*Ramure*Pc/MaxiM</f>
        <v>8.1758986452360911E-3</v>
      </c>
      <c r="AE215" s="305">
        <f t="shared" si="92"/>
        <v>0.7</v>
      </c>
      <c r="AF215" s="177">
        <f t="shared" si="93"/>
        <v>0.41909136205547659</v>
      </c>
      <c r="AG215" s="921">
        <f t="shared" si="99"/>
        <v>2</v>
      </c>
      <c r="AH215" s="176">
        <f t="shared" si="94"/>
        <v>8</v>
      </c>
      <c r="AI215" s="225">
        <f t="shared" si="95"/>
        <v>2.4190913620554766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49.358818388917101</v>
      </c>
      <c r="C216" s="955"/>
      <c r="D216" s="393">
        <f t="shared" si="77"/>
        <v>52.689105438076929</v>
      </c>
      <c r="E216" s="385">
        <f t="shared" si="75"/>
        <v>53.759608118200603</v>
      </c>
      <c r="F216" s="385">
        <f t="shared" si="78"/>
        <v>53.85114523865029</v>
      </c>
      <c r="G216" s="110">
        <f t="shared" si="76"/>
        <v>0.96907224079753562</v>
      </c>
      <c r="H216" s="414" t="b">
        <f>Wh_hp&gt;='2025'!Maxi_hp</f>
        <v>0</v>
      </c>
      <c r="I216" s="390">
        <f>IF(H216,Wh_hp,'2025'!Maxi_hp)</f>
        <v>53.853504182413779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6.3206369162478238E-2</v>
      </c>
      <c r="M216" s="959"/>
      <c r="N216" s="959"/>
      <c r="O216" s="48">
        <f>IF(t&lt;Tnet,'2025'!Resal+('2025'!Salim-'2025'!Resal)*(1-EXP(('2025'!Tnet-t)/('2025'!Tau_j))),Resal+(Salim-Resal)*(1-EXP((Tnet-t)/(Tau_j))))*Salcycl</f>
        <v>1.9912769411748112E-2</v>
      </c>
      <c r="P216" s="169">
        <f>(INDEX(Models!$BJ216:$BT216,,T216)*(1-R216)+INDEX(Models!$BJ216:$BT216,,T216+1)*R216-ERP_i)*Q216*Ramure*Pc/MaxiM</f>
        <v>1.7781891182437792E-3</v>
      </c>
      <c r="Q216" s="305">
        <f t="shared" si="80"/>
        <v>0.7</v>
      </c>
      <c r="R216" s="177">
        <f t="shared" si="81"/>
        <v>0.89685866843955719</v>
      </c>
      <c r="S216" s="921">
        <f t="shared" si="82"/>
        <v>-2</v>
      </c>
      <c r="T216" s="176">
        <f t="shared" si="83"/>
        <v>4</v>
      </c>
      <c r="U216" s="251">
        <f t="shared" si="84"/>
        <v>-1.1031413315604428</v>
      </c>
      <c r="V216" s="383">
        <f t="shared" si="85"/>
        <v>50.93009725718688</v>
      </c>
      <c r="W216" s="402">
        <f t="shared" si="86"/>
        <v>49.358818388917101</v>
      </c>
      <c r="X216" s="157">
        <f t="shared" si="87"/>
        <v>46224</v>
      </c>
      <c r="Y216" s="385">
        <f t="shared" si="88"/>
        <v>45.457120505243111</v>
      </c>
      <c r="Z216" s="385">
        <f t="shared" si="89"/>
        <v>48.524156237701014</v>
      </c>
      <c r="AA216" s="386">
        <f t="shared" si="90"/>
        <v>53.438308723381077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9.1959356556693433E-2</v>
      </c>
      <c r="AD216" s="231">
        <f>(INDEX(Models!$BJ216:$BT216,,AH216)*(1-AF216)+INDEX(Models!$BJ216:$BT216,,AH216+1)*AF216-ERP_i)*AE216*Ramure*Pc/MaxiM</f>
        <v>8.0197126090383822E-3</v>
      </c>
      <c r="AE216" s="305">
        <f t="shared" si="92"/>
        <v>0.7</v>
      </c>
      <c r="AF216" s="177">
        <f t="shared" si="93"/>
        <v>0.42184623481353656</v>
      </c>
      <c r="AG216" s="921">
        <f t="shared" si="99"/>
        <v>2</v>
      </c>
      <c r="AH216" s="176">
        <f t="shared" si="94"/>
        <v>8</v>
      </c>
      <c r="AI216" s="225">
        <f t="shared" si="95"/>
        <v>2.4218462348135366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37.671858556094868</v>
      </c>
      <c r="C217" s="955"/>
      <c r="D217" s="393">
        <f t="shared" si="77"/>
        <v>40.214495962009728</v>
      </c>
      <c r="E217" s="385">
        <f t="shared" si="75"/>
        <v>41.037232276540308</v>
      </c>
      <c r="F217" s="385">
        <f t="shared" si="78"/>
        <v>41.082058208712006</v>
      </c>
      <c r="G217" s="110">
        <f t="shared" si="76"/>
        <v>0.74071104076790273</v>
      </c>
      <c r="H217" s="414" t="b">
        <f>Wh_hp&gt;='2025'!Maxi_hp</f>
        <v>0</v>
      </c>
      <c r="I217" s="390">
        <f>IF(H217,Wh_hp,'2025'!Maxi_hp)</f>
        <v>54.507643131176636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6.3226887347211047E-2</v>
      </c>
      <c r="M217" s="959"/>
      <c r="N217" s="959"/>
      <c r="O217" s="48">
        <f>IF(t&lt;Tnet,'2025'!Resal+('2025'!Salim-'2025'!Resal)*(1-EXP(('2025'!Tnet-t)/('2025'!Tau_j))),Resal+(Salim-Resal)*(1-EXP((Tnet-t)/(Tau_j))))*Salcycl</f>
        <v>2.0048533219451742E-2</v>
      </c>
      <c r="P217" s="169">
        <f>(INDEX(Models!$BJ217:$BT217,,T217)*(1-R217)+INDEX(Models!$BJ217:$BT217,,T217+1)*R217-ERP_i)*Q217*Ramure*Pc/MaxiM</f>
        <v>1.7312248051249903E-3</v>
      </c>
      <c r="Q217" s="305">
        <f t="shared" si="80"/>
        <v>0.7</v>
      </c>
      <c r="R217" s="177">
        <f t="shared" si="81"/>
        <v>0.89953684409683632</v>
      </c>
      <c r="S217" s="921">
        <f t="shared" si="82"/>
        <v>-2</v>
      </c>
      <c r="T217" s="176">
        <f t="shared" si="83"/>
        <v>4</v>
      </c>
      <c r="U217" s="251">
        <f t="shared" si="84"/>
        <v>-1.1004631559031637</v>
      </c>
      <c r="V217" s="383">
        <f t="shared" si="85"/>
        <v>50.826458151455746</v>
      </c>
      <c r="W217" s="402">
        <f t="shared" si="86"/>
        <v>37.671858556094868</v>
      </c>
      <c r="X217" s="157">
        <f t="shared" si="87"/>
        <v>46225</v>
      </c>
      <c r="Y217" s="385">
        <f t="shared" si="88"/>
        <v>34.769629006098903</v>
      </c>
      <c r="Z217" s="385">
        <f t="shared" si="89"/>
        <v>37.116382330441759</v>
      </c>
      <c r="AA217" s="386">
        <f t="shared" si="90"/>
        <v>40.878492401052398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9.2031526840598121E-2</v>
      </c>
      <c r="AD217" s="231">
        <f>(INDEX(Models!$BJ217:$BT217,,AH217)*(1-AF217)+INDEX(Models!$BJ217:$BT217,,AH217+1)*AF217-ERP_i)*AE217*Ramure*Pc/MaxiM</f>
        <v>7.8619263141199557E-3</v>
      </c>
      <c r="AE217" s="305">
        <f t="shared" si="92"/>
        <v>0.7</v>
      </c>
      <c r="AF217" s="177">
        <f t="shared" si="93"/>
        <v>0.42452441047081546</v>
      </c>
      <c r="AG217" s="921">
        <f t="shared" si="99"/>
        <v>2</v>
      </c>
      <c r="AH217" s="176">
        <f t="shared" si="94"/>
        <v>8</v>
      </c>
      <c r="AI217" s="225">
        <f t="shared" si="95"/>
        <v>2.4245244104708155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42.028695072005469</v>
      </c>
      <c r="C218" s="955"/>
      <c r="D218" s="393">
        <f t="shared" si="77"/>
        <v>44.866376992218385</v>
      </c>
      <c r="E218" s="385">
        <f t="shared" si="75"/>
        <v>45.790617992045</v>
      </c>
      <c r="F218" s="385">
        <f t="shared" si="78"/>
        <v>45.848903949482555</v>
      </c>
      <c r="G218" s="110">
        <f t="shared" si="76"/>
        <v>0.8282404022884654</v>
      </c>
      <c r="H218" s="414" t="b">
        <f>Wh_hp&gt;='2025'!Maxi_hp</f>
        <v>0</v>
      </c>
      <c r="I218" s="390">
        <f>IF(H218,Wh_hp,'2025'!Maxi_hp)</f>
        <v>56.297408043792899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6.3247405082542896E-2</v>
      </c>
      <c r="M218" s="959"/>
      <c r="N218" s="959"/>
      <c r="O218" s="48">
        <f>IF(t&lt;Tnet,'2025'!Resal+('2025'!Salim-'2025'!Resal)*(1-EXP(('2025'!Tnet-t)/('2025'!Tau_j))),Resal+(Salim-Resal)*(1-EXP((Tnet-t)/(Tau_j))))*Salcycl</f>
        <v>2.0184069146810361E-2</v>
      </c>
      <c r="P218" s="169">
        <f>(INDEX(Models!$BJ218:$BT218,,T218)*(1-R218)+INDEX(Models!$BJ218:$BT218,,T218+1)*R218-ERP_i)*Q218*Ramure*Pc/MaxiM</f>
        <v>1.6835277942984378E-3</v>
      </c>
      <c r="Q218" s="305">
        <f t="shared" si="80"/>
        <v>0.7</v>
      </c>
      <c r="R218" s="177">
        <f t="shared" si="81"/>
        <v>0.90213931385796853</v>
      </c>
      <c r="S218" s="921">
        <f t="shared" si="82"/>
        <v>-2</v>
      </c>
      <c r="T218" s="176">
        <f t="shared" si="83"/>
        <v>4</v>
      </c>
      <c r="U218" s="251">
        <f t="shared" si="84"/>
        <v>-1.0978606861420315</v>
      </c>
      <c r="V218" s="383">
        <f t="shared" si="85"/>
        <v>50.723613453859009</v>
      </c>
      <c r="W218" s="402">
        <f t="shared" si="86"/>
        <v>42.028695072005469</v>
      </c>
      <c r="X218" s="157">
        <f t="shared" si="87"/>
        <v>46226</v>
      </c>
      <c r="Y218" s="385">
        <f t="shared" si="88"/>
        <v>38.766536805251782</v>
      </c>
      <c r="Z218" s="385">
        <f t="shared" si="89"/>
        <v>41.383965217270344</v>
      </c>
      <c r="AA218" s="386">
        <f t="shared" si="90"/>
        <v>45.582231095676846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9.2103123903574821E-2</v>
      </c>
      <c r="AD218" s="231">
        <f>(INDEX(Models!$BJ218:$BT218,,AH218)*(1-AF218)+INDEX(Models!$BJ218:$BT218,,AH218+1)*AF218-ERP_i)*AE218*Ramure*Pc/MaxiM</f>
        <v>7.7025613218719043E-3</v>
      </c>
      <c r="AE218" s="305">
        <f t="shared" si="92"/>
        <v>0.7</v>
      </c>
      <c r="AF218" s="177">
        <f t="shared" si="93"/>
        <v>0.42712688023194767</v>
      </c>
      <c r="AG218" s="921">
        <f t="shared" si="99"/>
        <v>2</v>
      </c>
      <c r="AH218" s="176">
        <f t="shared" si="94"/>
        <v>8</v>
      </c>
      <c r="AI218" s="225">
        <f t="shared" si="95"/>
        <v>2.4271268802319477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49.75962513995534</v>
      </c>
      <c r="C219" s="955"/>
      <c r="D219" s="393">
        <f t="shared" si="77"/>
        <v>53.120445352709872</v>
      </c>
      <c r="E219" s="385">
        <f t="shared" si="75"/>
        <v>54.222207138379304</v>
      </c>
      <c r="F219" s="385">
        <f t="shared" si="78"/>
        <v>54.308848941479297</v>
      </c>
      <c r="G219" s="110">
        <f t="shared" si="76"/>
        <v>0.98293539000212382</v>
      </c>
      <c r="H219" s="414" t="b">
        <f>Wh_hp&gt;='2025'!Maxi_hp</f>
        <v>0</v>
      </c>
      <c r="I219" s="390">
        <f>IF(H219,Wh_hp,'2025'!Maxi_hp)</f>
        <v>54.310045521395942</v>
      </c>
      <c r="J219" s="85">
        <f>IF(H219,An,'2025'!An_max)</f>
        <v>2025</v>
      </c>
      <c r="K219" s="197">
        <f t="shared" si="79"/>
        <v>46227</v>
      </c>
      <c r="L219" s="147">
        <f>IF(t&lt;Tvie,1-EXP((T0-t)*PertePVj)+'2025'!Pspv,1-EXP((T0-t)*PertePVj)+Pspv)</f>
        <v>6.3267922368483775E-2</v>
      </c>
      <c r="M219" s="959"/>
      <c r="N219" s="959"/>
      <c r="O219" s="48">
        <f>IF(t&lt;Tnet,'2025'!Resal+('2025'!Salim-'2025'!Resal)*(1-EXP(('2025'!Tnet-t)/('2025'!Tau_j))),Resal+(Salim-Resal)*(1-EXP((Tnet-t)/(Tau_j))))*Salcycl</f>
        <v>2.0319382847283428E-2</v>
      </c>
      <c r="P219" s="169">
        <f>(INDEX(Models!$BJ219:$BT219,,T219)*(1-R219)+INDEX(Models!$BJ219:$BT219,,T219+1)*R219-ERP_i)*Q219*Ramure*Pc/MaxiM</f>
        <v>1.6351229199311752E-3</v>
      </c>
      <c r="Q219" s="305">
        <f t="shared" si="80"/>
        <v>0.7</v>
      </c>
      <c r="R219" s="177">
        <f t="shared" si="81"/>
        <v>0.90466713790084574</v>
      </c>
      <c r="S219" s="921">
        <f t="shared" si="82"/>
        <v>-2</v>
      </c>
      <c r="T219" s="176">
        <f t="shared" si="83"/>
        <v>4</v>
      </c>
      <c r="U219" s="251">
        <f t="shared" si="84"/>
        <v>-1.0953328620991543</v>
      </c>
      <c r="V219" s="383">
        <f t="shared" si="85"/>
        <v>50.621478852160209</v>
      </c>
      <c r="W219" s="402">
        <f t="shared" si="86"/>
        <v>49.75962513995534</v>
      </c>
      <c r="X219" s="157">
        <f t="shared" si="87"/>
        <v>46227</v>
      </c>
      <c r="Y219" s="385">
        <f t="shared" si="88"/>
        <v>45.843847891282543</v>
      </c>
      <c r="Z219" s="385">
        <f t="shared" si="89"/>
        <v>48.940192170205798</v>
      </c>
      <c r="AA219" s="386">
        <f t="shared" si="90"/>
        <v>53.909231488766451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9.2174182071137367E-2</v>
      </c>
      <c r="AD219" s="231">
        <f>(INDEX(Models!$BJ219:$BT219,,AH219)*(1-AF219)+INDEX(Models!$BJ219:$BT219,,AH219+1)*AF219-ERP_i)*AE219*Ramure*Pc/MaxiM</f>
        <v>7.5416673332753155E-3</v>
      </c>
      <c r="AE219" s="305">
        <f t="shared" si="92"/>
        <v>0.7</v>
      </c>
      <c r="AF219" s="177">
        <f t="shared" si="93"/>
        <v>0.42965470427482488</v>
      </c>
      <c r="AG219" s="921">
        <f t="shared" si="99"/>
        <v>2</v>
      </c>
      <c r="AH219" s="176">
        <f t="shared" si="94"/>
        <v>8</v>
      </c>
      <c r="AI219" s="225">
        <f t="shared" si="95"/>
        <v>2.4296547042748249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25.576972977831353</v>
      </c>
      <c r="C220" s="955"/>
      <c r="D220" s="393">
        <f t="shared" si="77"/>
        <v>27.305068121637156</v>
      </c>
      <c r="E220" s="385">
        <f t="shared" si="75"/>
        <v>27.875241687713661</v>
      </c>
      <c r="F220" s="385">
        <f t="shared" si="78"/>
        <v>27.88827659662768</v>
      </c>
      <c r="G220" s="110">
        <f t="shared" si="76"/>
        <v>0.50570987998394745</v>
      </c>
      <c r="H220" s="414" t="b">
        <f>Wh_hp&gt;='2025'!Maxi_hp</f>
        <v>0</v>
      </c>
      <c r="I220" s="390">
        <f>IF(H220,Wh_hp,'2025'!Maxi_hp)</f>
        <v>54.530894378058939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6.3288439205043456E-2</v>
      </c>
      <c r="M220" s="959"/>
      <c r="N220" s="959"/>
      <c r="O220" s="48">
        <f>IF(t&lt;Tnet,'2025'!Resal+('2025'!Salim-'2025'!Resal)*(1-EXP(('2025'!Tnet-t)/('2025'!Tau_j))),Resal+(Salim-Resal)*(1-EXP((Tnet-t)/(Tau_j))))*Salcycl</f>
        <v>2.0454479730226516E-2</v>
      </c>
      <c r="P220" s="169">
        <f>(INDEX(Models!$BJ220:$BT220,,T220)*(1-R220)+INDEX(Models!$BJ220:$BT220,,T220+1)*R220-ERP_i)*Q220*Ramure*Pc/MaxiM</f>
        <v>1.5861145787401457E-3</v>
      </c>
      <c r="Q220" s="305">
        <f t="shared" si="80"/>
        <v>0.7</v>
      </c>
      <c r="R220" s="177">
        <f t="shared" si="81"/>
        <v>0.90712143888798069</v>
      </c>
      <c r="S220" s="921">
        <f t="shared" si="82"/>
        <v>-2</v>
      </c>
      <c r="T220" s="176">
        <f t="shared" si="83"/>
        <v>4</v>
      </c>
      <c r="U220" s="251">
        <f t="shared" si="84"/>
        <v>-1.0928785611120193</v>
      </c>
      <c r="V220" s="383">
        <f t="shared" si="85"/>
        <v>50.519768766181379</v>
      </c>
      <c r="W220" s="402">
        <f t="shared" si="86"/>
        <v>25.576972977831353</v>
      </c>
      <c r="X220" s="157">
        <f t="shared" si="87"/>
        <v>46228</v>
      </c>
      <c r="Y220" s="385">
        <f t="shared" si="88"/>
        <v>23.661968033680608</v>
      </c>
      <c r="Z220" s="385">
        <f t="shared" si="89"/>
        <v>25.260676844427401</v>
      </c>
      <c r="AA220" s="386">
        <f t="shared" si="90"/>
        <v>27.827629078973033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9.2244733723479813E-2</v>
      </c>
      <c r="AD220" s="231">
        <f>(INDEX(Models!$BJ220:$BT220,,AH220)*(1-AF220)+INDEX(Models!$BJ220:$BT220,,AH220+1)*AF220-ERP_i)*AE220*Ramure*Pc/MaxiM</f>
        <v>7.3797149294218302E-3</v>
      </c>
      <c r="AE220" s="305">
        <f t="shared" si="92"/>
        <v>0.7</v>
      </c>
      <c r="AF220" s="177">
        <f t="shared" si="93"/>
        <v>0.43210900526195983</v>
      </c>
      <c r="AG220" s="921">
        <f t="shared" si="99"/>
        <v>2</v>
      </c>
      <c r="AH220" s="176">
        <f t="shared" si="94"/>
        <v>8</v>
      </c>
      <c r="AI220" s="225">
        <f t="shared" si="95"/>
        <v>2.4321090052619598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48.622650849126458</v>
      </c>
      <c r="C221" s="955"/>
      <c r="D221" s="393">
        <f t="shared" si="77"/>
        <v>51.908952412231706</v>
      </c>
      <c r="E221" s="385">
        <f t="shared" si="75"/>
        <v>53.00019272133202</v>
      </c>
      <c r="F221" s="385">
        <f t="shared" si="78"/>
        <v>53.077597374145462</v>
      </c>
      <c r="G221" s="110">
        <f t="shared" si="76"/>
        <v>0.96430786850680139</v>
      </c>
      <c r="H221" s="414" t="b">
        <f>Wh_hp&gt;='2025'!Maxi_hp</f>
        <v>0</v>
      </c>
      <c r="I221" s="390">
        <f>IF(H221,Wh_hp,'2025'!Maxi_hp)</f>
        <v>54.739727703954557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6.3308955592231708E-2</v>
      </c>
      <c r="M221" s="959"/>
      <c r="N221" s="959"/>
      <c r="O221" s="48">
        <f>IF(t&lt;Tnet,'2025'!Resal+('2025'!Salim-'2025'!Resal)*(1-EXP(('2025'!Tnet-t)/('2025'!Tau_j))),Resal+(Salim-Resal)*(1-EXP((Tnet-t)/(Tau_j))))*Salcycl</f>
        <v>2.058936492623541E-2</v>
      </c>
      <c r="P221" s="169">
        <f>(INDEX(Models!$BJ221:$BT221,,T221)*(1-R221)+INDEX(Models!$BJ221:$BT221,,T221+1)*R221-ERP_i)*Q221*Ramure*Pc/MaxiM</f>
        <v>1.5365089561703189E-3</v>
      </c>
      <c r="Q221" s="305">
        <f t="shared" si="80"/>
        <v>0.7</v>
      </c>
      <c r="R221" s="177">
        <f t="shared" si="81"/>
        <v>0.9095033956658396</v>
      </c>
      <c r="S221" s="921">
        <f t="shared" si="82"/>
        <v>-2</v>
      </c>
      <c r="T221" s="176">
        <f t="shared" si="83"/>
        <v>4</v>
      </c>
      <c r="U221" s="251">
        <f t="shared" si="84"/>
        <v>-1.0904966043341604</v>
      </c>
      <c r="V221" s="383">
        <f t="shared" si="85"/>
        <v>50.418383607029511</v>
      </c>
      <c r="W221" s="402">
        <f t="shared" si="86"/>
        <v>48.622650849126458</v>
      </c>
      <c r="X221" s="157">
        <f t="shared" si="87"/>
        <v>46229</v>
      </c>
      <c r="Y221" s="385">
        <f t="shared" si="88"/>
        <v>44.818560382371032</v>
      </c>
      <c r="Z221" s="385">
        <f t="shared" si="89"/>
        <v>47.84775156114361</v>
      </c>
      <c r="AA221" s="386">
        <f t="shared" si="90"/>
        <v>52.714037913356847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9.2314809201520118E-2</v>
      </c>
      <c r="AD221" s="231">
        <f>(INDEX(Models!$BJ221:$BT221,,AH221)*(1-AF221)+INDEX(Models!$BJ221:$BT221,,AH221+1)*AF221-ERP_i)*AE221*Ramure*Pc/MaxiM</f>
        <v>7.2167802231284202E-3</v>
      </c>
      <c r="AE221" s="305">
        <f t="shared" si="92"/>
        <v>0.7</v>
      </c>
      <c r="AF221" s="177">
        <f t="shared" si="93"/>
        <v>0.43449096203981874</v>
      </c>
      <c r="AG221" s="921">
        <f t="shared" si="99"/>
        <v>2</v>
      </c>
      <c r="AH221" s="176">
        <f t="shared" si="94"/>
        <v>8</v>
      </c>
      <c r="AI221" s="225">
        <f t="shared" si="95"/>
        <v>2.4344909620398187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52.644655381183028</v>
      </c>
      <c r="C222" s="955"/>
      <c r="D222" s="393">
        <f t="shared" si="77"/>
        <v>56.204026689276191</v>
      </c>
      <c r="E222" s="385">
        <f t="shared" si="75"/>
        <v>57.39345105147995</v>
      </c>
      <c r="F222" s="385">
        <f t="shared" si="78"/>
        <v>57.478883622167686</v>
      </c>
      <c r="G222" s="110">
        <f t="shared" si="76"/>
        <v>1.0462551840388286</v>
      </c>
      <c r="H222" s="414" t="b">
        <f>Wh_hp&gt;='2025'!Maxi_hp</f>
        <v>1</v>
      </c>
      <c r="I222" s="390">
        <f>IF(H222,Wh_hp,'2025'!Maxi_hp)</f>
        <v>57.478883622167686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6.3329471530058412E-2</v>
      </c>
      <c r="M222" s="959"/>
      <c r="N222" s="959"/>
      <c r="O222" s="48">
        <f>IF(t&lt;Tnet,'2025'!Resal+('2025'!Salim-'2025'!Resal)*(1-EXP(('2025'!Tnet-t)/('2025'!Tau_j))),Resal+(Salim-Resal)*(1-EXP((Tnet-t)/(Tau_j))))*Salcycl</f>
        <v>2.072404325603084E-2</v>
      </c>
      <c r="P222" s="169">
        <f>(INDEX(Models!$BJ222:$BT222,,T222)*(1-R222)+INDEX(Models!$BJ222:$BT222,,T222+1)*R222-ERP_i)*Q222*Ramure*Pc/MaxiM</f>
        <v>1.4863296797711393E-3</v>
      </c>
      <c r="Q222" s="305">
        <f t="shared" si="80"/>
        <v>0.7</v>
      </c>
      <c r="R222" s="177">
        <f t="shared" si="81"/>
        <v>0.91181423717080556</v>
      </c>
      <c r="S222" s="921">
        <f t="shared" si="82"/>
        <v>-2</v>
      </c>
      <c r="T222" s="176">
        <f t="shared" si="83"/>
        <v>4</v>
      </c>
      <c r="U222" s="251">
        <f t="shared" si="84"/>
        <v>-1.0881857628291944</v>
      </c>
      <c r="V222" s="383">
        <f t="shared" si="85"/>
        <v>50.317222972277555</v>
      </c>
      <c r="W222" s="402">
        <f t="shared" si="86"/>
        <v>52.644655381183028</v>
      </c>
      <c r="X222" s="157">
        <f t="shared" si="87"/>
        <v>46230</v>
      </c>
      <c r="Y222" s="385">
        <f t="shared" si="88"/>
        <v>48.520271320472723</v>
      </c>
      <c r="Z222" s="385">
        <f t="shared" si="89"/>
        <v>51.800787839167903</v>
      </c>
      <c r="AA222" s="386">
        <f t="shared" si="90"/>
        <v>57.07349007174895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9.238443673152906E-2</v>
      </c>
      <c r="AD222" s="231">
        <f>(INDEX(Models!$BJ222:$BT222,,AH222)*(1-AF222)+INDEX(Models!$BJ222:$BT222,,AH222+1)*AF222-ERP_i)*AE222*Ramure*Pc/MaxiM</f>
        <v>7.0529127371984955E-3</v>
      </c>
      <c r="AE222" s="305">
        <f t="shared" si="92"/>
        <v>0.7</v>
      </c>
      <c r="AF222" s="177">
        <f t="shared" si="93"/>
        <v>0.43680180354478448</v>
      </c>
      <c r="AG222" s="921">
        <f t="shared" si="99"/>
        <v>2</v>
      </c>
      <c r="AH222" s="176">
        <f t="shared" si="94"/>
        <v>8</v>
      </c>
      <c r="AI222" s="225">
        <f t="shared" si="95"/>
        <v>2.4368018035447845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41.823749184716448</v>
      </c>
      <c r="C223" s="955"/>
      <c r="D223" s="393">
        <f t="shared" si="77"/>
        <v>44.652483430376051</v>
      </c>
      <c r="E223" s="385">
        <f t="shared" si="75"/>
        <v>45.603709276039289</v>
      </c>
      <c r="F223" s="385">
        <f t="shared" si="78"/>
        <v>45.653601701303664</v>
      </c>
      <c r="G223" s="110">
        <f t="shared" si="76"/>
        <v>0.83258807923409095</v>
      </c>
      <c r="H223" s="414" t="b">
        <f>Wh_hp&gt;='2025'!Maxi_hp</f>
        <v>0</v>
      </c>
      <c r="I223" s="390">
        <f>IF(H223,Wh_hp,'2025'!Maxi_hp)</f>
        <v>52.534108463708804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6.3349987018533449E-2</v>
      </c>
      <c r="M223" s="959"/>
      <c r="N223" s="959"/>
      <c r="O223" s="48">
        <f>IF(t&lt;Tnet,'2025'!Resal+('2025'!Salim-'2025'!Resal)*(1-EXP(('2025'!Tnet-t)/('2025'!Tau_j))),Resal+(Salim-Resal)*(1-EXP((Tnet-t)/(Tau_j))))*Salcycl</f>
        <v>2.0858519203020748E-2</v>
      </c>
      <c r="P223" s="169">
        <f>(INDEX(Models!$BJ223:$BT223,,T223)*(1-R223)+INDEX(Models!$BJ223:$BT223,,T223+1)*R223-ERP_i)*Q223*Ramure*Pc/MaxiM</f>
        <v>1.4355991516150776E-3</v>
      </c>
      <c r="Q223" s="305">
        <f t="shared" si="80"/>
        <v>0.7</v>
      </c>
      <c r="R223" s="177">
        <f t="shared" si="81"/>
        <v>0.91405523655738707</v>
      </c>
      <c r="S223" s="921">
        <f t="shared" si="82"/>
        <v>-2</v>
      </c>
      <c r="T223" s="176">
        <f t="shared" si="83"/>
        <v>4</v>
      </c>
      <c r="U223" s="251">
        <f t="shared" si="84"/>
        <v>-1.0859447634426129</v>
      </c>
      <c r="V223" s="383">
        <f t="shared" si="85"/>
        <v>50.216186594335753</v>
      </c>
      <c r="W223" s="402">
        <f t="shared" si="86"/>
        <v>41.823749184716448</v>
      </c>
      <c r="X223" s="157">
        <f t="shared" si="87"/>
        <v>46231</v>
      </c>
      <c r="Y223" s="385">
        <f t="shared" si="88"/>
        <v>38.604501571966132</v>
      </c>
      <c r="Z223" s="385">
        <f t="shared" si="89"/>
        <v>41.21550316225747</v>
      </c>
      <c r="AA223" s="386">
        <f t="shared" si="90"/>
        <v>45.414212525525109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9.2453642368184916E-2</v>
      </c>
      <c r="AD223" s="231">
        <f>(INDEX(Models!$BJ223:$BT223,,AH223)*(1-AF223)+INDEX(Models!$BJ223:$BT223,,AH223+1)*AF223-ERP_i)*AE223*Ramure*Pc/MaxiM</f>
        <v>6.8881577881305658E-3</v>
      </c>
      <c r="AE223" s="305">
        <f t="shared" si="92"/>
        <v>0.7</v>
      </c>
      <c r="AF223" s="177">
        <f t="shared" si="93"/>
        <v>0.43904280293136599</v>
      </c>
      <c r="AG223" s="921">
        <f t="shared" si="99"/>
        <v>2</v>
      </c>
      <c r="AH223" s="176">
        <f t="shared" si="94"/>
        <v>8</v>
      </c>
      <c r="AI223" s="225">
        <f t="shared" si="95"/>
        <v>2.439042802931366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27.858337263024261</v>
      </c>
      <c r="C224" s="955"/>
      <c r="D224" s="393">
        <f t="shared" si="77"/>
        <v>29.743177344110777</v>
      </c>
      <c r="E224" s="385">
        <f t="shared" si="75"/>
        <v>30.380958638113025</v>
      </c>
      <c r="F224" s="385">
        <f t="shared" si="78"/>
        <v>30.396340629207504</v>
      </c>
      <c r="G224" s="110">
        <f t="shared" si="76"/>
        <v>0.55539779143349788</v>
      </c>
      <c r="H224" s="414" t="b">
        <f>Wh_hp&gt;='2025'!Maxi_hp</f>
        <v>0</v>
      </c>
      <c r="I224" s="390">
        <f>IF(H224,Wh_hp,'2025'!Maxi_hp)</f>
        <v>55.721551124095164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6.3370502057666589E-2</v>
      </c>
      <c r="M224" s="959"/>
      <c r="N224" s="959"/>
      <c r="O224" s="48">
        <f>IF(t&lt;Tnet,'2025'!Resal+('2025'!Salim-'2025'!Resal)*(1-EXP(('2025'!Tnet-t)/('2025'!Tau_j))),Resal+(Salim-Resal)*(1-EXP((Tnet-t)/(Tau_j))))*Salcycl</f>
        <v>2.0992796889633042E-2</v>
      </c>
      <c r="P224" s="169">
        <f>(INDEX(Models!$BJ224:$BT224,,T224)*(1-R224)+INDEX(Models!$BJ224:$BT224,,T224+1)*R224-ERP_i)*Q224*Ramure*Pc/MaxiM</f>
        <v>1.384338545654889E-3</v>
      </c>
      <c r="Q224" s="305">
        <f t="shared" si="80"/>
        <v>0.7</v>
      </c>
      <c r="R224" s="177">
        <f t="shared" si="81"/>
        <v>0.91622770556142052</v>
      </c>
      <c r="S224" s="921">
        <f t="shared" si="82"/>
        <v>-2</v>
      </c>
      <c r="T224" s="176">
        <f t="shared" si="83"/>
        <v>4</v>
      </c>
      <c r="U224" s="251">
        <f t="shared" si="84"/>
        <v>-1.0837722944385795</v>
      </c>
      <c r="V224" s="383">
        <f t="shared" si="85"/>
        <v>50.115174340032922</v>
      </c>
      <c r="W224" s="402">
        <f t="shared" si="86"/>
        <v>27.858337263024261</v>
      </c>
      <c r="X224" s="157">
        <f t="shared" si="87"/>
        <v>46232</v>
      </c>
      <c r="Y224" s="385">
        <f t="shared" si="88"/>
        <v>25.772494549455374</v>
      </c>
      <c r="Z224" s="385">
        <f t="shared" si="89"/>
        <v>27.516210631924963</v>
      </c>
      <c r="AA224" s="386">
        <f t="shared" si="90"/>
        <v>30.321643362507725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9.2522449955718455E-2</v>
      </c>
      <c r="AD224" s="231">
        <f>(INDEX(Models!$BJ224:$BT224,,AH224)*(1-AF224)+INDEX(Models!$BJ224:$BT224,,AH224+1)*AF224-ERP_i)*AE224*Ramure*Pc/MaxiM</f>
        <v>6.7225565866216802E-3</v>
      </c>
      <c r="AE224" s="305">
        <f t="shared" si="92"/>
        <v>0.7</v>
      </c>
      <c r="AF224" s="177">
        <f t="shared" si="93"/>
        <v>0.44121527193539967</v>
      </c>
      <c r="AG224" s="921">
        <f t="shared" si="99"/>
        <v>2</v>
      </c>
      <c r="AH224" s="176">
        <f t="shared" si="94"/>
        <v>8</v>
      </c>
      <c r="AI224" s="225">
        <f t="shared" si="95"/>
        <v>2.4412152719353997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41.981125642984814</v>
      </c>
      <c r="C225" s="955"/>
      <c r="D225" s="393">
        <f t="shared" si="77"/>
        <v>44.822467421480468</v>
      </c>
      <c r="E225" s="385">
        <f t="shared" si="75"/>
        <v>45.789864394388502</v>
      </c>
      <c r="F225" s="385">
        <f t="shared" si="78"/>
        <v>45.836930309214033</v>
      </c>
      <c r="G225" s="110">
        <f t="shared" si="76"/>
        <v>0.83912912663083661</v>
      </c>
      <c r="H225" s="414" t="b">
        <f>Wh_hp&gt;='2025'!Maxi_hp</f>
        <v>0</v>
      </c>
      <c r="I225" s="390">
        <f>IF(H225,Wh_hp,'2025'!Maxi_hp)</f>
        <v>53.533900381500366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6.3391016647467824E-2</v>
      </c>
      <c r="M225" s="959"/>
      <c r="N225" s="959"/>
      <c r="O225" s="48">
        <f>IF(t&lt;Tnet,'2025'!Resal+('2025'!Salim-'2025'!Resal)*(1-EXP(('2025'!Tnet-t)/('2025'!Tau_j))),Resal+(Salim-Resal)*(1-EXP((Tnet-t)/(Tau_j))))*Salcycl</f>
        <v>2.1126880057469277E-2</v>
      </c>
      <c r="P225" s="169">
        <f>(INDEX(Models!$BJ225:$BT225,,T225)*(1-R225)+INDEX(Models!$BJ225:$BT225,,T225+1)*R225-ERP_i)*Q225*Ramure*Pc/MaxiM</f>
        <v>1.3325678130766227E-3</v>
      </c>
      <c r="Q225" s="305">
        <f t="shared" si="80"/>
        <v>0.7</v>
      </c>
      <c r="R225" s="177">
        <f t="shared" si="81"/>
        <v>0.91833298910830274</v>
      </c>
      <c r="S225" s="921">
        <f t="shared" si="82"/>
        <v>-2</v>
      </c>
      <c r="T225" s="176">
        <f t="shared" si="83"/>
        <v>4</v>
      </c>
      <c r="U225" s="251">
        <f t="shared" si="84"/>
        <v>-1.0816670108916973</v>
      </c>
      <c r="V225" s="383">
        <f t="shared" si="85"/>
        <v>50.014086209773282</v>
      </c>
      <c r="W225" s="402">
        <f t="shared" si="86"/>
        <v>41.981125642984814</v>
      </c>
      <c r="X225" s="157">
        <f t="shared" si="87"/>
        <v>46233</v>
      </c>
      <c r="Y225" s="385">
        <f t="shared" si="88"/>
        <v>38.759434597932163</v>
      </c>
      <c r="Z225" s="385">
        <f t="shared" si="89"/>
        <v>41.382727783792163</v>
      </c>
      <c r="AA225" s="386">
        <f t="shared" si="90"/>
        <v>45.60536909113388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9.2590881106642348E-2</v>
      </c>
      <c r="AD225" s="231">
        <f>(INDEX(Models!$BJ225:$BT225,,AH225)*(1-AF225)+INDEX(Models!$BJ225:$BT225,,AH225+1)*AF225-ERP_i)*AE225*Ramure*Pc/MaxiM</f>
        <v>6.5561463558987633E-3</v>
      </c>
      <c r="AE225" s="305">
        <f t="shared" si="92"/>
        <v>0.7</v>
      </c>
      <c r="AF225" s="177">
        <f t="shared" si="93"/>
        <v>0.44332055548228189</v>
      </c>
      <c r="AG225" s="921">
        <f t="shared" si="99"/>
        <v>2</v>
      </c>
      <c r="AH225" s="176">
        <f t="shared" si="94"/>
        <v>8</v>
      </c>
      <c r="AI225" s="225">
        <f t="shared" si="95"/>
        <v>2.4433205554822819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50.463928384309568</v>
      </c>
      <c r="C226" s="955"/>
      <c r="D226" s="393">
        <f t="shared" si="77"/>
        <v>53.880578336357907</v>
      </c>
      <c r="E226" s="385">
        <f t="shared" si="75"/>
        <v>55.051005209307014</v>
      </c>
      <c r="F226" s="385">
        <f t="shared" si="78"/>
        <v>55.12160846336959</v>
      </c>
      <c r="G226" s="110">
        <f t="shared" si="76"/>
        <v>1.0110419368193317</v>
      </c>
      <c r="H226" s="414" t="b">
        <f>Wh_hp&gt;='2025'!Maxi_hp</f>
        <v>1</v>
      </c>
      <c r="I226" s="390">
        <f>IF(H226,Wh_hp,'2025'!Maxi_hp)</f>
        <v>55.12160846336959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6.3411530787946813E-2</v>
      </c>
      <c r="M226" s="959"/>
      <c r="N226" s="959"/>
      <c r="O226" s="48">
        <f>IF(t&lt;Tnet,'2025'!Resal+('2025'!Salim-'2025'!Resal)*(1-EXP(('2025'!Tnet-t)/('2025'!Tau_j))),Resal+(Salim-Resal)*(1-EXP((Tnet-t)/(Tau_j))))*Salcycl</f>
        <v>2.1260772051283749E-2</v>
      </c>
      <c r="P226" s="169">
        <f>(INDEX(Models!$BJ226:$BT226,,T226)*(1-R226)+INDEX(Models!$BJ226:$BT226,,T226+1)*R226-ERP_i)*Q226*Ramure*Pc/MaxiM</f>
        <v>1.2808634586470176E-3</v>
      </c>
      <c r="Q226" s="305">
        <f t="shared" si="80"/>
        <v>0.7</v>
      </c>
      <c r="R226" s="177">
        <f t="shared" si="81"/>
        <v>0.92037246017377594</v>
      </c>
      <c r="S226" s="921">
        <f t="shared" si="82"/>
        <v>-2</v>
      </c>
      <c r="T226" s="176">
        <f t="shared" si="83"/>
        <v>4</v>
      </c>
      <c r="U226" s="251">
        <f t="shared" si="84"/>
        <v>-1.0796275398262241</v>
      </c>
      <c r="V226" s="383">
        <f t="shared" si="85"/>
        <v>49.912794461390604</v>
      </c>
      <c r="W226" s="402">
        <f t="shared" si="86"/>
        <v>50.463928384309568</v>
      </c>
      <c r="X226" s="157">
        <f t="shared" si="87"/>
        <v>46234</v>
      </c>
      <c r="Y226" s="385">
        <f t="shared" si="88"/>
        <v>46.543240934259543</v>
      </c>
      <c r="Z226" s="385">
        <f t="shared" si="89"/>
        <v>49.694441544231395</v>
      </c>
      <c r="AA226" s="386">
        <f t="shared" si="90"/>
        <v>54.769308441284771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9.2658955197396128E-2</v>
      </c>
      <c r="AD226" s="231">
        <f>(INDEX(Models!$BJ226:$BT226,,AH226)*(1-AF226)+INDEX(Models!$BJ226:$BT226,,AH226+1)*AF226-ERP_i)*AE226*Ramure*Pc/MaxiM</f>
        <v>6.3913233286531307E-3</v>
      </c>
      <c r="AE226" s="305">
        <f t="shared" si="92"/>
        <v>0.7</v>
      </c>
      <c r="AF226" s="177">
        <f t="shared" si="93"/>
        <v>0.44536002654775508</v>
      </c>
      <c r="AG226" s="921">
        <f t="shared" si="99"/>
        <v>2</v>
      </c>
      <c r="AH226" s="176">
        <f t="shared" si="94"/>
        <v>8</v>
      </c>
      <c r="AI226" s="225">
        <f t="shared" si="95"/>
        <v>2.4453600265477551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50.389085651242077</v>
      </c>
      <c r="C227" s="955"/>
      <c r="D227" s="393">
        <f t="shared" si="77"/>
        <v>53.801846789875938</v>
      </c>
      <c r="E227" s="385">
        <f t="shared" si="75"/>
        <v>54.97807386099678</v>
      </c>
      <c r="F227" s="385">
        <f t="shared" si="78"/>
        <v>55.045740208106054</v>
      </c>
      <c r="G227" s="110">
        <f t="shared" si="76"/>
        <v>1.0116015621368712</v>
      </c>
      <c r="H227" s="414" t="b">
        <f>Wh_hp&gt;='2025'!Maxi_hp</f>
        <v>1</v>
      </c>
      <c r="I227" s="390">
        <f>IF(H227,Wh_hp,'2025'!Maxi_hp)</f>
        <v>55.045740208106054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6.3432044479113547E-2</v>
      </c>
      <c r="M227" s="959"/>
      <c r="N227" s="959"/>
      <c r="O227" s="48">
        <f>IF(t&lt;Tnet,'2025'!Resal+('2025'!Salim-'2025'!Resal)*(1-EXP(('2025'!Tnet-t)/('2025'!Tau_j))),Resal+(Salim-Resal)*(1-EXP((Tnet-t)/(Tau_j))))*Salcycl</f>
        <v>2.1394475806750527E-2</v>
      </c>
      <c r="P227" s="169">
        <f>(INDEX(Models!$BJ227:$BT227,,T227)*(1-R227)+INDEX(Models!$BJ227:$BT227,,T227+1)*R227-ERP_i)*Q227*Ramure*Pc/MaxiM</f>
        <v>1.2292749058048235E-3</v>
      </c>
      <c r="Q227" s="305">
        <f t="shared" si="80"/>
        <v>0.7</v>
      </c>
      <c r="R227" s="177">
        <f t="shared" si="81"/>
        <v>0.92234751490244515</v>
      </c>
      <c r="S227" s="921">
        <f t="shared" si="82"/>
        <v>-2</v>
      </c>
      <c r="T227" s="176">
        <f t="shared" si="83"/>
        <v>4</v>
      </c>
      <c r="U227" s="251">
        <f t="shared" si="84"/>
        <v>-1.0776524850975548</v>
      </c>
      <c r="V227" s="383">
        <f t="shared" si="85"/>
        <v>49.811197943192141</v>
      </c>
      <c r="W227" s="402">
        <f t="shared" si="86"/>
        <v>50.389085651242077</v>
      </c>
      <c r="X227" s="157">
        <f t="shared" si="87"/>
        <v>46235</v>
      </c>
      <c r="Y227" s="385">
        <f t="shared" si="88"/>
        <v>46.482307360493124</v>
      </c>
      <c r="Z227" s="385">
        <f t="shared" si="89"/>
        <v>49.630469509968748</v>
      </c>
      <c r="AA227" s="386">
        <f t="shared" si="90"/>
        <v>54.702887133379491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9.2726689380085242E-2</v>
      </c>
      <c r="AD227" s="231">
        <f>(INDEX(Models!$BJ227:$BT227,,AH227)*(1-AF227)+INDEX(Models!$BJ227:$BT227,,AH227+1)*AF227-ERP_i)*AE227*Ramure*Pc/MaxiM</f>
        <v>6.2285123867963765E-3</v>
      </c>
      <c r="AE227" s="305">
        <f t="shared" si="92"/>
        <v>0.7</v>
      </c>
      <c r="AF227" s="177">
        <f t="shared" si="93"/>
        <v>0.44733508127642452</v>
      </c>
      <c r="AG227" s="921">
        <f t="shared" si="99"/>
        <v>2</v>
      </c>
      <c r="AH227" s="176">
        <f t="shared" si="94"/>
        <v>8</v>
      </c>
      <c r="AI227" s="225">
        <f t="shared" si="95"/>
        <v>2.4473350812764245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50.434885895869691</v>
      </c>
      <c r="C228" s="955"/>
      <c r="D228" s="393">
        <f t="shared" si="77"/>
        <v>53.851928497225877</v>
      </c>
      <c r="E228" s="385">
        <f t="shared" si="75"/>
        <v>55.036759517192159</v>
      </c>
      <c r="F228" s="385">
        <f t="shared" si="78"/>
        <v>55.101659633239542</v>
      </c>
      <c r="G228" s="110">
        <f t="shared" si="76"/>
        <v>1.0145986866280075</v>
      </c>
      <c r="H228" s="414" t="b">
        <f>Wh_hp&gt;='2025'!Maxi_hp</f>
        <v>0</v>
      </c>
      <c r="I228" s="390">
        <f>IF(H228,Wh_hp,'2025'!Maxi_hp)</f>
        <v>55.101659633239557</v>
      </c>
      <c r="J228" s="85">
        <f>IF(H228,An,'2025'!An_max)</f>
        <v>2022</v>
      </c>
      <c r="K228" s="197">
        <f t="shared" si="79"/>
        <v>46236</v>
      </c>
      <c r="L228" s="147">
        <f>IF(t&lt;Tvie,1-EXP((T0-t)*PertePVj)+'2025'!Pspv,1-EXP((T0-t)*PertePVj)+Pspv)</f>
        <v>6.3452557720977687E-2</v>
      </c>
      <c r="M228" s="959"/>
      <c r="N228" s="959"/>
      <c r="O228" s="48">
        <f>IF(t&lt;Tnet,'2025'!Resal+('2025'!Salim-'2025'!Resal)*(1-EXP(('2025'!Tnet-t)/('2025'!Tau_j))),Resal+(Salim-Resal)*(1-EXP((Tnet-t)/(Tau_j))))*Salcycl</f>
        <v>2.1527993841937088E-2</v>
      </c>
      <c r="P228" s="169">
        <f>(INDEX(Models!$BJ228:$BT228,,T228)*(1-R228)+INDEX(Models!$BJ228:$BT228,,T228+1)*R228-ERP_i)*Q228*Ramure*Pc/MaxiM</f>
        <v>1.1778250687795469E-3</v>
      </c>
      <c r="Q228" s="305">
        <f t="shared" si="80"/>
        <v>0.7</v>
      </c>
      <c r="R228" s="177">
        <f t="shared" si="81"/>
        <v>0.92425956798708198</v>
      </c>
      <c r="S228" s="921">
        <f t="shared" si="82"/>
        <v>-2</v>
      </c>
      <c r="T228" s="176">
        <f t="shared" si="83"/>
        <v>4</v>
      </c>
      <c r="U228" s="251">
        <f t="shared" si="84"/>
        <v>-1.075740432012918</v>
      </c>
      <c r="V228" s="383">
        <f t="shared" si="85"/>
        <v>49.709196907684479</v>
      </c>
      <c r="W228" s="402">
        <f t="shared" si="86"/>
        <v>50.434885895869691</v>
      </c>
      <c r="X228" s="157">
        <f t="shared" si="87"/>
        <v>46236</v>
      </c>
      <c r="Y228" s="385">
        <f t="shared" si="88"/>
        <v>46.53257744604192</v>
      </c>
      <c r="Z228" s="385">
        <f t="shared" si="89"/>
        <v>49.68523253110186</v>
      </c>
      <c r="AA228" s="386">
        <f t="shared" si="90"/>
        <v>54.7673162784101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9.2794098609349784E-2</v>
      </c>
      <c r="AD228" s="231">
        <f>(INDEX(Models!$BJ228:$BT228,,AH228)*(1-AF228)+INDEX(Models!$BJ228:$BT228,,AH228+1)*AF228-ERP_i)*AE228*Ramure*Pc/MaxiM</f>
        <v>6.0677547111077992E-3</v>
      </c>
      <c r="AE228" s="305">
        <f t="shared" si="92"/>
        <v>0.7</v>
      </c>
      <c r="AF228" s="177">
        <f t="shared" si="93"/>
        <v>0.44924713436106112</v>
      </c>
      <c r="AG228" s="921">
        <f t="shared" si="99"/>
        <v>2</v>
      </c>
      <c r="AH228" s="176">
        <f t="shared" si="94"/>
        <v>8</v>
      </c>
      <c r="AI228" s="225">
        <f t="shared" si="95"/>
        <v>2.4492471343610611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48.83736894250044</v>
      </c>
      <c r="C229" s="955"/>
      <c r="D229" s="393">
        <f t="shared" si="77"/>
        <v>52.147319425486948</v>
      </c>
      <c r="E229" s="385">
        <f t="shared" si="75"/>
        <v>53.301909585496105</v>
      </c>
      <c r="F229" s="385">
        <f t="shared" si="78"/>
        <v>53.360690507240456</v>
      </c>
      <c r="G229" s="110">
        <f t="shared" si="76"/>
        <v>0.98446695355550096</v>
      </c>
      <c r="H229" s="414" t="b">
        <f>Wh_hp&gt;='2025'!Maxi_hp</f>
        <v>0</v>
      </c>
      <c r="I229" s="390">
        <f>IF(H229,Wh_hp,'2025'!Maxi_hp)</f>
        <v>53.74274506897126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6.3473070513549223E-2</v>
      </c>
      <c r="M229" s="959"/>
      <c r="N229" s="959"/>
      <c r="O229" s="48">
        <f>IF(t&lt;Tnet,'2025'!Resal+('2025'!Salim-'2025'!Resal)*(1-EXP(('2025'!Tnet-t)/('2025'!Tau_j))),Resal+(Salim-Resal)*(1-EXP((Tnet-t)/(Tau_j))))*Salcycl</f>
        <v>2.1661328252362094E-2</v>
      </c>
      <c r="P229" s="169">
        <f>(INDEX(Models!$BJ229:$BT229,,T229)*(1-R229)+INDEX(Models!$BJ229:$BT229,,T229+1)*R229-ERP_i)*Q229*Ramure*Pc/MaxiM</f>
        <v>1.1265355433990024E-3</v>
      </c>
      <c r="Q229" s="305">
        <f t="shared" si="80"/>
        <v>0.7</v>
      </c>
      <c r="R229" s="177">
        <f t="shared" si="81"/>
        <v>0.92611004830980503</v>
      </c>
      <c r="S229" s="921">
        <f t="shared" si="82"/>
        <v>-2</v>
      </c>
      <c r="T229" s="176">
        <f t="shared" si="83"/>
        <v>4</v>
      </c>
      <c r="U229" s="251">
        <f t="shared" si="84"/>
        <v>-1.073889951690195</v>
      </c>
      <c r="V229" s="383">
        <f t="shared" si="85"/>
        <v>49.606691746907785</v>
      </c>
      <c r="W229" s="402">
        <f t="shared" si="86"/>
        <v>48.83736894250044</v>
      </c>
      <c r="X229" s="157">
        <f t="shared" si="87"/>
        <v>46237</v>
      </c>
      <c r="Y229" s="385">
        <f t="shared" si="88"/>
        <v>45.071161400648101</v>
      </c>
      <c r="Z229" s="385">
        <f t="shared" si="89"/>
        <v>48.125857336919395</v>
      </c>
      <c r="AA229" s="386">
        <f t="shared" si="90"/>
        <v>53.05236321928534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9.2861195683269421E-2</v>
      </c>
      <c r="AD229" s="231">
        <f>(INDEX(Models!$BJ229:$BT229,,AH229)*(1-AF229)+INDEX(Models!$BJ229:$BT229,,AH229+1)*AF229-ERP_i)*AE229*Ramure*Pc/MaxiM</f>
        <v>5.9090881628550669E-3</v>
      </c>
      <c r="AE229" s="305">
        <f t="shared" si="92"/>
        <v>0.7</v>
      </c>
      <c r="AF229" s="177">
        <f t="shared" si="93"/>
        <v>0.45109761468378418</v>
      </c>
      <c r="AG229" s="921">
        <f t="shared" si="99"/>
        <v>2</v>
      </c>
      <c r="AH229" s="176">
        <f t="shared" si="94"/>
        <v>8</v>
      </c>
      <c r="AI229" s="225">
        <f t="shared" si="95"/>
        <v>2.4510976146837842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48.307925502701607</v>
      </c>
      <c r="C230" s="955"/>
      <c r="D230" s="393">
        <f t="shared" si="77"/>
        <v>51.583122783147857</v>
      </c>
      <c r="E230" s="385">
        <f t="shared" si="75"/>
        <v>52.732398014437905</v>
      </c>
      <c r="F230" s="385">
        <f t="shared" si="78"/>
        <v>52.787208023671411</v>
      </c>
      <c r="G230" s="110">
        <f t="shared" si="76"/>
        <v>0.9758108034309273</v>
      </c>
      <c r="H230" s="414" t="b">
        <f>Wh_hp&gt;='2025'!Maxi_hp</f>
        <v>0</v>
      </c>
      <c r="I230" s="390">
        <f>IF(H230,Wh_hp,'2025'!Maxi_hp)</f>
        <v>52.788265189687309</v>
      </c>
      <c r="J230" s="85">
        <f>IF(H230,An,'2025'!An_max)</f>
        <v>2025</v>
      </c>
      <c r="K230" s="197">
        <f t="shared" si="79"/>
        <v>46238</v>
      </c>
      <c r="L230" s="147">
        <f>IF(t&lt;Tvie,1-EXP((T0-t)*PertePVj)+'2025'!Pspv,1-EXP((T0-t)*PertePVj)+Pspv)</f>
        <v>6.3493582856838038E-2</v>
      </c>
      <c r="M230" s="959"/>
      <c r="N230" s="959"/>
      <c r="O230" s="48">
        <f>IF(t&lt;Tnet,'2025'!Resal+('2025'!Salim-'2025'!Resal)*(1-EXP(('2025'!Tnet-t)/('2025'!Tau_j))),Resal+(Salim-Resal)*(1-EXP((Tnet-t)/(Tau_j))))*Salcycl</f>
        <v>2.1794480709475445E-2</v>
      </c>
      <c r="P230" s="169">
        <f>(INDEX(Models!$BJ230:$BT230,,T230)*(1-R230)+INDEX(Models!$BJ230:$BT230,,T230+1)*R230-ERP_i)*Q230*Ramure*Pc/MaxiM</f>
        <v>1.0754266624072716E-3</v>
      </c>
      <c r="Q230" s="305">
        <f t="shared" si="80"/>
        <v>0.7</v>
      </c>
      <c r="R230" s="177">
        <f t="shared" si="81"/>
        <v>0.92790039484448172</v>
      </c>
      <c r="S230" s="921">
        <f t="shared" si="82"/>
        <v>-2</v>
      </c>
      <c r="T230" s="176">
        <f t="shared" si="83"/>
        <v>4</v>
      </c>
      <c r="U230" s="251">
        <f t="shared" si="84"/>
        <v>-1.0720996051555183</v>
      </c>
      <c r="V230" s="383">
        <f t="shared" si="85"/>
        <v>49.503582989232136</v>
      </c>
      <c r="W230" s="402">
        <f t="shared" si="86"/>
        <v>48.307925502701607</v>
      </c>
      <c r="X230" s="157">
        <f t="shared" si="87"/>
        <v>46238</v>
      </c>
      <c r="Y230" s="385">
        <f t="shared" si="88"/>
        <v>44.592558834295545</v>
      </c>
      <c r="Z230" s="385">
        <f t="shared" si="89"/>
        <v>47.615860412709551</v>
      </c>
      <c r="AA230" s="386">
        <f t="shared" si="90"/>
        <v>52.494024681457496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9.2927991297094489E-2</v>
      </c>
      <c r="AD230" s="231">
        <f>(INDEX(Models!$BJ230:$BT230,,AH230)*(1-AF230)+INDEX(Models!$BJ230:$BT230,,AH230+1)*AF230-ERP_i)*AE230*Ramure*Pc/MaxiM</f>
        <v>5.7525475291793464E-3</v>
      </c>
      <c r="AE230" s="305">
        <f t="shared" si="92"/>
        <v>0.7</v>
      </c>
      <c r="AF230" s="177">
        <f t="shared" si="93"/>
        <v>0.45288796121846087</v>
      </c>
      <c r="AG230" s="921">
        <f t="shared" si="99"/>
        <v>2</v>
      </c>
      <c r="AH230" s="176">
        <f t="shared" si="94"/>
        <v>8</v>
      </c>
      <c r="AI230" s="225">
        <f t="shared" si="95"/>
        <v>2.4528879612184609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43.554589142235436</v>
      </c>
      <c r="C231" s="955"/>
      <c r="D231" s="393">
        <f t="shared" si="77"/>
        <v>46.508536752240822</v>
      </c>
      <c r="E231" s="385">
        <f t="shared" si="75"/>
        <v>47.551213730851664</v>
      </c>
      <c r="F231" s="385">
        <f t="shared" si="78"/>
        <v>47.591730420025108</v>
      </c>
      <c r="G231" s="110">
        <f t="shared" si="76"/>
        <v>0.88152310925660027</v>
      </c>
      <c r="H231" s="414" t="b">
        <f>Wh_hp&gt;='2025'!Maxi_hp</f>
        <v>0</v>
      </c>
      <c r="I231" s="390">
        <f>IF(H231,Wh_hp,'2025'!Maxi_hp)</f>
        <v>53.36011340472448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6.3514094750853789E-2</v>
      </c>
      <c r="M231" s="959"/>
      <c r="N231" s="959"/>
      <c r="O231" s="48">
        <f>IF(t&lt;Tnet,'2025'!Resal+('2025'!Salim-'2025'!Resal)*(1-EXP(('2025'!Tnet-t)/('2025'!Tau_j))),Resal+(Salim-Resal)*(1-EXP((Tnet-t)/(Tau_j))))*Salcycl</f>
        <v>2.1927452462361462E-2</v>
      </c>
      <c r="P231" s="169">
        <f>(INDEX(Models!$BJ231:$BT231,,T231)*(1-R231)+INDEX(Models!$BJ231:$BT231,,T231+1)*R231-ERP_i)*Q231*Ramure*Pc/MaxiM</f>
        <v>1.0245175524374848E-3</v>
      </c>
      <c r="Q231" s="305">
        <f t="shared" si="80"/>
        <v>0.7</v>
      </c>
      <c r="R231" s="177">
        <f t="shared" si="81"/>
        <v>0.92963205281812411</v>
      </c>
      <c r="S231" s="921">
        <f t="shared" si="82"/>
        <v>-2</v>
      </c>
      <c r="T231" s="176">
        <f t="shared" si="83"/>
        <v>4</v>
      </c>
      <c r="U231" s="251">
        <f t="shared" si="84"/>
        <v>-1.0703679471818759</v>
      </c>
      <c r="V231" s="383">
        <f t="shared" si="85"/>
        <v>49.399771294657867</v>
      </c>
      <c r="W231" s="402">
        <f t="shared" si="86"/>
        <v>43.554589142235436</v>
      </c>
      <c r="X231" s="157">
        <f t="shared" si="87"/>
        <v>46239</v>
      </c>
      <c r="Y231" s="385">
        <f t="shared" si="88"/>
        <v>40.236265398183924</v>
      </c>
      <c r="Z231" s="385">
        <f t="shared" si="89"/>
        <v>42.965158549267557</v>
      </c>
      <c r="AA231" s="386">
        <f t="shared" si="90"/>
        <v>47.370339287010772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9.299449410849249E-2</v>
      </c>
      <c r="AD231" s="231">
        <f>(INDEX(Models!$BJ231:$BT231,,AH231)*(1-AF231)+INDEX(Models!$BJ231:$BT231,,AH231+1)*AF231-ERP_i)*AE231*Ramure*Pc/MaxiM</f>
        <v>5.5981647650491378E-3</v>
      </c>
      <c r="AE231" s="305">
        <f t="shared" si="92"/>
        <v>0.7</v>
      </c>
      <c r="AF231" s="177">
        <f t="shared" si="93"/>
        <v>0.45461961919210303</v>
      </c>
      <c r="AG231" s="921">
        <f t="shared" si="99"/>
        <v>2</v>
      </c>
      <c r="AH231" s="176">
        <f t="shared" si="94"/>
        <v>8</v>
      </c>
      <c r="AI231" s="225">
        <f t="shared" si="95"/>
        <v>2.454619619192103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46.04282449569034</v>
      </c>
      <c r="C232" s="955"/>
      <c r="D232" s="393">
        <f t="shared" si="77"/>
        <v>49.166605408280198</v>
      </c>
      <c r="E232" s="385">
        <f t="shared" si="75"/>
        <v>50.275699626528102</v>
      </c>
      <c r="F232" s="385">
        <f t="shared" si="78"/>
        <v>50.320083987423899</v>
      </c>
      <c r="G232" s="110">
        <f t="shared" si="76"/>
        <v>0.93393747134843197</v>
      </c>
      <c r="H232" s="414" t="b">
        <f>Wh_hp&gt;='2025'!Maxi_hp</f>
        <v>0</v>
      </c>
      <c r="I232" s="390">
        <f>IF(H232,Wh_hp,'2025'!Maxi_hp)</f>
        <v>54.203152791652954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6.3534606195606469E-2</v>
      </c>
      <c r="M232" s="959"/>
      <c r="N232" s="959"/>
      <c r="O232" s="48">
        <f>IF(t&lt;Tnet,'2025'!Resal+('2025'!Salim-'2025'!Resal)*(1-EXP(('2025'!Tnet-t)/('2025'!Tau_j))),Resal+(Salim-Resal)*(1-EXP((Tnet-t)/(Tau_j))))*Salcycl</f>
        <v>2.2060244342431593E-2</v>
      </c>
      <c r="P232" s="169">
        <f>(INDEX(Models!$BJ232:$BT232,,T232)*(1-R232)+INDEX(Models!$BJ232:$BT232,,T232+1)*R232-ERP_i)*Q232*Ramure*Pc/MaxiM</f>
        <v>9.7382619178415747E-4</v>
      </c>
      <c r="Q232" s="305">
        <f t="shared" si="80"/>
        <v>0.7</v>
      </c>
      <c r="R232" s="177">
        <f t="shared" si="81"/>
        <v>0.93130647012765566</v>
      </c>
      <c r="S232" s="921">
        <f t="shared" si="82"/>
        <v>-2</v>
      </c>
      <c r="T232" s="176">
        <f t="shared" si="83"/>
        <v>4</v>
      </c>
      <c r="U232" s="251">
        <f t="shared" si="84"/>
        <v>-1.0686935298723443</v>
      </c>
      <c r="V232" s="383">
        <f t="shared" si="85"/>
        <v>49.295157451999906</v>
      </c>
      <c r="W232" s="402">
        <f t="shared" si="86"/>
        <v>46.04282449569034</v>
      </c>
      <c r="X232" s="157">
        <f t="shared" si="87"/>
        <v>46240</v>
      </c>
      <c r="Y232" s="385">
        <f t="shared" si="88"/>
        <v>42.526904598693953</v>
      </c>
      <c r="Z232" s="385">
        <f t="shared" si="89"/>
        <v>45.412147507051245</v>
      </c>
      <c r="AA232" s="386">
        <f t="shared" si="90"/>
        <v>50.071871456528719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9.3060710812915032E-2</v>
      </c>
      <c r="AD232" s="231">
        <f>(INDEX(Models!$BJ232:$BT232,,AH232)*(1-AF232)+INDEX(Models!$BJ232:$BT232,,AH232+1)*AF232-ERP_i)*AE232*Ramure*Pc/MaxiM</f>
        <v>5.4459692296180027E-3</v>
      </c>
      <c r="AE232" s="305">
        <f t="shared" si="92"/>
        <v>0.7</v>
      </c>
      <c r="AF232" s="177">
        <f t="shared" si="93"/>
        <v>0.4562940365016348</v>
      </c>
      <c r="AG232" s="921">
        <f t="shared" si="99"/>
        <v>2</v>
      </c>
      <c r="AH232" s="176">
        <f t="shared" si="94"/>
        <v>8</v>
      </c>
      <c r="AI232" s="225">
        <f t="shared" si="95"/>
        <v>2.4562940365016348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49.11571330019175</v>
      </c>
      <c r="C233" s="955"/>
      <c r="D233" s="393">
        <f t="shared" si="77"/>
        <v>52.449123490180988</v>
      </c>
      <c r="E233" s="385">
        <f t="shared" ref="E233:E296" si="100">Wh_pvt/(1-Psa)</f>
        <v>53.639538075954775</v>
      </c>
      <c r="F233" s="385">
        <f t="shared" si="78"/>
        <v>53.689006254075252</v>
      </c>
      <c r="G233" s="110">
        <f t="shared" ref="G233:G296" si="101">+Wh_hp/MaxiM</f>
        <v>0.99849365446600535</v>
      </c>
      <c r="H233" s="414" t="b">
        <f>Wh_hp&gt;='2025'!Maxi_hp</f>
        <v>0</v>
      </c>
      <c r="I233" s="390">
        <f>IF(H233,Wh_hp,'2025'!Maxi_hp)</f>
        <v>53.689063433839777</v>
      </c>
      <c r="J233" s="85">
        <f>IF(H233,An,'2025'!An_max)</f>
        <v>2025</v>
      </c>
      <c r="K233" s="197">
        <f t="shared" si="79"/>
        <v>46241</v>
      </c>
      <c r="L233" s="147">
        <f>IF(t&lt;Tvie,1-EXP((T0-t)*PertePVj)+'2025'!Pspv,1-EXP((T0-t)*PertePVj)+Pspv)</f>
        <v>6.3555117191105848E-2</v>
      </c>
      <c r="M233" s="959"/>
      <c r="N233" s="959"/>
      <c r="O233" s="48">
        <f>IF(t&lt;Tnet,'2025'!Resal+('2025'!Salim-'2025'!Resal)*(1-EXP(('2025'!Tnet-t)/('2025'!Tau_j))),Resal+(Salim-Resal)*(1-EXP((Tnet-t)/(Tau_j))))*Salcycl</f>
        <v>2.2192856770841946E-2</v>
      </c>
      <c r="P233" s="169">
        <f>(INDEX(Models!$BJ233:$BT233,,T233)*(1-R233)+INDEX(Models!$BJ233:$BT233,,T233+1)*R233-ERP_i)*Q233*Ramure*Pc/MaxiM</f>
        <v>9.2336815413764984E-4</v>
      </c>
      <c r="Q233" s="305">
        <f t="shared" si="80"/>
        <v>0.7</v>
      </c>
      <c r="R233" s="177">
        <f t="shared" si="81"/>
        <v>0.93292509400721912</v>
      </c>
      <c r="S233" s="921">
        <f t="shared" si="82"/>
        <v>-2</v>
      </c>
      <c r="T233" s="176">
        <f t="shared" si="83"/>
        <v>4</v>
      </c>
      <c r="U233" s="251">
        <f t="shared" si="84"/>
        <v>-1.0670749059927809</v>
      </c>
      <c r="V233" s="383">
        <f t="shared" si="85"/>
        <v>49.189712448733907</v>
      </c>
      <c r="W233" s="402">
        <f t="shared" si="86"/>
        <v>49.11571330019175</v>
      </c>
      <c r="X233" s="157">
        <f t="shared" si="87"/>
        <v>46241</v>
      </c>
      <c r="Y233" s="385">
        <f t="shared" si="88"/>
        <v>45.353736228295567</v>
      </c>
      <c r="Z233" s="385">
        <f t="shared" si="89"/>
        <v>48.431826646599525</v>
      </c>
      <c r="AA233" s="386">
        <f t="shared" si="90"/>
        <v>53.40528139363068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9.3126646227620222E-2</v>
      </c>
      <c r="AD233" s="231">
        <f>(INDEX(Models!$BJ233:$BT233,,AH233)*(1-AF233)+INDEX(Models!$BJ233:$BT233,,AH233+1)*AF233-ERP_i)*AE233*Ramure*Pc/MaxiM</f>
        <v>5.2959803782062055E-3</v>
      </c>
      <c r="AE233" s="305">
        <f t="shared" si="92"/>
        <v>0.7</v>
      </c>
      <c r="AF233" s="177">
        <f t="shared" si="93"/>
        <v>0.45791266038119849</v>
      </c>
      <c r="AG233" s="921">
        <f t="shared" si="99"/>
        <v>2</v>
      </c>
      <c r="AH233" s="176">
        <f t="shared" si="94"/>
        <v>8</v>
      </c>
      <c r="AI233" s="225">
        <f t="shared" si="95"/>
        <v>2.4579126603811985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49.713285405928644</v>
      </c>
      <c r="C234" s="955"/>
      <c r="D234" s="393">
        <f t="shared" si="77"/>
        <v>53.088414695795208</v>
      </c>
      <c r="E234" s="385">
        <f t="shared" si="100"/>
        <v>54.300693410813601</v>
      </c>
      <c r="F234" s="385">
        <f t="shared" si="78"/>
        <v>54.348181539187038</v>
      </c>
      <c r="G234" s="110">
        <f t="shared" si="101"/>
        <v>1.0128309621752034</v>
      </c>
      <c r="H234" s="414" t="b">
        <f>Wh_hp&gt;='2025'!Maxi_hp</f>
        <v>1</v>
      </c>
      <c r="I234" s="390">
        <f>IF(H234,Wh_hp,'2025'!Maxi_hp)</f>
        <v>54.348181539187038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6.3575627737361806E-2</v>
      </c>
      <c r="M234" s="959"/>
      <c r="N234" s="959"/>
      <c r="O234" s="48">
        <f>IF(t&lt;Tnet,'2025'!Resal+('2025'!Salim-'2025'!Resal)*(1-EXP(('2025'!Tnet-t)/('2025'!Tau_j))),Resal+(Salim-Resal)*(1-EXP((Tnet-t)/(Tau_j))))*Salcycl</f>
        <v>2.2325289768343436E-2</v>
      </c>
      <c r="P234" s="169">
        <f>(INDEX(Models!$BJ234:$BT234,,T234)*(1-R234)+INDEX(Models!$BJ234:$BT234,,T234+1)*R234-ERP_i)*Q234*Ramure*Pc/MaxiM</f>
        <v>8.737758472966169E-4</v>
      </c>
      <c r="Q234" s="305">
        <f t="shared" si="80"/>
        <v>0.7</v>
      </c>
      <c r="R234" s="177">
        <f t="shared" si="81"/>
        <v>0.9344893679401407</v>
      </c>
      <c r="S234" s="921">
        <f t="shared" si="82"/>
        <v>-2</v>
      </c>
      <c r="T234" s="176">
        <f t="shared" si="83"/>
        <v>4</v>
      </c>
      <c r="U234" s="251">
        <f t="shared" si="84"/>
        <v>-1.0655106320598593</v>
      </c>
      <c r="V234" s="383">
        <f t="shared" si="85"/>
        <v>49.083496913603483</v>
      </c>
      <c r="W234" s="402">
        <f t="shared" si="86"/>
        <v>49.713285405928644</v>
      </c>
      <c r="X234" s="157">
        <f t="shared" si="87"/>
        <v>46242</v>
      </c>
      <c r="Y234" s="385">
        <f t="shared" si="88"/>
        <v>45.912417805435851</v>
      </c>
      <c r="Z234" s="385">
        <f t="shared" si="89"/>
        <v>49.029498980787778</v>
      </c>
      <c r="AA234" s="386">
        <f t="shared" si="90"/>
        <v>54.06824309464055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9.3192303382837891E-2</v>
      </c>
      <c r="AD234" s="231">
        <f>(INDEX(Models!$BJ234:$BT234,,AH234)*(1-AF234)+INDEX(Models!$BJ234:$BT234,,AH234+1)*AF234-ERP_i)*AE234*Ramure*Pc/MaxiM</f>
        <v>5.1508336915494553E-3</v>
      </c>
      <c r="AE234" s="305">
        <f t="shared" si="92"/>
        <v>0.7</v>
      </c>
      <c r="AF234" s="177">
        <f t="shared" si="93"/>
        <v>0.45947693431411984</v>
      </c>
      <c r="AG234" s="921">
        <f t="shared" si="99"/>
        <v>2</v>
      </c>
      <c r="AH234" s="176">
        <f t="shared" si="94"/>
        <v>8</v>
      </c>
      <c r="AI234" s="225">
        <f t="shared" si="95"/>
        <v>2.4594769343141198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47.896280199123652</v>
      </c>
      <c r="C235" s="955"/>
      <c r="D235" s="393">
        <f t="shared" si="77"/>
        <v>51.149169855359418</v>
      </c>
      <c r="E235" s="385">
        <f t="shared" si="100"/>
        <v>52.324243808927193</v>
      </c>
      <c r="F235" s="385">
        <f t="shared" si="78"/>
        <v>52.366083900743078</v>
      </c>
      <c r="G235" s="110">
        <f t="shared" si="101"/>
        <v>0.97791676675747763</v>
      </c>
      <c r="H235" s="414" t="b">
        <f>Wh_hp&gt;='2025'!Maxi_hp</f>
        <v>0</v>
      </c>
      <c r="I235" s="390">
        <f>IF(H235,Wh_hp,'2025'!Maxi_hp)</f>
        <v>54.505372378920782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6.3596137834384225E-2</v>
      </c>
      <c r="M235" s="959"/>
      <c r="N235" s="959"/>
      <c r="O235" s="48">
        <f>IF(t&lt;Tnet,'2025'!Resal+('2025'!Salim-'2025'!Resal)*(1-EXP(('2025'!Tnet-t)/('2025'!Tau_j))),Resal+(Salim-Resal)*(1-EXP((Tnet-t)/(Tau_j))))*Salcycl</f>
        <v>2.2457542967248639E-2</v>
      </c>
      <c r="P235" s="169">
        <f>(INDEX(Models!$BJ235:$BT235,,T235)*(1-R235)+INDEX(Models!$BJ235:$BT235,,T235+1)*R235-ERP_i)*Q235*Ramure*Pc/MaxiM</f>
        <v>8.2498850423023495E-4</v>
      </c>
      <c r="Q235" s="305">
        <f t="shared" si="80"/>
        <v>0.7</v>
      </c>
      <c r="R235" s="177">
        <f t="shared" si="81"/>
        <v>0.93600072880876906</v>
      </c>
      <c r="S235" s="921">
        <f t="shared" si="82"/>
        <v>-2</v>
      </c>
      <c r="T235" s="176">
        <f t="shared" si="83"/>
        <v>4</v>
      </c>
      <c r="U235" s="251">
        <f t="shared" si="84"/>
        <v>-1.0639992711912309</v>
      </c>
      <c r="V235" s="383">
        <f t="shared" si="85"/>
        <v>48.976595661937104</v>
      </c>
      <c r="W235" s="402">
        <f t="shared" si="86"/>
        <v>47.896280199123652</v>
      </c>
      <c r="X235" s="157">
        <f t="shared" si="87"/>
        <v>46243</v>
      </c>
      <c r="Y235" s="385">
        <f t="shared" si="88"/>
        <v>44.247092577861828</v>
      </c>
      <c r="Z235" s="385">
        <f t="shared" si="89"/>
        <v>47.252146606413852</v>
      </c>
      <c r="AA235" s="386">
        <f t="shared" si="90"/>
        <v>52.111990091057663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9.3257683618529666E-2</v>
      </c>
      <c r="AD235" s="231">
        <f>(INDEX(Models!$BJ235:$BT235,,AH235)*(1-AF235)+INDEX(Models!$BJ235:$BT235,,AH235+1)*AF235-ERP_i)*AE235*Ramure*Pc/MaxiM</f>
        <v>5.0101341294606526E-3</v>
      </c>
      <c r="AE235" s="305">
        <f t="shared" si="92"/>
        <v>0.7</v>
      </c>
      <c r="AF235" s="177">
        <f t="shared" si="93"/>
        <v>0.46098829518274798</v>
      </c>
      <c r="AG235" s="921">
        <f t="shared" si="99"/>
        <v>2</v>
      </c>
      <c r="AH235" s="176">
        <f t="shared" si="94"/>
        <v>8</v>
      </c>
      <c r="AI235" s="225">
        <f t="shared" si="95"/>
        <v>2.460988295182748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46.520573028363579</v>
      </c>
      <c r="C236" s="955"/>
      <c r="D236" s="393">
        <f t="shared" si="77"/>
        <v>49.681119280127739</v>
      </c>
      <c r="E236" s="385">
        <f t="shared" si="100"/>
        <v>50.829334406862493</v>
      </c>
      <c r="F236" s="385">
        <f t="shared" si="78"/>
        <v>50.866145148807277</v>
      </c>
      <c r="G236" s="110">
        <f t="shared" si="101"/>
        <v>0.95189187956657584</v>
      </c>
      <c r="H236" s="414" t="b">
        <f>Wh_hp&gt;='2025'!Maxi_hp</f>
        <v>0</v>
      </c>
      <c r="I236" s="390">
        <f>IF(H236,Wh_hp,'2025'!Maxi_hp)</f>
        <v>52.854099421104479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6.3616647482182764E-2</v>
      </c>
      <c r="M236" s="959"/>
      <c r="N236" s="959"/>
      <c r="O236" s="48">
        <f>IF(t&lt;Tnet,'2025'!Resal+('2025'!Salim-'2025'!Resal)*(1-EXP(('2025'!Tnet-t)/('2025'!Tau_j))),Resal+(Salim-Resal)*(1-EXP((Tnet-t)/(Tau_j))))*Salcycl</f>
        <v>2.2589615625179908E-2</v>
      </c>
      <c r="P236" s="169">
        <f>(INDEX(Models!$BJ236:$BT236,,T236)*(1-R236)+INDEX(Models!$BJ236:$BT236,,T236+1)*R236-ERP_i)*Q236*Ramure*Pc/MaxiM</f>
        <v>7.7702386819767223E-4</v>
      </c>
      <c r="Q236" s="305">
        <f t="shared" si="80"/>
        <v>0.7</v>
      </c>
      <c r="R236" s="177">
        <f t="shared" si="81"/>
        <v>0.93746060427466604</v>
      </c>
      <c r="S236" s="921">
        <f t="shared" si="82"/>
        <v>-2</v>
      </c>
      <c r="T236" s="176">
        <f t="shared" si="83"/>
        <v>4</v>
      </c>
      <c r="U236" s="251">
        <f t="shared" si="84"/>
        <v>-1.062539395725334</v>
      </c>
      <c r="V236" s="383">
        <f t="shared" si="85"/>
        <v>48.869089629183087</v>
      </c>
      <c r="W236" s="402">
        <f t="shared" si="86"/>
        <v>46.520573028363579</v>
      </c>
      <c r="X236" s="157">
        <f t="shared" si="87"/>
        <v>46244</v>
      </c>
      <c r="Y236" s="385">
        <f t="shared" si="88"/>
        <v>42.989197074634248</v>
      </c>
      <c r="Z236" s="385">
        <f t="shared" si="89"/>
        <v>45.909826311031367</v>
      </c>
      <c r="AA236" s="386">
        <f t="shared" si="90"/>
        <v>50.635248836997718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9.3322786685184012E-2</v>
      </c>
      <c r="AD236" s="231">
        <f>(INDEX(Models!$BJ236:$BT236,,AH236)*(1-AF236)+INDEX(Models!$BJ236:$BT236,,AH236+1)*AF236-ERP_i)*AE236*Ramure*Pc/MaxiM</f>
        <v>4.8739019067849691E-3</v>
      </c>
      <c r="AE236" s="305">
        <f t="shared" si="92"/>
        <v>0.7</v>
      </c>
      <c r="AF236" s="177">
        <f t="shared" si="93"/>
        <v>0.46244817064864518</v>
      </c>
      <c r="AG236" s="921">
        <f t="shared" si="99"/>
        <v>2</v>
      </c>
      <c r="AH236" s="176">
        <f t="shared" si="94"/>
        <v>8</v>
      </c>
      <c r="AI236" s="225">
        <f t="shared" si="95"/>
        <v>2.4624481706486452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44.01587670168918</v>
      </c>
      <c r="C237" s="955"/>
      <c r="D237" s="393">
        <f t="shared" si="77"/>
        <v>47.00728677534989</v>
      </c>
      <c r="E237" s="385">
        <f t="shared" si="100"/>
        <v>48.100195691143469</v>
      </c>
      <c r="F237" s="385">
        <f t="shared" si="78"/>
        <v>48.13044219488205</v>
      </c>
      <c r="G237" s="110">
        <f t="shared" si="101"/>
        <v>0.90259333467963865</v>
      </c>
      <c r="H237" s="414" t="b">
        <f>Wh_hp&gt;='2025'!Maxi_hp</f>
        <v>0</v>
      </c>
      <c r="I237" s="390">
        <f>IF(H237,Wh_hp,'2025'!Maxi_hp)</f>
        <v>52.879735063277003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6.3637156680767415E-2</v>
      </c>
      <c r="M237" s="959"/>
      <c r="N237" s="959"/>
      <c r="O237" s="48">
        <f>IF(t&lt;Tnet,'2025'!Resal+('2025'!Salim-'2025'!Resal)*(1-EXP(('2025'!Tnet-t)/('2025'!Tau_j))),Resal+(Salim-Resal)*(1-EXP((Tnet-t)/(Tau_j))))*Salcycl</f>
        <v>2.2721506640248783E-2</v>
      </c>
      <c r="P237" s="169">
        <f>(INDEX(Models!$BJ237:$BT237,,T237)*(1-R237)+INDEX(Models!$BJ237:$BT237,,T237+1)*R237-ERP_i)*Q237*Ramure*Pc/MaxiM</f>
        <v>7.2989937914084231E-4</v>
      </c>
      <c r="Q237" s="305">
        <f t="shared" si="80"/>
        <v>0.7</v>
      </c>
      <c r="R237" s="177">
        <f t="shared" si="81"/>
        <v>0.9388704103810086</v>
      </c>
      <c r="S237" s="921">
        <f t="shared" si="82"/>
        <v>-2</v>
      </c>
      <c r="T237" s="176">
        <f t="shared" si="83"/>
        <v>4</v>
      </c>
      <c r="U237" s="251">
        <f t="shared" si="84"/>
        <v>-1.0611295896189914</v>
      </c>
      <c r="V237" s="383">
        <f t="shared" si="85"/>
        <v>48.761059757254877</v>
      </c>
      <c r="W237" s="402">
        <f t="shared" si="86"/>
        <v>44.01587670168918</v>
      </c>
      <c r="X237" s="157">
        <f t="shared" si="87"/>
        <v>46245</v>
      </c>
      <c r="Y237" s="385">
        <f t="shared" si="88"/>
        <v>40.691983909849725</v>
      </c>
      <c r="Z237" s="385">
        <f t="shared" si="89"/>
        <v>43.457495350417993</v>
      </c>
      <c r="AA237" s="386">
        <f t="shared" si="90"/>
        <v>47.93393060845144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9.3387610847089381E-2</v>
      </c>
      <c r="AD237" s="231">
        <f>(INDEX(Models!$BJ237:$BT237,,AH237)*(1-AF237)+INDEX(Models!$BJ237:$BT237,,AH237+1)*AF237-ERP_i)*AE237*Ramure*Pc/MaxiM</f>
        <v>4.7421575124635311E-3</v>
      </c>
      <c r="AE237" s="305">
        <f t="shared" si="92"/>
        <v>0.7</v>
      </c>
      <c r="AF237" s="177">
        <f t="shared" si="93"/>
        <v>0.46385797675498797</v>
      </c>
      <c r="AG237" s="921">
        <f t="shared" si="99"/>
        <v>2</v>
      </c>
      <c r="AH237" s="176">
        <f t="shared" si="94"/>
        <v>8</v>
      </c>
      <c r="AI237" s="225">
        <f t="shared" si="95"/>
        <v>2.463857976754988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45.391095704344153</v>
      </c>
      <c r="C238" s="955"/>
      <c r="D238" s="393">
        <f t="shared" si="77"/>
        <v>48.477030278884541</v>
      </c>
      <c r="E238" s="385">
        <f t="shared" si="100"/>
        <v>49.610796455128543</v>
      </c>
      <c r="F238" s="385">
        <f t="shared" si="78"/>
        <v>49.641483000863801</v>
      </c>
      <c r="G238" s="110">
        <f t="shared" si="101"/>
        <v>0.93290254372423442</v>
      </c>
      <c r="H238" s="414" t="b">
        <f>Wh_hp&gt;='2025'!Maxi_hp</f>
        <v>0</v>
      </c>
      <c r="I238" s="390">
        <f>IF(H238,Wh_hp,'2025'!Maxi_hp)</f>
        <v>51.227825043986797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6.3657665430148058E-2</v>
      </c>
      <c r="M238" s="959"/>
      <c r="N238" s="959"/>
      <c r="O238" s="48">
        <f>IF(t&lt;Tnet,'2025'!Resal+('2025'!Salim-'2025'!Resal)*(1-EXP(('2025'!Tnet-t)/('2025'!Tau_j))),Resal+(Salim-Resal)*(1-EXP((Tnet-t)/(Tau_j))))*Salcycl</f>
        <v>2.2853214567306112E-2</v>
      </c>
      <c r="P238" s="169">
        <f>(INDEX(Models!$BJ238:$BT238,,T238)*(1-R238)+INDEX(Models!$BJ238:$BT238,,T238+1)*R238-ERP_i)*Q238*Ramure*Pc/MaxiM</f>
        <v>6.8363221392514918E-4</v>
      </c>
      <c r="Q238" s="305">
        <f t="shared" si="80"/>
        <v>0.7</v>
      </c>
      <c r="R238" s="177">
        <f t="shared" si="81"/>
        <v>0.94023154936857467</v>
      </c>
      <c r="S238" s="921">
        <f t="shared" si="82"/>
        <v>-2</v>
      </c>
      <c r="T238" s="176">
        <f t="shared" si="83"/>
        <v>4</v>
      </c>
      <c r="U238" s="251">
        <f t="shared" si="84"/>
        <v>-1.0597684506314253</v>
      </c>
      <c r="V238" s="383">
        <f t="shared" si="85"/>
        <v>48.652586991376985</v>
      </c>
      <c r="W238" s="402">
        <f t="shared" si="86"/>
        <v>45.391095704344153</v>
      </c>
      <c r="X238" s="157">
        <f t="shared" si="87"/>
        <v>46246</v>
      </c>
      <c r="Y238" s="385">
        <f t="shared" si="88"/>
        <v>41.961794111187643</v>
      </c>
      <c r="Z238" s="385">
        <f t="shared" si="89"/>
        <v>44.814586035421065</v>
      </c>
      <c r="AA238" s="386">
        <f t="shared" si="90"/>
        <v>49.434330667773636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9.3452152986551712E-2</v>
      </c>
      <c r="AD238" s="231">
        <f>(INDEX(Models!$BJ238:$BT238,,AH238)*(1-AF238)+INDEX(Models!$BJ238:$BT238,,AH238+1)*AF238-ERP_i)*AE238*Ramure*Pc/MaxiM</f>
        <v>4.6149217742504651E-3</v>
      </c>
      <c r="AE238" s="305">
        <f t="shared" si="92"/>
        <v>0.7</v>
      </c>
      <c r="AF238" s="177">
        <f t="shared" si="93"/>
        <v>0.46521911574255403</v>
      </c>
      <c r="AG238" s="921">
        <f t="shared" si="99"/>
        <v>2</v>
      </c>
      <c r="AH238" s="176">
        <f t="shared" si="94"/>
        <v>8</v>
      </c>
      <c r="AI238" s="225">
        <f t="shared" si="95"/>
        <v>2.465219115742554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35.628520011540914</v>
      </c>
      <c r="C239" s="955"/>
      <c r="D239" s="393">
        <f t="shared" si="77"/>
        <v>38.051574802529181</v>
      </c>
      <c r="E239" s="385">
        <f t="shared" si="100"/>
        <v>38.946755765530312</v>
      </c>
      <c r="F239" s="385">
        <f t="shared" si="78"/>
        <v>38.96217152487344</v>
      </c>
      <c r="G239" s="110">
        <f t="shared" si="101"/>
        <v>0.73376844938901575</v>
      </c>
      <c r="H239" s="414" t="b">
        <f>Wh_hp&gt;='2025'!Maxi_hp</f>
        <v>0</v>
      </c>
      <c r="I239" s="390">
        <f>IF(H239,Wh_hp,'2025'!Maxi_hp)</f>
        <v>48.536022746732414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6.3678173730334353E-2</v>
      </c>
      <c r="M239" s="959"/>
      <c r="N239" s="959"/>
      <c r="O239" s="48">
        <f>IF(t&lt;Tnet,'2025'!Resal+('2025'!Salim-'2025'!Resal)*(1-EXP(('2025'!Tnet-t)/('2025'!Tau_j))),Resal+(Salim-Resal)*(1-EXP((Tnet-t)/(Tau_j))))*Salcycl</f>
        <v>2.2984737634897071E-2</v>
      </c>
      <c r="P239" s="169">
        <f>(INDEX(Models!$BJ239:$BT239,,T239)*(1-R239)+INDEX(Models!$BJ239:$BT239,,T239+1)*R239-ERP_i)*Q239*Ramure*Pc/MaxiM</f>
        <v>6.3823932203548473E-4</v>
      </c>
      <c r="Q239" s="305">
        <f t="shared" si="80"/>
        <v>0.7</v>
      </c>
      <c r="R239" s="177">
        <f t="shared" si="81"/>
        <v>0.94154540769631834</v>
      </c>
      <c r="S239" s="921">
        <f t="shared" si="82"/>
        <v>-2</v>
      </c>
      <c r="T239" s="176">
        <f t="shared" si="83"/>
        <v>4</v>
      </c>
      <c r="U239" s="251">
        <f t="shared" si="84"/>
        <v>-1.0584545923036817</v>
      </c>
      <c r="V239" s="383">
        <f t="shared" si="85"/>
        <v>48.543752277350976</v>
      </c>
      <c r="W239" s="402">
        <f t="shared" si="86"/>
        <v>35.628520011540914</v>
      </c>
      <c r="X239" s="157">
        <f t="shared" si="87"/>
        <v>46247</v>
      </c>
      <c r="Y239" s="385">
        <f t="shared" si="88"/>
        <v>32.977454087659304</v>
      </c>
      <c r="Z239" s="385">
        <f t="shared" si="89"/>
        <v>35.220212925124763</v>
      </c>
      <c r="AA239" s="386">
        <f t="shared" si="90"/>
        <v>38.853668465094707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9.3516408707562823E-2</v>
      </c>
      <c r="AD239" s="231">
        <f>(INDEX(Models!$BJ239:$BT239,,AH239)*(1-AF239)+INDEX(Models!$BJ239:$BT239,,AH239+1)*AF239-ERP_i)*AE239*Ramure*Pc/MaxiM</f>
        <v>4.4922159052014823E-3</v>
      </c>
      <c r="AE239" s="305">
        <f t="shared" si="92"/>
        <v>0.7</v>
      </c>
      <c r="AF239" s="177">
        <f t="shared" si="93"/>
        <v>0.46653297407029726</v>
      </c>
      <c r="AG239" s="921">
        <f t="shared" si="99"/>
        <v>2</v>
      </c>
      <c r="AH239" s="176">
        <f t="shared" si="94"/>
        <v>8</v>
      </c>
      <c r="AI239" s="225">
        <f t="shared" si="95"/>
        <v>2.4665329740702973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32.632879680872229</v>
      </c>
      <c r="C240" s="955"/>
      <c r="D240" s="393">
        <f t="shared" si="77"/>
        <v>34.852967777495486</v>
      </c>
      <c r="E240" s="385">
        <f t="shared" si="100"/>
        <v>35.677696030617263</v>
      </c>
      <c r="F240" s="385">
        <f t="shared" si="78"/>
        <v>35.689032261163334</v>
      </c>
      <c r="G240" s="110">
        <f t="shared" si="101"/>
        <v>0.67356481334685281</v>
      </c>
      <c r="H240" s="414" t="b">
        <f>Wh_hp&gt;='2025'!Maxi_hp</f>
        <v>0</v>
      </c>
      <c r="I240" s="390">
        <f>IF(H240,Wh_hp,'2025'!Maxi_hp)</f>
        <v>53.538915966622881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6.3698681581336292E-2</v>
      </c>
      <c r="M240" s="959"/>
      <c r="N240" s="959"/>
      <c r="O240" s="48">
        <f>IF(t&lt;Tnet,'2025'!Resal+('2025'!Salim-'2025'!Resal)*(1-EXP(('2025'!Tnet-t)/('2025'!Tau_j))),Resal+(Salim-Resal)*(1-EXP((Tnet-t)/(Tau_j))))*Salcycl</f>
        <v>2.3116073762555311E-2</v>
      </c>
      <c r="P240" s="169">
        <f>(INDEX(Models!$BJ240:$BT240,,T240)*(1-R240)+INDEX(Models!$BJ240:$BT240,,T240+1)*R240-ERP_i)*Q240*Ramure*Pc/MaxiM</f>
        <v>5.9490659273575997E-4</v>
      </c>
      <c r="Q240" s="305">
        <f t="shared" si="80"/>
        <v>0.7</v>
      </c>
      <c r="R240" s="177">
        <f t="shared" si="81"/>
        <v>0.9428133542572672</v>
      </c>
      <c r="S240" s="921">
        <f t="shared" si="82"/>
        <v>-2</v>
      </c>
      <c r="T240" s="176">
        <f t="shared" si="83"/>
        <v>4</v>
      </c>
      <c r="U240" s="251">
        <f t="shared" si="84"/>
        <v>-1.0571866457427328</v>
      </c>
      <c r="V240" s="383">
        <f t="shared" si="85"/>
        <v>48.434579896931091</v>
      </c>
      <c r="W240" s="402">
        <f t="shared" si="86"/>
        <v>32.632879680872229</v>
      </c>
      <c r="X240" s="157">
        <f t="shared" si="87"/>
        <v>46248</v>
      </c>
      <c r="Y240" s="385">
        <f t="shared" si="88"/>
        <v>30.217829008641562</v>
      </c>
      <c r="Z240" s="385">
        <f t="shared" si="89"/>
        <v>32.273615783941224</v>
      </c>
      <c r="AA240" s="386">
        <f t="shared" si="90"/>
        <v>35.60560120562409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9.358037243748496E-2</v>
      </c>
      <c r="AD240" s="231">
        <f>(INDEX(Models!$BJ240:$BT240,,AH240)*(1-AF240)+INDEX(Models!$BJ240:$BT240,,AH240+1)*AF240-ERP_i)*AE240*Ramure*Pc/MaxiM</f>
        <v>4.3783235333360168E-3</v>
      </c>
      <c r="AE240" s="305">
        <f t="shared" si="92"/>
        <v>0.7</v>
      </c>
      <c r="AF240" s="177">
        <f t="shared" si="93"/>
        <v>0.46780092063124634</v>
      </c>
      <c r="AG240" s="921">
        <f t="shared" si="99"/>
        <v>2</v>
      </c>
      <c r="AH240" s="176">
        <f t="shared" si="94"/>
        <v>8</v>
      </c>
      <c r="AI240" s="225">
        <f t="shared" si="95"/>
        <v>2.4678009206312463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37.006759708942425</v>
      </c>
      <c r="C241" s="955"/>
      <c r="D241" s="393">
        <f t="shared" si="77"/>
        <v>39.52527839244263</v>
      </c>
      <c r="E241" s="385">
        <f t="shared" si="100"/>
        <v>40.466000430359628</v>
      </c>
      <c r="F241" s="385">
        <f t="shared" si="78"/>
        <v>40.480898230628327</v>
      </c>
      <c r="G241" s="110">
        <f t="shared" si="101"/>
        <v>0.76564452897706226</v>
      </c>
      <c r="H241" s="414" t="b">
        <f>Wh_hp&gt;='2025'!Maxi_hp</f>
        <v>0</v>
      </c>
      <c r="I241" s="390">
        <f>IF(H241,Wh_hp,'2025'!Maxi_hp)</f>
        <v>53.803189402990363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6.3719188983163644E-2</v>
      </c>
      <c r="M241" s="959"/>
      <c r="N241" s="959"/>
      <c r="O241" s="48">
        <f>IF(t&lt;Tnet,'2025'!Resal+('2025'!Salim-'2025'!Resal)*(1-EXP(('2025'!Tnet-t)/('2025'!Tau_j))),Resal+(Salim-Resal)*(1-EXP((Tnet-t)/(Tau_j))))*Salcycl</f>
        <v>2.3247220578073803E-2</v>
      </c>
      <c r="P241" s="169">
        <f>(INDEX(Models!$BJ241:$BT241,,T241)*(1-R241)+INDEX(Models!$BJ241:$BT241,,T241+1)*R241-ERP_i)*Q241*Ramure*Pc/MaxiM</f>
        <v>5.5307412787843611E-4</v>
      </c>
      <c r="Q241" s="305">
        <f t="shared" si="80"/>
        <v>0.7</v>
      </c>
      <c r="R241" s="177">
        <f t="shared" si="81"/>
        <v>0.94403673878030747</v>
      </c>
      <c r="S241" s="921">
        <f t="shared" si="82"/>
        <v>-2</v>
      </c>
      <c r="T241" s="176">
        <f t="shared" si="83"/>
        <v>4</v>
      </c>
      <c r="U241" s="251">
        <f t="shared" si="84"/>
        <v>-1.0559632612196925</v>
      </c>
      <c r="V241" s="383">
        <f t="shared" si="85"/>
        <v>48.325179051289524</v>
      </c>
      <c r="W241" s="402">
        <f t="shared" si="86"/>
        <v>37.006759708942425</v>
      </c>
      <c r="X241" s="157">
        <f t="shared" si="87"/>
        <v>46249</v>
      </c>
      <c r="Y241" s="385">
        <f t="shared" si="88"/>
        <v>34.25461538648279</v>
      </c>
      <c r="Z241" s="385">
        <f t="shared" si="89"/>
        <v>36.585835129186279</v>
      </c>
      <c r="AA241" s="386">
        <f t="shared" si="90"/>
        <v>40.365856952379431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9.3644037525390245E-2</v>
      </c>
      <c r="AD241" s="231">
        <f>(INDEX(Models!$BJ241:$BT241,,AH241)*(1-AF241)+INDEX(Models!$BJ241:$BT241,,AH241+1)*AF241-ERP_i)*AE241*Ramure*Pc/MaxiM</f>
        <v>4.2708556625782627E-3</v>
      </c>
      <c r="AE241" s="305">
        <f t="shared" si="92"/>
        <v>0.7</v>
      </c>
      <c r="AF241" s="177">
        <f t="shared" si="93"/>
        <v>0.46902430515428684</v>
      </c>
      <c r="AG241" s="921">
        <f t="shared" si="99"/>
        <v>2</v>
      </c>
      <c r="AH241" s="176">
        <f t="shared" si="94"/>
        <v>8</v>
      </c>
      <c r="AI241" s="225">
        <f t="shared" si="95"/>
        <v>2.4690243051542868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34.271006175088218</v>
      </c>
      <c r="C242" s="955"/>
      <c r="D242" s="393">
        <f t="shared" si="77"/>
        <v>36.604143128062375</v>
      </c>
      <c r="E242" s="385">
        <f t="shared" si="100"/>
        <v>37.480365692568753</v>
      </c>
      <c r="F242" s="385">
        <f t="shared" si="78"/>
        <v>37.491647260313684</v>
      </c>
      <c r="G242" s="110">
        <f t="shared" si="101"/>
        <v>0.7106355984037741</v>
      </c>
      <c r="H242" s="414" t="b">
        <f>Wh_hp&gt;='2025'!Maxi_hp</f>
        <v>0</v>
      </c>
      <c r="I242" s="390">
        <f>IF(H242,Wh_hp,'2025'!Maxi_hp)</f>
        <v>53.769916943030935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6.373969593582629E-2</v>
      </c>
      <c r="M242" s="959"/>
      <c r="N242" s="959"/>
      <c r="O242" s="48">
        <f>IF(t&lt;Tnet,'2025'!Resal+('2025'!Salim-'2025'!Resal)*(1-EXP(('2025'!Tnet-t)/('2025'!Tau_j))),Resal+(Salim-Resal)*(1-EXP((Tnet-t)/(Tau_j))))*Salcycl</f>
        <v>2.3378175434401058E-2</v>
      </c>
      <c r="P242" s="169">
        <f>(INDEX(Models!$BJ242:$BT242,,T242)*(1-R242)+INDEX(Models!$BJ242:$BT242,,T242+1)*R242-ERP_i)*Q242*Ramure*Pc/MaxiM</f>
        <v>5.1276349526294162E-4</v>
      </c>
      <c r="Q242" s="305">
        <f t="shared" si="80"/>
        <v>0.7</v>
      </c>
      <c r="R242" s="177">
        <f t="shared" si="81"/>
        <v>0.94521689040832624</v>
      </c>
      <c r="S242" s="921">
        <f t="shared" si="82"/>
        <v>-2</v>
      </c>
      <c r="T242" s="176">
        <f t="shared" si="83"/>
        <v>4</v>
      </c>
      <c r="U242" s="251">
        <f t="shared" si="84"/>
        <v>-1.0547831095916738</v>
      </c>
      <c r="V242" s="383">
        <f t="shared" si="85"/>
        <v>48.215630618761743</v>
      </c>
      <c r="W242" s="402">
        <f t="shared" si="86"/>
        <v>34.271006175088218</v>
      </c>
      <c r="X242" s="157">
        <f t="shared" si="87"/>
        <v>46250</v>
      </c>
      <c r="Y242" s="385">
        <f t="shared" si="88"/>
        <v>31.734783372777496</v>
      </c>
      <c r="Z242" s="385">
        <f t="shared" si="89"/>
        <v>33.895256730442682</v>
      </c>
      <c r="AA242" s="386">
        <f t="shared" si="90"/>
        <v>37.399904394454339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9.3707396335786508E-2</v>
      </c>
      <c r="AD242" s="231">
        <f>(INDEX(Models!$BJ242:$BT242,,AH242)*(1-AF242)+INDEX(Models!$BJ242:$BT242,,AH242+1)*AF242-ERP_i)*AE242*Ramure*Pc/MaxiM</f>
        <v>4.1698453288653214E-3</v>
      </c>
      <c r="AE242" s="305">
        <f t="shared" si="92"/>
        <v>0.7</v>
      </c>
      <c r="AF242" s="177">
        <f t="shared" si="93"/>
        <v>0.47020445678230516</v>
      </c>
      <c r="AG242" s="921">
        <f t="shared" si="99"/>
        <v>2</v>
      </c>
      <c r="AH242" s="176">
        <f t="shared" si="94"/>
        <v>8</v>
      </c>
      <c r="AI242" s="225">
        <f t="shared" si="95"/>
        <v>2.4702044567823052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25.015917284766861</v>
      </c>
      <c r="C243" s="955"/>
      <c r="D243" s="393">
        <f t="shared" si="77"/>
        <v>26.719561964728264</v>
      </c>
      <c r="E243" s="385">
        <f t="shared" si="100"/>
        <v>27.362833039726812</v>
      </c>
      <c r="F243" s="385">
        <f t="shared" si="78"/>
        <v>27.3669101967083</v>
      </c>
      <c r="G243" s="110">
        <f t="shared" si="101"/>
        <v>0.51984736804390685</v>
      </c>
      <c r="H243" s="414" t="b">
        <f>Wh_hp&gt;='2025'!Maxi_hp</f>
        <v>0</v>
      </c>
      <c r="I243" s="390">
        <f>IF(H243,Wh_hp,'2025'!Maxi_hp)</f>
        <v>51.890414604753857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6.3760202439334002E-2</v>
      </c>
      <c r="M243" s="959"/>
      <c r="N243" s="959"/>
      <c r="O243" s="48">
        <f>IF(t&lt;Tnet,'2025'!Resal+('2025'!Salim-'2025'!Resal)*(1-EXP(('2025'!Tnet-t)/('2025'!Tau_j))),Resal+(Salim-Resal)*(1-EXP((Tnet-t)/(Tau_j))))*Salcycl</f>
        <v>2.350893542582418E-2</v>
      </c>
      <c r="P243" s="169">
        <f>(INDEX(Models!$BJ243:$BT243,,T243)*(1-R243)+INDEX(Models!$BJ243:$BT243,,T243+1)*R243-ERP_i)*Q243*Ramure*Pc/MaxiM</f>
        <v>4.7399595957206965E-4</v>
      </c>
      <c r="Q243" s="305">
        <f t="shared" si="80"/>
        <v>0.7</v>
      </c>
      <c r="R243" s="177">
        <f t="shared" si="81"/>
        <v>0.94635511644317893</v>
      </c>
      <c r="S243" s="921">
        <f t="shared" si="82"/>
        <v>-2</v>
      </c>
      <c r="T243" s="176">
        <f t="shared" si="83"/>
        <v>4</v>
      </c>
      <c r="U243" s="251">
        <f t="shared" si="84"/>
        <v>-1.0536448835568211</v>
      </c>
      <c r="V243" s="383">
        <f t="shared" si="85"/>
        <v>48.106015476709018</v>
      </c>
      <c r="W243" s="402">
        <f t="shared" si="86"/>
        <v>25.015917284766861</v>
      </c>
      <c r="X243" s="157">
        <f t="shared" si="87"/>
        <v>46251</v>
      </c>
      <c r="Y243" s="385">
        <f t="shared" si="88"/>
        <v>23.189663115410589</v>
      </c>
      <c r="Z243" s="385">
        <f t="shared" si="89"/>
        <v>24.768935454175626</v>
      </c>
      <c r="AA243" s="386">
        <f t="shared" si="90"/>
        <v>27.331855587865121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9.3770440336564218E-2</v>
      </c>
      <c r="AD243" s="231">
        <f>(INDEX(Models!$BJ243:$BT243,,AH243)*(1-AF243)+INDEX(Models!$BJ243:$BT243,,AH243+1)*AF243-ERP_i)*AE243*Ramure*Pc/MaxiM</f>
        <v>4.075325780067824E-3</v>
      </c>
      <c r="AE243" s="305">
        <f t="shared" si="92"/>
        <v>0.7</v>
      </c>
      <c r="AF243" s="177">
        <f t="shared" si="93"/>
        <v>0.47134268281715785</v>
      </c>
      <c r="AG243" s="921">
        <f t="shared" si="99"/>
        <v>2</v>
      </c>
      <c r="AH243" s="176">
        <f t="shared" si="94"/>
        <v>8</v>
      </c>
      <c r="AI243" s="225">
        <f t="shared" si="95"/>
        <v>2.4713426828171579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33.282013624872448</v>
      </c>
      <c r="C244" s="955"/>
      <c r="D244" s="393">
        <f t="shared" si="77"/>
        <v>35.549378149775464</v>
      </c>
      <c r="E244" s="385">
        <f t="shared" si="100"/>
        <v>36.410094483771964</v>
      </c>
      <c r="F244" s="385">
        <f t="shared" si="78"/>
        <v>36.419035148396844</v>
      </c>
      <c r="G244" s="110">
        <f t="shared" si="101"/>
        <v>0.69329439749271127</v>
      </c>
      <c r="H244" s="414" t="b">
        <f>Wh_hp&gt;='2025'!Maxi_hp</f>
        <v>0</v>
      </c>
      <c r="I244" s="390">
        <f>IF(H244,Wh_hp,'2025'!Maxi_hp)</f>
        <v>49.183966953911138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6.3780708493696658E-2</v>
      </c>
      <c r="M244" s="959"/>
      <c r="N244" s="959"/>
      <c r="O244" s="48">
        <f>IF(t&lt;Tnet,'2025'!Resal+('2025'!Salim-'2025'!Resal)*(1-EXP(('2025'!Tnet-t)/('2025'!Tau_j))),Resal+(Salim-Resal)*(1-EXP((Tnet-t)/(Tau_j))))*Salcycl</f>
        <v>2.3639497403120414E-2</v>
      </c>
      <c r="P244" s="169">
        <f>(INDEX(Models!$BJ244:$BT244,,T244)*(1-R244)+INDEX(Models!$BJ244:$BT244,,T244+1)*R244-ERP_i)*Q244*Ramure*Pc/MaxiM</f>
        <v>4.3679248459455033E-4</v>
      </c>
      <c r="Q244" s="305">
        <f t="shared" si="80"/>
        <v>0.7</v>
      </c>
      <c r="R244" s="177">
        <f t="shared" si="81"/>
        <v>0.94745270124799252</v>
      </c>
      <c r="S244" s="921">
        <f t="shared" si="82"/>
        <v>-2</v>
      </c>
      <c r="T244" s="176">
        <f t="shared" si="83"/>
        <v>4</v>
      </c>
      <c r="U244" s="251">
        <f t="shared" si="84"/>
        <v>-1.0525472987520075</v>
      </c>
      <c r="V244" s="383">
        <f t="shared" si="85"/>
        <v>47.996414498943501</v>
      </c>
      <c r="W244" s="402">
        <f t="shared" si="86"/>
        <v>33.282013624872448</v>
      </c>
      <c r="X244" s="157">
        <f t="shared" si="87"/>
        <v>46252</v>
      </c>
      <c r="Y244" s="385">
        <f t="shared" si="88"/>
        <v>30.827607893011006</v>
      </c>
      <c r="Z244" s="385">
        <f t="shared" si="89"/>
        <v>32.927764010728517</v>
      </c>
      <c r="AA244" s="386">
        <f t="shared" si="90"/>
        <v>36.337418854648938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9.3833160180120848E-2</v>
      </c>
      <c r="AD244" s="231">
        <f>(INDEX(Models!$BJ244:$BT244,,AH244)*(1-AF244)+INDEX(Models!$BJ244:$BT244,,AH244+1)*AF244-ERP_i)*AE244*Ramure*Pc/MaxiM</f>
        <v>3.9873303859694342E-3</v>
      </c>
      <c r="AE244" s="305">
        <f t="shared" si="92"/>
        <v>0.7</v>
      </c>
      <c r="AF244" s="177">
        <f t="shared" si="93"/>
        <v>0.47244026762197144</v>
      </c>
      <c r="AG244" s="921">
        <f t="shared" si="99"/>
        <v>2</v>
      </c>
      <c r="AH244" s="176">
        <f t="shared" si="94"/>
        <v>8</v>
      </c>
      <c r="AI244" s="225">
        <f t="shared" si="95"/>
        <v>2.4724402676219714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33.960640754090484</v>
      </c>
      <c r="C245" s="955"/>
      <c r="D245" s="393">
        <f t="shared" si="77"/>
        <v>36.275031826070922</v>
      </c>
      <c r="E245" s="385">
        <f t="shared" si="100"/>
        <v>37.158278837083941</v>
      </c>
      <c r="F245" s="385">
        <f t="shared" si="78"/>
        <v>37.16699470798109</v>
      </c>
      <c r="G245" s="110">
        <f t="shared" si="101"/>
        <v>0.70906601193154606</v>
      </c>
      <c r="H245" s="414" t="b">
        <f>Wh_hp&gt;='2025'!Maxi_hp</f>
        <v>0</v>
      </c>
      <c r="I245" s="390">
        <f>IF(H245,Wh_hp,'2025'!Maxi_hp)</f>
        <v>49.967163493960541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6.3801214098924142E-2</v>
      </c>
      <c r="M245" s="959"/>
      <c r="N245" s="959"/>
      <c r="O245" s="48">
        <f>IF(t&lt;Tnet,'2025'!Resal+('2025'!Salim-'2025'!Resal)*(1-EXP(('2025'!Tnet-t)/('2025'!Tau_j))),Resal+(Salim-Resal)*(1-EXP((Tnet-t)/(Tau_j))))*Salcycl</f>
        <v>2.3769857987381706E-2</v>
      </c>
      <c r="P245" s="169">
        <f>(INDEX(Models!$BJ245:$BT245,,T245)*(1-R245)+INDEX(Models!$BJ245:$BT245,,T245+1)*R245-ERP_i)*Q245*Ramure*Pc/MaxiM</f>
        <v>4.0117373028585008E-4</v>
      </c>
      <c r="Q245" s="305">
        <f t="shared" si="80"/>
        <v>0.7</v>
      </c>
      <c r="R245" s="177">
        <f t="shared" si="81"/>
        <v>0.94851090529743187</v>
      </c>
      <c r="S245" s="921">
        <f t="shared" si="82"/>
        <v>-2</v>
      </c>
      <c r="T245" s="176">
        <f t="shared" si="83"/>
        <v>4</v>
      </c>
      <c r="U245" s="251">
        <f t="shared" si="84"/>
        <v>-1.0514890947025681</v>
      </c>
      <c r="V245" s="383">
        <f t="shared" si="85"/>
        <v>47.886908554161792</v>
      </c>
      <c r="W245" s="402">
        <f t="shared" si="86"/>
        <v>33.960640754090484</v>
      </c>
      <c r="X245" s="157">
        <f t="shared" si="87"/>
        <v>46253</v>
      </c>
      <c r="Y245" s="385">
        <f t="shared" si="88"/>
        <v>31.456549034097858</v>
      </c>
      <c r="Z245" s="385">
        <f t="shared" si="89"/>
        <v>33.600288216376448</v>
      </c>
      <c r="AA245" s="386">
        <f t="shared" si="90"/>
        <v>37.082135574733407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9.3895545776748066E-2</v>
      </c>
      <c r="AD245" s="231">
        <f>(INDEX(Models!$BJ245:$BT245,,AH245)*(1-AF245)+INDEX(Models!$BJ245:$BT245,,AH245+1)*AF245-ERP_i)*AE245*Ramure*Pc/MaxiM</f>
        <v>3.9058925304802481E-3</v>
      </c>
      <c r="AE245" s="305">
        <f t="shared" si="92"/>
        <v>0.7</v>
      </c>
      <c r="AF245" s="177">
        <f t="shared" si="93"/>
        <v>0.47349847167141101</v>
      </c>
      <c r="AG245" s="921">
        <f t="shared" si="99"/>
        <v>2</v>
      </c>
      <c r="AH245" s="176">
        <f t="shared" si="94"/>
        <v>8</v>
      </c>
      <c r="AI245" s="225">
        <f t="shared" si="95"/>
        <v>2.473498471671411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47.898837905225861</v>
      </c>
      <c r="C246" s="955"/>
      <c r="D246" s="393">
        <f t="shared" si="77"/>
        <v>51.16422682558909</v>
      </c>
      <c r="E246" s="385">
        <f t="shared" si="100"/>
        <v>52.416993686640247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Wh_hp&gt;='2025'!Maxi_hp</f>
        <v>0</v>
      </c>
      <c r="I246" s="390">
        <f>IF(H246,Wh_hp,'2025'!Maxi_hp)</f>
        <v>52.544338316202321</v>
      </c>
      <c r="J246" s="85">
        <f>IF(H246,An,'2025'!An_max)</f>
        <v>2021</v>
      </c>
      <c r="K246" s="197">
        <f t="shared" si="79"/>
        <v>46254</v>
      </c>
      <c r="L246" s="147">
        <f>IF(t&lt;Tvie,1-EXP((T0-t)*PertePVj)+'2025'!Pspv,1-EXP((T0-t)*PertePVj)+Pspv)</f>
        <v>6.3821719255026221E-2</v>
      </c>
      <c r="M246" s="959"/>
      <c r="N246" s="959"/>
      <c r="O246" s="48">
        <f>IF(t&lt;Tnet,'2025'!Resal+('2025'!Salim-'2025'!Resal)*(1-EXP(('2025'!Tnet-t)/('2025'!Tau_j))),Resal+(Salim-Resal)*(1-EXP((Tnet-t)/(Tau_j))))*Salcycl</f>
        <v>2.3900013582245062E-2</v>
      </c>
      <c r="P246" s="169">
        <f>(INDEX(Models!$BJ246:$BT246,,T246)*(1-R246)+INDEX(Models!$BJ246:$BT246,,T246+1)*R246-ERP_i)*Q246*Ramure*Pc/MaxiM</f>
        <v>3.671600449410659E-4</v>
      </c>
      <c r="Q246" s="305">
        <f t="shared" si="80"/>
        <v>0.7</v>
      </c>
      <c r="R246" s="177">
        <f t="shared" si="81"/>
        <v>0.94953096436671713</v>
      </c>
      <c r="S246" s="921">
        <f t="shared" si="82"/>
        <v>-2</v>
      </c>
      <c r="T246" s="176">
        <f t="shared" si="83"/>
        <v>4</v>
      </c>
      <c r="U246" s="251">
        <f t="shared" si="84"/>
        <v>-1.0504690356332829</v>
      </c>
      <c r="V246" s="383">
        <f t="shared" si="85"/>
        <v>47.777578504037862</v>
      </c>
      <c r="W246" s="402">
        <f t="shared" si="86"/>
        <v>47.898837905225861</v>
      </c>
      <c r="X246" s="157">
        <f t="shared" si="87"/>
        <v>46254</v>
      </c>
      <c r="Y246" s="385">
        <f t="shared" si="88"/>
        <v>44.306932774771056</v>
      </c>
      <c r="Z246" s="385">
        <f t="shared" si="89"/>
        <v>47.327452138190331</v>
      </c>
      <c r="AA246" s="386">
        <f t="shared" si="90"/>
        <v>52.235360536851779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9.3957586359510972E-2</v>
      </c>
      <c r="AD246" s="231">
        <f>(INDEX(Models!$BJ246:$BT246,,AH246)*(1-AF246)+INDEX(Models!$BJ246:$BT246,,AH246+1)*AF246-ERP_i)*AE246*Ramure*Pc/MaxiM</f>
        <v>3.8310454871026238E-3</v>
      </c>
      <c r="AE246" s="305">
        <f t="shared" si="92"/>
        <v>0.7</v>
      </c>
      <c r="AF246" s="177">
        <f t="shared" si="93"/>
        <v>0.47451853074069605</v>
      </c>
      <c r="AG246" s="921">
        <f t="shared" si="99"/>
        <v>2</v>
      </c>
      <c r="AH246" s="176">
        <f t="shared" si="94"/>
        <v>8</v>
      </c>
      <c r="AI246" s="225">
        <f t="shared" si="95"/>
        <v>2.4745185307406961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31.830252995940629</v>
      </c>
      <c r="C247" s="955"/>
      <c r="D247" s="393">
        <f t="shared" si="77"/>
        <v>34.000949210348736</v>
      </c>
      <c r="E247" s="385">
        <f t="shared" si="100"/>
        <v>34.838107554753194</v>
      </c>
      <c r="F247" s="385">
        <f t="shared" si="78"/>
        <v>34.844235348061012</v>
      </c>
      <c r="G247" s="110">
        <f t="shared" si="101"/>
        <v>0.66762463929207216</v>
      </c>
      <c r="H247" s="414" t="b">
        <f>Wh_hp&gt;='2025'!Maxi_hp</f>
        <v>0</v>
      </c>
      <c r="I247" s="390">
        <f>IF(H247,Wh_hp,'2025'!Maxi_hp)</f>
        <v>51.773522913939907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6.3842223962012778E-2</v>
      </c>
      <c r="M247" s="959"/>
      <c r="N247" s="959"/>
      <c r="O247" s="48">
        <f>IF(t&lt;Tnet,'2025'!Resal+('2025'!Salim-'2025'!Resal)*(1-EXP(('2025'!Tnet-t)/('2025'!Tau_j))),Resal+(Salim-Resal)*(1-EXP((Tnet-t)/(Tau_j))))*Salcycl</f>
        <v>2.4029960384292968E-2</v>
      </c>
      <c r="P247" s="169">
        <f>(INDEX(Models!$BJ247:$BT247,,T247)*(1-R247)+INDEX(Models!$BJ247:$BT247,,T247+1)*R247-ERP_i)*Q247*Ramure*Pc/MaxiM</f>
        <v>3.3476592599658534E-4</v>
      </c>
      <c r="Q247" s="305">
        <f t="shared" si="80"/>
        <v>0.7</v>
      </c>
      <c r="R247" s="177">
        <f t="shared" si="81"/>
        <v>0.95051408885038136</v>
      </c>
      <c r="S247" s="921">
        <f t="shared" si="82"/>
        <v>-2</v>
      </c>
      <c r="T247" s="176">
        <f t="shared" si="83"/>
        <v>4</v>
      </c>
      <c r="U247" s="251">
        <f t="shared" si="84"/>
        <v>-1.0494859111496186</v>
      </c>
      <c r="V247" s="383">
        <f t="shared" si="85"/>
        <v>47.669292437792556</v>
      </c>
      <c r="W247" s="402">
        <f t="shared" si="86"/>
        <v>31.830252995940629</v>
      </c>
      <c r="X247" s="157">
        <f t="shared" si="87"/>
        <v>46255</v>
      </c>
      <c r="Y247" s="385">
        <f t="shared" si="88"/>
        <v>29.49440454393735</v>
      </c>
      <c r="Z247" s="385">
        <f t="shared" si="89"/>
        <v>31.505805216684472</v>
      </c>
      <c r="AA247" s="386">
        <f t="shared" si="90"/>
        <v>34.775359113281723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9.4019270539998909E-2</v>
      </c>
      <c r="AD247" s="231">
        <f>(INDEX(Models!$BJ247:$BT247,,AH247)*(1-AF247)+INDEX(Models!$BJ247:$BT247,,AH247+1)*AF247-ERP_i)*AE247*Ramure*Pc/MaxiM</f>
        <v>3.7627601579867365E-3</v>
      </c>
      <c r="AE247" s="305">
        <f t="shared" si="92"/>
        <v>0.7</v>
      </c>
      <c r="AF247" s="177">
        <f t="shared" si="93"/>
        <v>0.4755016552243605</v>
      </c>
      <c r="AG247" s="921">
        <f t="shared" si="99"/>
        <v>2</v>
      </c>
      <c r="AH247" s="176">
        <f t="shared" si="94"/>
        <v>8</v>
      </c>
      <c r="AI247" s="225">
        <f t="shared" si="95"/>
        <v>2.4755016552243605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22.786319623237109</v>
      </c>
      <c r="C248" s="955"/>
      <c r="D248" s="393">
        <f t="shared" si="77"/>
        <v>24.340788803235998</v>
      </c>
      <c r="E248" s="385">
        <f t="shared" si="100"/>
        <v>24.943414064103482</v>
      </c>
      <c r="F248" s="385">
        <f t="shared" si="78"/>
        <v>24.945361907793043</v>
      </c>
      <c r="G248" s="110">
        <f t="shared" si="101"/>
        <v>0.47897278120109404</v>
      </c>
      <c r="H248" s="414" t="b">
        <f>Wh_hp&gt;='2025'!Maxi_hp</f>
        <v>0</v>
      </c>
      <c r="I248" s="390">
        <f>IF(H248,Wh_hp,'2025'!Maxi_hp)</f>
        <v>53.717329476513434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6.3862728219893583E-2</v>
      </c>
      <c r="M248" s="959"/>
      <c r="N248" s="959"/>
      <c r="O248" s="48">
        <f>IF(t&lt;Tnet,'2025'!Resal+('2025'!Salim-'2025'!Resal)*(1-EXP(('2025'!Tnet-t)/('2025'!Tau_j))),Resal+(Salim-Resal)*(1-EXP((Tnet-t)/(Tau_j))))*Salcycl</f>
        <v>2.415969439142383E-2</v>
      </c>
      <c r="P248" s="169">
        <f>(INDEX(Models!$BJ248:$BT248,,T248)*(1-R248)+INDEX(Models!$BJ248:$BT248,,T248+1)*R248-ERP_i)*Q248*Ramure*Pc/MaxiM</f>
        <v>3.0521885166514016E-4</v>
      </c>
      <c r="Q248" s="305">
        <f t="shared" si="80"/>
        <v>0.7</v>
      </c>
      <c r="R248" s="177">
        <f t="shared" si="81"/>
        <v>0.95146146320199976</v>
      </c>
      <c r="S248" s="921">
        <f t="shared" si="82"/>
        <v>-2</v>
      </c>
      <c r="T248" s="176">
        <f t="shared" si="83"/>
        <v>4</v>
      </c>
      <c r="U248" s="251">
        <f t="shared" si="84"/>
        <v>-1.0485385367980002</v>
      </c>
      <c r="V248" s="383">
        <f t="shared" si="85"/>
        <v>47.5625015763965</v>
      </c>
      <c r="W248" s="402">
        <f t="shared" si="86"/>
        <v>22.786319623237109</v>
      </c>
      <c r="X248" s="157">
        <f t="shared" si="87"/>
        <v>46256</v>
      </c>
      <c r="Y248" s="385">
        <f t="shared" si="88"/>
        <v>21.135229103931259</v>
      </c>
      <c r="Z248" s="385">
        <f t="shared" si="89"/>
        <v>22.57706187014826</v>
      </c>
      <c r="AA248" s="386">
        <f t="shared" si="90"/>
        <v>24.921711059591722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9.408058635448574E-2</v>
      </c>
      <c r="AD248" s="231">
        <f>(INDEX(Models!$BJ248:$BT248,,AH248)*(1-AF248)+INDEX(Models!$BJ248:$BT248,,AH248+1)*AF248-ERP_i)*AE248*Ramure*Pc/MaxiM</f>
        <v>3.7059876865886076E-3</v>
      </c>
      <c r="AE248" s="305">
        <f t="shared" si="92"/>
        <v>0.7</v>
      </c>
      <c r="AF248" s="177">
        <f t="shared" si="93"/>
        <v>0.47644902957597868</v>
      </c>
      <c r="AG248" s="921">
        <f t="shared" si="99"/>
        <v>2</v>
      </c>
      <c r="AH248" s="176">
        <f t="shared" si="94"/>
        <v>8</v>
      </c>
      <c r="AI248" s="225">
        <f t="shared" si="95"/>
        <v>2.4764490295759787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44.211061911452525</v>
      </c>
      <c r="C249" s="955"/>
      <c r="D249" s="393">
        <f t="shared" si="77"/>
        <v>47.228148692671382</v>
      </c>
      <c r="E249" s="385">
        <f t="shared" si="100"/>
        <v>48.403839790347995</v>
      </c>
      <c r="F249" s="385">
        <f t="shared" si="78"/>
        <v>48.415980189818136</v>
      </c>
      <c r="G249" s="110">
        <f t="shared" si="101"/>
        <v>0.93158158564833016</v>
      </c>
      <c r="H249" s="414" t="b">
        <f>Wh_hp&gt;='2025'!Maxi_hp</f>
        <v>0</v>
      </c>
      <c r="I249" s="390">
        <f>IF(H249,Wh_hp,'2025'!Maxi_hp)</f>
        <v>51.339633290441888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6.3883232028678516E-2</v>
      </c>
      <c r="M249" s="959"/>
      <c r="N249" s="959"/>
      <c r="O249" s="48">
        <f>IF(t&lt;Tnet,'2025'!Resal+('2025'!Salim-'2025'!Resal)*(1-EXP(('2025'!Tnet-t)/('2025'!Tau_j))),Resal+(Salim-Resal)*(1-EXP((Tnet-t)/(Tau_j))))*Salcycl</f>
        <v>2.4289211409030623E-2</v>
      </c>
      <c r="P249" s="169">
        <f>(INDEX(Models!$BJ249:$BT249,,T249)*(1-R249)+INDEX(Models!$BJ249:$BT249,,T249+1)*R249-ERP_i)*Q249*Ramure*Pc/MaxiM</f>
        <v>2.7790440534197883E-4</v>
      </c>
      <c r="Q249" s="305">
        <f t="shared" si="80"/>
        <v>0.7</v>
      </c>
      <c r="R249" s="177">
        <f t="shared" si="81"/>
        <v>0.95237424548638594</v>
      </c>
      <c r="S249" s="921">
        <f t="shared" si="82"/>
        <v>-2</v>
      </c>
      <c r="T249" s="176">
        <f t="shared" si="83"/>
        <v>4</v>
      </c>
      <c r="U249" s="251">
        <f t="shared" si="84"/>
        <v>-1.0476257545136141</v>
      </c>
      <c r="V249" s="383">
        <f t="shared" si="85"/>
        <v>47.456778719933787</v>
      </c>
      <c r="W249" s="402">
        <f t="shared" si="86"/>
        <v>44.211061911452525</v>
      </c>
      <c r="X249" s="157">
        <f t="shared" si="87"/>
        <v>46257</v>
      </c>
      <c r="Y249" s="385">
        <f t="shared" si="88"/>
        <v>40.920719146954298</v>
      </c>
      <c r="Z249" s="385">
        <f t="shared" si="89"/>
        <v>43.713263715630752</v>
      </c>
      <c r="AA249" s="386">
        <f t="shared" si="90"/>
        <v>48.25617328037103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9.4141521300201855E-2</v>
      </c>
      <c r="AD249" s="231">
        <f>(INDEX(Models!$BJ249:$BT249,,AH249)*(1-AF249)+INDEX(Models!$BJ249:$BT249,,AH249+1)*AF249-ERP_i)*AE249*Ramure*Pc/MaxiM</f>
        <v>3.6581204966665512E-3</v>
      </c>
      <c r="AE249" s="305">
        <f t="shared" si="92"/>
        <v>0.7</v>
      </c>
      <c r="AF249" s="177">
        <f t="shared" si="93"/>
        <v>0.4773618118603653</v>
      </c>
      <c r="AG249" s="921">
        <f t="shared" si="99"/>
        <v>2</v>
      </c>
      <c r="AH249" s="176">
        <f t="shared" si="94"/>
        <v>8</v>
      </c>
      <c r="AI249" s="225">
        <f t="shared" si="95"/>
        <v>2.4773618118603653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45.638592818449652</v>
      </c>
      <c r="C250" s="955"/>
      <c r="D250" s="393">
        <f t="shared" si="77"/>
        <v>48.754166151260812</v>
      </c>
      <c r="E250" s="385">
        <f t="shared" si="100"/>
        <v>49.9744680518994</v>
      </c>
      <c r="F250" s="385">
        <f t="shared" si="78"/>
        <v>49.986453881695049</v>
      </c>
      <c r="G250" s="110">
        <f t="shared" si="101"/>
        <v>0.96380972171451484</v>
      </c>
      <c r="H250" s="414" t="b">
        <f>Wh_hp&gt;='2025'!Maxi_hp</f>
        <v>0</v>
      </c>
      <c r="I250" s="390">
        <f>IF(H250,Wh_hp,'2025'!Maxi_hp)</f>
        <v>51.228164501997107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6.3903735388377458E-2</v>
      </c>
      <c r="M250" s="959"/>
      <c r="N250" s="959"/>
      <c r="O250" s="48">
        <f>IF(t&lt;Tnet,'2025'!Resal+('2025'!Salim-'2025'!Resal)*(1-EXP(('2025'!Tnet-t)/('2025'!Tau_j))),Resal+(Salim-Resal)*(1-EXP((Tnet-t)/(Tau_j))))*Salcycl</f>
        <v>2.4418507053867586E-2</v>
      </c>
      <c r="P250" s="169">
        <f>(INDEX(Models!$BJ250:$BT250,,T250)*(1-R250)+INDEX(Models!$BJ250:$BT250,,T250+1)*R250-ERP_i)*Q250*Ramure*Pc/MaxiM</f>
        <v>2.5284942318842596E-4</v>
      </c>
      <c r="Q250" s="305">
        <f t="shared" si="80"/>
        <v>0.7</v>
      </c>
      <c r="R250" s="177">
        <f t="shared" si="81"/>
        <v>0.95325356703605024</v>
      </c>
      <c r="S250" s="921">
        <f t="shared" si="82"/>
        <v>-2</v>
      </c>
      <c r="T250" s="176">
        <f t="shared" si="83"/>
        <v>4</v>
      </c>
      <c r="U250" s="251">
        <f t="shared" si="84"/>
        <v>-1.0467464329639498</v>
      </c>
      <c r="V250" s="383">
        <f t="shared" si="85"/>
        <v>47.35166625550422</v>
      </c>
      <c r="W250" s="402">
        <f t="shared" si="86"/>
        <v>45.638592818449652</v>
      </c>
      <c r="X250" s="157">
        <f t="shared" si="87"/>
        <v>46258</v>
      </c>
      <c r="Y250" s="385">
        <f t="shared" si="88"/>
        <v>42.238746475172142</v>
      </c>
      <c r="Z250" s="385">
        <f t="shared" si="89"/>
        <v>45.122225215476739</v>
      </c>
      <c r="AA250" s="386">
        <f t="shared" si="90"/>
        <v>49.814890651130135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9.420206236158693E-2</v>
      </c>
      <c r="AD250" s="231">
        <f>(INDEX(Models!$BJ250:$BT250,,AH250)*(1-AF250)+INDEX(Models!$BJ250:$BT250,,AH250+1)*AF250-ERP_i)*AE250*Ramure*Pc/MaxiM</f>
        <v>3.6192457784144745E-3</v>
      </c>
      <c r="AE250" s="305">
        <f t="shared" si="92"/>
        <v>0.7</v>
      </c>
      <c r="AF250" s="177">
        <f t="shared" si="93"/>
        <v>0.47824113341002938</v>
      </c>
      <c r="AG250" s="921">
        <f t="shared" si="99"/>
        <v>2</v>
      </c>
      <c r="AH250" s="176">
        <f t="shared" si="94"/>
        <v>8</v>
      </c>
      <c r="AI250" s="225">
        <f t="shared" si="95"/>
        <v>2.4782411334100294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29.471679024140919</v>
      </c>
      <c r="C251" s="955"/>
      <c r="D251" s="393">
        <f t="shared" si="77"/>
        <v>31.484288163370611</v>
      </c>
      <c r="E251" s="385">
        <f t="shared" si="100"/>
        <v>32.276600491339281</v>
      </c>
      <c r="F251" s="385">
        <f t="shared" si="78"/>
        <v>32.280035805102841</v>
      </c>
      <c r="G251" s="110">
        <f t="shared" si="101"/>
        <v>0.62370557017566464</v>
      </c>
      <c r="H251" s="414" t="b">
        <f>Wh_hp&gt;='2025'!Maxi_hp</f>
        <v>0</v>
      </c>
      <c r="I251" s="390">
        <f>IF(H251,Wh_hp,'2025'!Maxi_hp)</f>
        <v>50.680972332086561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6.392423829900018E-2</v>
      </c>
      <c r="M251" s="959"/>
      <c r="N251" s="959"/>
      <c r="O251" s="48">
        <f>IF(t&lt;Tnet,'2025'!Resal+('2025'!Salim-'2025'!Resal)*(1-EXP(('2025'!Tnet-t)/('2025'!Tau_j))),Resal+(Salim-Resal)*(1-EXP((Tnet-t)/(Tau_j))))*Salcycl</f>
        <v>2.4547576755528044E-2</v>
      </c>
      <c r="P251" s="169">
        <f>(INDEX(Models!$BJ251:$BT251,,T251)*(1-R251)+INDEX(Models!$BJ251:$BT251,,T251+1)*R251-ERP_i)*Q251*Ramure*Pc/MaxiM</f>
        <v>2.3007889532880514E-4</v>
      </c>
      <c r="Q251" s="305">
        <f t="shared" si="80"/>
        <v>0.7</v>
      </c>
      <c r="R251" s="177">
        <f t="shared" si="81"/>
        <v>0.95410053220401481</v>
      </c>
      <c r="S251" s="921">
        <f t="shared" si="82"/>
        <v>-2</v>
      </c>
      <c r="T251" s="176">
        <f t="shared" si="83"/>
        <v>4</v>
      </c>
      <c r="U251" s="251">
        <f t="shared" si="84"/>
        <v>-1.0458994677959852</v>
      </c>
      <c r="V251" s="383">
        <f t="shared" si="85"/>
        <v>47.246706901695596</v>
      </c>
      <c r="W251" s="402">
        <f t="shared" si="86"/>
        <v>29.471679024140919</v>
      </c>
      <c r="X251" s="157">
        <f t="shared" si="87"/>
        <v>46259</v>
      </c>
      <c r="Y251" s="385">
        <f t="shared" si="88"/>
        <v>27.322840669216422</v>
      </c>
      <c r="Z251" s="385">
        <f t="shared" si="89"/>
        <v>29.188706499104772</v>
      </c>
      <c r="AA251" s="386">
        <f t="shared" si="90"/>
        <v>32.226441660108485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9.4262196026562092E-2</v>
      </c>
      <c r="AD251" s="231">
        <f>(INDEX(Models!$BJ251:$BT251,,AH251)*(1-AF251)+INDEX(Models!$BJ251:$BT251,,AH251+1)*AF251-ERP_i)*AE251*Ramure*Pc/MaxiM</f>
        <v>3.5894484536441187E-3</v>
      </c>
      <c r="AE251" s="305">
        <f t="shared" si="92"/>
        <v>0.7</v>
      </c>
      <c r="AF251" s="177">
        <f t="shared" si="93"/>
        <v>0.47908809857799417</v>
      </c>
      <c r="AG251" s="921">
        <f t="shared" si="99"/>
        <v>2</v>
      </c>
      <c r="AH251" s="176">
        <f t="shared" si="94"/>
        <v>8</v>
      </c>
      <c r="AI251" s="225">
        <f t="shared" si="95"/>
        <v>2.4790880985779942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40.470849828991931</v>
      </c>
      <c r="C252" s="955"/>
      <c r="D252" s="393">
        <f t="shared" si="77"/>
        <v>43.235534899803888</v>
      </c>
      <c r="E252" s="385">
        <f t="shared" si="100"/>
        <v>44.32942625220619</v>
      </c>
      <c r="F252" s="385">
        <f t="shared" si="78"/>
        <v>44.336841281900895</v>
      </c>
      <c r="G252" s="110">
        <f t="shared" si="101"/>
        <v>0.85846192829056966</v>
      </c>
      <c r="H252" s="414" t="b">
        <f>Wh_hp&gt;='2025'!Maxi_hp</f>
        <v>0</v>
      </c>
      <c r="I252" s="390">
        <f>IF(H252,Wh_hp,'2025'!Maxi_hp)</f>
        <v>53.637175533284911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6.3944740760556562E-2</v>
      </c>
      <c r="M252" s="959"/>
      <c r="N252" s="959"/>
      <c r="O252" s="48">
        <f>IF(t&lt;Tnet,'2025'!Resal+('2025'!Salim-'2025'!Resal)*(1-EXP(('2025'!Tnet-t)/('2025'!Tau_j))),Resal+(Salim-Resal)*(1-EXP((Tnet-t)/(Tau_j))))*Salcycl</f>
        <v>2.4676415755501991E-2</v>
      </c>
      <c r="P252" s="169">
        <f>(INDEX(Models!$BJ252:$BT252,,T252)*(1-R252)+INDEX(Models!$BJ252:$BT252,,T252+1)*R252-ERP_i)*Q252*Ramure*Pc/MaxiM</f>
        <v>2.0961594774662295E-4</v>
      </c>
      <c r="Q252" s="305">
        <f t="shared" si="80"/>
        <v>0.7</v>
      </c>
      <c r="R252" s="177">
        <f t="shared" si="81"/>
        <v>0.9549162182054185</v>
      </c>
      <c r="S252" s="921">
        <f t="shared" si="82"/>
        <v>-2</v>
      </c>
      <c r="T252" s="176">
        <f t="shared" si="83"/>
        <v>4</v>
      </c>
      <c r="U252" s="251">
        <f t="shared" si="84"/>
        <v>-1.0450837817945815</v>
      </c>
      <c r="V252" s="383">
        <f t="shared" si="85"/>
        <v>47.141443717347684</v>
      </c>
      <c r="W252" s="402">
        <f t="shared" si="86"/>
        <v>40.470849828991931</v>
      </c>
      <c r="X252" s="157">
        <f t="shared" si="87"/>
        <v>46260</v>
      </c>
      <c r="Y252" s="385">
        <f t="shared" si="88"/>
        <v>37.480185287115866</v>
      </c>
      <c r="Z252" s="385">
        <f t="shared" si="89"/>
        <v>40.040569097992126</v>
      </c>
      <c r="AA252" s="386">
        <f t="shared" si="90"/>
        <v>44.210596971078203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9.4321908293028459E-2</v>
      </c>
      <c r="AD252" s="231">
        <f>(INDEX(Models!$BJ252:$BT252,,AH252)*(1-AF252)+INDEX(Models!$BJ252:$BT252,,AH252+1)*AF252-ERP_i)*AE252*Ramure*Pc/MaxiM</f>
        <v>3.5688084809174878E-3</v>
      </c>
      <c r="AE252" s="305">
        <f t="shared" si="92"/>
        <v>0.7</v>
      </c>
      <c r="AF252" s="177">
        <f t="shared" si="93"/>
        <v>0.47990378457939764</v>
      </c>
      <c r="AG252" s="921">
        <f t="shared" si="99"/>
        <v>2</v>
      </c>
      <c r="AH252" s="176">
        <f t="shared" si="94"/>
        <v>8</v>
      </c>
      <c r="AI252" s="225">
        <f t="shared" si="95"/>
        <v>2.4799037845793976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45.463068381364295</v>
      </c>
      <c r="C253" s="955"/>
      <c r="D253" s="393">
        <f t="shared" si="77"/>
        <v>48.569850670984941</v>
      </c>
      <c r="E253" s="385">
        <f t="shared" si="100"/>
        <v>49.805271379012716</v>
      </c>
      <c r="F253" s="385">
        <f t="shared" si="78"/>
        <v>49.814354421590828</v>
      </c>
      <c r="G253" s="110">
        <f t="shared" si="101"/>
        <v>0.9665620607626404</v>
      </c>
      <c r="H253" s="414" t="b">
        <f>Wh_hp&gt;='2025'!Maxi_hp</f>
        <v>0</v>
      </c>
      <c r="I253" s="390">
        <f>IF(H253,Wh_hp,'2025'!Maxi_hp)</f>
        <v>51.403994258295555</v>
      </c>
      <c r="J253" s="85">
        <f>IF(H253,An,'2025'!An_max)</f>
        <v>2018</v>
      </c>
      <c r="K253" s="197">
        <f t="shared" si="79"/>
        <v>46261</v>
      </c>
      <c r="L253" s="147">
        <f>IF(t&lt;Tvie,1-EXP((T0-t)*PertePVj)+'2025'!Pspv,1-EXP((T0-t)*PertePVj)+Pspv)</f>
        <v>6.3965242773056374E-2</v>
      </c>
      <c r="M253" s="959"/>
      <c r="N253" s="959"/>
      <c r="O253" s="48">
        <f>IF(t&lt;Tnet,'2025'!Resal+('2025'!Salim-'2025'!Resal)*(1-EXP(('2025'!Tnet-t)/('2025'!Tau_j))),Resal+(Salim-Resal)*(1-EXP((Tnet-t)/(Tau_j))))*Salcycl</f>
        <v>2.4805019103828527E-2</v>
      </c>
      <c r="P253" s="169">
        <f>(INDEX(Models!$BJ253:$BT253,,T253)*(1-R253)+INDEX(Models!$BJ253:$BT253,,T253+1)*R253-ERP_i)*Q253*Ramure*Pc/MaxiM</f>
        <v>1.9148225480598307E-4</v>
      </c>
      <c r="Q253" s="305">
        <f t="shared" si="80"/>
        <v>0.7</v>
      </c>
      <c r="R253" s="177">
        <f t="shared" si="81"/>
        <v>0.95570167504066572</v>
      </c>
      <c r="S253" s="921">
        <f t="shared" si="82"/>
        <v>-2</v>
      </c>
      <c r="T253" s="176">
        <f t="shared" si="83"/>
        <v>4</v>
      </c>
      <c r="U253" s="251">
        <f t="shared" si="84"/>
        <v>-1.0442983249593343</v>
      </c>
      <c r="V253" s="383">
        <f t="shared" si="85"/>
        <v>47.035420092159093</v>
      </c>
      <c r="W253" s="402">
        <f t="shared" si="86"/>
        <v>45.463068381364295</v>
      </c>
      <c r="X253" s="157">
        <f t="shared" si="87"/>
        <v>46261</v>
      </c>
      <c r="Y253" s="385">
        <f t="shared" si="88"/>
        <v>42.084119125707566</v>
      </c>
      <c r="Z253" s="385">
        <f t="shared" si="89"/>
        <v>44.959996197560194</v>
      </c>
      <c r="AA253" s="386">
        <f t="shared" si="90"/>
        <v>49.645607441334832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9.4381184665965095E-2</v>
      </c>
      <c r="AD253" s="231">
        <f>(INDEX(Models!$BJ253:$BT253,,AH253)*(1-AF253)+INDEX(Models!$BJ253:$BT253,,AH253+1)*AF253-ERP_i)*AE253*Ramure*Pc/MaxiM</f>
        <v>3.5574040298986891E-3</v>
      </c>
      <c r="AE253" s="305">
        <f t="shared" si="92"/>
        <v>0.7</v>
      </c>
      <c r="AF253" s="177">
        <f t="shared" si="93"/>
        <v>0.48068924141464464</v>
      </c>
      <c r="AG253" s="921">
        <f t="shared" si="99"/>
        <v>2</v>
      </c>
      <c r="AH253" s="176">
        <f t="shared" si="94"/>
        <v>8</v>
      </c>
      <c r="AI253" s="225">
        <f t="shared" si="95"/>
        <v>2.4806892414146446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45.570949989627614</v>
      </c>
      <c r="C254" s="955"/>
      <c r="D254" s="393">
        <f t="shared" si="77"/>
        <v>48.686170871751102</v>
      </c>
      <c r="E254" s="385">
        <f t="shared" si="100"/>
        <v>49.931122608122372</v>
      </c>
      <c r="F254" s="385">
        <f t="shared" si="78"/>
        <v>49.939562481505824</v>
      </c>
      <c r="G254" s="110">
        <f t="shared" si="101"/>
        <v>0.97107207271067419</v>
      </c>
      <c r="H254" s="414" t="b">
        <f>Wh_hp&gt;='2025'!Maxi_hp</f>
        <v>0</v>
      </c>
      <c r="I254" s="390">
        <f>IF(H254,Wh_hp,'2025'!Maxi_hp)</f>
        <v>53.343274555388398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6.3985744336509609E-2</v>
      </c>
      <c r="M254" s="959"/>
      <c r="N254" s="959"/>
      <c r="O254" s="48">
        <f>IF(t&lt;Tnet,'2025'!Resal+('2025'!Salim-'2025'!Resal)*(1-EXP(('2025'!Tnet-t)/('2025'!Tau_j))),Resal+(Salim-Resal)*(1-EXP((Tnet-t)/(Tau_j))))*Salcycl</f>
        <v>2.4933381653404921E-2</v>
      </c>
      <c r="P254" s="169">
        <f>(INDEX(Models!$BJ254:$BT254,,T254)*(1-R254)+INDEX(Models!$BJ254:$BT254,,T254+1)*R254-ERP_i)*Q254*Ramure*Pc/MaxiM</f>
        <v>1.7628505463288406E-4</v>
      </c>
      <c r="Q254" s="305">
        <f t="shared" si="80"/>
        <v>0.7</v>
      </c>
      <c r="R254" s="177">
        <f t="shared" si="81"/>
        <v>0.9564579254932255</v>
      </c>
      <c r="S254" s="921">
        <f t="shared" si="82"/>
        <v>-2</v>
      </c>
      <c r="T254" s="176">
        <f t="shared" si="83"/>
        <v>4</v>
      </c>
      <c r="U254" s="251">
        <f t="shared" si="84"/>
        <v>-1.0435420745067745</v>
      </c>
      <c r="V254" s="383">
        <f t="shared" si="85"/>
        <v>46.928152201044263</v>
      </c>
      <c r="W254" s="402">
        <f t="shared" si="86"/>
        <v>45.570949989627614</v>
      </c>
      <c r="X254" s="157">
        <f t="shared" si="87"/>
        <v>46262</v>
      </c>
      <c r="Y254" s="385">
        <f t="shared" si="88"/>
        <v>42.185239758766457</v>
      </c>
      <c r="Z254" s="385">
        <f t="shared" si="89"/>
        <v>45.069014177421472</v>
      </c>
      <c r="AA254" s="386">
        <f t="shared" si="90"/>
        <v>49.769219800303844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9.4440010145661835E-2</v>
      </c>
      <c r="AD254" s="231">
        <f>(INDEX(Models!$BJ254:$BT254,,AH254)*(1-AF254)+INDEX(Models!$BJ254:$BT254,,AH254+1)*AF254-ERP_i)*AE254*Ramure*Pc/MaxiM</f>
        <v>3.557976227568932E-3</v>
      </c>
      <c r="AE254" s="305">
        <f t="shared" si="92"/>
        <v>0.7</v>
      </c>
      <c r="AF254" s="177">
        <f t="shared" si="93"/>
        <v>0.48144549186720464</v>
      </c>
      <c r="AG254" s="921">
        <f t="shared" si="99"/>
        <v>2</v>
      </c>
      <c r="AH254" s="176">
        <f t="shared" si="94"/>
        <v>8</v>
      </c>
      <c r="AI254" s="225">
        <f t="shared" si="95"/>
        <v>2.4814454918672046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32.022618983205057</v>
      </c>
      <c r="C255" s="955"/>
      <c r="D255" s="393">
        <f t="shared" si="77"/>
        <v>34.212428050475957</v>
      </c>
      <c r="E255" s="385">
        <f t="shared" si="100"/>
        <v>35.091883213268474</v>
      </c>
      <c r="F255" s="385">
        <f t="shared" si="78"/>
        <v>35.095017763706004</v>
      </c>
      <c r="G255" s="110">
        <f t="shared" si="101"/>
        <v>0.68391250904817513</v>
      </c>
      <c r="H255" s="414" t="b">
        <f>Wh_hp&gt;='2025'!Maxi_hp</f>
        <v>0</v>
      </c>
      <c r="I255" s="390">
        <f>IF(H255,Wh_hp,'2025'!Maxi_hp)</f>
        <v>52.809812213553279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6.4006245450925814E-2</v>
      </c>
      <c r="M255" s="959"/>
      <c r="N255" s="959"/>
      <c r="O255" s="48">
        <f>IF(t&lt;Tnet,'2025'!Resal+('2025'!Salim-'2025'!Resal)*(1-EXP(('2025'!Tnet-t)/('2025'!Tau_j))),Resal+(Salim-Resal)*(1-EXP((Tnet-t)/(Tau_j))))*Salcycl</f>
        <v>2.5061498052061981E-2</v>
      </c>
      <c r="P255" s="169">
        <f>(INDEX(Models!$BJ255:$BT255,,T255)*(1-R255)+INDEX(Models!$BJ255:$BT255,,T255+1)*R255-ERP_i)*Q255*Ramure*Pc/MaxiM</f>
        <v>1.6283160025007672E-4</v>
      </c>
      <c r="Q255" s="305">
        <f t="shared" si="80"/>
        <v>0.7</v>
      </c>
      <c r="R255" s="177">
        <f t="shared" si="81"/>
        <v>0.95718596519552013</v>
      </c>
      <c r="S255" s="921">
        <f t="shared" si="82"/>
        <v>-2</v>
      </c>
      <c r="T255" s="176">
        <f t="shared" si="83"/>
        <v>4</v>
      </c>
      <c r="U255" s="251">
        <f t="shared" si="84"/>
        <v>-1.0428140348044799</v>
      </c>
      <c r="V255" s="383">
        <f t="shared" si="85"/>
        <v>46.819241044333495</v>
      </c>
      <c r="W255" s="402">
        <f t="shared" si="86"/>
        <v>32.022618983205057</v>
      </c>
      <c r="X255" s="157">
        <f t="shared" si="87"/>
        <v>46263</v>
      </c>
      <c r="Y255" s="385">
        <f t="shared" si="88"/>
        <v>29.686382498764853</v>
      </c>
      <c r="Z255" s="385">
        <f t="shared" si="89"/>
        <v>31.716432245925201</v>
      </c>
      <c r="AA255" s="386">
        <f t="shared" si="90"/>
        <v>35.026366786525315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9.4498369207777752E-2</v>
      </c>
      <c r="AD255" s="231">
        <f>(INDEX(Models!$BJ255:$BT255,,AH255)*(1-AF255)+INDEX(Models!$BJ255:$BT255,,AH255+1)*AF255-ERP_i)*AE255*Ramure*Pc/MaxiM</f>
        <v>3.5662365930422624E-3</v>
      </c>
      <c r="AE255" s="305">
        <f t="shared" si="92"/>
        <v>0.7</v>
      </c>
      <c r="AF255" s="177">
        <f t="shared" si="93"/>
        <v>0.48217353156949949</v>
      </c>
      <c r="AG255" s="921">
        <f t="shared" si="99"/>
        <v>2</v>
      </c>
      <c r="AH255" s="176">
        <f t="shared" si="94"/>
        <v>8</v>
      </c>
      <c r="AI255" s="225">
        <f t="shared" si="95"/>
        <v>2.4821735315694995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45.263920572427473</v>
      </c>
      <c r="C256" s="955"/>
      <c r="D256" s="393">
        <f t="shared" si="77"/>
        <v>48.360271390887952</v>
      </c>
      <c r="E256" s="385">
        <f t="shared" si="100"/>
        <v>49.609913497097317</v>
      </c>
      <c r="F256" s="385">
        <f t="shared" si="78"/>
        <v>49.617081178570395</v>
      </c>
      <c r="G256" s="110">
        <f t="shared" si="101"/>
        <v>0.96907156140082107</v>
      </c>
      <c r="H256" s="414" t="b">
        <f>Wh_hp&gt;='2025'!Maxi_hp</f>
        <v>0</v>
      </c>
      <c r="I256" s="390">
        <f>IF(H256,Wh_hp,'2025'!Maxi_hp)</f>
        <v>51.020688029577649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6.4026746116315092E-2</v>
      </c>
      <c r="M256" s="959"/>
      <c r="N256" s="959"/>
      <c r="O256" s="48">
        <f>IF(t&lt;Tnet,'2025'!Resal+('2025'!Salim-'2025'!Resal)*(1-EXP(('2025'!Tnet-t)/('2025'!Tau_j))),Resal+(Salim-Resal)*(1-EXP((Tnet-t)/(Tau_j))))*Salcycl</f>
        <v>2.5189362732561067E-2</v>
      </c>
      <c r="P256" s="169">
        <f>(INDEX(Models!$BJ256:$BT256,,T256)*(1-R256)+INDEX(Models!$BJ256:$BT256,,T256+1)*R256-ERP_i)*Q256*Ramure*Pc/MaxiM</f>
        <v>1.5113628884896524E-4</v>
      </c>
      <c r="Q256" s="305">
        <f t="shared" si="80"/>
        <v>0.7</v>
      </c>
      <c r="R256" s="177">
        <f t="shared" si="81"/>
        <v>0.95788676275669493</v>
      </c>
      <c r="S256" s="921">
        <f t="shared" si="82"/>
        <v>-2</v>
      </c>
      <c r="T256" s="176">
        <f t="shared" si="83"/>
        <v>4</v>
      </c>
      <c r="U256" s="251">
        <f t="shared" si="84"/>
        <v>-1.0421132372433051</v>
      </c>
      <c r="V256" s="383">
        <f t="shared" si="85"/>
        <v>46.708230985992138</v>
      </c>
      <c r="W256" s="402">
        <f t="shared" si="86"/>
        <v>45.263920572427473</v>
      </c>
      <c r="X256" s="157">
        <f t="shared" si="87"/>
        <v>46264</v>
      </c>
      <c r="Y256" s="385">
        <f t="shared" si="88"/>
        <v>41.905067819385401</v>
      </c>
      <c r="Z256" s="385">
        <f t="shared" si="89"/>
        <v>44.771650947830416</v>
      </c>
      <c r="AA256" s="386">
        <f t="shared" si="90"/>
        <v>49.447191765328988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9.4556245776063183E-2</v>
      </c>
      <c r="AD256" s="231">
        <f>(INDEX(Models!$BJ256:$BT256,,AH256)*(1-AF256)+INDEX(Models!$BJ256:$BT256,,AH256+1)*AF256-ERP_i)*AE256*Ramure*Pc/MaxiM</f>
        <v>3.5822539727064233E-3</v>
      </c>
      <c r="AE256" s="305">
        <f t="shared" si="92"/>
        <v>0.7</v>
      </c>
      <c r="AF256" s="177">
        <f t="shared" si="93"/>
        <v>0.48287432913067407</v>
      </c>
      <c r="AG256" s="921">
        <f t="shared" si="99"/>
        <v>2</v>
      </c>
      <c r="AH256" s="176">
        <f t="shared" si="94"/>
        <v>8</v>
      </c>
      <c r="AI256" s="225">
        <f t="shared" si="95"/>
        <v>2.4828743291306741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20.579972135068875</v>
      </c>
      <c r="C257" s="955"/>
      <c r="D257" s="393">
        <f t="shared" si="77"/>
        <v>21.988259615061818</v>
      </c>
      <c r="E257" s="385">
        <f t="shared" si="100"/>
        <v>22.559395142872233</v>
      </c>
      <c r="F257" s="385">
        <f t="shared" si="78"/>
        <v>22.560039946669225</v>
      </c>
      <c r="G257" s="110">
        <f t="shared" si="101"/>
        <v>0.44163110448754289</v>
      </c>
      <c r="H257" s="414" t="b">
        <f>Wh_hp&gt;='2025'!Maxi_hp</f>
        <v>0</v>
      </c>
      <c r="I257" s="390">
        <f>IF(H257,Wh_hp,'2025'!Maxi_hp)</f>
        <v>51.639133296774915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6.4047246332687213E-2</v>
      </c>
      <c r="M257" s="959"/>
      <c r="N257" s="959"/>
      <c r="O257" s="48">
        <f>IF(t&lt;Tnet,'2025'!Resal+('2025'!Salim-'2025'!Resal)*(1-EXP(('2025'!Tnet-t)/('2025'!Tau_j))),Resal+(Salim-Resal)*(1-EXP((Tnet-t)/(Tau_j))))*Salcycl</f>
        <v>2.5316969900714296E-2</v>
      </c>
      <c r="P257" s="169">
        <f>(INDEX(Models!$BJ257:$BT257,,T257)*(1-R257)+INDEX(Models!$BJ257:$BT257,,T257+1)*R257-ERP_i)*Q257*Ramure*Pc/MaxiM</f>
        <v>1.412129738319771E-4</v>
      </c>
      <c r="Q257" s="305">
        <f t="shared" si="80"/>
        <v>0.7</v>
      </c>
      <c r="R257" s="177">
        <f t="shared" si="81"/>
        <v>0.95856125994639507</v>
      </c>
      <c r="S257" s="921">
        <f t="shared" si="82"/>
        <v>-2</v>
      </c>
      <c r="T257" s="176">
        <f t="shared" si="83"/>
        <v>4</v>
      </c>
      <c r="U257" s="251">
        <f t="shared" si="84"/>
        <v>-1.0414387400536049</v>
      </c>
      <c r="V257" s="383">
        <f t="shared" si="85"/>
        <v>46.594666704383798</v>
      </c>
      <c r="W257" s="402">
        <f t="shared" si="86"/>
        <v>20.579972135068875</v>
      </c>
      <c r="X257" s="157">
        <f t="shared" si="87"/>
        <v>46265</v>
      </c>
      <c r="Y257" s="385">
        <f t="shared" si="88"/>
        <v>19.10339906530028</v>
      </c>
      <c r="Z257" s="385">
        <f t="shared" si="89"/>
        <v>20.410644651076737</v>
      </c>
      <c r="AA257" s="386">
        <f t="shared" si="90"/>
        <v>22.543573852924453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9.4613623188721949E-2</v>
      </c>
      <c r="AD257" s="231">
        <f>(INDEX(Models!$BJ257:$BT257,,AH257)*(1-AF257)+INDEX(Models!$BJ257:$BT257,,AH257+1)*AF257-ERP_i)*AE257*Ramure*Pc/MaxiM</f>
        <v>3.6060985929980372E-3</v>
      </c>
      <c r="AE257" s="305">
        <f t="shared" si="92"/>
        <v>0.7</v>
      </c>
      <c r="AF257" s="177">
        <f t="shared" si="93"/>
        <v>0.48354882632037421</v>
      </c>
      <c r="AG257" s="921">
        <f t="shared" si="99"/>
        <v>2</v>
      </c>
      <c r="AH257" s="176">
        <f t="shared" si="94"/>
        <v>8</v>
      </c>
      <c r="AI257" s="225">
        <f t="shared" si="95"/>
        <v>2.4835488263203742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41.827287221985195</v>
      </c>
      <c r="C258" s="955"/>
      <c r="D258" s="393">
        <f t="shared" si="77"/>
        <v>44.690507296542606</v>
      </c>
      <c r="E258" s="385">
        <f t="shared" si="100"/>
        <v>45.85731520180876</v>
      </c>
      <c r="F258" s="385">
        <f t="shared" si="78"/>
        <v>45.862545923625056</v>
      </c>
      <c r="G258" s="110">
        <f t="shared" si="101"/>
        <v>0.89991840407855683</v>
      </c>
      <c r="H258" s="414" t="b">
        <f>Wh_hp&gt;='2025'!Maxi_hp</f>
        <v>0</v>
      </c>
      <c r="I258" s="390">
        <f>IF(H258,Wh_hp,'2025'!Maxi_hp)</f>
        <v>52.083506608695828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6.4067746100051948E-2</v>
      </c>
      <c r="M258" s="959"/>
      <c r="N258" s="959"/>
      <c r="O258" s="48">
        <f>IF(t&lt;Tnet,'2025'!Resal+('2025'!Salim-'2025'!Resal)*(1-EXP(('2025'!Tnet-t)/('2025'!Tau_j))),Resal+(Salim-Resal)*(1-EXP((Tnet-t)/(Tau_j))))*Salcycl</f>
        <v>2.5444313521872573E-2</v>
      </c>
      <c r="P258" s="169">
        <f>(INDEX(Models!$BJ258:$BT258,,T258)*(1-R258)+INDEX(Models!$BJ258:$BT258,,T258+1)*R258-ERP_i)*Q258*Ramure*Pc/MaxiM</f>
        <v>1.330751377537697E-4</v>
      </c>
      <c r="Q258" s="305">
        <f t="shared" si="80"/>
        <v>0.7</v>
      </c>
      <c r="R258" s="177">
        <f t="shared" si="81"/>
        <v>0.95921037192901659</v>
      </c>
      <c r="S258" s="921">
        <f t="shared" si="82"/>
        <v>-2</v>
      </c>
      <c r="T258" s="176">
        <f t="shared" si="83"/>
        <v>4</v>
      </c>
      <c r="U258" s="251">
        <f t="shared" si="84"/>
        <v>-1.0407896280709834</v>
      </c>
      <c r="V258" s="383">
        <f t="shared" si="85"/>
        <v>46.478093193285275</v>
      </c>
      <c r="W258" s="402">
        <f t="shared" si="86"/>
        <v>41.827287221985195</v>
      </c>
      <c r="X258" s="157">
        <f t="shared" si="87"/>
        <v>46266</v>
      </c>
      <c r="Y258" s="385">
        <f t="shared" si="88"/>
        <v>38.739417647463718</v>
      </c>
      <c r="Z258" s="385">
        <f t="shared" si="89"/>
        <v>41.391262547091358</v>
      </c>
      <c r="AA258" s="386">
        <f t="shared" si="90"/>
        <v>45.719554949740875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9.46704841595149E-2</v>
      </c>
      <c r="AD258" s="231">
        <f>(INDEX(Models!$BJ258:$BT258,,AH258)*(1-AF258)+INDEX(Models!$BJ258:$BT258,,AH258+1)*AF258-ERP_i)*AE258*Ramure*Pc/MaxiM</f>
        <v>3.6378427711251417E-3</v>
      </c>
      <c r="AE258" s="305">
        <f t="shared" si="92"/>
        <v>0.7</v>
      </c>
      <c r="AF258" s="177">
        <f t="shared" si="93"/>
        <v>0.48419793830299573</v>
      </c>
      <c r="AG258" s="921">
        <f t="shared" si="99"/>
        <v>2</v>
      </c>
      <c r="AH258" s="176">
        <f t="shared" si="94"/>
        <v>8</v>
      </c>
      <c r="AI258" s="225">
        <f t="shared" si="95"/>
        <v>2.4841979383029957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39.006557051280708</v>
      </c>
      <c r="C259" s="955"/>
      <c r="D259" s="393">
        <f t="shared" si="77"/>
        <v>41.677601398135465</v>
      </c>
      <c r="E259" s="385">
        <f t="shared" si="100"/>
        <v>42.771323476342104</v>
      </c>
      <c r="F259" s="385">
        <f t="shared" si="78"/>
        <v>42.775516536413335</v>
      </c>
      <c r="G259" s="110">
        <f t="shared" si="101"/>
        <v>0.84139501483072288</v>
      </c>
      <c r="H259" s="414" t="b">
        <f>Wh_hp&gt;='2025'!Maxi_hp</f>
        <v>0</v>
      </c>
      <c r="I259" s="390">
        <f>IF(H259,Wh_hp,'2025'!Maxi_hp)</f>
        <v>50.502495754224739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6.4088245418419176E-2</v>
      </c>
      <c r="M259" s="959"/>
      <c r="N259" s="959"/>
      <c r="O259" s="48">
        <f>IF(t&lt;Tnet,'2025'!Resal+('2025'!Salim-'2025'!Resal)*(1-EXP(('2025'!Tnet-t)/('2025'!Tau_j))),Resal+(Salim-Resal)*(1-EXP((Tnet-t)/(Tau_j))))*Salcycl</f>
        <v>2.5571387306067506E-2</v>
      </c>
      <c r="P259" s="169">
        <f>(INDEX(Models!$BJ259:$BT259,,T259)*(1-R259)+INDEX(Models!$BJ259:$BT259,,T259+1)*R259-ERP_i)*Q259*Ramure*Pc/MaxiM</f>
        <v>1.2673606790213366E-4</v>
      </c>
      <c r="Q259" s="305">
        <f t="shared" si="80"/>
        <v>0.7</v>
      </c>
      <c r="R259" s="177">
        <f t="shared" si="81"/>
        <v>0.95983498754322305</v>
      </c>
      <c r="S259" s="921">
        <f t="shared" si="82"/>
        <v>-2</v>
      </c>
      <c r="T259" s="176">
        <f t="shared" si="83"/>
        <v>4</v>
      </c>
      <c r="U259" s="251">
        <f t="shared" si="84"/>
        <v>-1.0401650124567769</v>
      </c>
      <c r="V259" s="383">
        <f t="shared" si="85"/>
        <v>46.358055758586495</v>
      </c>
      <c r="W259" s="402">
        <f t="shared" si="86"/>
        <v>39.006557051280708</v>
      </c>
      <c r="X259" s="157">
        <f t="shared" si="87"/>
        <v>46267</v>
      </c>
      <c r="Y259" s="385">
        <f t="shared" si="88"/>
        <v>36.138717943352574</v>
      </c>
      <c r="Z259" s="385">
        <f t="shared" si="89"/>
        <v>38.613381834817488</v>
      </c>
      <c r="AA259" s="386">
        <f t="shared" si="90"/>
        <v>42.653844488822614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9.472681073481963E-2</v>
      </c>
      <c r="AD259" s="231">
        <f>(INDEX(Models!$BJ259:$BT259,,AH259)*(1-AF259)+INDEX(Models!$BJ259:$BT259,,AH259+1)*AF259-ERP_i)*AE259*Ramure*Pc/MaxiM</f>
        <v>3.677561643121597E-3</v>
      </c>
      <c r="AE259" s="305">
        <f t="shared" si="92"/>
        <v>0.7</v>
      </c>
      <c r="AF259" s="177">
        <f t="shared" si="93"/>
        <v>0.48482255391720219</v>
      </c>
      <c r="AG259" s="921">
        <f t="shared" si="99"/>
        <v>2</v>
      </c>
      <c r="AH259" s="176">
        <f t="shared" si="94"/>
        <v>8</v>
      </c>
      <c r="AI259" s="225">
        <f t="shared" si="95"/>
        <v>2.4848225539172022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37.071060150045525</v>
      </c>
      <c r="C260" s="955"/>
      <c r="D260" s="393">
        <f t="shared" si="77"/>
        <v>39.610435425892426</v>
      </c>
      <c r="E260" s="385">
        <f t="shared" si="100"/>
        <v>40.655200271156218</v>
      </c>
      <c r="F260" s="385">
        <f t="shared" si="78"/>
        <v>40.658762325524535</v>
      </c>
      <c r="G260" s="110">
        <f t="shared" si="101"/>
        <v>0.80178433978670915</v>
      </c>
      <c r="H260" s="414" t="b">
        <f>Wh_hp&gt;='2025'!Maxi_hp</f>
        <v>0</v>
      </c>
      <c r="I260" s="390">
        <f>IF(H260,Wh_hp,'2025'!Maxi_hp)</f>
        <v>52.236523625300045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6.4108744287798669E-2</v>
      </c>
      <c r="M260" s="959"/>
      <c r="N260" s="959"/>
      <c r="O260" s="48">
        <f>IF(t&lt;Tnet,'2025'!Resal+('2025'!Salim-'2025'!Resal)*(1-EXP(('2025'!Tnet-t)/('2025'!Tau_j))),Resal+(Salim-Resal)*(1-EXP((Tnet-t)/(Tau_j))))*Salcycl</f>
        <v>2.5698184692132104E-2</v>
      </c>
      <c r="P260" s="169">
        <f>(INDEX(Models!$BJ260:$BT260,,T260)*(1-R260)+INDEX(Models!$BJ260:$BT260,,T260+1)*R260-ERP_i)*Q260*Ramure*Pc/MaxiM</f>
        <v>1.2220903454974067E-4</v>
      </c>
      <c r="Q260" s="305">
        <f t="shared" si="80"/>
        <v>0.7</v>
      </c>
      <c r="R260" s="177">
        <f t="shared" si="81"/>
        <v>0.96043596962184852</v>
      </c>
      <c r="S260" s="921">
        <f t="shared" si="82"/>
        <v>-2</v>
      </c>
      <c r="T260" s="176">
        <f t="shared" si="83"/>
        <v>4</v>
      </c>
      <c r="U260" s="251">
        <f t="shared" si="84"/>
        <v>-1.0395640303781515</v>
      </c>
      <c r="V260" s="383">
        <f t="shared" si="85"/>
        <v>46.234100020100399</v>
      </c>
      <c r="W260" s="402">
        <f t="shared" si="86"/>
        <v>37.071060150045525</v>
      </c>
      <c r="X260" s="157">
        <f t="shared" si="87"/>
        <v>46268</v>
      </c>
      <c r="Y260" s="385">
        <f t="shared" si="88"/>
        <v>34.353506136822887</v>
      </c>
      <c r="Z260" s="385">
        <f t="shared" si="89"/>
        <v>36.706728401560184</v>
      </c>
      <c r="AA260" s="386">
        <f t="shared" si="90"/>
        <v>40.550179175535185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9.4782584247959073E-2</v>
      </c>
      <c r="AD260" s="231">
        <f>(INDEX(Models!$BJ260:$BT260,,AH260)*(1-AF260)+INDEX(Models!$BJ260:$BT260,,AH260+1)*AF260-ERP_i)*AE260*Ramure*Pc/MaxiM</f>
        <v>3.7253339102854728E-3</v>
      </c>
      <c r="AE260" s="305">
        <f t="shared" si="92"/>
        <v>0.7</v>
      </c>
      <c r="AF260" s="177">
        <f t="shared" si="93"/>
        <v>0.48542353599582766</v>
      </c>
      <c r="AG260" s="921">
        <f t="shared" si="99"/>
        <v>2</v>
      </c>
      <c r="AH260" s="176">
        <f t="shared" si="94"/>
        <v>8</v>
      </c>
      <c r="AI260" s="225">
        <f t="shared" si="95"/>
        <v>2.4854235359958277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44.30007836999593</v>
      </c>
      <c r="C261" s="955"/>
      <c r="D261" s="393">
        <f t="shared" si="77"/>
        <v>47.335679659647063</v>
      </c>
      <c r="E261" s="385">
        <f t="shared" si="100"/>
        <v>48.590515077576399</v>
      </c>
      <c r="F261" s="385">
        <f t="shared" si="78"/>
        <v>48.59599721496263</v>
      </c>
      <c r="G261" s="110">
        <f t="shared" si="101"/>
        <v>0.96079227386088339</v>
      </c>
      <c r="H261" s="414" t="b">
        <f>Wh_hp&gt;='2025'!Maxi_hp</f>
        <v>0</v>
      </c>
      <c r="I261" s="390">
        <f>IF(H261,Wh_hp,'2025'!Maxi_hp)</f>
        <v>51.364733019215166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6.4129242708200418E-2</v>
      </c>
      <c r="M261" s="959"/>
      <c r="N261" s="959"/>
      <c r="O261" s="48">
        <f>IF(t&lt;Tnet,'2025'!Resal+('2025'!Salim-'2025'!Resal)*(1-EXP(('2025'!Tnet-t)/('2025'!Tau_j))),Resal+(Salim-Resal)*(1-EXP((Tnet-t)/(Tau_j))))*Salcycl</f>
        <v>2.5824698831159683E-2</v>
      </c>
      <c r="P261" s="169">
        <f>(INDEX(Models!$BJ261:$BT261,,T261)*(1-R261)+INDEX(Models!$BJ261:$BT261,,T261+1)*R261-ERP_i)*Q261*Ramure*Pc/MaxiM</f>
        <v>1.1950285297607827E-4</v>
      </c>
      <c r="Q261" s="305">
        <f t="shared" si="80"/>
        <v>0.7</v>
      </c>
      <c r="R261" s="177">
        <f t="shared" si="81"/>
        <v>0.96101415534761281</v>
      </c>
      <c r="S261" s="921">
        <f t="shared" si="82"/>
        <v>-2</v>
      </c>
      <c r="T261" s="176">
        <f t="shared" si="83"/>
        <v>4</v>
      </c>
      <c r="U261" s="251">
        <f t="shared" si="84"/>
        <v>-1.0389858446523872</v>
      </c>
      <c r="V261" s="383">
        <f t="shared" si="85"/>
        <v>46.10755422244614</v>
      </c>
      <c r="W261" s="402">
        <f t="shared" si="86"/>
        <v>44.30007836999593</v>
      </c>
      <c r="X261" s="157">
        <f t="shared" si="87"/>
        <v>46269</v>
      </c>
      <c r="Y261" s="385">
        <f t="shared" si="88"/>
        <v>41.019453586513222</v>
      </c>
      <c r="Z261" s="385">
        <f t="shared" si="89"/>
        <v>43.830254623207097</v>
      </c>
      <c r="AA261" s="386">
        <f t="shared" si="90"/>
        <v>48.422541186595382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9.4837785272193678E-2</v>
      </c>
      <c r="AD261" s="231">
        <f>(INDEX(Models!$BJ261:$BT261,,AH261)*(1-AF261)+INDEX(Models!$BJ261:$BT261,,AH261+1)*AF261-ERP_i)*AE261*Ramure*Pc/MaxiM</f>
        <v>3.7810964584448405E-3</v>
      </c>
      <c r="AE261" s="305">
        <f t="shared" si="92"/>
        <v>0.7</v>
      </c>
      <c r="AF261" s="177">
        <f t="shared" si="93"/>
        <v>0.48600172172159217</v>
      </c>
      <c r="AG261" s="921">
        <f t="shared" si="99"/>
        <v>2</v>
      </c>
      <c r="AH261" s="176">
        <f t="shared" si="94"/>
        <v>8</v>
      </c>
      <c r="AI261" s="225">
        <f t="shared" si="95"/>
        <v>2.4860017217215922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40.669916512559951</v>
      </c>
      <c r="C262" s="955"/>
      <c r="D262" s="393">
        <f t="shared" si="77"/>
        <v>43.457717842697718</v>
      </c>
      <c r="E262" s="385">
        <f t="shared" si="100"/>
        <v>44.615532060608153</v>
      </c>
      <c r="F262" s="385">
        <f t="shared" si="78"/>
        <v>44.619958416943014</v>
      </c>
      <c r="G262" s="110">
        <f t="shared" si="101"/>
        <v>0.88449884729648254</v>
      </c>
      <c r="H262" s="414" t="b">
        <f>Wh_hp&gt;='2025'!Maxi_hp</f>
        <v>0</v>
      </c>
      <c r="I262" s="390">
        <f>IF(H262,Wh_hp,'2025'!Maxi_hp)</f>
        <v>50.98450100113412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6.4149740679634082E-2</v>
      </c>
      <c r="M262" s="959"/>
      <c r="N262" s="959"/>
      <c r="O262" s="48">
        <f>IF(t&lt;Tnet,'2025'!Resal+('2025'!Salim-'2025'!Resal)*(1-EXP(('2025'!Tnet-t)/('2025'!Tau_j))),Resal+(Salim-Resal)*(1-EXP((Tnet-t)/(Tau_j))))*Salcycl</f>
        <v>2.5950922569691552E-2</v>
      </c>
      <c r="P262" s="169">
        <f>(INDEX(Models!$BJ262:$BT262,,T262)*(1-R262)+INDEX(Models!$BJ262:$BT262,,T262+1)*R262-ERP_i)*Q262*Ramure*Pc/MaxiM</f>
        <v>1.1880062097826173E-4</v>
      </c>
      <c r="Q262" s="305">
        <f t="shared" si="80"/>
        <v>0.7</v>
      </c>
      <c r="R262" s="177">
        <f t="shared" si="81"/>
        <v>0.96157035664038482</v>
      </c>
      <c r="S262" s="921">
        <f t="shared" si="82"/>
        <v>-2</v>
      </c>
      <c r="T262" s="176">
        <f t="shared" si="83"/>
        <v>4</v>
      </c>
      <c r="U262" s="251">
        <f t="shared" si="84"/>
        <v>-1.0384296433596152</v>
      </c>
      <c r="V262" s="383">
        <f t="shared" si="85"/>
        <v>45.979844353249995</v>
      </c>
      <c r="W262" s="402">
        <f t="shared" si="86"/>
        <v>40.669916512559951</v>
      </c>
      <c r="X262" s="157">
        <f t="shared" si="87"/>
        <v>46270</v>
      </c>
      <c r="Y262" s="385">
        <f t="shared" si="88"/>
        <v>37.673783380752404</v>
      </c>
      <c r="Z262" s="385">
        <f t="shared" si="89"/>
        <v>40.256208731631808</v>
      </c>
      <c r="AA262" s="386">
        <f t="shared" si="90"/>
        <v>44.476710222980358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9.4892393573836928E-2</v>
      </c>
      <c r="AD262" s="231">
        <f>(INDEX(Models!$BJ262:$BT262,,AH262)*(1-AF262)+INDEX(Models!$BJ262:$BT262,,AH262+1)*AF262-ERP_i)*AE262*Ramure*Pc/MaxiM</f>
        <v>3.8446914593739806E-3</v>
      </c>
      <c r="AE262" s="305">
        <f t="shared" si="92"/>
        <v>0.7</v>
      </c>
      <c r="AF262" s="177">
        <f t="shared" si="93"/>
        <v>0.48655792301436396</v>
      </c>
      <c r="AG262" s="921">
        <f t="shared" si="99"/>
        <v>2</v>
      </c>
      <c r="AH262" s="176">
        <f t="shared" si="94"/>
        <v>8</v>
      </c>
      <c r="AI262" s="225">
        <f t="shared" si="95"/>
        <v>2.486557923014364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43.786592540002097</v>
      </c>
      <c r="C263" s="955"/>
      <c r="D263" s="393">
        <f t="shared" si="77"/>
        <v>46.78905750537416</v>
      </c>
      <c r="E263" s="385">
        <f t="shared" si="100"/>
        <v>48.041837212818137</v>
      </c>
      <c r="F263" s="385">
        <f t="shared" si="78"/>
        <v>48.047181045611104</v>
      </c>
      <c r="G263" s="110">
        <f t="shared" si="101"/>
        <v>0.95497400826823431</v>
      </c>
      <c r="H263" s="414" t="b">
        <f>Wh_hp&gt;='2025'!Maxi_hp</f>
        <v>0</v>
      </c>
      <c r="I263" s="390">
        <f>IF(H263,Wh_hp,'2025'!Maxi_hp)</f>
        <v>50.093779259666192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6.4170238202109542E-2</v>
      </c>
      <c r="M263" s="959"/>
      <c r="N263" s="959"/>
      <c r="O263" s="48">
        <f>IF(t&lt;Tnet,'2025'!Resal+('2025'!Salim-'2025'!Resal)*(1-EXP(('2025'!Tnet-t)/('2025'!Tau_j))),Resal+(Salim-Resal)*(1-EXP((Tnet-t)/(Tau_j))))*Salcycl</f>
        <v>2.6076848433051174E-2</v>
      </c>
      <c r="P263" s="169">
        <f>(INDEX(Models!$BJ263:$BT263,,T263)*(1-R263)+INDEX(Models!$BJ263:$BT263,,T263+1)*R263-ERP_i)*Q263*Ramure*Pc/MaxiM</f>
        <v>1.1886502366361963E-4</v>
      </c>
      <c r="Q263" s="305">
        <f t="shared" si="80"/>
        <v>0.7</v>
      </c>
      <c r="R263" s="177">
        <f t="shared" si="81"/>
        <v>0.96210536057201645</v>
      </c>
      <c r="S263" s="921">
        <f t="shared" si="82"/>
        <v>-2</v>
      </c>
      <c r="T263" s="176">
        <f t="shared" si="83"/>
        <v>4</v>
      </c>
      <c r="U263" s="251">
        <f t="shared" si="84"/>
        <v>-1.0378946394279835</v>
      </c>
      <c r="V263" s="383">
        <f t="shared" si="85"/>
        <v>45.850732477743762</v>
      </c>
      <c r="W263" s="402">
        <f t="shared" si="86"/>
        <v>43.786592540002097</v>
      </c>
      <c r="X263" s="157">
        <f t="shared" si="87"/>
        <v>46271</v>
      </c>
      <c r="Y263" s="385">
        <f t="shared" si="88"/>
        <v>40.545889080603281</v>
      </c>
      <c r="Z263" s="385">
        <f t="shared" si="89"/>
        <v>43.326137654254161</v>
      </c>
      <c r="AA263" s="386">
        <f t="shared" si="90"/>
        <v>47.871349368706383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9.4946388067001786E-2</v>
      </c>
      <c r="AD263" s="231">
        <f>(INDEX(Models!$BJ263:$BT263,,AH263)*(1-AF263)+INDEX(Models!$BJ263:$BT263,,AH263+1)*AF263-ERP_i)*AE263*Ramure*Pc/MaxiM</f>
        <v>3.9110947602224539E-3</v>
      </c>
      <c r="AE263" s="305">
        <f t="shared" si="92"/>
        <v>0.7</v>
      </c>
      <c r="AF263" s="177">
        <f t="shared" si="93"/>
        <v>0.4870929269459956</v>
      </c>
      <c r="AG263" s="921">
        <f t="shared" si="99"/>
        <v>2</v>
      </c>
      <c r="AH263" s="176">
        <f t="shared" si="94"/>
        <v>8</v>
      </c>
      <c r="AI263" s="225">
        <f t="shared" si="95"/>
        <v>2.4870929269459956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35.029952387311525</v>
      </c>
      <c r="C264" s="955"/>
      <c r="D264" s="393">
        <f t="shared" si="77"/>
        <v>37.432790748902633</v>
      </c>
      <c r="E264" s="385">
        <f t="shared" si="100"/>
        <v>38.440014009321544</v>
      </c>
      <c r="F264" s="385">
        <f t="shared" si="78"/>
        <v>38.443078655667847</v>
      </c>
      <c r="G264" s="110">
        <f t="shared" si="101"/>
        <v>0.76615508281400535</v>
      </c>
      <c r="H264" s="414" t="b">
        <f>Wh_hp&gt;='2025'!Maxi_hp</f>
        <v>0</v>
      </c>
      <c r="I264" s="390">
        <f>IF(H264,Wh_hp,'2025'!Maxi_hp)</f>
        <v>51.37719632099251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6.4190735275636679E-2</v>
      </c>
      <c r="M264" s="959"/>
      <c r="N264" s="959"/>
      <c r="O264" s="48">
        <f>IF(t&lt;Tnet,'2025'!Resal+('2025'!Salim-'2025'!Resal)*(1-EXP(('2025'!Tnet-t)/('2025'!Tau_j))),Resal+(Salim-Resal)*(1-EXP((Tnet-t)/(Tau_j))))*Salcycl</f>
        <v>2.6202468609263931E-2</v>
      </c>
      <c r="P264" s="169">
        <f>(INDEX(Models!$BJ264:$BT264,,T264)*(1-R264)+INDEX(Models!$BJ264:$BT264,,T264+1)*R264-ERP_i)*Q264*Ramure*Pc/MaxiM</f>
        <v>1.1970196479909858E-4</v>
      </c>
      <c r="Q264" s="305">
        <f t="shared" si="80"/>
        <v>0.7</v>
      </c>
      <c r="R264" s="177">
        <f t="shared" si="81"/>
        <v>0.96261992980505395</v>
      </c>
      <c r="S264" s="921">
        <f t="shared" si="82"/>
        <v>-2</v>
      </c>
      <c r="T264" s="176">
        <f t="shared" si="83"/>
        <v>4</v>
      </c>
      <c r="U264" s="251">
        <f t="shared" si="84"/>
        <v>-1.037380070194946</v>
      </c>
      <c r="V264" s="383">
        <f t="shared" si="85"/>
        <v>45.719923371089052</v>
      </c>
      <c r="W264" s="402">
        <f t="shared" si="86"/>
        <v>35.029952387311525</v>
      </c>
      <c r="X264" s="157">
        <f t="shared" si="87"/>
        <v>46272</v>
      </c>
      <c r="Y264" s="385">
        <f t="shared" si="88"/>
        <v>32.471431515067884</v>
      </c>
      <c r="Z264" s="385">
        <f t="shared" si="89"/>
        <v>34.69877114823408</v>
      </c>
      <c r="AA264" s="386">
        <f t="shared" si="90"/>
        <v>38.341172860946834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9.4999746771512877E-2</v>
      </c>
      <c r="AD264" s="231">
        <f>(INDEX(Models!$BJ264:$BT264,,AH264)*(1-AF264)+INDEX(Models!$BJ264:$BT264,,AH264+1)*AF264-ERP_i)*AE264*Ramure*Pc/MaxiM</f>
        <v>3.9803365459256668E-3</v>
      </c>
      <c r="AE264" s="305">
        <f t="shared" si="92"/>
        <v>0.7</v>
      </c>
      <c r="AF264" s="177">
        <f t="shared" si="93"/>
        <v>0.4876074961790331</v>
      </c>
      <c r="AG264" s="921">
        <f t="shared" si="99"/>
        <v>2</v>
      </c>
      <c r="AH264" s="176">
        <f t="shared" si="94"/>
        <v>8</v>
      </c>
      <c r="AI264" s="225">
        <f t="shared" si="95"/>
        <v>2.4876074961790331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38.426556532928032</v>
      </c>
      <c r="C265" s="955"/>
      <c r="D265" s="393">
        <f t="shared" si="77"/>
        <v>41.063280350070372</v>
      </c>
      <c r="E265" s="385">
        <f t="shared" si="100"/>
        <v>42.173617869491643</v>
      </c>
      <c r="F265" s="385">
        <f t="shared" si="78"/>
        <v>42.177586555735687</v>
      </c>
      <c r="G265" s="110">
        <f t="shared" si="101"/>
        <v>0.84290274680931654</v>
      </c>
      <c r="H265" s="414" t="b">
        <f>Wh_hp&gt;='2025'!Maxi_hp</f>
        <v>0</v>
      </c>
      <c r="I265" s="390">
        <f>IF(H265,Wh_hp,'2025'!Maxi_hp)</f>
        <v>49.21838095853591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6.4211231900225374E-2</v>
      </c>
      <c r="M265" s="959"/>
      <c r="N265" s="959"/>
      <c r="O265" s="48">
        <f>IF(t&lt;Tnet,'2025'!Resal+('2025'!Salim-'2025'!Resal)*(1-EXP(('2025'!Tnet-t)/('2025'!Tau_j))),Resal+(Salim-Resal)*(1-EXP((Tnet-t)/(Tau_j))))*Salcycl</f>
        <v>2.6327774934018344E-2</v>
      </c>
      <c r="P265" s="169">
        <f>(INDEX(Models!$BJ265:$BT265,,T265)*(1-R265)+INDEX(Models!$BJ265:$BT265,,T265+1)*R265-ERP_i)*Q265*Ramure*Pc/MaxiM</f>
        <v>1.2131728543465412E-4</v>
      </c>
      <c r="Q265" s="305">
        <f t="shared" si="80"/>
        <v>0.7</v>
      </c>
      <c r="R265" s="177">
        <f t="shared" si="81"/>
        <v>0.96311480305189989</v>
      </c>
      <c r="S265" s="921">
        <f t="shared" si="82"/>
        <v>-2</v>
      </c>
      <c r="T265" s="176">
        <f t="shared" si="83"/>
        <v>4</v>
      </c>
      <c r="U265" s="251">
        <f t="shared" si="84"/>
        <v>-1.0368851969481001</v>
      </c>
      <c r="V265" s="383">
        <f t="shared" si="85"/>
        <v>45.587122012253467</v>
      </c>
      <c r="W265" s="402">
        <f t="shared" si="86"/>
        <v>38.426556532928032</v>
      </c>
      <c r="X265" s="157">
        <f t="shared" si="87"/>
        <v>46273</v>
      </c>
      <c r="Y265" s="385">
        <f t="shared" si="88"/>
        <v>35.60539251031129</v>
      </c>
      <c r="Z265" s="385">
        <f t="shared" si="89"/>
        <v>38.048535870559853</v>
      </c>
      <c r="AA265" s="386">
        <f t="shared" si="90"/>
        <v>42.045017675319343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9.5052446775529473E-2</v>
      </c>
      <c r="AD265" s="231">
        <f>(INDEX(Models!$BJ265:$BT265,,AH265)*(1-AF265)+INDEX(Models!$BJ265:$BT265,,AH265+1)*AF265-ERP_i)*AE265*Ramure*Pc/MaxiM</f>
        <v>4.052448522318397E-3</v>
      </c>
      <c r="AE265" s="305">
        <f t="shared" si="92"/>
        <v>0.7</v>
      </c>
      <c r="AF265" s="177">
        <f t="shared" si="93"/>
        <v>0.48810236942587881</v>
      </c>
      <c r="AG265" s="921">
        <f t="shared" si="99"/>
        <v>2</v>
      </c>
      <c r="AH265" s="176">
        <f t="shared" si="94"/>
        <v>8</v>
      </c>
      <c r="AI265" s="225">
        <f t="shared" si="95"/>
        <v>2.4881023694258788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19.883416441786498</v>
      </c>
      <c r="C266" s="955"/>
      <c r="D266" s="393">
        <f t="shared" si="77"/>
        <v>21.248226765481665</v>
      </c>
      <c r="E266" s="385">
        <f t="shared" si="100"/>
        <v>21.825573395878067</v>
      </c>
      <c r="F266" s="385">
        <f t="shared" si="78"/>
        <v>21.826103646416605</v>
      </c>
      <c r="G266" s="110">
        <f t="shared" si="101"/>
        <v>0.43741584191754229</v>
      </c>
      <c r="H266" s="414" t="b">
        <f>Wh_hp&gt;='2025'!Maxi_hp</f>
        <v>0</v>
      </c>
      <c r="I266" s="390">
        <f>IF(H266,Wh_hp,'2025'!Maxi_hp)</f>
        <v>48.849649959056784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6.4231728075885286E-2</v>
      </c>
      <c r="M266" s="959"/>
      <c r="N266" s="959"/>
      <c r="O266" s="48">
        <f>IF(t&lt;Tnet,'2025'!Resal+('2025'!Salim-'2025'!Resal)*(1-EXP(('2025'!Tnet-t)/('2025'!Tau_j))),Resal+(Salim-Resal)*(1-EXP((Tnet-t)/(Tau_j))))*Salcycl</f>
        <v>2.6452758877136193E-2</v>
      </c>
      <c r="P266" s="169">
        <f>(INDEX(Models!$BJ266:$BT266,,T266)*(1-R266)+INDEX(Models!$BJ266:$BT266,,T266+1)*R266-ERP_i)*Q266*Ramure*Pc/MaxiM</f>
        <v>1.237168069199069E-4</v>
      </c>
      <c r="Q266" s="305">
        <f t="shared" si="80"/>
        <v>0.7</v>
      </c>
      <c r="R266" s="177">
        <f t="shared" si="81"/>
        <v>0.96359069555125498</v>
      </c>
      <c r="S266" s="921">
        <f t="shared" si="82"/>
        <v>-2</v>
      </c>
      <c r="T266" s="176">
        <f t="shared" si="83"/>
        <v>4</v>
      </c>
      <c r="U266" s="251">
        <f t="shared" si="84"/>
        <v>-1.036409304448745</v>
      </c>
      <c r="V266" s="383">
        <f t="shared" si="85"/>
        <v>45.452033579914875</v>
      </c>
      <c r="W266" s="402">
        <f t="shared" si="86"/>
        <v>19.883416441786498</v>
      </c>
      <c r="X266" s="157">
        <f t="shared" si="87"/>
        <v>46274</v>
      </c>
      <c r="Y266" s="385">
        <f t="shared" si="88"/>
        <v>18.466765366169859</v>
      </c>
      <c r="Z266" s="385">
        <f t="shared" si="89"/>
        <v>19.734335860948494</v>
      </c>
      <c r="AA266" s="386">
        <f t="shared" si="90"/>
        <v>21.808413325409994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9.5104464204413069E-2</v>
      </c>
      <c r="AD266" s="231">
        <f>(INDEX(Models!$BJ266:$BT266,,AH266)*(1-AF266)+INDEX(Models!$BJ266:$BT266,,AH266+1)*AF266-ERP_i)*AE266*Ramure*Pc/MaxiM</f>
        <v>4.1274640368417857E-3</v>
      </c>
      <c r="AE266" s="305">
        <f t="shared" si="92"/>
        <v>0.7</v>
      </c>
      <c r="AF266" s="177">
        <f t="shared" si="93"/>
        <v>0.48857826192523435</v>
      </c>
      <c r="AG266" s="921">
        <f t="shared" si="99"/>
        <v>2</v>
      </c>
      <c r="AH266" s="176">
        <f t="shared" si="94"/>
        <v>8</v>
      </c>
      <c r="AI266" s="225">
        <f t="shared" si="95"/>
        <v>2.4885782619252343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43.406078185639529</v>
      </c>
      <c r="C267" s="955"/>
      <c r="D267" s="393">
        <f t="shared" si="77"/>
        <v>46.38651492395752</v>
      </c>
      <c r="E267" s="385">
        <f t="shared" si="100"/>
        <v>47.653008542687942</v>
      </c>
      <c r="F267" s="385">
        <f t="shared" si="78"/>
        <v>47.658692874074276</v>
      </c>
      <c r="G267" s="110">
        <f t="shared" si="101"/>
        <v>0.9578805359243826</v>
      </c>
      <c r="H267" s="414" t="b">
        <f>Wh_hp&gt;='2025'!Maxi_hp</f>
        <v>0</v>
      </c>
      <c r="I267" s="390">
        <f>IF(H267,Wh_hp,'2025'!Maxi_hp)</f>
        <v>47.658881631126746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6.4252223802626407E-2</v>
      </c>
      <c r="M267" s="959"/>
      <c r="N267" s="959"/>
      <c r="O267" s="48">
        <f>IF(t&lt;Tnet,'2025'!Resal+('2025'!Salim-'2025'!Resal)*(1-EXP(('2025'!Tnet-t)/('2025'!Tau_j))),Resal+(Salim-Resal)*(1-EXP((Tnet-t)/(Tau_j))))*Salcycl</f>
        <v>2.6577411531024032E-2</v>
      </c>
      <c r="P267" s="169">
        <f>(INDEX(Models!$BJ267:$BT267,,T267)*(1-R267)+INDEX(Models!$BJ267:$BT267,,T267+1)*R267-ERP_i)*Q267*Ramure*Pc/MaxiM</f>
        <v>1.2690637411176162E-4</v>
      </c>
      <c r="Q267" s="305">
        <f t="shared" si="80"/>
        <v>0.7</v>
      </c>
      <c r="R267" s="177">
        <f t="shared" si="81"/>
        <v>0.96404829955891991</v>
      </c>
      <c r="S267" s="921">
        <f t="shared" si="82"/>
        <v>-2</v>
      </c>
      <c r="T267" s="176">
        <f t="shared" si="83"/>
        <v>4</v>
      </c>
      <c r="U267" s="251">
        <f t="shared" si="84"/>
        <v>-1.0359517004410801</v>
      </c>
      <c r="V267" s="383">
        <f t="shared" si="85"/>
        <v>45.314363456816359</v>
      </c>
      <c r="W267" s="402">
        <f t="shared" si="86"/>
        <v>43.406078185639529</v>
      </c>
      <c r="X267" s="157">
        <f t="shared" si="87"/>
        <v>46275</v>
      </c>
      <c r="Y267" s="385">
        <f t="shared" si="88"/>
        <v>40.193408296872001</v>
      </c>
      <c r="Z267" s="385">
        <f t="shared" si="89"/>
        <v>42.953250137774482</v>
      </c>
      <c r="AA267" s="386">
        <f t="shared" si="90"/>
        <v>47.470325734434709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9.5155774197343806E-2</v>
      </c>
      <c r="AD267" s="231">
        <f>(INDEX(Models!$BJ267:$BT267,,AH267)*(1-AF267)+INDEX(Models!$BJ267:$BT267,,AH267+1)*AF267-ERP_i)*AE267*Ramure*Pc/MaxiM</f>
        <v>4.2054182046715764E-3</v>
      </c>
      <c r="AE267" s="305">
        <f t="shared" si="92"/>
        <v>0.7</v>
      </c>
      <c r="AF267" s="177">
        <f t="shared" si="93"/>
        <v>0.48903586593289905</v>
      </c>
      <c r="AG267" s="921">
        <f t="shared" si="99"/>
        <v>2</v>
      </c>
      <c r="AH267" s="176">
        <f t="shared" si="94"/>
        <v>8</v>
      </c>
      <c r="AI267" s="225">
        <f t="shared" si="95"/>
        <v>2.489035865932899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44.216231526897268</v>
      </c>
      <c r="C268" s="955"/>
      <c r="D268" s="393">
        <f t="shared" si="77"/>
        <v>47.253331636805406</v>
      </c>
      <c r="E268" s="385">
        <f t="shared" si="100"/>
        <v>48.549692096097104</v>
      </c>
      <c r="F268" s="385">
        <f t="shared" si="78"/>
        <v>48.555858768638366</v>
      </c>
      <c r="G268" s="110">
        <f t="shared" si="101"/>
        <v>0.97879838822982146</v>
      </c>
      <c r="H268" s="414" t="b">
        <f>Wh_hp&gt;='2025'!Maxi_hp</f>
        <v>0</v>
      </c>
      <c r="I268" s="390">
        <f>IF(H268,Wh_hp,'2025'!Maxi_hp)</f>
        <v>48.555958623775929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6.4272719080458507E-2</v>
      </c>
      <c r="M268" s="959"/>
      <c r="N268" s="959"/>
      <c r="O268" s="48">
        <f>IF(t&lt;Tnet,'2025'!Resal+('2025'!Salim-'2025'!Resal)*(1-EXP(('2025'!Tnet-t)/('2025'!Tau_j))),Resal+(Salim-Resal)*(1-EXP((Tnet-t)/(Tau_j))))*Salcycl</f>
        <v>2.6701723601577951E-2</v>
      </c>
      <c r="P268" s="169">
        <f>(INDEX(Models!$BJ268:$BT268,,T268)*(1-R268)+INDEX(Models!$BJ268:$BT268,,T268+1)*R268-ERP_i)*Q268*Ramure*Pc/MaxiM</f>
        <v>1.3096763992173405E-4</v>
      </c>
      <c r="Q268" s="305">
        <f t="shared" si="80"/>
        <v>0.7</v>
      </c>
      <c r="R268" s="177">
        <f t="shared" si="81"/>
        <v>0.96448828485025651</v>
      </c>
      <c r="S268" s="921">
        <f t="shared" si="82"/>
        <v>-2</v>
      </c>
      <c r="T268" s="176">
        <f t="shared" si="83"/>
        <v>4</v>
      </c>
      <c r="U268" s="251">
        <f t="shared" si="84"/>
        <v>-1.0355117151497435</v>
      </c>
      <c r="V268" s="383">
        <f t="shared" si="85"/>
        <v>45.173813804462036</v>
      </c>
      <c r="W268" s="402">
        <f t="shared" si="86"/>
        <v>44.216231526897268</v>
      </c>
      <c r="X268" s="157">
        <f t="shared" si="87"/>
        <v>46276</v>
      </c>
      <c r="Y268" s="385">
        <f t="shared" si="88"/>
        <v>40.938462157889994</v>
      </c>
      <c r="Z268" s="385">
        <f t="shared" si="89"/>
        <v>43.750420654252665</v>
      </c>
      <c r="AA268" s="386">
        <f t="shared" si="90"/>
        <v>48.354031549005185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9.5206350893139349E-2</v>
      </c>
      <c r="AD268" s="231">
        <f>(INDEX(Models!$BJ268:$BT268,,AH268)*(1-AF268)+INDEX(Models!$BJ268:$BT268,,AH268+1)*AF268-ERP_i)*AE268*Ramure*Pc/MaxiM</f>
        <v>4.2864015318605812E-3</v>
      </c>
      <c r="AE268" s="305">
        <f t="shared" si="92"/>
        <v>0.7</v>
      </c>
      <c r="AF268" s="177">
        <f t="shared" si="93"/>
        <v>0.48947585122423565</v>
      </c>
      <c r="AG268" s="921">
        <f t="shared" si="99"/>
        <v>2</v>
      </c>
      <c r="AH268" s="176">
        <f t="shared" si="94"/>
        <v>8</v>
      </c>
      <c r="AI268" s="225">
        <f t="shared" si="95"/>
        <v>2.4894758512242356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31.101821907139019</v>
      </c>
      <c r="C269" s="955"/>
      <c r="D269" s="393">
        <f t="shared" si="77"/>
        <v>33.238854702638967</v>
      </c>
      <c r="E269" s="385">
        <f t="shared" si="100"/>
        <v>34.155088357803166</v>
      </c>
      <c r="F269" s="385">
        <f t="shared" si="78"/>
        <v>34.15766776598759</v>
      </c>
      <c r="G269" s="110">
        <f t="shared" si="101"/>
        <v>0.69064803482276549</v>
      </c>
      <c r="H269" s="414" t="b">
        <f>Wh_hp&gt;='2025'!Maxi_hp</f>
        <v>0</v>
      </c>
      <c r="I269" s="390">
        <f>IF(H269,Wh_hp,'2025'!Maxi_hp)</f>
        <v>49.547587041399964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6.4293213909391356E-2</v>
      </c>
      <c r="M269" s="959"/>
      <c r="N269" s="959"/>
      <c r="O269" s="48">
        <f>IF(t&lt;Tnet,'2025'!Resal+('2025'!Salim-'2025'!Resal)*(1-EXP(('2025'!Tnet-t)/('2025'!Tau_j))),Resal+(Salim-Resal)*(1-EXP((Tnet-t)/(Tau_j))))*Salcycl</f>
        <v>2.6825685402007471E-2</v>
      </c>
      <c r="P269" s="169">
        <f>(INDEX(Models!$BJ269:$BT269,,T269)*(1-R269)+INDEX(Models!$BJ269:$BT269,,T269+1)*R269-ERP_i)*Q269*Ramure*Pc/MaxiM</f>
        <v>1.3530017295621801E-4</v>
      </c>
      <c r="Q269" s="305">
        <f t="shared" si="80"/>
        <v>0.7</v>
      </c>
      <c r="R269" s="177">
        <f t="shared" si="81"/>
        <v>0.9649112992318436</v>
      </c>
      <c r="S269" s="921">
        <f t="shared" si="82"/>
        <v>-2</v>
      </c>
      <c r="T269" s="176">
        <f t="shared" si="83"/>
        <v>4</v>
      </c>
      <c r="U269" s="251">
        <f t="shared" si="84"/>
        <v>-1.0350887007681564</v>
      </c>
      <c r="V269" s="383">
        <f t="shared" si="85"/>
        <v>45.030117749513295</v>
      </c>
      <c r="W269" s="402">
        <f t="shared" si="86"/>
        <v>31.101821907139019</v>
      </c>
      <c r="X269" s="157">
        <f t="shared" si="87"/>
        <v>46277</v>
      </c>
      <c r="Y269" s="385">
        <f t="shared" si="88"/>
        <v>28.846533325108048</v>
      </c>
      <c r="Z269" s="385">
        <f t="shared" si="89"/>
        <v>30.828603312399949</v>
      </c>
      <c r="AA269" s="386">
        <f t="shared" si="90"/>
        <v>34.07440007047628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9.5256167426661403E-2</v>
      </c>
      <c r="AD269" s="231">
        <f>(INDEX(Models!$BJ269:$BT269,,AH269)*(1-AF269)+INDEX(Models!$BJ269:$BT269,,AH269+1)*AF269-ERP_i)*AE269*Ramure*Pc/MaxiM</f>
        <v>4.3677203446805283E-3</v>
      </c>
      <c r="AE269" s="305">
        <f t="shared" si="92"/>
        <v>0.7</v>
      </c>
      <c r="AF269" s="177">
        <f t="shared" si="93"/>
        <v>0.48989886560582274</v>
      </c>
      <c r="AG269" s="921">
        <f t="shared" si="99"/>
        <v>2</v>
      </c>
      <c r="AH269" s="176">
        <f t="shared" si="94"/>
        <v>8</v>
      </c>
      <c r="AI269" s="225">
        <f t="shared" si="95"/>
        <v>2.4898988656058227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11.237165776004165</v>
      </c>
      <c r="C270" s="955"/>
      <c r="D270" s="393">
        <f t="shared" si="77"/>
        <v>12.009544091386717</v>
      </c>
      <c r="E270" s="385">
        <f t="shared" si="100"/>
        <v>12.342156404684502</v>
      </c>
      <c r="F270" s="385">
        <f t="shared" si="78"/>
        <v>12.342156404684502</v>
      </c>
      <c r="G270" s="110">
        <f t="shared" si="101"/>
        <v>0.25033082298830112</v>
      </c>
      <c r="H270" s="414" t="b">
        <f>Wh_hp&gt;='2025'!Maxi_hp</f>
        <v>0</v>
      </c>
      <c r="I270" s="390">
        <f>IF(H270,Wh_hp,'2025'!Maxi_hp)</f>
        <v>47.552887947991515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6.4313708289434945E-2</v>
      </c>
      <c r="M270" s="959"/>
      <c r="N270" s="959"/>
      <c r="O270" s="48">
        <f>IF(t&lt;Tnet,'2025'!Resal+('2025'!Salim-'2025'!Resal)*(1-EXP(('2025'!Tnet-t)/('2025'!Tau_j))),Resal+(Salim-Resal)*(1-EXP((Tnet-t)/(Tau_j))))*Salcycl</f>
        <v>2.6949286850030618E-2</v>
      </c>
      <c r="P270" s="169">
        <f>(INDEX(Models!$BJ270:$BT270,,T270)*(1-R270)+INDEX(Models!$BJ270:$BT270,,T270+1)*R270-ERP_i)*Q270*Ramure*Pc/MaxiM</f>
        <v>1.3990658963727035E-4</v>
      </c>
      <c r="Q270" s="305">
        <f t="shared" si="80"/>
        <v>0.7</v>
      </c>
      <c r="R270" s="177">
        <f t="shared" si="81"/>
        <v>0.96531796906005374</v>
      </c>
      <c r="S270" s="921">
        <f t="shared" si="82"/>
        <v>-2</v>
      </c>
      <c r="T270" s="176">
        <f t="shared" si="83"/>
        <v>4</v>
      </c>
      <c r="U270" s="251">
        <f t="shared" si="84"/>
        <v>-1.0346820309399463</v>
      </c>
      <c r="V270" s="383">
        <f t="shared" si="85"/>
        <v>44.8829812019926</v>
      </c>
      <c r="W270" s="402">
        <f t="shared" si="86"/>
        <v>11.237165776004165</v>
      </c>
      <c r="X270" s="157">
        <f t="shared" si="87"/>
        <v>46278</v>
      </c>
      <c r="Y270" s="385">
        <f t="shared" si="88"/>
        <v>10.447765314342353</v>
      </c>
      <c r="Z270" s="385">
        <f t="shared" si="89"/>
        <v>11.165884770249633</v>
      </c>
      <c r="AA270" s="386">
        <f t="shared" si="90"/>
        <v>12.342156404684502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9.5305195937106416E-2</v>
      </c>
      <c r="AD270" s="231">
        <f>(INDEX(Models!$BJ270:$BT270,,AH270)*(1-AF270)+INDEX(Models!$BJ270:$BT270,,AH270+1)*AF270-ERP_i)*AE270*Ramure*Pc/MaxiM</f>
        <v>4.4494012044975981E-3</v>
      </c>
      <c r="AE270" s="305">
        <f t="shared" si="92"/>
        <v>0.7</v>
      </c>
      <c r="AF270" s="177">
        <f t="shared" si="93"/>
        <v>0.49030553543403288</v>
      </c>
      <c r="AG270" s="921">
        <f t="shared" si="99"/>
        <v>2</v>
      </c>
      <c r="AH270" s="176">
        <f t="shared" si="94"/>
        <v>8</v>
      </c>
      <c r="AI270" s="225">
        <f t="shared" si="95"/>
        <v>2.4903055354340329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33.968421310170839</v>
      </c>
      <c r="C271" s="955"/>
      <c r="D271" s="393">
        <f t="shared" ref="D271:D334" si="102">Wh/(1-Ppv)</f>
        <v>36.304010888062265</v>
      </c>
      <c r="E271" s="385">
        <f t="shared" si="100"/>
        <v>37.314200225504301</v>
      </c>
      <c r="F271" s="385">
        <f t="shared" ref="F271:F334" si="103">Wh_sa/(1-Pvg*MEDIAN((-Sdif+Wh/Env_an)/Csdif,0,1))</f>
        <v>37.317746086081954</v>
      </c>
      <c r="G271" s="110">
        <f t="shared" si="101"/>
        <v>0.75933664410015034</v>
      </c>
      <c r="H271" s="414" t="b">
        <f>Wh_hp&gt;='2025'!Maxi_hp</f>
        <v>0</v>
      </c>
      <c r="I271" s="390">
        <f>IF(H271,Wh_hp,'2025'!Maxi_hp)</f>
        <v>47.223329847400791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6.4334202220598935E-2</v>
      </c>
      <c r="M271" s="959"/>
      <c r="N271" s="959"/>
      <c r="O271" s="48">
        <f>IF(t&lt;Tnet,'2025'!Resal+('2025'!Salim-'2025'!Resal)*(1-EXP(('2025'!Tnet-t)/('2025'!Tau_j))),Resal+(Salim-Resal)*(1-EXP((Tnet-t)/(Tau_j))))*Salcycl</f>
        <v>2.707251746887419E-2</v>
      </c>
      <c r="P271" s="169">
        <f>(INDEX(Models!$BJ271:$BT271,,T271)*(1-R271)+INDEX(Models!$BJ271:$BT271,,T271+1)*R271-ERP_i)*Q271*Ramure*Pc/MaxiM</f>
        <v>1.4478963059892517E-4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0.96570889976448937</v>
      </c>
      <c r="S271" s="92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-1.0342911002355106</v>
      </c>
      <c r="V271" s="383">
        <f t="shared" ref="V271:V334" si="110">MaxiM*(1-Ppv)*(1-Pvg)*(1-Psa)</f>
        <v>44.732110260212039</v>
      </c>
      <c r="W271" s="402">
        <f t="shared" ref="W271:W334" si="111">Wh*(A271&gt;Tmaj)</f>
        <v>33.968421310170839</v>
      </c>
      <c r="X271" s="157">
        <f t="shared" ref="X271:X334" si="112">t</f>
        <v>46279</v>
      </c>
      <c r="Y271" s="385">
        <f t="shared" ref="Y271:Y334" si="113">Wh_pvt_s*(1-Ppv)</f>
        <v>31.493555486678694</v>
      </c>
      <c r="Z271" s="385">
        <f t="shared" ref="Z271:Z334" si="114">Wh_sa_s*(1-Psa_s)</f>
        <v>33.658979051517953</v>
      </c>
      <c r="AA271" s="386">
        <f t="shared" ref="AA271:AA334" si="115">Wh_hp*(1-Pvg_s*MEDIAN((-Sdif+Wh/Env_an)/Csdif,0,1))</f>
        <v>37.206771499383265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9.5353407589371691E-2</v>
      </c>
      <c r="AD271" s="231">
        <f>(INDEX(Models!$BJ271:$BT271,,AH271)*(1-AF271)+INDEX(Models!$BJ271:$BT271,,AH271+1)*AF271-ERP_i)*AE271*Ramure*Pc/MaxiM</f>
        <v>4.5314724203305047E-3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0.49069646613846851</v>
      </c>
      <c r="AG271" s="92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2.4906964661384685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38.982797843915698</v>
      </c>
      <c r="C272" s="955"/>
      <c r="D272" s="393">
        <f t="shared" si="102"/>
        <v>41.664076830055912</v>
      </c>
      <c r="E272" s="385">
        <f t="shared" si="100"/>
        <v>42.828822345911753</v>
      </c>
      <c r="F272" s="385">
        <f t="shared" si="103"/>
        <v>42.83409385310248</v>
      </c>
      <c r="G272" s="110">
        <f t="shared" si="101"/>
        <v>0.87447708461989848</v>
      </c>
      <c r="H272" s="414" t="b">
        <f>Wh_hp&gt;='2025'!Maxi_hp</f>
        <v>0</v>
      </c>
      <c r="I272" s="390">
        <f>IF(H272,Wh_hp,'2025'!Maxi_hp)</f>
        <v>48.01660304214726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6.4354695702893316E-2</v>
      </c>
      <c r="M272" s="959"/>
      <c r="N272" s="959"/>
      <c r="O272" s="48">
        <f>IF(t&lt;Tnet,'2025'!Resal+('2025'!Salim-'2025'!Resal)*(1-EXP(('2025'!Tnet-t)/('2025'!Tau_j))),Resal+(Salim-Resal)*(1-EXP((Tnet-t)/(Tau_j))))*Salcycl</f>
        <v>2.7195366392487836E-2</v>
      </c>
      <c r="P272" s="169">
        <f>(INDEX(Models!$BJ272:$BT272,,T272)*(1-R272)+INDEX(Models!$BJ272:$BT272,,T272+1)*R272-ERP_i)*Q272*Ramure*Pc/MaxiM</f>
        <v>1.4995217674921047E-4</v>
      </c>
      <c r="Q272" s="305">
        <f t="shared" si="105"/>
        <v>0.7</v>
      </c>
      <c r="R272" s="177">
        <f t="shared" si="106"/>
        <v>0.96608467637438733</v>
      </c>
      <c r="S272" s="921">
        <f t="shared" si="107"/>
        <v>-2</v>
      </c>
      <c r="T272" s="176">
        <f t="shared" si="108"/>
        <v>4</v>
      </c>
      <c r="U272" s="251">
        <f t="shared" si="109"/>
        <v>-1.0339153236256127</v>
      </c>
      <c r="V272" s="383">
        <f t="shared" si="110"/>
        <v>44.577211205349663</v>
      </c>
      <c r="W272" s="402">
        <f t="shared" si="111"/>
        <v>38.982797843915698</v>
      </c>
      <c r="X272" s="157">
        <f t="shared" si="112"/>
        <v>46280</v>
      </c>
      <c r="Y272" s="385">
        <f t="shared" si="113"/>
        <v>36.116807330160675</v>
      </c>
      <c r="Z272" s="385">
        <f t="shared" si="114"/>
        <v>38.60096038989159</v>
      </c>
      <c r="AA272" s="386">
        <f t="shared" si="115"/>
        <v>42.671891840154032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9.5400772609563908E-2</v>
      </c>
      <c r="AD272" s="231">
        <f>(INDEX(Models!$BJ272:$BT272,,AH272)*(1-AF272)+INDEX(Models!$BJ272:$BT272,,AH272+1)*AF272-ERP_i)*AE272*Ramure*Pc/MaxiM</f>
        <v>4.6139640969256324E-3</v>
      </c>
      <c r="AE272" s="305">
        <f t="shared" si="117"/>
        <v>0.7</v>
      </c>
      <c r="AF272" s="177">
        <f t="shared" si="118"/>
        <v>0.49107224274836625</v>
      </c>
      <c r="AG272" s="921">
        <f t="shared" ref="AG272:AG335" si="124">INDEX(Echel_vg,AH272)</f>
        <v>2</v>
      </c>
      <c r="AH272" s="176">
        <f t="shared" si="119"/>
        <v>8</v>
      </c>
      <c r="AI272" s="225">
        <f t="shared" si="120"/>
        <v>2.4910722427483662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25.96177720097462</v>
      </c>
      <c r="C273" s="955"/>
      <c r="D273" s="393">
        <f t="shared" si="102"/>
        <v>27.748064062035894</v>
      </c>
      <c r="E273" s="385">
        <f t="shared" si="100"/>
        <v>28.527369679784154</v>
      </c>
      <c r="F273" s="385">
        <f t="shared" si="103"/>
        <v>28.529171445276436</v>
      </c>
      <c r="G273" s="110">
        <f t="shared" si="101"/>
        <v>0.58443396438558337</v>
      </c>
      <c r="H273" s="414" t="b">
        <f>Wh_hp&gt;='2025'!Maxi_hp</f>
        <v>0</v>
      </c>
      <c r="I273" s="390">
        <f>IF(H273,Wh_hp,'2025'!Maxi_hp)</f>
        <v>47.259197332077989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6.4375188736327749E-2</v>
      </c>
      <c r="M273" s="959"/>
      <c r="N273" s="959"/>
      <c r="O273" s="48">
        <f>IF(t&lt;Tnet,'2025'!Resal+('2025'!Salim-'2025'!Resal)*(1-EXP(('2025'!Tnet-t)/('2025'!Tau_j))),Resal+(Salim-Resal)*(1-EXP((Tnet-t)/(Tau_j))))*Salcycl</f>
        <v>2.7317822375348966E-2</v>
      </c>
      <c r="P273" s="169">
        <f>(INDEX(Models!$BJ273:$BT273,,T273)*(1-R273)+INDEX(Models!$BJ273:$BT273,,T273+1)*R273-ERP_i)*Q273*Ramure*Pc/MaxiM</f>
        <v>1.5539726605034716E-4</v>
      </c>
      <c r="Q273" s="305">
        <f t="shared" si="105"/>
        <v>0.7</v>
      </c>
      <c r="R273" s="177">
        <f t="shared" si="106"/>
        <v>0.96644586404628297</v>
      </c>
      <c r="S273" s="921">
        <f t="shared" si="107"/>
        <v>-2</v>
      </c>
      <c r="T273" s="176">
        <f t="shared" si="108"/>
        <v>4</v>
      </c>
      <c r="U273" s="251">
        <f t="shared" si="109"/>
        <v>-1.033554135953717</v>
      </c>
      <c r="V273" s="383">
        <f t="shared" si="110"/>
        <v>44.417990506444802</v>
      </c>
      <c r="W273" s="402">
        <f t="shared" si="111"/>
        <v>25.96177720097462</v>
      </c>
      <c r="X273" s="157">
        <f t="shared" si="112"/>
        <v>46281</v>
      </c>
      <c r="Y273" s="385">
        <f t="shared" si="113"/>
        <v>24.098775483243216</v>
      </c>
      <c r="Z273" s="385">
        <f t="shared" si="114"/>
        <v>25.756879459721642</v>
      </c>
      <c r="AA273" s="386">
        <f t="shared" si="115"/>
        <v>28.474712783775498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9.5447260335578987E-2</v>
      </c>
      <c r="AD273" s="231">
        <f>(INDEX(Models!$BJ273:$BT273,,AH273)*(1-AF273)+INDEX(Models!$BJ273:$BT273,,AH273+1)*AF273-ERP_i)*AE273*Ramure*Pc/MaxiM</f>
        <v>4.6969081971290974E-3</v>
      </c>
      <c r="AE273" s="305">
        <f t="shared" si="117"/>
        <v>0.7</v>
      </c>
      <c r="AF273" s="177">
        <f t="shared" si="118"/>
        <v>0.49143343042026189</v>
      </c>
      <c r="AG273" s="921">
        <f t="shared" si="124"/>
        <v>2</v>
      </c>
      <c r="AH273" s="176">
        <f t="shared" si="119"/>
        <v>8</v>
      </c>
      <c r="AI273" s="225">
        <f t="shared" si="120"/>
        <v>2.4914334304202619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45.789266142469373</v>
      </c>
      <c r="C274" s="955"/>
      <c r="D274" s="393">
        <f t="shared" si="102"/>
        <v>48.940845214476923</v>
      </c>
      <c r="E274" s="385">
        <f t="shared" si="100"/>
        <v>50.321665361772098</v>
      </c>
      <c r="F274" s="385">
        <f t="shared" si="103"/>
        <v>50.32977490334271</v>
      </c>
      <c r="G274" s="110">
        <f t="shared" si="101"/>
        <v>1.0346885244795196</v>
      </c>
      <c r="H274" s="414" t="b">
        <f>Wh_hp&gt;='2025'!Maxi_hp</f>
        <v>1</v>
      </c>
      <c r="I274" s="390">
        <f>IF(H274,Wh_hp,'2025'!Maxi_hp)</f>
        <v>50.32977490334271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6.4395681320912224E-2</v>
      </c>
      <c r="M274" s="959"/>
      <c r="N274" s="959"/>
      <c r="O274" s="48">
        <f>IF(t&lt;Tnet,'2025'!Resal+('2025'!Salim-'2025'!Resal)*(1-EXP(('2025'!Tnet-t)/('2025'!Tau_j))),Resal+(Salim-Resal)*(1-EXP((Tnet-t)/(Tau_j))))*Salcycl</f>
        <v>2.7439873807200046E-2</v>
      </c>
      <c r="P274" s="169">
        <f>(INDEX(Models!$BJ274:$BT274,,T274)*(1-R274)+INDEX(Models!$BJ274:$BT274,,T274+1)*R274-ERP_i)*Q274*Ramure*Pc/MaxiM</f>
        <v>1.6112811126587175E-4</v>
      </c>
      <c r="Q274" s="305">
        <f t="shared" si="105"/>
        <v>0.7</v>
      </c>
      <c r="R274" s="177">
        <f t="shared" si="106"/>
        <v>0.9667930085913814</v>
      </c>
      <c r="S274" s="921">
        <f t="shared" si="107"/>
        <v>-2</v>
      </c>
      <c r="T274" s="176">
        <f t="shared" si="108"/>
        <v>4</v>
      </c>
      <c r="U274" s="251">
        <f t="shared" si="109"/>
        <v>-1.0332069914086186</v>
      </c>
      <c r="V274" s="383">
        <f t="shared" si="110"/>
        <v>44.254154810021497</v>
      </c>
      <c r="W274" s="402">
        <f t="shared" si="111"/>
        <v>45.789266142469373</v>
      </c>
      <c r="X274" s="157">
        <f t="shared" si="112"/>
        <v>46282</v>
      </c>
      <c r="Y274" s="385">
        <f t="shared" si="113"/>
        <v>42.388511131053548</v>
      </c>
      <c r="Z274" s="385">
        <f t="shared" si="114"/>
        <v>45.3060233741747</v>
      </c>
      <c r="AA274" s="386">
        <f t="shared" si="115"/>
        <v>50.089181536481362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9.5492839283527767E-2</v>
      </c>
      <c r="AD274" s="231">
        <f>(INDEX(Models!$BJ274:$BT274,,AH274)*(1-AF274)+INDEX(Models!$BJ274:$BT274,,AH274+1)*AF274-ERP_i)*AE274*Ramure*Pc/MaxiM</f>
        <v>4.7803386230796082E-3</v>
      </c>
      <c r="AE274" s="305">
        <f t="shared" si="117"/>
        <v>0.7</v>
      </c>
      <c r="AF274" s="177">
        <f t="shared" si="118"/>
        <v>0.49178057496536054</v>
      </c>
      <c r="AG274" s="921">
        <f t="shared" si="124"/>
        <v>2</v>
      </c>
      <c r="AH274" s="176">
        <f t="shared" si="119"/>
        <v>8</v>
      </c>
      <c r="AI274" s="225">
        <f t="shared" si="120"/>
        <v>2.4917805749653605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44.284419157370408</v>
      </c>
      <c r="C275" s="955"/>
      <c r="D275" s="393">
        <f t="shared" si="102"/>
        <v>47.3334594944698</v>
      </c>
      <c r="E275" s="385">
        <f t="shared" si="100"/>
        <v>48.67501638360627</v>
      </c>
      <c r="F275" s="385">
        <f t="shared" si="103"/>
        <v>48.683153570955007</v>
      </c>
      <c r="G275" s="110">
        <f t="shared" si="101"/>
        <v>1.0045005470226369</v>
      </c>
      <c r="H275" s="414" t="b">
        <f>Wh_hp&gt;='2025'!Maxi_hp</f>
        <v>1</v>
      </c>
      <c r="I275" s="390">
        <f>IF(H275,Wh_hp,'2025'!Maxi_hp)</f>
        <v>48.683153570955007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6.4416173456656511E-2</v>
      </c>
      <c r="M275" s="959"/>
      <c r="N275" s="959"/>
      <c r="O275" s="48">
        <f>IF(t&lt;Tnet,'2025'!Resal+('2025'!Salim-'2025'!Resal)*(1-EXP(('2025'!Tnet-t)/('2025'!Tau_j))),Resal+(Salim-Resal)*(1-EXP((Tnet-t)/(Tau_j))))*Salcycl</f>
        <v>2.7561508733016226E-2</v>
      </c>
      <c r="P275" s="169">
        <f>(INDEX(Models!$BJ275:$BT275,,T275)*(1-R275)+INDEX(Models!$BJ275:$BT275,,T275+1)*R275-ERP_i)*Q275*Ramure*Pc/MaxiM</f>
        <v>1.6714585543184247E-4</v>
      </c>
      <c r="Q275" s="305">
        <f t="shared" si="105"/>
        <v>0.7</v>
      </c>
      <c r="R275" s="177">
        <f t="shared" si="106"/>
        <v>0.96712663700123924</v>
      </c>
      <c r="S275" s="921">
        <f t="shared" si="107"/>
        <v>-2</v>
      </c>
      <c r="T275" s="176">
        <f t="shared" si="108"/>
        <v>4</v>
      </c>
      <c r="U275" s="251">
        <f t="shared" si="109"/>
        <v>-1.0328733629987608</v>
      </c>
      <c r="V275" s="383">
        <f t="shared" si="110"/>
        <v>44.08600800530219</v>
      </c>
      <c r="W275" s="402">
        <f t="shared" si="111"/>
        <v>44.284419157370408</v>
      </c>
      <c r="X275" s="157">
        <f t="shared" si="112"/>
        <v>46283</v>
      </c>
      <c r="Y275" s="385">
        <f t="shared" si="113"/>
        <v>40.995324066181311</v>
      </c>
      <c r="Z275" s="385">
        <f t="shared" si="114"/>
        <v>43.817905892671064</v>
      </c>
      <c r="AA275" s="386">
        <f t="shared" si="115"/>
        <v>48.446347736448452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9.5537477230614828E-2</v>
      </c>
      <c r="AD275" s="231">
        <f>(INDEX(Models!$BJ275:$BT275,,AH275)*(1-AF275)+INDEX(Models!$BJ275:$BT275,,AH275+1)*AF275-ERP_i)*AE275*Ramure*Pc/MaxiM</f>
        <v>4.8642254483661019E-3</v>
      </c>
      <c r="AE275" s="305">
        <f t="shared" si="117"/>
        <v>0.7</v>
      </c>
      <c r="AF275" s="177">
        <f t="shared" si="118"/>
        <v>0.49211420337521838</v>
      </c>
      <c r="AG275" s="921">
        <f t="shared" si="124"/>
        <v>2</v>
      </c>
      <c r="AH275" s="176">
        <f t="shared" si="119"/>
        <v>8</v>
      </c>
      <c r="AI275" s="225">
        <f t="shared" si="120"/>
        <v>2.4921142033752184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43.735271844360042</v>
      </c>
      <c r="C276" s="955"/>
      <c r="D276" s="393">
        <f t="shared" si="102"/>
        <v>46.747526559569167</v>
      </c>
      <c r="E276" s="385">
        <f t="shared" si="100"/>
        <v>48.078469111783264</v>
      </c>
      <c r="F276" s="385">
        <f t="shared" si="103"/>
        <v>48.086792456527917</v>
      </c>
      <c r="G276" s="110">
        <f t="shared" si="101"/>
        <v>0.99592753587124605</v>
      </c>
      <c r="H276" s="414" t="b">
        <f>Wh_hp&gt;='2025'!Maxi_hp</f>
        <v>0</v>
      </c>
      <c r="I276" s="390">
        <f>IF(H276,Wh_hp,'2025'!Maxi_hp)</f>
        <v>48.086817630659098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6.4436665143570382E-2</v>
      </c>
      <c r="M276" s="959"/>
      <c r="N276" s="959"/>
      <c r="O276" s="48">
        <f>IF(t&lt;Tnet,'2025'!Resal+('2025'!Salim-'2025'!Resal)*(1-EXP(('2025'!Tnet-t)/('2025'!Tau_j))),Resal+(Salim-Resal)*(1-EXP((Tnet-t)/(Tau_j))))*Salcycl</f>
        <v>2.7682714878454938E-2</v>
      </c>
      <c r="P276" s="169">
        <f>(INDEX(Models!$BJ276:$BT276,,T276)*(1-R276)+INDEX(Models!$BJ276:$BT276,,T276+1)*R276-ERP_i)*Q276*Ramure*Pc/MaxiM</f>
        <v>1.7410268296473867E-4</v>
      </c>
      <c r="Q276" s="305">
        <f t="shared" si="105"/>
        <v>0.7</v>
      </c>
      <c r="R276" s="177">
        <f t="shared" si="106"/>
        <v>0.96744725797050068</v>
      </c>
      <c r="S276" s="921">
        <f t="shared" si="107"/>
        <v>-2</v>
      </c>
      <c r="T276" s="176">
        <f t="shared" si="108"/>
        <v>4</v>
      </c>
      <c r="U276" s="251">
        <f t="shared" si="109"/>
        <v>-1.0325527420294993</v>
      </c>
      <c r="V276" s="383">
        <f t="shared" si="110"/>
        <v>43.914066006961178</v>
      </c>
      <c r="W276" s="402">
        <f t="shared" si="111"/>
        <v>43.735271844360042</v>
      </c>
      <c r="X276" s="157">
        <f t="shared" si="112"/>
        <v>46284</v>
      </c>
      <c r="Y276" s="385">
        <f t="shared" si="113"/>
        <v>40.488021637942111</v>
      </c>
      <c r="Z276" s="385">
        <f t="shared" si="114"/>
        <v>43.276622896038731</v>
      </c>
      <c r="AA276" s="386">
        <f t="shared" si="115"/>
        <v>47.850199584467923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9.558114131489992E-2</v>
      </c>
      <c r="AD276" s="231">
        <f>(INDEX(Models!$BJ276:$BT276,,AH276)*(1-AF276)+INDEX(Models!$BJ276:$BT276,,AH276+1)*AF276-ERP_i)*AE276*Ramure*Pc/MaxiM</f>
        <v>4.9489063663285416E-3</v>
      </c>
      <c r="AE276" s="305">
        <f t="shared" si="117"/>
        <v>0.7</v>
      </c>
      <c r="AF276" s="177">
        <f t="shared" si="118"/>
        <v>0.49243482434448005</v>
      </c>
      <c r="AG276" s="921">
        <f t="shared" si="124"/>
        <v>2</v>
      </c>
      <c r="AH276" s="176">
        <f t="shared" si="119"/>
        <v>8</v>
      </c>
      <c r="AI276" s="225">
        <f t="shared" si="120"/>
        <v>2.49243482434448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45.050517129988584</v>
      </c>
      <c r="C277" s="955"/>
      <c r="D277" s="393">
        <f t="shared" si="102"/>
        <v>48.154413704614235</v>
      </c>
      <c r="E277" s="385">
        <f t="shared" si="100"/>
        <v>49.53156352463904</v>
      </c>
      <c r="F277" s="385">
        <f t="shared" si="103"/>
        <v>49.540571226766829</v>
      </c>
      <c r="G277" s="110">
        <f t="shared" si="101"/>
        <v>1.029999094564813</v>
      </c>
      <c r="H277" s="414" t="b">
        <f>Wh_hp&gt;='2025'!Maxi_hp</f>
        <v>1</v>
      </c>
      <c r="I277" s="390">
        <f>IF(H277,Wh_hp,'2025'!Maxi_hp)</f>
        <v>49.540571226766829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6.4457156381663716E-2</v>
      </c>
      <c r="M277" s="959"/>
      <c r="N277" s="959"/>
      <c r="O277" s="48">
        <f>IF(t&lt;Tnet,'2025'!Resal+('2025'!Salim-'2025'!Resal)*(1-EXP(('2025'!Tnet-t)/('2025'!Tau_j))),Resal+(Salim-Resal)*(1-EXP((Tnet-t)/(Tau_j))))*Salcycl</f>
        <v>2.7803479680986707E-2</v>
      </c>
      <c r="P277" s="169">
        <f>(INDEX(Models!$BJ277:$BT277,,T277)*(1-R277)+INDEX(Models!$BJ277:$BT277,,T277+1)*R277-ERP_i)*Q277*Ramure*Pc/MaxiM</f>
        <v>1.8182475302025379E-4</v>
      </c>
      <c r="Q277" s="305">
        <f t="shared" si="105"/>
        <v>0.7</v>
      </c>
      <c r="R277" s="177">
        <f t="shared" si="106"/>
        <v>0.96775536241555948</v>
      </c>
      <c r="S277" s="921">
        <f t="shared" si="107"/>
        <v>-2</v>
      </c>
      <c r="T277" s="176">
        <f t="shared" si="108"/>
        <v>4</v>
      </c>
      <c r="U277" s="251">
        <f t="shared" si="109"/>
        <v>-1.0322446375844405</v>
      </c>
      <c r="V277" s="383">
        <f t="shared" si="110"/>
        <v>43.738404594445754</v>
      </c>
      <c r="W277" s="402">
        <f t="shared" si="111"/>
        <v>45.050517129988584</v>
      </c>
      <c r="X277" s="157">
        <f t="shared" si="112"/>
        <v>46285</v>
      </c>
      <c r="Y277" s="385">
        <f t="shared" si="113"/>
        <v>41.704397794742718</v>
      </c>
      <c r="Z277" s="385">
        <f t="shared" si="114"/>
        <v>44.577752990387289</v>
      </c>
      <c r="AA277" s="386">
        <f t="shared" si="115"/>
        <v>49.291161022709602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9.5623798152182582E-2</v>
      </c>
      <c r="AD277" s="231">
        <f>(INDEX(Models!$BJ277:$BT277,,AH277)*(1-AF277)+INDEX(Models!$BJ277:$BT277,,AH277+1)*AF277-ERP_i)*AE277*Ramure*Pc/MaxiM</f>
        <v>5.034463630134183E-3</v>
      </c>
      <c r="AE277" s="305">
        <f t="shared" si="117"/>
        <v>0.7</v>
      </c>
      <c r="AF277" s="177">
        <f t="shared" si="118"/>
        <v>0.4927429287895384</v>
      </c>
      <c r="AG277" s="921">
        <f t="shared" si="124"/>
        <v>2</v>
      </c>
      <c r="AH277" s="176">
        <f t="shared" si="119"/>
        <v>8</v>
      </c>
      <c r="AI277" s="225">
        <f t="shared" si="120"/>
        <v>2.4927429287895384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44.057915486480496</v>
      </c>
      <c r="C278" s="955"/>
      <c r="D278" s="393">
        <f t="shared" si="102"/>
        <v>47.094455149305368</v>
      </c>
      <c r="E278" s="385">
        <f t="shared" si="100"/>
        <v>48.447287034357487</v>
      </c>
      <c r="F278" s="385">
        <f t="shared" si="103"/>
        <v>48.456509135701552</v>
      </c>
      <c r="G278" s="110">
        <f t="shared" si="101"/>
        <v>1.0114516593581053</v>
      </c>
      <c r="H278" s="414" t="b">
        <f>Wh_hp&gt;='2025'!Maxi_hp</f>
        <v>1</v>
      </c>
      <c r="I278" s="390">
        <f>IF(H278,Wh_hp,'2025'!Maxi_hp)</f>
        <v>48.456509135701552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6.4477647170946395E-2</v>
      </c>
      <c r="M278" s="959"/>
      <c r="N278" s="959"/>
      <c r="O278" s="48">
        <f>IF(t&lt;Tnet,'2025'!Resal+('2025'!Salim-'2025'!Resal)*(1-EXP(('2025'!Tnet-t)/('2025'!Tau_j))),Resal+(Salim-Resal)*(1-EXP((Tnet-t)/(Tau_j))))*Salcycl</f>
        <v>2.7923790326850145E-2</v>
      </c>
      <c r="P278" s="169">
        <f>(INDEX(Models!$BJ278:$BT278,,T278)*(1-R278)+INDEX(Models!$BJ278:$BT278,,T278+1)*R278-ERP_i)*Q278*Ramure*Pc/MaxiM</f>
        <v>1.9031708037901016E-4</v>
      </c>
      <c r="Q278" s="305">
        <f t="shared" si="105"/>
        <v>0.7</v>
      </c>
      <c r="R278" s="177">
        <f t="shared" si="106"/>
        <v>0.96805142398814725</v>
      </c>
      <c r="S278" s="921">
        <f t="shared" si="107"/>
        <v>-2</v>
      </c>
      <c r="T278" s="176">
        <f t="shared" si="108"/>
        <v>4</v>
      </c>
      <c r="U278" s="251">
        <f t="shared" si="109"/>
        <v>-1.0319485760118527</v>
      </c>
      <c r="V278" s="383">
        <f t="shared" si="110"/>
        <v>43.559091607443541</v>
      </c>
      <c r="W278" s="402">
        <f t="shared" si="111"/>
        <v>44.057915486480496</v>
      </c>
      <c r="X278" s="157">
        <f t="shared" si="112"/>
        <v>46286</v>
      </c>
      <c r="Y278" s="385">
        <f t="shared" si="113"/>
        <v>40.785495756525002</v>
      </c>
      <c r="Z278" s="385">
        <f t="shared" si="114"/>
        <v>43.596495191363609</v>
      </c>
      <c r="AA278" s="386">
        <f t="shared" si="115"/>
        <v>48.208368744087821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9.5665413970054833E-2</v>
      </c>
      <c r="AD278" s="231">
        <f>(INDEX(Models!$BJ278:$BT278,,AH278)*(1-AF278)+INDEX(Models!$BJ278:$BT278,,AH278+1)*AF278-ERP_i)*AE278*Ramure*Pc/MaxiM</f>
        <v>5.1208887317659886E-3</v>
      </c>
      <c r="AE278" s="305">
        <f t="shared" si="117"/>
        <v>0.7</v>
      </c>
      <c r="AF278" s="177">
        <f t="shared" si="118"/>
        <v>0.49303899036212639</v>
      </c>
      <c r="AG278" s="921">
        <f t="shared" si="124"/>
        <v>2</v>
      </c>
      <c r="AH278" s="176">
        <f t="shared" si="119"/>
        <v>8</v>
      </c>
      <c r="AI278" s="225">
        <f t="shared" si="120"/>
        <v>2.4930389903621264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42.843929674002084</v>
      </c>
      <c r="C279" s="955"/>
      <c r="D279" s="393">
        <f t="shared" si="102"/>
        <v>45.797802646839166</v>
      </c>
      <c r="E279" s="385">
        <f t="shared" si="100"/>
        <v>47.11919612770825</v>
      </c>
      <c r="F279" s="385">
        <f t="shared" si="103"/>
        <v>47.128437351643456</v>
      </c>
      <c r="G279" s="110">
        <f t="shared" si="101"/>
        <v>0.98772563819412051</v>
      </c>
      <c r="H279" s="414" t="b">
        <f>Wh_hp&gt;='2025'!Maxi_hp</f>
        <v>0</v>
      </c>
      <c r="I279" s="390">
        <f>IF(H279,Wh_hp,'2025'!Maxi_hp)</f>
        <v>47.12852251984188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6.4498137511428189E-2</v>
      </c>
      <c r="M279" s="959"/>
      <c r="N279" s="959"/>
      <c r="O279" s="48">
        <f>IF(t&lt;Tnet,'2025'!Resal+('2025'!Salim-'2025'!Resal)*(1-EXP(('2025'!Tnet-t)/('2025'!Tau_j))),Resal+(Salim-Resal)*(1-EXP((Tnet-t)/(Tau_j))))*Salcycl</f>
        <v>2.8043633793914471E-2</v>
      </c>
      <c r="P279" s="169">
        <f>(INDEX(Models!$BJ279:$BT279,,T279)*(1-R279)+INDEX(Models!$BJ279:$BT279,,T279+1)*R279-ERP_i)*Q279*Ramure*Pc/MaxiM</f>
        <v>1.9958463153256883E-4</v>
      </c>
      <c r="Q279" s="305">
        <f t="shared" si="105"/>
        <v>0.7</v>
      </c>
      <c r="R279" s="177">
        <f t="shared" si="106"/>
        <v>0.96833589958295718</v>
      </c>
      <c r="S279" s="921">
        <f t="shared" si="107"/>
        <v>-2</v>
      </c>
      <c r="T279" s="176">
        <f t="shared" si="108"/>
        <v>4</v>
      </c>
      <c r="U279" s="251">
        <f t="shared" si="109"/>
        <v>-1.0316641004170428</v>
      </c>
      <c r="V279" s="383">
        <f t="shared" si="110"/>
        <v>43.376194856335204</v>
      </c>
      <c r="W279" s="402">
        <f t="shared" si="111"/>
        <v>42.843929674002084</v>
      </c>
      <c r="X279" s="157">
        <f t="shared" si="112"/>
        <v>46287</v>
      </c>
      <c r="Y279" s="385">
        <f t="shared" si="113"/>
        <v>39.665180297044579</v>
      </c>
      <c r="Z279" s="385">
        <f t="shared" si="114"/>
        <v>42.399894524559677</v>
      </c>
      <c r="AA279" s="386">
        <f t="shared" si="115"/>
        <v>46.887287102789905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9.5705954758965234E-2</v>
      </c>
      <c r="AD279" s="231">
        <f>(INDEX(Models!$BJ279:$BT279,,AH279)*(1-AF279)+INDEX(Models!$BJ279:$BT279,,AH279+1)*AF279-ERP_i)*AE279*Ramure*Pc/MaxiM</f>
        <v>5.2081719801262711E-3</v>
      </c>
      <c r="AE279" s="305">
        <f t="shared" si="117"/>
        <v>0.7</v>
      </c>
      <c r="AF279" s="177">
        <f t="shared" si="118"/>
        <v>0.49332346595693632</v>
      </c>
      <c r="AG279" s="921">
        <f t="shared" si="124"/>
        <v>2</v>
      </c>
      <c r="AH279" s="176">
        <f t="shared" si="119"/>
        <v>8</v>
      </c>
      <c r="AI279" s="225">
        <f t="shared" si="120"/>
        <v>2.4933234659569363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28.244207102281166</v>
      </c>
      <c r="C280" s="955"/>
      <c r="D280" s="393">
        <f t="shared" si="102"/>
        <v>30.192164087538917</v>
      </c>
      <c r="E280" s="385">
        <f t="shared" si="100"/>
        <v>31.067106923532929</v>
      </c>
      <c r="F280" s="385">
        <f t="shared" si="103"/>
        <v>31.070400428431125</v>
      </c>
      <c r="G280" s="110">
        <f t="shared" si="101"/>
        <v>0.65388799002367171</v>
      </c>
      <c r="H280" s="414" t="b">
        <f>Wh_hp&gt;='2025'!Maxi_hp</f>
        <v>0</v>
      </c>
      <c r="I280" s="390">
        <f>IF(H280,Wh_hp,'2025'!Maxi_hp)</f>
        <v>46.242324699542912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6.4518627403118867E-2</v>
      </c>
      <c r="M280" s="959"/>
      <c r="N280" s="959"/>
      <c r="O280" s="48">
        <f>IF(t&lt;Tnet,'2025'!Resal+('2025'!Salim-'2025'!Resal)*(1-EXP(('2025'!Tnet-t)/('2025'!Tau_j))),Resal+(Salim-Resal)*(1-EXP((Tnet-t)/(Tau_j))))*Salcycl</f>
        <v>2.8162996900469525E-2</v>
      </c>
      <c r="P280" s="169">
        <f>(INDEX(Models!$BJ280:$BT280,,T280)*(1-R280)+INDEX(Models!$BJ280:$BT280,,T280+1)*R280-ERP_i)*Q280*Ramure*Pc/MaxiM</f>
        <v>2.0963341510647383E-4</v>
      </c>
      <c r="Q280" s="305">
        <f t="shared" si="105"/>
        <v>0.7</v>
      </c>
      <c r="R280" s="177">
        <f t="shared" si="106"/>
        <v>0.96860922983852249</v>
      </c>
      <c r="S280" s="921">
        <f t="shared" si="107"/>
        <v>-2</v>
      </c>
      <c r="T280" s="176">
        <f t="shared" si="108"/>
        <v>4</v>
      </c>
      <c r="U280" s="251">
        <f t="shared" si="109"/>
        <v>-1.0313907701614775</v>
      </c>
      <c r="V280" s="383">
        <f t="shared" si="110"/>
        <v>43.189782069420815</v>
      </c>
      <c r="W280" s="402">
        <f t="shared" si="111"/>
        <v>28.244207102281166</v>
      </c>
      <c r="X280" s="157">
        <f t="shared" si="112"/>
        <v>46288</v>
      </c>
      <c r="Y280" s="385">
        <f t="shared" si="113"/>
        <v>26.21247839740327</v>
      </c>
      <c r="Z280" s="385">
        <f t="shared" si="114"/>
        <v>28.020310361325372</v>
      </c>
      <c r="AA280" s="386">
        <f t="shared" si="115"/>
        <v>30.987190931776226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9.574538643993151E-2</v>
      </c>
      <c r="AD280" s="231">
        <f>(INDEX(Models!$BJ280:$BT280,,AH280)*(1-AF280)+INDEX(Models!$BJ280:$BT280,,AH280+1)*AF280-ERP_i)*AE280*Ramure*Pc/MaxiM</f>
        <v>5.2963306544973662E-3</v>
      </c>
      <c r="AE280" s="305">
        <f t="shared" si="117"/>
        <v>0.7</v>
      </c>
      <c r="AF280" s="177">
        <f t="shared" si="118"/>
        <v>0.49359679621250185</v>
      </c>
      <c r="AG280" s="921">
        <f t="shared" si="124"/>
        <v>2</v>
      </c>
      <c r="AH280" s="176">
        <f t="shared" si="119"/>
        <v>8</v>
      </c>
      <c r="AI280" s="225">
        <f t="shared" si="120"/>
        <v>2.4935967962125019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20.643444314098172</v>
      </c>
      <c r="C281" s="955"/>
      <c r="D281" s="393">
        <f t="shared" si="102"/>
        <v>22.067672401754908</v>
      </c>
      <c r="E281" s="385">
        <f t="shared" si="100"/>
        <v>22.709952235931183</v>
      </c>
      <c r="F281" s="385">
        <f t="shared" si="103"/>
        <v>22.711240361408162</v>
      </c>
      <c r="G281" s="110">
        <f t="shared" si="101"/>
        <v>0.48000236431863252</v>
      </c>
      <c r="H281" s="414" t="b">
        <f>Wh_hp&gt;='2025'!Maxi_hp</f>
        <v>0</v>
      </c>
      <c r="I281" s="390">
        <f>IF(H281,Wh_hp,'2025'!Maxi_hp)</f>
        <v>42.341790799167022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6.4539116846028421E-2</v>
      </c>
      <c r="M281" s="959"/>
      <c r="N281" s="959"/>
      <c r="O281" s="48">
        <f>IF(t&lt;Tnet,'2025'!Resal+('2025'!Salim-'2025'!Resal)*(1-EXP(('2025'!Tnet-t)/('2025'!Tau_j))),Resal+(Salim-Resal)*(1-EXP((Tnet-t)/(Tau_j))))*Salcycl</f>
        <v>2.8281866359898187E-2</v>
      </c>
      <c r="P281" s="169">
        <f>(INDEX(Models!$BJ281:$BT281,,T281)*(1-R281)+INDEX(Models!$BJ281:$BT281,,T281+1)*R281-ERP_i)*Q281*Ramure*Pc/MaxiM</f>
        <v>2.2046898582301353E-4</v>
      </c>
      <c r="Q281" s="305">
        <f t="shared" si="105"/>
        <v>0.7</v>
      </c>
      <c r="R281" s="177">
        <f t="shared" si="106"/>
        <v>0.96887183963065859</v>
      </c>
      <c r="S281" s="921">
        <f t="shared" si="107"/>
        <v>-2</v>
      </c>
      <c r="T281" s="176">
        <f t="shared" si="108"/>
        <v>4</v>
      </c>
      <c r="U281" s="251">
        <f t="shared" si="109"/>
        <v>-1.0311281603693414</v>
      </c>
      <c r="V281" s="383">
        <f t="shared" si="110"/>
        <v>42.999920964175637</v>
      </c>
      <c r="W281" s="402">
        <f t="shared" si="111"/>
        <v>20.643444314098172</v>
      </c>
      <c r="X281" s="157">
        <f t="shared" si="112"/>
        <v>46289</v>
      </c>
      <c r="Y281" s="385">
        <f t="shared" si="113"/>
        <v>19.183892251917005</v>
      </c>
      <c r="Z281" s="385">
        <f t="shared" si="114"/>
        <v>20.507423236380738</v>
      </c>
      <c r="AA281" s="386">
        <f t="shared" si="115"/>
        <v>22.67977548124551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9.5783675048333072E-2</v>
      </c>
      <c r="AD281" s="231">
        <f>(INDEX(Models!$BJ281:$BT281,,AH281)*(1-AF281)+INDEX(Models!$BJ281:$BT281,,AH281+1)*AF281-ERP_i)*AE281*Ramure*Pc/MaxiM</f>
        <v>5.3853683841269097E-3</v>
      </c>
      <c r="AE281" s="305">
        <f t="shared" si="117"/>
        <v>0.7</v>
      </c>
      <c r="AF281" s="177">
        <f t="shared" si="118"/>
        <v>0.49385940600463751</v>
      </c>
      <c r="AG281" s="921">
        <f t="shared" si="124"/>
        <v>2</v>
      </c>
      <c r="AH281" s="176">
        <f t="shared" si="119"/>
        <v>8</v>
      </c>
      <c r="AI281" s="225">
        <f t="shared" si="120"/>
        <v>2.4938594060046375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30.445072828574126</v>
      </c>
      <c r="C282" s="955"/>
      <c r="D282" s="393">
        <f t="shared" si="102"/>
        <v>32.546245617197656</v>
      </c>
      <c r="E282" s="385">
        <f t="shared" si="100"/>
        <v>33.497584687960469</v>
      </c>
      <c r="F282" s="385">
        <f t="shared" si="103"/>
        <v>33.502153233896699</v>
      </c>
      <c r="G282" s="110">
        <f t="shared" si="101"/>
        <v>0.71115439100453037</v>
      </c>
      <c r="H282" s="414" t="b">
        <f>Wh_hp&gt;='2025'!Maxi_hp</f>
        <v>0</v>
      </c>
      <c r="I282" s="390">
        <f>IF(H282,Wh_hp,'2025'!Maxi_hp)</f>
        <v>48.914209724554347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6.4559605840166623E-2</v>
      </c>
      <c r="M282" s="959"/>
      <c r="N282" s="959"/>
      <c r="O282" s="48">
        <f>IF(t&lt;Tnet,'2025'!Resal+('2025'!Salim-'2025'!Resal)*(1-EXP(('2025'!Tnet-t)/('2025'!Tau_j))),Resal+(Salim-Resal)*(1-EXP((Tnet-t)/(Tau_j))))*Salcycl</f>
        <v>2.8400228841118213E-2</v>
      </c>
      <c r="P282" s="169">
        <f>(INDEX(Models!$BJ282:$BT282,,T282)*(1-R282)+INDEX(Models!$BJ282:$BT282,,T282+1)*R282-ERP_i)*Q282*Ramure*Pc/MaxiM</f>
        <v>2.321274164287106E-4</v>
      </c>
      <c r="Q282" s="305">
        <f t="shared" si="105"/>
        <v>0.7</v>
      </c>
      <c r="R282" s="177">
        <f t="shared" si="106"/>
        <v>0.96912413855787682</v>
      </c>
      <c r="S282" s="921">
        <f t="shared" si="107"/>
        <v>-2</v>
      </c>
      <c r="T282" s="176">
        <f t="shared" si="108"/>
        <v>4</v>
      </c>
      <c r="U282" s="251">
        <f t="shared" si="109"/>
        <v>-1.0308758614421232</v>
      </c>
      <c r="V282" s="383">
        <f t="shared" si="110"/>
        <v>42.806677909635084</v>
      </c>
      <c r="W282" s="402">
        <f t="shared" si="111"/>
        <v>30.445072828574126</v>
      </c>
      <c r="X282" s="157">
        <f t="shared" si="112"/>
        <v>46290</v>
      </c>
      <c r="Y282" s="385">
        <f t="shared" si="113"/>
        <v>28.245232648185514</v>
      </c>
      <c r="Z282" s="385">
        <f t="shared" si="114"/>
        <v>30.194583026911079</v>
      </c>
      <c r="AA282" s="386">
        <f t="shared" si="115"/>
        <v>33.394467148266436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9.5820786933007523E-2</v>
      </c>
      <c r="AD282" s="231">
        <f>(INDEX(Models!$BJ282:$BT282,,AH282)*(1-AF282)+INDEX(Models!$BJ282:$BT282,,AH282+1)*AF282-ERP_i)*AE282*Ramure*Pc/MaxiM</f>
        <v>5.4715205213200996E-3</v>
      </c>
      <c r="AE282" s="305">
        <f t="shared" si="117"/>
        <v>0.7</v>
      </c>
      <c r="AF282" s="177">
        <f t="shared" si="118"/>
        <v>0.49411170493185619</v>
      </c>
      <c r="AG282" s="921">
        <f t="shared" si="124"/>
        <v>2</v>
      </c>
      <c r="AH282" s="176">
        <f t="shared" si="119"/>
        <v>8</v>
      </c>
      <c r="AI282" s="225">
        <f t="shared" si="120"/>
        <v>2.4941117049318562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31.811474544742122</v>
      </c>
      <c r="C283" s="955"/>
      <c r="D283" s="393">
        <f t="shared" si="102"/>
        <v>34.007694676804917</v>
      </c>
      <c r="E283" s="385">
        <f t="shared" si="100"/>
        <v>35.005998220700377</v>
      </c>
      <c r="F283" s="385">
        <f t="shared" si="103"/>
        <v>35.01146011642814</v>
      </c>
      <c r="G283" s="110">
        <f t="shared" si="101"/>
        <v>0.74650469976604938</v>
      </c>
      <c r="H283" s="414" t="b">
        <f>Wh_hp&gt;='2025'!Maxi_hp</f>
        <v>0</v>
      </c>
      <c r="I283" s="390">
        <f>IF(H283,Wh_hp,'2025'!Maxi_hp)</f>
        <v>47.979649608380406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6.458009438554313E-2</v>
      </c>
      <c r="M283" s="959"/>
      <c r="N283" s="959"/>
      <c r="O283" s="48">
        <f>IF(t&lt;Tnet,'2025'!Resal+('2025'!Salim-'2025'!Resal)*(1-EXP(('2025'!Tnet-t)/('2025'!Tau_j))),Resal+(Salim-Resal)*(1-EXP((Tnet-t)/(Tau_j))))*Salcycl</f>
        <v>2.8518071034612756E-2</v>
      </c>
      <c r="P283" s="169">
        <f>(INDEX(Models!$BJ283:$BT283,,T283)*(1-R283)+INDEX(Models!$BJ283:$BT283,,T283+1)*R283-ERP_i)*Q283*Ramure*Pc/MaxiM</f>
        <v>2.4453492474856123E-4</v>
      </c>
      <c r="Q283" s="305">
        <f t="shared" si="105"/>
        <v>0.7</v>
      </c>
      <c r="R283" s="177">
        <f t="shared" si="106"/>
        <v>0.96936652141825475</v>
      </c>
      <c r="S283" s="921">
        <f t="shared" si="107"/>
        <v>-2</v>
      </c>
      <c r="T283" s="176">
        <f t="shared" si="108"/>
        <v>4</v>
      </c>
      <c r="U283" s="251">
        <f t="shared" si="109"/>
        <v>-1.0306334785817453</v>
      </c>
      <c r="V283" s="383">
        <f t="shared" si="110"/>
        <v>42.610123937417349</v>
      </c>
      <c r="W283" s="402">
        <f t="shared" si="111"/>
        <v>31.811474544742122</v>
      </c>
      <c r="X283" s="157">
        <f t="shared" si="112"/>
        <v>46291</v>
      </c>
      <c r="Y283" s="385">
        <f t="shared" si="113"/>
        <v>29.50613873863588</v>
      </c>
      <c r="Z283" s="385">
        <f t="shared" si="114"/>
        <v>31.543201680376839</v>
      </c>
      <c r="AA283" s="386">
        <f t="shared" si="115"/>
        <v>34.887391518089551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9.5856688969672824E-2</v>
      </c>
      <c r="AD283" s="231">
        <f>(INDEX(Models!$BJ283:$BT283,,AH283)*(1-AF283)+INDEX(Models!$BJ283:$BT283,,AH283+1)*AF283-ERP_i)*AE283*Ramure*Pc/MaxiM</f>
        <v>5.5546841006455325E-3</v>
      </c>
      <c r="AE283" s="305">
        <f t="shared" si="117"/>
        <v>0.7</v>
      </c>
      <c r="AF283" s="177">
        <f t="shared" si="118"/>
        <v>0.49435408779223389</v>
      </c>
      <c r="AG283" s="921">
        <f t="shared" si="124"/>
        <v>2</v>
      </c>
      <c r="AH283" s="176">
        <f t="shared" si="119"/>
        <v>8</v>
      </c>
      <c r="AI283" s="225">
        <f t="shared" si="120"/>
        <v>2.4943540877922339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15.282401536434357</v>
      </c>
      <c r="C284" s="955"/>
      <c r="D284" s="393">
        <f t="shared" si="102"/>
        <v>16.337835207325242</v>
      </c>
      <c r="E284" s="385">
        <f t="shared" si="100"/>
        <v>16.819467032554357</v>
      </c>
      <c r="F284" s="385">
        <f t="shared" si="103"/>
        <v>16.819840696067615</v>
      </c>
      <c r="G284" s="110">
        <f t="shared" si="101"/>
        <v>0.36026137870330638</v>
      </c>
      <c r="H284" s="414" t="b">
        <f>Wh_hp&gt;='2025'!Maxi_hp</f>
        <v>0</v>
      </c>
      <c r="I284" s="390">
        <f>IF(H284,Wh_hp,'2025'!Maxi_hp)</f>
        <v>46.988763169188566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6.4600582482168045E-2</v>
      </c>
      <c r="M284" s="959"/>
      <c r="N284" s="959"/>
      <c r="O284" s="48">
        <f>IF(t&lt;Tnet,'2025'!Resal+('2025'!Salim-'2025'!Resal)*(1-EXP(('2025'!Tnet-t)/('2025'!Tau_j))),Resal+(Salim-Resal)*(1-EXP((Tnet-t)/(Tau_j))))*Salcycl</f>
        <v>2.8635379723799211E-2</v>
      </c>
      <c r="P284" s="169">
        <f>(INDEX(Models!$BJ284:$BT284,,T284)*(1-R284)+INDEX(Models!$BJ284:$BT284,,T284+1)*R284-ERP_i)*Q284*Ramure*Pc/MaxiM</f>
        <v>2.5769540588721967E-4</v>
      </c>
      <c r="Q284" s="305">
        <f t="shared" si="105"/>
        <v>0.7</v>
      </c>
      <c r="R284" s="177">
        <f t="shared" si="106"/>
        <v>0.9695993686773241</v>
      </c>
      <c r="S284" s="921">
        <f t="shared" si="107"/>
        <v>-2</v>
      </c>
      <c r="T284" s="176">
        <f t="shared" si="108"/>
        <v>4</v>
      </c>
      <c r="U284" s="251">
        <f t="shared" si="109"/>
        <v>-1.0304006313226759</v>
      </c>
      <c r="V284" s="383">
        <f t="shared" si="110"/>
        <v>42.410326677622479</v>
      </c>
      <c r="W284" s="402">
        <f t="shared" si="111"/>
        <v>15.282401536434357</v>
      </c>
      <c r="X284" s="157">
        <f t="shared" si="112"/>
        <v>46292</v>
      </c>
      <c r="Y284" s="385">
        <f t="shared" si="113"/>
        <v>14.217674898543411</v>
      </c>
      <c r="Z284" s="385">
        <f t="shared" si="114"/>
        <v>15.199576386599976</v>
      </c>
      <c r="AA284" s="386">
        <f t="shared" si="115"/>
        <v>16.811670108693022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9.5891348787498637E-2</v>
      </c>
      <c r="AD284" s="231">
        <f>(INDEX(Models!$BJ284:$BT284,,AH284)*(1-AF284)+INDEX(Models!$BJ284:$BT284,,AH284+1)*AF284-ERP_i)*AE284*Ramure*Pc/MaxiM</f>
        <v>5.6348098091237152E-3</v>
      </c>
      <c r="AE284" s="305">
        <f t="shared" si="117"/>
        <v>0.7</v>
      </c>
      <c r="AF284" s="177">
        <f t="shared" si="118"/>
        <v>0.49458693505130302</v>
      </c>
      <c r="AG284" s="921">
        <f t="shared" si="124"/>
        <v>2</v>
      </c>
      <c r="AH284" s="176">
        <f t="shared" si="119"/>
        <v>8</v>
      </c>
      <c r="AI284" s="225">
        <f t="shared" si="120"/>
        <v>2.494586935051303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14.94438786051151</v>
      </c>
      <c r="C285" s="955"/>
      <c r="D285" s="393">
        <f t="shared" si="102"/>
        <v>15.976827554357369</v>
      </c>
      <c r="E285" s="385">
        <f t="shared" si="100"/>
        <v>16.44979437584276</v>
      </c>
      <c r="F285" s="385">
        <f t="shared" si="103"/>
        <v>16.450139506401705</v>
      </c>
      <c r="G285" s="110">
        <f t="shared" si="101"/>
        <v>0.35398197050108682</v>
      </c>
      <c r="H285" s="414" t="b">
        <f>Wh_hp&gt;='2025'!Maxi_hp</f>
        <v>0</v>
      </c>
      <c r="I285" s="390">
        <f>IF(H285,Wh_hp,'2025'!Maxi_hp)</f>
        <v>44.138858996476266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6.4621070130051028E-2</v>
      </c>
      <c r="M285" s="959"/>
      <c r="N285" s="959"/>
      <c r="O285" s="48">
        <f>IF(t&lt;Tnet,'2025'!Resal+('2025'!Salim-'2025'!Resal)*(1-EXP(('2025'!Tnet-t)/('2025'!Tau_j))),Resal+(Salim-Resal)*(1-EXP((Tnet-t)/(Tau_j))))*Salcycl</f>
        <v>2.8752141861418279E-2</v>
      </c>
      <c r="P285" s="169">
        <f>(INDEX(Models!$BJ285:$BT285,,T285)*(1-R285)+INDEX(Models!$BJ285:$BT285,,T285+1)*R285-ERP_i)*Q285*Ramure*Pc/MaxiM</f>
        <v>2.7161250829777368E-4</v>
      </c>
      <c r="Q285" s="305">
        <f t="shared" si="105"/>
        <v>0.7</v>
      </c>
      <c r="R285" s="177">
        <f t="shared" si="106"/>
        <v>0.9698230469266107</v>
      </c>
      <c r="S285" s="921">
        <f t="shared" si="107"/>
        <v>-2</v>
      </c>
      <c r="T285" s="176">
        <f t="shared" si="108"/>
        <v>4</v>
      </c>
      <c r="U285" s="251">
        <f t="shared" si="109"/>
        <v>-1.0301769530733893</v>
      </c>
      <c r="V285" s="383">
        <f t="shared" si="110"/>
        <v>42.207353717444654</v>
      </c>
      <c r="W285" s="402">
        <f t="shared" si="111"/>
        <v>14.94438786051151</v>
      </c>
      <c r="X285" s="157">
        <f t="shared" si="112"/>
        <v>46293</v>
      </c>
      <c r="Y285" s="385">
        <f t="shared" si="113"/>
        <v>13.904971411849239</v>
      </c>
      <c r="Z285" s="385">
        <f t="shared" si="114"/>
        <v>14.865602557225152</v>
      </c>
      <c r="AA285" s="386">
        <f t="shared" si="115"/>
        <v>16.442881619317181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9.5924735007459586E-2</v>
      </c>
      <c r="AD285" s="231">
        <f>(INDEX(Models!$BJ285:$BT285,,AH285)*(1-AF285)+INDEX(Models!$BJ285:$BT285,,AH285+1)*AF285-ERP_i)*AE285*Ramure*Pc/MaxiM</f>
        <v>5.7118469080257505E-3</v>
      </c>
      <c r="AE285" s="305">
        <f t="shared" si="117"/>
        <v>0.7</v>
      </c>
      <c r="AF285" s="177">
        <f t="shared" si="118"/>
        <v>0.49481061330059006</v>
      </c>
      <c r="AG285" s="921">
        <f t="shared" si="124"/>
        <v>2</v>
      </c>
      <c r="AH285" s="176">
        <f t="shared" si="119"/>
        <v>8</v>
      </c>
      <c r="AI285" s="225">
        <f t="shared" si="120"/>
        <v>2.4948106133005901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21.532966566813876</v>
      </c>
      <c r="C286" s="955"/>
      <c r="D286" s="393">
        <f t="shared" si="102"/>
        <v>23.021085376991095</v>
      </c>
      <c r="E286" s="385">
        <f t="shared" si="100"/>
        <v>23.705421659545639</v>
      </c>
      <c r="F286" s="385">
        <f t="shared" si="103"/>
        <v>23.707483749940256</v>
      </c>
      <c r="G286" s="110">
        <f t="shared" si="101"/>
        <v>0.51257195668264544</v>
      </c>
      <c r="H286" s="414" t="b">
        <f>Wh_hp&gt;='2025'!Maxi_hp</f>
        <v>0</v>
      </c>
      <c r="I286" s="390">
        <f>IF(H286,Wh_hp,'2025'!Maxi_hp)</f>
        <v>45.467806820564945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6.4641557329201849E-2</v>
      </c>
      <c r="M286" s="959"/>
      <c r="N286" s="959"/>
      <c r="O286" s="48">
        <f>IF(t&lt;Tnet,'2025'!Resal+('2025'!Salim-'2025'!Resal)*(1-EXP(('2025'!Tnet-t)/('2025'!Tau_j))),Resal+(Salim-Resal)*(1-EXP((Tnet-t)/(Tau_j))))*Salcycl</f>
        <v>2.8868344650556987E-2</v>
      </c>
      <c r="P286" s="169">
        <f>(INDEX(Models!$BJ286:$BT286,,T286)*(1-R286)+INDEX(Models!$BJ286:$BT286,,T286+1)*R286-ERP_i)*Q286*Ramure*Pc/MaxiM</f>
        <v>2.8628960533453419E-4</v>
      </c>
      <c r="Q286" s="305">
        <f t="shared" si="105"/>
        <v>0.7</v>
      </c>
      <c r="R286" s="177">
        <f t="shared" si="106"/>
        <v>0.97003790933252088</v>
      </c>
      <c r="S286" s="921">
        <f t="shared" si="107"/>
        <v>-2</v>
      </c>
      <c r="T286" s="176">
        <f t="shared" si="108"/>
        <v>4</v>
      </c>
      <c r="U286" s="251">
        <f t="shared" si="109"/>
        <v>-1.0299620906674791</v>
      </c>
      <c r="V286" s="383">
        <f t="shared" si="110"/>
        <v>42.001272597849955</v>
      </c>
      <c r="W286" s="402">
        <f t="shared" si="111"/>
        <v>21.532966566813876</v>
      </c>
      <c r="X286" s="157">
        <f t="shared" si="112"/>
        <v>46294</v>
      </c>
      <c r="Y286" s="385">
        <f t="shared" si="113"/>
        <v>20.011913721257976</v>
      </c>
      <c r="Z286" s="385">
        <f t="shared" si="114"/>
        <v>21.394914300571745</v>
      </c>
      <c r="AA286" s="386">
        <f t="shared" si="115"/>
        <v>23.665810123353165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9.5956817490922247E-2</v>
      </c>
      <c r="AD286" s="231">
        <f>(INDEX(Models!$BJ286:$BT286,,AH286)*(1-AF286)+INDEX(Models!$BJ286:$BT286,,AH286+1)*AF286-ERP_i)*AE286*Ramure*Pc/MaxiM</f>
        <v>5.7857435055376711E-3</v>
      </c>
      <c r="AE286" s="305">
        <f t="shared" si="117"/>
        <v>0.7</v>
      </c>
      <c r="AF286" s="177">
        <f t="shared" si="118"/>
        <v>0.49502547570650002</v>
      </c>
      <c r="AG286" s="921">
        <f t="shared" si="124"/>
        <v>2</v>
      </c>
      <c r="AH286" s="176">
        <f t="shared" si="119"/>
        <v>8</v>
      </c>
      <c r="AI286" s="225">
        <f t="shared" si="120"/>
        <v>2.4950254757065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31.040492667389753</v>
      </c>
      <c r="C287" s="955"/>
      <c r="D287" s="393">
        <f t="shared" si="102"/>
        <v>33.186392651890202</v>
      </c>
      <c r="E287" s="385">
        <f t="shared" si="100"/>
        <v>34.176977329922771</v>
      </c>
      <c r="F287" s="385">
        <f t="shared" si="103"/>
        <v>34.183500827464066</v>
      </c>
      <c r="G287" s="110">
        <f t="shared" si="101"/>
        <v>0.7426526095800331</v>
      </c>
      <c r="H287" s="414" t="b">
        <f>Wh_hp&gt;='2025'!Maxi_hp</f>
        <v>0</v>
      </c>
      <c r="I287" s="390">
        <f>IF(H287,Wh_hp,'2025'!Maxi_hp)</f>
        <v>41.385817820684117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6.4662044079630498E-2</v>
      </c>
      <c r="M287" s="959"/>
      <c r="N287" s="959"/>
      <c r="O287" s="48">
        <f>IF(t&lt;Tnet,'2025'!Resal+('2025'!Salim-'2025'!Resal)*(1-EXP(('2025'!Tnet-t)/('2025'!Tau_j))),Resal+(Salim-Resal)*(1-EXP((Tnet-t)/(Tau_j))))*Salcycl</f>
        <v>2.8983975629854348E-2</v>
      </c>
      <c r="P287" s="169">
        <f>(INDEX(Models!$BJ287:$BT287,,T287)*(1-R287)+INDEX(Models!$BJ287:$BT287,,T287+1)*R287-ERP_i)*Q287*Ramure*Pc/MaxiM</f>
        <v>3.017297688097603E-4</v>
      </c>
      <c r="Q287" s="305">
        <f t="shared" si="105"/>
        <v>0.7</v>
      </c>
      <c r="R287" s="177">
        <f t="shared" si="106"/>
        <v>0.97024429607532992</v>
      </c>
      <c r="S287" s="921">
        <f t="shared" si="107"/>
        <v>-2</v>
      </c>
      <c r="T287" s="176">
        <f t="shared" si="108"/>
        <v>4</v>
      </c>
      <c r="U287" s="251">
        <f t="shared" si="109"/>
        <v>-1.0297557039246701</v>
      </c>
      <c r="V287" s="383">
        <f t="shared" si="110"/>
        <v>41.792150815479417</v>
      </c>
      <c r="W287" s="402">
        <f t="shared" si="111"/>
        <v>31.040492667389753</v>
      </c>
      <c r="X287" s="157">
        <f t="shared" si="112"/>
        <v>46295</v>
      </c>
      <c r="Y287" s="385">
        <f t="shared" si="113"/>
        <v>28.797040191988277</v>
      </c>
      <c r="Z287" s="385">
        <f t="shared" si="114"/>
        <v>30.787845195111412</v>
      </c>
      <c r="AA287" s="386">
        <f t="shared" si="115"/>
        <v>34.056882506874565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9.5987567596748744E-2</v>
      </c>
      <c r="AD287" s="231">
        <f>(INDEX(Models!$BJ287:$BT287,,AH287)*(1-AF287)+INDEX(Models!$BJ287:$BT287,,AH287+1)*AF287-ERP_i)*AE287*Ramure*Pc/MaxiM</f>
        <v>5.8564468456868187E-3</v>
      </c>
      <c r="AE287" s="305">
        <f t="shared" si="117"/>
        <v>0.7</v>
      </c>
      <c r="AF287" s="177">
        <f t="shared" si="118"/>
        <v>0.49523186244930884</v>
      </c>
      <c r="AG287" s="921">
        <f t="shared" si="124"/>
        <v>2</v>
      </c>
      <c r="AH287" s="176">
        <f t="shared" si="119"/>
        <v>8</v>
      </c>
      <c r="AI287" s="225">
        <f t="shared" si="120"/>
        <v>2.4952318624493088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37.575362597132013</v>
      </c>
      <c r="C288" s="955"/>
      <c r="D288" s="393">
        <f t="shared" si="102"/>
        <v>40.173912941508732</v>
      </c>
      <c r="E288" s="385">
        <f t="shared" si="100"/>
        <v>41.377971475330277</v>
      </c>
      <c r="F288" s="385">
        <f t="shared" si="103"/>
        <v>41.389320056002276</v>
      </c>
      <c r="G288" s="110">
        <f t="shared" si="101"/>
        <v>0.90364761868435983</v>
      </c>
      <c r="H288" s="414" t="b">
        <f>Wh_hp&gt;='2025'!Maxi_hp</f>
        <v>0</v>
      </c>
      <c r="I288" s="390">
        <f>IF(H288,Wh_hp,'2025'!Maxi_hp)</f>
        <v>43.981299080889379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6.4682530381346748E-2</v>
      </c>
      <c r="M288" s="959"/>
      <c r="N288" s="959"/>
      <c r="O288" s="48">
        <f>IF(t&lt;Tnet,'2025'!Resal+('2025'!Salim-'2025'!Resal)*(1-EXP(('2025'!Tnet-t)/('2025'!Tau_j))),Resal+(Salim-Resal)*(1-EXP((Tnet-t)/(Tau_j))))*Salcycl</f>
        <v>2.9099022762375071E-2</v>
      </c>
      <c r="P288" s="169">
        <f>(INDEX(Models!$BJ288:$BT288,,T288)*(1-R288)+INDEX(Models!$BJ288:$BT288,,T288+1)*R288-ERP_i)*Q288*Ramure*Pc/MaxiM</f>
        <v>3.1793574507022582E-4</v>
      </c>
      <c r="Q288" s="305">
        <f t="shared" si="105"/>
        <v>0.7</v>
      </c>
      <c r="R288" s="177">
        <f t="shared" si="106"/>
        <v>0.97044253477807807</v>
      </c>
      <c r="S288" s="921">
        <f t="shared" si="107"/>
        <v>-2</v>
      </c>
      <c r="T288" s="176">
        <f t="shared" si="108"/>
        <v>4</v>
      </c>
      <c r="U288" s="251">
        <f t="shared" si="109"/>
        <v>-1.0295574652219219</v>
      </c>
      <c r="V288" s="383">
        <f t="shared" si="110"/>
        <v>41.580055816257733</v>
      </c>
      <c r="W288" s="402">
        <f t="shared" si="111"/>
        <v>37.575362597132013</v>
      </c>
      <c r="X288" s="157">
        <f t="shared" si="112"/>
        <v>46296</v>
      </c>
      <c r="Y288" s="385">
        <f t="shared" si="113"/>
        <v>34.816346460222697</v>
      </c>
      <c r="Z288" s="385">
        <f t="shared" si="114"/>
        <v>37.224095123998893</v>
      </c>
      <c r="AA288" s="386">
        <f t="shared" si="115"/>
        <v>41.177868845823788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9.6016958445042933E-2</v>
      </c>
      <c r="AD288" s="231">
        <f>(INDEX(Models!$BJ288:$BT288,,AH288)*(1-AF288)+INDEX(Models!$BJ288:$BT288,,AH288+1)*AF288-ERP_i)*AE288*Ramure*Pc/MaxiM</f>
        <v>5.9239036137774372E-3</v>
      </c>
      <c r="AE288" s="305">
        <f t="shared" si="117"/>
        <v>0.7</v>
      </c>
      <c r="AF288" s="177">
        <f t="shared" si="118"/>
        <v>0.49543010115205721</v>
      </c>
      <c r="AG288" s="921">
        <f t="shared" si="124"/>
        <v>2</v>
      </c>
      <c r="AH288" s="176">
        <f t="shared" si="119"/>
        <v>8</v>
      </c>
      <c r="AI288" s="225">
        <f t="shared" si="120"/>
        <v>2.4954301011520572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37.000846638495638</v>
      </c>
      <c r="C289" s="955"/>
      <c r="D289" s="393">
        <f t="shared" si="102"/>
        <v>39.560532409208605</v>
      </c>
      <c r="E289" s="385">
        <f t="shared" si="100"/>
        <v>40.751011031963891</v>
      </c>
      <c r="F289" s="385">
        <f t="shared" si="103"/>
        <v>40.762605657402418</v>
      </c>
      <c r="G289" s="110">
        <f t="shared" si="101"/>
        <v>0.89446359738159831</v>
      </c>
      <c r="H289" s="414" t="b">
        <f>Wh_hp&gt;='2025'!Maxi_hp</f>
        <v>0</v>
      </c>
      <c r="I289" s="390">
        <f>IF(H289,Wh_hp,'2025'!Maxi_hp)</f>
        <v>47.647904130278036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6.4703016234360478E-2</v>
      </c>
      <c r="M289" s="959"/>
      <c r="N289" s="959"/>
      <c r="O289" s="48">
        <f>IF(t&lt;Tnet,'2025'!Resal+('2025'!Salim-'2025'!Resal)*(1-EXP(('2025'!Tnet-t)/('2025'!Tau_j))),Resal+(Salim-Resal)*(1-EXP((Tnet-t)/(Tau_j))))*Salcycl</f>
        <v>2.9213474527576905E-2</v>
      </c>
      <c r="P289" s="169">
        <f>(INDEX(Models!$BJ289:$BT289,,T289)*(1-R289)+INDEX(Models!$BJ289:$BT289,,T289+1)*R289-ERP_i)*Q289*Ramure*Pc/MaxiM</f>
        <v>3.3491497693842036E-4</v>
      </c>
      <c r="Q289" s="305">
        <f t="shared" si="105"/>
        <v>0.7</v>
      </c>
      <c r="R289" s="177">
        <f t="shared" si="106"/>
        <v>0.97063294092523456</v>
      </c>
      <c r="S289" s="921">
        <f t="shared" si="107"/>
        <v>-2</v>
      </c>
      <c r="T289" s="176">
        <f t="shared" si="108"/>
        <v>4</v>
      </c>
      <c r="U289" s="251">
        <f t="shared" si="109"/>
        <v>-1.0293670590747654</v>
      </c>
      <c r="V289" s="383">
        <f t="shared" si="110"/>
        <v>41.364431932518471</v>
      </c>
      <c r="W289" s="402">
        <f t="shared" si="111"/>
        <v>37.000846638495638</v>
      </c>
      <c r="X289" s="157">
        <f t="shared" si="112"/>
        <v>46297</v>
      </c>
      <c r="Y289" s="385">
        <f t="shared" si="113"/>
        <v>34.288142708724578</v>
      </c>
      <c r="Z289" s="385">
        <f t="shared" si="114"/>
        <v>36.660166026277139</v>
      </c>
      <c r="AA289" s="386">
        <f t="shared" si="115"/>
        <v>40.555298233170653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9.6044965185526285E-2</v>
      </c>
      <c r="AD289" s="231">
        <f>(INDEX(Models!$BJ289:$BT289,,AH289)*(1-AF289)+INDEX(Models!$BJ289:$BT289,,AH289+1)*AF289-ERP_i)*AE289*Ramure*Pc/MaxiM</f>
        <v>5.9881504214064343E-3</v>
      </c>
      <c r="AE289" s="305">
        <f t="shared" si="117"/>
        <v>0.7</v>
      </c>
      <c r="AF289" s="177">
        <f t="shared" si="118"/>
        <v>0.49562050729921392</v>
      </c>
      <c r="AG289" s="921">
        <f t="shared" si="124"/>
        <v>2</v>
      </c>
      <c r="AH289" s="176">
        <f t="shared" si="119"/>
        <v>8</v>
      </c>
      <c r="AI289" s="225">
        <f t="shared" si="120"/>
        <v>2.4956205072992139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34.590772473727256</v>
      </c>
      <c r="C290" s="955"/>
      <c r="D290" s="393">
        <f t="shared" si="102"/>
        <v>36.984541506531102</v>
      </c>
      <c r="E290" s="385">
        <f t="shared" si="100"/>
        <v>38.101970179206965</v>
      </c>
      <c r="F290" s="385">
        <f t="shared" si="103"/>
        <v>38.112320726662098</v>
      </c>
      <c r="G290" s="110">
        <f t="shared" si="101"/>
        <v>0.84063960815796734</v>
      </c>
      <c r="H290" s="414" t="b">
        <f>Wh_hp&gt;='2025'!Maxi_hp</f>
        <v>0</v>
      </c>
      <c r="I290" s="390">
        <f>IF(H290,Wh_hp,'2025'!Maxi_hp)</f>
        <v>43.351504842538631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6.4723501638681347E-2</v>
      </c>
      <c r="M290" s="959"/>
      <c r="N290" s="959"/>
      <c r="O290" s="48">
        <f>IF(t&lt;Tnet,'2025'!Resal+('2025'!Salim-'2025'!Resal)*(1-EXP(('2025'!Tnet-t)/('2025'!Tau_j))),Resal+(Salim-Resal)*(1-EXP((Tnet-t)/(Tau_j))))*Salcycl</f>
        <v>2.9327320015742016E-2</v>
      </c>
      <c r="P290" s="169">
        <f>(INDEX(Models!$BJ290:$BT290,,T290)*(1-R290)+INDEX(Models!$BJ290:$BT290,,T290+1)*R290-ERP_i)*Q290*Ramure*Pc/MaxiM</f>
        <v>3.515880155109067E-4</v>
      </c>
      <c r="Q290" s="305">
        <f t="shared" si="105"/>
        <v>0.7</v>
      </c>
      <c r="R290" s="177">
        <f t="shared" si="106"/>
        <v>0.9708158182710227</v>
      </c>
      <c r="S290" s="921">
        <f t="shared" si="107"/>
        <v>-2</v>
      </c>
      <c r="T290" s="176">
        <f t="shared" si="108"/>
        <v>4</v>
      </c>
      <c r="U290" s="251">
        <f t="shared" si="109"/>
        <v>-1.0291841817289773</v>
      </c>
      <c r="V290" s="383">
        <f t="shared" si="110"/>
        <v>41.144866183171807</v>
      </c>
      <c r="W290" s="402">
        <f t="shared" si="111"/>
        <v>34.590772473727256</v>
      </c>
      <c r="X290" s="157">
        <f t="shared" si="112"/>
        <v>46298</v>
      </c>
      <c r="Y290" s="385">
        <f t="shared" si="113"/>
        <v>32.070571302115887</v>
      </c>
      <c r="Z290" s="385">
        <f t="shared" si="114"/>
        <v>34.28993603314759</v>
      </c>
      <c r="AA290" s="386">
        <f t="shared" si="115"/>
        <v>37.934348246639011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9.6071565268406017E-2</v>
      </c>
      <c r="AD290" s="231">
        <f>(INDEX(Models!$BJ290:$BT290,,AH290)*(1-AF290)+INDEX(Models!$BJ290:$BT290,,AH290+1)*AF290-ERP_i)*AE290*Ramure*Pc/MaxiM</f>
        <v>6.045379854361552E-3</v>
      </c>
      <c r="AE290" s="305">
        <f t="shared" si="117"/>
        <v>0.7</v>
      </c>
      <c r="AF290" s="177">
        <f t="shared" si="118"/>
        <v>0.49580338464500162</v>
      </c>
      <c r="AG290" s="921">
        <f t="shared" si="124"/>
        <v>2</v>
      </c>
      <c r="AH290" s="176">
        <f t="shared" si="119"/>
        <v>8</v>
      </c>
      <c r="AI290" s="225">
        <f t="shared" si="120"/>
        <v>2.4958033846450016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40.510380278522305</v>
      </c>
      <c r="C291" s="955"/>
      <c r="D291" s="393">
        <f t="shared" si="102"/>
        <v>43.314749862987888</v>
      </c>
      <c r="E291" s="385">
        <f t="shared" si="100"/>
        <v>44.628641573103906</v>
      </c>
      <c r="F291" s="385">
        <f t="shared" si="103"/>
        <v>44.644803044807183</v>
      </c>
      <c r="G291" s="110">
        <f t="shared" si="101"/>
        <v>0.98994581310743035</v>
      </c>
      <c r="H291" s="414" t="b">
        <f>Wh_hp&gt;='2025'!Maxi_hp</f>
        <v>0</v>
      </c>
      <c r="I291" s="390">
        <f>IF(H291,Wh_hp,'2025'!Maxi_hp)</f>
        <v>44.844605022343991</v>
      </c>
      <c r="J291" s="85">
        <f>IF(H291,An,'2025'!An_max)</f>
        <v>2018</v>
      </c>
      <c r="K291" s="197">
        <f t="shared" si="104"/>
        <v>46299</v>
      </c>
      <c r="L291" s="147">
        <f>IF(t&lt;Tvie,1-EXP((T0-t)*PertePVj)+'2025'!Pspv,1-EXP((T0-t)*PertePVj)+Pspv)</f>
        <v>6.4743986594319347E-2</v>
      </c>
      <c r="M291" s="959"/>
      <c r="N291" s="959"/>
      <c r="O291" s="48">
        <f>IF(t&lt;Tnet,'2025'!Resal+('2025'!Salim-'2025'!Resal)*(1-EXP(('2025'!Tnet-t)/('2025'!Tau_j))),Resal+(Salim-Resal)*(1-EXP((Tnet-t)/(Tau_j))))*Salcycl</f>
        <v>2.9440549024190972E-2</v>
      </c>
      <c r="P291" s="169">
        <f>(INDEX(Models!$BJ291:$BT291,,T291)*(1-R291)+INDEX(Models!$BJ291:$BT291,,T291+1)*R291-ERP_i)*Q291*Ramure*Pc/MaxiM</f>
        <v>3.6727364459167723E-4</v>
      </c>
      <c r="Q291" s="305">
        <f t="shared" si="105"/>
        <v>0.7</v>
      </c>
      <c r="R291" s="177">
        <f t="shared" si="106"/>
        <v>0.97099145923735319</v>
      </c>
      <c r="S291" s="921">
        <f t="shared" si="107"/>
        <v>-2</v>
      </c>
      <c r="T291" s="176">
        <f t="shared" si="108"/>
        <v>4</v>
      </c>
      <c r="U291" s="251">
        <f t="shared" si="109"/>
        <v>-1.0290085407626468</v>
      </c>
      <c r="V291" s="383">
        <f t="shared" si="110"/>
        <v>40.921600026529376</v>
      </c>
      <c r="W291" s="402">
        <f t="shared" si="111"/>
        <v>40.510380278522305</v>
      </c>
      <c r="X291" s="157">
        <f t="shared" si="112"/>
        <v>46299</v>
      </c>
      <c r="Y291" s="385">
        <f t="shared" si="113"/>
        <v>37.515128821391734</v>
      </c>
      <c r="Z291" s="385">
        <f t="shared" si="114"/>
        <v>40.112149276413163</v>
      </c>
      <c r="AA291" s="386">
        <f t="shared" si="115"/>
        <v>44.376595366423587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9.6096738715494345E-2</v>
      </c>
      <c r="AD291" s="231">
        <f>(INDEX(Models!$BJ291:$BT291,,AH291)*(1-AF291)+INDEX(Models!$BJ291:$BT291,,AH291+1)*AF291-ERP_i)*AE291*Ramure*Pc/MaxiM</f>
        <v>6.0950891945943612E-3</v>
      </c>
      <c r="AE291" s="305">
        <f t="shared" si="117"/>
        <v>0.7</v>
      </c>
      <c r="AF291" s="177">
        <f t="shared" si="118"/>
        <v>0.49597902561133234</v>
      </c>
      <c r="AG291" s="921">
        <f t="shared" si="124"/>
        <v>2</v>
      </c>
      <c r="AH291" s="176">
        <f t="shared" si="119"/>
        <v>8</v>
      </c>
      <c r="AI291" s="225">
        <f t="shared" si="120"/>
        <v>2.4959790256113323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40.45608700207562</v>
      </c>
      <c r="C292" s="955"/>
      <c r="D292" s="393">
        <f t="shared" si="102"/>
        <v>43.257645536322364</v>
      </c>
      <c r="E292" s="385">
        <f t="shared" si="100"/>
        <v>44.574976602130789</v>
      </c>
      <c r="F292" s="385">
        <f t="shared" si="103"/>
        <v>44.59186621886122</v>
      </c>
      <c r="G292" s="110">
        <f t="shared" si="101"/>
        <v>0.99412973916579184</v>
      </c>
      <c r="H292" s="414" t="b">
        <f>Wh_hp&gt;='2025'!Maxi_hp</f>
        <v>0</v>
      </c>
      <c r="I292" s="390">
        <f>IF(H292,Wh_hp,'2025'!Maxi_hp)</f>
        <v>44.683643039833356</v>
      </c>
      <c r="J292" s="85">
        <f>IF(H292,An,'2025'!An_max)</f>
        <v>2018</v>
      </c>
      <c r="K292" s="197">
        <f t="shared" si="104"/>
        <v>46300</v>
      </c>
      <c r="L292" s="147">
        <f>IF(t&lt;Tvie,1-EXP((T0-t)*PertePVj)+'2025'!Pspv,1-EXP((T0-t)*PertePVj)+Pspv)</f>
        <v>6.4764471101284138E-2</v>
      </c>
      <c r="M292" s="959"/>
      <c r="N292" s="959"/>
      <c r="O292" s="48">
        <f>IF(t&lt;Tnet,'2025'!Resal+('2025'!Salim-'2025'!Resal)*(1-EXP(('2025'!Tnet-t)/('2025'!Tau_j))),Resal+(Salim-Resal)*(1-EXP((Tnet-t)/(Tau_j))))*Salcycl</f>
        <v>2.9553152154553362E-2</v>
      </c>
      <c r="P292" s="169">
        <f>(INDEX(Models!$BJ292:$BT292,,T292)*(1-R292)+INDEX(Models!$BJ292:$BT292,,T292+1)*R292-ERP_i)*Q292*Ramure*Pc/MaxiM</f>
        <v>3.8196145790566255E-4</v>
      </c>
      <c r="Q292" s="305">
        <f t="shared" si="105"/>
        <v>0.7</v>
      </c>
      <c r="R292" s="177">
        <f t="shared" si="106"/>
        <v>0.97116014530133477</v>
      </c>
      <c r="S292" s="921">
        <f t="shared" si="107"/>
        <v>-2</v>
      </c>
      <c r="T292" s="176">
        <f t="shared" si="108"/>
        <v>4</v>
      </c>
      <c r="U292" s="251">
        <f t="shared" si="109"/>
        <v>-1.0288398546986652</v>
      </c>
      <c r="V292" s="383">
        <f t="shared" si="110"/>
        <v>40.694846801216826</v>
      </c>
      <c r="W292" s="402">
        <f t="shared" si="111"/>
        <v>40.45608700207562</v>
      </c>
      <c r="X292" s="157">
        <f t="shared" si="112"/>
        <v>46300</v>
      </c>
      <c r="Y292" s="385">
        <f t="shared" si="113"/>
        <v>37.465895468489016</v>
      </c>
      <c r="Z292" s="385">
        <f t="shared" si="114"/>
        <v>40.06038512310036</v>
      </c>
      <c r="AA292" s="386">
        <f t="shared" si="115"/>
        <v>44.320491528015118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9.6120468389253561E-2</v>
      </c>
      <c r="AD292" s="231">
        <f>(INDEX(Models!$BJ292:$BT292,,AH292)*(1-AF292)+INDEX(Models!$BJ292:$BT292,,AH292+1)*AF292-ERP_i)*AE292*Ramure*Pc/MaxiM</f>
        <v>6.137183229713029E-3</v>
      </c>
      <c r="AE292" s="305">
        <f t="shared" si="117"/>
        <v>0.7</v>
      </c>
      <c r="AF292" s="177">
        <f t="shared" si="118"/>
        <v>0.49614771167531391</v>
      </c>
      <c r="AG292" s="921">
        <f t="shared" si="124"/>
        <v>2</v>
      </c>
      <c r="AH292" s="176">
        <f t="shared" si="119"/>
        <v>8</v>
      </c>
      <c r="AI292" s="225">
        <f t="shared" si="120"/>
        <v>2.4961477116753139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15.000448963297055</v>
      </c>
      <c r="C293" s="955"/>
      <c r="D293" s="393">
        <f t="shared" si="102"/>
        <v>16.039571910283737</v>
      </c>
      <c r="E293" s="385">
        <f t="shared" si="100"/>
        <v>16.529934413293894</v>
      </c>
      <c r="F293" s="385">
        <f t="shared" si="103"/>
        <v>16.530595003610767</v>
      </c>
      <c r="G293" s="110">
        <f t="shared" si="101"/>
        <v>0.37057161109039005</v>
      </c>
      <c r="H293" s="414" t="b">
        <f>Wh_hp&gt;='2025'!Maxi_hp</f>
        <v>0</v>
      </c>
      <c r="I293" s="390">
        <f>IF(H293,Wh_hp,'2025'!Maxi_hp)</f>
        <v>42.282942542755286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6.4784955159585711E-2</v>
      </c>
      <c r="M293" s="959"/>
      <c r="N293" s="959"/>
      <c r="O293" s="48">
        <f>IF(t&lt;Tnet,'2025'!Resal+('2025'!Salim-'2025'!Resal)*(1-EXP(('2025'!Tnet-t)/('2025'!Tau_j))),Resal+(Salim-Resal)*(1-EXP((Tnet-t)/(Tau_j))))*Salcycl</f>
        <v>2.9665120910328122E-2</v>
      </c>
      <c r="P293" s="169">
        <f>(INDEX(Models!$BJ293:$BT293,,T293)*(1-R293)+INDEX(Models!$BJ293:$BT293,,T293+1)*R293-ERP_i)*Q293*Ramure*Pc/MaxiM</f>
        <v>3.9564077335807219E-4</v>
      </c>
      <c r="Q293" s="305">
        <f t="shared" si="105"/>
        <v>0.7</v>
      </c>
      <c r="R293" s="177">
        <f t="shared" si="106"/>
        <v>0.97132214737237388</v>
      </c>
      <c r="S293" s="921">
        <f t="shared" si="107"/>
        <v>-2</v>
      </c>
      <c r="T293" s="176">
        <f t="shared" si="108"/>
        <v>4</v>
      </c>
      <c r="U293" s="251">
        <f t="shared" si="109"/>
        <v>-1.0286778526276261</v>
      </c>
      <c r="V293" s="383">
        <f t="shared" si="110"/>
        <v>40.464819633218717</v>
      </c>
      <c r="W293" s="402">
        <f t="shared" si="111"/>
        <v>15.000448963297055</v>
      </c>
      <c r="X293" s="157">
        <f t="shared" si="112"/>
        <v>46301</v>
      </c>
      <c r="Y293" s="385">
        <f t="shared" si="113"/>
        <v>13.96461656458232</v>
      </c>
      <c r="Z293" s="385">
        <f t="shared" si="114"/>
        <v>14.931984511610644</v>
      </c>
      <c r="AA293" s="386">
        <f t="shared" si="115"/>
        <v>16.520290511205936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9.614274025737754E-2</v>
      </c>
      <c r="AD293" s="231">
        <f>(INDEX(Models!$BJ293:$BT293,,AH293)*(1-AF293)+INDEX(Models!$BJ293:$BT293,,AH293+1)*AF293-ERP_i)*AE293*Ramure*Pc/MaxiM</f>
        <v>6.1715669151806551E-3</v>
      </c>
      <c r="AE293" s="305">
        <f t="shared" si="117"/>
        <v>0.7</v>
      </c>
      <c r="AF293" s="177">
        <f t="shared" si="118"/>
        <v>0.49630971374635324</v>
      </c>
      <c r="AG293" s="921">
        <f t="shared" si="124"/>
        <v>2</v>
      </c>
      <c r="AH293" s="176">
        <f t="shared" si="119"/>
        <v>8</v>
      </c>
      <c r="AI293" s="225">
        <f t="shared" si="120"/>
        <v>2.4963097137463532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29.909516539355554</v>
      </c>
      <c r="C294" s="955"/>
      <c r="D294" s="393">
        <f t="shared" si="102"/>
        <v>31.982132680490604</v>
      </c>
      <c r="E294" s="385">
        <f t="shared" si="100"/>
        <v>32.963673792262199</v>
      </c>
      <c r="F294" s="385">
        <f t="shared" si="103"/>
        <v>32.972201967521059</v>
      </c>
      <c r="G294" s="110">
        <f t="shared" si="101"/>
        <v>0.74331971941667707</v>
      </c>
      <c r="H294" s="414" t="b">
        <f>Wh_hp&gt;='2025'!Maxi_hp</f>
        <v>0</v>
      </c>
      <c r="I294" s="390">
        <f>IF(H294,Wh_hp,'2025'!Maxi_hp)</f>
        <v>44.5855001708373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6.4805438769233947E-2</v>
      </c>
      <c r="M294" s="959"/>
      <c r="N294" s="959"/>
      <c r="O294" s="48">
        <f>IF(t&lt;Tnet,'2025'!Resal+('2025'!Salim-'2025'!Resal)*(1-EXP(('2025'!Tnet-t)/('2025'!Tau_j))),Resal+(Salim-Resal)*(1-EXP((Tnet-t)/(Tau_j))))*Salcycl</f>
        <v>2.9776447793934884E-2</v>
      </c>
      <c r="P294" s="169">
        <f>(INDEX(Models!$BJ294:$BT294,,T294)*(1-R294)+INDEX(Models!$BJ294:$BT294,,T294+1)*R294-ERP_i)*Q294*Ramure*Pc/MaxiM</f>
        <v>4.0830072330807267E-4</v>
      </c>
      <c r="Q294" s="305">
        <f t="shared" si="105"/>
        <v>0.7</v>
      </c>
      <c r="R294" s="177">
        <f t="shared" si="106"/>
        <v>0.97147772615889671</v>
      </c>
      <c r="S294" s="921">
        <f t="shared" si="107"/>
        <v>-2</v>
      </c>
      <c r="T294" s="176">
        <f t="shared" si="108"/>
        <v>4</v>
      </c>
      <c r="U294" s="251">
        <f t="shared" si="109"/>
        <v>-1.0285222738411033</v>
      </c>
      <c r="V294" s="383">
        <f t="shared" si="110"/>
        <v>40.231731437334012</v>
      </c>
      <c r="W294" s="402">
        <f t="shared" si="111"/>
        <v>29.909516539355554</v>
      </c>
      <c r="X294" s="157">
        <f t="shared" si="112"/>
        <v>46302</v>
      </c>
      <c r="Y294" s="385">
        <f t="shared" si="113"/>
        <v>27.760752027221955</v>
      </c>
      <c r="Z294" s="385">
        <f t="shared" si="114"/>
        <v>29.68446693133814</v>
      </c>
      <c r="AA294" s="386">
        <f t="shared" si="115"/>
        <v>32.842741319851108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9.6163543650481242E-2</v>
      </c>
      <c r="AD294" s="231">
        <f>(INDEX(Models!$BJ294:$BT294,,AH294)*(1-AF294)+INDEX(Models!$BJ294:$BT294,,AH294+1)*AF294-ERP_i)*AE294*Ramure*Pc/MaxiM</f>
        <v>6.1981460839057295E-3</v>
      </c>
      <c r="AE294" s="305">
        <f t="shared" si="117"/>
        <v>0.7</v>
      </c>
      <c r="AF294" s="177">
        <f t="shared" si="118"/>
        <v>0.49646529253287586</v>
      </c>
      <c r="AG294" s="921">
        <f t="shared" si="124"/>
        <v>2</v>
      </c>
      <c r="AH294" s="176">
        <f t="shared" si="119"/>
        <v>8</v>
      </c>
      <c r="AI294" s="225">
        <f t="shared" si="120"/>
        <v>2.4964652925328759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17.299674779863896</v>
      </c>
      <c r="C295" s="955"/>
      <c r="D295" s="393">
        <f t="shared" si="102"/>
        <v>18.498881850501188</v>
      </c>
      <c r="E295" s="385">
        <f t="shared" si="100"/>
        <v>19.068793285774952</v>
      </c>
      <c r="F295" s="385">
        <f t="shared" si="103"/>
        <v>19.070309551140941</v>
      </c>
      <c r="G295" s="110">
        <f t="shared" si="101"/>
        <v>0.43239008440093646</v>
      </c>
      <c r="H295" s="414" t="b">
        <f>Wh_hp&gt;='2025'!Maxi_hp</f>
        <v>0</v>
      </c>
      <c r="I295" s="390">
        <f>IF(H295,Wh_hp,'2025'!Maxi_hp)</f>
        <v>41.761638375375632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6.4825921930238395E-2</v>
      </c>
      <c r="M295" s="959"/>
      <c r="N295" s="959"/>
      <c r="O295" s="48">
        <f>IF(t&lt;Tnet,'2025'!Resal+('2025'!Salim-'2025'!Resal)*(1-EXP(('2025'!Tnet-t)/('2025'!Tau_j))),Resal+(Salim-Resal)*(1-EXP((Tnet-t)/(Tau_j))))*Salcycl</f>
        <v>2.9887126402429836E-2</v>
      </c>
      <c r="P295" s="169">
        <f>(INDEX(Models!$BJ295:$BT295,,T295)*(1-R295)+INDEX(Models!$BJ295:$BT295,,T295+1)*R295-ERP_i)*Q295*Ramure*Pc/MaxiM</f>
        <v>4.1993034543838628E-4</v>
      </c>
      <c r="Q295" s="305">
        <f t="shared" si="105"/>
        <v>0.7</v>
      </c>
      <c r="R295" s="177">
        <f t="shared" si="106"/>
        <v>0.97162713252475807</v>
      </c>
      <c r="S295" s="921">
        <f t="shared" si="107"/>
        <v>-2</v>
      </c>
      <c r="T295" s="176">
        <f t="shared" si="108"/>
        <v>4</v>
      </c>
      <c r="U295" s="251">
        <f t="shared" si="109"/>
        <v>-1.0283728674752419</v>
      </c>
      <c r="V295" s="383">
        <f t="shared" si="110"/>
        <v>39.995794909866625</v>
      </c>
      <c r="W295" s="402">
        <f t="shared" si="111"/>
        <v>17.299674779863896</v>
      </c>
      <c r="X295" s="157">
        <f t="shared" si="112"/>
        <v>46303</v>
      </c>
      <c r="Y295" s="385">
        <f t="shared" si="113"/>
        <v>16.099754965235071</v>
      </c>
      <c r="Z295" s="385">
        <f t="shared" si="114"/>
        <v>17.215784037198336</v>
      </c>
      <c r="AA295" s="386">
        <f t="shared" si="115"/>
        <v>19.047862111187452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9.6182871510450185E-2</v>
      </c>
      <c r="AD295" s="231">
        <f>(INDEX(Models!$BJ295:$BT295,,AH295)*(1-AF295)+INDEX(Models!$BJ295:$BT295,,AH295+1)*AF295-ERP_i)*AE295*Ramure*Pc/MaxiM</f>
        <v>6.2168281524622145E-3</v>
      </c>
      <c r="AE295" s="305">
        <f t="shared" si="117"/>
        <v>0.7</v>
      </c>
      <c r="AF295" s="177">
        <f t="shared" si="118"/>
        <v>0.49661469889873722</v>
      </c>
      <c r="AG295" s="921">
        <f t="shared" si="124"/>
        <v>2</v>
      </c>
      <c r="AH295" s="176">
        <f t="shared" si="119"/>
        <v>8</v>
      </c>
      <c r="AI295" s="225">
        <f t="shared" si="120"/>
        <v>2.4966146988987372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37.736069470631598</v>
      </c>
      <c r="C296" s="955"/>
      <c r="D296" s="393">
        <f t="shared" si="102"/>
        <v>40.352803708368221</v>
      </c>
      <c r="E296" s="385">
        <f t="shared" si="100"/>
        <v>41.600706401681869</v>
      </c>
      <c r="F296" s="385">
        <f t="shared" si="103"/>
        <v>41.617305164916679</v>
      </c>
      <c r="G296" s="110">
        <f t="shared" si="101"/>
        <v>0.94913254180136453</v>
      </c>
      <c r="H296" s="414" t="b">
        <f>Wh_hp&gt;='2025'!Maxi_hp</f>
        <v>0</v>
      </c>
      <c r="I296" s="390">
        <f>IF(H296,Wh_hp,'2025'!Maxi_hp)</f>
        <v>41.617974437855892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6.4846404642609157E-2</v>
      </c>
      <c r="M296" s="959"/>
      <c r="N296" s="959"/>
      <c r="O296" s="48">
        <f>IF(t&lt;Tnet,'2025'!Resal+('2025'!Salim-'2025'!Resal)*(1-EXP(('2025'!Tnet-t)/('2025'!Tau_j))),Resal+(Salim-Resal)*(1-EXP((Tnet-t)/(Tau_j))))*Salcycl</f>
        <v>2.9997151521042327E-2</v>
      </c>
      <c r="P296" s="169">
        <f>(INDEX(Models!$BJ296:$BT296,,T296)*(1-R296)+INDEX(Models!$BJ296:$BT296,,T296+1)*R296-ERP_i)*Q296*Ramure*Pc/MaxiM</f>
        <v>4.3007737032770644E-4</v>
      </c>
      <c r="Q296" s="305">
        <f t="shared" si="105"/>
        <v>0.7</v>
      </c>
      <c r="R296" s="177">
        <f t="shared" si="106"/>
        <v>0.97177060783542046</v>
      </c>
      <c r="S296" s="921">
        <f t="shared" si="107"/>
        <v>-2</v>
      </c>
      <c r="T296" s="176">
        <f t="shared" si="108"/>
        <v>4</v>
      </c>
      <c r="U296" s="251">
        <f t="shared" si="109"/>
        <v>-1.0282293921645795</v>
      </c>
      <c r="V296" s="383">
        <f t="shared" si="110"/>
        <v>39.757240078877672</v>
      </c>
      <c r="W296" s="402">
        <f t="shared" si="111"/>
        <v>37.736069470631598</v>
      </c>
      <c r="X296" s="157">
        <f t="shared" si="112"/>
        <v>46304</v>
      </c>
      <c r="Y296" s="385">
        <f t="shared" si="113"/>
        <v>34.971364321329723</v>
      </c>
      <c r="Z296" s="385">
        <f t="shared" si="114"/>
        <v>37.396385465389351</v>
      </c>
      <c r="AA296" s="386">
        <f t="shared" si="115"/>
        <v>41.376870195485282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9.6200720627009809E-2</v>
      </c>
      <c r="AD296" s="231">
        <f>(INDEX(Models!$BJ296:$BT296,,AH296)*(1-AF296)+INDEX(Models!$BJ296:$BT296,,AH296+1)*AF296-ERP_i)*AE296*Ramure*Pc/MaxiM</f>
        <v>6.2297195233804474E-3</v>
      </c>
      <c r="AE296" s="305">
        <f t="shared" si="117"/>
        <v>0.7</v>
      </c>
      <c r="AF296" s="177">
        <f t="shared" si="118"/>
        <v>0.49675817420939961</v>
      </c>
      <c r="AG296" s="921">
        <f t="shared" si="124"/>
        <v>2</v>
      </c>
      <c r="AH296" s="176">
        <f t="shared" si="119"/>
        <v>8</v>
      </c>
      <c r="AI296" s="225">
        <f t="shared" si="120"/>
        <v>2.4967581742093996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30.802241496541278</v>
      </c>
      <c r="C297" s="955"/>
      <c r="D297" s="393">
        <f t="shared" si="102"/>
        <v>32.938884384748278</v>
      </c>
      <c r="E297" s="385">
        <f t="shared" ref="E297:E360" si="125">Wh_pvt/(1-Psa)</f>
        <v>33.961342185786897</v>
      </c>
      <c r="F297" s="385">
        <f t="shared" si="103"/>
        <v>33.971550481661289</v>
      </c>
      <c r="G297" s="110">
        <f t="shared" ref="G297:G360" si="126">+Wh_hp/MaxiM</f>
        <v>0.77937455469313277</v>
      </c>
      <c r="H297" s="414" t="b">
        <f>Wh_hp&gt;='2025'!Maxi_hp</f>
        <v>0</v>
      </c>
      <c r="I297" s="390">
        <f>IF(H297,Wh_hp,'2025'!Maxi_hp)</f>
        <v>33.973967275175724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6.4866886906355892E-2</v>
      </c>
      <c r="M297" s="959"/>
      <c r="N297" s="959"/>
      <c r="O297" s="48">
        <f>IF(t&lt;Tnet,'2025'!Resal+('2025'!Salim-'2025'!Resal)*(1-EXP(('2025'!Tnet-t)/('2025'!Tau_j))),Resal+(Salim-Resal)*(1-EXP((Tnet-t)/(Tau_j))))*Salcycl</f>
        <v>3.0106519213676183E-2</v>
      </c>
      <c r="P297" s="169">
        <f>(INDEX(Models!$BJ297:$BT297,,T297)*(1-R297)+INDEX(Models!$BJ297:$BT297,,T297+1)*R297-ERP_i)*Q297*Ramure*Pc/MaxiM</f>
        <v>4.386956517166673E-4</v>
      </c>
      <c r="Q297" s="305">
        <f t="shared" si="105"/>
        <v>0.7</v>
      </c>
      <c r="R297" s="177">
        <f t="shared" si="106"/>
        <v>0.97190838429401172</v>
      </c>
      <c r="S297" s="921">
        <f t="shared" si="107"/>
        <v>-2</v>
      </c>
      <c r="T297" s="176">
        <f t="shared" si="108"/>
        <v>4</v>
      </c>
      <c r="U297" s="251">
        <f t="shared" si="109"/>
        <v>-1.0280916157059883</v>
      </c>
      <c r="V297" s="383">
        <f t="shared" si="110"/>
        <v>39.516280272573752</v>
      </c>
      <c r="W297" s="402">
        <f t="shared" si="111"/>
        <v>30.802241496541278</v>
      </c>
      <c r="X297" s="157">
        <f t="shared" si="112"/>
        <v>46305</v>
      </c>
      <c r="Y297" s="385">
        <f t="shared" si="113"/>
        <v>28.588573411309273</v>
      </c>
      <c r="Z297" s="385">
        <f t="shared" si="114"/>
        <v>30.571661949528693</v>
      </c>
      <c r="AA297" s="386">
        <f t="shared" si="115"/>
        <v>33.82633337517872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9.6217091860102646E-2</v>
      </c>
      <c r="AD297" s="231">
        <f>(INDEX(Models!$BJ297:$BT297,,AH297)*(1-AF297)+INDEX(Models!$BJ297:$BT297,,AH297+1)*AF297-ERP_i)*AE297*Ramure*Pc/MaxiM</f>
        <v>6.2406217406572127E-3</v>
      </c>
      <c r="AE297" s="305">
        <f t="shared" si="117"/>
        <v>0.7</v>
      </c>
      <c r="AF297" s="177">
        <f t="shared" si="118"/>
        <v>0.49689595066799086</v>
      </c>
      <c r="AG297" s="921">
        <f t="shared" si="124"/>
        <v>2</v>
      </c>
      <c r="AH297" s="176">
        <f t="shared" si="119"/>
        <v>8</v>
      </c>
      <c r="AI297" s="225">
        <f t="shared" si="120"/>
        <v>2.4968959506679909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21.964173765491712</v>
      </c>
      <c r="C298" s="955"/>
      <c r="D298" s="393">
        <f t="shared" si="102"/>
        <v>23.488265510285853</v>
      </c>
      <c r="E298" s="385">
        <f t="shared" si="125"/>
        <v>24.220080745786625</v>
      </c>
      <c r="F298" s="385">
        <f t="shared" si="103"/>
        <v>24.224080279972988</v>
      </c>
      <c r="G298" s="110">
        <f t="shared" si="126"/>
        <v>0.55911025357356081</v>
      </c>
      <c r="H298" s="414" t="b">
        <f>Wh_hp&gt;='2025'!Maxi_hp</f>
        <v>0</v>
      </c>
      <c r="I298" s="390">
        <f>IF(H298,Wh_hp,'2025'!Maxi_hp)</f>
        <v>43.516621662814977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6.4887368721488592E-2</v>
      </c>
      <c r="M298" s="959"/>
      <c r="N298" s="959"/>
      <c r="O298" s="48">
        <f>IF(t&lt;Tnet,'2025'!Resal+('2025'!Salim-'2025'!Resal)*(1-EXP(('2025'!Tnet-t)/('2025'!Tau_j))),Resal+(Salim-Resal)*(1-EXP((Tnet-t)/(Tau_j))))*Salcycl</f>
        <v>3.0215226909517209E-2</v>
      </c>
      <c r="P298" s="169">
        <f>(INDEX(Models!$BJ298:$BT298,,T298)*(1-R298)+INDEX(Models!$BJ298:$BT298,,T298+1)*R298-ERP_i)*Q298*Ramure*Pc/MaxiM</f>
        <v>4.4577170690202831E-4</v>
      </c>
      <c r="Q298" s="305">
        <f t="shared" si="105"/>
        <v>0.7</v>
      </c>
      <c r="R298" s="177">
        <f t="shared" si="106"/>
        <v>0.97204068526737797</v>
      </c>
      <c r="S298" s="921">
        <f t="shared" si="107"/>
        <v>-2</v>
      </c>
      <c r="T298" s="176">
        <f t="shared" si="108"/>
        <v>4</v>
      </c>
      <c r="U298" s="251">
        <f t="shared" si="109"/>
        <v>-1.027959314732622</v>
      </c>
      <c r="V298" s="383">
        <f t="shared" si="110"/>
        <v>39.273127277912302</v>
      </c>
      <c r="W298" s="402">
        <f t="shared" si="111"/>
        <v>21.964173765491712</v>
      </c>
      <c r="X298" s="157">
        <f t="shared" si="112"/>
        <v>46306</v>
      </c>
      <c r="Y298" s="385">
        <f t="shared" si="113"/>
        <v>20.424985642922604</v>
      </c>
      <c r="Z298" s="385">
        <f t="shared" si="114"/>
        <v>21.842273283162701</v>
      </c>
      <c r="AA298" s="386">
        <f t="shared" si="115"/>
        <v>24.168008880418313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9.6231990345716709E-2</v>
      </c>
      <c r="AD298" s="231">
        <f>(INDEX(Models!$BJ298:$BT298,,AH298)*(1-AF298)+INDEX(Models!$BJ298:$BT298,,AH298+1)*AF298-ERP_i)*AE298*Ramure*Pc/MaxiM</f>
        <v>6.2494886462254179E-3</v>
      </c>
      <c r="AE298" s="305">
        <f t="shared" si="117"/>
        <v>0.7</v>
      </c>
      <c r="AF298" s="177">
        <f t="shared" si="118"/>
        <v>0.49702825164135689</v>
      </c>
      <c r="AG298" s="921">
        <f t="shared" si="124"/>
        <v>2</v>
      </c>
      <c r="AH298" s="176">
        <f t="shared" si="119"/>
        <v>8</v>
      </c>
      <c r="AI298" s="225">
        <f t="shared" si="120"/>
        <v>2.4970282516413569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30.710810606452007</v>
      </c>
      <c r="C299" s="955"/>
      <c r="D299" s="393">
        <f t="shared" si="102"/>
        <v>32.842549912693315</v>
      </c>
      <c r="E299" s="385">
        <f t="shared" si="125"/>
        <v>33.869586651548531</v>
      </c>
      <c r="F299" s="385">
        <f t="shared" si="103"/>
        <v>33.88022168490911</v>
      </c>
      <c r="G299" s="110">
        <f t="shared" si="126"/>
        <v>0.78678373648326183</v>
      </c>
      <c r="H299" s="414" t="b">
        <f>Wh_hp&gt;='2025'!Maxi_hp</f>
        <v>0</v>
      </c>
      <c r="I299" s="390">
        <f>IF(H299,Wh_hp,'2025'!Maxi_hp)</f>
        <v>42.807452061099632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6.4907850088016805E-2</v>
      </c>
      <c r="M299" s="959"/>
      <c r="N299" s="959"/>
      <c r="O299" s="48">
        <f>IF(t&lt;Tnet,'2025'!Resal+('2025'!Salim-'2025'!Resal)*(1-EXP(('2025'!Tnet-t)/('2025'!Tau_j))),Resal+(Salim-Resal)*(1-EXP((Tnet-t)/(Tau_j))))*Salcycl</f>
        <v>3.0323273484893779E-2</v>
      </c>
      <c r="P299" s="169">
        <f>(INDEX(Models!$BJ299:$BT299,,T299)*(1-R299)+INDEX(Models!$BJ299:$BT299,,T299+1)*R299-ERP_i)*Q299*Ramure*Pc/MaxiM</f>
        <v>4.5129250305289773E-4</v>
      </c>
      <c r="Q299" s="305">
        <f t="shared" si="105"/>
        <v>0.7</v>
      </c>
      <c r="R299" s="177">
        <f t="shared" si="106"/>
        <v>0.97216772560227938</v>
      </c>
      <c r="S299" s="921">
        <f t="shared" si="107"/>
        <v>-2</v>
      </c>
      <c r="T299" s="176">
        <f t="shared" si="108"/>
        <v>4</v>
      </c>
      <c r="U299" s="251">
        <f t="shared" si="109"/>
        <v>-1.0278322743977206</v>
      </c>
      <c r="V299" s="383">
        <f t="shared" si="110"/>
        <v>39.027992638069868</v>
      </c>
      <c r="W299" s="402">
        <f t="shared" si="111"/>
        <v>30.710810606452007</v>
      </c>
      <c r="X299" s="157">
        <f t="shared" si="112"/>
        <v>46307</v>
      </c>
      <c r="Y299" s="385">
        <f t="shared" si="113"/>
        <v>28.507370287248936</v>
      </c>
      <c r="Z299" s="385">
        <f t="shared" si="114"/>
        <v>30.486161486792753</v>
      </c>
      <c r="AA299" s="386">
        <f t="shared" si="115"/>
        <v>33.732788030233074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9.6245425682885258E-2</v>
      </c>
      <c r="AD299" s="231">
        <f>(INDEX(Models!$BJ299:$BT299,,AH299)*(1-AF299)+INDEX(Models!$BJ299:$BT299,,AH299+1)*AF299-ERP_i)*AE299*Ramure*Pc/MaxiM</f>
        <v>6.2562759134899802E-3</v>
      </c>
      <c r="AE299" s="305">
        <f t="shared" si="117"/>
        <v>0.7</v>
      </c>
      <c r="AF299" s="177">
        <f t="shared" si="118"/>
        <v>0.49715529197625852</v>
      </c>
      <c r="AG299" s="921">
        <f t="shared" si="124"/>
        <v>2</v>
      </c>
      <c r="AH299" s="176">
        <f t="shared" si="119"/>
        <v>8</v>
      </c>
      <c r="AI299" s="225">
        <f t="shared" si="120"/>
        <v>2.4971552919762585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22.224810893866888</v>
      </c>
      <c r="C300" s="955"/>
      <c r="D300" s="393">
        <f t="shared" si="102"/>
        <v>23.768029372311485</v>
      </c>
      <c r="E300" s="385">
        <f t="shared" si="125"/>
        <v>24.514006761106138</v>
      </c>
      <c r="F300" s="385">
        <f t="shared" si="103"/>
        <v>24.518361227806835</v>
      </c>
      <c r="G300" s="110">
        <f t="shared" si="126"/>
        <v>0.57292460132181955</v>
      </c>
      <c r="H300" s="414" t="b">
        <f>Wh_hp&gt;='2025'!Maxi_hp</f>
        <v>0</v>
      </c>
      <c r="I300" s="390">
        <f>IF(H300,Wh_hp,'2025'!Maxi_hp)</f>
        <v>41.038729599738197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6.4928331005950635E-2</v>
      </c>
      <c r="M300" s="959"/>
      <c r="N300" s="959"/>
      <c r="O300" s="48">
        <f>IF(t&lt;Tnet,'2025'!Resal+('2025'!Salim-'2025'!Resal)*(1-EXP(('2025'!Tnet-t)/('2025'!Tau_j))),Resal+(Salim-Resal)*(1-EXP((Tnet-t)/(Tau_j))))*Salcycl</f>
        <v>3.043065933955021E-2</v>
      </c>
      <c r="P300" s="169">
        <f>(INDEX(Models!$BJ300:$BT300,,T300)*(1-R300)+INDEX(Models!$BJ300:$BT300,,T300+1)*R300-ERP_i)*Q300*Ramure*Pc/MaxiM</f>
        <v>4.5524556834469066E-4</v>
      </c>
      <c r="Q300" s="305">
        <f t="shared" si="105"/>
        <v>0.7</v>
      </c>
      <c r="R300" s="177">
        <f t="shared" si="106"/>
        <v>0.97228971193187341</v>
      </c>
      <c r="S300" s="921">
        <f t="shared" si="107"/>
        <v>-2</v>
      </c>
      <c r="T300" s="176">
        <f t="shared" si="108"/>
        <v>4</v>
      </c>
      <c r="U300" s="251">
        <f t="shared" si="109"/>
        <v>-1.0277102880681266</v>
      </c>
      <c r="V300" s="383">
        <f t="shared" si="110"/>
        <v>38.781087653532488</v>
      </c>
      <c r="W300" s="402">
        <f t="shared" si="111"/>
        <v>22.224810893866888</v>
      </c>
      <c r="X300" s="157">
        <f t="shared" si="112"/>
        <v>46308</v>
      </c>
      <c r="Y300" s="385">
        <f t="shared" si="113"/>
        <v>20.668978694950269</v>
      </c>
      <c r="Z300" s="385">
        <f t="shared" si="114"/>
        <v>22.104165253114736</v>
      </c>
      <c r="AA300" s="386">
        <f t="shared" si="115"/>
        <v>24.458474735012434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9.6257412099679696E-2</v>
      </c>
      <c r="AD300" s="231">
        <f>(INDEX(Models!$BJ300:$BT300,,AH300)*(1-AF300)+INDEX(Models!$BJ300:$BT300,,AH300+1)*AF300-ERP_i)*AE300*Ramure*Pc/MaxiM</f>
        <v>6.2609413097552951E-3</v>
      </c>
      <c r="AE300" s="305">
        <f t="shared" si="117"/>
        <v>0.7</v>
      </c>
      <c r="AF300" s="177">
        <f t="shared" si="118"/>
        <v>0.49727727830585255</v>
      </c>
      <c r="AG300" s="921">
        <f t="shared" si="124"/>
        <v>2</v>
      </c>
      <c r="AH300" s="176">
        <f t="shared" si="119"/>
        <v>8</v>
      </c>
      <c r="AI300" s="225">
        <f t="shared" si="120"/>
        <v>2.4972772783058526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16.601433669606209</v>
      </c>
      <c r="C301" s="955"/>
      <c r="D301" s="393">
        <f t="shared" si="102"/>
        <v>17.754572020596569</v>
      </c>
      <c r="E301" s="385">
        <f t="shared" si="125"/>
        <v>18.313828478526819</v>
      </c>
      <c r="F301" s="385">
        <f t="shared" si="103"/>
        <v>18.315395107735778</v>
      </c>
      <c r="G301" s="110">
        <f t="shared" si="126"/>
        <v>0.43068066938153893</v>
      </c>
      <c r="H301" s="414" t="b">
        <f>Wh_hp&gt;='2025'!Maxi_hp</f>
        <v>0</v>
      </c>
      <c r="I301" s="390">
        <f>IF(H301,Wh_hp,'2025'!Maxi_hp)</f>
        <v>44.446308487241133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6.494881147529985E-2</v>
      </c>
      <c r="M301" s="959"/>
      <c r="N301" s="959"/>
      <c r="O301" s="48">
        <f>IF(t&lt;Tnet,'2025'!Resal+('2025'!Salim-'2025'!Resal)*(1-EXP(('2025'!Tnet-t)/('2025'!Tau_j))),Resal+(Salim-Resal)*(1-EXP((Tnet-t)/(Tau_j))))*Salcycl</f>
        <v>3.0537386466515333E-2</v>
      </c>
      <c r="P301" s="169">
        <f>(INDEX(Models!$BJ301:$BT301,,T301)*(1-R301)+INDEX(Models!$BJ301:$BT301,,T301+1)*R301-ERP_i)*Q301*Ramure*Pc/MaxiM</f>
        <v>4.5761909779023575E-4</v>
      </c>
      <c r="Q301" s="305">
        <f t="shared" si="105"/>
        <v>0.7</v>
      </c>
      <c r="R301" s="177">
        <f t="shared" si="106"/>
        <v>0.97240684297265423</v>
      </c>
      <c r="S301" s="921">
        <f t="shared" si="107"/>
        <v>-2</v>
      </c>
      <c r="T301" s="176">
        <f t="shared" si="108"/>
        <v>4</v>
      </c>
      <c r="U301" s="251">
        <f t="shared" si="109"/>
        <v>-1.0275931570273458</v>
      </c>
      <c r="V301" s="383">
        <f t="shared" si="110"/>
        <v>38.532623382880409</v>
      </c>
      <c r="W301" s="402">
        <f t="shared" si="111"/>
        <v>16.601433669606209</v>
      </c>
      <c r="X301" s="157">
        <f t="shared" si="112"/>
        <v>46309</v>
      </c>
      <c r="Y301" s="385">
        <f t="shared" si="113"/>
        <v>15.459043235042706</v>
      </c>
      <c r="Z301" s="385">
        <f t="shared" si="114"/>
        <v>16.532830955953962</v>
      </c>
      <c r="AA301" s="386">
        <f t="shared" si="115"/>
        <v>18.293952611452571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9.6267968596141146E-2</v>
      </c>
      <c r="AD301" s="231">
        <f>(INDEX(Models!$BJ301:$BT301,,AH301)*(1-AF301)+INDEX(Models!$BJ301:$BT301,,AH301+1)*AF301-ERP_i)*AE301*Ramure*Pc/MaxiM</f>
        <v>6.2634449475155235E-3</v>
      </c>
      <c r="AE301" s="305">
        <f t="shared" si="117"/>
        <v>0.7</v>
      </c>
      <c r="AF301" s="177">
        <f t="shared" si="118"/>
        <v>0.49739440934663337</v>
      </c>
      <c r="AG301" s="921">
        <f t="shared" si="124"/>
        <v>2</v>
      </c>
      <c r="AH301" s="176">
        <f t="shared" si="119"/>
        <v>8</v>
      </c>
      <c r="AI301" s="225">
        <f t="shared" si="120"/>
        <v>2.4973944093466334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37.072692232308725</v>
      </c>
      <c r="C302" s="955"/>
      <c r="D302" s="393">
        <f t="shared" si="102"/>
        <v>39.648636023544107</v>
      </c>
      <c r="E302" s="385">
        <f t="shared" si="125"/>
        <v>40.902015230428589</v>
      </c>
      <c r="F302" s="385">
        <f t="shared" si="103"/>
        <v>40.919925961691824</v>
      </c>
      <c r="G302" s="110">
        <f t="shared" si="126"/>
        <v>0.96836997767354027</v>
      </c>
      <c r="H302" s="414" t="b">
        <f>Wh_hp&gt;='2025'!Maxi_hp</f>
        <v>0</v>
      </c>
      <c r="I302" s="390">
        <f>IF(H302,Wh_hp,'2025'!Maxi_hp)</f>
        <v>40.920361761975578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6.4969291496074111E-2</v>
      </c>
      <c r="M302" s="959"/>
      <c r="N302" s="959"/>
      <c r="O302" s="48">
        <f>IF(t&lt;Tnet,'2025'!Resal+('2025'!Salim-'2025'!Resal)*(1-EXP(('2025'!Tnet-t)/('2025'!Tau_j))),Resal+(Salim-Resal)*(1-EXP((Tnet-t)/(Tau_j))))*Salcycl</f>
        <v>3.0643458514778718E-2</v>
      </c>
      <c r="P302" s="169">
        <f>(INDEX(Models!$BJ302:$BT302,,T302)*(1-R302)+INDEX(Models!$BJ302:$BT302,,T302+1)*R302-ERP_i)*Q302*Ramure*Pc/MaxiM</f>
        <v>4.5840205285036667E-4</v>
      </c>
      <c r="Q302" s="305">
        <f t="shared" si="105"/>
        <v>0.7</v>
      </c>
      <c r="R302" s="177">
        <f t="shared" si="106"/>
        <v>0.97251930981202039</v>
      </c>
      <c r="S302" s="921">
        <f t="shared" si="107"/>
        <v>-2</v>
      </c>
      <c r="T302" s="176">
        <f t="shared" si="108"/>
        <v>4</v>
      </c>
      <c r="U302" s="251">
        <f t="shared" si="109"/>
        <v>-1.0274806901879796</v>
      </c>
      <c r="V302" s="383">
        <f t="shared" si="110"/>
        <v>38.282810642967526</v>
      </c>
      <c r="W302" s="402">
        <f t="shared" si="111"/>
        <v>37.072692232308725</v>
      </c>
      <c r="X302" s="157">
        <f t="shared" si="112"/>
        <v>46310</v>
      </c>
      <c r="Y302" s="385">
        <f t="shared" si="113"/>
        <v>34.370885615156261</v>
      </c>
      <c r="Z302" s="385">
        <f t="shared" si="114"/>
        <v>36.759098179941702</v>
      </c>
      <c r="AA302" s="386">
        <f t="shared" si="115"/>
        <v>40.675188108326125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9.6277119062242428E-2</v>
      </c>
      <c r="AD302" s="231">
        <f>(INDEX(Models!$BJ302:$BT302,,AH302)*(1-AF302)+INDEX(Models!$BJ302:$BT302,,AH302+1)*AF302-ERP_i)*AE302*Ramure*Pc/MaxiM</f>
        <v>6.263749522238171E-3</v>
      </c>
      <c r="AE302" s="305">
        <f t="shared" si="117"/>
        <v>0.7</v>
      </c>
      <c r="AF302" s="177">
        <f t="shared" si="118"/>
        <v>0.49750687618599931</v>
      </c>
      <c r="AG302" s="921">
        <f t="shared" si="124"/>
        <v>2</v>
      </c>
      <c r="AH302" s="176">
        <f t="shared" si="119"/>
        <v>8</v>
      </c>
      <c r="AI302" s="225">
        <f t="shared" si="120"/>
        <v>2.4975068761859993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33.470128330538472</v>
      </c>
      <c r="C303" s="955"/>
      <c r="D303" s="393">
        <f t="shared" si="102"/>
        <v>35.79653708043314</v>
      </c>
      <c r="E303" s="385">
        <f t="shared" si="125"/>
        <v>36.932159657039982</v>
      </c>
      <c r="F303" s="385">
        <f t="shared" si="103"/>
        <v>36.946169095921633</v>
      </c>
      <c r="G303" s="110">
        <f t="shared" si="126"/>
        <v>0.87999331613626319</v>
      </c>
      <c r="H303" s="414" t="b">
        <f>Wh_hp&gt;='2025'!Maxi_hp</f>
        <v>0</v>
      </c>
      <c r="I303" s="390">
        <f>IF(H303,Wh_hp,'2025'!Maxi_hp)</f>
        <v>39.359495276629886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6.4989771068283408E-2</v>
      </c>
      <c r="M303" s="959"/>
      <c r="N303" s="959"/>
      <c r="O303" s="48">
        <f>IF(t&lt;Tnet,'2025'!Resal+('2025'!Salim-'2025'!Resal)*(1-EXP(('2025'!Tnet-t)/('2025'!Tau_j))),Resal+(Salim-Resal)*(1-EXP((Tnet-t)/(Tau_j))))*Salcycl</f>
        <v>3.0748880844025248E-2</v>
      </c>
      <c r="P303" s="169">
        <f>(INDEX(Models!$BJ303:$BT303,,T303)*(1-R303)+INDEX(Models!$BJ303:$BT303,,T303+1)*R303-ERP_i)*Q303*Ramure*Pc/MaxiM</f>
        <v>4.5758807267494412E-4</v>
      </c>
      <c r="Q303" s="305">
        <f t="shared" si="105"/>
        <v>0.7</v>
      </c>
      <c r="R303" s="177">
        <f t="shared" si="106"/>
        <v>0.97262729618665333</v>
      </c>
      <c r="S303" s="921">
        <f t="shared" si="107"/>
        <v>-2</v>
      </c>
      <c r="T303" s="176">
        <f t="shared" si="108"/>
        <v>4</v>
      </c>
      <c r="U303" s="251">
        <f t="shared" si="109"/>
        <v>-1.0273727038133467</v>
      </c>
      <c r="V303" s="383">
        <f t="shared" si="110"/>
        <v>38.031542473949486</v>
      </c>
      <c r="W303" s="402">
        <f t="shared" si="111"/>
        <v>33.470128330538472</v>
      </c>
      <c r="X303" s="157">
        <f t="shared" si="112"/>
        <v>46311</v>
      </c>
      <c r="Y303" s="385">
        <f t="shared" si="113"/>
        <v>31.05688626172212</v>
      </c>
      <c r="Z303" s="385">
        <f t="shared" si="114"/>
        <v>33.215557756203104</v>
      </c>
      <c r="AA303" s="386">
        <f t="shared" si="115"/>
        <v>36.754456659775776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9.6284892369138411E-2</v>
      </c>
      <c r="AD303" s="231">
        <f>(INDEX(Models!$BJ303:$BT303,,AH303)*(1-AF303)+INDEX(Models!$BJ303:$BT303,,AH303+1)*AF303-ERP_i)*AE303*Ramure*Pc/MaxiM</f>
        <v>6.2618727919734503E-3</v>
      </c>
      <c r="AE303" s="305">
        <f t="shared" si="117"/>
        <v>0.7</v>
      </c>
      <c r="AF303" s="177">
        <f t="shared" si="118"/>
        <v>0.49761486256063225</v>
      </c>
      <c r="AG303" s="921">
        <f t="shared" si="124"/>
        <v>2</v>
      </c>
      <c r="AH303" s="176">
        <f t="shared" si="119"/>
        <v>8</v>
      </c>
      <c r="AI303" s="225">
        <f t="shared" si="120"/>
        <v>2.4976148625606323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22.540452476328401</v>
      </c>
      <c r="C304" s="955"/>
      <c r="D304" s="393">
        <f t="shared" si="102"/>
        <v>24.107700090782355</v>
      </c>
      <c r="E304" s="385">
        <f t="shared" si="125"/>
        <v>24.875190783859601</v>
      </c>
      <c r="F304" s="385">
        <f t="shared" si="103"/>
        <v>24.879991442735218</v>
      </c>
      <c r="G304" s="110">
        <f t="shared" si="126"/>
        <v>0.59649105480349129</v>
      </c>
      <c r="H304" s="414" t="b">
        <f>Wh_hp&gt;='2025'!Maxi_hp</f>
        <v>0</v>
      </c>
      <c r="I304" s="390">
        <f>IF(H304,Wh_hp,'2025'!Maxi_hp)</f>
        <v>39.909622414686694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6.5010250191937513E-2</v>
      </c>
      <c r="M304" s="959"/>
      <c r="N304" s="959"/>
      <c r="O304" s="48">
        <f>IF(t&lt;Tnet,'2025'!Resal+('2025'!Salim-'2025'!Resal)*(1-EXP(('2025'!Tnet-t)/('2025'!Tau_j))),Resal+(Salim-Resal)*(1-EXP((Tnet-t)/(Tau_j))))*Salcycl</f>
        <v>3.0853660570725566E-2</v>
      </c>
      <c r="P304" s="169">
        <f>(INDEX(Models!$BJ304:$BT304,,T304)*(1-R304)+INDEX(Models!$BJ304:$BT304,,T304+1)*R304-ERP_i)*Q304*Ramure*Pc/MaxiM</f>
        <v>4.5531063192497996E-4</v>
      </c>
      <c r="Q304" s="305">
        <f t="shared" si="105"/>
        <v>0.7</v>
      </c>
      <c r="R304" s="177">
        <f t="shared" si="106"/>
        <v>0.97273097875189807</v>
      </c>
      <c r="S304" s="921">
        <f t="shared" si="107"/>
        <v>-2</v>
      </c>
      <c r="T304" s="176">
        <f t="shared" si="108"/>
        <v>4</v>
      </c>
      <c r="U304" s="251">
        <f t="shared" si="109"/>
        <v>-1.0272690212481019</v>
      </c>
      <c r="V304" s="383">
        <f t="shared" si="110"/>
        <v>37.778500590554167</v>
      </c>
      <c r="W304" s="402">
        <f t="shared" si="111"/>
        <v>22.540452476328401</v>
      </c>
      <c r="X304" s="157">
        <f t="shared" si="112"/>
        <v>46312</v>
      </c>
      <c r="Y304" s="385">
        <f t="shared" si="113"/>
        <v>20.966727681889012</v>
      </c>
      <c r="Z304" s="385">
        <f t="shared" si="114"/>
        <v>22.424553516434941</v>
      </c>
      <c r="AA304" s="386">
        <f t="shared" si="115"/>
        <v>24.813918548160999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9.6291322432149246E-2</v>
      </c>
      <c r="AD304" s="231">
        <f>(INDEX(Models!$BJ304:$BT304,,AH304)*(1-AF304)+INDEX(Models!$BJ304:$BT304,,AH304+1)*AF304-ERP_i)*AE304*Ramure*Pc/MaxiM</f>
        <v>6.2665755183136732E-3</v>
      </c>
      <c r="AE304" s="305">
        <f t="shared" si="117"/>
        <v>0.7</v>
      </c>
      <c r="AF304" s="177">
        <f t="shared" si="118"/>
        <v>0.49771854512587721</v>
      </c>
      <c r="AG304" s="921">
        <f t="shared" si="124"/>
        <v>2</v>
      </c>
      <c r="AH304" s="176">
        <f t="shared" si="119"/>
        <v>8</v>
      </c>
      <c r="AI304" s="225">
        <f t="shared" si="120"/>
        <v>2.4977185451258772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34.49490892512155</v>
      </c>
      <c r="C305" s="955"/>
      <c r="D305" s="393">
        <f t="shared" si="102"/>
        <v>36.894163252362475</v>
      </c>
      <c r="E305" s="385">
        <f t="shared" si="125"/>
        <v>38.0728140671592</v>
      </c>
      <c r="F305" s="385">
        <f t="shared" si="103"/>
        <v>38.088067899495826</v>
      </c>
      <c r="G305" s="110">
        <f t="shared" si="126"/>
        <v>0.91923906071021255</v>
      </c>
      <c r="H305" s="414" t="b">
        <f>Wh_hp&gt;='2025'!Maxi_hp</f>
        <v>0</v>
      </c>
      <c r="I305" s="390">
        <f>IF(H305,Wh_hp,'2025'!Maxi_hp)</f>
        <v>40.636688636439388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6.5030728867046195E-2</v>
      </c>
      <c r="M305" s="959"/>
      <c r="N305" s="959"/>
      <c r="O305" s="48">
        <f>IF(t&lt;Tnet,'2025'!Resal+('2025'!Salim-'2025'!Resal)*(1-EXP(('2025'!Tnet-t)/('2025'!Tau_j))),Resal+(Salim-Resal)*(1-EXP((Tnet-t)/(Tau_j))))*Salcycl</f>
        <v>3.0957806604933958E-2</v>
      </c>
      <c r="P305" s="169">
        <f>(INDEX(Models!$BJ305:$BT305,,T305)*(1-R305)+INDEX(Models!$BJ305:$BT305,,T305+1)*R305-ERP_i)*Q305*Ramure*Pc/MaxiM</f>
        <v>4.5268495180210346E-4</v>
      </c>
      <c r="Q305" s="305">
        <f t="shared" si="105"/>
        <v>0.7</v>
      </c>
      <c r="R305" s="177">
        <f t="shared" si="106"/>
        <v>0.97283052734233877</v>
      </c>
      <c r="S305" s="921">
        <f t="shared" si="107"/>
        <v>-2</v>
      </c>
      <c r="T305" s="176">
        <f t="shared" si="108"/>
        <v>4</v>
      </c>
      <c r="U305" s="251">
        <f t="shared" si="109"/>
        <v>-1.0271694726576612</v>
      </c>
      <c r="V305" s="383">
        <f t="shared" si="110"/>
        <v>37.523544380808389</v>
      </c>
      <c r="W305" s="402">
        <f t="shared" si="111"/>
        <v>34.49490892512155</v>
      </c>
      <c r="X305" s="157">
        <f t="shared" si="112"/>
        <v>46313</v>
      </c>
      <c r="Y305" s="385">
        <f t="shared" si="113"/>
        <v>32.00309112888614</v>
      </c>
      <c r="Z305" s="385">
        <f t="shared" si="114"/>
        <v>34.22902989111742</v>
      </c>
      <c r="AA305" s="386">
        <f t="shared" si="115"/>
        <v>37.876391903751177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9.6296448244124644E-2</v>
      </c>
      <c r="AD305" s="231">
        <f>(INDEX(Models!$BJ305:$BT305,,AH305)*(1-AF305)+INDEX(Models!$BJ305:$BT305,,AH305+1)*AF305-ERP_i)*AE305*Ramure*Pc/MaxiM</f>
        <v>6.2818664724195034E-3</v>
      </c>
      <c r="AE305" s="305">
        <f t="shared" si="117"/>
        <v>0.7</v>
      </c>
      <c r="AF305" s="177">
        <f t="shared" si="118"/>
        <v>0.49781809371631791</v>
      </c>
      <c r="AG305" s="921">
        <f t="shared" si="124"/>
        <v>2</v>
      </c>
      <c r="AH305" s="176">
        <f t="shared" si="119"/>
        <v>8</v>
      </c>
      <c r="AI305" s="225">
        <f t="shared" si="120"/>
        <v>2.4978180937163179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14.685398460951061</v>
      </c>
      <c r="C306" s="955"/>
      <c r="D306" s="393">
        <f t="shared" si="102"/>
        <v>15.707168748033839</v>
      </c>
      <c r="E306" s="385">
        <f t="shared" si="125"/>
        <v>16.210694473367585</v>
      </c>
      <c r="F306" s="385">
        <f t="shared" si="103"/>
        <v>16.211674157726556</v>
      </c>
      <c r="G306" s="110">
        <f t="shared" si="126"/>
        <v>0.39391011963115352</v>
      </c>
      <c r="H306" s="414" t="b">
        <f>Wh_hp&gt;='2025'!Maxi_hp</f>
        <v>0</v>
      </c>
      <c r="I306" s="390">
        <f>IF(H306,Wh_hp,'2025'!Maxi_hp)</f>
        <v>39.555235344496339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6.5051207093619445E-2</v>
      </c>
      <c r="M306" s="959"/>
      <c r="N306" s="959"/>
      <c r="O306" s="48">
        <f>IF(t&lt;Tnet,'2025'!Resal+('2025'!Salim-'2025'!Resal)*(1-EXP(('2025'!Tnet-t)/('2025'!Tau_j))),Resal+(Salim-Resal)*(1-EXP((Tnet-t)/(Tau_j))))*Salcycl</f>
        <v>3.1061329677206859E-2</v>
      </c>
      <c r="P306" s="169">
        <f>(INDEX(Models!$BJ306:$BT306,,T306)*(1-R306)+INDEX(Models!$BJ306:$BT306,,T306+1)*R306-ERP_i)*Q306*Ramure*Pc/MaxiM</f>
        <v>4.4971261716285999E-4</v>
      </c>
      <c r="Q306" s="305">
        <f t="shared" si="105"/>
        <v>0.7</v>
      </c>
      <c r="R306" s="177">
        <f t="shared" si="106"/>
        <v>0.97292610522376877</v>
      </c>
      <c r="S306" s="921">
        <f t="shared" si="107"/>
        <v>-2</v>
      </c>
      <c r="T306" s="176">
        <f t="shared" si="108"/>
        <v>4</v>
      </c>
      <c r="U306" s="251">
        <f t="shared" si="109"/>
        <v>-1.0270738947762312</v>
      </c>
      <c r="V306" s="383">
        <f t="shared" si="110"/>
        <v>37.266575863896826</v>
      </c>
      <c r="W306" s="402">
        <f t="shared" si="111"/>
        <v>14.685398460951061</v>
      </c>
      <c r="X306" s="157">
        <f t="shared" si="112"/>
        <v>46314</v>
      </c>
      <c r="Y306" s="385">
        <f t="shared" si="113"/>
        <v>13.685842836583548</v>
      </c>
      <c r="Z306" s="385">
        <f t="shared" si="114"/>
        <v>14.63806674806195</v>
      </c>
      <c r="AA306" s="386">
        <f t="shared" si="115"/>
        <v>16.197932756708681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9.6300313878058486E-2</v>
      </c>
      <c r="AD306" s="231">
        <f>(INDEX(Models!$BJ306:$BT306,,AH306)*(1-AF306)+INDEX(Models!$BJ306:$BT306,,AH306+1)*AF306-ERP_i)*AE306*Ramure*Pc/MaxiM</f>
        <v>6.3078290049851538E-3</v>
      </c>
      <c r="AE306" s="305">
        <f t="shared" si="117"/>
        <v>0.7</v>
      </c>
      <c r="AF306" s="177">
        <f t="shared" si="118"/>
        <v>0.49791367159774769</v>
      </c>
      <c r="AG306" s="921">
        <f t="shared" si="124"/>
        <v>2</v>
      </c>
      <c r="AH306" s="176">
        <f t="shared" si="119"/>
        <v>8</v>
      </c>
      <c r="AI306" s="225">
        <f t="shared" si="120"/>
        <v>2.4979136715977477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8.422764911554232</v>
      </c>
      <c r="C307" s="955"/>
      <c r="D307" s="393">
        <f t="shared" si="102"/>
        <v>9.0089954227111839</v>
      </c>
      <c r="E307" s="385">
        <f t="shared" si="125"/>
        <v>9.2987850124472775</v>
      </c>
      <c r="F307" s="385">
        <f t="shared" si="103"/>
        <v>9.2987850124472775</v>
      </c>
      <c r="G307" s="110">
        <f t="shared" si="126"/>
        <v>0.22749458091729097</v>
      </c>
      <c r="H307" s="414" t="b">
        <f>Wh_hp&gt;='2025'!Maxi_hp</f>
        <v>0</v>
      </c>
      <c r="I307" s="390">
        <f>IF(H307,Wh_hp,'2025'!Maxi_hp)</f>
        <v>32.753589060137877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6.5071684871666924E-2</v>
      </c>
      <c r="M307" s="959"/>
      <c r="N307" s="959"/>
      <c r="O307" s="48">
        <f>IF(t&lt;Tnet,'2025'!Resal+('2025'!Salim-'2025'!Resal)*(1-EXP(('2025'!Tnet-t)/('2025'!Tau_j))),Resal+(Salim-Resal)*(1-EXP((Tnet-t)/(Tau_j))))*Salcycl</f>
        <v>3.1164242355123002E-2</v>
      </c>
      <c r="P307" s="169">
        <f>(INDEX(Models!$BJ307:$BT307,,T307)*(1-R307)+INDEX(Models!$BJ307:$BT307,,T307+1)*R307-ERP_i)*Q307*Ramure*Pc/MaxiM</f>
        <v>4.4639554031853344E-4</v>
      </c>
      <c r="Q307" s="305">
        <f t="shared" si="105"/>
        <v>0.7</v>
      </c>
      <c r="R307" s="177">
        <f t="shared" si="106"/>
        <v>0.97301786933676215</v>
      </c>
      <c r="S307" s="921">
        <f t="shared" si="107"/>
        <v>-2</v>
      </c>
      <c r="T307" s="176">
        <f t="shared" si="108"/>
        <v>4</v>
      </c>
      <c r="U307" s="251">
        <f t="shared" si="109"/>
        <v>-1.0269821306632378</v>
      </c>
      <c r="V307" s="383">
        <f t="shared" si="110"/>
        <v>37.007497026583756</v>
      </c>
      <c r="W307" s="402">
        <f t="shared" si="111"/>
        <v>8.422764911554232</v>
      </c>
      <c r="X307" s="157">
        <f t="shared" si="112"/>
        <v>46315</v>
      </c>
      <c r="Y307" s="385">
        <f t="shared" si="113"/>
        <v>7.8564685375054184</v>
      </c>
      <c r="Z307" s="385">
        <f t="shared" si="114"/>
        <v>8.403284412695319</v>
      </c>
      <c r="AA307" s="386">
        <f t="shared" si="115"/>
        <v>9.2987850124472775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9.6302968458056373E-2</v>
      </c>
      <c r="AD307" s="231">
        <f>(INDEX(Models!$BJ307:$BT307,,AH307)*(1-AF307)+INDEX(Models!$BJ307:$BT307,,AH307+1)*AF307-ERP_i)*AE307*Ramure*Pc/MaxiM</f>
        <v>6.3445472370669536E-3</v>
      </c>
      <c r="AE307" s="305">
        <f t="shared" si="117"/>
        <v>0.7</v>
      </c>
      <c r="AF307" s="177">
        <f t="shared" si="118"/>
        <v>0.4980054357107413</v>
      </c>
      <c r="AG307" s="921">
        <f t="shared" si="124"/>
        <v>2</v>
      </c>
      <c r="AH307" s="176">
        <f t="shared" si="119"/>
        <v>8</v>
      </c>
      <c r="AI307" s="225">
        <f t="shared" si="120"/>
        <v>2.4980054357107413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15.394265773808735</v>
      </c>
      <c r="C308" s="955"/>
      <c r="D308" s="393">
        <f t="shared" si="102"/>
        <v>16.466078421220473</v>
      </c>
      <c r="E308" s="385">
        <f t="shared" si="125"/>
        <v>16.997532783688325</v>
      </c>
      <c r="F308" s="385">
        <f t="shared" si="103"/>
        <v>16.998811500022299</v>
      </c>
      <c r="G308" s="110">
        <f t="shared" si="126"/>
        <v>0.41878081691750363</v>
      </c>
      <c r="H308" s="414" t="b">
        <f>Wh_hp&gt;='2025'!Maxi_hp</f>
        <v>0</v>
      </c>
      <c r="I308" s="390">
        <f>IF(H308,Wh_hp,'2025'!Maxi_hp)</f>
        <v>25.301063614108177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6.5092162201198511E-2</v>
      </c>
      <c r="M308" s="959"/>
      <c r="N308" s="959"/>
      <c r="O308" s="48">
        <f>IF(t&lt;Tnet,'2025'!Resal+('2025'!Salim-'2025'!Resal)*(1-EXP(('2025'!Tnet-t)/('2025'!Tau_j))),Resal+(Salim-Resal)*(1-EXP((Tnet-t)/(Tau_j))))*Salcycl</f>
        <v>3.1266559048961612E-2</v>
      </c>
      <c r="P308" s="169">
        <f>(INDEX(Models!$BJ308:$BT308,,T308)*(1-R308)+INDEX(Models!$BJ308:$BT308,,T308+1)*R308-ERP_i)*Q308*Ramure*Pc/MaxiM</f>
        <v>4.4273593885286734E-4</v>
      </c>
      <c r="Q308" s="305">
        <f t="shared" si="105"/>
        <v>0.7</v>
      </c>
      <c r="R308" s="177">
        <f t="shared" si="106"/>
        <v>0.9731059705320475</v>
      </c>
      <c r="S308" s="921">
        <f t="shared" si="107"/>
        <v>-2</v>
      </c>
      <c r="T308" s="176">
        <f t="shared" si="108"/>
        <v>4</v>
      </c>
      <c r="U308" s="251">
        <f t="shared" si="109"/>
        <v>-1.0268940294679525</v>
      </c>
      <c r="V308" s="383">
        <f t="shared" si="110"/>
        <v>36.746209826303257</v>
      </c>
      <c r="W308" s="402">
        <f t="shared" si="111"/>
        <v>15.394265773808735</v>
      </c>
      <c r="X308" s="157">
        <f t="shared" si="112"/>
        <v>46316</v>
      </c>
      <c r="Y308" s="385">
        <f t="shared" si="113"/>
        <v>14.346222671391148</v>
      </c>
      <c r="Z308" s="385">
        <f t="shared" si="114"/>
        <v>15.345066210128994</v>
      </c>
      <c r="AA308" s="386">
        <f t="shared" si="115"/>
        <v>16.98034972450488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9.6304466098007108E-2</v>
      </c>
      <c r="AD308" s="231">
        <f>(INDEX(Models!$BJ308:$BT308,,AH308)*(1-AF308)+INDEX(Models!$BJ308:$BT308,,AH308+1)*AF308-ERP_i)*AE308*Ramure*Pc/MaxiM</f>
        <v>6.392106911774673E-3</v>
      </c>
      <c r="AE308" s="305">
        <f t="shared" si="117"/>
        <v>0.7</v>
      </c>
      <c r="AF308" s="177">
        <f t="shared" si="118"/>
        <v>0.49809353690602665</v>
      </c>
      <c r="AG308" s="921">
        <f t="shared" si="124"/>
        <v>2</v>
      </c>
      <c r="AH308" s="176">
        <f t="shared" si="119"/>
        <v>8</v>
      </c>
      <c r="AI308" s="225">
        <f t="shared" si="120"/>
        <v>2.4980935369060266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33.207868028452609</v>
      </c>
      <c r="C309" s="955"/>
      <c r="D309" s="393">
        <f t="shared" si="102"/>
        <v>35.520715560698719</v>
      </c>
      <c r="E309" s="385">
        <f t="shared" si="125"/>
        <v>36.671023067117304</v>
      </c>
      <c r="F309" s="385">
        <f t="shared" si="103"/>
        <v>36.685054241987281</v>
      </c>
      <c r="G309" s="110">
        <f t="shared" si="126"/>
        <v>0.91018689209554304</v>
      </c>
      <c r="H309" s="414" t="b">
        <f>Wh_hp&gt;='2025'!Maxi_hp</f>
        <v>0</v>
      </c>
      <c r="I309" s="390">
        <f>IF(H309,Wh_hp,'2025'!Maxi_hp)</f>
        <v>36.686115319069664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6.5112639082223978E-2</v>
      </c>
      <c r="M309" s="959"/>
      <c r="N309" s="959"/>
      <c r="O309" s="48">
        <f>IF(t&lt;Tnet,'2025'!Resal+('2025'!Salim-'2025'!Resal)*(1-EXP(('2025'!Tnet-t)/('2025'!Tau_j))),Resal+(Salim-Resal)*(1-EXP((Tnet-t)/(Tau_j))))*Salcycl</f>
        <v>3.1368296006174363E-2</v>
      </c>
      <c r="P309" s="169">
        <f>(INDEX(Models!$BJ309:$BT309,,T309)*(1-R309)+INDEX(Models!$BJ309:$BT309,,T309+1)*R309-ERP_i)*Q309*Ramure*Pc/MaxiM</f>
        <v>4.387363090038529E-4</v>
      </c>
      <c r="Q309" s="305">
        <f t="shared" si="105"/>
        <v>0.7</v>
      </c>
      <c r="R309" s="177">
        <f t="shared" si="106"/>
        <v>0.97319055379789332</v>
      </c>
      <c r="S309" s="921">
        <f t="shared" si="107"/>
        <v>-2</v>
      </c>
      <c r="T309" s="176">
        <f t="shared" si="108"/>
        <v>4</v>
      </c>
      <c r="U309" s="251">
        <f t="shared" si="109"/>
        <v>-1.0268094462021067</v>
      </c>
      <c r="V309" s="383">
        <f t="shared" si="110"/>
        <v>36.482616193490166</v>
      </c>
      <c r="W309" s="402">
        <f t="shared" si="111"/>
        <v>33.207868028452609</v>
      </c>
      <c r="X309" s="157">
        <f t="shared" si="112"/>
        <v>46317</v>
      </c>
      <c r="Y309" s="385">
        <f t="shared" si="113"/>
        <v>30.819194332948875</v>
      </c>
      <c r="Z309" s="385">
        <f t="shared" si="114"/>
        <v>32.96567653101414</v>
      </c>
      <c r="AA309" s="386">
        <f t="shared" si="115"/>
        <v>36.478758470325388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9.6304865807564699E-2</v>
      </c>
      <c r="AD309" s="231">
        <f>(INDEX(Models!$BJ309:$BT309,,AH309)*(1-AF309)+INDEX(Models!$BJ309:$BT309,,AH309+1)*AF309-ERP_i)*AE309*Ramure*Pc/MaxiM</f>
        <v>6.4505963513942638E-3</v>
      </c>
      <c r="AE309" s="305">
        <f t="shared" si="117"/>
        <v>0.7</v>
      </c>
      <c r="AF309" s="177">
        <f t="shared" si="118"/>
        <v>0.49817812017187268</v>
      </c>
      <c r="AG309" s="921">
        <f t="shared" si="124"/>
        <v>2</v>
      </c>
      <c r="AH309" s="176">
        <f t="shared" si="119"/>
        <v>8</v>
      </c>
      <c r="AI309" s="225">
        <f t="shared" si="120"/>
        <v>2.4981781201718727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18.914289035435861</v>
      </c>
      <c r="C310" s="955"/>
      <c r="D310" s="393">
        <f t="shared" si="102"/>
        <v>20.232066564054609</v>
      </c>
      <c r="E310" s="385">
        <f t="shared" si="125"/>
        <v>20.889446397826351</v>
      </c>
      <c r="F310" s="385">
        <f t="shared" si="103"/>
        <v>20.89232853954303</v>
      </c>
      <c r="G310" s="110">
        <f t="shared" si="126"/>
        <v>0.52209958295646919</v>
      </c>
      <c r="H310" s="414" t="b">
        <f>Wh_hp&gt;='2025'!Maxi_hp</f>
        <v>0</v>
      </c>
      <c r="I310" s="390">
        <f>IF(H310,Wh_hp,'2025'!Maxi_hp)</f>
        <v>40.417600881584974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6.5133115514753315E-2</v>
      </c>
      <c r="M310" s="959"/>
      <c r="N310" s="959"/>
      <c r="O310" s="48">
        <f>IF(t&lt;Tnet,'2025'!Resal+('2025'!Salim-'2025'!Resal)*(1-EXP(('2025'!Tnet-t)/('2025'!Tau_j))),Resal+(Salim-Resal)*(1-EXP((Tnet-t)/(Tau_j))))*Salcycl</f>
        <v>3.1469471294373108E-2</v>
      </c>
      <c r="P310" s="169">
        <f>(INDEX(Models!$BJ310:$BT310,,T310)*(1-R310)+INDEX(Models!$BJ310:$BT310,,T310+1)*R310-ERP_i)*Q310*Ramure*Pc/MaxiM</f>
        <v>4.3448623239247851E-4</v>
      </c>
      <c r="Q310" s="305">
        <f t="shared" si="105"/>
        <v>0.7</v>
      </c>
      <c r="R310" s="177">
        <f t="shared" si="106"/>
        <v>0.97327175847971503</v>
      </c>
      <c r="S310" s="921">
        <f t="shared" si="107"/>
        <v>-2</v>
      </c>
      <c r="T310" s="176">
        <f t="shared" si="108"/>
        <v>4</v>
      </c>
      <c r="U310" s="251">
        <f t="shared" si="109"/>
        <v>-1.026728241520285</v>
      </c>
      <c r="V310" s="383">
        <f t="shared" si="110"/>
        <v>36.216614890295354</v>
      </c>
      <c r="W310" s="402">
        <f t="shared" si="111"/>
        <v>18.914289035435861</v>
      </c>
      <c r="X310" s="157">
        <f t="shared" si="112"/>
        <v>46318</v>
      </c>
      <c r="Y310" s="385">
        <f t="shared" si="113"/>
        <v>17.61394436995014</v>
      </c>
      <c r="Z310" s="385">
        <f t="shared" si="114"/>
        <v>18.841125578695273</v>
      </c>
      <c r="AA310" s="386">
        <f t="shared" si="115"/>
        <v>20.848969567668384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9.6304231365313256E-2</v>
      </c>
      <c r="AD310" s="231">
        <f>(INDEX(Models!$BJ310:$BT310,,AH310)*(1-AF310)+INDEX(Models!$BJ310:$BT310,,AH310+1)*AF310-ERP_i)*AE310*Ramure*Pc/MaxiM</f>
        <v>6.536415687406677E-3</v>
      </c>
      <c r="AE310" s="305">
        <f t="shared" si="117"/>
        <v>0.7</v>
      </c>
      <c r="AF310" s="177">
        <f t="shared" si="118"/>
        <v>0.49825932485369417</v>
      </c>
      <c r="AG310" s="921">
        <f t="shared" si="124"/>
        <v>2</v>
      </c>
      <c r="AH310" s="176">
        <f t="shared" si="119"/>
        <v>8</v>
      </c>
      <c r="AI310" s="225">
        <f t="shared" si="120"/>
        <v>2.4982593248536942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25.231908130454318</v>
      </c>
      <c r="C311" s="955"/>
      <c r="D311" s="393">
        <f t="shared" si="102"/>
        <v>26.990431691241636</v>
      </c>
      <c r="E311" s="385">
        <f t="shared" si="125"/>
        <v>27.870299981709213</v>
      </c>
      <c r="F311" s="385">
        <f t="shared" si="103"/>
        <v>27.877189457568672</v>
      </c>
      <c r="G311" s="110">
        <f t="shared" si="126"/>
        <v>0.70176971127266374</v>
      </c>
      <c r="H311" s="414" t="b">
        <f>Wh_hp&gt;='2025'!Maxi_hp</f>
        <v>0</v>
      </c>
      <c r="I311" s="390">
        <f>IF(H311,Wh_hp,'2025'!Maxi_hp)</f>
        <v>41.588960428568228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6.5153591498796071E-2</v>
      </c>
      <c r="M311" s="959"/>
      <c r="N311" s="959"/>
      <c r="O311" s="48">
        <f>IF(t&lt;Tnet,'2025'!Resal+('2025'!Salim-'2025'!Resal)*(1-EXP(('2025'!Tnet-t)/('2025'!Tau_j))),Resal+(Salim-Resal)*(1-EXP((Tnet-t)/(Tau_j))))*Salcycl</f>
        <v>3.1570104772643999E-2</v>
      </c>
      <c r="P311" s="169">
        <f>(INDEX(Models!$BJ311:$BT311,,T311)*(1-R311)+INDEX(Models!$BJ311:$BT311,,T311+1)*R311-ERP_i)*Q311*Ramure*Pc/MaxiM</f>
        <v>4.3044627162958451E-4</v>
      </c>
      <c r="Q311" s="305">
        <f t="shared" si="105"/>
        <v>0.7</v>
      </c>
      <c r="R311" s="177">
        <f t="shared" si="106"/>
        <v>0.97334971849210783</v>
      </c>
      <c r="S311" s="921">
        <f t="shared" si="107"/>
        <v>-2</v>
      </c>
      <c r="T311" s="176">
        <f t="shared" si="108"/>
        <v>4</v>
      </c>
      <c r="U311" s="251">
        <f t="shared" si="109"/>
        <v>-1.0266502815078922</v>
      </c>
      <c r="V311" s="383">
        <f t="shared" si="110"/>
        <v>35.948091419341324</v>
      </c>
      <c r="W311" s="402">
        <f t="shared" si="111"/>
        <v>25.231908130454318</v>
      </c>
      <c r="X311" s="157">
        <f t="shared" si="112"/>
        <v>46319</v>
      </c>
      <c r="Y311" s="385">
        <f t="shared" si="113"/>
        <v>23.461272201780417</v>
      </c>
      <c r="Z311" s="385">
        <f t="shared" si="114"/>
        <v>25.096392293355215</v>
      </c>
      <c r="AA311" s="386">
        <f t="shared" si="115"/>
        <v>27.770792699716147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9.630263115925633E-2</v>
      </c>
      <c r="AD311" s="231">
        <f>(INDEX(Models!$BJ311:$BT311,,AH311)*(1-AF311)+INDEX(Models!$BJ311:$BT311,,AH311+1)*AF311-ERP_i)*AE311*Ramure*Pc/MaxiM</f>
        <v>6.6475431027469313E-3</v>
      </c>
      <c r="AE311" s="305">
        <f t="shared" si="117"/>
        <v>0.7</v>
      </c>
      <c r="AF311" s="177">
        <f t="shared" si="118"/>
        <v>0.49833728486608697</v>
      </c>
      <c r="AG311" s="921">
        <f t="shared" si="124"/>
        <v>2</v>
      </c>
      <c r="AH311" s="176">
        <f t="shared" si="119"/>
        <v>8</v>
      </c>
      <c r="AI311" s="225">
        <f t="shared" si="120"/>
        <v>2.498337284866087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22.28329964734996</v>
      </c>
      <c r="C312" s="955"/>
      <c r="D312" s="393">
        <f t="shared" si="102"/>
        <v>23.836843696300249</v>
      </c>
      <c r="E312" s="385">
        <f t="shared" si="125"/>
        <v>24.616452102015341</v>
      </c>
      <c r="F312" s="385">
        <f t="shared" si="103"/>
        <v>24.621322771013688</v>
      </c>
      <c r="G312" s="110">
        <f t="shared" si="126"/>
        <v>0.62444243368930052</v>
      </c>
      <c r="H312" s="414" t="b">
        <f>Wh_hp&gt;='2025'!Maxi_hp</f>
        <v>0</v>
      </c>
      <c r="I312" s="390">
        <f>IF(H312,Wh_hp,'2025'!Maxi_hp)</f>
        <v>39.380465592356508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6.5174067034362348E-2</v>
      </c>
      <c r="M312" s="959"/>
      <c r="N312" s="959"/>
      <c r="O312" s="48">
        <f>IF(t&lt;Tnet,'2025'!Resal+('2025'!Salim-'2025'!Resal)*(1-EXP(('2025'!Tnet-t)/('2025'!Tau_j))),Resal+(Salim-Resal)*(1-EXP((Tnet-t)/(Tau_j))))*Salcycl</f>
        <v>3.1670218051092158E-2</v>
      </c>
      <c r="P312" s="169">
        <f>(INDEX(Models!$BJ312:$BT312,,T312)*(1-R312)+INDEX(Models!$BJ312:$BT312,,T312+1)*R312-ERP_i)*Q312*Ramure*Pc/MaxiM</f>
        <v>4.2662503463602319E-4</v>
      </c>
      <c r="Q312" s="305">
        <f t="shared" si="105"/>
        <v>0.7</v>
      </c>
      <c r="R312" s="177">
        <f t="shared" si="106"/>
        <v>0.97342456252351606</v>
      </c>
      <c r="S312" s="921">
        <f t="shared" si="107"/>
        <v>-2</v>
      </c>
      <c r="T312" s="176">
        <f t="shared" si="108"/>
        <v>4</v>
      </c>
      <c r="U312" s="251">
        <f t="shared" si="109"/>
        <v>-1.0265754374764839</v>
      </c>
      <c r="V312" s="383">
        <f t="shared" si="110"/>
        <v>35.67694790890333</v>
      </c>
      <c r="W312" s="402">
        <f t="shared" si="111"/>
        <v>22.28329964734996</v>
      </c>
      <c r="X312" s="157">
        <f t="shared" si="112"/>
        <v>46320</v>
      </c>
      <c r="Y312" s="385">
        <f t="shared" si="113"/>
        <v>20.734711575589142</v>
      </c>
      <c r="Z312" s="385">
        <f t="shared" si="114"/>
        <v>22.180291372331141</v>
      </c>
      <c r="AA312" s="386">
        <f t="shared" si="115"/>
        <v>24.543869380616925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9.6300137995045595E-2</v>
      </c>
      <c r="AD312" s="231">
        <f>(INDEX(Models!$BJ312:$BT312,,AH312)*(1-AF312)+INDEX(Models!$BJ312:$BT312,,AH312+1)*AF312-ERP_i)*AE312*Ramure*Pc/MaxiM</f>
        <v>6.7841923505584422E-3</v>
      </c>
      <c r="AE312" s="305">
        <f t="shared" si="117"/>
        <v>0.7</v>
      </c>
      <c r="AF312" s="177">
        <f t="shared" si="118"/>
        <v>0.49841212889749542</v>
      </c>
      <c r="AG312" s="921">
        <f t="shared" si="124"/>
        <v>2</v>
      </c>
      <c r="AH312" s="176">
        <f t="shared" si="119"/>
        <v>8</v>
      </c>
      <c r="AI312" s="225">
        <f t="shared" si="120"/>
        <v>2.4984121288974954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12.455851484586448</v>
      </c>
      <c r="C313" s="955"/>
      <c r="D313" s="393">
        <f t="shared" si="102"/>
        <v>13.324538683004642</v>
      </c>
      <c r="E313" s="385">
        <f t="shared" si="125"/>
        <v>13.761747110284492</v>
      </c>
      <c r="F313" s="385">
        <f t="shared" si="103"/>
        <v>13.76217816779036</v>
      </c>
      <c r="G313" s="110">
        <f t="shared" si="126"/>
        <v>0.35169171650502157</v>
      </c>
      <c r="H313" s="414" t="b">
        <f>Wh_hp&gt;='2025'!Maxi_hp</f>
        <v>0</v>
      </c>
      <c r="I313" s="390">
        <f>IF(H313,Wh_hp,'2025'!Maxi_hp)</f>
        <v>38.95254653773808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6.5194542121461807E-2</v>
      </c>
      <c r="M313" s="959"/>
      <c r="N313" s="959"/>
      <c r="O313" s="48">
        <f>IF(t&lt;Tnet,'2025'!Resal+('2025'!Salim-'2025'!Resal)*(1-EXP(('2025'!Tnet-t)/('2025'!Tau_j))),Resal+(Salim-Resal)*(1-EXP((Tnet-t)/(Tau_j))))*Salcycl</f>
        <v>3.1769834438616744E-2</v>
      </c>
      <c r="P313" s="169">
        <f>(INDEX(Models!$BJ313:$BT313,,T313)*(1-R313)+INDEX(Models!$BJ313:$BT313,,T313+1)*R313-ERP_i)*Q313*Ramure*Pc/MaxiM</f>
        <v>4.2302766254728459E-4</v>
      </c>
      <c r="Q313" s="305">
        <f t="shared" si="105"/>
        <v>0.7</v>
      </c>
      <c r="R313" s="177">
        <f t="shared" si="106"/>
        <v>0.97349641423374544</v>
      </c>
      <c r="S313" s="921">
        <f t="shared" si="107"/>
        <v>-2</v>
      </c>
      <c r="T313" s="176">
        <f t="shared" si="108"/>
        <v>4</v>
      </c>
      <c r="U313" s="251">
        <f t="shared" si="109"/>
        <v>-1.0265035857662546</v>
      </c>
      <c r="V313" s="383">
        <f t="shared" si="110"/>
        <v>35.403086619820776</v>
      </c>
      <c r="W313" s="402">
        <f t="shared" si="111"/>
        <v>12.455851484586448</v>
      </c>
      <c r="X313" s="157">
        <f t="shared" si="112"/>
        <v>46321</v>
      </c>
      <c r="Y313" s="385">
        <f t="shared" si="113"/>
        <v>11.620124750258704</v>
      </c>
      <c r="Z313" s="385">
        <f t="shared" si="114"/>
        <v>12.430527284927917</v>
      </c>
      <c r="AA313" s="386">
        <f t="shared" si="115"/>
        <v>13.755099773989864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9.6296828872636783E-2</v>
      </c>
      <c r="AD313" s="231">
        <f>(INDEX(Models!$BJ313:$BT313,,AH313)*(1-AF313)+INDEX(Models!$BJ313:$BT313,,AH313+1)*AF313-ERP_i)*AE313*Ramure*Pc/MaxiM</f>
        <v>6.9465357713236952E-3</v>
      </c>
      <c r="AE313" s="305">
        <f t="shared" si="117"/>
        <v>0.7</v>
      </c>
      <c r="AF313" s="177">
        <f t="shared" si="118"/>
        <v>0.49848398060772459</v>
      </c>
      <c r="AG313" s="921">
        <f t="shared" si="124"/>
        <v>2</v>
      </c>
      <c r="AH313" s="176">
        <f t="shared" si="119"/>
        <v>8</v>
      </c>
      <c r="AI313" s="225">
        <f t="shared" si="120"/>
        <v>2.4984839806077246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13.646858472301888</v>
      </c>
      <c r="C314" s="955"/>
      <c r="D314" s="393">
        <f t="shared" si="102"/>
        <v>14.598927793002071</v>
      </c>
      <c r="E314" s="385">
        <f t="shared" si="125"/>
        <v>15.079495930311328</v>
      </c>
      <c r="F314" s="385">
        <f t="shared" si="103"/>
        <v>15.080296108687445</v>
      </c>
      <c r="G314" s="110">
        <f t="shared" si="126"/>
        <v>0.38836463390847853</v>
      </c>
      <c r="H314" s="414" t="b">
        <f>Wh_hp&gt;='2025'!Maxi_hp</f>
        <v>0</v>
      </c>
      <c r="I314" s="390">
        <f>IF(H314,Wh_hp,'2025'!Maxi_hp)</f>
        <v>33.191570367929572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6.5215016760104327E-2</v>
      </c>
      <c r="M314" s="959"/>
      <c r="N314" s="959"/>
      <c r="O314" s="48">
        <f>IF(t&lt;Tnet,'2025'!Resal+('2025'!Salim-'2025'!Resal)*(1-EXP(('2025'!Tnet-t)/('2025'!Tau_j))),Resal+(Salim-Resal)*(1-EXP((Tnet-t)/(Tau_j))))*Salcycl</f>
        <v>3.1868978879013195E-2</v>
      </c>
      <c r="P314" s="169">
        <f>(INDEX(Models!$BJ314:$BT314,,T314)*(1-R314)+INDEX(Models!$BJ314:$BT314,,T314+1)*R314-ERP_i)*Q314*Ramure*Pc/MaxiM</f>
        <v>4.1965947233889365E-4</v>
      </c>
      <c r="Q314" s="305">
        <f t="shared" si="105"/>
        <v>0.7</v>
      </c>
      <c r="R314" s="177">
        <f t="shared" si="106"/>
        <v>0.97356539244452289</v>
      </c>
      <c r="S314" s="921">
        <f t="shared" si="107"/>
        <v>-2</v>
      </c>
      <c r="T314" s="176">
        <f t="shared" si="108"/>
        <v>4</v>
      </c>
      <c r="U314" s="251">
        <f t="shared" si="109"/>
        <v>-1.0264346075554771</v>
      </c>
      <c r="V314" s="383">
        <f t="shared" si="110"/>
        <v>35.126409824158955</v>
      </c>
      <c r="W314" s="402">
        <f t="shared" si="111"/>
        <v>13.646858472301888</v>
      </c>
      <c r="X314" s="157">
        <f t="shared" si="112"/>
        <v>46322</v>
      </c>
      <c r="Y314" s="385">
        <f t="shared" si="113"/>
        <v>12.727918564545055</v>
      </c>
      <c r="Z314" s="385">
        <f t="shared" si="114"/>
        <v>13.615878295809834</v>
      </c>
      <c r="AA314" s="386">
        <f t="shared" si="115"/>
        <v>15.066692027878698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9.6292784732331854E-2</v>
      </c>
      <c r="AD314" s="231">
        <f>(INDEX(Models!$BJ314:$BT314,,AH314)*(1-AF314)+INDEX(Models!$BJ314:$BT314,,AH314+1)*AF314-ERP_i)*AE314*Ramure*Pc/MaxiM</f>
        <v>7.1347608786358051E-3</v>
      </c>
      <c r="AE314" s="305">
        <f t="shared" si="117"/>
        <v>0.7</v>
      </c>
      <c r="AF314" s="177">
        <f t="shared" si="118"/>
        <v>0.49855295881850203</v>
      </c>
      <c r="AG314" s="921">
        <f t="shared" si="124"/>
        <v>2</v>
      </c>
      <c r="AH314" s="176">
        <f t="shared" si="119"/>
        <v>8</v>
      </c>
      <c r="AI314" s="225">
        <f t="shared" si="120"/>
        <v>2.498552958818502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17.190579436627161</v>
      </c>
      <c r="C315" s="955"/>
      <c r="D315" s="393">
        <f t="shared" si="102"/>
        <v>18.390278268163428</v>
      </c>
      <c r="E315" s="385">
        <f t="shared" si="125"/>
        <v>18.997587010116487</v>
      </c>
      <c r="F315" s="385">
        <f t="shared" si="103"/>
        <v>18.999772585406017</v>
      </c>
      <c r="G315" s="110">
        <f t="shared" si="126"/>
        <v>0.49316970885870554</v>
      </c>
      <c r="H315" s="414" t="b">
        <f>Wh_hp&gt;='2025'!Maxi_hp</f>
        <v>0</v>
      </c>
      <c r="I315" s="390">
        <f>IF(H315,Wh_hp,'2025'!Maxi_hp)</f>
        <v>38.41572407667438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6.5235490950299679E-2</v>
      </c>
      <c r="M315" s="959"/>
      <c r="N315" s="959"/>
      <c r="O315" s="48">
        <f>IF(t&lt;Tnet,'2025'!Resal+('2025'!Salim-'2025'!Resal)*(1-EXP(('2025'!Tnet-t)/('2025'!Tau_j))),Resal+(Salim-Resal)*(1-EXP((Tnet-t)/(Tau_j))))*Salcycl</f>
        <v>3.1967677875598469E-2</v>
      </c>
      <c r="P315" s="169">
        <f>(INDEX(Models!$BJ315:$BT315,,T315)*(1-R315)+INDEX(Models!$BJ315:$BT315,,T315+1)*R315-ERP_i)*Q315*Ramure*Pc/MaxiM</f>
        <v>4.1652597073222935E-4</v>
      </c>
      <c r="Q315" s="305">
        <f t="shared" si="105"/>
        <v>0.7</v>
      </c>
      <c r="R315" s="177">
        <f t="shared" si="106"/>
        <v>0.973631611323305</v>
      </c>
      <c r="S315" s="921">
        <f t="shared" si="107"/>
        <v>-2</v>
      </c>
      <c r="T315" s="176">
        <f t="shared" si="108"/>
        <v>4</v>
      </c>
      <c r="U315" s="251">
        <f t="shared" si="109"/>
        <v>-1.026368388676695</v>
      </c>
      <c r="V315" s="383">
        <f t="shared" si="110"/>
        <v>34.846819806016796</v>
      </c>
      <c r="W315" s="402">
        <f t="shared" si="111"/>
        <v>17.190579436627161</v>
      </c>
      <c r="X315" s="157">
        <f t="shared" si="112"/>
        <v>46323</v>
      </c>
      <c r="Y315" s="385">
        <f t="shared" si="113"/>
        <v>16.017631157139441</v>
      </c>
      <c r="Z315" s="385">
        <f t="shared" si="114"/>
        <v>17.135472091707111</v>
      </c>
      <c r="AA315" s="386">
        <f t="shared" si="115"/>
        <v>18.961210874113277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9.6288090171432542E-2</v>
      </c>
      <c r="AD315" s="231">
        <f>(INDEX(Models!$BJ315:$BT315,,AH315)*(1-AF315)+INDEX(Models!$BJ315:$BT315,,AH315+1)*AF315-ERP_i)*AE315*Ramure*Pc/MaxiM</f>
        <v>7.3490738599752657E-3</v>
      </c>
      <c r="AE315" s="305">
        <f t="shared" si="117"/>
        <v>0.7</v>
      </c>
      <c r="AF315" s="177">
        <f t="shared" si="118"/>
        <v>0.49861917769728414</v>
      </c>
      <c r="AG315" s="921">
        <f t="shared" si="124"/>
        <v>2</v>
      </c>
      <c r="AH315" s="176">
        <f t="shared" si="119"/>
        <v>8</v>
      </c>
      <c r="AI315" s="225">
        <f t="shared" si="120"/>
        <v>2.4986191776972841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25.672821611976801</v>
      </c>
      <c r="C316" s="955"/>
      <c r="D316" s="393">
        <f t="shared" si="102"/>
        <v>27.46508203555334</v>
      </c>
      <c r="E316" s="385">
        <f t="shared" si="125"/>
        <v>28.374952097624735</v>
      </c>
      <c r="F316" s="385">
        <f t="shared" si="103"/>
        <v>28.382377694829614</v>
      </c>
      <c r="G316" s="110">
        <f t="shared" si="126"/>
        <v>0.74264424343716873</v>
      </c>
      <c r="H316" s="414" t="b">
        <f>Wh_hp&gt;='2025'!Maxi_hp</f>
        <v>0</v>
      </c>
      <c r="I316" s="390">
        <f>IF(H316,Wh_hp,'2025'!Maxi_hp)</f>
        <v>30.720187323726929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6.5255964692057744E-2</v>
      </c>
      <c r="M316" s="959"/>
      <c r="N316" s="959"/>
      <c r="O316" s="48">
        <f>IF(t&lt;Tnet,'2025'!Resal+('2025'!Salim-'2025'!Resal)*(1-EXP(('2025'!Tnet-t)/('2025'!Tau_j))),Resal+(Salim-Resal)*(1-EXP((Tnet-t)/(Tau_j))))*Salcycl</f>
        <v>3.2065959404652462E-2</v>
      </c>
      <c r="P316" s="169">
        <f>(INDEX(Models!$BJ316:$BT316,,T316)*(1-R316)+INDEX(Models!$BJ316:$BT316,,T316+1)*R316-ERP_i)*Q316*Ramure*Pc/MaxiM</f>
        <v>4.1363287001318903E-4</v>
      </c>
      <c r="Q316" s="305">
        <f t="shared" si="105"/>
        <v>0.7</v>
      </c>
      <c r="R316" s="177">
        <f t="shared" si="106"/>
        <v>0.97369518056054116</v>
      </c>
      <c r="S316" s="921">
        <f t="shared" si="107"/>
        <v>-2</v>
      </c>
      <c r="T316" s="176">
        <f t="shared" si="108"/>
        <v>4</v>
      </c>
      <c r="U316" s="251">
        <f t="shared" si="109"/>
        <v>-1.0263048194394588</v>
      </c>
      <c r="V316" s="383">
        <f t="shared" si="110"/>
        <v>34.564218868964254</v>
      </c>
      <c r="W316" s="402">
        <f t="shared" si="111"/>
        <v>25.672821611976801</v>
      </c>
      <c r="X316" s="157">
        <f t="shared" si="112"/>
        <v>46324</v>
      </c>
      <c r="Y316" s="385">
        <f t="shared" si="113"/>
        <v>23.860752199049589</v>
      </c>
      <c r="Z316" s="385">
        <f t="shared" si="114"/>
        <v>25.526509180867784</v>
      </c>
      <c r="AA316" s="386">
        <f t="shared" si="115"/>
        <v>28.246126240317615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9.6282833132988604E-2</v>
      </c>
      <c r="AD316" s="231">
        <f>(INDEX(Models!$BJ316:$BT316,,AH316)*(1-AF316)+INDEX(Models!$BJ316:$BT316,,AH316+1)*AF316-ERP_i)*AE316*Ramure*Pc/MaxiM</f>
        <v>7.589703375806018E-3</v>
      </c>
      <c r="AE316" s="305">
        <f t="shared" si="117"/>
        <v>0.7</v>
      </c>
      <c r="AF316" s="177">
        <f t="shared" si="118"/>
        <v>0.49868274693452008</v>
      </c>
      <c r="AG316" s="921">
        <f t="shared" si="124"/>
        <v>2</v>
      </c>
      <c r="AH316" s="176">
        <f t="shared" si="119"/>
        <v>8</v>
      </c>
      <c r="AI316" s="225">
        <f t="shared" si="120"/>
        <v>2.4986827469345201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21.022534185384924</v>
      </c>
      <c r="C317" s="955"/>
      <c r="D317" s="393">
        <f t="shared" si="102"/>
        <v>22.490643265774761</v>
      </c>
      <c r="E317" s="385">
        <f t="shared" si="125"/>
        <v>23.23806910008599</v>
      </c>
      <c r="F317" s="385">
        <f t="shared" si="103"/>
        <v>23.242345238990968</v>
      </c>
      <c r="G317" s="110">
        <f t="shared" si="126"/>
        <v>0.61319536720933032</v>
      </c>
      <c r="H317" s="414" t="b">
        <f>Wh_hp&gt;='2025'!Maxi_hp</f>
        <v>0</v>
      </c>
      <c r="I317" s="390">
        <f>IF(H317,Wh_hp,'2025'!Maxi_hp)</f>
        <v>35.207799824990232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6.5276437985388291E-2</v>
      </c>
      <c r="M317" s="959"/>
      <c r="N317" s="959"/>
      <c r="O317" s="48">
        <f>IF(t&lt;Tnet,'2025'!Resal+('2025'!Salim-'2025'!Resal)*(1-EXP(('2025'!Tnet-t)/('2025'!Tau_j))),Resal+(Salim-Resal)*(1-EXP((Tnet-t)/(Tau_j))))*Salcycl</f>
        <v>3.2163852818066802E-2</v>
      </c>
      <c r="P317" s="169">
        <f>(INDEX(Models!$BJ317:$BT317,,T317)*(1-R317)+INDEX(Models!$BJ317:$BT317,,T317+1)*R317-ERP_i)*Q317*Ramure*Pc/MaxiM</f>
        <v>4.1101860610520924E-4</v>
      </c>
      <c r="Q317" s="305">
        <f t="shared" si="105"/>
        <v>0.7</v>
      </c>
      <c r="R317" s="177">
        <f t="shared" si="106"/>
        <v>0.97375620554058373</v>
      </c>
      <c r="S317" s="921">
        <f t="shared" si="107"/>
        <v>-2</v>
      </c>
      <c r="T317" s="176">
        <f t="shared" si="108"/>
        <v>4</v>
      </c>
      <c r="U317" s="251">
        <f t="shared" si="109"/>
        <v>-1.0262437944594163</v>
      </c>
      <c r="V317" s="383">
        <f t="shared" si="110"/>
        <v>34.275797755866968</v>
      </c>
      <c r="W317" s="402">
        <f t="shared" si="111"/>
        <v>21.022534185384924</v>
      </c>
      <c r="X317" s="157">
        <f t="shared" si="112"/>
        <v>46325</v>
      </c>
      <c r="Y317" s="385">
        <f t="shared" si="113"/>
        <v>19.564476566490193</v>
      </c>
      <c r="Z317" s="385">
        <f t="shared" si="114"/>
        <v>20.930762164936588</v>
      </c>
      <c r="AA317" s="386">
        <f t="shared" si="115"/>
        <v>23.160597425098857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9.6277104568374502E-2</v>
      </c>
      <c r="AD317" s="231">
        <f>(INDEX(Models!$BJ317:$BT317,,AH317)*(1-AF317)+INDEX(Models!$BJ317:$BT317,,AH317+1)*AF317-ERP_i)*AE317*Ramure*Pc/MaxiM</f>
        <v>7.8575259748881552E-3</v>
      </c>
      <c r="AE317" s="305">
        <f t="shared" si="117"/>
        <v>0.7</v>
      </c>
      <c r="AF317" s="177">
        <f t="shared" si="118"/>
        <v>0.49874377191456309</v>
      </c>
      <c r="AG317" s="921">
        <f t="shared" si="124"/>
        <v>2</v>
      </c>
      <c r="AH317" s="176">
        <f t="shared" si="119"/>
        <v>8</v>
      </c>
      <c r="AI317" s="225">
        <f t="shared" si="120"/>
        <v>2.4987437719145631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21.734329853069667</v>
      </c>
      <c r="C318" s="955"/>
      <c r="D318" s="393">
        <f t="shared" si="102"/>
        <v>23.252656490497294</v>
      </c>
      <c r="E318" s="385">
        <f t="shared" si="125"/>
        <v>24.027827576414058</v>
      </c>
      <c r="F318" s="385">
        <f t="shared" si="103"/>
        <v>24.032594616894389</v>
      </c>
      <c r="G318" s="110">
        <f t="shared" si="126"/>
        <v>0.63949188957946024</v>
      </c>
      <c r="H318" s="414" t="b">
        <f>Wh_hp&gt;='2025'!Maxi_hp</f>
        <v>0</v>
      </c>
      <c r="I318" s="390">
        <f>IF(H318,Wh_hp,'2025'!Maxi_hp)</f>
        <v>35.869115091380415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6.5296910830301202E-2</v>
      </c>
      <c r="M318" s="959"/>
      <c r="N318" s="959"/>
      <c r="O318" s="48">
        <f>IF(t&lt;Tnet,'2025'!Resal+('2025'!Salim-'2025'!Resal)*(1-EXP(('2025'!Tnet-t)/('2025'!Tau_j))),Resal+(Salim-Resal)*(1-EXP((Tnet-t)/(Tau_j))))*Salcycl</f>
        <v>3.2261388735687395E-2</v>
      </c>
      <c r="P318" s="169">
        <f>(INDEX(Models!$BJ318:$BT318,,T318)*(1-R318)+INDEX(Models!$BJ318:$BT318,,T318+1)*R318-ERP_i)*Q318*Ramure*Pc/MaxiM</f>
        <v>4.0883173190678243E-4</v>
      </c>
      <c r="Q318" s="305">
        <f t="shared" si="105"/>
        <v>0.7</v>
      </c>
      <c r="R318" s="177">
        <f t="shared" si="106"/>
        <v>0.97381478750644468</v>
      </c>
      <c r="S318" s="921">
        <f t="shared" si="107"/>
        <v>-2</v>
      </c>
      <c r="T318" s="176">
        <f t="shared" si="108"/>
        <v>4</v>
      </c>
      <c r="U318" s="251">
        <f t="shared" si="109"/>
        <v>-1.0261852124935553</v>
      </c>
      <c r="V318" s="383">
        <f t="shared" si="110"/>
        <v>33.979718552757362</v>
      </c>
      <c r="W318" s="402">
        <f t="shared" si="111"/>
        <v>21.734329853069667</v>
      </c>
      <c r="X318" s="157">
        <f t="shared" si="112"/>
        <v>46326</v>
      </c>
      <c r="Y318" s="385">
        <f t="shared" si="113"/>
        <v>20.22037045358487</v>
      </c>
      <c r="Z318" s="385">
        <f t="shared" si="114"/>
        <v>21.632934231068734</v>
      </c>
      <c r="AA318" s="386">
        <f t="shared" si="115"/>
        <v>23.937412858285061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9.6270998075663611E-2</v>
      </c>
      <c r="AD318" s="231">
        <f>(INDEX(Models!$BJ318:$BT318,,AH318)*(1-AF318)+INDEX(Models!$BJ318:$BT318,,AH318+1)*AF318-ERP_i)*AE318*Ramure*Pc/MaxiM</f>
        <v>8.1629940796046092E-3</v>
      </c>
      <c r="AE318" s="305">
        <f t="shared" si="117"/>
        <v>0.7</v>
      </c>
      <c r="AF318" s="177">
        <f t="shared" si="118"/>
        <v>0.49880235388042404</v>
      </c>
      <c r="AG318" s="921">
        <f t="shared" si="124"/>
        <v>2</v>
      </c>
      <c r="AH318" s="176">
        <f t="shared" si="119"/>
        <v>8</v>
      </c>
      <c r="AI318" s="225">
        <f t="shared" si="120"/>
        <v>2.498802353880424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23.4186741572118</v>
      </c>
      <c r="C319" s="955"/>
      <c r="D319" s="393">
        <f t="shared" si="102"/>
        <v>25.055215253772587</v>
      </c>
      <c r="E319" s="385">
        <f t="shared" si="125"/>
        <v>25.893079012548835</v>
      </c>
      <c r="F319" s="385">
        <f t="shared" si="103"/>
        <v>25.899031744608564</v>
      </c>
      <c r="G319" s="110">
        <f t="shared" si="126"/>
        <v>0.69526033118048169</v>
      </c>
      <c r="H319" s="414" t="b">
        <f>Wh_hp&gt;='2025'!Maxi_hp</f>
        <v>0</v>
      </c>
      <c r="I319" s="390">
        <f>IF(H319,Wh_hp,'2025'!Maxi_hp)</f>
        <v>32.156200585342432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6.5317383226806247E-2</v>
      </c>
      <c r="M319" s="959"/>
      <c r="N319" s="959"/>
      <c r="O319" s="48">
        <f>IF(t&lt;Tnet,'2025'!Resal+('2025'!Salim-'2025'!Resal)*(1-EXP(('2025'!Tnet-t)/('2025'!Tau_j))),Resal+(Salim-Resal)*(1-EXP((Tnet-t)/(Tau_j))))*Salcycl</f>
        <v>3.2358598927929166E-2</v>
      </c>
      <c r="P319" s="169">
        <f>(INDEX(Models!$BJ319:$BT319,,T319)*(1-R319)+INDEX(Models!$BJ319:$BT319,,T319+1)*R319-ERP_i)*Q319*Ramure*Pc/MaxiM</f>
        <v>4.0692306604667936E-4</v>
      </c>
      <c r="Q319" s="305">
        <f t="shared" si="105"/>
        <v>0.7</v>
      </c>
      <c r="R319" s="177">
        <f t="shared" si="106"/>
        <v>0.97387102371858636</v>
      </c>
      <c r="S319" s="921">
        <f t="shared" si="107"/>
        <v>-2</v>
      </c>
      <c r="T319" s="176">
        <f t="shared" si="108"/>
        <v>4</v>
      </c>
      <c r="U319" s="251">
        <f t="shared" si="109"/>
        <v>-1.0261289762814136</v>
      </c>
      <c r="V319" s="383">
        <f t="shared" si="110"/>
        <v>33.677351047227901</v>
      </c>
      <c r="W319" s="402">
        <f t="shared" si="111"/>
        <v>23.4186741572118</v>
      </c>
      <c r="X319" s="157">
        <f t="shared" si="112"/>
        <v>46327</v>
      </c>
      <c r="Y319" s="385">
        <f t="shared" si="113"/>
        <v>21.772060024399167</v>
      </c>
      <c r="Z319" s="385">
        <f t="shared" si="114"/>
        <v>23.293532621332879</v>
      </c>
      <c r="AA319" s="386">
        <f t="shared" si="115"/>
        <v>25.774726614233526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9.6264609515992347E-2</v>
      </c>
      <c r="AD319" s="231">
        <f>(INDEX(Models!$BJ319:$BT319,,AH319)*(1-AF319)+INDEX(Models!$BJ319:$BT319,,AH319+1)*AF319-ERP_i)*AE319*Ramure*Pc/MaxiM</f>
        <v>8.4973797358940898E-3</v>
      </c>
      <c r="AE319" s="305">
        <f t="shared" si="117"/>
        <v>0.7</v>
      </c>
      <c r="AF319" s="177">
        <f t="shared" si="118"/>
        <v>0.49885859009256528</v>
      </c>
      <c r="AG319" s="921">
        <f t="shared" si="124"/>
        <v>2</v>
      </c>
      <c r="AH319" s="176">
        <f t="shared" si="119"/>
        <v>8</v>
      </c>
      <c r="AI319" s="225">
        <f t="shared" si="120"/>
        <v>2.4988585900925653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29.347155535397899</v>
      </c>
      <c r="C320" s="955"/>
      <c r="D320" s="393">
        <f t="shared" si="102"/>
        <v>31.398677798050702</v>
      </c>
      <c r="E320" s="385">
        <f t="shared" si="125"/>
        <v>32.451921667091902</v>
      </c>
      <c r="F320" s="385">
        <f t="shared" si="103"/>
        <v>32.462812434481044</v>
      </c>
      <c r="G320" s="110">
        <f t="shared" si="126"/>
        <v>0.87938430040078863</v>
      </c>
      <c r="H320" s="414" t="b">
        <f>Wh_hp&gt;='2025'!Maxi_hp</f>
        <v>0</v>
      </c>
      <c r="I320" s="390">
        <f>IF(H320,Wh_hp,'2025'!Maxi_hp)</f>
        <v>32.463976390778633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6.5337855174913306E-2</v>
      </c>
      <c r="M320" s="959"/>
      <c r="N320" s="959"/>
      <c r="O320" s="48">
        <f>IF(t&lt;Tnet,'2025'!Resal+('2025'!Salim-'2025'!Resal)*(1-EXP(('2025'!Tnet-t)/('2025'!Tau_j))),Resal+(Salim-Resal)*(1-EXP((Tnet-t)/(Tau_j))))*Salcycl</f>
        <v>3.2455516189330916E-2</v>
      </c>
      <c r="P320" s="169">
        <f>(INDEX(Models!$BJ320:$BT320,,T320)*(1-R320)+INDEX(Models!$BJ320:$BT320,,T320+1)*R320-ERP_i)*Q320*Ramure*Pc/MaxiM</f>
        <v>4.0528229532263389E-4</v>
      </c>
      <c r="Q320" s="305">
        <f t="shared" si="105"/>
        <v>0.7</v>
      </c>
      <c r="R320" s="177">
        <f t="shared" si="106"/>
        <v>0.97392500760794043</v>
      </c>
      <c r="S320" s="921">
        <f t="shared" si="107"/>
        <v>-2</v>
      </c>
      <c r="T320" s="176">
        <f t="shared" si="108"/>
        <v>4</v>
      </c>
      <c r="U320" s="251">
        <f t="shared" si="109"/>
        <v>-1.0260749923920596</v>
      </c>
      <c r="V320" s="383">
        <f t="shared" si="110"/>
        <v>33.370059557717049</v>
      </c>
      <c r="W320" s="402">
        <f t="shared" si="111"/>
        <v>29.347155535397899</v>
      </c>
      <c r="X320" s="157">
        <f t="shared" si="112"/>
        <v>46328</v>
      </c>
      <c r="Y320" s="385">
        <f t="shared" si="113"/>
        <v>27.219995244485439</v>
      </c>
      <c r="Z320" s="385">
        <f t="shared" si="114"/>
        <v>29.122817688930162</v>
      </c>
      <c r="AA320" s="386">
        <f t="shared" si="115"/>
        <v>32.224704471726049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9.6258036610311903E-2</v>
      </c>
      <c r="AD320" s="231">
        <f>(INDEX(Models!$BJ320:$BT320,,AH320)*(1-AF320)+INDEX(Models!$BJ320:$BT320,,AH320+1)*AF320-ERP_i)*AE320*Ramure*Pc/MaxiM</f>
        <v>8.8608027544634042E-3</v>
      </c>
      <c r="AE320" s="305">
        <f t="shared" si="117"/>
        <v>0.7</v>
      </c>
      <c r="AF320" s="177">
        <f t="shared" si="118"/>
        <v>0.49891257398191957</v>
      </c>
      <c r="AG320" s="921">
        <f t="shared" si="124"/>
        <v>2</v>
      </c>
      <c r="AH320" s="176">
        <f t="shared" si="119"/>
        <v>8</v>
      </c>
      <c r="AI320" s="225">
        <f t="shared" si="120"/>
        <v>2.4989125739819196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10.206281970517527</v>
      </c>
      <c r="C321" s="955"/>
      <c r="D321" s="393">
        <f t="shared" si="102"/>
        <v>10.919994541014342</v>
      </c>
      <c r="E321" s="385">
        <f t="shared" si="125"/>
        <v>11.287424758050715</v>
      </c>
      <c r="F321" s="385">
        <f t="shared" si="103"/>
        <v>11.287481598169581</v>
      </c>
      <c r="G321" s="110">
        <f t="shared" si="126"/>
        <v>0.30860422056588666</v>
      </c>
      <c r="H321" s="414" t="b">
        <f>Wh_hp&gt;='2025'!Maxi_hp</f>
        <v>0</v>
      </c>
      <c r="I321" s="390">
        <f>IF(H321,Wh_hp,'2025'!Maxi_hp)</f>
        <v>31.18806335046073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6.535832667463215E-2</v>
      </c>
      <c r="M321" s="959"/>
      <c r="N321" s="959"/>
      <c r="O321" s="48">
        <f>IF(t&lt;Tnet,'2025'!Resal+('2025'!Salim-'2025'!Resal)*(1-EXP(('2025'!Tnet-t)/('2025'!Tau_j))),Resal+(Salim-Resal)*(1-EXP((Tnet-t)/(Tau_j))))*Salcycl</f>
        <v>3.2552174203801978E-2</v>
      </c>
      <c r="P321" s="169">
        <f>(INDEX(Models!$BJ321:$BT321,,T321)*(1-R321)+INDEX(Models!$BJ321:$BT321,,T321+1)*R321-ERP_i)*Q321*Ramure*Pc/MaxiM</f>
        <v>4.0389921401015529E-4</v>
      </c>
      <c r="Q321" s="305">
        <f t="shared" si="105"/>
        <v>0.7</v>
      </c>
      <c r="R321" s="177">
        <f t="shared" si="106"/>
        <v>0.9739768289233337</v>
      </c>
      <c r="S321" s="921">
        <f t="shared" si="107"/>
        <v>-2</v>
      </c>
      <c r="T321" s="176">
        <f t="shared" si="108"/>
        <v>4</v>
      </c>
      <c r="U321" s="251">
        <f t="shared" si="109"/>
        <v>-1.0260231710766663</v>
      </c>
      <c r="V321" s="383">
        <f t="shared" si="110"/>
        <v>33.05920773730849</v>
      </c>
      <c r="W321" s="402">
        <f t="shared" si="111"/>
        <v>10.206281970517527</v>
      </c>
      <c r="X321" s="157">
        <f t="shared" si="112"/>
        <v>46329</v>
      </c>
      <c r="Y321" s="385">
        <f t="shared" si="113"/>
        <v>9.5332226874260577</v>
      </c>
      <c r="Z321" s="385">
        <f t="shared" si="114"/>
        <v>10.199869061592066</v>
      </c>
      <c r="AA321" s="386">
        <f t="shared" si="115"/>
        <v>11.286179385677514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9.6251378519112279E-2</v>
      </c>
      <c r="AD321" s="231">
        <f>(INDEX(Models!$BJ321:$BT321,,AH321)*(1-AF321)+INDEX(Models!$BJ321:$BT321,,AH321+1)*AF321-ERP_i)*AE321*Ramure*Pc/MaxiM</f>
        <v>9.2533691433094502E-3</v>
      </c>
      <c r="AE321" s="305">
        <f t="shared" si="117"/>
        <v>0.7</v>
      </c>
      <c r="AF321" s="177">
        <f t="shared" si="118"/>
        <v>0.49896439529731307</v>
      </c>
      <c r="AG321" s="921">
        <f t="shared" si="124"/>
        <v>2</v>
      </c>
      <c r="AH321" s="176">
        <f t="shared" si="119"/>
        <v>8</v>
      </c>
      <c r="AI321" s="225">
        <f t="shared" si="120"/>
        <v>2.4989643952973131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11.915545218929577</v>
      </c>
      <c r="C322" s="955"/>
      <c r="D322" s="393">
        <f t="shared" si="102"/>
        <v>12.749063674072293</v>
      </c>
      <c r="E322" s="385">
        <f t="shared" si="125"/>
        <v>13.179351135100445</v>
      </c>
      <c r="F322" s="385">
        <f t="shared" si="103"/>
        <v>13.179835531288997</v>
      </c>
      <c r="G322" s="110">
        <f t="shared" si="126"/>
        <v>0.36374293517365147</v>
      </c>
      <c r="H322" s="414" t="b">
        <f>Wh_hp&gt;='2025'!Maxi_hp</f>
        <v>0</v>
      </c>
      <c r="I322" s="390">
        <f>IF(H322,Wh_hp,'2025'!Maxi_hp)</f>
        <v>29.822160701304174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6.5378797725972548E-2</v>
      </c>
      <c r="M322" s="959"/>
      <c r="N322" s="959"/>
      <c r="O322" s="48">
        <f>IF(t&lt;Tnet,'2025'!Resal+('2025'!Salim-'2025'!Resal)*(1-EXP(('2025'!Tnet-t)/('2025'!Tau_j))),Resal+(Salim-Resal)*(1-EXP((Tnet-t)/(Tau_j))))*Salcycl</f>
        <v>3.26486074023912E-2</v>
      </c>
      <c r="P322" s="169">
        <f>(INDEX(Models!$BJ322:$BT322,,T322)*(1-R322)+INDEX(Models!$BJ322:$BT322,,T322+1)*R322-ERP_i)*Q322*Ramure*Pc/MaxiM</f>
        <v>4.0276360583527484E-4</v>
      </c>
      <c r="Q322" s="305">
        <f t="shared" si="105"/>
        <v>0.7</v>
      </c>
      <c r="R322" s="177">
        <f t="shared" si="106"/>
        <v>0.97402657387350611</v>
      </c>
      <c r="S322" s="921">
        <f t="shared" si="107"/>
        <v>-2</v>
      </c>
      <c r="T322" s="176">
        <f t="shared" si="108"/>
        <v>4</v>
      </c>
      <c r="U322" s="251">
        <f t="shared" si="109"/>
        <v>-1.0259734261264939</v>
      </c>
      <c r="V322" s="383">
        <f t="shared" si="110"/>
        <v>32.746158588455586</v>
      </c>
      <c r="W322" s="402">
        <f t="shared" si="111"/>
        <v>11.915545218929577</v>
      </c>
      <c r="X322" s="157">
        <f t="shared" si="112"/>
        <v>46330</v>
      </c>
      <c r="Y322" s="385">
        <f t="shared" si="113"/>
        <v>11.122767604239707</v>
      </c>
      <c r="Z322" s="385">
        <f t="shared" si="114"/>
        <v>11.900829530912517</v>
      </c>
      <c r="AA322" s="386">
        <f t="shared" si="115"/>
        <v>13.168199397746722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9.6244735407869819E-2</v>
      </c>
      <c r="AD322" s="231">
        <f>(INDEX(Models!$BJ322:$BT322,,AH322)*(1-AF322)+INDEX(Models!$BJ322:$BT322,,AH322+1)*AF322-ERP_i)*AE322*Ramure*Pc/MaxiM</f>
        <v>9.6751609823325403E-3</v>
      </c>
      <c r="AE322" s="305">
        <f t="shared" si="117"/>
        <v>0.7</v>
      </c>
      <c r="AF322" s="177">
        <f t="shared" si="118"/>
        <v>0.49901414024748503</v>
      </c>
      <c r="AG322" s="921">
        <f t="shared" si="124"/>
        <v>2</v>
      </c>
      <c r="AH322" s="176">
        <f t="shared" si="119"/>
        <v>8</v>
      </c>
      <c r="AI322" s="225">
        <f t="shared" si="120"/>
        <v>2.499014140247485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31.306966088460424</v>
      </c>
      <c r="C323" s="955"/>
      <c r="D323" s="393">
        <f t="shared" si="102"/>
        <v>33.497690540519827</v>
      </c>
      <c r="E323" s="385">
        <f t="shared" si="125"/>
        <v>34.631700403690481</v>
      </c>
      <c r="F323" s="385">
        <f t="shared" si="103"/>
        <v>34.644932887539632</v>
      </c>
      <c r="G323" s="110">
        <f t="shared" si="126"/>
        <v>0.9652835869273938</v>
      </c>
      <c r="H323" s="414" t="b">
        <f>Wh_hp&gt;='2025'!Maxi_hp</f>
        <v>0</v>
      </c>
      <c r="I323" s="390">
        <f>IF(H323,Wh_hp,'2025'!Maxi_hp)</f>
        <v>34.645287346673015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6.5399268328944493E-2</v>
      </c>
      <c r="M323" s="959"/>
      <c r="N323" s="959"/>
      <c r="O323" s="48">
        <f>IF(t&lt;Tnet,'2025'!Resal+('2025'!Salim-'2025'!Resal)*(1-EXP(('2025'!Tnet-t)/('2025'!Tau_j))),Resal+(Salim-Resal)*(1-EXP((Tnet-t)/(Tau_j))))*Salcycl</f>
        <v>3.274485081448119E-2</v>
      </c>
      <c r="P323" s="169">
        <f>(INDEX(Models!$BJ323:$BT323,,T323)*(1-R323)+INDEX(Models!$BJ323:$BT323,,T323+1)*R323-ERP_i)*Q323*Ramure*Pc/MaxiM</f>
        <v>4.0186512849190928E-4</v>
      </c>
      <c r="Q323" s="305">
        <f t="shared" si="105"/>
        <v>0.7</v>
      </c>
      <c r="R323" s="177">
        <f t="shared" si="106"/>
        <v>0.97407432526389548</v>
      </c>
      <c r="S323" s="921">
        <f t="shared" si="107"/>
        <v>-2</v>
      </c>
      <c r="T323" s="176">
        <f t="shared" si="108"/>
        <v>4</v>
      </c>
      <c r="U323" s="251">
        <f t="shared" si="109"/>
        <v>-1.0259256747361045</v>
      </c>
      <c r="V323" s="383">
        <f t="shared" si="110"/>
        <v>32.432274471380083</v>
      </c>
      <c r="W323" s="402">
        <f t="shared" si="111"/>
        <v>31.306966088460424</v>
      </c>
      <c r="X323" s="157">
        <f t="shared" si="112"/>
        <v>46331</v>
      </c>
      <c r="Y323" s="385">
        <f t="shared" si="113"/>
        <v>28.981429030285589</v>
      </c>
      <c r="Z323" s="385">
        <f t="shared" si="114"/>
        <v>31.009422578203125</v>
      </c>
      <c r="AA323" s="386">
        <f t="shared" si="115"/>
        <v>34.311499836276909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9.6238208001113407E-2</v>
      </c>
      <c r="AD323" s="231">
        <f>(INDEX(Models!$BJ323:$BT323,,AH323)*(1-AF323)+INDEX(Models!$BJ323:$BT323,,AH323+1)*AF323-ERP_i)*AE323*Ramure*Pc/MaxiM</f>
        <v>1.0126225545908066E-2</v>
      </c>
      <c r="AE323" s="305">
        <f t="shared" si="117"/>
        <v>0.7</v>
      </c>
      <c r="AF323" s="177">
        <f t="shared" si="118"/>
        <v>0.49906189163787484</v>
      </c>
      <c r="AG323" s="921">
        <f t="shared" si="124"/>
        <v>2</v>
      </c>
      <c r="AH323" s="176">
        <f t="shared" si="119"/>
        <v>8</v>
      </c>
      <c r="AI323" s="225">
        <f t="shared" si="120"/>
        <v>2.4990618916378748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30.942990232727873</v>
      </c>
      <c r="C324" s="955"/>
      <c r="D324" s="393">
        <f t="shared" si="102"/>
        <v>33.108970418998609</v>
      </c>
      <c r="E324" s="385">
        <f t="shared" si="125"/>
        <v>34.233221592354425</v>
      </c>
      <c r="F324" s="385">
        <f t="shared" si="103"/>
        <v>34.246255125174436</v>
      </c>
      <c r="G324" s="110">
        <f t="shared" si="126"/>
        <v>0.96336847622953858</v>
      </c>
      <c r="H324" s="414" t="b">
        <f>Wh_hp&gt;='2025'!Maxi_hp</f>
        <v>0</v>
      </c>
      <c r="I324" s="390">
        <f>IF(H324,Wh_hp,'2025'!Maxi_hp)</f>
        <v>34.246624560288446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6.5419738483557643E-2</v>
      </c>
      <c r="M324" s="959"/>
      <c r="N324" s="959"/>
      <c r="O324" s="48">
        <f>IF(t&lt;Tnet,'2025'!Resal+('2025'!Salim-'2025'!Resal)*(1-EXP(('2025'!Tnet-t)/('2025'!Tau_j))),Resal+(Salim-Resal)*(1-EXP((Tnet-t)/(Tau_j))))*Salcycl</f>
        <v>3.2840939913376554E-2</v>
      </c>
      <c r="P324" s="169">
        <f>(INDEX(Models!$BJ324:$BT324,,T324)*(1-R324)+INDEX(Models!$BJ324:$BT324,,T324+1)*R324-ERP_i)*Q324*Ramure*Pc/MaxiM</f>
        <v>4.0158642188319467E-4</v>
      </c>
      <c r="Q324" s="305">
        <f t="shared" si="105"/>
        <v>0.7</v>
      </c>
      <c r="R324" s="177">
        <f t="shared" si="106"/>
        <v>0.97412016262836465</v>
      </c>
      <c r="S324" s="921">
        <f t="shared" si="107"/>
        <v>-2</v>
      </c>
      <c r="T324" s="176">
        <f t="shared" si="108"/>
        <v>4</v>
      </c>
      <c r="U324" s="251">
        <f t="shared" si="109"/>
        <v>-1.0258798373716354</v>
      </c>
      <c r="V324" s="383">
        <f t="shared" si="110"/>
        <v>32.118904480819261</v>
      </c>
      <c r="W324" s="402">
        <f t="shared" si="111"/>
        <v>30.942990232727873</v>
      </c>
      <c r="X324" s="157">
        <f t="shared" si="112"/>
        <v>46332</v>
      </c>
      <c r="Y324" s="385">
        <f t="shared" si="113"/>
        <v>28.635566193394691</v>
      </c>
      <c r="Z324" s="385">
        <f t="shared" si="114"/>
        <v>30.640028869142661</v>
      </c>
      <c r="AA324" s="386">
        <f t="shared" si="115"/>
        <v>33.902534036971247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9.6231897128125396E-2</v>
      </c>
      <c r="AD324" s="231">
        <f>(INDEX(Models!$BJ324:$BT324,,AH324)*(1-AF324)+INDEX(Models!$BJ324:$BT324,,AH324+1)*AF324-ERP_i)*AE324*Ramure*Pc/MaxiM</f>
        <v>1.0590660555627178E-2</v>
      </c>
      <c r="AE324" s="305">
        <f t="shared" si="117"/>
        <v>0.7</v>
      </c>
      <c r="AF324" s="177">
        <f t="shared" si="118"/>
        <v>0.49910772900234379</v>
      </c>
      <c r="AG324" s="921">
        <f t="shared" si="124"/>
        <v>2</v>
      </c>
      <c r="AH324" s="176">
        <f t="shared" si="119"/>
        <v>8</v>
      </c>
      <c r="AI324" s="225">
        <f t="shared" si="120"/>
        <v>2.4991077290023438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29.57968451048793</v>
      </c>
      <c r="C325" s="955"/>
      <c r="D325" s="393">
        <f t="shared" si="102"/>
        <v>31.650927816179756</v>
      </c>
      <c r="E325" s="385">
        <f t="shared" si="125"/>
        <v>32.728917232429048</v>
      </c>
      <c r="F325" s="385">
        <f t="shared" si="103"/>
        <v>32.740757124595852</v>
      </c>
      <c r="G325" s="110">
        <f t="shared" si="126"/>
        <v>0.9299245741270995</v>
      </c>
      <c r="H325" s="414" t="b">
        <f>Wh_hp&gt;='2025'!Maxi_hp</f>
        <v>0</v>
      </c>
      <c r="I325" s="390">
        <f>IF(H325,Wh_hp,'2025'!Maxi_hp)</f>
        <v>32.741433165464031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6.544020818982188E-2</v>
      </c>
      <c r="M325" s="959"/>
      <c r="N325" s="959"/>
      <c r="O325" s="48">
        <f>IF(t&lt;Tnet,'2025'!Resal+('2025'!Salim-'2025'!Resal)*(1-EXP(('2025'!Tnet-t)/('2025'!Tau_j))),Resal+(Salim-Resal)*(1-EXP((Tnet-t)/(Tau_j))))*Salcycl</f>
        <v>3.2936910457312001E-2</v>
      </c>
      <c r="P325" s="169">
        <f>(INDEX(Models!$BJ325:$BT325,,T325)*(1-R325)+INDEX(Models!$BJ325:$BT325,,T325+1)*R325-ERP_i)*Q325*Ramure*Pc/MaxiM</f>
        <v>4.0183034646711275E-4</v>
      </c>
      <c r="Q325" s="305">
        <f t="shared" si="105"/>
        <v>0.7</v>
      </c>
      <c r="R325" s="177">
        <f t="shared" si="106"/>
        <v>0.97416416235603576</v>
      </c>
      <c r="S325" s="921">
        <f t="shared" si="107"/>
        <v>-2</v>
      </c>
      <c r="T325" s="176">
        <f t="shared" si="108"/>
        <v>4</v>
      </c>
      <c r="U325" s="251">
        <f t="shared" si="109"/>
        <v>-1.0258358376439642</v>
      </c>
      <c r="V325" s="383">
        <f t="shared" si="110"/>
        <v>31.807412833358129</v>
      </c>
      <c r="W325" s="402">
        <f t="shared" si="111"/>
        <v>29.57968451048793</v>
      </c>
      <c r="X325" s="157">
        <f t="shared" si="112"/>
        <v>46333</v>
      </c>
      <c r="Y325" s="385">
        <f t="shared" si="113"/>
        <v>27.378817236997204</v>
      </c>
      <c r="Z325" s="385">
        <f t="shared" si="114"/>
        <v>29.295950325410764</v>
      </c>
      <c r="AA325" s="386">
        <f t="shared" si="115"/>
        <v>32.41512500877586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9.6225903263387966E-2</v>
      </c>
      <c r="AD325" s="231">
        <f>(INDEX(Models!$BJ325:$BT325,,AH325)*(1-AF325)+INDEX(Models!$BJ325:$BT325,,AH325+1)*AF325-ERP_i)*AE325*Ramure*Pc/MaxiM</f>
        <v>1.1051525138685771E-2</v>
      </c>
      <c r="AE325" s="305">
        <f t="shared" si="117"/>
        <v>0.7</v>
      </c>
      <c r="AF325" s="177">
        <f t="shared" si="118"/>
        <v>0.4991517287300149</v>
      </c>
      <c r="AG325" s="921">
        <f t="shared" si="124"/>
        <v>2</v>
      </c>
      <c r="AH325" s="176">
        <f t="shared" si="119"/>
        <v>8</v>
      </c>
      <c r="AI325" s="225">
        <f t="shared" si="120"/>
        <v>2.4991517287300149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20.236769181075992</v>
      </c>
      <c r="C326" s="955"/>
      <c r="D326" s="393">
        <f t="shared" si="102"/>
        <v>21.65427253056491</v>
      </c>
      <c r="E326" s="385">
        <f t="shared" si="125"/>
        <v>22.394009324306712</v>
      </c>
      <c r="F326" s="385">
        <f t="shared" si="103"/>
        <v>22.398420786890192</v>
      </c>
      <c r="G326" s="110">
        <f t="shared" si="126"/>
        <v>0.64232210814117241</v>
      </c>
      <c r="H326" s="414" t="b">
        <f>Wh_hp&gt;='2025'!Maxi_hp</f>
        <v>0</v>
      </c>
      <c r="I326" s="390">
        <f>IF(H326,Wh_hp,'2025'!Maxi_hp)</f>
        <v>27.419796880522092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6.5460677447746973E-2</v>
      </c>
      <c r="M326" s="959"/>
      <c r="N326" s="959"/>
      <c r="O326" s="48">
        <f>IF(t&lt;Tnet,'2025'!Resal+('2025'!Salim-'2025'!Resal)*(1-EXP(('2025'!Tnet-t)/('2025'!Tau_j))),Resal+(Salim-Resal)*(1-EXP((Tnet-t)/(Tau_j))))*Salcycl</f>
        <v>3.3032798326956277E-2</v>
      </c>
      <c r="P326" s="169">
        <f>(INDEX(Models!$BJ326:$BT326,,T326)*(1-R326)+INDEX(Models!$BJ326:$BT326,,T326+1)*R326-ERP_i)*Q326*Ramure*Pc/MaxiM</f>
        <v>4.0258787197380164E-4</v>
      </c>
      <c r="Q326" s="305">
        <f t="shared" si="105"/>
        <v>0.7</v>
      </c>
      <c r="R326" s="177">
        <f t="shared" si="106"/>
        <v>0.9742063978134019</v>
      </c>
      <c r="S326" s="921">
        <f t="shared" si="107"/>
        <v>-2</v>
      </c>
      <c r="T326" s="176">
        <f t="shared" si="108"/>
        <v>4</v>
      </c>
      <c r="U326" s="251">
        <f t="shared" si="109"/>
        <v>-1.0257936021865981</v>
      </c>
      <c r="V326" s="383">
        <f t="shared" si="110"/>
        <v>31.499160223978283</v>
      </c>
      <c r="W326" s="402">
        <f t="shared" si="111"/>
        <v>20.236769181075992</v>
      </c>
      <c r="X326" s="157">
        <f t="shared" si="112"/>
        <v>46334</v>
      </c>
      <c r="Y326" s="385">
        <f t="shared" si="113"/>
        <v>18.811589425607544</v>
      </c>
      <c r="Z326" s="385">
        <f t="shared" si="114"/>
        <v>20.129264731453532</v>
      </c>
      <c r="AA326" s="386">
        <f t="shared" si="115"/>
        <v>22.272314051732316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9.6220326064956022E-2</v>
      </c>
      <c r="AD326" s="231">
        <f>(INDEX(Models!$BJ326:$BT326,,AH326)*(1-AF326)+INDEX(Models!$BJ326:$BT326,,AH326+1)*AF326-ERP_i)*AE326*Ramure*Pc/MaxiM</f>
        <v>1.1508437663932274E-2</v>
      </c>
      <c r="AE326" s="305">
        <f t="shared" si="117"/>
        <v>0.7</v>
      </c>
      <c r="AF326" s="177">
        <f t="shared" si="118"/>
        <v>0.49919396418738105</v>
      </c>
      <c r="AG326" s="921">
        <f t="shared" si="124"/>
        <v>2</v>
      </c>
      <c r="AH326" s="176">
        <f t="shared" si="119"/>
        <v>8</v>
      </c>
      <c r="AI326" s="225">
        <f t="shared" si="120"/>
        <v>2.499193964187381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10.705086168749297</v>
      </c>
      <c r="C327" s="955"/>
      <c r="D327" s="393">
        <f t="shared" si="102"/>
        <v>11.455184800045998</v>
      </c>
      <c r="E327" s="385">
        <f t="shared" si="125"/>
        <v>11.847682397449177</v>
      </c>
      <c r="F327" s="385">
        <f t="shared" si="103"/>
        <v>11.847977422281028</v>
      </c>
      <c r="G327" s="110">
        <f t="shared" si="126"/>
        <v>0.3430311128711932</v>
      </c>
      <c r="H327" s="414" t="b">
        <f>Wh_hp&gt;='2025'!Maxi_hp</f>
        <v>0</v>
      </c>
      <c r="I327" s="390">
        <f>IF(H327,Wh_hp,'2025'!Maxi_hp)</f>
        <v>26.175340990445164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6.5481146257342804E-2</v>
      </c>
      <c r="M327" s="959"/>
      <c r="N327" s="959"/>
      <c r="O327" s="48">
        <f>IF(t&lt;Tnet,'2025'!Resal+('2025'!Salim-'2025'!Resal)*(1-EXP(('2025'!Tnet-t)/('2025'!Tau_j))),Resal+(Salim-Resal)*(1-EXP((Tnet-t)/(Tau_j))))*Salcycl</f>
        <v>3.3128639360528643E-2</v>
      </c>
      <c r="P327" s="169">
        <f>(INDEX(Models!$BJ327:$BT327,,T327)*(1-R327)+INDEX(Models!$BJ327:$BT327,,T327+1)*R327-ERP_i)*Q327*Ramure*Pc/MaxiM</f>
        <v>4.0384928717723177E-4</v>
      </c>
      <c r="Q327" s="305">
        <f t="shared" si="105"/>
        <v>0.7</v>
      </c>
      <c r="R327" s="177">
        <f t="shared" si="106"/>
        <v>0.97424693946187135</v>
      </c>
      <c r="S327" s="921">
        <f t="shared" si="107"/>
        <v>-2</v>
      </c>
      <c r="T327" s="176">
        <f t="shared" si="108"/>
        <v>4</v>
      </c>
      <c r="U327" s="251">
        <f t="shared" si="109"/>
        <v>-1.0257530605381286</v>
      </c>
      <c r="V327" s="383">
        <f t="shared" si="110"/>
        <v>31.195506735822335</v>
      </c>
      <c r="W327" s="402">
        <f t="shared" si="111"/>
        <v>10.705086168749297</v>
      </c>
      <c r="X327" s="157">
        <f t="shared" si="112"/>
        <v>46335</v>
      </c>
      <c r="Y327" s="385">
        <f t="shared" si="113"/>
        <v>9.9994676277603656</v>
      </c>
      <c r="Z327" s="385">
        <f t="shared" si="114"/>
        <v>10.700124013243252</v>
      </c>
      <c r="AA327" s="386">
        <f t="shared" si="115"/>
        <v>11.839239573332248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9.6215263913979804E-2</v>
      </c>
      <c r="AD327" s="231">
        <f>(INDEX(Models!$BJ327:$BT327,,AH327)*(1-AF327)+INDEX(Models!$BJ327:$BT327,,AH327+1)*AF327-ERP_i)*AE327*Ramure*Pc/MaxiM</f>
        <v>1.1960939176847048E-2</v>
      </c>
      <c r="AE327" s="305">
        <f t="shared" si="117"/>
        <v>0.7</v>
      </c>
      <c r="AF327" s="177">
        <f t="shared" si="118"/>
        <v>0.4992345058358505</v>
      </c>
      <c r="AG327" s="921">
        <f t="shared" si="124"/>
        <v>2</v>
      </c>
      <c r="AH327" s="176">
        <f t="shared" si="119"/>
        <v>8</v>
      </c>
      <c r="AI327" s="225">
        <f t="shared" si="120"/>
        <v>2.4992345058358505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23.878095333811196</v>
      </c>
      <c r="C328" s="955"/>
      <c r="D328" s="393">
        <f t="shared" si="102"/>
        <v>25.551778052635409</v>
      </c>
      <c r="E328" s="385">
        <f t="shared" si="125"/>
        <v>26.429897363212881</v>
      </c>
      <c r="F328" s="385">
        <f t="shared" si="103"/>
        <v>26.437140122231991</v>
      </c>
      <c r="G328" s="110">
        <f t="shared" si="126"/>
        <v>0.77270685786570625</v>
      </c>
      <c r="H328" s="414" t="b">
        <f>Wh_hp&gt;='2025'!Maxi_hp</f>
        <v>0</v>
      </c>
      <c r="I328" s="390">
        <f>IF(H328,Wh_hp,'2025'!Maxi_hp)</f>
        <v>26.438927206460463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6.5501614618619142E-2</v>
      </c>
      <c r="M328" s="959"/>
      <c r="N328" s="959"/>
      <c r="O328" s="48">
        <f>IF(t&lt;Tnet,'2025'!Resal+('2025'!Salim-'2025'!Resal)*(1-EXP(('2025'!Tnet-t)/('2025'!Tau_j))),Resal+(Salim-Resal)*(1-EXP((Tnet-t)/(Tau_j))))*Salcycl</f>
        <v>3.3224469187674792E-2</v>
      </c>
      <c r="P328" s="169">
        <f>(INDEX(Models!$BJ328:$BT328,,T328)*(1-R328)+INDEX(Models!$BJ328:$BT328,,T328+1)*R328-ERP_i)*Q328*Ramure*Pc/MaxiM</f>
        <v>4.0560398832742265E-4</v>
      </c>
      <c r="Q328" s="305">
        <f t="shared" si="105"/>
        <v>0.7</v>
      </c>
      <c r="R328" s="177">
        <f t="shared" si="106"/>
        <v>0.97428585497090658</v>
      </c>
      <c r="S328" s="921">
        <f t="shared" si="107"/>
        <v>-2</v>
      </c>
      <c r="T328" s="176">
        <f t="shared" si="108"/>
        <v>4</v>
      </c>
      <c r="U328" s="251">
        <f t="shared" si="109"/>
        <v>-1.0257141450290934</v>
      </c>
      <c r="V328" s="383">
        <f t="shared" si="110"/>
        <v>30.897811838868037</v>
      </c>
      <c r="W328" s="402">
        <f t="shared" si="111"/>
        <v>23.878095333811196</v>
      </c>
      <c r="X328" s="157">
        <f t="shared" si="112"/>
        <v>46336</v>
      </c>
      <c r="Y328" s="385">
        <f t="shared" si="113"/>
        <v>22.141391966479489</v>
      </c>
      <c r="Z328" s="385">
        <f t="shared" si="114"/>
        <v>23.693344272011021</v>
      </c>
      <c r="AA328" s="386">
        <f t="shared" si="115"/>
        <v>26.215565117215647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9.6210813458615582E-2</v>
      </c>
      <c r="AD328" s="231">
        <f>(INDEX(Models!$BJ328:$BT328,,AH328)*(1-AF328)+INDEX(Models!$BJ328:$BT328,,AH328+1)*AF328-ERP_i)*AE328*Ramure*Pc/MaxiM</f>
        <v>1.2408490398640365E-2</v>
      </c>
      <c r="AE328" s="305">
        <f t="shared" si="117"/>
        <v>0.7</v>
      </c>
      <c r="AF328" s="177">
        <f t="shared" si="118"/>
        <v>0.49927342134488573</v>
      </c>
      <c r="AG328" s="921">
        <f t="shared" si="124"/>
        <v>2</v>
      </c>
      <c r="AH328" s="176">
        <f t="shared" si="119"/>
        <v>8</v>
      </c>
      <c r="AI328" s="225">
        <f t="shared" si="120"/>
        <v>2.4992734213448857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29.765212303083501</v>
      </c>
      <c r="C329" s="955"/>
      <c r="D329" s="393">
        <f t="shared" si="102"/>
        <v>31.852237218959839</v>
      </c>
      <c r="E329" s="385">
        <f t="shared" si="125"/>
        <v>32.950146753777965</v>
      </c>
      <c r="F329" s="385">
        <f t="shared" si="103"/>
        <v>32.963061948944699</v>
      </c>
      <c r="G329" s="110">
        <f t="shared" si="126"/>
        <v>0.97246749036291835</v>
      </c>
      <c r="H329" s="414" t="b">
        <f>Wh_hp&gt;='2025'!Maxi_hp</f>
        <v>0</v>
      </c>
      <c r="I329" s="390">
        <f>IF(H329,Wh_hp,'2025'!Maxi_hp)</f>
        <v>32.963333319719538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6.5522082531585868E-2</v>
      </c>
      <c r="M329" s="959"/>
      <c r="N329" s="959"/>
      <c r="O329" s="48">
        <f>IF(t&lt;Tnet,'2025'!Resal+('2025'!Salim-'2025'!Resal)*(1-EXP(('2025'!Tnet-t)/('2025'!Tau_j))),Resal+(Salim-Resal)*(1-EXP((Tnet-t)/(Tau_j))))*Salcycl</f>
        <v>3.3320323063272622E-2</v>
      </c>
      <c r="P329" s="169">
        <f>(INDEX(Models!$BJ329:$BT329,,T329)*(1-R329)+INDEX(Models!$BJ329:$BT329,,T329+1)*R329-ERP_i)*Q329*Ramure*Pc/MaxiM</f>
        <v>4.0784026484608698E-4</v>
      </c>
      <c r="Q329" s="305">
        <f t="shared" si="105"/>
        <v>0.7</v>
      </c>
      <c r="R329" s="177">
        <f t="shared" si="106"/>
        <v>0.97432320932690364</v>
      </c>
      <c r="S329" s="921">
        <f t="shared" si="107"/>
        <v>-2</v>
      </c>
      <c r="T329" s="176">
        <f t="shared" si="108"/>
        <v>4</v>
      </c>
      <c r="U329" s="251">
        <f t="shared" si="109"/>
        <v>-1.0256767906730964</v>
      </c>
      <c r="V329" s="383">
        <f t="shared" si="110"/>
        <v>30.607434398230943</v>
      </c>
      <c r="W329" s="402">
        <f t="shared" si="111"/>
        <v>29.765212303083501</v>
      </c>
      <c r="X329" s="157">
        <f t="shared" si="112"/>
        <v>46337</v>
      </c>
      <c r="Y329" s="385">
        <f t="shared" si="113"/>
        <v>27.496072000751589</v>
      </c>
      <c r="Z329" s="385">
        <f t="shared" si="114"/>
        <v>29.423993319436541</v>
      </c>
      <c r="AA329" s="386">
        <f t="shared" si="115"/>
        <v>32.556122443080106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9.6207069165551329E-2</v>
      </c>
      <c r="AD329" s="231">
        <f>(INDEX(Models!$BJ329:$BT329,,AH329)*(1-AF329)+INDEX(Models!$BJ329:$BT329,,AH329+1)*AF329-ERP_i)*AE329*Ramure*Pc/MaxiM</f>
        <v>1.2850469056449997E-2</v>
      </c>
      <c r="AE329" s="305">
        <f t="shared" si="117"/>
        <v>0.7</v>
      </c>
      <c r="AF329" s="177">
        <f t="shared" si="118"/>
        <v>0.49931077570088256</v>
      </c>
      <c r="AG329" s="921">
        <f t="shared" si="124"/>
        <v>2</v>
      </c>
      <c r="AH329" s="176">
        <f t="shared" si="119"/>
        <v>8</v>
      </c>
      <c r="AI329" s="225">
        <f t="shared" si="120"/>
        <v>2.4993107757008826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28.424469223148797</v>
      </c>
      <c r="C330" s="955"/>
      <c r="D330" s="393">
        <f t="shared" si="102"/>
        <v>30.418152504466434</v>
      </c>
      <c r="E330" s="385">
        <f t="shared" si="125"/>
        <v>31.469753194715782</v>
      </c>
      <c r="F330" s="385">
        <f t="shared" si="103"/>
        <v>31.48152020209525</v>
      </c>
      <c r="G330" s="110">
        <f t="shared" si="126"/>
        <v>0.93727079812998793</v>
      </c>
      <c r="H330" s="414" t="b">
        <f>Wh_hp&gt;='2025'!Maxi_hp</f>
        <v>0</v>
      </c>
      <c r="I330" s="390">
        <f>IF(H330,Wh_hp,'2025'!Maxi_hp)</f>
        <v>32.840746587016881</v>
      </c>
      <c r="J330" s="85">
        <f>IF(H330,An,'2025'!An_max)</f>
        <v>2020</v>
      </c>
      <c r="K330" s="197">
        <f t="shared" si="104"/>
        <v>46338</v>
      </c>
      <c r="L330" s="147">
        <f>IF(t&lt;Tvie,1-EXP((T0-t)*PertePVj)+'2025'!Pspv,1-EXP((T0-t)*PertePVj)+Pspv)</f>
        <v>6.5542549996252863E-2</v>
      </c>
      <c r="M330" s="959"/>
      <c r="N330" s="959"/>
      <c r="O330" s="48">
        <f>IF(t&lt;Tnet,'2025'!Resal+('2025'!Salim-'2025'!Resal)*(1-EXP(('2025'!Tnet-t)/('2025'!Tau_j))),Resal+(Salim-Resal)*(1-EXP((Tnet-t)/(Tau_j))))*Salcycl</f>
        <v>3.3416235702348168E-2</v>
      </c>
      <c r="P330" s="169">
        <f>(INDEX(Models!$BJ330:$BT330,,T330)*(1-R330)+INDEX(Models!$BJ330:$BT330,,T330+1)*R330-ERP_i)*Q330*Ramure*Pc/MaxiM</f>
        <v>4.1054508430621528E-4</v>
      </c>
      <c r="Q330" s="305">
        <f t="shared" si="105"/>
        <v>0.7</v>
      </c>
      <c r="R330" s="177">
        <f t="shared" si="106"/>
        <v>0.97435906493796676</v>
      </c>
      <c r="S330" s="921">
        <f t="shared" si="107"/>
        <v>-2</v>
      </c>
      <c r="T330" s="176">
        <f t="shared" si="108"/>
        <v>4</v>
      </c>
      <c r="U330" s="251">
        <f t="shared" si="109"/>
        <v>-1.0256409350620332</v>
      </c>
      <c r="V330" s="383">
        <f t="shared" si="110"/>
        <v>30.325732670729007</v>
      </c>
      <c r="W330" s="402">
        <f t="shared" si="111"/>
        <v>28.424469223148797</v>
      </c>
      <c r="X330" s="157">
        <f t="shared" si="112"/>
        <v>46338</v>
      </c>
      <c r="Y330" s="385">
        <f t="shared" si="113"/>
        <v>26.266380747382065</v>
      </c>
      <c r="Z330" s="385">
        <f t="shared" si="114"/>
        <v>28.108696385562272</v>
      </c>
      <c r="AA330" s="386">
        <f t="shared" si="115"/>
        <v>31.100713222110382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9.6204122882333168E-2</v>
      </c>
      <c r="AD330" s="231">
        <f>(INDEX(Models!$BJ330:$BT330,,AH330)*(1-AF330)+INDEX(Models!$BJ330:$BT330,,AH330+1)*AF330-ERP_i)*AE330*Ramure*Pc/MaxiM</f>
        <v>1.328616772817144E-2</v>
      </c>
      <c r="AE330" s="305">
        <f t="shared" si="117"/>
        <v>0.7</v>
      </c>
      <c r="AF330" s="177">
        <f t="shared" si="118"/>
        <v>0.4993466313119459</v>
      </c>
      <c r="AG330" s="921">
        <f t="shared" si="124"/>
        <v>2</v>
      </c>
      <c r="AH330" s="176">
        <f t="shared" si="119"/>
        <v>8</v>
      </c>
      <c r="AI330" s="225">
        <f t="shared" si="120"/>
        <v>2.4993466313119459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28.614556942663963</v>
      </c>
      <c r="C331" s="955"/>
      <c r="D331" s="393">
        <f t="shared" si="102"/>
        <v>30.622243622233341</v>
      </c>
      <c r="E331" s="385">
        <f t="shared" si="125"/>
        <v>31.68404704642451</v>
      </c>
      <c r="F331" s="385">
        <f t="shared" si="103"/>
        <v>31.69626691813146</v>
      </c>
      <c r="G331" s="110">
        <f t="shared" si="126"/>
        <v>0.95221040363070553</v>
      </c>
      <c r="H331" s="414" t="b">
        <f>Wh_hp&gt;='2025'!Maxi_hp</f>
        <v>0</v>
      </c>
      <c r="I331" s="390">
        <f>IF(H331,Wh_hp,'2025'!Maxi_hp)</f>
        <v>31.696726394945223</v>
      </c>
      <c r="J331" s="85">
        <f>IF(H331,An,'2025'!An_max)</f>
        <v>2025</v>
      </c>
      <c r="K331" s="197">
        <f t="shared" si="104"/>
        <v>46339</v>
      </c>
      <c r="L331" s="147">
        <f>IF(t&lt;Tvie,1-EXP((T0-t)*PertePVj)+'2025'!Pspv,1-EXP((T0-t)*PertePVj)+Pspv)</f>
        <v>6.5563017012629787E-2</v>
      </c>
      <c r="M331" s="959"/>
      <c r="N331" s="959"/>
      <c r="O331" s="48">
        <f>IF(t&lt;Tnet,'2025'!Resal+('2025'!Salim-'2025'!Resal)*(1-EXP(('2025'!Tnet-t)/('2025'!Tau_j))),Resal+(Salim-Resal)*(1-EXP((Tnet-t)/(Tau_j))))*Salcycl</f>
        <v>3.3512241117284632E-2</v>
      </c>
      <c r="P331" s="169">
        <f>(INDEX(Models!$BJ331:$BT331,,T331)*(1-R331)+INDEX(Models!$BJ331:$BT331,,T331+1)*R331-ERP_i)*Q331*Ramure*Pc/MaxiM</f>
        <v>4.1376232259092281E-4</v>
      </c>
      <c r="Q331" s="305">
        <f t="shared" si="105"/>
        <v>0.7</v>
      </c>
      <c r="R331" s="177">
        <f t="shared" si="106"/>
        <v>0.97439348173471751</v>
      </c>
      <c r="S331" s="921">
        <f t="shared" si="107"/>
        <v>-2</v>
      </c>
      <c r="T331" s="176">
        <f t="shared" si="108"/>
        <v>4</v>
      </c>
      <c r="U331" s="251">
        <f t="shared" si="109"/>
        <v>-1.0256065182652825</v>
      </c>
      <c r="V331" s="383">
        <f t="shared" si="110"/>
        <v>30.049817430630284</v>
      </c>
      <c r="W331" s="402">
        <f t="shared" si="111"/>
        <v>28.614556942663963</v>
      </c>
      <c r="X331" s="157">
        <f t="shared" si="112"/>
        <v>46339</v>
      </c>
      <c r="Y331" s="385">
        <f t="shared" si="113"/>
        <v>26.426708295535292</v>
      </c>
      <c r="Z331" s="385">
        <f t="shared" si="114"/>
        <v>28.280888681278224</v>
      </c>
      <c r="AA331" s="386">
        <f t="shared" si="115"/>
        <v>31.291163142166617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9.620206341361201E-2</v>
      </c>
      <c r="AD331" s="231">
        <f>(INDEX(Models!$BJ331:$BT331,,AH331)*(1-AF331)+INDEX(Models!$BJ331:$BT331,,AH331+1)*AF331-ERP_i)*AE331*Ramure*Pc/MaxiM</f>
        <v>1.3716729868631424E-2</v>
      </c>
      <c r="AE331" s="305">
        <f t="shared" si="117"/>
        <v>0.7</v>
      </c>
      <c r="AF331" s="177">
        <f t="shared" si="118"/>
        <v>0.49938104810869666</v>
      </c>
      <c r="AG331" s="921">
        <f t="shared" si="124"/>
        <v>2</v>
      </c>
      <c r="AH331" s="176">
        <f t="shared" si="119"/>
        <v>8</v>
      </c>
      <c r="AI331" s="225">
        <f t="shared" si="120"/>
        <v>2.4993810481086967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10.696671001828896</v>
      </c>
      <c r="C332" s="955"/>
      <c r="D332" s="393">
        <f t="shared" si="102"/>
        <v>11.447433573647675</v>
      </c>
      <c r="E332" s="385">
        <f t="shared" si="125"/>
        <v>11.845542994582772</v>
      </c>
      <c r="F332" s="385">
        <f t="shared" si="103"/>
        <v>11.845961470802921</v>
      </c>
      <c r="G332" s="110">
        <f t="shared" si="126"/>
        <v>0.35909885701767036</v>
      </c>
      <c r="H332" s="414" t="b">
        <f>Wh_hp&gt;='2025'!Maxi_hp</f>
        <v>0</v>
      </c>
      <c r="I332" s="390">
        <f>IF(H332,Wh_hp,'2025'!Maxi_hp)</f>
        <v>20.754830581758107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6.5583483580726409E-2</v>
      </c>
      <c r="M332" s="959"/>
      <c r="N332" s="959"/>
      <c r="O332" s="48">
        <f>IF(t&lt;Tnet,'2025'!Resal+('2025'!Salim-'2025'!Resal)*(1-EXP(('2025'!Tnet-t)/('2025'!Tau_j))),Resal+(Salim-Resal)*(1-EXP((Tnet-t)/(Tau_j))))*Salcycl</f>
        <v>3.3608372458498556E-2</v>
      </c>
      <c r="P332" s="169">
        <f>(INDEX(Models!$BJ332:$BT332,,T332)*(1-R332)+INDEX(Models!$BJ332:$BT332,,T332+1)*R332-ERP_i)*Q332*Ramure*Pc/MaxiM</f>
        <v>4.1745703089789756E-4</v>
      </c>
      <c r="Q332" s="305">
        <f t="shared" si="105"/>
        <v>0.7</v>
      </c>
      <c r="R332" s="177">
        <f t="shared" si="106"/>
        <v>0.97442651726727925</v>
      </c>
      <c r="S332" s="921">
        <f t="shared" si="107"/>
        <v>-2</v>
      </c>
      <c r="T332" s="176">
        <f t="shared" si="108"/>
        <v>4</v>
      </c>
      <c r="U332" s="251">
        <f t="shared" si="109"/>
        <v>-1.0255734827327208</v>
      </c>
      <c r="V332" s="383">
        <f t="shared" si="110"/>
        <v>29.776155294770522</v>
      </c>
      <c r="W332" s="402">
        <f t="shared" si="111"/>
        <v>10.696671001828896</v>
      </c>
      <c r="X332" s="157">
        <f t="shared" si="112"/>
        <v>46340</v>
      </c>
      <c r="Y332" s="385">
        <f t="shared" si="113"/>
        <v>9.992249377713847</v>
      </c>
      <c r="Z332" s="385">
        <f t="shared" si="114"/>
        <v>10.693571016921446</v>
      </c>
      <c r="AA332" s="386">
        <f t="shared" si="115"/>
        <v>11.831801909839456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9.6200976114335104E-2</v>
      </c>
      <c r="AD332" s="231">
        <f>(INDEX(Models!$BJ332:$BT332,,AH332)*(1-AF332)+INDEX(Models!$BJ332:$BT332,,AH332+1)*AF332-ERP_i)*AE332*Ramure*Pc/MaxiM</f>
        <v>1.4125075676960499E-2</v>
      </c>
      <c r="AE332" s="305">
        <f t="shared" si="117"/>
        <v>0.7</v>
      </c>
      <c r="AF332" s="177">
        <f t="shared" si="118"/>
        <v>0.49941408364125817</v>
      </c>
      <c r="AG332" s="921">
        <f t="shared" si="124"/>
        <v>2</v>
      </c>
      <c r="AH332" s="176">
        <f t="shared" si="119"/>
        <v>8</v>
      </c>
      <c r="AI332" s="225">
        <f t="shared" si="120"/>
        <v>2.4994140836412582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12.775838824596375</v>
      </c>
      <c r="C333" s="955"/>
      <c r="D333" s="393">
        <f t="shared" si="102"/>
        <v>13.672830509613226</v>
      </c>
      <c r="E333" s="385">
        <f t="shared" si="125"/>
        <v>14.149742806301887</v>
      </c>
      <c r="F333" s="385">
        <f t="shared" si="103"/>
        <v>14.150876128558664</v>
      </c>
      <c r="G333" s="110">
        <f t="shared" si="126"/>
        <v>0.43285602866575029</v>
      </c>
      <c r="H333" s="414" t="b">
        <f>Wh_hp&gt;='2025'!Maxi_hp</f>
        <v>0</v>
      </c>
      <c r="I333" s="390">
        <f>IF(H333,Wh_hp,'2025'!Maxi_hp)</f>
        <v>29.501536808911666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6.5603949700552833E-2</v>
      </c>
      <c r="M333" s="959"/>
      <c r="N333" s="959"/>
      <c r="O333" s="48">
        <f>IF(t&lt;Tnet,'2025'!Resal+('2025'!Salim-'2025'!Resal)*(1-EXP(('2025'!Tnet-t)/('2025'!Tau_j))),Resal+(Salim-Resal)*(1-EXP((Tnet-t)/(Tau_j))))*Salcycl</f>
        <v>3.3704661859737715E-2</v>
      </c>
      <c r="P333" s="169">
        <f>(INDEX(Models!$BJ333:$BT333,,T333)*(1-R333)+INDEX(Models!$BJ333:$BT333,,T333+1)*R333-ERP_i)*Q333*Ramure*Pc/MaxiM</f>
        <v>4.2150606909663367E-4</v>
      </c>
      <c r="Q333" s="305">
        <f t="shared" si="105"/>
        <v>0.7</v>
      </c>
      <c r="R333" s="177">
        <f t="shared" si="106"/>
        <v>0.97445822679857441</v>
      </c>
      <c r="S333" s="921">
        <f t="shared" si="107"/>
        <v>-2</v>
      </c>
      <c r="T333" s="176">
        <f t="shared" si="108"/>
        <v>4</v>
      </c>
      <c r="U333" s="251">
        <f t="shared" si="109"/>
        <v>-1.0255417732014256</v>
      </c>
      <c r="V333" s="383">
        <f t="shared" si="110"/>
        <v>29.505137351546963</v>
      </c>
      <c r="W333" s="402">
        <f t="shared" si="111"/>
        <v>12.775838824596375</v>
      </c>
      <c r="X333" s="157">
        <f t="shared" si="112"/>
        <v>46341</v>
      </c>
      <c r="Y333" s="385">
        <f t="shared" si="113"/>
        <v>11.917576527489851</v>
      </c>
      <c r="Z333" s="385">
        <f t="shared" si="114"/>
        <v>12.754309613862997</v>
      </c>
      <c r="AA333" s="386">
        <f t="shared" si="115"/>
        <v>14.111886384548839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9.6200942502786713E-2</v>
      </c>
      <c r="AD333" s="231">
        <f>(INDEX(Models!$BJ333:$BT333,,AH333)*(1-AF333)+INDEX(Models!$BJ333:$BT333,,AH333+1)*AF333-ERP_i)*AE333*Ramure*Pc/MaxiM</f>
        <v>1.4501095019012372E-2</v>
      </c>
      <c r="AE333" s="305">
        <f t="shared" si="117"/>
        <v>0.7</v>
      </c>
      <c r="AF333" s="177">
        <f t="shared" si="118"/>
        <v>0.49944579317255355</v>
      </c>
      <c r="AG333" s="921">
        <f t="shared" si="124"/>
        <v>2</v>
      </c>
      <c r="AH333" s="176">
        <f t="shared" si="119"/>
        <v>8</v>
      </c>
      <c r="AI333" s="225">
        <f t="shared" si="120"/>
        <v>2.4994457931725536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28.310552678845355</v>
      </c>
      <c r="C334" s="955"/>
      <c r="D334" s="393">
        <f t="shared" si="102"/>
        <v>30.298900297271935</v>
      </c>
      <c r="E334" s="385">
        <f t="shared" si="125"/>
        <v>31.358865716668948</v>
      </c>
      <c r="F334" s="385">
        <f t="shared" si="103"/>
        <v>31.371622288262348</v>
      </c>
      <c r="G334" s="110">
        <f t="shared" si="126"/>
        <v>0.96828883062567805</v>
      </c>
      <c r="H334" s="414" t="b">
        <f>Wh_hp&gt;='2025'!Maxi_hp</f>
        <v>0</v>
      </c>
      <c r="I334" s="390">
        <f>IF(H334,Wh_hp,'2025'!Maxi_hp)</f>
        <v>31.371932883653656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6.5624415372118605E-2</v>
      </c>
      <c r="M334" s="959"/>
      <c r="N334" s="959"/>
      <c r="O334" s="48">
        <f>IF(t&lt;Tnet,'2025'!Resal+('2025'!Salim-'2025'!Resal)*(1-EXP(('2025'!Tnet-t)/('2025'!Tau_j))),Resal+(Salim-Resal)*(1-EXP((Tnet-t)/(Tau_j))))*Salcycl</f>
        <v>3.3801140289126765E-2</v>
      </c>
      <c r="P334" s="169">
        <f>(INDEX(Models!$BJ334:$BT334,,T334)*(1-R334)+INDEX(Models!$BJ334:$BT334,,T334+1)*R334-ERP_i)*Q334*Ramure*Pc/MaxiM</f>
        <v>4.2591083813583525E-4</v>
      </c>
      <c r="Q334" s="305">
        <f t="shared" si="105"/>
        <v>0.7</v>
      </c>
      <c r="R334" s="177">
        <f t="shared" si="106"/>
        <v>0.97448866339406393</v>
      </c>
      <c r="S334" s="921">
        <f t="shared" si="107"/>
        <v>-2</v>
      </c>
      <c r="T334" s="176">
        <f t="shared" si="108"/>
        <v>4</v>
      </c>
      <c r="U334" s="251">
        <f t="shared" si="109"/>
        <v>-1.0255113366059361</v>
      </c>
      <c r="V334" s="383">
        <f t="shared" si="110"/>
        <v>29.237150781819274</v>
      </c>
      <c r="W334" s="402">
        <f t="shared" si="111"/>
        <v>28.310552678845355</v>
      </c>
      <c r="X334" s="157">
        <f t="shared" si="112"/>
        <v>46342</v>
      </c>
      <c r="Y334" s="385">
        <f t="shared" si="113"/>
        <v>26.117448609378418</v>
      </c>
      <c r="Z334" s="385">
        <f t="shared" si="114"/>
        <v>27.951766975781791</v>
      </c>
      <c r="AA334" s="386">
        <f t="shared" si="115"/>
        <v>30.927008258098642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9.6202039896236866E-2</v>
      </c>
      <c r="AD334" s="231">
        <f>(INDEX(Models!$BJ334:$BT334,,AH334)*(1-AF334)+INDEX(Models!$BJ334:$BT334,,AH334+1)*AF334-ERP_i)*AE334*Ramure*Pc/MaxiM</f>
        <v>1.4844578956618617E-2</v>
      </c>
      <c r="AE334" s="305">
        <f t="shared" si="117"/>
        <v>0.7</v>
      </c>
      <c r="AF334" s="177">
        <f t="shared" si="118"/>
        <v>0.49947622976804285</v>
      </c>
      <c r="AG334" s="921">
        <f t="shared" si="124"/>
        <v>2</v>
      </c>
      <c r="AH334" s="176">
        <f t="shared" si="119"/>
        <v>8</v>
      </c>
      <c r="AI334" s="225">
        <f t="shared" si="120"/>
        <v>2.4994762297680428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15.12870787150008</v>
      </c>
      <c r="C335" s="955"/>
      <c r="D335" s="393">
        <f t="shared" ref="D335:D379" si="127">Wh/(1-Ppv)</f>
        <v>16.191603767463818</v>
      </c>
      <c r="E335" s="385">
        <f t="shared" si="125"/>
        <v>16.759722102273997</v>
      </c>
      <c r="F335" s="385">
        <f t="shared" ref="F335:F379" si="128">Wh_sa/(1-Pvg*MEDIAN((-Sdif+Wh/Env_an)/Csdif,0,1))</f>
        <v>16.762013323559003</v>
      </c>
      <c r="G335" s="110">
        <f t="shared" si="126"/>
        <v>0.52201972795310347</v>
      </c>
      <c r="H335" s="414" t="b">
        <f>Wh_hp&gt;='2025'!Maxi_hp</f>
        <v>0</v>
      </c>
      <c r="I335" s="390">
        <f>IF(H335,Wh_hp,'2025'!Maxi_hp)</f>
        <v>31.482813740825435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6.5644880595433719E-2</v>
      </c>
      <c r="M335" s="959"/>
      <c r="N335" s="959"/>
      <c r="O335" s="48">
        <f>IF(t&lt;Tnet,'2025'!Resal+('2025'!Salim-'2025'!Resal)*(1-EXP(('2025'!Tnet-t)/('2025'!Tau_j))),Resal+(Salim-Resal)*(1-EXP((Tnet-t)/(Tau_j))))*Salcycl</f>
        <v>3.3897837407047368E-2</v>
      </c>
      <c r="P335" s="169">
        <f>(INDEX(Models!$BJ335:$BT335,,T335)*(1-R335)+INDEX(Models!$BJ335:$BT335,,T335+1)*R335-ERP_i)*Q335*Ramure*Pc/MaxiM</f>
        <v>4.3067246877762024E-4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0.97451787800805811</v>
      </c>
      <c r="S335" s="92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-1.0254821219919419</v>
      </c>
      <c r="V335" s="383">
        <f t="shared" ref="V335:V379" si="135">MaxiM*(1-Ppv)*(1-Pvg)*(1-Psa)</f>
        <v>28.972582640622022</v>
      </c>
      <c r="W335" s="402">
        <f t="shared" ref="W335:W379" si="136">Wh*(A335&gt;Tmaj)</f>
        <v>15.12870787150008</v>
      </c>
      <c r="X335" s="157">
        <f t="shared" ref="X335:X379" si="137">t</f>
        <v>46343</v>
      </c>
      <c r="Y335" s="385">
        <f t="shared" ref="Y335:Y379" si="138">Wh_pvt_s*(1-Ppv)</f>
        <v>14.086864703268727</v>
      </c>
      <c r="Z335" s="385">
        <f t="shared" ref="Z335:Z379" si="139">Wh_sa_s*(1-Psa_s)</f>
        <v>15.076563943103155</v>
      </c>
      <c r="AA335" s="386">
        <f t="shared" ref="AA335:AA379" si="140">Wh_hp*(1-Pvg_s*MEDIAN((-Sdif+Wh/Env_an)/Csdif,0,1))</f>
        <v>16.681385658548145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9.6204341071787394E-2</v>
      </c>
      <c r="AD335" s="231">
        <f>(INDEX(Models!$BJ335:$BT335,,AH335)*(1-AF335)+INDEX(Models!$BJ335:$BT335,,AH335+1)*AF335-ERP_i)*AE335*Ramure*Pc/MaxiM</f>
        <v>1.515528673254544E-2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0.49950544438203703</v>
      </c>
      <c r="AG335" s="92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2.499505444382037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13.814938341530368</v>
      </c>
      <c r="C336" s="955"/>
      <c r="D336" s="393">
        <f t="shared" si="127"/>
        <v>14.785856730326078</v>
      </c>
      <c r="E336" s="385">
        <f t="shared" si="125"/>
        <v>15.306187219405365</v>
      </c>
      <c r="F336" s="385">
        <f t="shared" si="128"/>
        <v>15.307913676834168</v>
      </c>
      <c r="G336" s="110">
        <f t="shared" si="126"/>
        <v>0.48100313889751695</v>
      </c>
      <c r="H336" s="414" t="b">
        <f>Wh_hp&gt;='2025'!Maxi_hp</f>
        <v>0</v>
      </c>
      <c r="I336" s="390">
        <f>IF(H336,Wh_hp,'2025'!Maxi_hp)</f>
        <v>29.94043779612808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6.5665345370507833E-2</v>
      </c>
      <c r="M336" s="959"/>
      <c r="N336" s="959"/>
      <c r="O336" s="48">
        <f>IF(t&lt;Tnet,'2025'!Resal+('2025'!Salim-'2025'!Resal)*(1-EXP(('2025'!Tnet-t)/('2025'!Tau_j))),Resal+(Salim-Resal)*(1-EXP((Tnet-t)/(Tau_j))))*Salcycl</f>
        <v>3.3994781431890796E-2</v>
      </c>
      <c r="P336" s="169">
        <f>(INDEX(Models!$BJ336:$BT336,,T336)*(1-R336)+INDEX(Models!$BJ336:$BT336,,T336+1)*R336-ERP_i)*Q336*Ramure*Pc/MaxiM</f>
        <v>4.3579175847417012E-4</v>
      </c>
      <c r="Q336" s="305">
        <f t="shared" si="130"/>
        <v>0.7</v>
      </c>
      <c r="R336" s="177">
        <f t="shared" si="131"/>
        <v>0.97454591956672143</v>
      </c>
      <c r="S336" s="921">
        <f t="shared" si="132"/>
        <v>-2</v>
      </c>
      <c r="T336" s="176">
        <f t="shared" si="133"/>
        <v>4</v>
      </c>
      <c r="U336" s="251">
        <f t="shared" si="134"/>
        <v>-1.0254540804332786</v>
      </c>
      <c r="V336" s="383">
        <f t="shared" si="135"/>
        <v>28.711819865116361</v>
      </c>
      <c r="W336" s="402">
        <f t="shared" si="136"/>
        <v>13.814938341530368</v>
      </c>
      <c r="X336" s="157">
        <f t="shared" si="137"/>
        <v>46344</v>
      </c>
      <c r="Y336" s="385">
        <f t="shared" si="138"/>
        <v>12.875050588295203</v>
      </c>
      <c r="Z336" s="385">
        <f t="shared" si="139"/>
        <v>13.779913358132658</v>
      </c>
      <c r="AA336" s="386">
        <f t="shared" si="140"/>
        <v>15.246773645065636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9.620791395481243E-2</v>
      </c>
      <c r="AD336" s="231">
        <f>(INDEX(Models!$BJ336:$BT336,,AH336)*(1-AF336)+INDEX(Models!$BJ336:$BT336,,AH336+1)*AF336-ERP_i)*AE336*Ramure*Pc/MaxiM</f>
        <v>1.5432944660575296E-2</v>
      </c>
      <c r="AE336" s="305">
        <f t="shared" si="142"/>
        <v>0.7</v>
      </c>
      <c r="AF336" s="177">
        <f t="shared" si="143"/>
        <v>0.49953348594070057</v>
      </c>
      <c r="AG336" s="921">
        <f t="shared" ref="AG336:AG379" si="149">INDEX(Echel_vg,AH336)</f>
        <v>2</v>
      </c>
      <c r="AH336" s="176">
        <f t="shared" si="144"/>
        <v>8</v>
      </c>
      <c r="AI336" s="225">
        <f t="shared" si="145"/>
        <v>2.4995334859407006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5.9589014289584981</v>
      </c>
      <c r="C337" s="955"/>
      <c r="D337" s="393">
        <f t="shared" si="127"/>
        <v>6.3778346629074019</v>
      </c>
      <c r="E337" s="385">
        <f t="shared" si="125"/>
        <v>6.6029421605383511</v>
      </c>
      <c r="F337" s="385">
        <f t="shared" si="128"/>
        <v>6.6029421605383511</v>
      </c>
      <c r="G337" s="110">
        <f t="shared" si="126"/>
        <v>0.20932067382500397</v>
      </c>
      <c r="H337" s="414" t="b">
        <f>Wh_hp&gt;='2025'!Maxi_hp</f>
        <v>0</v>
      </c>
      <c r="I337" s="390">
        <f>IF(H337,Wh_hp,'2025'!Maxi_hp)</f>
        <v>31.549585507891482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6.5685809697350939E-2</v>
      </c>
      <c r="M337" s="959"/>
      <c r="N337" s="959"/>
      <c r="O337" s="48">
        <f>IF(t&lt;Tnet,'2025'!Resal+('2025'!Salim-'2025'!Resal)*(1-EXP(('2025'!Tnet-t)/('2025'!Tau_j))),Resal+(Salim-Resal)*(1-EXP((Tnet-t)/(Tau_j))))*Salcycl</f>
        <v>3.4091999014662838E-2</v>
      </c>
      <c r="P337" s="169">
        <f>(INDEX(Models!$BJ337:$BT337,,T337)*(1-R337)+INDEX(Models!$BJ337:$BT337,,T337+1)*R337-ERP_i)*Q337*Ramure*Pc/MaxiM</f>
        <v>4.4126910331709164E-4</v>
      </c>
      <c r="Q337" s="305">
        <f t="shared" si="130"/>
        <v>0.7</v>
      </c>
      <c r="R337" s="177">
        <f t="shared" si="131"/>
        <v>0.97457283504789194</v>
      </c>
      <c r="S337" s="921">
        <f t="shared" si="132"/>
        <v>-2</v>
      </c>
      <c r="T337" s="176">
        <f t="shared" si="133"/>
        <v>4</v>
      </c>
      <c r="U337" s="251">
        <f t="shared" si="134"/>
        <v>-1.0254271649521081</v>
      </c>
      <c r="V337" s="383">
        <f t="shared" si="135"/>
        <v>28.45524926433087</v>
      </c>
      <c r="W337" s="402">
        <f t="shared" si="136"/>
        <v>5.9589014289584981</v>
      </c>
      <c r="X337" s="157">
        <f t="shared" si="137"/>
        <v>46345</v>
      </c>
      <c r="Y337" s="385">
        <f t="shared" si="138"/>
        <v>5.5756642505438911</v>
      </c>
      <c r="Z337" s="385">
        <f t="shared" si="139"/>
        <v>5.9676544661467537</v>
      </c>
      <c r="AA337" s="386">
        <f t="shared" si="140"/>
        <v>6.6029421605383511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9.6212821337178137E-2</v>
      </c>
      <c r="AD337" s="231">
        <f>(INDEX(Models!$BJ337:$BT337,,AH337)*(1-AF337)+INDEX(Models!$BJ337:$BT337,,AH337+1)*AF337-ERP_i)*AE337*Ramure*Pc/MaxiM</f>
        <v>1.5677245393318058E-2</v>
      </c>
      <c r="AE337" s="305">
        <f t="shared" si="142"/>
        <v>0.7</v>
      </c>
      <c r="AF337" s="177">
        <f t="shared" si="143"/>
        <v>0.49956040142187108</v>
      </c>
      <c r="AG337" s="921">
        <f t="shared" si="149"/>
        <v>2</v>
      </c>
      <c r="AH337" s="176">
        <f t="shared" si="144"/>
        <v>8</v>
      </c>
      <c r="AI337" s="225">
        <f t="shared" si="145"/>
        <v>2.4995604014218711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17.650549728114505</v>
      </c>
      <c r="C338" s="955"/>
      <c r="D338" s="393">
        <f t="shared" si="127"/>
        <v>18.891863692236587</v>
      </c>
      <c r="E338" s="385">
        <f t="shared" si="125"/>
        <v>19.560632223463053</v>
      </c>
      <c r="F338" s="385">
        <f t="shared" si="128"/>
        <v>19.564698657993738</v>
      </c>
      <c r="G338" s="110">
        <f t="shared" si="126"/>
        <v>0.62568395798817777</v>
      </c>
      <c r="H338" s="414" t="b">
        <f>Wh_hp&gt;='2025'!Maxi_hp</f>
        <v>0</v>
      </c>
      <c r="I338" s="390">
        <f>IF(H338,Wh_hp,'2025'!Maxi_hp)</f>
        <v>31.724603682982458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6.5706273575972696E-2</v>
      </c>
      <c r="M338" s="959"/>
      <c r="N338" s="959"/>
      <c r="O338" s="48">
        <f>IF(t&lt;Tnet,'2025'!Resal+('2025'!Salim-'2025'!Resal)*(1-EXP(('2025'!Tnet-t)/('2025'!Tau_j))),Resal+(Salim-Resal)*(1-EXP((Tnet-t)/(Tau_j))))*Salcycl</f>
        <v>3.4189515123354601E-2</v>
      </c>
      <c r="P338" s="169">
        <f>(INDEX(Models!$BJ338:$BT338,,T338)*(1-R338)+INDEX(Models!$BJ338:$BT338,,T338+1)*R338-ERP_i)*Q338*Ramure*Pc/MaxiM</f>
        <v>4.4652225912713525E-4</v>
      </c>
      <c r="Q338" s="305">
        <f t="shared" si="130"/>
        <v>0.7</v>
      </c>
      <c r="R338" s="177">
        <f t="shared" si="131"/>
        <v>0.97459866955783103</v>
      </c>
      <c r="S338" s="921">
        <f t="shared" si="132"/>
        <v>-2</v>
      </c>
      <c r="T338" s="176">
        <f t="shared" si="133"/>
        <v>4</v>
      </c>
      <c r="U338" s="251">
        <f t="shared" si="134"/>
        <v>-1.025401330442169</v>
      </c>
      <c r="V338" s="383">
        <f t="shared" si="135"/>
        <v>28.203273954825516</v>
      </c>
      <c r="W338" s="402">
        <f t="shared" si="136"/>
        <v>17.650549728114505</v>
      </c>
      <c r="X338" s="157">
        <f t="shared" si="137"/>
        <v>46346</v>
      </c>
      <c r="Y338" s="385">
        <f t="shared" si="138"/>
        <v>16.398257093042233</v>
      </c>
      <c r="Z338" s="385">
        <f t="shared" si="139"/>
        <v>17.551500806717304</v>
      </c>
      <c r="AA338" s="386">
        <f t="shared" si="140"/>
        <v>19.420084234242118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9.6219120627194232E-2</v>
      </c>
      <c r="AD338" s="231">
        <f>(INDEX(Models!$BJ338:$BT338,,AH338)*(1-AF338)+INDEX(Models!$BJ338:$BT338,,AH338+1)*AF338-ERP_i)*AE338*Ramure*Pc/MaxiM</f>
        <v>1.5879650516612744E-2</v>
      </c>
      <c r="AE338" s="305">
        <f t="shared" si="142"/>
        <v>0.7</v>
      </c>
      <c r="AF338" s="177">
        <f t="shared" si="143"/>
        <v>0.49958623593180995</v>
      </c>
      <c r="AG338" s="921">
        <f t="shared" si="149"/>
        <v>2</v>
      </c>
      <c r="AH338" s="176">
        <f t="shared" si="144"/>
        <v>8</v>
      </c>
      <c r="AI338" s="225">
        <f t="shared" si="145"/>
        <v>2.49958623593181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3.5232617258535841</v>
      </c>
      <c r="C339" s="955"/>
      <c r="D339" s="393">
        <f t="shared" si="127"/>
        <v>3.7711254997967925</v>
      </c>
      <c r="E339" s="385">
        <f t="shared" si="125"/>
        <v>3.9050182383646024</v>
      </c>
      <c r="F339" s="385">
        <f t="shared" si="128"/>
        <v>3.9050182383646024</v>
      </c>
      <c r="G339" s="110">
        <f t="shared" si="126"/>
        <v>0.12597065082741277</v>
      </c>
      <c r="H339" s="414" t="b">
        <f>Wh_hp&gt;='2025'!Maxi_hp</f>
        <v>0</v>
      </c>
      <c r="I339" s="390">
        <f>IF(H339,Wh_hp,'2025'!Maxi_hp)</f>
        <v>30.885830486283265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6.5726737006382985E-2</v>
      </c>
      <c r="M339" s="959"/>
      <c r="N339" s="959"/>
      <c r="O339" s="48">
        <f>IF(t&lt;Tnet,'2025'!Resal+('2025'!Salim-'2025'!Resal)*(1-EXP(('2025'!Tnet-t)/('2025'!Tau_j))),Resal+(Salim-Resal)*(1-EXP((Tnet-t)/(Tau_j))))*Salcycl</f>
        <v>3.4287352937916959E-2</v>
      </c>
      <c r="P339" s="169">
        <f>(INDEX(Models!$BJ339:$BT339,,T339)*(1-R339)+INDEX(Models!$BJ339:$BT339,,T339+1)*R339-ERP_i)*Q339*Ramure*Pc/MaxiM</f>
        <v>4.5113843672407332E-4</v>
      </c>
      <c r="Q339" s="305">
        <f t="shared" si="130"/>
        <v>0.7</v>
      </c>
      <c r="R339" s="177">
        <f t="shared" si="131"/>
        <v>0.97462346640501618</v>
      </c>
      <c r="S339" s="921">
        <f t="shared" si="132"/>
        <v>-2</v>
      </c>
      <c r="T339" s="176">
        <f t="shared" si="133"/>
        <v>4</v>
      </c>
      <c r="U339" s="251">
        <f t="shared" si="134"/>
        <v>-1.0253765335949838</v>
      </c>
      <c r="V339" s="383">
        <f t="shared" si="135"/>
        <v>27.956291595979064</v>
      </c>
      <c r="W339" s="402">
        <f t="shared" si="136"/>
        <v>3.5232617258535841</v>
      </c>
      <c r="X339" s="157">
        <f t="shared" si="137"/>
        <v>46347</v>
      </c>
      <c r="Y339" s="385">
        <f t="shared" si="138"/>
        <v>3.2972844560994874</v>
      </c>
      <c r="Z339" s="385">
        <f t="shared" si="139"/>
        <v>3.5292505808571066</v>
      </c>
      <c r="AA339" s="386">
        <f t="shared" si="140"/>
        <v>3.9050182383646024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9.6226863633001813E-2</v>
      </c>
      <c r="AD339" s="231">
        <f>(INDEX(Models!$BJ339:$BT339,,AH339)*(1-AF339)+INDEX(Models!$BJ339:$BT339,,AH339+1)*AF339-ERP_i)*AE339*Ramure*Pc/MaxiM</f>
        <v>1.6056208058948192E-2</v>
      </c>
      <c r="AE339" s="305">
        <f t="shared" si="142"/>
        <v>0.7</v>
      </c>
      <c r="AF339" s="177">
        <f t="shared" si="143"/>
        <v>0.49961103277899532</v>
      </c>
      <c r="AG339" s="921">
        <f t="shared" si="149"/>
        <v>2</v>
      </c>
      <c r="AH339" s="176">
        <f t="shared" si="144"/>
        <v>8</v>
      </c>
      <c r="AI339" s="225">
        <f t="shared" si="145"/>
        <v>2.4996110327789953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7.8054837065663305</v>
      </c>
      <c r="C340" s="955"/>
      <c r="D340" s="393">
        <f t="shared" si="127"/>
        <v>8.3547875976085013</v>
      </c>
      <c r="E340" s="385">
        <f t="shared" si="125"/>
        <v>8.6523016065735767</v>
      </c>
      <c r="F340" s="385">
        <f t="shared" si="128"/>
        <v>8.6523016065735767</v>
      </c>
      <c r="G340" s="110">
        <f t="shared" si="126"/>
        <v>0.28150889981286481</v>
      </c>
      <c r="H340" s="414" t="b">
        <f>Wh_hp&gt;='2025'!Maxi_hp</f>
        <v>0</v>
      </c>
      <c r="I340" s="390">
        <f>IF(H340,Wh_hp,'2025'!Maxi_hp)</f>
        <v>31.571381737013635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6.5747199988591687E-2</v>
      </c>
      <c r="M340" s="959"/>
      <c r="N340" s="959"/>
      <c r="O340" s="48">
        <f>IF(t&lt;Tnet,'2025'!Resal+('2025'!Salim-'2025'!Resal)*(1-EXP(('2025'!Tnet-t)/('2025'!Tau_j))),Resal+(Salim-Resal)*(1-EXP((Tnet-t)/(Tau_j))))*Salcycl</f>
        <v>3.438553375659479E-2</v>
      </c>
      <c r="P340" s="169">
        <f>(INDEX(Models!$BJ340:$BT340,,T340)*(1-R340)+INDEX(Models!$BJ340:$BT340,,T340+1)*R340-ERP_i)*Q340*Ramure*Pc/MaxiM</f>
        <v>4.5510856201483595E-4</v>
      </c>
      <c r="Q340" s="305">
        <f t="shared" si="130"/>
        <v>0.7</v>
      </c>
      <c r="R340" s="177">
        <f t="shared" si="131"/>
        <v>0.97464726717108485</v>
      </c>
      <c r="S340" s="921">
        <f t="shared" si="132"/>
        <v>-2</v>
      </c>
      <c r="T340" s="176">
        <f t="shared" si="133"/>
        <v>4</v>
      </c>
      <c r="U340" s="251">
        <f t="shared" si="134"/>
        <v>-1.0253527328289151</v>
      </c>
      <c r="V340" s="383">
        <f t="shared" si="135"/>
        <v>27.714688129885765</v>
      </c>
      <c r="W340" s="402">
        <f t="shared" si="136"/>
        <v>7.8054837065663305</v>
      </c>
      <c r="X340" s="157">
        <f t="shared" si="137"/>
        <v>46348</v>
      </c>
      <c r="Y340" s="385">
        <f t="shared" si="138"/>
        <v>7.3055185800250282</v>
      </c>
      <c r="Z340" s="385">
        <f t="shared" si="139"/>
        <v>7.8196378752472775</v>
      </c>
      <c r="AA340" s="386">
        <f t="shared" si="140"/>
        <v>8.6523016065735767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9.6236096380838618E-2</v>
      </c>
      <c r="AD340" s="231">
        <f>(INDEX(Models!$BJ340:$BT340,,AH340)*(1-AF340)+INDEX(Models!$BJ340:$BT340,,AH340+1)*AF340-ERP_i)*AE340*Ramure*Pc/MaxiM</f>
        <v>1.6206573187339118E-2</v>
      </c>
      <c r="AE340" s="305">
        <f t="shared" si="142"/>
        <v>0.7</v>
      </c>
      <c r="AF340" s="177">
        <f t="shared" si="143"/>
        <v>0.49963483354506399</v>
      </c>
      <c r="AG340" s="921">
        <f t="shared" si="149"/>
        <v>2</v>
      </c>
      <c r="AH340" s="176">
        <f t="shared" si="144"/>
        <v>8</v>
      </c>
      <c r="AI340" s="225">
        <f t="shared" si="145"/>
        <v>2.499634833545064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12.112063467973973</v>
      </c>
      <c r="C341" s="955"/>
      <c r="D341" s="393">
        <f t="shared" si="127"/>
        <v>12.964722994580658</v>
      </c>
      <c r="E341" s="385">
        <f t="shared" si="125"/>
        <v>13.42776714976012</v>
      </c>
      <c r="F341" s="385">
        <f t="shared" si="128"/>
        <v>13.429005213653916</v>
      </c>
      <c r="G341" s="110">
        <f t="shared" si="126"/>
        <v>0.44061623856101056</v>
      </c>
      <c r="H341" s="414" t="b">
        <f>Wh_hp&gt;='2025'!Maxi_hp</f>
        <v>0</v>
      </c>
      <c r="I341" s="390">
        <f>IF(H341,Wh_hp,'2025'!Maxi_hp)</f>
        <v>31.553325364511156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6.5767662522608572E-2</v>
      </c>
      <c r="M341" s="959"/>
      <c r="N341" s="959"/>
      <c r="O341" s="48">
        <f>IF(t&lt;Tnet,'2025'!Resal+('2025'!Salim-'2025'!Resal)*(1-EXP(('2025'!Tnet-t)/('2025'!Tau_j))),Resal+(Salim-Resal)*(1-EXP((Tnet-t)/(Tau_j))))*Salcycl</f>
        <v>3.4484076914286767E-2</v>
      </c>
      <c r="P341" s="169">
        <f>(INDEX(Models!$BJ341:$BT341,,T341)*(1-R341)+INDEX(Models!$BJ341:$BT341,,T341+1)*R341-ERP_i)*Q341*Ramure*Pc/MaxiM</f>
        <v>4.5841989601261898E-4</v>
      </c>
      <c r="Q341" s="305">
        <f t="shared" si="130"/>
        <v>0.7</v>
      </c>
      <c r="R341" s="177">
        <f t="shared" si="131"/>
        <v>0.9746701117790344</v>
      </c>
      <c r="S341" s="921">
        <f t="shared" si="132"/>
        <v>-2</v>
      </c>
      <c r="T341" s="176">
        <f t="shared" si="133"/>
        <v>4</v>
      </c>
      <c r="U341" s="251">
        <f t="shared" si="134"/>
        <v>-1.0253298882209656</v>
      </c>
      <c r="V341" s="383">
        <f t="shared" si="135"/>
        <v>27.478849482225485</v>
      </c>
      <c r="W341" s="402">
        <f t="shared" si="136"/>
        <v>12.112063467973973</v>
      </c>
      <c r="X341" s="157">
        <f t="shared" si="137"/>
        <v>46349</v>
      </c>
      <c r="Y341" s="385">
        <f t="shared" si="138"/>
        <v>11.301078779868034</v>
      </c>
      <c r="Z341" s="385">
        <f t="shared" si="139"/>
        <v>12.096646975829524</v>
      </c>
      <c r="AA341" s="386">
        <f t="shared" si="140"/>
        <v>13.384901724418171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9.6246858969347163E-2</v>
      </c>
      <c r="AD341" s="231">
        <f>(INDEX(Models!$BJ341:$BT341,,AH341)*(1-AF341)+INDEX(Models!$BJ341:$BT341,,AH341+1)*AF341-ERP_i)*AE341*Ramure*Pc/MaxiM</f>
        <v>1.6330269423554252E-2</v>
      </c>
      <c r="AE341" s="305">
        <f t="shared" si="142"/>
        <v>0.7</v>
      </c>
      <c r="AF341" s="177">
        <f t="shared" si="143"/>
        <v>0.49965767815301376</v>
      </c>
      <c r="AG341" s="921">
        <f t="shared" si="149"/>
        <v>2</v>
      </c>
      <c r="AH341" s="176">
        <f t="shared" si="144"/>
        <v>8</v>
      </c>
      <c r="AI341" s="225">
        <f t="shared" si="145"/>
        <v>2.4996576781530138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14.308206800088605</v>
      </c>
      <c r="C342" s="955"/>
      <c r="D342" s="393">
        <f t="shared" si="127"/>
        <v>15.315804880013541</v>
      </c>
      <c r="E342" s="385">
        <f t="shared" si="125"/>
        <v>15.864444976076044</v>
      </c>
      <c r="F342" s="385">
        <f t="shared" si="128"/>
        <v>15.8667973246702</v>
      </c>
      <c r="G342" s="110">
        <f t="shared" si="126"/>
        <v>0.52492369365211211</v>
      </c>
      <c r="H342" s="414" t="b">
        <f>Wh_hp&gt;='2025'!Maxi_hp</f>
        <v>0</v>
      </c>
      <c r="I342" s="390">
        <f>IF(H342,Wh_hp,'2025'!Maxi_hp)</f>
        <v>29.21125181785667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6.578812460844341E-2</v>
      </c>
      <c r="M342" s="959"/>
      <c r="N342" s="959"/>
      <c r="O342" s="48">
        <f>IF(t&lt;Tnet,'2025'!Resal+('2025'!Salim-'2025'!Resal)*(1-EXP(('2025'!Tnet-t)/('2025'!Tau_j))),Resal+(Salim-Resal)*(1-EXP((Tnet-t)/(Tau_j))))*Salcycl</f>
        <v>3.4582999713501789E-2</v>
      </c>
      <c r="P342" s="169">
        <f>(INDEX(Models!$BJ342:$BT342,,T342)*(1-R342)+INDEX(Models!$BJ342:$BT342,,T342+1)*R342-ERP_i)*Q342*Ramure*Pc/MaxiM</f>
        <v>4.6106076376192676E-4</v>
      </c>
      <c r="Q342" s="305">
        <f t="shared" si="130"/>
        <v>0.7</v>
      </c>
      <c r="R342" s="177">
        <f t="shared" si="131"/>
        <v>0.9746920385587825</v>
      </c>
      <c r="S342" s="921">
        <f t="shared" si="132"/>
        <v>-2</v>
      </c>
      <c r="T342" s="176">
        <f t="shared" si="133"/>
        <v>4</v>
      </c>
      <c r="U342" s="251">
        <f t="shared" si="134"/>
        <v>-1.0253079614412175</v>
      </c>
      <c r="V342" s="383">
        <f t="shared" si="135"/>
        <v>27.249161420589846</v>
      </c>
      <c r="W342" s="402">
        <f t="shared" si="136"/>
        <v>14.308206800088605</v>
      </c>
      <c r="X342" s="157">
        <f t="shared" si="137"/>
        <v>46350</v>
      </c>
      <c r="Y342" s="385">
        <f t="shared" si="138"/>
        <v>13.325345433931764</v>
      </c>
      <c r="Z342" s="385">
        <f t="shared" si="139"/>
        <v>14.263729443972981</v>
      </c>
      <c r="AA342" s="386">
        <f t="shared" si="140"/>
        <v>15.782986907862385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9.6259185460806418E-2</v>
      </c>
      <c r="AD342" s="231">
        <f>(INDEX(Models!$BJ342:$BT342,,AH342)*(1-AF342)+INDEX(Models!$BJ342:$BT342,,AH342+1)*AF342-ERP_i)*AE342*Ramure*Pc/MaxiM</f>
        <v>1.6426857346145678E-2</v>
      </c>
      <c r="AE342" s="305">
        <f t="shared" si="142"/>
        <v>0.7</v>
      </c>
      <c r="AF342" s="177">
        <f t="shared" si="143"/>
        <v>0.49967960493276165</v>
      </c>
      <c r="AG342" s="921">
        <f t="shared" si="149"/>
        <v>2</v>
      </c>
      <c r="AH342" s="176">
        <f t="shared" si="144"/>
        <v>8</v>
      </c>
      <c r="AI342" s="225">
        <f t="shared" si="145"/>
        <v>2.4996796049327616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4.4012300847072341</v>
      </c>
      <c r="C343" s="955"/>
      <c r="D343" s="393">
        <f t="shared" si="127"/>
        <v>4.7112722509636624</v>
      </c>
      <c r="E343" s="385">
        <f t="shared" si="125"/>
        <v>4.8805407128976892</v>
      </c>
      <c r="F343" s="385">
        <f t="shared" si="128"/>
        <v>4.8805407128976892</v>
      </c>
      <c r="G343" s="110">
        <f t="shared" si="126"/>
        <v>0.16277624020106909</v>
      </c>
      <c r="H343" s="414" t="b">
        <f>Wh_hp&gt;='2025'!Maxi_hp</f>
        <v>0</v>
      </c>
      <c r="I343" s="390">
        <f>IF(H343,Wh_hp,'2025'!Maxi_hp)</f>
        <v>27.276647569608237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6.5808586246106082E-2</v>
      </c>
      <c r="M343" s="959"/>
      <c r="N343" s="959"/>
      <c r="O343" s="48">
        <f>IF(t&lt;Tnet,'2025'!Resal+('2025'!Salim-'2025'!Resal)*(1-EXP(('2025'!Tnet-t)/('2025'!Tau_j))),Resal+(Salim-Resal)*(1-EXP((Tnet-t)/(Tau_j))))*Salcycl</f>
        <v>3.4682317368381996E-2</v>
      </c>
      <c r="P343" s="169">
        <f>(INDEX(Models!$BJ343:$BT343,,T343)*(1-R343)+INDEX(Models!$BJ343:$BT343,,T343+1)*R343-ERP_i)*Q343*Ramure*Pc/MaxiM</f>
        <v>4.6302113774760898E-4</v>
      </c>
      <c r="Q343" s="305">
        <f t="shared" si="130"/>
        <v>0.7</v>
      </c>
      <c r="R343" s="177">
        <f t="shared" si="131"/>
        <v>0.97471308431017967</v>
      </c>
      <c r="S343" s="921">
        <f t="shared" si="132"/>
        <v>-2</v>
      </c>
      <c r="T343" s="176">
        <f t="shared" si="133"/>
        <v>4</v>
      </c>
      <c r="U343" s="251">
        <f t="shared" si="134"/>
        <v>-1.0252869156898203</v>
      </c>
      <c r="V343" s="383">
        <f t="shared" si="135"/>
        <v>27.026009549746497</v>
      </c>
      <c r="W343" s="402">
        <f t="shared" si="136"/>
        <v>4.4012300847072341</v>
      </c>
      <c r="X343" s="157">
        <f t="shared" si="137"/>
        <v>46351</v>
      </c>
      <c r="Y343" s="385">
        <f t="shared" si="138"/>
        <v>4.1204155641567777</v>
      </c>
      <c r="Z343" s="385">
        <f t="shared" si="139"/>
        <v>4.4106759101965709</v>
      </c>
      <c r="AA343" s="386">
        <f t="shared" si="140"/>
        <v>4.8805407128976892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9.6273103809874555E-2</v>
      </c>
      <c r="AD343" s="231">
        <f>(INDEX(Models!$BJ343:$BT343,,AH343)*(1-AF343)+INDEX(Models!$BJ343:$BT343,,AH343+1)*AF343-ERP_i)*AE343*Ramure*Pc/MaxiM</f>
        <v>1.6495955918211225E-2</v>
      </c>
      <c r="AE343" s="305">
        <f t="shared" si="142"/>
        <v>0.7</v>
      </c>
      <c r="AF343" s="177">
        <f t="shared" si="143"/>
        <v>0.49970065068415881</v>
      </c>
      <c r="AG343" s="921">
        <f t="shared" si="149"/>
        <v>2</v>
      </c>
      <c r="AH343" s="176">
        <f t="shared" si="144"/>
        <v>8</v>
      </c>
      <c r="AI343" s="225">
        <f t="shared" si="145"/>
        <v>2.4997006506841588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13.653717089576284</v>
      </c>
      <c r="C344" s="955"/>
      <c r="D344" s="393">
        <f t="shared" si="127"/>
        <v>14.615865599433864</v>
      </c>
      <c r="E344" s="385">
        <f t="shared" si="125"/>
        <v>15.142554583514478</v>
      </c>
      <c r="F344" s="385">
        <f t="shared" si="128"/>
        <v>15.144656818825331</v>
      </c>
      <c r="G344" s="110">
        <f t="shared" si="126"/>
        <v>0.50911543413673122</v>
      </c>
      <c r="H344" s="414" t="b">
        <f>Wh_hp&gt;='2025'!Maxi_hp</f>
        <v>0</v>
      </c>
      <c r="I344" s="390">
        <f>IF(H344,Wh_hp,'2025'!Maxi_hp)</f>
        <v>27.777098112719983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6.5829047435606358E-2</v>
      </c>
      <c r="M344" s="959"/>
      <c r="N344" s="959"/>
      <c r="O344" s="48">
        <f>IF(t&lt;Tnet,'2025'!Resal+('2025'!Salim-'2025'!Resal)*(1-EXP(('2025'!Tnet-t)/('2025'!Tau_j))),Resal+(Salim-Resal)*(1-EXP((Tnet-t)/(Tau_j))))*Salcycl</f>
        <v>3.4782042962157415E-2</v>
      </c>
      <c r="P344" s="169">
        <f>(INDEX(Models!$BJ344:$BT344,,T344)*(1-R344)+INDEX(Models!$BJ344:$BT344,,T344+1)*R344-ERP_i)*Q344*Ramure*Pc/MaxiM</f>
        <v>4.6429036987525061E-4</v>
      </c>
      <c r="Q344" s="305">
        <f t="shared" si="130"/>
        <v>0.7</v>
      </c>
      <c r="R344" s="177">
        <f t="shared" si="131"/>
        <v>0.97473328436357809</v>
      </c>
      <c r="S344" s="921">
        <f t="shared" si="132"/>
        <v>-2</v>
      </c>
      <c r="T344" s="176">
        <f t="shared" si="133"/>
        <v>4</v>
      </c>
      <c r="U344" s="251">
        <f t="shared" si="134"/>
        <v>-1.0252667156364219</v>
      </c>
      <c r="V344" s="383">
        <f t="shared" si="135"/>
        <v>26.809779365317969</v>
      </c>
      <c r="W344" s="402">
        <f t="shared" si="136"/>
        <v>13.653717089576284</v>
      </c>
      <c r="X344" s="157">
        <f t="shared" si="137"/>
        <v>46352</v>
      </c>
      <c r="Y344" s="385">
        <f t="shared" si="138"/>
        <v>12.722222559439551</v>
      </c>
      <c r="Z344" s="385">
        <f t="shared" si="139"/>
        <v>13.618730623678424</v>
      </c>
      <c r="AA344" s="386">
        <f t="shared" si="140"/>
        <v>15.069779094997166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9.6288635830133543E-2</v>
      </c>
      <c r="AD344" s="231">
        <f>(INDEX(Models!$BJ344:$BT344,,AH344)*(1-AF344)+INDEX(Models!$BJ344:$BT344,,AH344+1)*AF344-ERP_i)*AE344*Ramure*Pc/MaxiM</f>
        <v>1.6537162092240175E-2</v>
      </c>
      <c r="AE344" s="305">
        <f t="shared" si="142"/>
        <v>0.7</v>
      </c>
      <c r="AF344" s="177">
        <f t="shared" si="143"/>
        <v>0.49972085073755723</v>
      </c>
      <c r="AG344" s="921">
        <f t="shared" si="149"/>
        <v>2</v>
      </c>
      <c r="AH344" s="176">
        <f t="shared" si="144"/>
        <v>8</v>
      </c>
      <c r="AI344" s="225">
        <f t="shared" si="145"/>
        <v>2.4997208507375572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14.544401656395339</v>
      </c>
      <c r="C345" s="955"/>
      <c r="D345" s="393">
        <f t="shared" si="127"/>
        <v>15.56965583565785</v>
      </c>
      <c r="E345" s="385">
        <f t="shared" si="125"/>
        <v>16.132388846920861</v>
      </c>
      <c r="F345" s="385">
        <f t="shared" si="128"/>
        <v>16.135034376958711</v>
      </c>
      <c r="G345" s="110">
        <f t="shared" si="126"/>
        <v>0.54669327618784724</v>
      </c>
      <c r="H345" s="414" t="b">
        <f>Wh_hp&gt;='2025'!Maxi_hp</f>
        <v>0</v>
      </c>
      <c r="I345" s="390">
        <f>IF(H345,Wh_hp,'2025'!Maxi_hp)</f>
        <v>27.662208875171967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6.5849508176954008E-2</v>
      </c>
      <c r="M345" s="959"/>
      <c r="N345" s="959"/>
      <c r="O345" s="48">
        <f>IF(t&lt;Tnet,'2025'!Resal+('2025'!Salim-'2025'!Resal)*(1-EXP(('2025'!Tnet-t)/('2025'!Tau_j))),Resal+(Salim-Resal)*(1-EXP((Tnet-t)/(Tau_j))))*Salcycl</f>
        <v>3.4882187418289183E-2</v>
      </c>
      <c r="P345" s="169">
        <f>(INDEX(Models!$BJ345:$BT345,,T345)*(1-R345)+INDEX(Models!$BJ345:$BT345,,T345+1)*R345-ERP_i)*Q345*Ramure*Pc/MaxiM</f>
        <v>4.6493669375119386E-4</v>
      </c>
      <c r="Q345" s="305">
        <f t="shared" si="130"/>
        <v>0.7</v>
      </c>
      <c r="R345" s="177">
        <f t="shared" si="131"/>
        <v>0.97475267263803866</v>
      </c>
      <c r="S345" s="921">
        <f t="shared" si="132"/>
        <v>-2</v>
      </c>
      <c r="T345" s="176">
        <f t="shared" si="133"/>
        <v>4</v>
      </c>
      <c r="U345" s="251">
        <f t="shared" si="134"/>
        <v>-1.0252473273619613</v>
      </c>
      <c r="V345" s="383">
        <f t="shared" si="135"/>
        <v>26.596309251989293</v>
      </c>
      <c r="W345" s="402">
        <f t="shared" si="136"/>
        <v>14.544401656395339</v>
      </c>
      <c r="X345" s="157">
        <f t="shared" si="137"/>
        <v>46353</v>
      </c>
      <c r="Y345" s="385">
        <f t="shared" si="138"/>
        <v>13.541464665162524</v>
      </c>
      <c r="Z345" s="385">
        <f t="shared" si="139"/>
        <v>14.496020484596237</v>
      </c>
      <c r="AA345" s="386">
        <f t="shared" si="140"/>
        <v>16.040847047216449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9.630579719842694E-2</v>
      </c>
      <c r="AD345" s="231">
        <f>(INDEX(Models!$BJ345:$BT345,,AH345)*(1-AF345)+INDEX(Models!$BJ345:$BT345,,AH345+1)*AF345-ERP_i)*AE345*Ramure*Pc/MaxiM</f>
        <v>1.6552881674782808E-2</v>
      </c>
      <c r="AE345" s="305">
        <f t="shared" si="142"/>
        <v>0.7</v>
      </c>
      <c r="AF345" s="177">
        <f t="shared" si="143"/>
        <v>0.49974023901201781</v>
      </c>
      <c r="AG345" s="921">
        <f t="shared" si="149"/>
        <v>2</v>
      </c>
      <c r="AH345" s="176">
        <f t="shared" si="144"/>
        <v>8</v>
      </c>
      <c r="AI345" s="225">
        <f t="shared" si="145"/>
        <v>2.4997402390120178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9.3900174452281568</v>
      </c>
      <c r="C346" s="955"/>
      <c r="D346" s="393">
        <f t="shared" si="127"/>
        <v>10.052152407358065</v>
      </c>
      <c r="E346" s="385">
        <f t="shared" si="125"/>
        <v>10.416552145740111</v>
      </c>
      <c r="F346" s="385">
        <f t="shared" si="128"/>
        <v>10.416939399975863</v>
      </c>
      <c r="G346" s="110">
        <f t="shared" si="126"/>
        <v>0.35576907976722905</v>
      </c>
      <c r="H346" s="414" t="b">
        <f>Wh_hp&gt;='2025'!Maxi_hp</f>
        <v>0</v>
      </c>
      <c r="I346" s="390">
        <f>IF(H346,Wh_hp,'2025'!Maxi_hp)</f>
        <v>20.343286490073936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6.5869968470159024E-2</v>
      </c>
      <c r="M346" s="959"/>
      <c r="N346" s="959"/>
      <c r="O346" s="48">
        <f>IF(t&lt;Tnet,'2025'!Resal+('2025'!Salim-'2025'!Resal)*(1-EXP(('2025'!Tnet-t)/('2025'!Tau_j))),Resal+(Salim-Resal)*(1-EXP((Tnet-t)/(Tau_j))))*Salcycl</f>
        <v>3.4982759485447282E-2</v>
      </c>
      <c r="P346" s="169">
        <f>(INDEX(Models!$BJ346:$BT346,,T346)*(1-R346)+INDEX(Models!$BJ346:$BT346,,T346+1)*R346-ERP_i)*Q346*Ramure*Pc/MaxiM</f>
        <v>4.6534539419645048E-4</v>
      </c>
      <c r="Q346" s="305">
        <f t="shared" si="130"/>
        <v>0.7</v>
      </c>
      <c r="R346" s="177">
        <f t="shared" si="131"/>
        <v>0.97477128169727356</v>
      </c>
      <c r="S346" s="921">
        <f t="shared" si="132"/>
        <v>-2</v>
      </c>
      <c r="T346" s="176">
        <f t="shared" si="133"/>
        <v>4</v>
      </c>
      <c r="U346" s="251">
        <f t="shared" si="134"/>
        <v>-1.0252287183027264</v>
      </c>
      <c r="V346" s="383">
        <f t="shared" si="135"/>
        <v>26.382272395612613</v>
      </c>
      <c r="W346" s="402">
        <f t="shared" si="136"/>
        <v>9.3900174452281568</v>
      </c>
      <c r="X346" s="157">
        <f t="shared" si="137"/>
        <v>46354</v>
      </c>
      <c r="Y346" s="385">
        <f t="shared" si="138"/>
        <v>8.7818450782871178</v>
      </c>
      <c r="Z346" s="385">
        <f t="shared" si="139"/>
        <v>9.4010949031420576</v>
      </c>
      <c r="AA346" s="386">
        <f t="shared" si="140"/>
        <v>10.403176712677602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9.63245974966839E-2</v>
      </c>
      <c r="AD346" s="231">
        <f>(INDEX(Models!$BJ346:$BT346,,AH346)*(1-AF346)+INDEX(Models!$BJ346:$BT346,,AH346+1)*AF346-ERP_i)*AE346*Ramure*Pc/MaxiM</f>
        <v>1.6537980878576115E-2</v>
      </c>
      <c r="AE346" s="305">
        <f t="shared" si="142"/>
        <v>0.7</v>
      </c>
      <c r="AF346" s="177">
        <f t="shared" si="143"/>
        <v>0.4997588480712527</v>
      </c>
      <c r="AG346" s="921">
        <f t="shared" si="149"/>
        <v>2</v>
      </c>
      <c r="AH346" s="176">
        <f t="shared" si="144"/>
        <v>8</v>
      </c>
      <c r="AI346" s="225">
        <f t="shared" si="145"/>
        <v>2.4997588480712527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13.21280252977591</v>
      </c>
      <c r="C347" s="955"/>
      <c r="D347" s="393">
        <f t="shared" si="127"/>
        <v>14.144810127515527</v>
      </c>
      <c r="E347" s="385">
        <f t="shared" si="125"/>
        <v>14.659106796259744</v>
      </c>
      <c r="F347" s="385">
        <f t="shared" si="128"/>
        <v>14.661104813868558</v>
      </c>
      <c r="G347" s="110">
        <f t="shared" si="126"/>
        <v>0.50473044983201532</v>
      </c>
      <c r="H347" s="414" t="b">
        <f>Wh_hp&gt;='2025'!Maxi_hp</f>
        <v>0</v>
      </c>
      <c r="I347" s="390">
        <f>IF(H347,Wh_hp,'2025'!Maxi_hp)</f>
        <v>29.549892661364552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6.5890428315231064E-2</v>
      </c>
      <c r="M347" s="959"/>
      <c r="N347" s="959"/>
      <c r="O347" s="48">
        <f>IF(t&lt;Tnet,'2025'!Resal+('2025'!Salim-'2025'!Resal)*(1-EXP(('2025'!Tnet-t)/('2025'!Tau_j))),Resal+(Salim-Resal)*(1-EXP((Tnet-t)/(Tau_j))))*Salcycl</f>
        <v>3.5083765736357068E-2</v>
      </c>
      <c r="P347" s="169">
        <f>(INDEX(Models!$BJ347:$BT347,,T347)*(1-R347)+INDEX(Models!$BJ347:$BT347,,T347+1)*R347-ERP_i)*Q347*Ramure*Pc/MaxiM</f>
        <v>4.6558139099789949E-4</v>
      </c>
      <c r="Q347" s="305">
        <f t="shared" si="130"/>
        <v>0.7</v>
      </c>
      <c r="R347" s="177">
        <f t="shared" si="131"/>
        <v>0.97478914280340256</v>
      </c>
      <c r="S347" s="921">
        <f t="shared" si="132"/>
        <v>-2</v>
      </c>
      <c r="T347" s="176">
        <f t="shared" si="133"/>
        <v>4</v>
      </c>
      <c r="U347" s="251">
        <f t="shared" si="134"/>
        <v>-1.0252108571965974</v>
      </c>
      <c r="V347" s="383">
        <f t="shared" si="135"/>
        <v>26.169316610298118</v>
      </c>
      <c r="W347" s="402">
        <f t="shared" si="136"/>
        <v>13.21280252977591</v>
      </c>
      <c r="X347" s="157">
        <f t="shared" si="137"/>
        <v>46355</v>
      </c>
      <c r="Y347" s="385">
        <f t="shared" si="138"/>
        <v>12.315816014253226</v>
      </c>
      <c r="Z347" s="385">
        <f t="shared" si="139"/>
        <v>13.184551778053514</v>
      </c>
      <c r="AA347" s="386">
        <f t="shared" si="140"/>
        <v>14.590250002383479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9.6345040290627515E-2</v>
      </c>
      <c r="AD347" s="231">
        <f>(INDEX(Models!$BJ347:$BT347,,AH347)*(1-AF347)+INDEX(Models!$BJ347:$BT347,,AH347+1)*AF347-ERP_i)*AE347*Ramure*Pc/MaxiM</f>
        <v>1.6510706184266394E-2</v>
      </c>
      <c r="AE347" s="305">
        <f t="shared" si="142"/>
        <v>0.7</v>
      </c>
      <c r="AF347" s="177">
        <f t="shared" si="143"/>
        <v>0.49977670917738193</v>
      </c>
      <c r="AG347" s="921">
        <f t="shared" si="149"/>
        <v>2</v>
      </c>
      <c r="AH347" s="176">
        <f t="shared" si="144"/>
        <v>8</v>
      </c>
      <c r="AI347" s="225">
        <f t="shared" si="145"/>
        <v>2.4997767091773819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4.2978878142834045</v>
      </c>
      <c r="C348" s="955"/>
      <c r="D348" s="393">
        <f t="shared" si="127"/>
        <v>4.60115395602545</v>
      </c>
      <c r="E348" s="385">
        <f t="shared" si="125"/>
        <v>4.7689504830181155</v>
      </c>
      <c r="F348" s="385">
        <f t="shared" si="128"/>
        <v>4.7689504830181155</v>
      </c>
      <c r="G348" s="110">
        <f t="shared" si="126"/>
        <v>0.16548678767632011</v>
      </c>
      <c r="H348" s="414" t="b">
        <f>Wh_hp&gt;='2025'!Maxi_hp</f>
        <v>0</v>
      </c>
      <c r="I348" s="390">
        <f>IF(H348,Wh_hp,'2025'!Maxi_hp)</f>
        <v>27.333508248606524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6.59108877121799E-2</v>
      </c>
      <c r="M348" s="959"/>
      <c r="N348" s="959"/>
      <c r="O348" s="48">
        <f>IF(t&lt;Tnet,'2025'!Resal+('2025'!Salim-'2025'!Resal)*(1-EXP(('2025'!Tnet-t)/('2025'!Tau_j))),Resal+(Salim-Resal)*(1-EXP((Tnet-t)/(Tau_j))))*Salcycl</f>
        <v>3.5185210580436242E-2</v>
      </c>
      <c r="P348" s="169">
        <f>(INDEX(Models!$BJ348:$BT348,,T348)*(1-R348)+INDEX(Models!$BJ348:$BT348,,T348+1)*R348-ERP_i)*Q348*Ramure*Pc/MaxiM</f>
        <v>4.656148494374506E-4</v>
      </c>
      <c r="Q348" s="305">
        <f t="shared" si="130"/>
        <v>0.7</v>
      </c>
      <c r="R348" s="177">
        <f t="shared" si="131"/>
        <v>0.97480628596861174</v>
      </c>
      <c r="S348" s="921">
        <f t="shared" si="132"/>
        <v>-2</v>
      </c>
      <c r="T348" s="176">
        <f t="shared" si="133"/>
        <v>4</v>
      </c>
      <c r="U348" s="251">
        <f t="shared" si="134"/>
        <v>-1.0251937140313883</v>
      </c>
      <c r="V348" s="383">
        <f t="shared" si="135"/>
        <v>25.959091442987543</v>
      </c>
      <c r="W348" s="402">
        <f t="shared" si="136"/>
        <v>4.2978878142834045</v>
      </c>
      <c r="X348" s="157">
        <f t="shared" si="137"/>
        <v>46356</v>
      </c>
      <c r="Y348" s="385">
        <f t="shared" si="138"/>
        <v>4.0253453535158581</v>
      </c>
      <c r="Z348" s="385">
        <f t="shared" si="139"/>
        <v>4.3093804440743035</v>
      </c>
      <c r="AA348" s="386">
        <f t="shared" si="140"/>
        <v>4.7689504830181155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9.6367123244476396E-2</v>
      </c>
      <c r="AD348" s="231">
        <f>(INDEX(Models!$BJ348:$BT348,,AH348)*(1-AF348)+INDEX(Models!$BJ348:$BT348,,AH348+1)*AF348-ERP_i)*AE348*Ramure*Pc/MaxiM</f>
        <v>1.6469923361491765E-2</v>
      </c>
      <c r="AE348" s="305">
        <f t="shared" si="142"/>
        <v>0.7</v>
      </c>
      <c r="AF348" s="177">
        <f t="shared" si="143"/>
        <v>0.49979385234259066</v>
      </c>
      <c r="AG348" s="921">
        <f t="shared" si="149"/>
        <v>2</v>
      </c>
      <c r="AH348" s="176">
        <f t="shared" si="144"/>
        <v>8</v>
      </c>
      <c r="AI348" s="225">
        <f t="shared" si="145"/>
        <v>2.4997938523425907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3.4762316567269913</v>
      </c>
      <c r="C349" s="955"/>
      <c r="D349" s="393">
        <f t="shared" si="127"/>
        <v>3.7216018804406081</v>
      </c>
      <c r="E349" s="385">
        <f t="shared" si="125"/>
        <v>3.8577299693292737</v>
      </c>
      <c r="F349" s="385">
        <f t="shared" si="128"/>
        <v>3.8577299693292737</v>
      </c>
      <c r="G349" s="110">
        <f t="shared" si="126"/>
        <v>0.13491945097716018</v>
      </c>
      <c r="H349" s="414" t="b">
        <f>Wh_hp&gt;='2025'!Maxi_hp</f>
        <v>0</v>
      </c>
      <c r="I349" s="390">
        <f>IF(H349,Wh_hp,'2025'!Maxi_hp)</f>
        <v>28.263329653266126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6.5931346661015522E-2</v>
      </c>
      <c r="M349" s="959"/>
      <c r="N349" s="959"/>
      <c r="O349" s="48">
        <f>IF(t&lt;Tnet,'2025'!Resal+('2025'!Salim-'2025'!Resal)*(1-EXP(('2025'!Tnet-t)/('2025'!Tau_j))),Resal+(Salim-Resal)*(1-EXP((Tnet-t)/(Tau_j))))*Salcycl</f>
        <v>3.5287096290032377E-2</v>
      </c>
      <c r="P349" s="169">
        <f>(INDEX(Models!$BJ349:$BT349,,T349)*(1-R349)+INDEX(Models!$BJ349:$BT349,,T349+1)*R349-ERP_i)*Q349*Ramure*Pc/MaxiM</f>
        <v>4.6541434657732553E-4</v>
      </c>
      <c r="Q349" s="305">
        <f t="shared" si="130"/>
        <v>0.7</v>
      </c>
      <c r="R349" s="177">
        <f t="shared" si="131"/>
        <v>0.9748227400047873</v>
      </c>
      <c r="S349" s="921">
        <f t="shared" si="132"/>
        <v>-2</v>
      </c>
      <c r="T349" s="176">
        <f t="shared" si="133"/>
        <v>4</v>
      </c>
      <c r="U349" s="251">
        <f t="shared" si="134"/>
        <v>-1.0251772599952127</v>
      </c>
      <c r="V349" s="383">
        <f t="shared" si="135"/>
        <v>25.753245684568665</v>
      </c>
      <c r="W349" s="402">
        <f t="shared" si="136"/>
        <v>3.4762316567269913</v>
      </c>
      <c r="X349" s="157">
        <f t="shared" si="137"/>
        <v>46357</v>
      </c>
      <c r="Y349" s="385">
        <f t="shared" si="138"/>
        <v>3.2560513715872283</v>
      </c>
      <c r="Z349" s="385">
        <f t="shared" si="139"/>
        <v>3.4858801437645175</v>
      </c>
      <c r="AA349" s="386">
        <f t="shared" si="140"/>
        <v>3.8577299693292737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9.639083827046821E-2</v>
      </c>
      <c r="AD349" s="231">
        <f>(INDEX(Models!$BJ349:$BT349,,AH349)*(1-AF349)+INDEX(Models!$BJ349:$BT349,,AH349+1)*AF349-ERP_i)*AE349*Ramure*Pc/MaxiM</f>
        <v>1.6414445369271974E-2</v>
      </c>
      <c r="AE349" s="305">
        <f t="shared" si="142"/>
        <v>0.7</v>
      </c>
      <c r="AF349" s="177">
        <f t="shared" si="143"/>
        <v>0.49981030637876644</v>
      </c>
      <c r="AG349" s="921">
        <f t="shared" si="149"/>
        <v>2</v>
      </c>
      <c r="AH349" s="176">
        <f t="shared" si="144"/>
        <v>8</v>
      </c>
      <c r="AI349" s="225">
        <f t="shared" si="145"/>
        <v>2.4998103063787664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6.5656021694511164</v>
      </c>
      <c r="C350" s="955"/>
      <c r="D350" s="393">
        <f t="shared" si="127"/>
        <v>7.0291899344530844</v>
      </c>
      <c r="E350" s="385">
        <f t="shared" si="125"/>
        <v>7.2870753258848886</v>
      </c>
      <c r="F350" s="385">
        <f t="shared" si="128"/>
        <v>7.2870753258848886</v>
      </c>
      <c r="G350" s="110">
        <f t="shared" si="126"/>
        <v>0.25681680281930253</v>
      </c>
      <c r="H350" s="414" t="b">
        <f>Wh_hp&gt;='2025'!Maxi_hp</f>
        <v>0</v>
      </c>
      <c r="I350" s="390">
        <f>IF(H350,Wh_hp,'2025'!Maxi_hp)</f>
        <v>11.458603807529059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6.5951805161747701E-2</v>
      </c>
      <c r="M350" s="959"/>
      <c r="N350" s="959"/>
      <c r="O350" s="48">
        <f>IF(t&lt;Tnet,'2025'!Resal+('2025'!Salim-'2025'!Resal)*(1-EXP(('2025'!Tnet-t)/('2025'!Tau_j))),Resal+(Salim-Resal)*(1-EXP((Tnet-t)/(Tau_j))))*Salcycl</f>
        <v>3.5389423039961322E-2</v>
      </c>
      <c r="P350" s="169">
        <f>(INDEX(Models!$BJ350:$BT350,,T350)*(1-R350)+INDEX(Models!$BJ350:$BT350,,T350+1)*R350-ERP_i)*Q350*Ramure*Pc/MaxiM</f>
        <v>4.6494700953346387E-4</v>
      </c>
      <c r="Q350" s="305">
        <f t="shared" si="130"/>
        <v>0.7</v>
      </c>
      <c r="R350" s="177">
        <f t="shared" si="131"/>
        <v>0.974838532571209</v>
      </c>
      <c r="S350" s="921">
        <f t="shared" si="132"/>
        <v>-2</v>
      </c>
      <c r="T350" s="176">
        <f t="shared" si="133"/>
        <v>4</v>
      </c>
      <c r="U350" s="251">
        <f t="shared" si="134"/>
        <v>-1.025161467428791</v>
      </c>
      <c r="V350" s="383">
        <f t="shared" si="135"/>
        <v>25.553427347096456</v>
      </c>
      <c r="W350" s="402">
        <f t="shared" si="136"/>
        <v>6.5656021694511164</v>
      </c>
      <c r="X350" s="157">
        <f t="shared" si="137"/>
        <v>46358</v>
      </c>
      <c r="Y350" s="385">
        <f t="shared" si="138"/>
        <v>6.1502248523820136</v>
      </c>
      <c r="Z350" s="385">
        <f t="shared" si="139"/>
        <v>6.5844834199878077</v>
      </c>
      <c r="AA350" s="386">
        <f t="shared" si="140"/>
        <v>7.2870753258848886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9.6416171711764698E-2</v>
      </c>
      <c r="AD350" s="231">
        <f>(INDEX(Models!$BJ350:$BT350,,AH350)*(1-AF350)+INDEX(Models!$BJ350:$BT350,,AH350+1)*AF350-ERP_i)*AE350*Ramure*Pc/MaxiM</f>
        <v>1.6343041724621324E-2</v>
      </c>
      <c r="AE350" s="305">
        <f t="shared" si="142"/>
        <v>0.7</v>
      </c>
      <c r="AF350" s="177">
        <f t="shared" si="143"/>
        <v>0.49982609894518815</v>
      </c>
      <c r="AG350" s="921">
        <f t="shared" si="149"/>
        <v>2</v>
      </c>
      <c r="AH350" s="176">
        <f t="shared" si="144"/>
        <v>8</v>
      </c>
      <c r="AI350" s="225">
        <f t="shared" si="145"/>
        <v>2.4998260989451881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7.3899583647636371</v>
      </c>
      <c r="C351" s="955"/>
      <c r="D351" s="393">
        <f t="shared" si="127"/>
        <v>7.9119260314427313</v>
      </c>
      <c r="E351" s="385">
        <f t="shared" si="125"/>
        <v>8.2030709765958676</v>
      </c>
      <c r="F351" s="385">
        <f t="shared" si="128"/>
        <v>8.2030709765958676</v>
      </c>
      <c r="G351" s="110">
        <f t="shared" si="126"/>
        <v>0.29125213863426341</v>
      </c>
      <c r="H351" s="414" t="b">
        <f>Wh_hp&gt;='2025'!Maxi_hp</f>
        <v>0</v>
      </c>
      <c r="I351" s="390">
        <f>IF(H351,Wh_hp,'2025'!Maxi_hp)</f>
        <v>16.674095051480148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6.5972263214386206E-2</v>
      </c>
      <c r="M351" s="959"/>
      <c r="N351" s="959"/>
      <c r="O351" s="48">
        <f>IF(t&lt;Tnet,'2025'!Resal+('2025'!Salim-'2025'!Resal)*(1-EXP(('2025'!Tnet-t)/('2025'!Tau_j))),Resal+(Salim-Resal)*(1-EXP((Tnet-t)/(Tau_j))))*Salcycl</f>
        <v>3.5492188959939573E-2</v>
      </c>
      <c r="P351" s="169">
        <f>(INDEX(Models!$BJ351:$BT351,,T351)*(1-R351)+INDEX(Models!$BJ351:$BT351,,T351+1)*R351-ERP_i)*Q351*Ramure*Pc/MaxiM</f>
        <v>4.641787103724471E-4</v>
      </c>
      <c r="Q351" s="305">
        <f t="shared" si="130"/>
        <v>0.7</v>
      </c>
      <c r="R351" s="177">
        <f t="shared" si="131"/>
        <v>0.97485369022037172</v>
      </c>
      <c r="S351" s="921">
        <f t="shared" si="132"/>
        <v>-2</v>
      </c>
      <c r="T351" s="176">
        <f t="shared" si="133"/>
        <v>4</v>
      </c>
      <c r="U351" s="251">
        <f t="shared" si="134"/>
        <v>-1.0251463097796283</v>
      </c>
      <c r="V351" s="383">
        <f t="shared" si="135"/>
        <v>25.361283656343293</v>
      </c>
      <c r="W351" s="402">
        <f t="shared" si="136"/>
        <v>7.3899583647636371</v>
      </c>
      <c r="X351" s="157">
        <f t="shared" si="137"/>
        <v>46359</v>
      </c>
      <c r="Y351" s="385">
        <f t="shared" si="138"/>
        <v>6.9229587993883159</v>
      </c>
      <c r="Z351" s="385">
        <f t="shared" si="139"/>
        <v>7.4119413447111944</v>
      </c>
      <c r="AA351" s="386">
        <f t="shared" si="140"/>
        <v>8.2030709765958676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9.644310455704215E-2</v>
      </c>
      <c r="AD351" s="231">
        <f>(INDEX(Models!$BJ351:$BT351,,AH351)*(1-AF351)+INDEX(Models!$BJ351:$BT351,,AH351+1)*AF351-ERP_i)*AE351*Ramure*Pc/MaxiM</f>
        <v>1.6254450224409425E-2</v>
      </c>
      <c r="AE351" s="305">
        <f t="shared" si="142"/>
        <v>0.7</v>
      </c>
      <c r="AF351" s="177">
        <f t="shared" si="143"/>
        <v>0.49984125659435108</v>
      </c>
      <c r="AG351" s="921">
        <f t="shared" si="149"/>
        <v>2</v>
      </c>
      <c r="AH351" s="176">
        <f t="shared" si="144"/>
        <v>8</v>
      </c>
      <c r="AI351" s="225">
        <f t="shared" si="145"/>
        <v>2.4998412565943511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20.482476010309018</v>
      </c>
      <c r="C352" s="955"/>
      <c r="D352" s="393">
        <f t="shared" si="127"/>
        <v>21.929674925304784</v>
      </c>
      <c r="E352" s="385">
        <f t="shared" si="125"/>
        <v>22.739081400532669</v>
      </c>
      <c r="F352" s="385">
        <f t="shared" si="128"/>
        <v>22.746811833725609</v>
      </c>
      <c r="G352" s="110">
        <f t="shared" si="126"/>
        <v>0.81339169703960856</v>
      </c>
      <c r="H352" s="414" t="b">
        <f>Wh_hp&gt;='2025'!Maxi_hp</f>
        <v>0</v>
      </c>
      <c r="I352" s="390">
        <f>IF(H352,Wh_hp,'2025'!Maxi_hp)</f>
        <v>22.748252890780346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6.5992720818940809E-2</v>
      </c>
      <c r="M352" s="959"/>
      <c r="N352" s="959"/>
      <c r="O352" s="48">
        <f>IF(t&lt;Tnet,'2025'!Resal+('2025'!Salim-'2025'!Resal)*(1-EXP(('2025'!Tnet-t)/('2025'!Tau_j))),Resal+(Salim-Resal)*(1-EXP((Tnet-t)/(Tau_j))))*Salcycl</f>
        <v>3.5595390199400168E-2</v>
      </c>
      <c r="P352" s="169">
        <f>(INDEX(Models!$BJ352:$BT352,,T352)*(1-R352)+INDEX(Models!$BJ352:$BT352,,T352+1)*R352-ERP_i)*Q352*Ramure*Pc/MaxiM</f>
        <v>4.6328424414366801E-4</v>
      </c>
      <c r="Q352" s="305">
        <f t="shared" si="130"/>
        <v>0.7</v>
      </c>
      <c r="R352" s="177">
        <f t="shared" si="131"/>
        <v>0.97486823844200665</v>
      </c>
      <c r="S352" s="921">
        <f t="shared" si="132"/>
        <v>-2</v>
      </c>
      <c r="T352" s="176">
        <f t="shared" si="133"/>
        <v>4</v>
      </c>
      <c r="U352" s="251">
        <f t="shared" si="134"/>
        <v>-1.0251317615579933</v>
      </c>
      <c r="V352" s="383">
        <f t="shared" si="135"/>
        <v>25.178455746001084</v>
      </c>
      <c r="W352" s="402">
        <f t="shared" si="136"/>
        <v>20.482476010309018</v>
      </c>
      <c r="X352" s="157">
        <f t="shared" si="137"/>
        <v>46360</v>
      </c>
      <c r="Y352" s="385">
        <f t="shared" si="138"/>
        <v>18.968642072931733</v>
      </c>
      <c r="Z352" s="385">
        <f t="shared" si="139"/>
        <v>20.30888034359165</v>
      </c>
      <c r="AA352" s="386">
        <f t="shared" si="140"/>
        <v>22.477301907402602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9.6471612684830871E-2</v>
      </c>
      <c r="AD352" s="231">
        <f>(INDEX(Models!$BJ352:$BT352,,AH352)*(1-AF352)+INDEX(Models!$BJ352:$BT352,,AH352+1)*AF352-ERP_i)*AE352*Ramure*Pc/MaxiM</f>
        <v>1.6151708369950446E-2</v>
      </c>
      <c r="AE352" s="305">
        <f t="shared" si="142"/>
        <v>0.7</v>
      </c>
      <c r="AF352" s="177">
        <f t="shared" si="143"/>
        <v>0.49985580481598602</v>
      </c>
      <c r="AG352" s="921">
        <f t="shared" si="149"/>
        <v>2</v>
      </c>
      <c r="AH352" s="176">
        <f t="shared" si="144"/>
        <v>8</v>
      </c>
      <c r="AI352" s="225">
        <f t="shared" si="145"/>
        <v>2.499855804815986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26.008176243077088</v>
      </c>
      <c r="C353" s="955"/>
      <c r="D353" s="393">
        <f t="shared" si="127"/>
        <v>27.846405998212958</v>
      </c>
      <c r="E353" s="385">
        <f t="shared" si="125"/>
        <v>28.87729723888507</v>
      </c>
      <c r="F353" s="385">
        <f t="shared" si="128"/>
        <v>28.890668936148149</v>
      </c>
      <c r="G353" s="110">
        <f t="shared" si="126"/>
        <v>1.0400535542439437</v>
      </c>
      <c r="H353" s="414" t="b">
        <f>Wh_hp&gt;='2025'!Maxi_hp</f>
        <v>1</v>
      </c>
      <c r="I353" s="390">
        <f>IF(H353,Wh_hp,'2025'!Maxi_hp)</f>
        <v>28.890668936148149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6.6013177975421278E-2</v>
      </c>
      <c r="M353" s="959"/>
      <c r="N353" s="959"/>
      <c r="O353" s="48">
        <f>IF(t&lt;Tnet,'2025'!Resal+('2025'!Salim-'2025'!Resal)*(1-EXP(('2025'!Tnet-t)/('2025'!Tau_j))),Resal+(Salim-Resal)*(1-EXP((Tnet-t)/(Tau_j))))*Salcycl</f>
        <v>3.5699021004083203E-2</v>
      </c>
      <c r="P353" s="169">
        <f>(INDEX(Models!$BJ353:$BT353,,T353)*(1-R353)+INDEX(Models!$BJ353:$BT353,,T353+1)*R353-ERP_i)*Q353*Ramure*Pc/MaxiM</f>
        <v>4.6283792502793995E-4</v>
      </c>
      <c r="Q353" s="305">
        <f t="shared" si="130"/>
        <v>0.7</v>
      </c>
      <c r="R353" s="177">
        <f t="shared" si="131"/>
        <v>0.97488220170537554</v>
      </c>
      <c r="S353" s="921">
        <f t="shared" si="132"/>
        <v>-2</v>
      </c>
      <c r="T353" s="176">
        <f t="shared" si="133"/>
        <v>4</v>
      </c>
      <c r="U353" s="251">
        <f t="shared" si="134"/>
        <v>-1.0251177982946245</v>
      </c>
      <c r="V353" s="383">
        <f t="shared" si="135"/>
        <v>25.006574072027927</v>
      </c>
      <c r="W353" s="402">
        <f t="shared" si="136"/>
        <v>26.008176243077088</v>
      </c>
      <c r="X353" s="157">
        <f t="shared" si="137"/>
        <v>46361</v>
      </c>
      <c r="Y353" s="385">
        <f t="shared" si="138"/>
        <v>23.98845083986831</v>
      </c>
      <c r="Z353" s="385">
        <f t="shared" si="139"/>
        <v>25.683928588916462</v>
      </c>
      <c r="AA353" s="386">
        <f t="shared" si="140"/>
        <v>28.427200864317271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9.6501667135446098E-2</v>
      </c>
      <c r="AD353" s="231">
        <f>(INDEX(Models!$BJ353:$BT353,,AH353)*(1-AF353)+INDEX(Models!$BJ353:$BT353,,AH353+1)*AF353-ERP_i)*AE353*Ramure*Pc/MaxiM</f>
        <v>1.6042137094686073E-2</v>
      </c>
      <c r="AE353" s="305">
        <f t="shared" si="142"/>
        <v>0.7</v>
      </c>
      <c r="AF353" s="177">
        <f t="shared" si="143"/>
        <v>0.49986976807935468</v>
      </c>
      <c r="AG353" s="921">
        <f t="shared" si="149"/>
        <v>2</v>
      </c>
      <c r="AH353" s="176">
        <f t="shared" si="144"/>
        <v>8</v>
      </c>
      <c r="AI353" s="225">
        <f t="shared" si="145"/>
        <v>2.4998697680793547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11.348845021780916</v>
      </c>
      <c r="C354" s="955"/>
      <c r="D354" s="393">
        <f t="shared" si="127"/>
        <v>12.151235251324229</v>
      </c>
      <c r="E354" s="385">
        <f t="shared" si="125"/>
        <v>12.602441390536393</v>
      </c>
      <c r="F354" s="385">
        <f t="shared" si="128"/>
        <v>12.603747547144994</v>
      </c>
      <c r="G354" s="110">
        <f t="shared" si="126"/>
        <v>0.45657982192267643</v>
      </c>
      <c r="H354" s="414" t="b">
        <f>Wh_hp&gt;='2025'!Maxi_hp</f>
        <v>0</v>
      </c>
      <c r="I354" s="390">
        <f>IF(H354,Wh_hp,'2025'!Maxi_hp)</f>
        <v>23.022498392650729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6.6033634683837605E-2</v>
      </c>
      <c r="M354" s="959"/>
      <c r="N354" s="959"/>
      <c r="O354" s="48">
        <f>IF(t&lt;Tnet,'2025'!Resal+('2025'!Salim-'2025'!Resal)*(1-EXP(('2025'!Tnet-t)/('2025'!Tau_j))),Resal+(Salim-Resal)*(1-EXP((Tnet-t)/(Tau_j))))*Salcycl</f>
        <v>3.5803073803698848E-2</v>
      </c>
      <c r="P354" s="169">
        <f>(INDEX(Models!$BJ354:$BT354,,T354)*(1-R354)+INDEX(Models!$BJ354:$BT354,,T354+1)*R354-ERP_i)*Q354*Ramure*Pc/MaxiM</f>
        <v>4.628102537786162E-4</v>
      </c>
      <c r="Q354" s="305">
        <f t="shared" si="130"/>
        <v>0.7</v>
      </c>
      <c r="R354" s="177">
        <f t="shared" si="131"/>
        <v>0.97489560349989857</v>
      </c>
      <c r="S354" s="921">
        <f t="shared" si="132"/>
        <v>-2</v>
      </c>
      <c r="T354" s="176">
        <f t="shared" si="133"/>
        <v>4</v>
      </c>
      <c r="U354" s="251">
        <f t="shared" si="134"/>
        <v>-1.0251043965001014</v>
      </c>
      <c r="V354" s="383">
        <f t="shared" si="135"/>
        <v>24.847283652911468</v>
      </c>
      <c r="W354" s="402">
        <f t="shared" si="136"/>
        <v>11.348845021780916</v>
      </c>
      <c r="X354" s="157">
        <f t="shared" si="137"/>
        <v>46362</v>
      </c>
      <c r="Y354" s="385">
        <f t="shared" si="138"/>
        <v>10.597214524836494</v>
      </c>
      <c r="Z354" s="385">
        <f t="shared" si="139"/>
        <v>11.346462697561028</v>
      </c>
      <c r="AA354" s="386">
        <f t="shared" si="140"/>
        <v>12.558804739350981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9.6533234408149912E-2</v>
      </c>
      <c r="AD354" s="231">
        <f>(INDEX(Models!$BJ354:$BT354,,AH354)*(1-AF354)+INDEX(Models!$BJ354:$BT354,,AH354+1)*AF354-ERP_i)*AE354*Ramure*Pc/MaxiM</f>
        <v>1.5924577607088198E-2</v>
      </c>
      <c r="AE354" s="305">
        <f t="shared" si="142"/>
        <v>0.7</v>
      </c>
      <c r="AF354" s="177">
        <f t="shared" si="143"/>
        <v>0.49988316987387771</v>
      </c>
      <c r="AG354" s="921">
        <f t="shared" si="149"/>
        <v>2</v>
      </c>
      <c r="AH354" s="176">
        <f t="shared" si="144"/>
        <v>8</v>
      </c>
      <c r="AI354" s="225">
        <f t="shared" si="145"/>
        <v>2.4998831698738777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20.388096259564104</v>
      </c>
      <c r="C355" s="955"/>
      <c r="D355" s="393">
        <f t="shared" si="127"/>
        <v>21.830061100836168</v>
      </c>
      <c r="E355" s="385">
        <f t="shared" si="125"/>
        <v>22.64311981571722</v>
      </c>
      <c r="F355" s="385">
        <f t="shared" si="128"/>
        <v>22.65099357770838</v>
      </c>
      <c r="G355" s="110">
        <f t="shared" si="126"/>
        <v>0.82525911885113989</v>
      </c>
      <c r="H355" s="414" t="b">
        <f>Wh_hp&gt;='2025'!Maxi_hp</f>
        <v>0</v>
      </c>
      <c r="I355" s="390">
        <f>IF(H355,Wh_hp,'2025'!Maxi_hp)</f>
        <v>23.615013833101326</v>
      </c>
      <c r="J355" s="85">
        <f>IF(H355,An,'2025'!An_max)</f>
        <v>2018</v>
      </c>
      <c r="K355" s="197">
        <f t="shared" si="129"/>
        <v>46363</v>
      </c>
      <c r="L355" s="147">
        <f>IF(t&lt;Tvie,1-EXP((T0-t)*PertePVj)+'2025'!Pspv,1-EXP((T0-t)*PertePVj)+Pspv)</f>
        <v>6.6054090944199562E-2</v>
      </c>
      <c r="M355" s="959"/>
      <c r="N355" s="959"/>
      <c r="O355" s="48">
        <f>IF(t&lt;Tnet,'2025'!Resal+('2025'!Salim-'2025'!Resal)*(1-EXP(('2025'!Tnet-t)/('2025'!Tau_j))),Resal+(Salim-Resal)*(1-EXP((Tnet-t)/(Tau_j))))*Salcycl</f>
        <v>3.5907539309873948E-2</v>
      </c>
      <c r="P355" s="169">
        <f>(INDEX(Models!$BJ355:$BT355,,T355)*(1-R355)+INDEX(Models!$BJ355:$BT355,,T355+1)*R355-ERP_i)*Q355*Ramure*Pc/MaxiM</f>
        <v>4.6317017478196678E-4</v>
      </c>
      <c r="Q355" s="305">
        <f t="shared" si="130"/>
        <v>0.7</v>
      </c>
      <c r="R355" s="177">
        <f t="shared" si="131"/>
        <v>0.9749084663741836</v>
      </c>
      <c r="S355" s="921">
        <f t="shared" si="132"/>
        <v>-2</v>
      </c>
      <c r="T355" s="176">
        <f t="shared" si="133"/>
        <v>4</v>
      </c>
      <c r="U355" s="251">
        <f t="shared" si="134"/>
        <v>-1.0250915336258164</v>
      </c>
      <c r="V355" s="383">
        <f t="shared" si="135"/>
        <v>24.702228630714028</v>
      </c>
      <c r="W355" s="402">
        <f t="shared" si="136"/>
        <v>20.388096259564104</v>
      </c>
      <c r="X355" s="157">
        <f t="shared" si="137"/>
        <v>46363</v>
      </c>
      <c r="Y355" s="385">
        <f t="shared" si="138"/>
        <v>18.885362903171291</v>
      </c>
      <c r="Z355" s="385">
        <f t="shared" si="139"/>
        <v>20.221045694459963</v>
      </c>
      <c r="AA355" s="386">
        <f t="shared" si="140"/>
        <v>22.382434012326851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9.6566276781002991E-2</v>
      </c>
      <c r="AD355" s="231">
        <f>(INDEX(Models!$BJ355:$BT355,,AH355)*(1-AF355)+INDEX(Models!$BJ355:$BT355,,AH355+1)*AF355-ERP_i)*AE355*Ramure*Pc/MaxiM</f>
        <v>1.579788428667148E-2</v>
      </c>
      <c r="AE355" s="305">
        <f t="shared" si="142"/>
        <v>0.7</v>
      </c>
      <c r="AF355" s="177">
        <f t="shared" si="143"/>
        <v>0.49989603274816297</v>
      </c>
      <c r="AG355" s="921">
        <f t="shared" si="149"/>
        <v>2</v>
      </c>
      <c r="AH355" s="176">
        <f t="shared" si="144"/>
        <v>8</v>
      </c>
      <c r="AI355" s="225">
        <f t="shared" si="145"/>
        <v>2.499896032748163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4.6760404429184401</v>
      </c>
      <c r="C356" s="955"/>
      <c r="D356" s="393">
        <f t="shared" si="127"/>
        <v>5.0068669042895788</v>
      </c>
      <c r="E356" s="385">
        <f t="shared" si="125"/>
        <v>5.193912181745417</v>
      </c>
      <c r="F356" s="385">
        <f t="shared" si="128"/>
        <v>5.193912181745417</v>
      </c>
      <c r="G356" s="110">
        <f t="shared" si="126"/>
        <v>0.19020312345125132</v>
      </c>
      <c r="H356" s="414" t="b">
        <f>Wh_hp&gt;='2025'!Maxi_hp</f>
        <v>0</v>
      </c>
      <c r="I356" s="390">
        <f>IF(H356,Wh_hp,'2025'!Maxi_hp)</f>
        <v>18.625313050324355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6.6074546756516916E-2</v>
      </c>
      <c r="M356" s="959"/>
      <c r="N356" s="959"/>
      <c r="O356" s="48">
        <f>IF(t&lt;Tnet,'2025'!Resal+('2025'!Salim-'2025'!Resal)*(1-EXP(('2025'!Tnet-t)/('2025'!Tau_j))),Resal+(Salim-Resal)*(1-EXP((Tnet-t)/(Tau_j))))*Salcycl</f>
        <v>3.6012406623513876E-2</v>
      </c>
      <c r="P356" s="169">
        <f>(INDEX(Models!$BJ356:$BT356,,T356)*(1-R356)+INDEX(Models!$BJ356:$BT356,,T356+1)*R356-ERP_i)*Q356*Ramure*Pc/MaxiM</f>
        <v>4.6388493541870302E-4</v>
      </c>
      <c r="Q356" s="305">
        <f t="shared" si="130"/>
        <v>0.7</v>
      </c>
      <c r="R356" s="177">
        <f t="shared" si="131"/>
        <v>0.97492081197351776</v>
      </c>
      <c r="S356" s="921">
        <f t="shared" si="132"/>
        <v>-2</v>
      </c>
      <c r="T356" s="176">
        <f t="shared" si="133"/>
        <v>4</v>
      </c>
      <c r="U356" s="251">
        <f t="shared" si="134"/>
        <v>-1.0250791880264822</v>
      </c>
      <c r="V356" s="383">
        <f t="shared" si="135"/>
        <v>24.573052289530175</v>
      </c>
      <c r="W356" s="402">
        <f t="shared" si="136"/>
        <v>4.6760404429184401</v>
      </c>
      <c r="X356" s="157">
        <f t="shared" si="137"/>
        <v>46364</v>
      </c>
      <c r="Y356" s="385">
        <f t="shared" si="138"/>
        <v>4.3821429297768466</v>
      </c>
      <c r="Z356" s="385">
        <f t="shared" si="139"/>
        <v>4.6921763557871259</v>
      </c>
      <c r="AA356" s="386">
        <f t="shared" si="140"/>
        <v>5.193912181745417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9.6600752650708541E-2</v>
      </c>
      <c r="AD356" s="231">
        <f>(INDEX(Models!$BJ356:$BT356,,AH356)*(1-AF356)+INDEX(Models!$BJ356:$BT356,,AH356+1)*AF356-ERP_i)*AE356*Ramure*Pc/MaxiM</f>
        <v>1.5660938438612805E-2</v>
      </c>
      <c r="AE356" s="305">
        <f t="shared" si="142"/>
        <v>0.7</v>
      </c>
      <c r="AF356" s="177">
        <f t="shared" si="143"/>
        <v>0.49990837834749691</v>
      </c>
      <c r="AG356" s="921">
        <f t="shared" si="149"/>
        <v>2</v>
      </c>
      <c r="AH356" s="176">
        <f t="shared" si="144"/>
        <v>8</v>
      </c>
      <c r="AI356" s="225">
        <f t="shared" si="145"/>
        <v>2.4999083783474969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5.693721434313562</v>
      </c>
      <c r="C357" s="955"/>
      <c r="D357" s="393">
        <f t="shared" si="127"/>
        <v>6.0966816188406758</v>
      </c>
      <c r="E357" s="385">
        <f t="shared" si="125"/>
        <v>6.3251305548703316</v>
      </c>
      <c r="F357" s="385">
        <f t="shared" si="128"/>
        <v>6.3251305548703316</v>
      </c>
      <c r="G357" s="110">
        <f t="shared" si="126"/>
        <v>0.23265532627582369</v>
      </c>
      <c r="H357" s="414" t="b">
        <f>Wh_hp&gt;='2025'!Maxi_hp</f>
        <v>0</v>
      </c>
      <c r="I357" s="390">
        <f>IF(H357,Wh_hp,'2025'!Maxi_hp)</f>
        <v>9.4747658981708156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6.609500212079944E-2</v>
      </c>
      <c r="M357" s="959"/>
      <c r="N357" s="959"/>
      <c r="O357" s="48">
        <f>IF(t&lt;Tnet,'2025'!Resal+('2025'!Salim-'2025'!Resal)*(1-EXP(('2025'!Tnet-t)/('2025'!Tau_j))),Resal+(Salim-Resal)*(1-EXP((Tnet-t)/(Tau_j))))*Salcycl</f>
        <v>3.6117663350640351E-2</v>
      </c>
      <c r="P357" s="169">
        <f>(INDEX(Models!$BJ357:$BT357,,T357)*(1-R357)+INDEX(Models!$BJ357:$BT357,,T357+1)*R357-ERP_i)*Q357*Ramure*Pc/MaxiM</f>
        <v>4.6491999489926594E-4</v>
      </c>
      <c r="Q357" s="305">
        <f t="shared" si="130"/>
        <v>0.7</v>
      </c>
      <c r="R357" s="177">
        <f t="shared" si="131"/>
        <v>0.97493266107587773</v>
      </c>
      <c r="S357" s="921">
        <f t="shared" si="132"/>
        <v>-2</v>
      </c>
      <c r="T357" s="176">
        <f t="shared" si="133"/>
        <v>4</v>
      </c>
      <c r="U357" s="251">
        <f t="shared" si="134"/>
        <v>-1.0250673389241223</v>
      </c>
      <c r="V357" s="383">
        <f t="shared" si="135"/>
        <v>24.461397039439927</v>
      </c>
      <c r="W357" s="402">
        <f t="shared" si="136"/>
        <v>5.693721434313562</v>
      </c>
      <c r="X357" s="157">
        <f t="shared" si="137"/>
        <v>46365</v>
      </c>
      <c r="Y357" s="385">
        <f t="shared" si="138"/>
        <v>5.3362316766477944</v>
      </c>
      <c r="Z357" s="385">
        <f t="shared" si="139"/>
        <v>5.7138913366625212</v>
      </c>
      <c r="AA357" s="386">
        <f t="shared" si="140"/>
        <v>6.3251305548703316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9.6636616889616264E-2</v>
      </c>
      <c r="AD357" s="231">
        <f>(INDEX(Models!$BJ357:$BT357,,AH357)*(1-AF357)+INDEX(Models!$BJ357:$BT357,,AH357+1)*AF357-ERP_i)*AE357*Ramure*Pc/MaxiM</f>
        <v>1.5512663858482661E-2</v>
      </c>
      <c r="AE357" s="305">
        <f t="shared" si="142"/>
        <v>0.7</v>
      </c>
      <c r="AF357" s="177">
        <f t="shared" si="143"/>
        <v>0.49992022744985709</v>
      </c>
      <c r="AG357" s="921">
        <f t="shared" si="149"/>
        <v>2</v>
      </c>
      <c r="AH357" s="176">
        <f t="shared" si="144"/>
        <v>8</v>
      </c>
      <c r="AI357" s="225">
        <f t="shared" si="145"/>
        <v>2.4999202274498571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14.18645897509076</v>
      </c>
      <c r="C358" s="955"/>
      <c r="D358" s="393">
        <f t="shared" si="127"/>
        <v>15.190806060544986</v>
      </c>
      <c r="E358" s="385">
        <f t="shared" si="125"/>
        <v>15.761748539028364</v>
      </c>
      <c r="F358" s="385">
        <f t="shared" si="128"/>
        <v>15.764711207259092</v>
      </c>
      <c r="G358" s="110">
        <f t="shared" si="126"/>
        <v>0.58199210732843909</v>
      </c>
      <c r="H358" s="414" t="b">
        <f>Wh_hp&gt;='2025'!Maxi_hp</f>
        <v>0</v>
      </c>
      <c r="I358" s="390">
        <f>IF(H358,Wh_hp,'2025'!Maxi_hp)</f>
        <v>22.134135091685113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6.6115457037056902E-2</v>
      </c>
      <c r="M358" s="959"/>
      <c r="N358" s="959"/>
      <c r="O358" s="48">
        <f>IF(t&lt;Tnet,'2025'!Resal+('2025'!Salim-'2025'!Resal)*(1-EXP(('2025'!Tnet-t)/('2025'!Tau_j))),Resal+(Salim-Resal)*(1-EXP((Tnet-t)/(Tau_j))))*Salcycl</f>
        <v>3.6223295725702119E-2</v>
      </c>
      <c r="P358" s="169">
        <f>(INDEX(Models!$BJ358:$BT358,,T358)*(1-R358)+INDEX(Models!$BJ358:$BT358,,T358+1)*R358-ERP_i)*Q358*Ramure*Pc/MaxiM</f>
        <v>4.6623898978974686E-4</v>
      </c>
      <c r="Q358" s="305">
        <f t="shared" si="130"/>
        <v>0.7</v>
      </c>
      <c r="R358" s="177">
        <f t="shared" si="131"/>
        <v>0.97494403362652227</v>
      </c>
      <c r="S358" s="921">
        <f t="shared" si="132"/>
        <v>-2</v>
      </c>
      <c r="T358" s="176">
        <f t="shared" si="133"/>
        <v>4</v>
      </c>
      <c r="U358" s="251">
        <f t="shared" si="134"/>
        <v>-1.0250559663734777</v>
      </c>
      <c r="V358" s="383">
        <f t="shared" si="135"/>
        <v>24.368904390209792</v>
      </c>
      <c r="W358" s="402">
        <f t="shared" si="136"/>
        <v>14.18645897509076</v>
      </c>
      <c r="X358" s="157">
        <f t="shared" si="137"/>
        <v>46366</v>
      </c>
      <c r="Y358" s="385">
        <f t="shared" si="138"/>
        <v>13.216851568118965</v>
      </c>
      <c r="Z358" s="385">
        <f t="shared" si="139"/>
        <v>14.152554154270241</v>
      </c>
      <c r="AA358" s="386">
        <f t="shared" si="140"/>
        <v>15.667158205617767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9.6673821216947592E-2</v>
      </c>
      <c r="AD358" s="231">
        <f>(INDEX(Models!$BJ358:$BT358,,AH358)*(1-AF358)+INDEX(Models!$BJ358:$BT358,,AH358+1)*AF358-ERP_i)*AE358*Ramure*Pc/MaxiM</f>
        <v>1.535204396647601E-2</v>
      </c>
      <c r="AE358" s="305">
        <f t="shared" si="142"/>
        <v>0.7</v>
      </c>
      <c r="AF358" s="177">
        <f t="shared" si="143"/>
        <v>0.49993160000050141</v>
      </c>
      <c r="AG358" s="921">
        <f t="shared" si="149"/>
        <v>2</v>
      </c>
      <c r="AH358" s="176">
        <f t="shared" si="144"/>
        <v>8</v>
      </c>
      <c r="AI358" s="225">
        <f t="shared" si="145"/>
        <v>2.4999316000005014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17.29549172452052</v>
      </c>
      <c r="C359" s="955"/>
      <c r="D359" s="393">
        <f t="shared" si="127"/>
        <v>18.520352091490309</v>
      </c>
      <c r="E359" s="385">
        <f t="shared" si="125"/>
        <v>19.218548281186191</v>
      </c>
      <c r="F359" s="385">
        <f t="shared" si="128"/>
        <v>19.22384096269683</v>
      </c>
      <c r="G359" s="110">
        <f t="shared" si="126"/>
        <v>0.71178426533197137</v>
      </c>
      <c r="H359" s="414" t="b">
        <f>Wh_hp&gt;='2025'!Maxi_hp</f>
        <v>0</v>
      </c>
      <c r="I359" s="390">
        <f>IF(H359,Wh_hp,'2025'!Maxi_hp)</f>
        <v>23.016717284204159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6.6135911505299294E-2</v>
      </c>
      <c r="M359" s="959"/>
      <c r="N359" s="959"/>
      <c r="O359" s="48">
        <f>IF(t&lt;Tnet,'2025'!Resal+('2025'!Salim-'2025'!Resal)*(1-EXP(('2025'!Tnet-t)/('2025'!Tau_j))),Resal+(Salim-Resal)*(1-EXP((Tnet-t)/(Tau_j))))*Salcycl</f>
        <v>3.632928874130284E-2</v>
      </c>
      <c r="P359" s="169">
        <f>(INDEX(Models!$BJ359:$BT359,,T359)*(1-R359)+INDEX(Models!$BJ359:$BT359,,T359+1)*R359-ERP_i)*Q359*Ramure*Pc/MaxiM</f>
        <v>4.6786364744125117E-4</v>
      </c>
      <c r="Q359" s="305">
        <f t="shared" si="130"/>
        <v>0.7</v>
      </c>
      <c r="R359" s="177">
        <f t="shared" si="131"/>
        <v>0.97495494877121369</v>
      </c>
      <c r="S359" s="921">
        <f t="shared" si="132"/>
        <v>-2</v>
      </c>
      <c r="T359" s="176">
        <f t="shared" si="133"/>
        <v>4</v>
      </c>
      <c r="U359" s="251">
        <f t="shared" si="134"/>
        <v>-1.0250450512287863</v>
      </c>
      <c r="V359" s="383">
        <f t="shared" si="135"/>
        <v>24.294103549128256</v>
      </c>
      <c r="W359" s="402">
        <f t="shared" si="136"/>
        <v>17.29549172452052</v>
      </c>
      <c r="X359" s="157">
        <f t="shared" si="137"/>
        <v>46367</v>
      </c>
      <c r="Y359" s="385">
        <f t="shared" si="138"/>
        <v>16.071373973913811</v>
      </c>
      <c r="Z359" s="385">
        <f t="shared" si="139"/>
        <v>17.209542771710307</v>
      </c>
      <c r="AA359" s="386">
        <f t="shared" si="140"/>
        <v>19.052117115635973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9.6712314581221717E-2</v>
      </c>
      <c r="AD359" s="231">
        <f>(INDEX(Models!$BJ359:$BT359,,AH359)*(1-AF359)+INDEX(Models!$BJ359:$BT359,,AH359+1)*AF359-ERP_i)*AE359*Ramure*Pc/MaxiM</f>
        <v>1.5180083153879521E-2</v>
      </c>
      <c r="AE359" s="305">
        <f t="shared" si="142"/>
        <v>0.7</v>
      </c>
      <c r="AF359" s="177">
        <f t="shared" si="143"/>
        <v>0.49994251514519261</v>
      </c>
      <c r="AG359" s="921">
        <f t="shared" si="149"/>
        <v>2</v>
      </c>
      <c r="AH359" s="176">
        <f t="shared" si="144"/>
        <v>8</v>
      </c>
      <c r="AI359" s="225">
        <f t="shared" si="145"/>
        <v>2.4999425151451926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5.1073442131753213</v>
      </c>
      <c r="C360" s="955"/>
      <c r="D360" s="393">
        <f t="shared" si="127"/>
        <v>5.4691642418803506</v>
      </c>
      <c r="E360" s="385">
        <f t="shared" si="125"/>
        <v>5.6759718302827631</v>
      </c>
      <c r="F360" s="385">
        <f t="shared" si="128"/>
        <v>5.6759718302827631</v>
      </c>
      <c r="G360" s="110">
        <f t="shared" si="126"/>
        <v>0.21065115378656829</v>
      </c>
      <c r="H360" s="414" t="b">
        <f>Wh_hp&gt;='2025'!Maxi_hp</f>
        <v>0</v>
      </c>
      <c r="I360" s="390">
        <f>IF(H360,Wh_hp,'2025'!Maxi_hp)</f>
        <v>26.632515874966092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6.6156365525536387E-2</v>
      </c>
      <c r="M360" s="959"/>
      <c r="N360" s="959"/>
      <c r="O360" s="48">
        <f>IF(t&lt;Tnet,'2025'!Resal+('2025'!Salim-'2025'!Resal)*(1-EXP(('2025'!Tnet-t)/('2025'!Tau_j))),Resal+(Salim-Resal)*(1-EXP((Tnet-t)/(Tau_j))))*Salcycl</f>
        <v>3.6435626283245655E-2</v>
      </c>
      <c r="P360" s="169">
        <f>(INDEX(Models!$BJ360:$BT360,,T360)*(1-R360)+INDEX(Models!$BJ360:$BT360,,T360+1)*R360-ERP_i)*Q360*Ramure*Pc/MaxiM</f>
        <v>4.6984274171757803E-4</v>
      </c>
      <c r="Q360" s="305">
        <f t="shared" si="130"/>
        <v>0.7</v>
      </c>
      <c r="R360" s="177">
        <f t="shared" si="131"/>
        <v>0.97496542488812832</v>
      </c>
      <c r="S360" s="921">
        <f t="shared" si="132"/>
        <v>-2</v>
      </c>
      <c r="T360" s="176">
        <f t="shared" si="133"/>
        <v>4</v>
      </c>
      <c r="U360" s="251">
        <f t="shared" si="134"/>
        <v>-1.0250345751118717</v>
      </c>
      <c r="V360" s="383">
        <f t="shared" si="135"/>
        <v>24.234116323614519</v>
      </c>
      <c r="W360" s="402">
        <f t="shared" si="136"/>
        <v>5.1073442131753213</v>
      </c>
      <c r="X360" s="157">
        <f t="shared" si="137"/>
        <v>46368</v>
      </c>
      <c r="Y360" s="385">
        <f t="shared" si="138"/>
        <v>4.7876388430995434</v>
      </c>
      <c r="Z360" s="385">
        <f t="shared" si="139"/>
        <v>5.1268099565660892</v>
      </c>
      <c r="AA360" s="386">
        <f t="shared" si="140"/>
        <v>5.6759718302827631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9.6752043550807507E-2</v>
      </c>
      <c r="AD360" s="231">
        <f>(INDEX(Models!$BJ360:$BT360,,AH360)*(1-AF360)+INDEX(Models!$BJ360:$BT360,,AH360+1)*AF360-ERP_i)*AE360*Ramure*Pc/MaxiM</f>
        <v>1.4998675250975178E-2</v>
      </c>
      <c r="AE360" s="305">
        <f t="shared" si="142"/>
        <v>0.7</v>
      </c>
      <c r="AF360" s="177">
        <f t="shared" si="143"/>
        <v>0.49995299126210746</v>
      </c>
      <c r="AG360" s="921">
        <f t="shared" si="149"/>
        <v>2</v>
      </c>
      <c r="AH360" s="176">
        <f t="shared" si="144"/>
        <v>8</v>
      </c>
      <c r="AI360" s="225">
        <f t="shared" si="145"/>
        <v>2.4999529912621075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5.5995162622212353</v>
      </c>
      <c r="C361" s="955"/>
      <c r="D361" s="393">
        <f t="shared" si="127"/>
        <v>5.9963346131664981</v>
      </c>
      <c r="E361" s="385">
        <f t="shared" ref="E361:E379" si="150">Wh_pvt/(1-Psa)</f>
        <v>6.2237652559438121</v>
      </c>
      <c r="F361" s="385">
        <f t="shared" si="128"/>
        <v>6.2237652559438121</v>
      </c>
      <c r="G361" s="110">
        <f t="shared" ref="G361:G379" si="151">+Wh_hp/MaxiM</f>
        <v>0.23138593244558134</v>
      </c>
      <c r="H361" s="414" t="b">
        <f>Wh_hp&gt;='2025'!Maxi_hp</f>
        <v>0</v>
      </c>
      <c r="I361" s="390">
        <f>IF(H361,Wh_hp,'2025'!Maxi_hp)</f>
        <v>27.848923412804474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6.6176819097777839E-2</v>
      </c>
      <c r="M361" s="959"/>
      <c r="N361" s="959"/>
      <c r="O361" s="48">
        <f>IF(t&lt;Tnet,'2025'!Resal+('2025'!Salim-'2025'!Resal)*(1-EXP(('2025'!Tnet-t)/('2025'!Tau_j))),Resal+(Salim-Resal)*(1-EXP((Tnet-t)/(Tau_j))))*Salcycl</f>
        <v>3.6542291269760462E-2</v>
      </c>
      <c r="P361" s="169">
        <f>(INDEX(Models!$BJ361:$BT361,,T361)*(1-R361)+INDEX(Models!$BJ361:$BT361,,T361+1)*R361-ERP_i)*Q361*Ramure*Pc/MaxiM</f>
        <v>4.7161894447243855E-4</v>
      </c>
      <c r="Q361" s="305">
        <f t="shared" si="130"/>
        <v>0.7</v>
      </c>
      <c r="R361" s="177">
        <f t="shared" si="131"/>
        <v>0.97497547961850417</v>
      </c>
      <c r="S361" s="921">
        <f t="shared" si="132"/>
        <v>-2</v>
      </c>
      <c r="T361" s="176">
        <f t="shared" si="133"/>
        <v>4</v>
      </c>
      <c r="U361" s="251">
        <f t="shared" si="134"/>
        <v>-1.0250245203814958</v>
      </c>
      <c r="V361" s="383">
        <f t="shared" si="135"/>
        <v>24.188486158675161</v>
      </c>
      <c r="W361" s="402">
        <f t="shared" si="136"/>
        <v>5.5995162622212353</v>
      </c>
      <c r="X361" s="157">
        <f t="shared" si="137"/>
        <v>46369</v>
      </c>
      <c r="Y361" s="385">
        <f t="shared" si="138"/>
        <v>5.2493456678253105</v>
      </c>
      <c r="Z361" s="385">
        <f t="shared" si="139"/>
        <v>5.6213486398502184</v>
      </c>
      <c r="AA361" s="386">
        <f t="shared" si="140"/>
        <v>6.2237652559438121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9.6792952709499197E-2</v>
      </c>
      <c r="AD361" s="231">
        <f>(INDEX(Models!$BJ361:$BT361,,AH361)*(1-AF361)+INDEX(Models!$BJ361:$BT361,,AH361+1)*AF361-ERP_i)*AE361*Ramure*Pc/MaxiM</f>
        <v>1.4825774018405428E-2</v>
      </c>
      <c r="AE361" s="305">
        <f t="shared" si="142"/>
        <v>0.7</v>
      </c>
      <c r="AF361" s="177">
        <f t="shared" si="143"/>
        <v>0.49996304599248331</v>
      </c>
      <c r="AG361" s="921">
        <f t="shared" si="149"/>
        <v>2</v>
      </c>
      <c r="AH361" s="176">
        <f t="shared" si="144"/>
        <v>8</v>
      </c>
      <c r="AI361" s="225">
        <f t="shared" si="145"/>
        <v>2.4999630459924833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17.203458825553444</v>
      </c>
      <c r="C362" s="955"/>
      <c r="D362" s="393">
        <f t="shared" si="127"/>
        <v>18.423011963661743</v>
      </c>
      <c r="E362" s="385">
        <f t="shared" si="150"/>
        <v>19.123888433885345</v>
      </c>
      <c r="F362" s="385">
        <f t="shared" si="128"/>
        <v>19.129218164483646</v>
      </c>
      <c r="G362" s="110">
        <f t="shared" si="151"/>
        <v>0.71202108664599184</v>
      </c>
      <c r="H362" s="414" t="b">
        <f>Wh_hp&gt;='2025'!Maxi_hp</f>
        <v>0</v>
      </c>
      <c r="I362" s="390">
        <f>IF(H362,Wh_hp,'2025'!Maxi_hp)</f>
        <v>27.918333223458241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6.6197272222033643E-2</v>
      </c>
      <c r="M362" s="959"/>
      <c r="N362" s="959"/>
      <c r="O362" s="48">
        <f>IF(t&lt;Tnet,'2025'!Resal+('2025'!Salim-'2025'!Resal)*(1-EXP(('2025'!Tnet-t)/('2025'!Tau_j))),Resal+(Salim-Resal)*(1-EXP((Tnet-t)/(Tau_j))))*Salcycl</f>
        <v>3.6649265793756082E-2</v>
      </c>
      <c r="P362" s="169">
        <f>(INDEX(Models!$BJ362:$BT362,,T362)*(1-R362)+INDEX(Models!$BJ362:$BT362,,T362+1)*R362-ERP_i)*Q362*Ramure*Pc/MaxiM</f>
        <v>4.7319544571239471E-4</v>
      </c>
      <c r="Q362" s="305">
        <f t="shared" si="130"/>
        <v>0.7</v>
      </c>
      <c r="R362" s="177">
        <f t="shared" si="131"/>
        <v>0.97498512989607367</v>
      </c>
      <c r="S362" s="921">
        <f t="shared" si="132"/>
        <v>-2</v>
      </c>
      <c r="T362" s="176">
        <f t="shared" si="133"/>
        <v>4</v>
      </c>
      <c r="U362" s="251">
        <f t="shared" si="134"/>
        <v>-1.0250148701039263</v>
      </c>
      <c r="V362" s="383">
        <f t="shared" si="135"/>
        <v>24.156743104453955</v>
      </c>
      <c r="W362" s="402">
        <f t="shared" si="136"/>
        <v>17.203458825553444</v>
      </c>
      <c r="X362" s="157">
        <f t="shared" si="137"/>
        <v>46370</v>
      </c>
      <c r="Y362" s="385">
        <f t="shared" si="138"/>
        <v>15.993886113247102</v>
      </c>
      <c r="Z362" s="385">
        <f t="shared" si="139"/>
        <v>17.127692645860449</v>
      </c>
      <c r="AA362" s="386">
        <f t="shared" si="140"/>
        <v>18.96407894728382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9.6834985054014056E-2</v>
      </c>
      <c r="AD362" s="231">
        <f>(INDEX(Models!$BJ362:$BT362,,AH362)*(1-AF362)+INDEX(Models!$BJ362:$BT362,,AH362+1)*AF362-ERP_i)*AE362*Ramure*Pc/MaxiM</f>
        <v>1.4661740222358348E-2</v>
      </c>
      <c r="AE362" s="305">
        <f t="shared" si="142"/>
        <v>0.7</v>
      </c>
      <c r="AF362" s="177">
        <f t="shared" si="143"/>
        <v>0.49997269627005281</v>
      </c>
      <c r="AG362" s="921">
        <f t="shared" si="149"/>
        <v>2</v>
      </c>
      <c r="AH362" s="176">
        <f t="shared" si="144"/>
        <v>8</v>
      </c>
      <c r="AI362" s="225">
        <f t="shared" si="145"/>
        <v>2.4999726962700528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7.2050362622288269</v>
      </c>
      <c r="C363" s="955"/>
      <c r="D363" s="393">
        <f t="shared" si="127"/>
        <v>7.7159702581034937</v>
      </c>
      <c r="E363" s="385">
        <f t="shared" si="150"/>
        <v>8.0104049584183397</v>
      </c>
      <c r="F363" s="385">
        <f t="shared" si="128"/>
        <v>8.0104049584183397</v>
      </c>
      <c r="G363" s="110">
        <f t="shared" si="151"/>
        <v>0.29834668904175438</v>
      </c>
      <c r="H363" s="414" t="b">
        <f>Wh_hp&gt;='2025'!Maxi_hp</f>
        <v>0</v>
      </c>
      <c r="I363" s="390">
        <f>IF(H363,Wh_hp,'2025'!Maxi_hp)</f>
        <v>27.64680505166011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6.6217724898313568E-2</v>
      </c>
      <c r="M363" s="959"/>
      <c r="N363" s="959"/>
      <c r="O363" s="48">
        <f>IF(t&lt;Tnet,'2025'!Resal+('2025'!Salim-'2025'!Resal)*(1-EXP(('2025'!Tnet-t)/('2025'!Tau_j))),Resal+(Salim-Resal)*(1-EXP((Tnet-t)/(Tau_j))))*Salcycl</f>
        <v>3.6756531266926434E-2</v>
      </c>
      <c r="P363" s="169">
        <f>(INDEX(Models!$BJ363:$BT363,,T363)*(1-R363)+INDEX(Models!$BJ363:$BT363,,T363+1)*R363-ERP_i)*Q363*Ramure*Pc/MaxiM</f>
        <v>4.7457614686731268E-4</v>
      </c>
      <c r="Q363" s="305">
        <f t="shared" si="130"/>
        <v>0.7</v>
      </c>
      <c r="R363" s="177">
        <f t="shared" si="131"/>
        <v>0.97499439197533011</v>
      </c>
      <c r="S363" s="921">
        <f t="shared" si="132"/>
        <v>-2</v>
      </c>
      <c r="T363" s="176">
        <f t="shared" si="133"/>
        <v>4</v>
      </c>
      <c r="U363" s="251">
        <f t="shared" si="134"/>
        <v>-1.0250056080246699</v>
      </c>
      <c r="V363" s="383">
        <f t="shared" si="135"/>
        <v>24.138417446535076</v>
      </c>
      <c r="W363" s="402">
        <f t="shared" si="136"/>
        <v>7.2050362622288269</v>
      </c>
      <c r="X363" s="157">
        <f t="shared" si="137"/>
        <v>46371</v>
      </c>
      <c r="Y363" s="385">
        <f t="shared" si="138"/>
        <v>6.7553286129723364</v>
      </c>
      <c r="Z363" s="385">
        <f t="shared" si="139"/>
        <v>7.2343722868767228</v>
      </c>
      <c r="AA363" s="386">
        <f t="shared" si="140"/>
        <v>8.0104049584183397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9.6878082390337128E-2</v>
      </c>
      <c r="AD363" s="231">
        <f>(INDEX(Models!$BJ363:$BT363,,AH363)*(1-AF363)+INDEX(Models!$BJ363:$BT363,,AH363+1)*AF363-ERP_i)*AE363*Ramure*Pc/MaxiM</f>
        <v>1.4506909930171737E-2</v>
      </c>
      <c r="AE363" s="305">
        <f t="shared" si="142"/>
        <v>0.7</v>
      </c>
      <c r="AF363" s="177">
        <f t="shared" si="143"/>
        <v>0.49998195834930925</v>
      </c>
      <c r="AG363" s="921">
        <f t="shared" si="149"/>
        <v>2</v>
      </c>
      <c r="AH363" s="176">
        <f t="shared" si="144"/>
        <v>8</v>
      </c>
      <c r="AI363" s="225">
        <f t="shared" si="145"/>
        <v>2.4999819583493093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4.8942778202601804</v>
      </c>
      <c r="C364" s="955"/>
      <c r="D364" s="393">
        <f t="shared" si="127"/>
        <v>5.2414627588858842</v>
      </c>
      <c r="E364" s="385">
        <f t="shared" si="150"/>
        <v>5.4420799679583967</v>
      </c>
      <c r="F364" s="385">
        <f t="shared" si="128"/>
        <v>5.4420799679583967</v>
      </c>
      <c r="G364" s="110">
        <f t="shared" si="151"/>
        <v>0.20270754748679018</v>
      </c>
      <c r="H364" s="414" t="b">
        <f>Wh_hp&gt;='2025'!Maxi_hp</f>
        <v>0</v>
      </c>
      <c r="I364" s="390">
        <f>IF(H364,Wh_hp,'2025'!Maxi_hp)</f>
        <v>27.611155388131891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6.6238177126627273E-2</v>
      </c>
      <c r="M364" s="959"/>
      <c r="N364" s="959"/>
      <c r="O364" s="48">
        <f>IF(t&lt;Tnet,'2025'!Resal+('2025'!Salim-'2025'!Resal)*(1-EXP(('2025'!Tnet-t)/('2025'!Tau_j))),Resal+(Salim-Resal)*(1-EXP((Tnet-t)/(Tau_j))))*Salcycl</f>
        <v>3.6864068564537174E-2</v>
      </c>
      <c r="P364" s="169">
        <f>(INDEX(Models!$BJ364:$BT364,,T364)*(1-R364)+INDEX(Models!$BJ364:$BT364,,T364+1)*R364-ERP_i)*Q364*Ramure*Pc/MaxiM</f>
        <v>4.757656302696647E-4</v>
      </c>
      <c r="Q364" s="305">
        <f t="shared" si="130"/>
        <v>0.7</v>
      </c>
      <c r="R364" s="177">
        <f t="shared" si="131"/>
        <v>0.97500328145867532</v>
      </c>
      <c r="S364" s="921">
        <f t="shared" si="132"/>
        <v>-2</v>
      </c>
      <c r="T364" s="176">
        <f t="shared" si="133"/>
        <v>4</v>
      </c>
      <c r="U364" s="251">
        <f t="shared" si="134"/>
        <v>-1.0249967185413247</v>
      </c>
      <c r="V364" s="383">
        <f t="shared" si="135"/>
        <v>24.133039700493157</v>
      </c>
      <c r="W364" s="402">
        <f t="shared" si="136"/>
        <v>4.8942778202601804</v>
      </c>
      <c r="X364" s="157">
        <f t="shared" si="137"/>
        <v>46372</v>
      </c>
      <c r="Y364" s="385">
        <f t="shared" si="138"/>
        <v>4.589086101048423</v>
      </c>
      <c r="Z364" s="385">
        <f t="shared" si="139"/>
        <v>4.9146216825687761</v>
      </c>
      <c r="AA364" s="386">
        <f t="shared" si="140"/>
        <v>5.4420799679583967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9.6922185725892063E-2</v>
      </c>
      <c r="AD364" s="231">
        <f>(INDEX(Models!$BJ364:$BT364,,AH364)*(1-AF364)+INDEX(Models!$BJ364:$BT364,,AH364+1)*AF364-ERP_i)*AE364*Ramure*Pc/MaxiM</f>
        <v>1.4361594223618787E-2</v>
      </c>
      <c r="AE364" s="305">
        <f t="shared" si="142"/>
        <v>0.7</v>
      </c>
      <c r="AF364" s="177">
        <f t="shared" si="143"/>
        <v>0.49999084783265424</v>
      </c>
      <c r="AG364" s="921">
        <f t="shared" si="149"/>
        <v>2</v>
      </c>
      <c r="AH364" s="176">
        <f t="shared" si="144"/>
        <v>8</v>
      </c>
      <c r="AI364" s="225">
        <f t="shared" si="145"/>
        <v>2.4999908478326542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2.7374562360478381</v>
      </c>
      <c r="C365" s="955"/>
      <c r="D365" s="393">
        <f t="shared" si="127"/>
        <v>2.9317071308979674</v>
      </c>
      <c r="E365" s="385">
        <f t="shared" si="150"/>
        <v>3.0442590445240203</v>
      </c>
      <c r="F365" s="385">
        <f t="shared" si="128"/>
        <v>3.0442590445240203</v>
      </c>
      <c r="G365" s="110">
        <f t="shared" si="151"/>
        <v>0.11334445577673198</v>
      </c>
      <c r="H365" s="414" t="b">
        <f>Wh_hp&gt;='2025'!Maxi_hp</f>
        <v>0</v>
      </c>
      <c r="I365" s="390">
        <f>IF(H365,Wh_hp,'2025'!Maxi_hp)</f>
        <v>27.969819213232515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6.6258628906984751E-2</v>
      </c>
      <c r="M365" s="959"/>
      <c r="N365" s="959"/>
      <c r="O365" s="48">
        <f>IF(t&lt;Tnet,'2025'!Resal+('2025'!Salim-'2025'!Resal)*(1-EXP(('2025'!Tnet-t)/('2025'!Tau_j))),Resal+(Salim-Resal)*(1-EXP((Tnet-t)/(Tau_j))))*Salcycl</f>
        <v>3.6971858169727659E-2</v>
      </c>
      <c r="P365" s="169">
        <f>(INDEX(Models!$BJ365:$BT365,,T365)*(1-R365)+INDEX(Models!$BJ365:$BT365,,T365+1)*R365-ERP_i)*Q365*Ramure*Pc/MaxiM</f>
        <v>4.7676912404165969E-4</v>
      </c>
      <c r="Q365" s="305">
        <f t="shared" si="130"/>
        <v>0.7</v>
      </c>
      <c r="R365" s="177">
        <f t="shared" si="131"/>
        <v>0.97501181332248787</v>
      </c>
      <c r="S365" s="921">
        <f t="shared" si="132"/>
        <v>-2</v>
      </c>
      <c r="T365" s="176">
        <f t="shared" si="133"/>
        <v>4</v>
      </c>
      <c r="U365" s="251">
        <f t="shared" si="134"/>
        <v>-1.0249881866775121</v>
      </c>
      <c r="V365" s="383">
        <f t="shared" si="135"/>
        <v>24.14014062430893</v>
      </c>
      <c r="W365" s="402">
        <f t="shared" si="136"/>
        <v>2.7374562360478381</v>
      </c>
      <c r="X365" s="157">
        <f t="shared" si="137"/>
        <v>46373</v>
      </c>
      <c r="Y365" s="385">
        <f t="shared" si="138"/>
        <v>2.5669163389292917</v>
      </c>
      <c r="Z365" s="385">
        <f t="shared" si="139"/>
        <v>2.7490656603600212</v>
      </c>
      <c r="AA365" s="386">
        <f t="shared" si="140"/>
        <v>3.0442590445240203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9.6967235654597042E-2</v>
      </c>
      <c r="AD365" s="231">
        <f>(INDEX(Models!$BJ365:$BT365,,AH365)*(1-AF365)+INDEX(Models!$BJ365:$BT365,,AH365+1)*AF365-ERP_i)*AE365*Ramure*Pc/MaxiM</f>
        <v>1.4226079143646455E-2</v>
      </c>
      <c r="AE365" s="305">
        <f t="shared" si="142"/>
        <v>0.7</v>
      </c>
      <c r="AF365" s="177">
        <f t="shared" si="143"/>
        <v>0.49999937969646702</v>
      </c>
      <c r="AG365" s="921">
        <f t="shared" si="149"/>
        <v>2</v>
      </c>
      <c r="AH365" s="176">
        <f t="shared" si="144"/>
        <v>8</v>
      </c>
      <c r="AI365" s="225">
        <f t="shared" si="145"/>
        <v>2.499999379696467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21.580569548527791</v>
      </c>
      <c r="C366" s="955"/>
      <c r="D366" s="393">
        <f t="shared" si="127"/>
        <v>23.112440871583782</v>
      </c>
      <c r="E366" s="385">
        <f t="shared" si="150"/>
        <v>24.002448800397797</v>
      </c>
      <c r="F366" s="385">
        <f t="shared" si="128"/>
        <v>24.012163745906502</v>
      </c>
      <c r="G366" s="110">
        <f t="shared" si="151"/>
        <v>0.89319793737722031</v>
      </c>
      <c r="H366" s="414" t="b">
        <f>Wh_hp&gt;='2025'!Maxi_hp</f>
        <v>0</v>
      </c>
      <c r="I366" s="390">
        <f>IF(H366,Wh_hp,'2025'!Maxi_hp)</f>
        <v>28.032685021410803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6.6279080239395771E-2</v>
      </c>
      <c r="M366" s="959"/>
      <c r="N366" s="959"/>
      <c r="O366" s="48">
        <f>IF(t&lt;Tnet,'2025'!Resal+('2025'!Salim-'2025'!Resal)*(1-EXP(('2025'!Tnet-t)/('2025'!Tau_j))),Resal+(Salim-Resal)*(1-EXP((Tnet-t)/(Tau_j))))*Salcycl</f>
        <v>3.7079880316180994E-2</v>
      </c>
      <c r="P366" s="169">
        <f>(INDEX(Models!$BJ366:$BT366,,T366)*(1-R366)+INDEX(Models!$BJ366:$BT366,,T366+1)*R366-ERP_i)*Q366*Ramure*Pc/MaxiM</f>
        <v>4.7737520741491032E-4</v>
      </c>
      <c r="Q366" s="305">
        <f t="shared" si="130"/>
        <v>0.7</v>
      </c>
      <c r="R366" s="177">
        <f t="shared" si="131"/>
        <v>0.9750200019421571</v>
      </c>
      <c r="S366" s="921">
        <f t="shared" si="132"/>
        <v>-2</v>
      </c>
      <c r="T366" s="176">
        <f t="shared" si="133"/>
        <v>4</v>
      </c>
      <c r="U366" s="251">
        <f t="shared" si="134"/>
        <v>-1.0249799980578429</v>
      </c>
      <c r="V366" s="383">
        <f t="shared" si="135"/>
        <v>24.159256466476201</v>
      </c>
      <c r="W366" s="402">
        <f t="shared" si="136"/>
        <v>21.580569548527791</v>
      </c>
      <c r="X366" s="157">
        <f t="shared" si="137"/>
        <v>46374</v>
      </c>
      <c r="Y366" s="385">
        <f t="shared" si="138"/>
        <v>20.003440253821292</v>
      </c>
      <c r="Z366" s="385">
        <f t="shared" si="139"/>
        <v>21.423360910613372</v>
      </c>
      <c r="AA366" s="386">
        <f t="shared" si="140"/>
        <v>23.72499826540033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9.7013172731969521E-2</v>
      </c>
      <c r="AD366" s="231">
        <f>(INDEX(Models!$BJ366:$BT366,,AH366)*(1-AF366)+INDEX(Models!$BJ366:$BT366,,AH366+1)*AF366-ERP_i)*AE366*Ramure*Pc/MaxiM</f>
        <v>1.411080285485993E-2</v>
      </c>
      <c r="AE366" s="305">
        <f t="shared" si="142"/>
        <v>0.7</v>
      </c>
      <c r="AF366" s="177">
        <f t="shared" si="143"/>
        <v>0.50000756831613602</v>
      </c>
      <c r="AG366" s="921">
        <f t="shared" si="149"/>
        <v>2</v>
      </c>
      <c r="AH366" s="176">
        <f t="shared" si="144"/>
        <v>8</v>
      </c>
      <c r="AI366" s="225">
        <f t="shared" si="145"/>
        <v>2.500007568316136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18.267063294474077</v>
      </c>
      <c r="C367" s="955"/>
      <c r="D367" s="393">
        <f t="shared" si="127"/>
        <v>19.564157782272133</v>
      </c>
      <c r="E367" s="385">
        <f t="shared" si="150"/>
        <v>20.319813340145842</v>
      </c>
      <c r="F367" s="385">
        <f t="shared" si="128"/>
        <v>20.326122603022288</v>
      </c>
      <c r="G367" s="110">
        <f t="shared" si="151"/>
        <v>0.75502562426659448</v>
      </c>
      <c r="H367" s="414" t="b">
        <f>Wh_hp&gt;='2025'!Maxi_hp</f>
        <v>0</v>
      </c>
      <c r="I367" s="390">
        <f>IF(H367,Wh_hp,'2025'!Maxi_hp)</f>
        <v>27.478360183893841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6.6299531123870103E-2</v>
      </c>
      <c r="M367" s="959"/>
      <c r="N367" s="959"/>
      <c r="O367" s="48">
        <f>IF(t&lt;Tnet,'2025'!Resal+('2025'!Salim-'2025'!Resal)*(1-EXP(('2025'!Tnet-t)/('2025'!Tau_j))),Resal+(Salim-Resal)*(1-EXP((Tnet-t)/(Tau_j))))*Salcycl</f>
        <v>3.7188115128044132E-2</v>
      </c>
      <c r="P367" s="169">
        <f>(INDEX(Models!$BJ367:$BT367,,T367)*(1-R367)+INDEX(Models!$BJ367:$BT367,,T367+1)*R367-ERP_i)*Q367*Ramure*Pc/MaxiM</f>
        <v>4.7738184286771993E-4</v>
      </c>
      <c r="Q367" s="305">
        <f t="shared" si="130"/>
        <v>0.7</v>
      </c>
      <c r="R367" s="177">
        <f t="shared" si="131"/>
        <v>0.97502786111612316</v>
      </c>
      <c r="S367" s="921">
        <f t="shared" si="132"/>
        <v>-2</v>
      </c>
      <c r="T367" s="176">
        <f t="shared" si="133"/>
        <v>4</v>
      </c>
      <c r="U367" s="251">
        <f t="shared" si="134"/>
        <v>-1.0249721388838768</v>
      </c>
      <c r="V367" s="383">
        <f t="shared" si="135"/>
        <v>24.189923524997372</v>
      </c>
      <c r="W367" s="402">
        <f t="shared" si="136"/>
        <v>18.267063294474077</v>
      </c>
      <c r="X367" s="157">
        <f t="shared" si="137"/>
        <v>46375</v>
      </c>
      <c r="Y367" s="385">
        <f t="shared" si="138"/>
        <v>16.980334206879096</v>
      </c>
      <c r="Z367" s="385">
        <f t="shared" si="139"/>
        <v>18.186061561389025</v>
      </c>
      <c r="AA367" s="386">
        <f t="shared" si="140"/>
        <v>20.140939939950936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9.7059937837572163E-2</v>
      </c>
      <c r="AD367" s="231">
        <f>(INDEX(Models!$BJ367:$BT367,,AH367)*(1-AF367)+INDEX(Models!$BJ367:$BT367,,AH367+1)*AF367-ERP_i)*AE367*Ramure*Pc/MaxiM</f>
        <v>1.4011595759336739E-2</v>
      </c>
      <c r="AE367" s="305">
        <f t="shared" si="142"/>
        <v>0.7</v>
      </c>
      <c r="AF367" s="177">
        <f t="shared" si="143"/>
        <v>0.5000154274901023</v>
      </c>
      <c r="AG367" s="921">
        <f t="shared" si="149"/>
        <v>2</v>
      </c>
      <c r="AH367" s="176">
        <f t="shared" si="144"/>
        <v>8</v>
      </c>
      <c r="AI367" s="225">
        <f t="shared" si="145"/>
        <v>2.5000154274901023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4.4503630138733472</v>
      </c>
      <c r="C368" s="955"/>
      <c r="D368" s="393">
        <f t="shared" si="127"/>
        <v>4.7664755869050719</v>
      </c>
      <c r="E368" s="385">
        <f t="shared" si="150"/>
        <v>4.9511358363150517</v>
      </c>
      <c r="F368" s="385">
        <f t="shared" si="128"/>
        <v>4.9511358363150517</v>
      </c>
      <c r="G368" s="110">
        <f t="shared" si="151"/>
        <v>0.18357135471278702</v>
      </c>
      <c r="H368" s="414" t="b">
        <f>Wh_hp&gt;='2025'!Maxi_hp</f>
        <v>0</v>
      </c>
      <c r="I368" s="390">
        <f>IF(H368,Wh_hp,'2025'!Maxi_hp)</f>
        <v>28.081044157306998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6.6319981560417518E-2</v>
      </c>
      <c r="M368" s="959"/>
      <c r="N368" s="959"/>
      <c r="O368" s="48">
        <f>IF(t&lt;Tnet,'2025'!Resal+('2025'!Salim-'2025'!Resal)*(1-EXP(('2025'!Tnet-t)/('2025'!Tau_j))),Resal+(Salim-Resal)*(1-EXP((Tnet-t)/(Tau_j))))*Salcycl</f>
        <v>3.7296542756018423E-2</v>
      </c>
      <c r="P368" s="169">
        <f>(INDEX(Models!$BJ368:$BT368,,T368)*(1-R368)+INDEX(Models!$BJ368:$BT368,,T368+1)*R368-ERP_i)*Q368*Ramure*Pc/MaxiM</f>
        <v>4.7680003545169783E-4</v>
      </c>
      <c r="Q368" s="305">
        <f t="shared" si="130"/>
        <v>0.7</v>
      </c>
      <c r="R368" s="177">
        <f t="shared" si="131"/>
        <v>0.9750354040889615</v>
      </c>
      <c r="S368" s="921">
        <f t="shared" si="132"/>
        <v>-2</v>
      </c>
      <c r="T368" s="176">
        <f t="shared" si="133"/>
        <v>4</v>
      </c>
      <c r="U368" s="251">
        <f t="shared" si="134"/>
        <v>-1.0249645959110385</v>
      </c>
      <c r="V368" s="383">
        <f t="shared" si="135"/>
        <v>24.231673223691196</v>
      </c>
      <c r="W368" s="402">
        <f t="shared" si="136"/>
        <v>4.4503630138733472</v>
      </c>
      <c r="X368" s="157">
        <f t="shared" si="137"/>
        <v>46376</v>
      </c>
      <c r="Y368" s="385">
        <f t="shared" si="138"/>
        <v>4.1738704473887491</v>
      </c>
      <c r="Z368" s="385">
        <f t="shared" si="139"/>
        <v>4.4703435491361931</v>
      </c>
      <c r="AA368" s="386">
        <f t="shared" si="140"/>
        <v>4.9511358363150517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9.7107472522243526E-2</v>
      </c>
      <c r="AD368" s="231">
        <f>(INDEX(Models!$BJ368:$BT368,,AH368)*(1-AF368)+INDEX(Models!$BJ368:$BT368,,AH368+1)*AF368-ERP_i)*AE368*Ramure*Pc/MaxiM</f>
        <v>1.3928608184331072E-2</v>
      </c>
      <c r="AE368" s="305">
        <f t="shared" si="142"/>
        <v>0.7</v>
      </c>
      <c r="AF368" s="177">
        <f t="shared" si="143"/>
        <v>0.50002297046294064</v>
      </c>
      <c r="AG368" s="921">
        <f t="shared" si="149"/>
        <v>2</v>
      </c>
      <c r="AH368" s="176">
        <f t="shared" si="144"/>
        <v>8</v>
      </c>
      <c r="AI368" s="225">
        <f t="shared" si="145"/>
        <v>2.5000229704629406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22.490930790317481</v>
      </c>
      <c r="C369" s="955"/>
      <c r="D369" s="393">
        <f t="shared" si="127"/>
        <v>24.089005832856731</v>
      </c>
      <c r="E369" s="385">
        <f t="shared" si="150"/>
        <v>25.02507225174611</v>
      </c>
      <c r="F369" s="385">
        <f t="shared" si="128"/>
        <v>25.035724184195942</v>
      </c>
      <c r="G369" s="110">
        <f t="shared" si="151"/>
        <v>0.9261146184356096</v>
      </c>
      <c r="H369" s="414" t="b">
        <f>Wh_hp&gt;='2025'!Maxi_hp</f>
        <v>0</v>
      </c>
      <c r="I369" s="390">
        <f>IF(H369,Wh_hp,'2025'!Maxi_hp)</f>
        <v>25.036368779792387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6.6340431549048007E-2</v>
      </c>
      <c r="M369" s="959"/>
      <c r="N369" s="959"/>
      <c r="O369" s="48">
        <f>IF(t&lt;Tnet,'2025'!Resal+('2025'!Salim-'2025'!Resal)*(1-EXP(('2025'!Tnet-t)/('2025'!Tau_j))),Resal+(Salim-Resal)*(1-EXP((Tnet-t)/(Tau_j))))*Salcycl</f>
        <v>3.7405143508589228E-2</v>
      </c>
      <c r="P369" s="169">
        <f>(INDEX(Models!$BJ369:$BT369,,T369)*(1-R369)+INDEX(Models!$BJ369:$BT369,,T369+1)*R369-ERP_i)*Q369*Ramure*Pc/MaxiM</f>
        <v>4.7564200076672183E-4</v>
      </c>
      <c r="Q369" s="305">
        <f t="shared" si="130"/>
        <v>0.7</v>
      </c>
      <c r="R369" s="177">
        <f t="shared" si="131"/>
        <v>0.97504264357354842</v>
      </c>
      <c r="S369" s="921">
        <f t="shared" si="132"/>
        <v>-2</v>
      </c>
      <c r="T369" s="176">
        <f t="shared" si="133"/>
        <v>4</v>
      </c>
      <c r="U369" s="251">
        <f t="shared" si="134"/>
        <v>-1.0249573564264516</v>
      </c>
      <c r="V369" s="383">
        <f t="shared" si="135"/>
        <v>24.284037236789036</v>
      </c>
      <c r="W369" s="402">
        <f t="shared" si="136"/>
        <v>22.490930790317481</v>
      </c>
      <c r="X369" s="157">
        <f t="shared" si="137"/>
        <v>46377</v>
      </c>
      <c r="Y369" s="385">
        <f t="shared" si="138"/>
        <v>20.842161503512362</v>
      </c>
      <c r="Z369" s="385">
        <f t="shared" si="139"/>
        <v>22.323084567206752</v>
      </c>
      <c r="AA369" s="386">
        <f t="shared" si="140"/>
        <v>24.725287677330051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9.7155719337729513E-2</v>
      </c>
      <c r="AD369" s="231">
        <f>(INDEX(Models!$BJ369:$BT369,,AH369)*(1-AF369)+INDEX(Models!$BJ369:$BT369,,AH369+1)*AF369-ERP_i)*AE369*Ramure*Pc/MaxiM</f>
        <v>1.3861958093722178E-2</v>
      </c>
      <c r="AE369" s="305">
        <f t="shared" si="142"/>
        <v>0.7</v>
      </c>
      <c r="AF369" s="177">
        <f t="shared" si="143"/>
        <v>0.50003020994752756</v>
      </c>
      <c r="AG369" s="921">
        <f t="shared" si="149"/>
        <v>2</v>
      </c>
      <c r="AH369" s="176">
        <f t="shared" si="144"/>
        <v>8</v>
      </c>
      <c r="AI369" s="225">
        <f t="shared" si="145"/>
        <v>2.5000302099475276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17.391852646171891</v>
      </c>
      <c r="C370" s="955"/>
      <c r="D370" s="393">
        <f t="shared" si="127"/>
        <v>18.628024783786024</v>
      </c>
      <c r="E370" s="385">
        <f t="shared" si="150"/>
        <v>19.354071445437878</v>
      </c>
      <c r="F370" s="385">
        <f t="shared" si="128"/>
        <v>19.359502260545732</v>
      </c>
      <c r="G370" s="110">
        <f t="shared" si="151"/>
        <v>0.71420755623599053</v>
      </c>
      <c r="H370" s="414" t="b">
        <f>Wh_hp&gt;='2025'!Maxi_hp</f>
        <v>0</v>
      </c>
      <c r="I370" s="390">
        <f>IF(H370,Wh_hp,'2025'!Maxi_hp)</f>
        <v>27.058641236912877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6.6360881089771118E-2</v>
      </c>
      <c r="M370" s="959"/>
      <c r="N370" s="959"/>
      <c r="O370" s="48">
        <f>IF(t&lt;Tnet,'2025'!Resal+('2025'!Salim-'2025'!Resal)*(1-EXP(('2025'!Tnet-t)/('2025'!Tau_j))),Resal+(Salim-Resal)*(1-EXP((Tnet-t)/(Tau_j))))*Salcycl</f>
        <v>3.7513897977419906E-2</v>
      </c>
      <c r="P370" s="169">
        <f>(INDEX(Models!$BJ370:$BT370,,T370)*(1-R370)+INDEX(Models!$BJ370:$BT370,,T370+1)*R370-ERP_i)*Q370*Ramure*Pc/MaxiM</f>
        <v>4.7392103448023028E-4</v>
      </c>
      <c r="Q370" s="305">
        <f t="shared" si="130"/>
        <v>0.7</v>
      </c>
      <c r="R370" s="177">
        <f t="shared" si="131"/>
        <v>0.97504959177234585</v>
      </c>
      <c r="S370" s="921">
        <f t="shared" si="132"/>
        <v>-2</v>
      </c>
      <c r="T370" s="176">
        <f t="shared" si="133"/>
        <v>4</v>
      </c>
      <c r="U370" s="251">
        <f t="shared" si="134"/>
        <v>-1.0249504082276542</v>
      </c>
      <c r="V370" s="383">
        <f t="shared" si="135"/>
        <v>24.346547480315984</v>
      </c>
      <c r="W370" s="402">
        <f t="shared" si="136"/>
        <v>17.391852646171891</v>
      </c>
      <c r="X370" s="157">
        <f t="shared" si="137"/>
        <v>46378</v>
      </c>
      <c r="Y370" s="385">
        <f t="shared" si="138"/>
        <v>16.184429565661567</v>
      </c>
      <c r="Z370" s="385">
        <f t="shared" si="139"/>
        <v>17.334780899661222</v>
      </c>
      <c r="AA370" s="386">
        <f t="shared" si="140"/>
        <v>19.201229121129405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9.7204622146522285E-2</v>
      </c>
      <c r="AD370" s="231">
        <f>(INDEX(Models!$BJ370:$BT370,,AH370)*(1-AF370)+INDEX(Models!$BJ370:$BT370,,AH370+1)*AF370-ERP_i)*AE370*Ramure*Pc/MaxiM</f>
        <v>1.381173331681455E-2</v>
      </c>
      <c r="AE370" s="305">
        <f t="shared" si="142"/>
        <v>0.7</v>
      </c>
      <c r="AF370" s="177">
        <f t="shared" si="143"/>
        <v>0.50003715814632477</v>
      </c>
      <c r="AG370" s="921">
        <f t="shared" si="149"/>
        <v>2</v>
      </c>
      <c r="AH370" s="176">
        <f t="shared" si="144"/>
        <v>8</v>
      </c>
      <c r="AI370" s="225">
        <f t="shared" si="145"/>
        <v>2.5000371581463248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17.940134253947374</v>
      </c>
      <c r="C371" s="955"/>
      <c r="D371" s="393">
        <f t="shared" si="127"/>
        <v>19.215697836736815</v>
      </c>
      <c r="E371" s="385">
        <f t="shared" si="150"/>
        <v>19.9669085887341</v>
      </c>
      <c r="F371" s="385">
        <f t="shared" si="128"/>
        <v>19.972758312407262</v>
      </c>
      <c r="G371" s="110">
        <f t="shared" si="151"/>
        <v>0.73455588141075789</v>
      </c>
      <c r="H371" s="414" t="b">
        <f>Wh_hp&gt;='2025'!Maxi_hp</f>
        <v>0</v>
      </c>
      <c r="I371" s="390">
        <f>IF(H371,Wh_hp,'2025'!Maxi_hp)</f>
        <v>22.375250435644084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6.6381330182596954E-2</v>
      </c>
      <c r="M371" s="959"/>
      <c r="N371" s="959"/>
      <c r="O371" s="48">
        <f>IF(t&lt;Tnet,'2025'!Resal+('2025'!Salim-'2025'!Resal)*(1-EXP(('2025'!Tnet-t)/('2025'!Tau_j))),Resal+(Salim-Resal)*(1-EXP((Tnet-t)/(Tau_j))))*Salcycl</f>
        <v>3.7622787156001654E-2</v>
      </c>
      <c r="P371" s="169">
        <f>(INDEX(Models!$BJ371:$BT371,,T371)*(1-R371)+INDEX(Models!$BJ371:$BT371,,T371+1)*R371-ERP_i)*Q371*Ramure*Pc/MaxiM</f>
        <v>4.7164847864602334E-4</v>
      </c>
      <c r="Q371" s="305">
        <f t="shared" si="130"/>
        <v>0.7</v>
      </c>
      <c r="R371" s="177">
        <f t="shared" si="131"/>
        <v>0.97504959177234585</v>
      </c>
      <c r="S371" s="921">
        <f t="shared" si="132"/>
        <v>-2</v>
      </c>
      <c r="T371" s="176">
        <f t="shared" si="133"/>
        <v>4</v>
      </c>
      <c r="U371" s="251">
        <f t="shared" si="134"/>
        <v>-1.0249504082276542</v>
      </c>
      <c r="V371" s="383">
        <f t="shared" si="135"/>
        <v>24.418736177345597</v>
      </c>
      <c r="W371" s="402">
        <f t="shared" si="136"/>
        <v>17.940134253947374</v>
      </c>
      <c r="X371" s="157">
        <f t="shared" si="137"/>
        <v>46379</v>
      </c>
      <c r="Y371" s="385">
        <f t="shared" si="138"/>
        <v>16.689423353496711</v>
      </c>
      <c r="Z371" s="385">
        <f t="shared" si="139"/>
        <v>17.876059994345255</v>
      </c>
      <c r="AA371" s="386">
        <f t="shared" si="140"/>
        <v>19.801873946269048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9.7254126409922093E-2</v>
      </c>
      <c r="AD371" s="231">
        <f>(INDEX(Models!$BJ371:$BT371,,AH371)*(1-AF371)+INDEX(Models!$BJ371:$BT371,,AH371+1)*AF371-ERP_i)*AE371*Ramure*Pc/MaxiM</f>
        <v>1.3777975818453695E-2</v>
      </c>
      <c r="AE371" s="305">
        <f t="shared" si="142"/>
        <v>0.7</v>
      </c>
      <c r="AF371" s="177">
        <f t="shared" si="143"/>
        <v>0.50003715814632477</v>
      </c>
      <c r="AG371" s="921">
        <f t="shared" si="149"/>
        <v>2</v>
      </c>
      <c r="AH371" s="176">
        <f t="shared" si="144"/>
        <v>8</v>
      </c>
      <c r="AI371" s="225">
        <f t="shared" si="145"/>
        <v>2.5000371581463248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23.51429423821385</v>
      </c>
      <c r="C372" s="955"/>
      <c r="D372" s="393">
        <f t="shared" si="127"/>
        <v>25.186738475875931</v>
      </c>
      <c r="E372" s="385">
        <f t="shared" si="150"/>
        <v>26.174343370066683</v>
      </c>
      <c r="F372" s="385">
        <f t="shared" si="128"/>
        <v>26.185914696129196</v>
      </c>
      <c r="G372" s="110">
        <f t="shared" si="151"/>
        <v>0.95973591952367121</v>
      </c>
      <c r="H372" s="414" t="b">
        <f>Wh_hp&gt;='2025'!Maxi_hp</f>
        <v>0</v>
      </c>
      <c r="I372" s="390">
        <f>IF(H372,Wh_hp,'2025'!Maxi_hp)</f>
        <v>26.186276848895975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6.6401778827535063E-2</v>
      </c>
      <c r="M372" s="959"/>
      <c r="N372" s="959"/>
      <c r="O372" s="48">
        <f>IF(t&lt;Tnet,'2025'!Resal+('2025'!Salim-'2025'!Resal)*(1-EXP(('2025'!Tnet-t)/('2025'!Tau_j))),Resal+(Salim-Resal)*(1-EXP((Tnet-t)/(Tau_j))))*Salcycl</f>
        <v>3.7731792550723134E-2</v>
      </c>
      <c r="P372" s="169">
        <f>(INDEX(Models!$BJ372:$BT372,,T372)*(1-R372)+INDEX(Models!$BJ372:$BT372,,T372+1)*R372-ERP_i)*Q372*Ramure*Pc/MaxiM</f>
        <v>4.6884172838256288E-4</v>
      </c>
      <c r="Q372" s="305">
        <f t="shared" si="130"/>
        <v>0.7</v>
      </c>
      <c r="R372" s="177">
        <f t="shared" si="131"/>
        <v>0.97504959177234585</v>
      </c>
      <c r="S372" s="921">
        <f t="shared" si="132"/>
        <v>-2</v>
      </c>
      <c r="T372" s="176">
        <f t="shared" si="133"/>
        <v>4</v>
      </c>
      <c r="U372" s="251">
        <f t="shared" si="134"/>
        <v>-1.0249504082276542</v>
      </c>
      <c r="V372" s="383">
        <f t="shared" si="135"/>
        <v>24.500135670428008</v>
      </c>
      <c r="W372" s="402">
        <f t="shared" si="136"/>
        <v>23.51429423821385</v>
      </c>
      <c r="X372" s="157">
        <f t="shared" si="137"/>
        <v>46380</v>
      </c>
      <c r="Y372" s="385">
        <f t="shared" si="138"/>
        <v>21.782096451462479</v>
      </c>
      <c r="Z372" s="385">
        <f t="shared" si="139"/>
        <v>23.331338853781556</v>
      </c>
      <c r="AA372" s="386">
        <f t="shared" si="140"/>
        <v>25.846290990504734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9.7304179452560743E-2</v>
      </c>
      <c r="AD372" s="231">
        <f>(INDEX(Models!$BJ372:$BT372,,AH372)*(1-AF372)+INDEX(Models!$BJ372:$BT372,,AH372+1)*AF372-ERP_i)*AE372*Ramure*Pc/MaxiM</f>
        <v>1.376071889120108E-2</v>
      </c>
      <c r="AE372" s="305">
        <f t="shared" si="142"/>
        <v>0.7</v>
      </c>
      <c r="AF372" s="177">
        <f t="shared" si="143"/>
        <v>0.50003715814632477</v>
      </c>
      <c r="AG372" s="921">
        <f t="shared" si="149"/>
        <v>2</v>
      </c>
      <c r="AH372" s="176">
        <f t="shared" si="144"/>
        <v>8</v>
      </c>
      <c r="AI372" s="225">
        <f t="shared" si="145"/>
        <v>2.5000371581463248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13.77392795220304</v>
      </c>
      <c r="C373" s="955"/>
      <c r="D373" s="393">
        <f t="shared" si="127"/>
        <v>14.753915903871803</v>
      </c>
      <c r="E373" s="385">
        <f t="shared" si="150"/>
        <v>15.334174822941394</v>
      </c>
      <c r="F373" s="385">
        <f t="shared" si="128"/>
        <v>15.336826530184767</v>
      </c>
      <c r="G373" s="110">
        <f t="shared" si="151"/>
        <v>0.55987210853163516</v>
      </c>
      <c r="H373" s="414" t="b">
        <f>Wh_hp&gt;='2025'!Maxi_hp</f>
        <v>0</v>
      </c>
      <c r="I373" s="390">
        <f>IF(H373,Wh_hp,'2025'!Maxi_hp)</f>
        <v>18.791308820692279</v>
      </c>
      <c r="J373" s="85">
        <f>IF(H373,An,'2025'!An_max)</f>
        <v>2019</v>
      </c>
      <c r="K373" s="197">
        <f t="shared" si="129"/>
        <v>46381</v>
      </c>
      <c r="L373" s="147">
        <f>IF(t&lt;Tvie,1-EXP((T0-t)*PertePVj)+'2025'!Pspv,1-EXP((T0-t)*PertePVj)+Pspv)</f>
        <v>6.6422227024595437E-2</v>
      </c>
      <c r="M373" s="959"/>
      <c r="N373" s="959"/>
      <c r="O373" s="48">
        <f>IF(t&lt;Tnet,'2025'!Resal+('2025'!Salim-'2025'!Resal)*(1-EXP(('2025'!Tnet-t)/('2025'!Tau_j))),Resal+(Salim-Resal)*(1-EXP((Tnet-t)/(Tau_j))))*Salcycl</f>
        <v>3.7840896283604882E-2</v>
      </c>
      <c r="P373" s="169">
        <f>(INDEX(Models!$BJ373:$BT373,,T373)*(1-R373)+INDEX(Models!$BJ373:$BT373,,T373+1)*R373-ERP_i)*Q373*Ramure*Pc/MaxiM</f>
        <v>4.6543034006911108E-4</v>
      </c>
      <c r="Q373" s="305">
        <f t="shared" si="130"/>
        <v>0.7</v>
      </c>
      <c r="R373" s="177">
        <f t="shared" si="131"/>
        <v>0.97504959177234585</v>
      </c>
      <c r="S373" s="921">
        <f t="shared" si="132"/>
        <v>-2</v>
      </c>
      <c r="T373" s="176">
        <f t="shared" si="133"/>
        <v>4</v>
      </c>
      <c r="U373" s="251">
        <f t="shared" si="134"/>
        <v>-1.0249504082276542</v>
      </c>
      <c r="V373" s="383">
        <f t="shared" si="135"/>
        <v>24.594720341949639</v>
      </c>
      <c r="W373" s="402">
        <f t="shared" si="136"/>
        <v>13.77392795220304</v>
      </c>
      <c r="X373" s="157">
        <f t="shared" si="137"/>
        <v>46381</v>
      </c>
      <c r="Y373" s="385">
        <f t="shared" si="138"/>
        <v>12.8581331618985</v>
      </c>
      <c r="Z373" s="385">
        <f t="shared" si="139"/>
        <v>13.772964110872477</v>
      </c>
      <c r="AA373" s="386">
        <f t="shared" si="140"/>
        <v>15.25844601343981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9.7354730701862083E-2</v>
      </c>
      <c r="AD373" s="231">
        <f>(INDEX(Models!$BJ373:$BT373,,AH373)*(1-AF373)+INDEX(Models!$BJ373:$BT373,,AH373+1)*AF373-ERP_i)*AE373*Ramure*Pc/MaxiM</f>
        <v>1.3757427655167879E-2</v>
      </c>
      <c r="AE373" s="305">
        <f t="shared" si="142"/>
        <v>0.7</v>
      </c>
      <c r="AF373" s="177">
        <f t="shared" si="143"/>
        <v>0.50003715814632477</v>
      </c>
      <c r="AG373" s="921">
        <f t="shared" si="149"/>
        <v>2</v>
      </c>
      <c r="AH373" s="176">
        <f t="shared" si="144"/>
        <v>8</v>
      </c>
      <c r="AI373" s="225">
        <f t="shared" si="145"/>
        <v>2.5000371581463248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22.739905884412945</v>
      </c>
      <c r="C374" s="955"/>
      <c r="D374" s="393">
        <f t="shared" si="127"/>
        <v>24.358339086357432</v>
      </c>
      <c r="E374" s="385">
        <f t="shared" si="150"/>
        <v>25.31920497055572</v>
      </c>
      <c r="F374" s="385">
        <f t="shared" si="128"/>
        <v>25.329562602225007</v>
      </c>
      <c r="G374" s="110">
        <f t="shared" si="151"/>
        <v>0.92037825894085612</v>
      </c>
      <c r="H374" s="414" t="b">
        <f>Wh_hp&gt;='2025'!Maxi_hp</f>
        <v>0</v>
      </c>
      <c r="I374" s="390">
        <f>IF(H374,Wh_hp,'2025'!Maxi_hp)</f>
        <v>26.329619230701343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6.6442674773787735E-2</v>
      </c>
      <c r="M374" s="959"/>
      <c r="N374" s="959"/>
      <c r="O374" s="48">
        <f>IF(t&lt;Tnet,'2025'!Resal+('2025'!Salim-'2025'!Resal)*(1-EXP(('2025'!Tnet-t)/('2025'!Tau_j))),Resal+(Salim-Resal)*(1-EXP((Tnet-t)/(Tau_j))))*Salcycl</f>
        <v>3.7950081186028564E-2</v>
      </c>
      <c r="P374" s="169">
        <f>(INDEX(Models!$BJ374:$BT374,,T374)*(1-R374)+INDEX(Models!$BJ374:$BT374,,T374+1)*R374-ERP_i)*Q374*Ramure*Pc/MaxiM</f>
        <v>4.6136053006372248E-4</v>
      </c>
      <c r="Q374" s="305">
        <f t="shared" si="130"/>
        <v>0.7</v>
      </c>
      <c r="R374" s="177">
        <f t="shared" si="131"/>
        <v>0.97504959177234585</v>
      </c>
      <c r="S374" s="921">
        <f t="shared" si="132"/>
        <v>-2</v>
      </c>
      <c r="T374" s="176">
        <f t="shared" si="133"/>
        <v>4</v>
      </c>
      <c r="U374" s="251">
        <f t="shared" si="134"/>
        <v>-1.0249504082276542</v>
      </c>
      <c r="V374" s="383">
        <f t="shared" si="135"/>
        <v>24.705834327856088</v>
      </c>
      <c r="W374" s="402">
        <f t="shared" si="136"/>
        <v>22.739905884412945</v>
      </c>
      <c r="X374" s="157">
        <f t="shared" si="137"/>
        <v>46382</v>
      </c>
      <c r="Y374" s="385">
        <f t="shared" si="138"/>
        <v>21.082873521801364</v>
      </c>
      <c r="Z374" s="385">
        <f t="shared" si="139"/>
        <v>22.583373245657654</v>
      </c>
      <c r="AA374" s="386">
        <f t="shared" si="140"/>
        <v>25.020514802543214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9.7405731901161197E-2</v>
      </c>
      <c r="AD374" s="231">
        <f>(INDEX(Models!$BJ374:$BT374,,AH374)*(1-AF374)+INDEX(Models!$BJ374:$BT374,,AH374+1)*AF374-ERP_i)*AE374*Ramure*Pc/MaxiM</f>
        <v>1.3765932331713285E-2</v>
      </c>
      <c r="AE374" s="305">
        <f t="shared" si="142"/>
        <v>0.7</v>
      </c>
      <c r="AF374" s="177">
        <f t="shared" si="143"/>
        <v>0.50003715814632477</v>
      </c>
      <c r="AG374" s="921">
        <f t="shared" si="149"/>
        <v>2</v>
      </c>
      <c r="AH374" s="176">
        <f t="shared" si="144"/>
        <v>8</v>
      </c>
      <c r="AI374" s="225">
        <f t="shared" si="145"/>
        <v>2.5000371581463248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6.1759328026492328</v>
      </c>
      <c r="C375" s="955"/>
      <c r="D375" s="393">
        <f t="shared" si="127"/>
        <v>6.6156281007103521</v>
      </c>
      <c r="E375" s="385">
        <f t="shared" si="150"/>
        <v>6.8773764464936091</v>
      </c>
      <c r="F375" s="385">
        <f t="shared" si="128"/>
        <v>6.8773764464936091</v>
      </c>
      <c r="G375" s="110">
        <f t="shared" si="151"/>
        <v>0.24859440096472729</v>
      </c>
      <c r="H375" s="414" t="b">
        <f>Wh_hp&gt;='2025'!Maxi_hp</f>
        <v>0</v>
      </c>
      <c r="I375" s="390">
        <f>IF(H375,Wh_hp,'2025'!Maxi_hp)</f>
        <v>27.615988001355355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6.646312207512195E-2</v>
      </c>
      <c r="M375" s="959"/>
      <c r="N375" s="959"/>
      <c r="O375" s="48">
        <f>IF(t&lt;Tnet,'2025'!Resal+('2025'!Salim-'2025'!Resal)*(1-EXP(('2025'!Tnet-t)/('2025'!Tau_j))),Resal+(Salim-Resal)*(1-EXP((Tnet-t)/(Tau_j))))*Salcycl</f>
        <v>3.8059330882884448E-2</v>
      </c>
      <c r="P375" s="169">
        <f>(INDEX(Models!$BJ375:$BT375,,T375)*(1-R375)+INDEX(Models!$BJ375:$BT375,,T375+1)*R375-ERP_i)*Q375*Ramure*Pc/MaxiM</f>
        <v>4.5687475750030566E-4</v>
      </c>
      <c r="Q375" s="305">
        <f t="shared" si="130"/>
        <v>0.7</v>
      </c>
      <c r="R375" s="177">
        <f t="shared" si="131"/>
        <v>0.97504959177234585</v>
      </c>
      <c r="S375" s="921">
        <f t="shared" si="132"/>
        <v>-2</v>
      </c>
      <c r="T375" s="176">
        <f t="shared" si="133"/>
        <v>4</v>
      </c>
      <c r="U375" s="251">
        <f t="shared" si="134"/>
        <v>-1.0249504082276542</v>
      </c>
      <c r="V375" s="383">
        <f t="shared" si="135"/>
        <v>24.832060379845718</v>
      </c>
      <c r="W375" s="402">
        <f t="shared" si="136"/>
        <v>6.1759328026492328</v>
      </c>
      <c r="X375" s="157">
        <f t="shared" si="137"/>
        <v>46383</v>
      </c>
      <c r="Y375" s="385">
        <f t="shared" si="138"/>
        <v>5.7945819846559354</v>
      </c>
      <c r="Z375" s="385">
        <f t="shared" si="139"/>
        <v>6.2071270259151206</v>
      </c>
      <c r="AA375" s="386">
        <f t="shared" si="140"/>
        <v>6.8773764464936091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9.7457137295459725E-2</v>
      </c>
      <c r="AD375" s="231">
        <f>(INDEX(Models!$BJ375:$BT375,,AH375)*(1-AF375)+INDEX(Models!$BJ375:$BT375,,AH375+1)*AF375-ERP_i)*AE375*Ramure*Pc/MaxiM</f>
        <v>1.3790885416831631E-2</v>
      </c>
      <c r="AE375" s="305">
        <f t="shared" si="142"/>
        <v>0.7</v>
      </c>
      <c r="AF375" s="177">
        <f t="shared" si="143"/>
        <v>0.50003715814632477</v>
      </c>
      <c r="AG375" s="921">
        <f t="shared" si="149"/>
        <v>2</v>
      </c>
      <c r="AH375" s="176">
        <f t="shared" si="144"/>
        <v>8</v>
      </c>
      <c r="AI375" s="225">
        <f t="shared" si="145"/>
        <v>2.5000371581463248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24.076716695711909</v>
      </c>
      <c r="C376" s="955"/>
      <c r="D376" s="393">
        <f t="shared" si="127"/>
        <v>25.791422512059246</v>
      </c>
      <c r="E376" s="385">
        <f t="shared" si="150"/>
        <v>26.814910921946343</v>
      </c>
      <c r="F376" s="385">
        <f t="shared" si="128"/>
        <v>26.82642098028623</v>
      </c>
      <c r="G376" s="110">
        <f t="shared" si="151"/>
        <v>0.96412687526181595</v>
      </c>
      <c r="H376" s="414" t="b">
        <f>Wh_hp&gt;='2025'!Maxi_hp</f>
        <v>0</v>
      </c>
      <c r="I376" s="390">
        <f>IF(H376,Wh_hp,'2025'!Maxi_hp)</f>
        <v>26.826739809313775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6.6483568928607739E-2</v>
      </c>
      <c r="M376" s="959"/>
      <c r="N376" s="959"/>
      <c r="O376" s="48">
        <f>IF(t&lt;Tnet,'2025'!Resal+('2025'!Salim-'2025'!Resal)*(1-EXP(('2025'!Tnet-t)/('2025'!Tau_j))),Resal+(Salim-Resal)*(1-EXP((Tnet-t)/(Tau_j))))*Salcycl</f>
        <v>3.8168629866654979E-2</v>
      </c>
      <c r="P376" s="169">
        <f>(INDEX(Models!$BJ376:$BT376,,T376)*(1-R376)+INDEX(Models!$BJ376:$BT376,,T376+1)*R376-ERP_i)*Q376*Ramure*Pc/MaxiM</f>
        <v>4.522172927003436E-4</v>
      </c>
      <c r="Q376" s="305">
        <f t="shared" si="130"/>
        <v>0.7</v>
      </c>
      <c r="R376" s="177">
        <f t="shared" si="131"/>
        <v>0.97504959177234585</v>
      </c>
      <c r="S376" s="921">
        <f t="shared" si="132"/>
        <v>-2</v>
      </c>
      <c r="T376" s="176">
        <f t="shared" si="133"/>
        <v>4</v>
      </c>
      <c r="U376" s="251">
        <f t="shared" si="134"/>
        <v>-1.0249504082276542</v>
      </c>
      <c r="V376" s="383">
        <f t="shared" si="135"/>
        <v>24.971981847507667</v>
      </c>
      <c r="W376" s="402">
        <f t="shared" si="136"/>
        <v>24.076716695711909</v>
      </c>
      <c r="X376" s="157">
        <f t="shared" si="137"/>
        <v>46384</v>
      </c>
      <c r="Y376" s="385">
        <f t="shared" si="138"/>
        <v>22.304587780461215</v>
      </c>
      <c r="Z376" s="385">
        <f t="shared" si="139"/>
        <v>23.893085368473212</v>
      </c>
      <c r="AA376" s="386">
        <f t="shared" si="140"/>
        <v>26.474594008502578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9.7508903789054913E-2</v>
      </c>
      <c r="AD376" s="231">
        <f>(INDEX(Models!$BJ376:$BT376,,AH376)*(1-AF376)+INDEX(Models!$BJ376:$BT376,,AH376+1)*AF376-ERP_i)*AE376*Ramure*Pc/MaxiM</f>
        <v>1.3822887424260513E-2</v>
      </c>
      <c r="AE376" s="305">
        <f t="shared" si="142"/>
        <v>0.7</v>
      </c>
      <c r="AF376" s="177">
        <f t="shared" si="143"/>
        <v>0.50003715814632477</v>
      </c>
      <c r="AG376" s="921">
        <f t="shared" si="149"/>
        <v>2</v>
      </c>
      <c r="AH376" s="176">
        <f t="shared" si="144"/>
        <v>8</v>
      </c>
      <c r="AI376" s="225">
        <f t="shared" si="145"/>
        <v>2.5000371581463248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10.4838142738681</v>
      </c>
      <c r="C377" s="955"/>
      <c r="D377" s="393">
        <f t="shared" si="127"/>
        <v>11.230700984345443</v>
      </c>
      <c r="E377" s="385">
        <f t="shared" si="150"/>
        <v>11.677699541886703</v>
      </c>
      <c r="F377" s="385">
        <f t="shared" si="128"/>
        <v>11.678574988810263</v>
      </c>
      <c r="G377" s="110">
        <f t="shared" si="151"/>
        <v>0.41712429437425513</v>
      </c>
      <c r="H377" s="414" t="b">
        <f>Wh_hp&gt;='2025'!Maxi_hp</f>
        <v>0</v>
      </c>
      <c r="I377" s="390">
        <f>IF(H377,Wh_hp,'2025'!Maxi_hp)</f>
        <v>27.222037432287717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6.6504015334254984E-2</v>
      </c>
      <c r="M377" s="959"/>
      <c r="N377" s="959"/>
      <c r="O377" s="48">
        <f>IF(t&lt;Tnet,'2025'!Resal+('2025'!Salim-'2025'!Resal)*(1-EXP(('2025'!Tnet-t)/('2025'!Tau_j))),Resal+(Salim-Resal)*(1-EXP((Tnet-t)/(Tau_j))))*Salcycl</f>
        <v>3.8277963561052605E-2</v>
      </c>
      <c r="P377" s="169">
        <f>(INDEX(Models!$BJ377:$BT377,,T377)*(1-R377)+INDEX(Models!$BJ377:$BT377,,T377+1)*R377-ERP_i)*Q377*Ramure*Pc/MaxiM</f>
        <v>4.4741966438278035E-4</v>
      </c>
      <c r="Q377" s="305">
        <f t="shared" si="130"/>
        <v>0.7</v>
      </c>
      <c r="R377" s="177">
        <f t="shared" si="131"/>
        <v>0.97504959177234585</v>
      </c>
      <c r="S377" s="921">
        <f t="shared" si="132"/>
        <v>-2</v>
      </c>
      <c r="T377" s="176">
        <f t="shared" si="133"/>
        <v>4</v>
      </c>
      <c r="U377" s="251">
        <f t="shared" si="134"/>
        <v>-1.0249504082276542</v>
      </c>
      <c r="V377" s="383">
        <f t="shared" si="135"/>
        <v>25.124188025807182</v>
      </c>
      <c r="W377" s="402">
        <f t="shared" si="136"/>
        <v>10.4838142738681</v>
      </c>
      <c r="X377" s="157">
        <f t="shared" si="137"/>
        <v>46385</v>
      </c>
      <c r="Y377" s="385">
        <f t="shared" si="138"/>
        <v>9.8154524858618082</v>
      </c>
      <c r="Z377" s="385">
        <f t="shared" si="139"/>
        <v>10.514723841448989</v>
      </c>
      <c r="AA377" s="386">
        <f t="shared" si="140"/>
        <v>11.651450942894167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9.7560991074543441E-2</v>
      </c>
      <c r="AD377" s="231">
        <f>(INDEX(Models!$BJ377:$BT377,,AH377)*(1-AF377)+INDEX(Models!$BJ377:$BT377,,AH377+1)*AF377-ERP_i)*AE377*Ramure*Pc/MaxiM</f>
        <v>1.3862441221589942E-2</v>
      </c>
      <c r="AE377" s="305">
        <f t="shared" si="142"/>
        <v>0.7</v>
      </c>
      <c r="AF377" s="177">
        <f t="shared" si="143"/>
        <v>0.50003715814632477</v>
      </c>
      <c r="AG377" s="921">
        <f t="shared" si="149"/>
        <v>2</v>
      </c>
      <c r="AH377" s="176">
        <f t="shared" si="144"/>
        <v>8</v>
      </c>
      <c r="AI377" s="225">
        <f t="shared" si="145"/>
        <v>2.5000371581463248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15.057353540031951</v>
      </c>
      <c r="C378" s="955"/>
      <c r="D378" s="393">
        <f t="shared" si="127"/>
        <v>16.130421115130279</v>
      </c>
      <c r="E378" s="385">
        <f t="shared" si="150"/>
        <v>16.774343166787336</v>
      </c>
      <c r="F378" s="385">
        <f t="shared" si="128"/>
        <v>16.777476746651523</v>
      </c>
      <c r="G378" s="110">
        <f t="shared" si="151"/>
        <v>0.59529963847085687</v>
      </c>
      <c r="H378" s="414" t="b">
        <f>Wh_hp&gt;='2025'!Maxi_hp</f>
        <v>0</v>
      </c>
      <c r="I378" s="390">
        <f>IF(H378,Wh_hp,'2025'!Maxi_hp)</f>
        <v>27.784365944966957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6.6524461292073456E-2</v>
      </c>
      <c r="M378" s="959"/>
      <c r="N378" s="959"/>
      <c r="O378" s="48">
        <f>IF(t&lt;Tnet,'2025'!Resal+('2025'!Salim-'2025'!Resal)*(1-EXP(('2025'!Tnet-t)/('2025'!Tau_j))),Resal+(Salim-Resal)*(1-EXP((Tnet-t)/(Tau_j))))*Salcycl</f>
        <v>3.8387318373932021E-2</v>
      </c>
      <c r="P378" s="169">
        <f>(INDEX(Models!$BJ378:$BT378,,T378)*(1-R378)+INDEX(Models!$BJ378:$BT378,,T378+1)*R378-ERP_i)*Q378*Ramure*Pc/MaxiM</f>
        <v>4.4251225794265811E-4</v>
      </c>
      <c r="Q378" s="305">
        <f t="shared" si="130"/>
        <v>0.7</v>
      </c>
      <c r="R378" s="177">
        <f t="shared" si="131"/>
        <v>0.97504959177234585</v>
      </c>
      <c r="S378" s="921">
        <f t="shared" si="132"/>
        <v>-2</v>
      </c>
      <c r="T378" s="176">
        <f t="shared" si="133"/>
        <v>4</v>
      </c>
      <c r="U378" s="251">
        <f t="shared" si="134"/>
        <v>-1.0249504082276542</v>
      </c>
      <c r="V378" s="383">
        <f t="shared" si="135"/>
        <v>25.287268950988281</v>
      </c>
      <c r="W378" s="402">
        <f t="shared" si="136"/>
        <v>15.057353540031951</v>
      </c>
      <c r="X378" s="157">
        <f t="shared" si="137"/>
        <v>46386</v>
      </c>
      <c r="Y378" s="385">
        <f t="shared" si="138"/>
        <v>14.049632287535422</v>
      </c>
      <c r="Z378" s="385">
        <f t="shared" si="139"/>
        <v>15.050884254537907</v>
      </c>
      <c r="AA378" s="386">
        <f t="shared" si="140"/>
        <v>16.678975082612062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9.7613361732967072E-2</v>
      </c>
      <c r="AD378" s="231">
        <f>(INDEX(Models!$BJ378:$BT378,,AH378)*(1-AF378)+INDEX(Models!$BJ378:$BT378,,AH378+1)*AF378-ERP_i)*AE378*Ramure*Pc/MaxiM</f>
        <v>1.3910031227669631E-2</v>
      </c>
      <c r="AE378" s="305">
        <f t="shared" si="142"/>
        <v>0.7</v>
      </c>
      <c r="AF378" s="177">
        <f t="shared" si="143"/>
        <v>0.50003715814632477</v>
      </c>
      <c r="AG378" s="921">
        <f t="shared" si="149"/>
        <v>2</v>
      </c>
      <c r="AH378" s="176">
        <f t="shared" si="144"/>
        <v>8</v>
      </c>
      <c r="AI378" s="225">
        <f t="shared" si="145"/>
        <v>2.5000371581463248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11.386994143200267</v>
      </c>
      <c r="C379" s="955"/>
      <c r="D379" s="393">
        <f t="shared" si="127"/>
        <v>12.198759454179552</v>
      </c>
      <c r="E379" s="385">
        <f t="shared" si="150"/>
        <v>12.687173535964858</v>
      </c>
      <c r="F379" s="385">
        <f t="shared" si="128"/>
        <v>12.688341352884905</v>
      </c>
      <c r="G379" s="110">
        <f t="shared" si="151"/>
        <v>0.4470990681905907</v>
      </c>
      <c r="H379" s="414" t="b">
        <f>Wh_hp&gt;='2025'!Maxi_hp</f>
        <v>0</v>
      </c>
      <c r="I379" s="390">
        <f>IF(H379,Wh_hp,'2025'!Maxi_hp)</f>
        <v>28.039920073924794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6.6544906802072923E-2</v>
      </c>
      <c r="M379" s="959"/>
      <c r="N379" s="959"/>
      <c r="O379" s="48">
        <f>IF(t&lt;Tnet,'2025'!Resal+('2025'!Salim-'2025'!Resal)*(1-EXP(('2025'!Tnet-t)/('2025'!Tau_j))),Resal+(Salim-Resal)*(1-EXP((Tnet-t)/(Tau_j))))*Salcycl</f>
        <v>3.8496681739299765E-2</v>
      </c>
      <c r="P379" s="169">
        <f>(INDEX(Models!$BJ379:$BT379,,T379)*(1-R379)+INDEX(Models!$BJ379:$BT379,,T379+1)*R379-ERP_i)*Q379*Ramure*Pc/MaxiM</f>
        <v>4.3752414241243764E-4</v>
      </c>
      <c r="Q379" s="306">
        <f t="shared" si="130"/>
        <v>0.7</v>
      </c>
      <c r="R379" s="177">
        <f t="shared" si="131"/>
        <v>0.97504959177234585</v>
      </c>
      <c r="S379" s="921">
        <f t="shared" si="132"/>
        <v>-2</v>
      </c>
      <c r="T379" s="176">
        <f t="shared" si="133"/>
        <v>4</v>
      </c>
      <c r="U379" s="307">
        <f t="shared" si="134"/>
        <v>-1.0249504082276542</v>
      </c>
      <c r="V379" s="383">
        <f t="shared" si="135"/>
        <v>25.459815394100922</v>
      </c>
      <c r="W379" s="402">
        <f t="shared" si="136"/>
        <v>11.386994143200267</v>
      </c>
      <c r="X379" s="157">
        <f t="shared" si="137"/>
        <v>46387</v>
      </c>
      <c r="Y379" s="385">
        <f t="shared" si="138"/>
        <v>10.655842745343261</v>
      </c>
      <c r="Z379" s="385">
        <f t="shared" si="139"/>
        <v>11.41548514009107</v>
      </c>
      <c r="AA379" s="386">
        <f t="shared" si="140"/>
        <v>12.651063689920861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9.7665981305127658E-2</v>
      </c>
      <c r="AD379" s="231">
        <f>(INDEX(Models!$BJ379:$BT379,,AH379)*(1-AF379)+INDEX(Models!$BJ379:$BT379,,AH379+1)*AF379-ERP_i)*AE379*Ramure*Pc/MaxiM</f>
        <v>1.3966125374183387E-2</v>
      </c>
      <c r="AE379" s="306">
        <f t="shared" si="142"/>
        <v>0.7</v>
      </c>
      <c r="AF379" s="177">
        <f t="shared" si="143"/>
        <v>0.50003715814632477</v>
      </c>
      <c r="AG379" s="921">
        <f t="shared" si="149"/>
        <v>2</v>
      </c>
      <c r="AH379" s="176">
        <f t="shared" si="144"/>
        <v>8</v>
      </c>
      <c r="AI379" s="222">
        <f t="shared" si="145"/>
        <v>2.5000371581463248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18.17506801901466</v>
      </c>
      <c r="J380" s="85">
        <f>IF(H380,An,'2025'!An_max)</f>
        <v>2024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5.9073077206924229E-2</v>
      </c>
      <c r="M381" s="961"/>
      <c r="N381" s="961"/>
      <c r="O381" s="47">
        <f t="shared" si="152"/>
        <v>8.0885102312609237E-3</v>
      </c>
      <c r="P381" s="168">
        <f t="shared" si="152"/>
        <v>3.7246212524887434E-5</v>
      </c>
      <c r="Q381" s="310">
        <f t="shared" si="152"/>
        <v>0.7</v>
      </c>
      <c r="R381" s="311">
        <f t="shared" si="152"/>
        <v>0.47505086480851677</v>
      </c>
      <c r="S381" s="921">
        <f t="shared" si="152"/>
        <v>-2</v>
      </c>
      <c r="T381" s="176">
        <f t="shared" si="152"/>
        <v>4</v>
      </c>
      <c r="U381" s="252">
        <f>MIN(U15:U380)</f>
        <v>-1.5249491351914832</v>
      </c>
      <c r="V381" s="57">
        <f>MIN(V15:V380)</f>
        <v>24.133039700493157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8.2867391841425539E-2</v>
      </c>
      <c r="AD381" s="168">
        <f t="shared" si="153"/>
        <v>1.5837052427002329E-3</v>
      </c>
      <c r="AE381" s="310">
        <f t="shared" si="153"/>
        <v>0.7</v>
      </c>
      <c r="AF381" s="311">
        <f t="shared" si="153"/>
        <v>3.8431182495912708E-5</v>
      </c>
      <c r="AG381" s="921">
        <f t="shared" si="153"/>
        <v>2</v>
      </c>
      <c r="AH381" s="176">
        <f t="shared" si="153"/>
        <v>8</v>
      </c>
      <c r="AI381" s="226">
        <f>MIN(AI15:AI380)</f>
        <v>2.0000384311824959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29.439186744359965</v>
      </c>
      <c r="C382" s="375"/>
      <c r="D382" s="375">
        <f>AVERAGE(D15:D380)</f>
        <v>31.410285030578109</v>
      </c>
      <c r="E382" s="375">
        <f>AVERAGE(E15:E380)</f>
        <v>32.613537710556983</v>
      </c>
      <c r="F382" s="376">
        <f>AVERAGE(F15:F380)</f>
        <v>32.632788324086498</v>
      </c>
      <c r="G382" s="126">
        <f>AVERAGE(G15:G380)</f>
        <v>0.67924187387569135</v>
      </c>
      <c r="H382" s="94"/>
      <c r="I382" s="376">
        <f>AVERAGE(I15:I380)</f>
        <v>43.99075124489169</v>
      </c>
      <c r="J382" s="59">
        <f>AVERAGE(J15:J380)</f>
        <v>2020.8934426229507</v>
      </c>
      <c r="K382" s="200" t="s">
        <v>8</v>
      </c>
      <c r="L382" s="147">
        <f t="shared" ref="L382:V382" si="154">AVERAGE(L15:L380)</f>
        <v>6.2813942533852432E-2</v>
      </c>
      <c r="M382" s="959"/>
      <c r="N382" s="959"/>
      <c r="O382" s="48">
        <f t="shared" si="154"/>
        <v>4.1821950662978315E-2</v>
      </c>
      <c r="P382" s="169">
        <f t="shared" si="154"/>
        <v>6.051118642368883E-4</v>
      </c>
      <c r="Q382" s="312">
        <f t="shared" si="154"/>
        <v>0.69999999999999529</v>
      </c>
      <c r="R382" s="177">
        <f t="shared" si="154"/>
        <v>0.75493446180766077</v>
      </c>
      <c r="S382" s="921">
        <f t="shared" si="154"/>
        <v>-2</v>
      </c>
      <c r="T382" s="176">
        <f t="shared" si="154"/>
        <v>4</v>
      </c>
      <c r="U382" s="251">
        <f>AVERAGE(U15:U380)</f>
        <v>-1.2450655381923406</v>
      </c>
      <c r="V382" s="59">
        <f t="shared" si="154"/>
        <v>41.983505043539374</v>
      </c>
      <c r="X382" s="112" t="s">
        <v>8</v>
      </c>
      <c r="Y382" s="375">
        <f>AVERAGE(Y15:Y380)</f>
        <v>27.251542900019547</v>
      </c>
      <c r="Z382" s="375">
        <f>AVERAGE(Z15:Z380)</f>
        <v>29.076161511348662</v>
      </c>
      <c r="AA382" s="375">
        <f>AVERAGE(AA15:AA380)</f>
        <v>32.481383480518815</v>
      </c>
      <c r="AB382" s="200" t="s">
        <v>8</v>
      </c>
      <c r="AC382" s="48">
        <f t="shared" ref="AC382:AH382" si="155">AVERAGE(AC15:AC380)</f>
        <v>0.10824374727942453</v>
      </c>
      <c r="AD382" s="169">
        <f t="shared" si="155"/>
        <v>7.1468626317225401E-3</v>
      </c>
      <c r="AE382" s="312">
        <f t="shared" si="155"/>
        <v>0.69999999999999529</v>
      </c>
      <c r="AF382" s="177">
        <f t="shared" si="155"/>
        <v>0.27992202818163986</v>
      </c>
      <c r="AG382" s="921">
        <f t="shared" si="155"/>
        <v>2</v>
      </c>
      <c r="AH382" s="176">
        <f t="shared" si="155"/>
        <v>8</v>
      </c>
      <c r="AI382" s="225">
        <f>AVERAGE(AI15:AI380)</f>
        <v>2.279922028181641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55.743559569472566</v>
      </c>
      <c r="C383" s="377"/>
      <c r="D383" s="377">
        <f>MAX(D15:D380)</f>
        <v>59.435595461715828</v>
      </c>
      <c r="E383" s="377">
        <f>MAX(E15:E380)</f>
        <v>60.177740284120866</v>
      </c>
      <c r="F383" s="378">
        <f>MAX(F15:F380)</f>
        <v>60.251561411651252</v>
      </c>
      <c r="G383" s="127">
        <f>+MAX(G15:G380)</f>
        <v>1.0462551840388286</v>
      </c>
      <c r="H383" s="94"/>
      <c r="I383" s="378">
        <f>MAX(I15:I380)</f>
        <v>61.987907498178245</v>
      </c>
      <c r="J383" s="60">
        <f>MAX(J15:J380)</f>
        <v>2026</v>
      </c>
      <c r="K383" s="200" t="s">
        <v>9</v>
      </c>
      <c r="L383" s="148">
        <f t="shared" ref="L383:T383" si="156">MAX(L15:L380)</f>
        <v>6.6544906802072923E-2</v>
      </c>
      <c r="M383" s="962"/>
      <c r="N383" s="962"/>
      <c r="O383" s="49">
        <f t="shared" si="156"/>
        <v>8.2753891303534374E-2</v>
      </c>
      <c r="P383" s="170">
        <f t="shared" si="156"/>
        <v>2.3794130665794767E-3</v>
      </c>
      <c r="Q383" s="313">
        <f t="shared" si="156"/>
        <v>0.7</v>
      </c>
      <c r="R383" s="314">
        <f t="shared" si="156"/>
        <v>0.97504959177234585</v>
      </c>
      <c r="S383" s="922">
        <f t="shared" si="156"/>
        <v>-2</v>
      </c>
      <c r="T383" s="233">
        <f t="shared" si="156"/>
        <v>4</v>
      </c>
      <c r="U383" s="253">
        <f>MAX(U15:U380)</f>
        <v>-1.0249504082276542</v>
      </c>
      <c r="V383" s="60">
        <f>MAX(V15:V380)</f>
        <v>55.411795837519286</v>
      </c>
      <c r="X383" s="112" t="s">
        <v>9</v>
      </c>
      <c r="Y383" s="377">
        <f>MAX(Y15:Y380)</f>
        <v>51.269472089585385</v>
      </c>
      <c r="Z383" s="377">
        <f>MAX(Z15:Z380)</f>
        <v>54.665177936019624</v>
      </c>
      <c r="AA383" s="377">
        <f>MAX(AA15:AA380)</f>
        <v>59.843084014046703</v>
      </c>
      <c r="AB383" s="200" t="s">
        <v>9</v>
      </c>
      <c r="AC383" s="49">
        <f t="shared" ref="AC383:AH383" si="157">MAX(AC15:AC380)</f>
        <v>0.14229200051149934</v>
      </c>
      <c r="AD383" s="170">
        <f t="shared" si="157"/>
        <v>1.6552881674782808E-2</v>
      </c>
      <c r="AE383" s="313">
        <f t="shared" si="157"/>
        <v>0.7</v>
      </c>
      <c r="AF383" s="314">
        <f t="shared" si="157"/>
        <v>0.50003715814632477</v>
      </c>
      <c r="AG383" s="922">
        <f t="shared" si="157"/>
        <v>2</v>
      </c>
      <c r="AH383" s="233">
        <f t="shared" si="157"/>
        <v>8</v>
      </c>
      <c r="AI383" s="227">
        <f>MAX(AI15:AI380)</f>
        <v>2.5000371581463248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'2026'!An+1</f>
        <v>2027</v>
      </c>
      <c r="K1" s="1217"/>
      <c r="L1" s="113" t="str">
        <f>"Calcul pertes et enveloppes en "&amp;TEXT(An,0)</f>
        <v>Calcul pertes et enveloppes en 2027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2027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566.60587698495863</v>
      </c>
      <c r="AK4" s="948">
        <f>AM12-AK12</f>
        <v>44.564959811435152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566.60587698495863</v>
      </c>
      <c r="AA5" s="237">
        <f>Wh_Pvg_s-Wh_Pvg</f>
        <v>44.564959811435152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10420.475986885265</v>
      </c>
      <c r="AK6" s="517">
        <f>SUMIF(AK15:AK380,"FAUX",Wh)</f>
        <v>10420.475986885265</v>
      </c>
      <c r="AL6" s="517">
        <f>SUMIF(AJ15:AJ380,"FAUX",Wh_s)</f>
        <v>9803.1193207977449</v>
      </c>
      <c r="AM6" s="517">
        <f>SUMIF(AK15:AK380,"FAUX",Wh_s)</f>
        <v>9803.1193207977449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AND(YEAR(Tnet)=An,Resal_2027="I")</f>
        <v>0</v>
      </c>
      <c r="F7" s="320" t="b">
        <f>YEAR(Tnet)=An</f>
        <v>0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AND(YEAR(Tnet)=An,Resal_2027&lt;&gt;"I")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11206.879959347938</v>
      </c>
      <c r="AK8" s="517">
        <f>SUMIF(AK15:AK380,"FAUX",Wh_sa)</f>
        <v>11897.748896634304</v>
      </c>
      <c r="AL8" s="517">
        <f>SUMIF(AJ15:AJ380,"FAUX",Wh_pvt_s)</f>
        <v>10542.98699591785</v>
      </c>
      <c r="AM8" s="517">
        <f>SUMIF(AK15:AK380,"FAUX",Wh_sa_s)</f>
        <v>11843.228603658063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11206.879959347938</v>
      </c>
      <c r="E9" s="184">
        <f>SUM(E$15:E$380)</f>
        <v>11897.748896634304</v>
      </c>
      <c r="F9" s="184">
        <f>SUM(F$15:F$380)</f>
        <v>11909.469160520071</v>
      </c>
      <c r="H9" s="1218">
        <f>+SUM(Wh)</f>
        <v>10420.475986885265</v>
      </c>
      <c r="I9" s="1219"/>
      <c r="J9" s="1220"/>
      <c r="K9" s="191"/>
      <c r="L9" s="232"/>
      <c r="M9" s="232"/>
      <c r="N9" s="232"/>
      <c r="O9" s="223">
        <f>Tnet_2027</f>
        <v>46142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9803.1193207977449</v>
      </c>
      <c r="Y9" s="1213"/>
      <c r="Z9" s="517">
        <f>SUM(Z$15:Z$380)</f>
        <v>10542.98699591785</v>
      </c>
      <c r="AA9" s="517">
        <f>SUM(AA$15:AA$380)</f>
        <v>11843.228603658063</v>
      </c>
      <c r="AB9" s="517">
        <f>F9</f>
        <v>11909.469160520071</v>
      </c>
      <c r="AC9" s="325">
        <f>IF(An_Tnet,Tnet,'2026'!Tnet_s)</f>
        <v>46142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8.0000000000000002E-3</v>
      </c>
      <c r="P10" s="422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IF(OR(Inflex,GainD),'2026'!Resal_s+('2026'!Salim-'2026'!Resal_s)*(1-EXP(('2026'!Tnet_s-Tnet)/('2026'!Tau_j))),IF(Acti_net,'2026'!Resal+('2026'!Salim-'2026'!Resal)*(1-EXP(('2026'!Tnet-Tnet)/'2026'!Tau_j)),'2026'!Resal_s))</f>
        <v>8.1960597907046018E-2</v>
      </c>
      <c r="AD10" s="429"/>
      <c r="AE10" s="429"/>
      <c r="AF10" s="260"/>
      <c r="AG10" s="261"/>
      <c r="AH10" s="262"/>
      <c r="AI10" s="474"/>
      <c r="AJ10" s="517">
        <f>SUMIF(AJ15:AJ380,"FAUX",Wh_sa)</f>
        <v>11897.748896634304</v>
      </c>
      <c r="AK10" s="517">
        <f>SUMIF(AK15:AK380,"FAUX",Wh_hp)</f>
        <v>11909.469160520071</v>
      </c>
      <c r="AL10" s="517">
        <f>SUMIF(AJ15:AJ380,"FAUX",Wh_sa_s)</f>
        <v>11843.228603658063</v>
      </c>
      <c r="AM10" s="517">
        <f>SUMIF(AK15:AK380,"FAUX",Wh_hp)</f>
        <v>11909.469160520071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786.40397246267275</v>
      </c>
      <c r="E11" s="51">
        <f>(E$9-D$9)*Prod_an/D$9</f>
        <v>642.38960327869893</v>
      </c>
      <c r="F11" s="186">
        <f>(F$9-E$9)*Prod_an/E$9</f>
        <v>10.265028237076271</v>
      </c>
      <c r="G11" s="185" t="s">
        <v>6</v>
      </c>
      <c r="K11" s="194"/>
      <c r="L11" s="211">
        <f>Tvie_2027</f>
        <v>43243</v>
      </c>
      <c r="M11" s="958"/>
      <c r="N11" s="958"/>
      <c r="O11" s="202">
        <f>IF(An_Tnet,Salim_2027,'2026'!Salim)</f>
        <v>0.16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-0.52495040822765415</v>
      </c>
      <c r="V11" s="429"/>
      <c r="W11" s="520"/>
      <c r="X11" s="527" t="s">
        <v>44</v>
      </c>
      <c r="Y11" s="50">
        <f>Z$9-Prod_an_s</f>
        <v>739.86767512010556</v>
      </c>
      <c r="Z11" s="51">
        <f>(AA$9-Z$9)*Prod_an_s/Z$9</f>
        <v>1208.9954802636576</v>
      </c>
      <c r="AA11" s="186">
        <f>(AB$9-AA$9)*Prod_an_s/AA$9</f>
        <v>54.829988048511424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4.6255184038828334E-2</v>
      </c>
      <c r="K12" s="191"/>
      <c r="L12" s="212">
        <f>Pspv_2027</f>
        <v>0</v>
      </c>
      <c r="M12" s="212"/>
      <c r="N12" s="212"/>
      <c r="O12" s="205">
        <f>IF(An_Tnet,Tau_2027*365,'2026'!Tau_j)</f>
        <v>1095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-1.0249504082276542</v>
      </c>
      <c r="V12" s="40"/>
      <c r="W12" s="34"/>
      <c r="X12" s="54"/>
      <c r="Y12" s="34"/>
      <c r="AB12" s="319" t="s">
        <v>109</v>
      </c>
      <c r="AC12" s="318" t="b">
        <f>NOT(An_Tnet)</f>
        <v>1</v>
      </c>
      <c r="AE12" s="296">
        <f>'2026'!Df_s</f>
        <v>0.7</v>
      </c>
      <c r="AF12" s="203"/>
      <c r="AG12" s="203"/>
      <c r="AH12" s="203"/>
      <c r="AI12" s="297">
        <f>'2026'!Hdf_s</f>
        <v>2.5000371581463248</v>
      </c>
      <c r="AJ12" s="947">
        <f>IF($AJ8=0,0,($AJ10-$AJ8)*$AJ6/$AJ8)</f>
        <v>642.38960327869893</v>
      </c>
      <c r="AK12" s="948">
        <f>IF($AK8=0,0,($AK10-$AK8)*$AK6/$AK8)</f>
        <v>10.265028237076271</v>
      </c>
      <c r="AL12" s="947">
        <f>IF($AL8=0,0,($AL10-$AL8)*$AL6/$AL8)</f>
        <v>1208.9954802636576</v>
      </c>
      <c r="AM12" s="948">
        <f>IF($AM8=0,0,($AM10-$AM8)*$AM6/$AM8)</f>
        <v>54.829988048511424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642.38960327869893</v>
      </c>
      <c r="AK13" s="73">
        <f>+AK11+AK12</f>
        <v>10.265028237076271</v>
      </c>
      <c r="AL13" s="73">
        <f>+AL11+AL12</f>
        <v>1208.9954802636576</v>
      </c>
      <c r="AM13" s="73">
        <f>+AM11+AM12</f>
        <v>54.829988048511424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2027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2027</v>
      </c>
      <c r="W14" s="952" t="s">
        <v>119</v>
      </c>
      <c r="X14" s="258" t="s">
        <v>2</v>
      </c>
      <c r="Y14" s="107" t="str">
        <f>"Wh / Jour "&amp; TEXT(An,0)</f>
        <v>Wh / Jour 2027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25.188165941810151</v>
      </c>
      <c r="C15" s="955"/>
      <c r="D15" s="393">
        <f t="shared" ref="D15:D78" si="0">Wh/(1-Ppv)</f>
        <v>26.984391453773615</v>
      </c>
      <c r="E15" s="400">
        <f t="shared" ref="E15:E79" si="1">Wh_pvt/(1-Psa)</f>
        <v>28.067985276372482</v>
      </c>
      <c r="F15" s="400">
        <f t="shared" ref="F15:F78" si="2">Wh_sa/(1-Pvg*MEDIAN((-Sdif+Wh/Env_an)/Csdif,0,1))</f>
        <v>28.079823335426099</v>
      </c>
      <c r="G15" s="123">
        <f>+Wh_hp/MaxiM</f>
        <v>0.98235100943477449</v>
      </c>
      <c r="H15" s="414" t="b">
        <f>Wh_hp&gt;='2026'!Maxi_hp</f>
        <v>0</v>
      </c>
      <c r="I15" s="396">
        <f>IF(H15,Wh_hp,'2026'!Maxi_hp)</f>
        <v>28.07998035678612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6.6565351864263378E-2</v>
      </c>
      <c r="M15" s="959"/>
      <c r="N15" s="959"/>
      <c r="O15" s="48">
        <f>IF(t&lt;Tnet,'2026'!Resal+('2026'!Salim-'2026'!Resal)*(1-EXP(('2026'!Tnet-t)/('2026'!Tau_j))),Resal+(Salim-Resal)*(1-EXP((Tnet-t)/(Tau_j))))*Salcycl</f>
        <v>3.8606042148348764E-2</v>
      </c>
      <c r="P15" s="302">
        <f>(INDEX(Models!$BJ15:$BT15,,T15)*(1-R15)+INDEX(Models!$BJ15:$BT15,,T15+1)*R15-ERP_i)*Q15*Ramure*Pc/MaxiM</f>
        <v>4.3248347334019104E-4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0.97505078727057515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-1.0249492127294249</v>
      </c>
      <c r="V15" s="382">
        <f t="shared" ref="V15:V78" si="9">MaxiM*(1-Ppv)*(1-Pvg)*(1-Psa)</f>
        <v>25.640418847798855</v>
      </c>
      <c r="W15" s="402">
        <f t="shared" ref="W15:W78" si="10">Wh*(A15&gt;Tmaj)</f>
        <v>25.188165941810151</v>
      </c>
      <c r="X15" s="156">
        <f t="shared" ref="X15:X78" si="11">t</f>
        <v>46388</v>
      </c>
      <c r="Y15" s="385">
        <f t="shared" ref="Y15:Y78" si="12">Wh_pvt_s*(1-Ppv)</f>
        <v>23.325935514479184</v>
      </c>
      <c r="Z15" s="385">
        <f>Wh_sa_s*(1-Psa_s)</f>
        <v>24.989361131029295</v>
      </c>
      <c r="AA15" s="386">
        <f t="shared" ref="AA15:AA78" si="13">Wh_hp*(1-Pvg_s*MEDIAN((-Sdif+Wh/Env_an)/Csdif,0,1))</f>
        <v>27.695757862197812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9.7718818334359442E-2</v>
      </c>
      <c r="AD15" s="231">
        <f>(INDEX(Models!$BJ15:$BT15,,AH15)*(1-AF15)+INDEX(Models!$BJ15:$BT15,,AH15+1)*AF15-ERP_i)*AE15*Ramure*Pc/MaxiM</f>
        <v>1.4031182738614738E-2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0.50003835364455407</v>
      </c>
      <c r="AG15" s="92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2.5000383536445541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17.601973313630776</v>
      </c>
      <c r="C16" s="955"/>
      <c r="D16" s="393">
        <f t="shared" si="0"/>
        <v>18.857623172249326</v>
      </c>
      <c r="E16" s="385">
        <f t="shared" si="1"/>
        <v>19.617107108328984</v>
      </c>
      <c r="F16" s="385">
        <f t="shared" si="2"/>
        <v>19.62168363792286</v>
      </c>
      <c r="G16" s="110">
        <f t="shared" ref="G16:G79" si="21">+Wh_hp/MaxiM</f>
        <v>0.68138370743803878</v>
      </c>
      <c r="H16" s="414" t="b">
        <f>Wh_hp&gt;='2026'!Maxi_hp</f>
        <v>0</v>
      </c>
      <c r="I16" s="390">
        <f>IF(H16,Wh_hp,'2026'!Maxi_hp)</f>
        <v>25.967841110496515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6.6585796478654369E-2</v>
      </c>
      <c r="M16" s="959"/>
      <c r="N16" s="959"/>
      <c r="O16" s="48">
        <f>IF(t&lt;Tnet,'2026'!Resal+('2026'!Salim-'2026'!Resal)*(1-EXP(('2026'!Tnet-t)/('2026'!Tau_j))),Resal+(Salim-Resal)*(1-EXP((Tnet-t)/(Tau_j))))*Salcycl</f>
        <v>3.8715389169547795E-2</v>
      </c>
      <c r="P16" s="169">
        <f>(INDEX(Models!$BJ16:$BT16,,T16)*(1-R16)+INDEX(Models!$BJ16:$BT16,,T16+1)*R16-ERP_i)*Q16*Ramure*Pc/MaxiM</f>
        <v>4.2794188753134392E-4</v>
      </c>
      <c r="Q16" s="305">
        <f t="shared" si="4"/>
        <v>0.7</v>
      </c>
      <c r="R16" s="177">
        <f t="shared" si="5"/>
        <v>0.97508000188456956</v>
      </c>
      <c r="S16" s="921">
        <f t="shared" si="6"/>
        <v>-2</v>
      </c>
      <c r="T16" s="176">
        <f t="shared" si="7"/>
        <v>4</v>
      </c>
      <c r="U16" s="251">
        <f t="shared" si="8"/>
        <v>-1.0249199981154304</v>
      </c>
      <c r="V16" s="383">
        <f t="shared" si="9"/>
        <v>25.827657978826895</v>
      </c>
      <c r="W16" s="402">
        <f t="shared" si="10"/>
        <v>17.601973313630776</v>
      </c>
      <c r="X16" s="157">
        <f t="shared" si="11"/>
        <v>46389</v>
      </c>
      <c r="Y16" s="385">
        <f t="shared" si="12"/>
        <v>16.397557103896578</v>
      </c>
      <c r="Z16" s="385">
        <f t="shared" ref="Z16:Z78" si="22">Wh_sa_s*(1-Psa_s)</f>
        <v>17.567289036352864</v>
      </c>
      <c r="AA16" s="386">
        <f t="shared" si="13"/>
        <v>19.471005118772968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9.7771844381296727E-2</v>
      </c>
      <c r="AD16" s="231">
        <f>(INDEX(Models!$BJ16:$BT16,,AH16)*(1-AF16)+INDEX(Models!$BJ16:$BT16,,AH16+1)*AF16-ERP_i)*AE16*Ramure*Pc/MaxiM</f>
        <v>1.4089639009810268E-2</v>
      </c>
      <c r="AE16" s="305">
        <f t="shared" si="15"/>
        <v>0.7</v>
      </c>
      <c r="AF16" s="177">
        <f t="shared" ref="AF16:AF78" si="23">(Hp_vg_s-AG16)/(INDEX(Echel_vg,AH16+1)-AG16)</f>
        <v>0.50006756825854826</v>
      </c>
      <c r="AG16" s="921">
        <f t="shared" ref="AG16:AG79" si="24">INDEX(Echel_vg,AH16)</f>
        <v>2</v>
      </c>
      <c r="AH16" s="176">
        <f t="shared" si="16"/>
        <v>8</v>
      </c>
      <c r="AI16" s="225">
        <f t="shared" si="17"/>
        <v>2.5000675682585483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18.644766197766398</v>
      </c>
      <c r="C17" s="955"/>
      <c r="D17" s="393">
        <f t="shared" si="0"/>
        <v>19.97524197146501</v>
      </c>
      <c r="E17" s="385">
        <f t="shared" si="1"/>
        <v>20.782101091391791</v>
      </c>
      <c r="F17" s="385">
        <f t="shared" si="2"/>
        <v>20.787344740340814</v>
      </c>
      <c r="G17" s="110">
        <f t="shared" si="21"/>
        <v>0.71642869796312492</v>
      </c>
      <c r="H17" s="414" t="b">
        <f>Wh_hp&gt;='2026'!Maxi_hp</f>
        <v>0</v>
      </c>
      <c r="I17" s="390">
        <f>IF(H17,Wh_hp,'2026'!Maxi_hp)</f>
        <v>30.270872638205173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6.6606240645255888E-2</v>
      </c>
      <c r="M17" s="959"/>
      <c r="N17" s="959"/>
      <c r="O17" s="48">
        <f>IF(t&lt;Tnet,'2026'!Resal+('2026'!Salim-'2026'!Resal)*(1-EXP(('2026'!Tnet-t)/('2026'!Tau_j))),Resal+(Salim-Resal)*(1-EXP((Tnet-t)/(Tau_j))))*Salcycl</f>
        <v>3.8824713457918401E-2</v>
      </c>
      <c r="P17" s="169">
        <f>(INDEX(Models!$BJ17:$BT17,,T17)*(1-R17)+INDEX(Models!$BJ17:$BT17,,T17+1)*R17-ERP_i)*Q17*Ramure*Pc/MaxiM</f>
        <v>4.2390027108680367E-4</v>
      </c>
      <c r="Q17" s="305">
        <f t="shared" si="4"/>
        <v>0.7</v>
      </c>
      <c r="R17" s="177">
        <f t="shared" si="5"/>
        <v>0.97511043848005907</v>
      </c>
      <c r="S17" s="921">
        <f t="shared" si="6"/>
        <v>-2</v>
      </c>
      <c r="T17" s="176">
        <f t="shared" si="7"/>
        <v>4</v>
      </c>
      <c r="U17" s="251">
        <f t="shared" si="8"/>
        <v>-1.0248895615199409</v>
      </c>
      <c r="V17" s="383">
        <f t="shared" si="9"/>
        <v>26.02012607965786</v>
      </c>
      <c r="W17" s="402">
        <f t="shared" si="10"/>
        <v>18.644766197766398</v>
      </c>
      <c r="X17" s="157">
        <f t="shared" si="11"/>
        <v>46390</v>
      </c>
      <c r="Y17" s="385">
        <f t="shared" si="12"/>
        <v>17.357387120813154</v>
      </c>
      <c r="Z17" s="385">
        <f t="shared" si="22"/>
        <v>18.595996541494269</v>
      </c>
      <c r="AA17" s="386">
        <f t="shared" si="13"/>
        <v>20.612405844266839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9.7825034011418607E-2</v>
      </c>
      <c r="AD17" s="231">
        <f>(INDEX(Models!$BJ17:$BT17,,AH17)*(1-AF17)+INDEX(Models!$BJ17:$BT17,,AH17+1)*AF17-ERP_i)*AE17*Ramure*Pc/MaxiM</f>
        <v>1.4142183466192301E-2</v>
      </c>
      <c r="AE17" s="305">
        <f t="shared" si="15"/>
        <v>0.7</v>
      </c>
      <c r="AF17" s="177">
        <f>(Hp_vg_s-AG17)/(INDEX(Echel_vg,AH17+1)-AG17)</f>
        <v>0.50009800485403799</v>
      </c>
      <c r="AG17" s="921">
        <f>INDEX(Echel_vg,AH17)</f>
        <v>2</v>
      </c>
      <c r="AH17" s="176">
        <f t="shared" si="16"/>
        <v>8</v>
      </c>
      <c r="AI17" s="225">
        <f t="shared" si="17"/>
        <v>2.500098004854038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19.492480675939138</v>
      </c>
      <c r="C18" s="955"/>
      <c r="D18" s="393">
        <f t="shared" si="0"/>
        <v>20.883906095663981</v>
      </c>
      <c r="E18" s="385">
        <f t="shared" si="1"/>
        <v>21.729939715297533</v>
      </c>
      <c r="F18" s="385">
        <f t="shared" si="2"/>
        <v>21.735728973713123</v>
      </c>
      <c r="G18" s="110">
        <f t="shared" si="21"/>
        <v>0.74340737320822547</v>
      </c>
      <c r="H18" s="414" t="b">
        <f>Wh_hp&gt;='2026'!Maxi_hp</f>
        <v>0</v>
      </c>
      <c r="I18" s="390">
        <f>IF(H18,Wh_hp,'2026'!Maxi_hp)</f>
        <v>25.910930416910517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6.6626684364077704E-2</v>
      </c>
      <c r="M18" s="959"/>
      <c r="N18" s="959"/>
      <c r="O18" s="48">
        <f>IF(t&lt;Tnet,'2026'!Resal+('2026'!Salim-'2026'!Resal)*(1-EXP(('2026'!Tnet-t)/('2026'!Tau_j))),Resal+(Salim-Resal)*(1-EXP((Tnet-t)/(Tau_j))))*Salcycl</f>
        <v>3.8934006753730474E-2</v>
      </c>
      <c r="P18" s="169">
        <f>(INDEX(Models!$BJ18:$BT18,,T18)*(1-R18)+INDEX(Models!$BJ18:$BT18,,T18+1)*R18-ERP_i)*Q18*Ramure*Pc/MaxiM</f>
        <v>4.2036996071891542E-4</v>
      </c>
      <c r="Q18" s="305">
        <f t="shared" si="4"/>
        <v>0.7</v>
      </c>
      <c r="R18" s="177">
        <f t="shared" si="5"/>
        <v>0.97514214801135424</v>
      </c>
      <c r="S18" s="921">
        <f t="shared" si="6"/>
        <v>-2</v>
      </c>
      <c r="T18" s="176">
        <f t="shared" si="7"/>
        <v>4</v>
      </c>
      <c r="U18" s="251">
        <f t="shared" si="8"/>
        <v>-1.0248578519886458</v>
      </c>
      <c r="V18" s="383">
        <f t="shared" si="9"/>
        <v>26.216416866210629</v>
      </c>
      <c r="W18" s="402">
        <f t="shared" si="10"/>
        <v>19.492480675939138</v>
      </c>
      <c r="X18" s="157">
        <f t="shared" si="11"/>
        <v>46391</v>
      </c>
      <c r="Y18" s="385">
        <f t="shared" si="12"/>
        <v>18.137293137520743</v>
      </c>
      <c r="Z18" s="385">
        <f>Wh_sa_s*(1-Psa_s)</f>
        <v>19.431981645161468</v>
      </c>
      <c r="AA18" s="386">
        <f t="shared" si="13"/>
        <v>21.540312177430373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9.7878364756383771E-2</v>
      </c>
      <c r="AD18" s="231">
        <f>(INDEX(Models!$BJ18:$BT18,,AH18)*(1-AF18)+INDEX(Models!$BJ18:$BT18,,AH18+1)*AF18-ERP_i)*AE18*Ramure*Pc/MaxiM</f>
        <v>1.4189615505155901E-2</v>
      </c>
      <c r="AE18" s="305">
        <f t="shared" si="15"/>
        <v>0.7</v>
      </c>
      <c r="AF18" s="177">
        <f t="shared" si="23"/>
        <v>0.50012971438533294</v>
      </c>
      <c r="AG18" s="921">
        <f t="shared" si="24"/>
        <v>2</v>
      </c>
      <c r="AH18" s="176">
        <f t="shared" si="16"/>
        <v>8</v>
      </c>
      <c r="AI18" s="225">
        <f t="shared" si="17"/>
        <v>2.5001297143853329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13.767903711412396</v>
      </c>
      <c r="C19" s="955"/>
      <c r="D19" s="393">
        <f t="shared" si="0"/>
        <v>14.751016597322032</v>
      </c>
      <c r="E19" s="385">
        <f t="shared" si="1"/>
        <v>15.350344101901674</v>
      </c>
      <c r="F19" s="385">
        <f t="shared" si="2"/>
        <v>15.352368983515973</v>
      </c>
      <c r="G19" s="110">
        <f t="shared" si="21"/>
        <v>0.52106408796017201</v>
      </c>
      <c r="H19" s="414" t="b">
        <f>Wh_hp&gt;='2026'!Maxi_hp</f>
        <v>0</v>
      </c>
      <c r="I19" s="390">
        <f>IF(H19,Wh_hp,'2026'!Maxi_hp)</f>
        <v>29.868700088933423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6.6647127635129588E-2</v>
      </c>
      <c r="M19" s="959"/>
      <c r="N19" s="959"/>
      <c r="O19" s="48">
        <f>IF(t&lt;Tnet,'2026'!Resal+('2026'!Salim-'2026'!Resal)*(1-EXP(('2026'!Tnet-t)/('2026'!Tau_j))),Resal+(Salim-Resal)*(1-EXP((Tnet-t)/(Tau_j))))*Salcycl</f>
        <v>3.9043261870943605E-2</v>
      </c>
      <c r="P19" s="169">
        <f>(INDEX(Models!$BJ19:$BT19,,T19)*(1-R19)+INDEX(Models!$BJ19:$BT19,,T19+1)*R19-ERP_i)*Q19*Ramure*Pc/MaxiM</f>
        <v>4.173609712504127E-4</v>
      </c>
      <c r="Q19" s="305">
        <f t="shared" si="4"/>
        <v>0.7</v>
      </c>
      <c r="R19" s="177">
        <f t="shared" si="5"/>
        <v>0.97517518354391575</v>
      </c>
      <c r="S19" s="921">
        <f t="shared" si="6"/>
        <v>-2</v>
      </c>
      <c r="T19" s="176">
        <f t="shared" si="7"/>
        <v>4</v>
      </c>
      <c r="U19" s="251">
        <f t="shared" si="8"/>
        <v>-1.0248248164560843</v>
      </c>
      <c r="V19" s="383">
        <f t="shared" si="9"/>
        <v>26.415124791499096</v>
      </c>
      <c r="W19" s="402">
        <f t="shared" si="10"/>
        <v>13.767903711412396</v>
      </c>
      <c r="X19" s="157">
        <f t="shared" si="11"/>
        <v>46392</v>
      </c>
      <c r="Y19" s="385">
        <f t="shared" si="12"/>
        <v>12.867757134835491</v>
      </c>
      <c r="Z19" s="385">
        <f t="shared" si="22"/>
        <v>13.786594026578589</v>
      </c>
      <c r="AA19" s="386">
        <f t="shared" si="13"/>
        <v>15.283317034305224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9.7931817050386449E-2</v>
      </c>
      <c r="AD19" s="231">
        <f>(INDEX(Models!$BJ19:$BT19,,AH19)*(1-AF19)+INDEX(Models!$BJ19:$BT19,,AH19+1)*AF19-ERP_i)*AE19*Ramure*Pc/MaxiM</f>
        <v>1.4232727674465659E-2</v>
      </c>
      <c r="AE19" s="305">
        <f t="shared" si="15"/>
        <v>0.7</v>
      </c>
      <c r="AF19" s="177">
        <f t="shared" si="23"/>
        <v>0.50016274991789489</v>
      </c>
      <c r="AG19" s="921">
        <f t="shared" si="24"/>
        <v>2</v>
      </c>
      <c r="AH19" s="176">
        <f t="shared" si="16"/>
        <v>8</v>
      </c>
      <c r="AI19" s="225">
        <f t="shared" si="17"/>
        <v>2.5001627499178949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25.319822866524905</v>
      </c>
      <c r="C20" s="955"/>
      <c r="D20" s="393">
        <f t="shared" si="0"/>
        <v>27.128407912453174</v>
      </c>
      <c r="E20" s="385">
        <f t="shared" si="1"/>
        <v>28.23383225848707</v>
      </c>
      <c r="F20" s="385">
        <f t="shared" si="2"/>
        <v>28.244735949003353</v>
      </c>
      <c r="G20" s="110">
        <f t="shared" si="21"/>
        <v>0.95131466479356031</v>
      </c>
      <c r="H20" s="414" t="b">
        <f>Wh_hp&gt;='2026'!Maxi_hp</f>
        <v>0</v>
      </c>
      <c r="I20" s="390">
        <f>IF(H20,Wh_hp,'2026'!Maxi_hp)</f>
        <v>28.521480989437787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6.6667570458421421E-2</v>
      </c>
      <c r="M20" s="959"/>
      <c r="N20" s="959"/>
      <c r="O20" s="48">
        <f>IF(t&lt;Tnet,'2026'!Resal+('2026'!Salim-'2026'!Resal)*(1-EXP(('2026'!Tnet-t)/('2026'!Tau_j))),Resal+(Salim-Resal)*(1-EXP((Tnet-t)/(Tau_j))))*Salcycl</f>
        <v>3.9152472675812781E-2</v>
      </c>
      <c r="P20" s="169">
        <f>(INDEX(Models!$BJ20:$BT20,,T20)*(1-R20)+INDEX(Models!$BJ20:$BT20,,T20+1)*R20-ERP_i)*Q20*Ramure*Pc/MaxiM</f>
        <v>4.1488227395743415E-4</v>
      </c>
      <c r="Q20" s="305">
        <f t="shared" si="4"/>
        <v>0.7</v>
      </c>
      <c r="R20" s="177">
        <f t="shared" si="5"/>
        <v>0.9752096003406665</v>
      </c>
      <c r="S20" s="921">
        <f t="shared" si="6"/>
        <v>-2</v>
      </c>
      <c r="T20" s="176">
        <f t="shared" si="7"/>
        <v>4</v>
      </c>
      <c r="U20" s="251">
        <f t="shared" si="8"/>
        <v>-1.0247903996593335</v>
      </c>
      <c r="V20" s="383">
        <f t="shared" si="9"/>
        <v>26.614845038482219</v>
      </c>
      <c r="W20" s="402">
        <f t="shared" si="10"/>
        <v>25.319822866524905</v>
      </c>
      <c r="X20" s="157">
        <f t="shared" si="11"/>
        <v>46393</v>
      </c>
      <c r="Y20" s="385">
        <f t="shared" si="12"/>
        <v>23.462878423304979</v>
      </c>
      <c r="Z20" s="385">
        <f t="shared" si="22"/>
        <v>25.138822653820306</v>
      </c>
      <c r="AA20" s="386">
        <f t="shared" si="13"/>
        <v>27.869639729993438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9.7985374142967915E-2</v>
      </c>
      <c r="AD20" s="231">
        <f>(INDEX(Models!$BJ20:$BT20,,AH20)*(1-AF20)+INDEX(Models!$BJ20:$BT20,,AH20+1)*AF20-ERP_i)*AE20*Ramure*Pc/MaxiM</f>
        <v>1.4272302764211301E-2</v>
      </c>
      <c r="AE20" s="305">
        <f t="shared" si="15"/>
        <v>0.7</v>
      </c>
      <c r="AF20" s="177">
        <f t="shared" si="23"/>
        <v>0.50019716671464565</v>
      </c>
      <c r="AG20" s="921">
        <f t="shared" si="24"/>
        <v>2</v>
      </c>
      <c r="AH20" s="176">
        <f t="shared" si="16"/>
        <v>8</v>
      </c>
      <c r="AI20" s="225">
        <f t="shared" si="17"/>
        <v>2.5001971667146456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9.2019379552225544</v>
      </c>
      <c r="C21" s="955"/>
      <c r="D21" s="393">
        <f t="shared" si="0"/>
        <v>9.8594447320491998</v>
      </c>
      <c r="E21" s="385">
        <f t="shared" si="1"/>
        <v>10.262361826638621</v>
      </c>
      <c r="F21" s="385">
        <f t="shared" si="2"/>
        <v>10.262623208717574</v>
      </c>
      <c r="G21" s="110">
        <f t="shared" si="21"/>
        <v>0.34304142754957062</v>
      </c>
      <c r="H21" s="414" t="b">
        <f>Wh_hp&gt;='2026'!Maxi_hp</f>
        <v>0</v>
      </c>
      <c r="I21" s="390">
        <f>IF(H21,Wh_hp,'2026'!Maxi_hp)</f>
        <v>15.334327230197083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6.6688012833962862E-2</v>
      </c>
      <c r="M21" s="959"/>
      <c r="N21" s="959"/>
      <c r="O21" s="48">
        <f>IF(t&lt;Tnet,'2026'!Resal+('2026'!Salim-'2026'!Resal)*(1-EXP(('2026'!Tnet-t)/('2026'!Tau_j))),Resal+(Salim-Resal)*(1-EXP((Tnet-t)/(Tau_j))))*Salcycl</f>
        <v>3.9261634056162863E-2</v>
      </c>
      <c r="P21" s="169">
        <f>(INDEX(Models!$BJ21:$BT21,,T21)*(1-R21)+INDEX(Models!$BJ21:$BT21,,T21+1)*R21-ERP_i)*Q21*Ramure*Pc/MaxiM</f>
        <v>4.1294207542776372E-4</v>
      </c>
      <c r="Q21" s="305">
        <f t="shared" si="4"/>
        <v>0.7</v>
      </c>
      <c r="R21" s="177">
        <f t="shared" si="5"/>
        <v>0.97524545595172962</v>
      </c>
      <c r="S21" s="921">
        <f t="shared" si="6"/>
        <v>-2</v>
      </c>
      <c r="T21" s="176">
        <f t="shared" si="7"/>
        <v>4</v>
      </c>
      <c r="U21" s="251">
        <f t="shared" si="8"/>
        <v>-1.0247545440482704</v>
      </c>
      <c r="V21" s="383">
        <f t="shared" si="9"/>
        <v>26.814173523882044</v>
      </c>
      <c r="W21" s="402">
        <f t="shared" si="10"/>
        <v>9.2019379552225544</v>
      </c>
      <c r="X21" s="157">
        <f t="shared" si="11"/>
        <v>46394</v>
      </c>
      <c r="Y21" s="385">
        <f t="shared" si="12"/>
        <v>8.6315644862132359</v>
      </c>
      <c r="Z21" s="385">
        <f t="shared" si="22"/>
        <v>9.248316323915029</v>
      </c>
      <c r="AA21" s="386">
        <f t="shared" si="13"/>
        <v>10.25356589629703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9.8039021989904523E-2</v>
      </c>
      <c r="AD21" s="231">
        <f>(INDEX(Models!$BJ21:$BT21,,AH21)*(1-AF21)+INDEX(Models!$BJ21:$BT21,,AH21+1)*AF21-ERP_i)*AE21*Ramure*Pc/MaxiM</f>
        <v>1.4309111794152941E-2</v>
      </c>
      <c r="AE21" s="305">
        <f t="shared" si="15"/>
        <v>0.7</v>
      </c>
      <c r="AF21" s="177">
        <f t="shared" si="23"/>
        <v>0.50023302232570854</v>
      </c>
      <c r="AG21" s="921">
        <f t="shared" si="24"/>
        <v>2</v>
      </c>
      <c r="AH21" s="176">
        <f t="shared" si="16"/>
        <v>8</v>
      </c>
      <c r="AI21" s="225">
        <f t="shared" si="17"/>
        <v>2.5002330223257085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5.3337494545769015</v>
      </c>
      <c r="C22" s="955"/>
      <c r="D22" s="393">
        <f t="shared" si="0"/>
        <v>5.7149874353735681</v>
      </c>
      <c r="E22" s="385">
        <f t="shared" si="1"/>
        <v>5.9492123387637514</v>
      </c>
      <c r="F22" s="385">
        <f t="shared" si="2"/>
        <v>5.9492123387637514</v>
      </c>
      <c r="G22" s="110">
        <f t="shared" si="21"/>
        <v>0.19737939481043756</v>
      </c>
      <c r="H22" s="414" t="b">
        <f>Wh_hp&gt;='2026'!Maxi_hp</f>
        <v>0</v>
      </c>
      <c r="I22" s="390">
        <f>IF(H22,Wh_hp,'2026'!Maxi_hp)</f>
        <v>20.926751067686602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6.6708454761763902E-2</v>
      </c>
      <c r="M22" s="959"/>
      <c r="N22" s="959"/>
      <c r="O22" s="48">
        <f>IF(t&lt;Tnet,'2026'!Resal+('2026'!Salim-'2026'!Resal)*(1-EXP(('2026'!Tnet-t)/('2026'!Tau_j))),Resal+(Salim-Resal)*(1-EXP((Tnet-t)/(Tau_j))))*Salcycl</f>
        <v>3.9370741881916971E-2</v>
      </c>
      <c r="P22" s="169">
        <f>(INDEX(Models!$BJ22:$BT22,,T22)*(1-R22)+INDEX(Models!$BJ22:$BT22,,T22+1)*R22-ERP_i)*Q22*Ramure*Pc/MaxiM</f>
        <v>4.1154809503810301E-4</v>
      </c>
      <c r="Q22" s="305">
        <f t="shared" si="4"/>
        <v>0.7</v>
      </c>
      <c r="R22" s="177">
        <f t="shared" si="5"/>
        <v>0.9752828103077269</v>
      </c>
      <c r="S22" s="921">
        <f t="shared" si="6"/>
        <v>-2</v>
      </c>
      <c r="T22" s="176">
        <f t="shared" si="7"/>
        <v>4</v>
      </c>
      <c r="U22" s="251">
        <f t="shared" si="8"/>
        <v>-1.0247171896922731</v>
      </c>
      <c r="V22" s="383">
        <f t="shared" si="9"/>
        <v>27.011706897114895</v>
      </c>
      <c r="W22" s="402">
        <f t="shared" si="10"/>
        <v>5.3337494545769015</v>
      </c>
      <c r="X22" s="157">
        <f t="shared" si="11"/>
        <v>46395</v>
      </c>
      <c r="Y22" s="385">
        <f t="shared" si="12"/>
        <v>5.0077043425297196</v>
      </c>
      <c r="Z22" s="385">
        <f t="shared" si="22"/>
        <v>5.3656377453322275</v>
      </c>
      <c r="AA22" s="386">
        <f t="shared" si="13"/>
        <v>5.9492123387637514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9.8092749123960654E-2</v>
      </c>
      <c r="AD22" s="231">
        <f>(INDEX(Models!$BJ22:$BT22,,AH22)*(1-AF22)+INDEX(Models!$BJ22:$BT22,,AH22+1)*AF22-ERP_i)*AE22*Ramure*Pc/MaxiM</f>
        <v>1.4343912842221338E-2</v>
      </c>
      <c r="AE22" s="305">
        <f t="shared" si="15"/>
        <v>0.7</v>
      </c>
      <c r="AF22" s="177">
        <f t="shared" si="23"/>
        <v>0.50027037668170582</v>
      </c>
      <c r="AG22" s="921">
        <f t="shared" si="24"/>
        <v>2</v>
      </c>
      <c r="AH22" s="176">
        <f t="shared" si="16"/>
        <v>8</v>
      </c>
      <c r="AI22" s="225">
        <f t="shared" si="17"/>
        <v>2.5002703766817058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1.5857345826438023</v>
      </c>
      <c r="C23" s="955"/>
      <c r="D23" s="393">
        <f t="shared" si="0"/>
        <v>1.6991146262412367</v>
      </c>
      <c r="E23" s="385">
        <f t="shared" si="1"/>
        <v>1.7689525048858457</v>
      </c>
      <c r="F23" s="385">
        <f t="shared" si="2"/>
        <v>1.7689525048858457</v>
      </c>
      <c r="G23" s="110">
        <f t="shared" si="21"/>
        <v>5.8255678664418248E-2</v>
      </c>
      <c r="H23" s="414" t="b">
        <f>Wh_hp&gt;='2026'!Maxi_hp</f>
        <v>0</v>
      </c>
      <c r="I23" s="390">
        <f>IF(H23,Wh_hp,'2026'!Maxi_hp)</f>
        <v>27.858667670277544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6.6728896241834201E-2</v>
      </c>
      <c r="M23" s="959"/>
      <c r="N23" s="959"/>
      <c r="O23" s="48">
        <f>IF(t&lt;Tnet,'2026'!Resal+('2026'!Salim-'2026'!Resal)*(1-EXP(('2026'!Tnet-t)/('2026'!Tau_j))),Resal+(Salim-Resal)*(1-EXP((Tnet-t)/(Tau_j))))*Salcycl</f>
        <v>3.9479792957536688E-2</v>
      </c>
      <c r="P23" s="169">
        <f>(INDEX(Models!$BJ23:$BT23,,T23)*(1-R23)+INDEX(Models!$BJ23:$BT23,,T23+1)*R23-ERP_i)*Q23*Ramure*Pc/MaxiM</f>
        <v>4.1066201982917108E-4</v>
      </c>
      <c r="Q23" s="305">
        <f t="shared" si="4"/>
        <v>0.7</v>
      </c>
      <c r="R23" s="177">
        <f t="shared" si="5"/>
        <v>0.97532172581676191</v>
      </c>
      <c r="S23" s="921">
        <f t="shared" si="6"/>
        <v>-2</v>
      </c>
      <c r="T23" s="176">
        <f t="shared" si="7"/>
        <v>4</v>
      </c>
      <c r="U23" s="251">
        <f t="shared" si="8"/>
        <v>-1.0246782741832381</v>
      </c>
      <c r="V23" s="383">
        <f t="shared" si="9"/>
        <v>27.209079320971455</v>
      </c>
      <c r="W23" s="402">
        <f t="shared" si="10"/>
        <v>1.5857345826438023</v>
      </c>
      <c r="X23" s="157">
        <f t="shared" si="11"/>
        <v>46396</v>
      </c>
      <c r="Y23" s="385">
        <f t="shared" si="12"/>
        <v>1.4888809201456688</v>
      </c>
      <c r="Z23" s="385">
        <f t="shared" si="22"/>
        <v>1.5953359255956086</v>
      </c>
      <c r="AA23" s="386">
        <f t="shared" si="13"/>
        <v>1.7689525048858457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9.8146546507443422E-2</v>
      </c>
      <c r="AD23" s="231">
        <f>(INDEX(Models!$BJ23:$BT23,,AH23)*(1-AF23)+INDEX(Models!$BJ23:$BT23,,AH23+1)*AF23-ERP_i)*AE23*Ramure*Pc/MaxiM</f>
        <v>1.4375846652731429E-2</v>
      </c>
      <c r="AE23" s="305">
        <f t="shared" si="15"/>
        <v>0.7</v>
      </c>
      <c r="AF23" s="177">
        <f t="shared" si="23"/>
        <v>0.50030929219074105</v>
      </c>
      <c r="AG23" s="921">
        <f t="shared" si="24"/>
        <v>2</v>
      </c>
      <c r="AH23" s="176">
        <f t="shared" si="16"/>
        <v>8</v>
      </c>
      <c r="AI23" s="225">
        <f t="shared" si="17"/>
        <v>2.5003092921907411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1.4671768312196589</v>
      </c>
      <c r="C24" s="955"/>
      <c r="D24" s="393">
        <f t="shared" si="0"/>
        <v>1.5721144273654881</v>
      </c>
      <c r="E24" s="385">
        <f t="shared" si="1"/>
        <v>1.6369180229862588</v>
      </c>
      <c r="F24" s="385">
        <f t="shared" si="2"/>
        <v>1.6369180229862588</v>
      </c>
      <c r="G24" s="110">
        <f t="shared" si="21"/>
        <v>5.350690816777616E-2</v>
      </c>
      <c r="H24" s="414" t="b">
        <f>Wh_hp&gt;='2026'!Maxi_hp</f>
        <v>0</v>
      </c>
      <c r="I24" s="390">
        <f>IF(H24,Wh_hp,'2026'!Maxi_hp)</f>
        <v>10.822941868477683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6.6749337274183751E-2</v>
      </c>
      <c r="M24" s="959"/>
      <c r="N24" s="959"/>
      <c r="O24" s="48">
        <f>IF(t&lt;Tnet,'2026'!Resal+('2026'!Salim-'2026'!Resal)*(1-EXP(('2026'!Tnet-t)/('2026'!Tau_j))),Resal+(Salim-Resal)*(1-EXP((Tnet-t)/(Tau_j))))*Salcycl</f>
        <v>3.9588784967098306E-2</v>
      </c>
      <c r="P24" s="169">
        <f>(INDEX(Models!$BJ24:$BT24,,T24)*(1-R24)+INDEX(Models!$BJ24:$BT24,,T24+1)*R24-ERP_i)*Q24*Ramure*Pc/MaxiM</f>
        <v>4.0969897587215192E-4</v>
      </c>
      <c r="Q24" s="305">
        <f t="shared" si="4"/>
        <v>0.7</v>
      </c>
      <c r="R24" s="177">
        <f t="shared" si="5"/>
        <v>0.97536226746523158</v>
      </c>
      <c r="S24" s="921">
        <f t="shared" si="6"/>
        <v>-2</v>
      </c>
      <c r="T24" s="176">
        <f t="shared" si="7"/>
        <v>4</v>
      </c>
      <c r="U24" s="251">
        <f t="shared" si="8"/>
        <v>-1.0246377325347684</v>
      </c>
      <c r="V24" s="383">
        <f t="shared" si="9"/>
        <v>27.409091285482109</v>
      </c>
      <c r="W24" s="402">
        <f t="shared" si="10"/>
        <v>1.4671768312196589</v>
      </c>
      <c r="X24" s="157">
        <f t="shared" si="11"/>
        <v>46397</v>
      </c>
      <c r="Y24" s="385">
        <f t="shared" si="12"/>
        <v>1.3776385031767429</v>
      </c>
      <c r="Z24" s="385">
        <f t="shared" si="22"/>
        <v>1.4761720062999679</v>
      </c>
      <c r="AA24" s="386">
        <f t="shared" si="13"/>
        <v>1.6369180229862588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9.8200407368622553E-2</v>
      </c>
      <c r="AD24" s="231">
        <f>(INDEX(Models!$BJ24:$BT24,,AH24)*(1-AF24)+INDEX(Models!$BJ24:$BT24,,AH24+1)*AF24-ERP_i)*AE24*Ramure*Pc/MaxiM</f>
        <v>1.4395997907707365E-2</v>
      </c>
      <c r="AE24" s="305">
        <f t="shared" si="15"/>
        <v>0.7</v>
      </c>
      <c r="AF24" s="177">
        <f t="shared" si="23"/>
        <v>0.5003498338392105</v>
      </c>
      <c r="AG24" s="921">
        <f t="shared" si="24"/>
        <v>2</v>
      </c>
      <c r="AH24" s="176">
        <f t="shared" si="16"/>
        <v>8</v>
      </c>
      <c r="AI24" s="225">
        <f t="shared" si="17"/>
        <v>2.5003498338392105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27.21702650918467</v>
      </c>
      <c r="C25" s="955"/>
      <c r="D25" s="393">
        <f t="shared" si="0"/>
        <v>29.164321796971674</v>
      </c>
      <c r="E25" s="385">
        <f t="shared" si="1"/>
        <v>30.369939023812645</v>
      </c>
      <c r="F25" s="385">
        <f t="shared" si="2"/>
        <v>30.382095625070082</v>
      </c>
      <c r="G25" s="110">
        <f t="shared" si="21"/>
        <v>0.98568476331492105</v>
      </c>
      <c r="H25" s="414" t="b">
        <f>Wh_hp&gt;='2026'!Maxi_hp</f>
        <v>0</v>
      </c>
      <c r="I25" s="390">
        <f>IF(H25,Wh_hp,'2026'!Maxi_hp)</f>
        <v>30.382225730473625</v>
      </c>
      <c r="J25" s="85">
        <f>IF(H25,An,'2026'!An_max)</f>
        <v>2026</v>
      </c>
      <c r="K25" s="197">
        <f t="shared" si="3"/>
        <v>46398</v>
      </c>
      <c r="L25" s="147">
        <f>IF(t&lt;Tvie,1-EXP((T0-t)*PertePVj)+'2026'!Pspv,1-EXP((T0-t)*PertePVj)+Pspv)</f>
        <v>6.6769777858822099E-2</v>
      </c>
      <c r="M25" s="959"/>
      <c r="N25" s="959"/>
      <c r="O25" s="48">
        <f>IF(t&lt;Tnet,'2026'!Resal+('2026'!Salim-'2026'!Resal)*(1-EXP(('2026'!Tnet-t)/('2026'!Tau_j))),Resal+(Salim-Resal)*(1-EXP((Tnet-t)/(Tau_j))))*Salcycl</f>
        <v>3.9697716412787735E-2</v>
      </c>
      <c r="P25" s="169">
        <f>(INDEX(Models!$BJ25:$BT25,,T25)*(1-R25)+INDEX(Models!$BJ25:$BT25,,T25+1)*R25-ERP_i)*Q25*Ramure*Pc/MaxiM</f>
        <v>4.084724519436843E-4</v>
      </c>
      <c r="Q25" s="305">
        <f t="shared" si="4"/>
        <v>0.7</v>
      </c>
      <c r="R25" s="177">
        <f t="shared" si="5"/>
        <v>0.9754045029225975</v>
      </c>
      <c r="S25" s="921">
        <f t="shared" si="6"/>
        <v>-2</v>
      </c>
      <c r="T25" s="176">
        <f t="shared" si="7"/>
        <v>4</v>
      </c>
      <c r="U25" s="251">
        <f t="shared" si="8"/>
        <v>-1.0245954970774025</v>
      </c>
      <c r="V25" s="383">
        <f t="shared" si="9"/>
        <v>27.612072548168349</v>
      </c>
      <c r="W25" s="402">
        <f t="shared" si="10"/>
        <v>27.21702650918467</v>
      </c>
      <c r="X25" s="157">
        <f t="shared" si="11"/>
        <v>46398</v>
      </c>
      <c r="Y25" s="385">
        <f t="shared" si="12"/>
        <v>25.206971382784317</v>
      </c>
      <c r="Z25" s="385">
        <f t="shared" si="22"/>
        <v>27.010453353032364</v>
      </c>
      <c r="AA25" s="386">
        <f t="shared" si="13"/>
        <v>29.953515899772768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9.8254327024185156E-2</v>
      </c>
      <c r="AD25" s="231">
        <f>(INDEX(Models!$BJ25:$BT25,,AH25)*(1-AF25)+INDEX(Models!$BJ25:$BT25,,AH25+1)*AF25-ERP_i)*AE25*Ramure*Pc/MaxiM</f>
        <v>1.4400654223849155E-2</v>
      </c>
      <c r="AE25" s="305">
        <f t="shared" si="15"/>
        <v>0.7</v>
      </c>
      <c r="AF25" s="177">
        <f t="shared" si="23"/>
        <v>0.50039206929657665</v>
      </c>
      <c r="AG25" s="921">
        <f t="shared" si="24"/>
        <v>2</v>
      </c>
      <c r="AH25" s="176">
        <f t="shared" si="16"/>
        <v>8</v>
      </c>
      <c r="AI25" s="225">
        <f t="shared" si="17"/>
        <v>2.5003920692965766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22.071695973138176</v>
      </c>
      <c r="C26" s="955"/>
      <c r="D26" s="393">
        <f t="shared" si="0"/>
        <v>23.651376570158881</v>
      </c>
      <c r="E26" s="385">
        <f t="shared" si="1"/>
        <v>24.631887949658882</v>
      </c>
      <c r="F26" s="385">
        <f t="shared" si="2"/>
        <v>24.638956314624377</v>
      </c>
      <c r="G26" s="110">
        <f t="shared" si="21"/>
        <v>0.79332692879334243</v>
      </c>
      <c r="H26" s="414" t="b">
        <f>Wh_hp&gt;='2026'!Maxi_hp</f>
        <v>0</v>
      </c>
      <c r="I26" s="390">
        <f>IF(H26,Wh_hp,'2026'!Maxi_hp)</f>
        <v>30.267889314428743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6.6790217995759238E-2</v>
      </c>
      <c r="M26" s="959"/>
      <c r="N26" s="959"/>
      <c r="O26" s="48">
        <f>IF(t&lt;Tnet,'2026'!Resal+('2026'!Salim-'2026'!Resal)*(1-EXP(('2026'!Tnet-t)/('2026'!Tau_j))),Resal+(Salim-Resal)*(1-EXP((Tnet-t)/(Tau_j))))*Salcycl</f>
        <v>3.9806586547645469E-2</v>
      </c>
      <c r="P26" s="169">
        <f>(INDEX(Models!$BJ26:$BT26,,T26)*(1-R26)+INDEX(Models!$BJ26:$BT26,,T26+1)*R26-ERP_i)*Q26*Ramure*Pc/MaxiM</f>
        <v>4.0698271868775461E-4</v>
      </c>
      <c r="Q26" s="305">
        <f t="shared" si="4"/>
        <v>0.7</v>
      </c>
      <c r="R26" s="177">
        <f t="shared" si="5"/>
        <v>0.97544850265026861</v>
      </c>
      <c r="S26" s="921">
        <f t="shared" si="6"/>
        <v>-2</v>
      </c>
      <c r="T26" s="176">
        <f t="shared" si="7"/>
        <v>4</v>
      </c>
      <c r="U26" s="251">
        <f t="shared" si="8"/>
        <v>-1.0245514973497314</v>
      </c>
      <c r="V26" s="383">
        <f t="shared" si="9"/>
        <v>27.818347629534141</v>
      </c>
      <c r="W26" s="402">
        <f t="shared" si="10"/>
        <v>22.071695973138176</v>
      </c>
      <c r="X26" s="157">
        <f t="shared" si="11"/>
        <v>46399</v>
      </c>
      <c r="Y26" s="385">
        <f t="shared" si="12"/>
        <v>20.52258113732718</v>
      </c>
      <c r="Z26" s="385">
        <f t="shared" si="22"/>
        <v>21.991390931684339</v>
      </c>
      <c r="AA26" s="386">
        <f t="shared" si="13"/>
        <v>24.389035628574891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9.8308302689976007E-2</v>
      </c>
      <c r="AD26" s="231">
        <f>(INDEX(Models!$BJ26:$BT26,,AH26)*(1-AF26)+INDEX(Models!$BJ26:$BT26,,AH26+1)*AF26-ERP_i)*AE26*Ramure*Pc/MaxiM</f>
        <v>1.4389947429320784E-2</v>
      </c>
      <c r="AE26" s="305">
        <f t="shared" si="15"/>
        <v>0.7</v>
      </c>
      <c r="AF26" s="177">
        <f t="shared" si="23"/>
        <v>0.50043606902424775</v>
      </c>
      <c r="AG26" s="921">
        <f t="shared" si="24"/>
        <v>2</v>
      </c>
      <c r="AH26" s="176">
        <f t="shared" si="16"/>
        <v>8</v>
      </c>
      <c r="AI26" s="225">
        <f t="shared" si="17"/>
        <v>2.5004360690242478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5.1564584292736448</v>
      </c>
      <c r="C27" s="955"/>
      <c r="D27" s="393">
        <f t="shared" si="0"/>
        <v>5.5256293610060307</v>
      </c>
      <c r="E27" s="385">
        <f t="shared" si="1"/>
        <v>5.7553566987488622</v>
      </c>
      <c r="F27" s="385">
        <f t="shared" si="2"/>
        <v>5.7553566987488622</v>
      </c>
      <c r="G27" s="110">
        <f t="shared" si="21"/>
        <v>0.18389912171750963</v>
      </c>
      <c r="H27" s="414" t="b">
        <f>Wh_hp&gt;='2026'!Maxi_hp</f>
        <v>0</v>
      </c>
      <c r="I27" s="390">
        <f>IF(H27,Wh_hp,'2026'!Maxi_hp)</f>
        <v>17.075177344016367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6.6810657685004826E-2</v>
      </c>
      <c r="M27" s="959"/>
      <c r="N27" s="959"/>
      <c r="O27" s="48">
        <f>IF(t&lt;Tnet,'2026'!Resal+('2026'!Salim-'2026'!Resal)*(1-EXP(('2026'!Tnet-t)/('2026'!Tau_j))),Resal+(Salim-Resal)*(1-EXP((Tnet-t)/(Tau_j))))*Salcycl</f>
        <v>3.9915395303434645E-2</v>
      </c>
      <c r="P27" s="169">
        <f>(INDEX(Models!$BJ27:$BT27,,T27)*(1-R27)+INDEX(Models!$BJ27:$BT27,,T27+1)*R27-ERP_i)*Q27*Ramure*Pc/MaxiM</f>
        <v>4.052303669615522E-4</v>
      </c>
      <c r="Q27" s="305">
        <f t="shared" si="4"/>
        <v>0.7</v>
      </c>
      <c r="R27" s="177">
        <f t="shared" si="5"/>
        <v>0.97549434001473778</v>
      </c>
      <c r="S27" s="921">
        <f t="shared" si="6"/>
        <v>-2</v>
      </c>
      <c r="T27" s="176">
        <f t="shared" si="7"/>
        <v>4</v>
      </c>
      <c r="U27" s="251">
        <f t="shared" si="8"/>
        <v>-1.0245056599852622</v>
      </c>
      <c r="V27" s="383">
        <f t="shared" si="9"/>
        <v>28.028240850708549</v>
      </c>
      <c r="W27" s="402">
        <f t="shared" si="10"/>
        <v>5.1564584292736448</v>
      </c>
      <c r="X27" s="157">
        <f t="shared" si="11"/>
        <v>46400</v>
      </c>
      <c r="Y27" s="385">
        <f t="shared" si="12"/>
        <v>4.8425494211172344</v>
      </c>
      <c r="Z27" s="385">
        <f t="shared" si="22"/>
        <v>5.1892463849878032</v>
      </c>
      <c r="AA27" s="386">
        <f t="shared" si="13"/>
        <v>5.7553566987488622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9.8362333282335734E-2</v>
      </c>
      <c r="AD27" s="231">
        <f>(INDEX(Models!$BJ27:$BT27,,AH27)*(1-AF27)+INDEX(Models!$BJ27:$BT27,,AH27+1)*AF27-ERP_i)*AE27*Ramure*Pc/MaxiM</f>
        <v>1.4364018985119574E-2</v>
      </c>
      <c r="AE27" s="305">
        <f t="shared" si="15"/>
        <v>0.7</v>
      </c>
      <c r="AF27" s="177">
        <f t="shared" si="23"/>
        <v>0.5004819063887167</v>
      </c>
      <c r="AG27" s="921">
        <f t="shared" si="24"/>
        <v>2</v>
      </c>
      <c r="AH27" s="176">
        <f t="shared" si="16"/>
        <v>8</v>
      </c>
      <c r="AI27" s="225">
        <f t="shared" si="17"/>
        <v>2.5004819063887167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28.239896517877874</v>
      </c>
      <c r="C28" s="955"/>
      <c r="D28" s="393">
        <f t="shared" si="0"/>
        <v>30.262363463750862</v>
      </c>
      <c r="E28" s="385">
        <f t="shared" si="1"/>
        <v>31.524088079762951</v>
      </c>
      <c r="F28" s="385">
        <f t="shared" si="2"/>
        <v>31.536802831290782</v>
      </c>
      <c r="G28" s="110">
        <f t="shared" si="21"/>
        <v>0.99992277201042268</v>
      </c>
      <c r="H28" s="414" t="b">
        <f>Wh_hp&gt;='2026'!Maxi_hp</f>
        <v>0</v>
      </c>
      <c r="I28" s="390">
        <f>IF(H28,Wh_hp,'2026'!Maxi_hp)</f>
        <v>31.536803550381315</v>
      </c>
      <c r="J28" s="85">
        <f>IF(H28,An,'2026'!An_max)</f>
        <v>2026</v>
      </c>
      <c r="K28" s="197">
        <f t="shared" si="3"/>
        <v>46401</v>
      </c>
      <c r="L28" s="147">
        <f>IF(t&lt;Tvie,1-EXP((T0-t)*PertePVj)+'2026'!Pspv,1-EXP((T0-t)*PertePVj)+Pspv)</f>
        <v>6.6831096926568856E-2</v>
      </c>
      <c r="M28" s="959"/>
      <c r="N28" s="959"/>
      <c r="O28" s="48">
        <f>IF(t&lt;Tnet,'2026'!Resal+('2026'!Salim-'2026'!Resal)*(1-EXP(('2026'!Tnet-t)/('2026'!Tau_j))),Resal+(Salim-Resal)*(1-EXP((Tnet-t)/(Tau_j))))*Salcycl</f>
        <v>4.0024143214536234E-2</v>
      </c>
      <c r="P28" s="169">
        <f>(INDEX(Models!$BJ28:$BT28,,T28)*(1-R28)+INDEX(Models!$BJ28:$BT28,,T28+1)*R28-ERP_i)*Q28*Ramure*Pc/MaxiM</f>
        <v>4.0321632178414238E-4</v>
      </c>
      <c r="Q28" s="305">
        <f t="shared" si="4"/>
        <v>0.7</v>
      </c>
      <c r="R28" s="177">
        <f t="shared" si="5"/>
        <v>0.97554209140512738</v>
      </c>
      <c r="S28" s="921">
        <f t="shared" si="6"/>
        <v>-2</v>
      </c>
      <c r="T28" s="176">
        <f t="shared" si="7"/>
        <v>4</v>
      </c>
      <c r="U28" s="251">
        <f t="shared" si="8"/>
        <v>-1.0244579085948726</v>
      </c>
      <c r="V28" s="383">
        <f t="shared" si="9"/>
        <v>28.242076340616936</v>
      </c>
      <c r="W28" s="402">
        <f t="shared" si="10"/>
        <v>28.239896517877874</v>
      </c>
      <c r="X28" s="157">
        <f t="shared" si="11"/>
        <v>46401</v>
      </c>
      <c r="Y28" s="385">
        <f t="shared" si="12"/>
        <v>26.152862108791918</v>
      </c>
      <c r="Z28" s="385">
        <f t="shared" si="22"/>
        <v>28.02586115188404</v>
      </c>
      <c r="AA28" s="386">
        <f t="shared" si="13"/>
        <v>31.085150338919053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9.8416419212383213E-2</v>
      </c>
      <c r="AD28" s="231">
        <f>(INDEX(Models!$BJ28:$BT28,,AH28)*(1-AF28)+INDEX(Models!$BJ28:$BT28,,AH28+1)*AF28-ERP_i)*AE28*Ramure*Pc/MaxiM</f>
        <v>1.4323021279662359E-2</v>
      </c>
      <c r="AE28" s="305">
        <f t="shared" si="15"/>
        <v>0.7</v>
      </c>
      <c r="AF28" s="177">
        <f t="shared" si="23"/>
        <v>0.50052965777910607</v>
      </c>
      <c r="AG28" s="921">
        <f t="shared" si="24"/>
        <v>2</v>
      </c>
      <c r="AH28" s="176">
        <f t="shared" si="16"/>
        <v>8</v>
      </c>
      <c r="AI28" s="225">
        <f t="shared" si="17"/>
        <v>2.5005296577791061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28.07853509365998</v>
      </c>
      <c r="C29" s="955"/>
      <c r="D29" s="393">
        <f t="shared" si="0"/>
        <v>30.090104810212306</v>
      </c>
      <c r="E29" s="385">
        <f t="shared" si="1"/>
        <v>31.348196701196901</v>
      </c>
      <c r="F29" s="385">
        <f t="shared" si="2"/>
        <v>31.360529578034352</v>
      </c>
      <c r="G29" s="110">
        <f t="shared" si="21"/>
        <v>0.9865827019520278</v>
      </c>
      <c r="H29" s="414" t="b">
        <f>Wh_hp&gt;='2026'!Maxi_hp</f>
        <v>0</v>
      </c>
      <c r="I29" s="390">
        <f>IF(H29,Wh_hp,'2026'!Maxi_hp)</f>
        <v>31.360653105184515</v>
      </c>
      <c r="J29" s="85">
        <f>IF(H29,An,'2026'!An_max)</f>
        <v>2026</v>
      </c>
      <c r="K29" s="197">
        <f t="shared" si="3"/>
        <v>46402</v>
      </c>
      <c r="L29" s="147">
        <f>IF(t&lt;Tvie,1-EXP((T0-t)*PertePVj)+'2026'!Pspv,1-EXP((T0-t)*PertePVj)+Pspv)</f>
        <v>6.6851535720461097E-2</v>
      </c>
      <c r="M29" s="959"/>
      <c r="N29" s="959"/>
      <c r="O29" s="48">
        <f>IF(t&lt;Tnet,'2026'!Resal+('2026'!Salim-'2026'!Resal)*(1-EXP(('2026'!Tnet-t)/('2026'!Tau_j))),Resal+(Salim-Resal)*(1-EXP((Tnet-t)/(Tau_j))))*Salcycl</f>
        <v>4.0132831338797872E-2</v>
      </c>
      <c r="P29" s="169">
        <f>(INDEX(Models!$BJ29:$BT29,,T29)*(1-R29)+INDEX(Models!$BJ29:$BT29,,T29+1)*R29-ERP_i)*Q29*Ramure*Pc/MaxiM</f>
        <v>4.0094185373478017E-4</v>
      </c>
      <c r="Q29" s="305">
        <f t="shared" si="4"/>
        <v>0.7</v>
      </c>
      <c r="R29" s="177">
        <f t="shared" si="5"/>
        <v>0.97559183635529956</v>
      </c>
      <c r="S29" s="921">
        <f t="shared" si="6"/>
        <v>-2</v>
      </c>
      <c r="T29" s="176">
        <f t="shared" si="7"/>
        <v>4</v>
      </c>
      <c r="U29" s="251">
        <f t="shared" si="8"/>
        <v>-1.0244081636447004</v>
      </c>
      <c r="V29" s="383">
        <f t="shared" si="9"/>
        <v>28.460178036139219</v>
      </c>
      <c r="W29" s="402">
        <f t="shared" si="10"/>
        <v>28.07853509365998</v>
      </c>
      <c r="X29" s="157">
        <f t="shared" si="11"/>
        <v>46402</v>
      </c>
      <c r="Y29" s="385">
        <f t="shared" si="12"/>
        <v>26.013194523022666</v>
      </c>
      <c r="Z29" s="385">
        <f t="shared" si="22"/>
        <v>27.876801515294584</v>
      </c>
      <c r="AA29" s="386">
        <f t="shared" si="13"/>
        <v>30.921676370954554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9.847056217560346E-2</v>
      </c>
      <c r="AD29" s="231">
        <f>(INDEX(Models!$BJ29:$BT29,,AH29)*(1-AF29)+INDEX(Models!$BJ29:$BT29,,AH29+1)*AF29-ERP_i)*AE29*Ramure*Pc/MaxiM</f>
        <v>1.4267118749591549E-2</v>
      </c>
      <c r="AE29" s="305">
        <f t="shared" si="15"/>
        <v>0.7</v>
      </c>
      <c r="AF29" s="177">
        <f t="shared" si="23"/>
        <v>0.50057940272927848</v>
      </c>
      <c r="AG29" s="921">
        <f t="shared" si="24"/>
        <v>2</v>
      </c>
      <c r="AH29" s="176">
        <f t="shared" si="16"/>
        <v>8</v>
      </c>
      <c r="AI29" s="225">
        <f t="shared" si="17"/>
        <v>2.5005794027292785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27.769926005562052</v>
      </c>
      <c r="C30" s="955"/>
      <c r="D30" s="393">
        <f t="shared" si="0"/>
        <v>29.760038530390023</v>
      </c>
      <c r="E30" s="385">
        <f t="shared" si="1"/>
        <v>31.00783929139488</v>
      </c>
      <c r="F30" s="385">
        <f t="shared" si="2"/>
        <v>31.019633475545721</v>
      </c>
      <c r="G30" s="110">
        <f t="shared" si="21"/>
        <v>0.96815349842466891</v>
      </c>
      <c r="H30" s="414" t="b">
        <f>Wh_hp&gt;='2026'!Maxi_hp</f>
        <v>0</v>
      </c>
      <c r="I30" s="390">
        <f>IF(H30,Wh_hp,'2026'!Maxi_hp)</f>
        <v>32.204114318448951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6.6871974066691209E-2</v>
      </c>
      <c r="M30" s="959"/>
      <c r="N30" s="959"/>
      <c r="O30" s="48">
        <f>IF(t&lt;Tnet,'2026'!Resal+('2026'!Salim-'2026'!Resal)*(1-EXP(('2026'!Tnet-t)/('2026'!Tau_j))),Resal+(Salim-Resal)*(1-EXP((Tnet-t)/(Tau_j))))*Salcycl</f>
        <v>4.0241461176275431E-2</v>
      </c>
      <c r="P30" s="169">
        <f>(INDEX(Models!$BJ30:$BT30,,T30)*(1-R30)+INDEX(Models!$BJ30:$BT30,,T30+1)*R30-ERP_i)*Q30*Ramure*Pc/MaxiM</f>
        <v>3.9832873190925221E-4</v>
      </c>
      <c r="Q30" s="305">
        <f t="shared" si="4"/>
        <v>0.7</v>
      </c>
      <c r="R30" s="177">
        <f t="shared" si="5"/>
        <v>0.97564365767069283</v>
      </c>
      <c r="S30" s="921">
        <f t="shared" si="6"/>
        <v>-2</v>
      </c>
      <c r="T30" s="176">
        <f t="shared" si="7"/>
        <v>4</v>
      </c>
      <c r="U30" s="251">
        <f t="shared" si="8"/>
        <v>-1.0243563423293072</v>
      </c>
      <c r="V30" s="383">
        <f t="shared" si="9"/>
        <v>28.682871973269055</v>
      </c>
      <c r="W30" s="402">
        <f t="shared" si="10"/>
        <v>27.769926005562052</v>
      </c>
      <c r="X30" s="157">
        <f t="shared" si="11"/>
        <v>46403</v>
      </c>
      <c r="Y30" s="385">
        <f t="shared" si="12"/>
        <v>25.740282295400636</v>
      </c>
      <c r="Z30" s="385">
        <f t="shared" si="22"/>
        <v>27.584941808660574</v>
      </c>
      <c r="AA30" s="386">
        <f t="shared" si="13"/>
        <v>30.599777715243349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9.8524764939090681E-2</v>
      </c>
      <c r="AD30" s="231">
        <f>(INDEX(Models!$BJ30:$BT30,,AH30)*(1-AF30)+INDEX(Models!$BJ30:$BT30,,AH30+1)*AF30-ERP_i)*AE30*Ramure*Pc/MaxiM</f>
        <v>1.4179922107975671E-2</v>
      </c>
      <c r="AE30" s="305">
        <f t="shared" si="15"/>
        <v>0.7</v>
      </c>
      <c r="AF30" s="177">
        <f t="shared" si="23"/>
        <v>0.50063122404467197</v>
      </c>
      <c r="AG30" s="921">
        <f t="shared" si="24"/>
        <v>2</v>
      </c>
      <c r="AH30" s="176">
        <f t="shared" si="16"/>
        <v>8</v>
      </c>
      <c r="AI30" s="225">
        <f t="shared" si="17"/>
        <v>2.500631224044672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19.24479906658275</v>
      </c>
      <c r="C31" s="955"/>
      <c r="D31" s="393">
        <f t="shared" si="0"/>
        <v>20.624415998068645</v>
      </c>
      <c r="E31" s="385">
        <f t="shared" si="1"/>
        <v>21.491602919183691</v>
      </c>
      <c r="F31" s="385">
        <f t="shared" si="2"/>
        <v>21.496039584151241</v>
      </c>
      <c r="G31" s="110">
        <f t="shared" si="21"/>
        <v>0.66554274346765974</v>
      </c>
      <c r="H31" s="414" t="b">
        <f>Wh_hp&gt;='2026'!Maxi_hp</f>
        <v>0</v>
      </c>
      <c r="I31" s="390">
        <f>IF(H31,Wh_hp,'2026'!Maxi_hp)</f>
        <v>21.498119441379352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6.6892411965269072E-2</v>
      </c>
      <c r="M31" s="959"/>
      <c r="N31" s="959"/>
      <c r="O31" s="48">
        <f>IF(t&lt;Tnet,'2026'!Resal+('2026'!Salim-'2026'!Resal)*(1-EXP(('2026'!Tnet-t)/('2026'!Tau_j))),Resal+(Salim-Resal)*(1-EXP((Tnet-t)/(Tau_j))))*Salcycl</f>
        <v>4.0350034586809844E-2</v>
      </c>
      <c r="P31" s="169">
        <f>(INDEX(Models!$BJ31:$BT31,,T31)*(1-R31)+INDEX(Models!$BJ31:$BT31,,T31+1)*R31-ERP_i)*Q31*Ramure*Pc/MaxiM</f>
        <v>3.9510161667089113E-4</v>
      </c>
      <c r="Q31" s="305">
        <f t="shared" si="4"/>
        <v>0.7</v>
      </c>
      <c r="R31" s="177">
        <f t="shared" si="5"/>
        <v>0.9756976415600469</v>
      </c>
      <c r="S31" s="921">
        <f t="shared" si="6"/>
        <v>-2</v>
      </c>
      <c r="T31" s="176">
        <f t="shared" si="7"/>
        <v>4</v>
      </c>
      <c r="U31" s="251">
        <f t="shared" si="8"/>
        <v>-1.0243023584399531</v>
      </c>
      <c r="V31" s="383">
        <f t="shared" si="9"/>
        <v>28.910489785592176</v>
      </c>
      <c r="W31" s="402">
        <f t="shared" si="10"/>
        <v>19.24479906658275</v>
      </c>
      <c r="X31" s="157">
        <f t="shared" si="11"/>
        <v>46404</v>
      </c>
      <c r="Y31" s="385">
        <f t="shared" si="12"/>
        <v>17.947934025558148</v>
      </c>
      <c r="Z31" s="385">
        <f t="shared" si="22"/>
        <v>19.234581580629172</v>
      </c>
      <c r="AA31" s="386">
        <f t="shared" si="13"/>
        <v>21.338067611978023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9.8579031128764025E-2</v>
      </c>
      <c r="AD31" s="231">
        <f>(INDEX(Models!$BJ31:$BT31,,AH31)*(1-AF31)+INDEX(Models!$BJ31:$BT31,,AH31+1)*AF31-ERP_i)*AE31*Ramure*Pc/MaxiM</f>
        <v>1.4067995228589036E-2</v>
      </c>
      <c r="AE31" s="305">
        <f t="shared" si="15"/>
        <v>0.7</v>
      </c>
      <c r="AF31" s="177">
        <f t="shared" si="23"/>
        <v>0.50068520793402582</v>
      </c>
      <c r="AG31" s="921">
        <f t="shared" si="24"/>
        <v>2</v>
      </c>
      <c r="AH31" s="176">
        <f t="shared" si="16"/>
        <v>8</v>
      </c>
      <c r="AI31" s="225">
        <f t="shared" si="17"/>
        <v>2.5006852079340258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4.1171075932453807</v>
      </c>
      <c r="C32" s="955"/>
      <c r="D32" s="393">
        <f t="shared" si="0"/>
        <v>4.4123505405357584</v>
      </c>
      <c r="E32" s="385">
        <f t="shared" si="1"/>
        <v>4.598394949570686</v>
      </c>
      <c r="F32" s="385">
        <f t="shared" si="2"/>
        <v>4.598394949570686</v>
      </c>
      <c r="G32" s="110">
        <f t="shared" si="21"/>
        <v>0.14121561187450002</v>
      </c>
      <c r="H32" s="414" t="b">
        <f>Wh_hp&gt;='2026'!Maxi_hp</f>
        <v>0</v>
      </c>
      <c r="I32" s="390">
        <f>IF(H32,Wh_hp,'2026'!Maxi_hp)</f>
        <v>30.961638796552403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6.6912849416204456E-2</v>
      </c>
      <c r="M32" s="959"/>
      <c r="N32" s="959"/>
      <c r="O32" s="48">
        <f>IF(t&lt;Tnet,'2026'!Resal+('2026'!Salim-'2026'!Resal)*(1-EXP(('2026'!Tnet-t)/('2026'!Tau_j))),Resal+(Salim-Resal)*(1-EXP((Tnet-t)/(Tau_j))))*Salcycl</f>
        <v>4.0458553707375042E-2</v>
      </c>
      <c r="P32" s="169">
        <f>(INDEX(Models!$BJ32:$BT32,,T32)*(1-R32)+INDEX(Models!$BJ32:$BT32,,T32+1)*R32-ERP_i)*Q32*Ramure*Pc/MaxiM</f>
        <v>3.91271521927011E-4</v>
      </c>
      <c r="Q32" s="305">
        <f t="shared" si="4"/>
        <v>0.7</v>
      </c>
      <c r="R32" s="177">
        <f t="shared" si="5"/>
        <v>0.97575387777218858</v>
      </c>
      <c r="S32" s="921">
        <f t="shared" si="6"/>
        <v>-2</v>
      </c>
      <c r="T32" s="176">
        <f t="shared" si="7"/>
        <v>4</v>
      </c>
      <c r="U32" s="251">
        <f t="shared" si="8"/>
        <v>-1.0242461222278114</v>
      </c>
      <c r="V32" s="383">
        <f t="shared" si="9"/>
        <v>29.14335484343562</v>
      </c>
      <c r="W32" s="402">
        <f t="shared" si="10"/>
        <v>4.1171075932453807</v>
      </c>
      <c r="X32" s="157">
        <f t="shared" si="11"/>
        <v>46405</v>
      </c>
      <c r="Y32" s="385">
        <f t="shared" si="12"/>
        <v>3.8674967418211281</v>
      </c>
      <c r="Z32" s="385">
        <f t="shared" si="22"/>
        <v>4.1448397820089893</v>
      </c>
      <c r="AA32" s="386">
        <f t="shared" si="13"/>
        <v>4.598394949570686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9.8633365018818406E-2</v>
      </c>
      <c r="AD32" s="231">
        <f>(INDEX(Models!$BJ32:$BT32,,AH32)*(1-AF32)+INDEX(Models!$BJ32:$BT32,,AH32+1)*AF32-ERP_i)*AE32*Ramure*Pc/MaxiM</f>
        <v>1.3931799025261751E-2</v>
      </c>
      <c r="AE32" s="305">
        <f t="shared" si="15"/>
        <v>0.7</v>
      </c>
      <c r="AF32" s="177">
        <f t="shared" si="23"/>
        <v>0.5007414441461675</v>
      </c>
      <c r="AG32" s="921">
        <f t="shared" si="24"/>
        <v>2</v>
      </c>
      <c r="AH32" s="176">
        <f t="shared" si="16"/>
        <v>8</v>
      </c>
      <c r="AI32" s="225">
        <f t="shared" si="17"/>
        <v>2.5007414441461675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9.9726974904653627</v>
      </c>
      <c r="C33" s="955"/>
      <c r="D33" s="393">
        <f t="shared" si="0"/>
        <v>10.688086227185995</v>
      </c>
      <c r="E33" s="385">
        <f t="shared" si="1"/>
        <v>11.140002959747239</v>
      </c>
      <c r="F33" s="385">
        <f t="shared" si="2"/>
        <v>11.140245637391407</v>
      </c>
      <c r="G33" s="110">
        <f t="shared" si="21"/>
        <v>0.33929371231652106</v>
      </c>
      <c r="H33" s="414" t="b">
        <f>Wh_hp&gt;='2026'!Maxi_hp</f>
        <v>0</v>
      </c>
      <c r="I33" s="390">
        <f>IF(H33,Wh_hp,'2026'!Maxi_hp)</f>
        <v>32.578902251016416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6.6933286419507354E-2</v>
      </c>
      <c r="M33" s="959"/>
      <c r="N33" s="959"/>
      <c r="O33" s="48">
        <f>IF(t&lt;Tnet,'2026'!Resal+('2026'!Salim-'2026'!Resal)*(1-EXP(('2026'!Tnet-t)/('2026'!Tau_j))),Resal+(Salim-Resal)*(1-EXP((Tnet-t)/(Tau_j))))*Salcycl</f>
        <v>4.0567020870118216E-2</v>
      </c>
      <c r="P33" s="169">
        <f>(INDEX(Models!$BJ33:$BT33,,T33)*(1-R33)+INDEX(Models!$BJ33:$BT33,,T33+1)*R33-ERP_i)*Q33*Ramure*Pc/MaxiM</f>
        <v>3.8684999096807857E-4</v>
      </c>
      <c r="Q33" s="305">
        <f t="shared" si="4"/>
        <v>0.7</v>
      </c>
      <c r="R33" s="177">
        <f t="shared" si="5"/>
        <v>0.97581245973804953</v>
      </c>
      <c r="S33" s="921">
        <f t="shared" si="6"/>
        <v>-2</v>
      </c>
      <c r="T33" s="176">
        <f t="shared" si="7"/>
        <v>4</v>
      </c>
      <c r="U33" s="251">
        <f t="shared" si="8"/>
        <v>-1.0241875402619505</v>
      </c>
      <c r="V33" s="383">
        <f t="shared" si="9"/>
        <v>29.381790334653267</v>
      </c>
      <c r="W33" s="402">
        <f t="shared" si="10"/>
        <v>9.9726974904653627</v>
      </c>
      <c r="X33" s="157">
        <f t="shared" si="11"/>
        <v>46406</v>
      </c>
      <c r="Y33" s="385">
        <f t="shared" si="12"/>
        <v>9.3615077157006361</v>
      </c>
      <c r="Z33" s="385">
        <f t="shared" si="22"/>
        <v>10.033052920489858</v>
      </c>
      <c r="AA33" s="386">
        <f t="shared" si="13"/>
        <v>11.13160634161803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9.8687771325597431E-2</v>
      </c>
      <c r="AD33" s="231">
        <f>(INDEX(Models!$BJ33:$BT33,,AH33)*(1-AF33)+INDEX(Models!$BJ33:$BT33,,AH33+1)*AF33-ERP_i)*AE33*Ramure*Pc/MaxiM</f>
        <v>1.377181447163874E-2</v>
      </c>
      <c r="AE33" s="305">
        <f t="shared" si="15"/>
        <v>0.7</v>
      </c>
      <c r="AF33" s="177">
        <f t="shared" si="23"/>
        <v>0.50080002611202845</v>
      </c>
      <c r="AG33" s="921">
        <f t="shared" si="24"/>
        <v>2</v>
      </c>
      <c r="AH33" s="176">
        <f t="shared" si="16"/>
        <v>8</v>
      </c>
      <c r="AI33" s="225">
        <f t="shared" si="17"/>
        <v>2.5008000261120285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5.5046112958462992</v>
      </c>
      <c r="C34" s="955"/>
      <c r="D34" s="393">
        <f t="shared" si="0"/>
        <v>5.8996123036884631</v>
      </c>
      <c r="E34" s="385">
        <f t="shared" si="1"/>
        <v>6.1497563396052843</v>
      </c>
      <c r="F34" s="385">
        <f t="shared" si="2"/>
        <v>6.1497563396052843</v>
      </c>
      <c r="G34" s="110">
        <f t="shared" si="21"/>
        <v>0.18573169559856886</v>
      </c>
      <c r="H34" s="414" t="b">
        <f>Wh_hp&gt;='2026'!Maxi_hp</f>
        <v>0</v>
      </c>
      <c r="I34" s="390">
        <f>IF(H34,Wh_hp,'2026'!Maxi_hp)</f>
        <v>11.984563264269097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6.6953722975187313E-2</v>
      </c>
      <c r="M34" s="959"/>
      <c r="N34" s="959"/>
      <c r="O34" s="48">
        <f>IF(t&lt;Tnet,'2026'!Resal+('2026'!Salim-'2026'!Resal)*(1-EXP(('2026'!Tnet-t)/('2026'!Tau_j))),Resal+(Salim-Resal)*(1-EXP((Tnet-t)/(Tau_j))))*Salcycl</f>
        <v>4.0675438521988107E-2</v>
      </c>
      <c r="P34" s="169">
        <f>(INDEX(Models!$BJ34:$BT34,,T34)*(1-R34)+INDEX(Models!$BJ34:$BT34,,T34+1)*R34-ERP_i)*Q34*Ramure*Pc/MaxiM</f>
        <v>3.8185124911753883E-4</v>
      </c>
      <c r="Q34" s="305">
        <f t="shared" si="4"/>
        <v>0.7</v>
      </c>
      <c r="R34" s="177">
        <f t="shared" si="5"/>
        <v>0.97587348471809232</v>
      </c>
      <c r="S34" s="921">
        <f t="shared" si="6"/>
        <v>-2</v>
      </c>
      <c r="T34" s="176">
        <f t="shared" si="7"/>
        <v>4</v>
      </c>
      <c r="U34" s="251">
        <f t="shared" si="8"/>
        <v>-1.0241265152819077</v>
      </c>
      <c r="V34" s="383">
        <f t="shared" si="9"/>
        <v>29.626119200677092</v>
      </c>
      <c r="W34" s="402">
        <f t="shared" si="10"/>
        <v>5.5046112958462992</v>
      </c>
      <c r="X34" s="157">
        <f t="shared" si="11"/>
        <v>46407</v>
      </c>
      <c r="Y34" s="385">
        <f t="shared" si="12"/>
        <v>5.1714234814426288</v>
      </c>
      <c r="Z34" s="385">
        <f t="shared" si="22"/>
        <v>5.5425155308830458</v>
      </c>
      <c r="AA34" s="386">
        <f t="shared" si="13"/>
        <v>6.1497563396052843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9.8742255007978647E-2</v>
      </c>
      <c r="AD34" s="231">
        <f>(INDEX(Models!$BJ34:$BT34,,AH34)*(1-AF34)+INDEX(Models!$BJ34:$BT34,,AH34+1)*AF34-ERP_i)*AE34*Ramure*Pc/MaxiM</f>
        <v>1.3588619397272954E-2</v>
      </c>
      <c r="AE34" s="305">
        <f t="shared" si="15"/>
        <v>0.7</v>
      </c>
      <c r="AF34" s="177">
        <f t="shared" si="23"/>
        <v>0.50086105109207102</v>
      </c>
      <c r="AG34" s="921">
        <f t="shared" si="24"/>
        <v>2</v>
      </c>
      <c r="AH34" s="176">
        <f t="shared" si="16"/>
        <v>8</v>
      </c>
      <c r="AI34" s="225">
        <f t="shared" si="17"/>
        <v>2.500861051092071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16.193281621964601</v>
      </c>
      <c r="C35" s="955"/>
      <c r="D35" s="393">
        <f t="shared" si="0"/>
        <v>17.355662524902712</v>
      </c>
      <c r="E35" s="385">
        <f t="shared" si="1"/>
        <v>18.093587963173903</v>
      </c>
      <c r="F35" s="385">
        <f t="shared" si="2"/>
        <v>18.095942091019474</v>
      </c>
      <c r="G35" s="110">
        <f t="shared" si="21"/>
        <v>0.54187088058678046</v>
      </c>
      <c r="H35" s="414" t="b">
        <f>Wh_hp&gt;='2026'!Maxi_hp</f>
        <v>0</v>
      </c>
      <c r="I35" s="390">
        <f>IF(H35,Wh_hp,'2026'!Maxi_hp)</f>
        <v>18.098225713106928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6.6974159083254325E-2</v>
      </c>
      <c r="M35" s="959"/>
      <c r="N35" s="959"/>
      <c r="O35" s="48">
        <f>IF(t&lt;Tnet,'2026'!Resal+('2026'!Salim-'2026'!Resal)*(1-EXP(('2026'!Tnet-t)/('2026'!Tau_j))),Resal+(Salim-Resal)*(1-EXP((Tnet-t)/(Tau_j))))*Salcycl</f>
        <v>4.0783809146814773E-2</v>
      </c>
      <c r="P35" s="169">
        <f>(INDEX(Models!$BJ35:$BT35,,T35)*(1-R35)+INDEX(Models!$BJ35:$BT35,,T35+1)*R35-ERP_i)*Q35*Ramure*Pc/MaxiM</f>
        <v>3.7629091556406384E-4</v>
      </c>
      <c r="Q35" s="305">
        <f t="shared" si="4"/>
        <v>0.7</v>
      </c>
      <c r="R35" s="177">
        <f t="shared" si="5"/>
        <v>0.97593705395532848</v>
      </c>
      <c r="S35" s="921">
        <f t="shared" si="6"/>
        <v>-2</v>
      </c>
      <c r="T35" s="176">
        <f t="shared" si="7"/>
        <v>4</v>
      </c>
      <c r="U35" s="251">
        <f t="shared" si="8"/>
        <v>-1.0240629460446715</v>
      </c>
      <c r="V35" s="383">
        <f t="shared" si="9"/>
        <v>29.876664176688397</v>
      </c>
      <c r="W35" s="402">
        <f t="shared" si="10"/>
        <v>16.193281621964601</v>
      </c>
      <c r="X35" s="157">
        <f t="shared" si="11"/>
        <v>46408</v>
      </c>
      <c r="Y35" s="385">
        <f t="shared" si="12"/>
        <v>15.145498136666927</v>
      </c>
      <c r="Z35" s="385">
        <f t="shared" si="22"/>
        <v>16.232667384416384</v>
      </c>
      <c r="AA35" s="386">
        <f t="shared" si="13"/>
        <v>18.012217182591368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9.879682107624714E-2</v>
      </c>
      <c r="AD35" s="231">
        <f>(INDEX(Models!$BJ35:$BT35,,AH35)*(1-AF35)+INDEX(Models!$BJ35:$BT35,,AH35+1)*AF35-ERP_i)*AE35*Ramure*Pc/MaxiM</f>
        <v>1.3382842612890996E-2</v>
      </c>
      <c r="AE35" s="305">
        <f t="shared" si="15"/>
        <v>0.7</v>
      </c>
      <c r="AF35" s="177">
        <f t="shared" si="23"/>
        <v>0.5009246203293074</v>
      </c>
      <c r="AG35" s="921">
        <f t="shared" si="24"/>
        <v>2</v>
      </c>
      <c r="AH35" s="176">
        <f t="shared" si="16"/>
        <v>8</v>
      </c>
      <c r="AI35" s="225">
        <f t="shared" si="17"/>
        <v>2.5009246203293074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29.250382783009968</v>
      </c>
      <c r="C36" s="955"/>
      <c r="D36" s="393">
        <f t="shared" si="0"/>
        <v>31.350710958609451</v>
      </c>
      <c r="E36" s="385">
        <f t="shared" si="1"/>
        <v>32.687367197058393</v>
      </c>
      <c r="F36" s="385">
        <f t="shared" si="2"/>
        <v>32.698964889706751</v>
      </c>
      <c r="G36" s="110">
        <f t="shared" si="21"/>
        <v>0.97067013655021528</v>
      </c>
      <c r="H36" s="414" t="b">
        <f>Wh_hp&gt;='2026'!Maxi_hp</f>
        <v>0</v>
      </c>
      <c r="I36" s="390">
        <f>IF(H36,Wh_hp,'2026'!Maxi_hp)</f>
        <v>32.699224732930489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6.6994594743718161E-2</v>
      </c>
      <c r="M36" s="959"/>
      <c r="N36" s="959"/>
      <c r="O36" s="48">
        <f>IF(t&lt;Tnet,'2026'!Resal+('2026'!Salim-'2026'!Resal)*(1-EXP(('2026'!Tnet-t)/('2026'!Tau_j))),Resal+(Salim-Resal)*(1-EXP((Tnet-t)/(Tau_j))))*Salcycl</f>
        <v>4.0892135190662593E-2</v>
      </c>
      <c r="P36" s="169">
        <f>(INDEX(Models!$BJ36:$BT36,,T36)*(1-R36)+INDEX(Models!$BJ36:$BT36,,T36+1)*R36-ERP_i)*Q36*Ramure*Pc/MaxiM</f>
        <v>3.701833777853411E-4</v>
      </c>
      <c r="Q36" s="305">
        <f t="shared" si="4"/>
        <v>0.7</v>
      </c>
      <c r="R36" s="177">
        <f t="shared" si="5"/>
        <v>0.97600327283411059</v>
      </c>
      <c r="S36" s="921">
        <f t="shared" si="6"/>
        <v>-2</v>
      </c>
      <c r="T36" s="176">
        <f t="shared" si="7"/>
        <v>4</v>
      </c>
      <c r="U36" s="251">
        <f t="shared" si="8"/>
        <v>-1.0239967271658894</v>
      </c>
      <c r="V36" s="383">
        <f t="shared" si="9"/>
        <v>30.133747874034128</v>
      </c>
      <c r="W36" s="402">
        <f t="shared" si="10"/>
        <v>29.250382783009968</v>
      </c>
      <c r="X36" s="157">
        <f t="shared" si="11"/>
        <v>46409</v>
      </c>
      <c r="Y36" s="385">
        <f t="shared" si="12"/>
        <v>27.145999393052694</v>
      </c>
      <c r="Z36" s="385">
        <f t="shared" si="22"/>
        <v>29.095221999915548</v>
      </c>
      <c r="AA36" s="386">
        <f t="shared" si="13"/>
        <v>32.286821954137196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9.885147441130171E-2</v>
      </c>
      <c r="AD36" s="231">
        <f>(INDEX(Models!$BJ36:$BT36,,AH36)*(1-AF36)+INDEX(Models!$BJ36:$BT36,,AH36+1)*AF36-ERP_i)*AE36*Ramure*Pc/MaxiM</f>
        <v>1.3155070464910325E-2</v>
      </c>
      <c r="AE36" s="305">
        <f t="shared" si="15"/>
        <v>0.7</v>
      </c>
      <c r="AF36" s="177">
        <f t="shared" si="23"/>
        <v>0.50099083920808951</v>
      </c>
      <c r="AG36" s="921">
        <f t="shared" si="24"/>
        <v>2</v>
      </c>
      <c r="AH36" s="176">
        <f t="shared" si="16"/>
        <v>8</v>
      </c>
      <c r="AI36" s="225">
        <f t="shared" si="17"/>
        <v>2.5009908392080895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29.306977710609289</v>
      </c>
      <c r="C37" s="955"/>
      <c r="D37" s="393">
        <f t="shared" si="0"/>
        <v>31.412057698256</v>
      </c>
      <c r="E37" s="385">
        <f t="shared" si="1"/>
        <v>32.755027551955429</v>
      </c>
      <c r="F37" s="385">
        <f t="shared" si="2"/>
        <v>32.766327584578242</v>
      </c>
      <c r="G37" s="110">
        <f t="shared" si="21"/>
        <v>0.96405344898630074</v>
      </c>
      <c r="H37" s="414" t="b">
        <f>Wh_hp&gt;='2026'!Maxi_hp</f>
        <v>0</v>
      </c>
      <c r="I37" s="390">
        <f>IF(H37,Wh_hp,'2026'!Maxi_hp)</f>
        <v>32.766640942326909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6.7015029956588479E-2</v>
      </c>
      <c r="M37" s="959"/>
      <c r="N37" s="959"/>
      <c r="O37" s="48">
        <f>IF(t&lt;Tnet,'2026'!Resal+('2026'!Salim-'2026'!Resal)*(1-EXP(('2026'!Tnet-t)/('2026'!Tau_j))),Resal+(Salim-Resal)*(1-EXP((Tnet-t)/(Tau_j))))*Salcycl</f>
        <v>4.1000418991229352E-2</v>
      </c>
      <c r="P37" s="169">
        <f>(INDEX(Models!$BJ37:$BT37,,T37)*(1-R37)+INDEX(Models!$BJ37:$BT37,,T37+1)*R37-ERP_i)*Q37*Ramure*Pc/MaxiM</f>
        <v>3.6352573694215597E-4</v>
      </c>
      <c r="Q37" s="305">
        <f t="shared" si="4"/>
        <v>0.7</v>
      </c>
      <c r="R37" s="177">
        <f t="shared" si="5"/>
        <v>0.97607225104488782</v>
      </c>
      <c r="S37" s="921">
        <f t="shared" si="6"/>
        <v>-2</v>
      </c>
      <c r="T37" s="176">
        <f t="shared" si="7"/>
        <v>4</v>
      </c>
      <c r="U37" s="251">
        <f t="shared" si="8"/>
        <v>-1.0239277489551122</v>
      </c>
      <c r="V37" s="383">
        <f t="shared" si="9"/>
        <v>30.399176236881161</v>
      </c>
      <c r="W37" s="402">
        <f t="shared" si="10"/>
        <v>29.306977710609289</v>
      </c>
      <c r="X37" s="157">
        <f t="shared" si="11"/>
        <v>46410</v>
      </c>
      <c r="Y37" s="385">
        <f t="shared" si="12"/>
        <v>27.209625915626681</v>
      </c>
      <c r="Z37" s="385">
        <f t="shared" si="22"/>
        <v>29.164056002274748</v>
      </c>
      <c r="AA37" s="386">
        <f t="shared" si="13"/>
        <v>32.365172900422898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9.8906219595889244E-2</v>
      </c>
      <c r="AD37" s="231">
        <f>(INDEX(Models!$BJ37:$BT37,,AH37)*(1-AF37)+INDEX(Models!$BJ37:$BT37,,AH37+1)*AF37-ERP_i)*AE37*Ramure*Pc/MaxiM</f>
        <v>1.290527709547922E-2</v>
      </c>
      <c r="AE37" s="305">
        <f t="shared" si="15"/>
        <v>0.7</v>
      </c>
      <c r="AF37" s="177">
        <f t="shared" si="23"/>
        <v>0.50105981741886652</v>
      </c>
      <c r="AG37" s="921">
        <f t="shared" si="24"/>
        <v>2</v>
      </c>
      <c r="AH37" s="176">
        <f t="shared" si="16"/>
        <v>8</v>
      </c>
      <c r="AI37" s="225">
        <f t="shared" si="17"/>
        <v>2.5010598174188665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29.581033266426353</v>
      </c>
      <c r="C38" s="955"/>
      <c r="D38" s="393">
        <f t="shared" si="0"/>
        <v>31.706492742093346</v>
      </c>
      <c r="E38" s="385">
        <f t="shared" si="1"/>
        <v>33.065782856864708</v>
      </c>
      <c r="F38" s="385">
        <f t="shared" si="2"/>
        <v>33.076979660220751</v>
      </c>
      <c r="G38" s="110">
        <f t="shared" si="21"/>
        <v>0.9643564224278437</v>
      </c>
      <c r="H38" s="414" t="b">
        <f>Wh_hp&gt;='2026'!Maxi_hp</f>
        <v>0</v>
      </c>
      <c r="I38" s="390">
        <f>IF(H38,Wh_hp,'2026'!Maxi_hp)</f>
        <v>33.077287375328453</v>
      </c>
      <c r="J38" s="85">
        <f>IF(H38,An,'2026'!An_max)</f>
        <v>2026</v>
      </c>
      <c r="K38" s="197">
        <f t="shared" si="3"/>
        <v>46411</v>
      </c>
      <c r="L38" s="147">
        <f>IF(t&lt;Tvie,1-EXP((T0-t)*PertePVj)+'2026'!Pspv,1-EXP((T0-t)*PertePVj)+Pspv)</f>
        <v>6.7035464721875271E-2</v>
      </c>
      <c r="M38" s="959"/>
      <c r="N38" s="959"/>
      <c r="O38" s="48">
        <f>IF(t&lt;Tnet,'2026'!Resal+('2026'!Salim-'2026'!Resal)*(1-EXP(('2026'!Tnet-t)/('2026'!Tau_j))),Resal+(Salim-Resal)*(1-EXP((Tnet-t)/(Tau_j))))*Salcycl</f>
        <v>4.1108662712008574E-2</v>
      </c>
      <c r="P38" s="169">
        <f>(INDEX(Models!$BJ38:$BT38,,T38)*(1-R38)+INDEX(Models!$BJ38:$BT38,,T38+1)*R38-ERP_i)*Q38*Ramure*Pc/MaxiM</f>
        <v>3.566593879782544E-4</v>
      </c>
      <c r="Q38" s="305">
        <f t="shared" si="4"/>
        <v>0.7</v>
      </c>
      <c r="R38" s="177">
        <f t="shared" si="5"/>
        <v>0.9761441027551172</v>
      </c>
      <c r="S38" s="921">
        <f t="shared" si="6"/>
        <v>-2</v>
      </c>
      <c r="T38" s="176">
        <f t="shared" si="7"/>
        <v>4</v>
      </c>
      <c r="U38" s="251">
        <f t="shared" si="8"/>
        <v>-1.0238558972448828</v>
      </c>
      <c r="V38" s="383">
        <f t="shared" si="9"/>
        <v>30.673820843583176</v>
      </c>
      <c r="W38" s="402">
        <f t="shared" si="10"/>
        <v>29.581033266426353</v>
      </c>
      <c r="X38" s="157">
        <f t="shared" si="11"/>
        <v>46411</v>
      </c>
      <c r="Y38" s="385">
        <f t="shared" si="12"/>
        <v>27.472682365174375</v>
      </c>
      <c r="Z38" s="385">
        <f t="shared" si="22"/>
        <v>29.446652392831346</v>
      </c>
      <c r="AA38" s="386">
        <f t="shared" si="13"/>
        <v>32.680776723866359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9.8961060759402655E-2</v>
      </c>
      <c r="AD38" s="231">
        <f>(INDEX(Models!$BJ38:$BT38,,AH38)*(1-AF38)+INDEX(Models!$BJ38:$BT38,,AH38+1)*AF38-ERP_i)*AE38*Ramure*Pc/MaxiM</f>
        <v>1.2620521438300893E-2</v>
      </c>
      <c r="AE38" s="305">
        <f t="shared" si="15"/>
        <v>0.7</v>
      </c>
      <c r="AF38" s="177">
        <f t="shared" si="23"/>
        <v>0.50113166912909612</v>
      </c>
      <c r="AG38" s="921">
        <f t="shared" si="24"/>
        <v>2</v>
      </c>
      <c r="AH38" s="176">
        <f t="shared" si="16"/>
        <v>8</v>
      </c>
      <c r="AI38" s="225">
        <f t="shared" si="17"/>
        <v>2.5011316691290961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29.134680081159047</v>
      </c>
      <c r="C39" s="955"/>
      <c r="D39" s="393">
        <f t="shared" si="0"/>
        <v>31.228752131201198</v>
      </c>
      <c r="E39" s="385">
        <f t="shared" si="1"/>
        <v>32.57123649561872</v>
      </c>
      <c r="F39" s="385">
        <f t="shared" si="2"/>
        <v>32.581683641079074</v>
      </c>
      <c r="G39" s="110">
        <f t="shared" si="21"/>
        <v>0.94111816986252894</v>
      </c>
      <c r="H39" s="414" t="b">
        <f>Wh_hp&gt;='2026'!Maxi_hp</f>
        <v>0</v>
      </c>
      <c r="I39" s="390">
        <f>IF(H39,Wh_hp,'2026'!Maxi_hp)</f>
        <v>32.582175088656697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6.7055899039588196E-2</v>
      </c>
      <c r="M39" s="959"/>
      <c r="N39" s="959"/>
      <c r="O39" s="48">
        <f>IF(t&lt;Tnet,'2026'!Resal+('2026'!Salim-'2026'!Resal)*(1-EXP(('2026'!Tnet-t)/('2026'!Tau_j))),Resal+(Salim-Resal)*(1-EXP((Tnet-t)/(Tau_j))))*Salcycl</f>
        <v>4.1216868281868983E-2</v>
      </c>
      <c r="P39" s="169">
        <f>(INDEX(Models!$BJ39:$BT39,,T39)*(1-R39)+INDEX(Models!$BJ39:$BT39,,T39+1)*R39-ERP_i)*Q39*Ramure*Pc/MaxiM</f>
        <v>3.5007839018412799E-4</v>
      </c>
      <c r="Q39" s="305">
        <f t="shared" si="4"/>
        <v>0.7</v>
      </c>
      <c r="R39" s="177">
        <f t="shared" si="5"/>
        <v>0.97621894678652543</v>
      </c>
      <c r="S39" s="921">
        <f t="shared" si="6"/>
        <v>-2</v>
      </c>
      <c r="T39" s="176">
        <f t="shared" si="7"/>
        <v>4</v>
      </c>
      <c r="U39" s="251">
        <f t="shared" si="8"/>
        <v>-1.0237810532134746</v>
      </c>
      <c r="V39" s="383">
        <f t="shared" si="9"/>
        <v>30.956603749730625</v>
      </c>
      <c r="W39" s="402">
        <f t="shared" si="10"/>
        <v>29.134680081159047</v>
      </c>
      <c r="X39" s="157">
        <f t="shared" si="11"/>
        <v>46412</v>
      </c>
      <c r="Y39" s="385">
        <f t="shared" si="12"/>
        <v>27.078344977154174</v>
      </c>
      <c r="Z39" s="385">
        <f t="shared" si="22"/>
        <v>29.024616747432766</v>
      </c>
      <c r="AA39" s="386">
        <f t="shared" si="13"/>
        <v>32.214353189117865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9.90160014376016E-2</v>
      </c>
      <c r="AD39" s="231">
        <f>(INDEX(Models!$BJ39:$BT39,,AH39)*(1-AF39)+INDEX(Models!$BJ39:$BT39,,AH39+1)*AF39-ERP_i)*AE39*Ramure*Pc/MaxiM</f>
        <v>1.2309051671215073E-2</v>
      </c>
      <c r="AE39" s="305">
        <f t="shared" si="15"/>
        <v>0.7</v>
      </c>
      <c r="AF39" s="177">
        <f t="shared" si="23"/>
        <v>0.50120651316050457</v>
      </c>
      <c r="AG39" s="921">
        <f t="shared" si="24"/>
        <v>2</v>
      </c>
      <c r="AH39" s="176">
        <f t="shared" si="16"/>
        <v>8</v>
      </c>
      <c r="AI39" s="225">
        <f t="shared" si="17"/>
        <v>2.5012065131605046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29.883796616050855</v>
      </c>
      <c r="C40" s="955"/>
      <c r="D40" s="393">
        <f t="shared" si="0"/>
        <v>32.032413444131777</v>
      </c>
      <c r="E40" s="385">
        <f t="shared" si="1"/>
        <v>33.413215836234983</v>
      </c>
      <c r="F40" s="385">
        <f t="shared" si="2"/>
        <v>33.423990860554994</v>
      </c>
      <c r="G40" s="110">
        <f t="shared" si="21"/>
        <v>0.95636927496725066</v>
      </c>
      <c r="H40" s="414" t="b">
        <f>Wh_hp&gt;='2026'!Maxi_hp</f>
        <v>0</v>
      </c>
      <c r="I40" s="390">
        <f>IF(H40,Wh_hp,'2026'!Maxi_hp)</f>
        <v>33.424357692694031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6.7076332909737135E-2</v>
      </c>
      <c r="M40" s="959"/>
      <c r="N40" s="959"/>
      <c r="O40" s="48">
        <f>IF(t&lt;Tnet,'2026'!Resal+('2026'!Salim-'2026'!Resal)*(1-EXP(('2026'!Tnet-t)/('2026'!Tau_j))),Resal+(Salim-Resal)*(1-EXP((Tnet-t)/(Tau_j))))*Salcycl</f>
        <v>4.132503734063802E-2</v>
      </c>
      <c r="P40" s="169">
        <f>(INDEX(Models!$BJ40:$BT40,,T40)*(1-R40)+INDEX(Models!$BJ40:$BT40,,T40+1)*R40-ERP_i)*Q40*Ramure*Pc/MaxiM</f>
        <v>3.4379233848284071E-4</v>
      </c>
      <c r="Q40" s="305">
        <f t="shared" si="4"/>
        <v>0.7</v>
      </c>
      <c r="R40" s="177">
        <f t="shared" si="5"/>
        <v>0.97629690679891823</v>
      </c>
      <c r="S40" s="921">
        <f t="shared" si="6"/>
        <v>-2</v>
      </c>
      <c r="T40" s="176">
        <f t="shared" si="7"/>
        <v>4</v>
      </c>
      <c r="U40" s="251">
        <f t="shared" si="8"/>
        <v>-1.0237030932010818</v>
      </c>
      <c r="V40" s="383">
        <f t="shared" si="9"/>
        <v>31.246462145311103</v>
      </c>
      <c r="W40" s="402">
        <f t="shared" si="10"/>
        <v>29.883796616050855</v>
      </c>
      <c r="X40" s="157">
        <f t="shared" si="11"/>
        <v>46413</v>
      </c>
      <c r="Y40" s="385">
        <f t="shared" si="12"/>
        <v>27.777414749282752</v>
      </c>
      <c r="Z40" s="385">
        <f t="shared" si="22"/>
        <v>29.774584705219201</v>
      </c>
      <c r="AA40" s="386">
        <f t="shared" si="13"/>
        <v>33.048759862525031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9.9071044448433759E-2</v>
      </c>
      <c r="AD40" s="231">
        <f>(INDEX(Models!$BJ40:$BT40,,AH40)*(1-AF40)+INDEX(Models!$BJ40:$BT40,,AH40+1)*AF40-ERP_i)*AE40*Ramure*Pc/MaxiM</f>
        <v>1.1972273885671193E-2</v>
      </c>
      <c r="AE40" s="305">
        <f t="shared" si="15"/>
        <v>0.7</v>
      </c>
      <c r="AF40" s="177">
        <f t="shared" si="23"/>
        <v>0.50128447317289693</v>
      </c>
      <c r="AG40" s="921">
        <f t="shared" si="24"/>
        <v>2</v>
      </c>
      <c r="AH40" s="176">
        <f t="shared" si="16"/>
        <v>8</v>
      </c>
      <c r="AI40" s="225">
        <f t="shared" si="17"/>
        <v>2.5012844731728969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29.608080902735988</v>
      </c>
      <c r="C41" s="955"/>
      <c r="D41" s="393">
        <f t="shared" si="0"/>
        <v>31.737569164953065</v>
      </c>
      <c r="E41" s="385">
        <f t="shared" si="1"/>
        <v>33.109396456367108</v>
      </c>
      <c r="F41" s="385">
        <f t="shared" si="2"/>
        <v>33.119604444986777</v>
      </c>
      <c r="G41" s="110">
        <f t="shared" si="21"/>
        <v>0.93864977208495748</v>
      </c>
      <c r="H41" s="414" t="b">
        <f>Wh_hp&gt;='2026'!Maxi_hp</f>
        <v>0</v>
      </c>
      <c r="I41" s="390">
        <f>IF(H41,Wh_hp,'2026'!Maxi_hp)</f>
        <v>33.12010662420785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6.7096766332331859E-2</v>
      </c>
      <c r="M41" s="959"/>
      <c r="N41" s="959"/>
      <c r="O41" s="48">
        <f>IF(t&lt;Tnet,'2026'!Resal+('2026'!Salim-'2026'!Resal)*(1-EXP(('2026'!Tnet-t)/('2026'!Tau_j))),Resal+(Salim-Resal)*(1-EXP((Tnet-t)/(Tau_j))))*Salcycl</f>
        <v>4.1433171191202198E-2</v>
      </c>
      <c r="P41" s="169">
        <f>(INDEX(Models!$BJ41:$BT41,,T41)*(1-R41)+INDEX(Models!$BJ41:$BT41,,T41+1)*R41-ERP_i)*Q41*Ramure*Pc/MaxiM</f>
        <v>3.3780915796701545E-4</v>
      </c>
      <c r="Q41" s="305">
        <f t="shared" si="4"/>
        <v>0.7</v>
      </c>
      <c r="R41" s="177">
        <f t="shared" si="5"/>
        <v>0.97637811148073994</v>
      </c>
      <c r="S41" s="921">
        <f t="shared" si="6"/>
        <v>-2</v>
      </c>
      <c r="T41" s="176">
        <f t="shared" si="7"/>
        <v>4</v>
      </c>
      <c r="U41" s="251">
        <f t="shared" si="8"/>
        <v>-1.0236218885192601</v>
      </c>
      <c r="V41" s="383">
        <f t="shared" si="9"/>
        <v>31.542333800592342</v>
      </c>
      <c r="W41" s="402">
        <f t="shared" si="10"/>
        <v>29.608080902735988</v>
      </c>
      <c r="X41" s="157">
        <f t="shared" si="11"/>
        <v>46414</v>
      </c>
      <c r="Y41" s="385">
        <f t="shared" si="12"/>
        <v>27.539756725593918</v>
      </c>
      <c r="Z41" s="385">
        <f t="shared" si="22"/>
        <v>29.520485867888539</v>
      </c>
      <c r="AA41" s="386">
        <f t="shared" si="13"/>
        <v>32.768724763325899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9.9126191784940143E-2</v>
      </c>
      <c r="AD41" s="231">
        <f>(INDEX(Models!$BJ41:$BT41,,AH41)*(1-AF41)+INDEX(Models!$BJ41:$BT41,,AH41+1)*AF41-ERP_i)*AE41*Ramure*Pc/MaxiM</f>
        <v>1.1611530363699465E-2</v>
      </c>
      <c r="AE41" s="305">
        <f t="shared" si="15"/>
        <v>0.7</v>
      </c>
      <c r="AF41" s="177">
        <f t="shared" si="23"/>
        <v>0.50136567785471886</v>
      </c>
      <c r="AG41" s="921">
        <f t="shared" si="24"/>
        <v>2</v>
      </c>
      <c r="AH41" s="176">
        <f t="shared" si="16"/>
        <v>8</v>
      </c>
      <c r="AI41" s="225">
        <f t="shared" si="17"/>
        <v>2.5013656778547189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4.0109335070548866</v>
      </c>
      <c r="C42" s="955"/>
      <c r="D42" s="393">
        <f t="shared" si="0"/>
        <v>4.2995041864604788</v>
      </c>
      <c r="E42" s="385">
        <f t="shared" si="1"/>
        <v>4.4858521867324113</v>
      </c>
      <c r="F42" s="385">
        <f t="shared" si="2"/>
        <v>4.4858521867324113</v>
      </c>
      <c r="G42" s="110">
        <f t="shared" si="21"/>
        <v>0.12591720490959479</v>
      </c>
      <c r="H42" s="414" t="b">
        <f>Wh_hp&gt;='2026'!Maxi_hp</f>
        <v>0</v>
      </c>
      <c r="I42" s="390">
        <f>IF(H42,Wh_hp,'2026'!Maxi_hp)</f>
        <v>17.427879917759782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6.7117199307382247E-2</v>
      </c>
      <c r="M42" s="959"/>
      <c r="N42" s="959"/>
      <c r="O42" s="48">
        <f>IF(t&lt;Tnet,'2026'!Resal+('2026'!Salim-'2026'!Resal)*(1-EXP(('2026'!Tnet-t)/('2026'!Tau_j))),Resal+(Salim-Resal)*(1-EXP((Tnet-t)/(Tau_j))))*Salcycl</f>
        <v>4.1541270758560629E-2</v>
      </c>
      <c r="P42" s="169">
        <f>(INDEX(Models!$BJ42:$BT42,,T42)*(1-R42)+INDEX(Models!$BJ42:$BT42,,T42+1)*R42-ERP_i)*Q42*Ramure*Pc/MaxiM</f>
        <v>3.3213526529337348E-4</v>
      </c>
      <c r="Q42" s="305">
        <f t="shared" si="4"/>
        <v>0.7</v>
      </c>
      <c r="R42" s="177">
        <f t="shared" si="5"/>
        <v>0.97646269474658598</v>
      </c>
      <c r="S42" s="921">
        <f t="shared" si="6"/>
        <v>-2</v>
      </c>
      <c r="T42" s="176">
        <f t="shared" si="7"/>
        <v>4</v>
      </c>
      <c r="U42" s="251">
        <f t="shared" si="8"/>
        <v>-1.023537305253414</v>
      </c>
      <c r="V42" s="383">
        <f t="shared" si="9"/>
        <v>31.843157076661875</v>
      </c>
      <c r="W42" s="402">
        <f t="shared" si="10"/>
        <v>4.0109335070548866</v>
      </c>
      <c r="X42" s="157">
        <f t="shared" si="11"/>
        <v>46415</v>
      </c>
      <c r="Y42" s="385">
        <f t="shared" si="12"/>
        <v>3.7697223862595401</v>
      </c>
      <c r="Z42" s="385">
        <f t="shared" si="22"/>
        <v>4.0409388869220377</v>
      </c>
      <c r="AA42" s="386">
        <f t="shared" si="13"/>
        <v>4.4858521867324113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9.9181444526030532E-2</v>
      </c>
      <c r="AD42" s="231">
        <f>(INDEX(Models!$BJ42:$BT42,,AH42)*(1-AF42)+INDEX(Models!$BJ42:$BT42,,AH42+1)*AF42-ERP_i)*AE42*Ramure*Pc/MaxiM</f>
        <v>1.1228091084260915E-2</v>
      </c>
      <c r="AE42" s="305">
        <f t="shared" si="15"/>
        <v>0.7</v>
      </c>
      <c r="AF42" s="177">
        <f t="shared" si="23"/>
        <v>0.5014502611205649</v>
      </c>
      <c r="AG42" s="921">
        <f t="shared" si="24"/>
        <v>2</v>
      </c>
      <c r="AH42" s="176">
        <f t="shared" si="16"/>
        <v>8</v>
      </c>
      <c r="AI42" s="225">
        <f t="shared" si="17"/>
        <v>2.5014502611205649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5.9624596280938773</v>
      </c>
      <c r="C43" s="955"/>
      <c r="D43" s="393">
        <f t="shared" si="0"/>
        <v>6.3915748255787879</v>
      </c>
      <c r="E43" s="385">
        <f t="shared" si="1"/>
        <v>6.669348777420157</v>
      </c>
      <c r="F43" s="385">
        <f t="shared" si="2"/>
        <v>6.669348777420157</v>
      </c>
      <c r="G43" s="110">
        <f t="shared" si="21"/>
        <v>0.18540920662563545</v>
      </c>
      <c r="H43" s="414" t="b">
        <f>Wh_hp&gt;='2026'!Maxi_hp</f>
        <v>0</v>
      </c>
      <c r="I43" s="390">
        <f>IF(H43,Wh_hp,'2026'!Maxi_hp)</f>
        <v>22.511927090396647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6.7137631834897959E-2</v>
      </c>
      <c r="M43" s="959"/>
      <c r="N43" s="959"/>
      <c r="O43" s="48">
        <f>IF(t&lt;Tnet,'2026'!Resal+('2026'!Salim-'2026'!Resal)*(1-EXP(('2026'!Tnet-t)/('2026'!Tau_j))),Resal+(Salim-Resal)*(1-EXP((Tnet-t)/(Tau_j))))*Salcycl</f>
        <v>4.1649336556187438E-2</v>
      </c>
      <c r="P43" s="169">
        <f>(INDEX(Models!$BJ43:$BT43,,T43)*(1-R43)+INDEX(Models!$BJ43:$BT43,,T43+1)*R43-ERP_i)*Q43*Ramure*Pc/MaxiM</f>
        <v>3.2677573100888419E-4</v>
      </c>
      <c r="Q43" s="305">
        <f t="shared" si="4"/>
        <v>0.7</v>
      </c>
      <c r="R43" s="177">
        <f t="shared" si="5"/>
        <v>0.97655079594187111</v>
      </c>
      <c r="S43" s="921">
        <f t="shared" si="6"/>
        <v>-2</v>
      </c>
      <c r="T43" s="176">
        <f t="shared" si="7"/>
        <v>4</v>
      </c>
      <c r="U43" s="251">
        <f t="shared" si="8"/>
        <v>-1.0234492040581289</v>
      </c>
      <c r="V43" s="383">
        <f t="shared" si="9"/>
        <v>32.147870914659151</v>
      </c>
      <c r="W43" s="402">
        <f t="shared" si="10"/>
        <v>5.9624596280938773</v>
      </c>
      <c r="X43" s="157">
        <f t="shared" si="11"/>
        <v>46416</v>
      </c>
      <c r="Y43" s="385">
        <f t="shared" si="12"/>
        <v>5.6041743412400571</v>
      </c>
      <c r="Z43" s="385">
        <f t="shared" si="22"/>
        <v>6.0075039282195659</v>
      </c>
      <c r="AA43" s="386">
        <f t="shared" si="13"/>
        <v>6.669348777420157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9.9236802765712617E-2</v>
      </c>
      <c r="AD43" s="231">
        <f>(INDEX(Models!$BJ43:$BT43,,AH43)*(1-AF43)+INDEX(Models!$BJ43:$BT43,,AH43+1)*AF43-ERP_i)*AE43*Ramure*Pc/MaxiM</f>
        <v>1.0823146865692258E-2</v>
      </c>
      <c r="AE43" s="305">
        <f t="shared" si="15"/>
        <v>0.7</v>
      </c>
      <c r="AF43" s="177">
        <f t="shared" si="23"/>
        <v>0.50153836231585025</v>
      </c>
      <c r="AG43" s="921">
        <f t="shared" si="24"/>
        <v>2</v>
      </c>
      <c r="AH43" s="176">
        <f t="shared" si="16"/>
        <v>8</v>
      </c>
      <c r="AI43" s="225">
        <f t="shared" si="17"/>
        <v>2.5015383623158503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4.8888339570830581</v>
      </c>
      <c r="C44" s="955"/>
      <c r="D44" s="393">
        <f t="shared" si="0"/>
        <v>5.2407956460450213</v>
      </c>
      <c r="E44" s="385">
        <f t="shared" si="1"/>
        <v>5.469173959330317</v>
      </c>
      <c r="F44" s="385">
        <f t="shared" si="2"/>
        <v>5.469173959330317</v>
      </c>
      <c r="G44" s="110">
        <f t="shared" si="21"/>
        <v>0.15058384168034339</v>
      </c>
      <c r="H44" s="414" t="b">
        <f>Wh_hp&gt;='2026'!Maxi_hp</f>
        <v>0</v>
      </c>
      <c r="I44" s="390">
        <f>IF(H44,Wh_hp,'2026'!Maxi_hp)</f>
        <v>10.423685229998675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6.7158063914888988E-2</v>
      </c>
      <c r="M44" s="959"/>
      <c r="N44" s="959"/>
      <c r="O44" s="48">
        <f>IF(t&lt;Tnet,'2026'!Resal+('2026'!Salim-'2026'!Resal)*(1-EXP(('2026'!Tnet-t)/('2026'!Tau_j))),Resal+(Salim-Resal)*(1-EXP((Tnet-t)/(Tau_j))))*Salcycl</f>
        <v>4.1757368659975862E-2</v>
      </c>
      <c r="P44" s="169">
        <f>(INDEX(Models!$BJ44:$BT44,,T44)*(1-R44)+INDEX(Models!$BJ44:$BT44,,T44+1)*R44-ERP_i)*Q44*Ramure*Pc/MaxiM</f>
        <v>3.2183223599886583E-4</v>
      </c>
      <c r="Q44" s="305">
        <f t="shared" si="4"/>
        <v>0.7</v>
      </c>
      <c r="R44" s="177">
        <f t="shared" si="5"/>
        <v>0.97664256005486472</v>
      </c>
      <c r="S44" s="921">
        <f t="shared" si="6"/>
        <v>-2</v>
      </c>
      <c r="T44" s="176">
        <f t="shared" si="7"/>
        <v>4</v>
      </c>
      <c r="U44" s="251">
        <f t="shared" si="8"/>
        <v>-1.0233574399451353</v>
      </c>
      <c r="V44" s="383">
        <f t="shared" si="9"/>
        <v>32.455411670887038</v>
      </c>
      <c r="W44" s="402">
        <f t="shared" si="10"/>
        <v>4.8888339570830581</v>
      </c>
      <c r="X44" s="157">
        <f t="shared" si="11"/>
        <v>46417</v>
      </c>
      <c r="Y44" s="385">
        <f t="shared" si="12"/>
        <v>4.5952981150235059</v>
      </c>
      <c r="Z44" s="385">
        <f t="shared" si="22"/>
        <v>4.9261272861603409</v>
      </c>
      <c r="AA44" s="386">
        <f t="shared" si="13"/>
        <v>5.469173959330317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9.9292265561154322E-2</v>
      </c>
      <c r="AD44" s="231">
        <f>(INDEX(Models!$BJ44:$BT44,,AH44)*(1-AF44)+INDEX(Models!$BJ44:$BT44,,AH44+1)*AF44-ERP_i)*AE44*Ramure*Pc/MaxiM</f>
        <v>1.0405548030743403E-2</v>
      </c>
      <c r="AE44" s="305">
        <f t="shared" si="15"/>
        <v>0.7</v>
      </c>
      <c r="AF44" s="177">
        <f t="shared" si="23"/>
        <v>0.50163012642884341</v>
      </c>
      <c r="AG44" s="921">
        <f t="shared" si="24"/>
        <v>2</v>
      </c>
      <c r="AH44" s="176">
        <f t="shared" si="16"/>
        <v>8</v>
      </c>
      <c r="AI44" s="225">
        <f t="shared" si="17"/>
        <v>2.5016301264288434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6.7078065131307643</v>
      </c>
      <c r="C45" s="955"/>
      <c r="D45" s="393">
        <f t="shared" si="0"/>
        <v>7.1908789421260177</v>
      </c>
      <c r="E45" s="385">
        <f t="shared" si="1"/>
        <v>7.505081950000954</v>
      </c>
      <c r="F45" s="385">
        <f t="shared" si="2"/>
        <v>7.505081950000954</v>
      </c>
      <c r="G45" s="110">
        <f t="shared" si="21"/>
        <v>0.20466154458520508</v>
      </c>
      <c r="H45" s="414" t="b">
        <f>Wh_hp&gt;='2026'!Maxi_hp</f>
        <v>0</v>
      </c>
      <c r="I45" s="390">
        <f>IF(H45,Wh_hp,'2026'!Maxi_hp)</f>
        <v>26.210661022055326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6.7178495547364991E-2</v>
      </c>
      <c r="M45" s="959"/>
      <c r="N45" s="959"/>
      <c r="O45" s="48">
        <f>IF(t&lt;Tnet,'2026'!Resal+('2026'!Salim-'2026'!Resal)*(1-EXP(('2026'!Tnet-t)/('2026'!Tau_j))),Resal+(Salim-Resal)*(1-EXP((Tnet-t)/(Tau_j))))*Salcycl</f>
        <v>4.1865366689952908E-2</v>
      </c>
      <c r="P45" s="169">
        <f>(INDEX(Models!$BJ45:$BT45,,T45)*(1-R45)+INDEX(Models!$BJ45:$BT45,,T45+1)*R45-ERP_i)*Q45*Ramure*Pc/MaxiM</f>
        <v>3.1737469526254099E-4</v>
      </c>
      <c r="Q45" s="305">
        <f t="shared" si="4"/>
        <v>0.7</v>
      </c>
      <c r="R45" s="177">
        <f t="shared" si="5"/>
        <v>0.97673813793629471</v>
      </c>
      <c r="S45" s="921">
        <f t="shared" si="6"/>
        <v>-2</v>
      </c>
      <c r="T45" s="176">
        <f t="shared" si="7"/>
        <v>4</v>
      </c>
      <c r="U45" s="251">
        <f t="shared" si="8"/>
        <v>-1.0232618620637053</v>
      </c>
      <c r="V45" s="383">
        <f t="shared" si="9"/>
        <v>32.764717175732343</v>
      </c>
      <c r="W45" s="402">
        <f t="shared" si="10"/>
        <v>6.7078065131307643</v>
      </c>
      <c r="X45" s="157">
        <f t="shared" si="11"/>
        <v>46418</v>
      </c>
      <c r="Y45" s="385">
        <f t="shared" si="12"/>
        <v>6.3053774239272391</v>
      </c>
      <c r="Z45" s="385">
        <f t="shared" si="22"/>
        <v>6.7594683375434572</v>
      </c>
      <c r="AA45" s="386">
        <f t="shared" si="13"/>
        <v>7.505081950000954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9.934783089975481E-2</v>
      </c>
      <c r="AD45" s="231">
        <f>(INDEX(Models!$BJ45:$BT45,,AH45)*(1-AF45)+INDEX(Models!$BJ45:$BT45,,AH45+1)*AF45-ERP_i)*AE45*Ramure*Pc/MaxiM</f>
        <v>9.9905658773337559E-3</v>
      </c>
      <c r="AE45" s="305">
        <f t="shared" si="15"/>
        <v>0.7</v>
      </c>
      <c r="AF45" s="177">
        <f t="shared" si="23"/>
        <v>0.50172570431027363</v>
      </c>
      <c r="AG45" s="921">
        <f t="shared" si="24"/>
        <v>2</v>
      </c>
      <c r="AH45" s="176">
        <f t="shared" si="16"/>
        <v>8</v>
      </c>
      <c r="AI45" s="225">
        <f t="shared" si="17"/>
        <v>2.5017257043102736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13.876788392517128</v>
      </c>
      <c r="C46" s="955"/>
      <c r="D46" s="393">
        <f t="shared" si="0"/>
        <v>14.876471297257211</v>
      </c>
      <c r="E46" s="385">
        <f t="shared" si="1"/>
        <v>15.528243377764749</v>
      </c>
      <c r="F46" s="385">
        <f t="shared" si="2"/>
        <v>15.529074621050675</v>
      </c>
      <c r="G46" s="110">
        <f t="shared" si="21"/>
        <v>0.41944961573078804</v>
      </c>
      <c r="H46" s="414" t="b">
        <f>Wh_hp&gt;='2026'!Maxi_hp</f>
        <v>0</v>
      </c>
      <c r="I46" s="390">
        <f>IF(H46,Wh_hp,'2026'!Maxi_hp)</f>
        <v>29.47119267155292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6.719892673233574E-2</v>
      </c>
      <c r="M46" s="959"/>
      <c r="N46" s="959"/>
      <c r="O46" s="48">
        <f>IF(t&lt;Tnet,'2026'!Resal+('2026'!Salim-'2026'!Resal)*(1-EXP(('2026'!Tnet-t)/('2026'!Tau_j))),Resal+(Salim-Resal)*(1-EXP((Tnet-t)/(Tau_j))))*Salcycl</f>
        <v>4.1973329799868148E-2</v>
      </c>
      <c r="P46" s="169">
        <f>(INDEX(Models!$BJ46:$BT46,,T46)*(1-R46)+INDEX(Models!$BJ46:$BT46,,T46+1)*R46-ERP_i)*Q46*Ramure*Pc/MaxiM</f>
        <v>3.134004382186638E-4</v>
      </c>
      <c r="Q46" s="305">
        <f t="shared" si="4"/>
        <v>0.7</v>
      </c>
      <c r="R46" s="177">
        <f t="shared" si="5"/>
        <v>0.97683768652673519</v>
      </c>
      <c r="S46" s="921">
        <f t="shared" si="6"/>
        <v>-2</v>
      </c>
      <c r="T46" s="176">
        <f t="shared" si="7"/>
        <v>4</v>
      </c>
      <c r="U46" s="251">
        <f t="shared" si="8"/>
        <v>-1.0231623134732648</v>
      </c>
      <c r="V46" s="383">
        <f t="shared" si="9"/>
        <v>33.07472813661208</v>
      </c>
      <c r="W46" s="402">
        <f t="shared" si="10"/>
        <v>13.876788392517128</v>
      </c>
      <c r="X46" s="157">
        <f t="shared" si="11"/>
        <v>46419</v>
      </c>
      <c r="Y46" s="385">
        <f t="shared" si="12"/>
        <v>13.02428191355215</v>
      </c>
      <c r="Z46" s="385">
        <f t="shared" si="22"/>
        <v>13.962550308746133</v>
      </c>
      <c r="AA46" s="386">
        <f t="shared" si="13"/>
        <v>15.5036692257308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9.9403495685197948E-2</v>
      </c>
      <c r="AD46" s="231">
        <f>(INDEX(Models!$BJ46:$BT46,,AH46)*(1-AF46)+INDEX(Models!$BJ46:$BT46,,AH46+1)*AF46-ERP_i)*AE46*Ramure*Pc/MaxiM</f>
        <v>9.5784978491695802E-3</v>
      </c>
      <c r="AE46" s="305">
        <f t="shared" si="15"/>
        <v>0.7</v>
      </c>
      <c r="AF46" s="177">
        <f t="shared" si="23"/>
        <v>0.50182525290071389</v>
      </c>
      <c r="AG46" s="921">
        <f t="shared" si="24"/>
        <v>2</v>
      </c>
      <c r="AH46" s="176">
        <f t="shared" si="16"/>
        <v>8</v>
      </c>
      <c r="AI46" s="225">
        <f t="shared" si="17"/>
        <v>2.5018252529007139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5.2218561532898322</v>
      </c>
      <c r="C47" s="955"/>
      <c r="D47" s="393">
        <f t="shared" si="0"/>
        <v>5.598160934306514</v>
      </c>
      <c r="E47" s="385">
        <f t="shared" si="1"/>
        <v>5.844087479563278</v>
      </c>
      <c r="F47" s="385">
        <f t="shared" si="2"/>
        <v>5.844087479563278</v>
      </c>
      <c r="G47" s="110">
        <f t="shared" si="21"/>
        <v>0.1563676471647048</v>
      </c>
      <c r="H47" s="414" t="b">
        <f>Wh_hp&gt;='2026'!Maxi_hp</f>
        <v>0</v>
      </c>
      <c r="I47" s="390">
        <f>IF(H47,Wh_hp,'2026'!Maxi_hp)</f>
        <v>31.55257955620117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6.7219357469811225E-2</v>
      </c>
      <c r="M47" s="959"/>
      <c r="N47" s="959"/>
      <c r="O47" s="48">
        <f>IF(t&lt;Tnet,'2026'!Resal+('2026'!Salim-'2026'!Resal)*(1-EXP(('2026'!Tnet-t)/('2026'!Tau_j))),Resal+(Salim-Resal)*(1-EXP((Tnet-t)/(Tau_j))))*Salcycl</f>
        <v>4.2081256674676229E-2</v>
      </c>
      <c r="P47" s="169">
        <f>(INDEX(Models!$BJ47:$BT47,,T47)*(1-R47)+INDEX(Models!$BJ47:$BT47,,T47+1)*R47-ERP_i)*Q47*Ramure*Pc/MaxiM</f>
        <v>3.0990627182051416E-4</v>
      </c>
      <c r="Q47" s="305">
        <f t="shared" si="4"/>
        <v>0.7</v>
      </c>
      <c r="R47" s="177">
        <f t="shared" si="5"/>
        <v>0.97694136909197993</v>
      </c>
      <c r="S47" s="921">
        <f t="shared" si="6"/>
        <v>-2</v>
      </c>
      <c r="T47" s="176">
        <f t="shared" si="7"/>
        <v>4</v>
      </c>
      <c r="U47" s="251">
        <f t="shared" si="8"/>
        <v>-1.0230586309080201</v>
      </c>
      <c r="V47" s="383">
        <f t="shared" si="9"/>
        <v>33.384385849451427</v>
      </c>
      <c r="W47" s="402">
        <f t="shared" si="10"/>
        <v>5.2218561532898322</v>
      </c>
      <c r="X47" s="157">
        <f t="shared" si="11"/>
        <v>46420</v>
      </c>
      <c r="Y47" s="385">
        <f t="shared" si="12"/>
        <v>4.9090742398109848</v>
      </c>
      <c r="Z47" s="385">
        <f t="shared" si="22"/>
        <v>5.2628388883532242</v>
      </c>
      <c r="AA47" s="386">
        <f t="shared" si="13"/>
        <v>5.844087479563278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9.9459255742265204E-2</v>
      </c>
      <c r="AD47" s="231">
        <f>(INDEX(Models!$BJ47:$BT47,,AH47)*(1-AF47)+INDEX(Models!$BJ47:$BT47,,AH47+1)*AF47-ERP_i)*AE47*Ramure*Pc/MaxiM</f>
        <v>9.1695743404012799E-3</v>
      </c>
      <c r="AE47" s="305">
        <f t="shared" si="15"/>
        <v>0.7</v>
      </c>
      <c r="AF47" s="177">
        <f t="shared" si="23"/>
        <v>0.50192893546595885</v>
      </c>
      <c r="AG47" s="921">
        <f t="shared" si="24"/>
        <v>2</v>
      </c>
      <c r="AH47" s="176">
        <f t="shared" si="16"/>
        <v>8</v>
      </c>
      <c r="AI47" s="225">
        <f t="shared" si="17"/>
        <v>2.5019289354659588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11.420979762478195</v>
      </c>
      <c r="C48" s="955"/>
      <c r="D48" s="393">
        <f t="shared" si="0"/>
        <v>12.244282734839821</v>
      </c>
      <c r="E48" s="385">
        <f t="shared" si="1"/>
        <v>12.783612419687918</v>
      </c>
      <c r="F48" s="385">
        <f t="shared" si="2"/>
        <v>12.783830861856307</v>
      </c>
      <c r="G48" s="110">
        <f t="shared" si="21"/>
        <v>0.33887734933490182</v>
      </c>
      <c r="H48" s="414" t="b">
        <f>Wh_hp&gt;='2026'!Maxi_hp</f>
        <v>0</v>
      </c>
      <c r="I48" s="390">
        <f>IF(H48,Wh_hp,'2026'!Maxi_hp)</f>
        <v>28.70079034414249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6.7239787759800995E-2</v>
      </c>
      <c r="M48" s="959"/>
      <c r="N48" s="959"/>
      <c r="O48" s="48">
        <f>IF(t&lt;Tnet,'2026'!Resal+('2026'!Salim-'2026'!Resal)*(1-EXP(('2026'!Tnet-t)/('2026'!Tau_j))),Resal+(Salim-Resal)*(1-EXP((Tnet-t)/(Tau_j))))*Salcycl</f>
        <v>4.218914553584871E-2</v>
      </c>
      <c r="P48" s="169">
        <f>(INDEX(Models!$BJ48:$BT48,,T48)*(1-R48)+INDEX(Models!$BJ48:$BT48,,T48+1)*R48-ERP_i)*Q48*Ramure*Pc/MaxiM</f>
        <v>3.0688866150209004E-4</v>
      </c>
      <c r="Q48" s="305">
        <f t="shared" si="4"/>
        <v>0.7</v>
      </c>
      <c r="R48" s="177">
        <f t="shared" si="5"/>
        <v>0.97704935546661309</v>
      </c>
      <c r="S48" s="921">
        <f t="shared" si="6"/>
        <v>-2</v>
      </c>
      <c r="T48" s="176">
        <f t="shared" si="7"/>
        <v>4</v>
      </c>
      <c r="U48" s="251">
        <f t="shared" si="8"/>
        <v>-1.0229506445333869</v>
      </c>
      <c r="V48" s="383">
        <f t="shared" si="9"/>
        <v>33.692632197909624</v>
      </c>
      <c r="W48" s="402">
        <f t="shared" si="10"/>
        <v>11.420979762478195</v>
      </c>
      <c r="X48" s="157">
        <f t="shared" si="11"/>
        <v>46421</v>
      </c>
      <c r="Y48" s="385">
        <f t="shared" si="12"/>
        <v>10.732366253713096</v>
      </c>
      <c r="Z48" s="385">
        <f t="shared" si="22"/>
        <v>11.50602921616618</v>
      </c>
      <c r="AA48" s="386">
        <f t="shared" si="13"/>
        <v>12.777592706759702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9.9515105839993581E-2</v>
      </c>
      <c r="AD48" s="231">
        <f>(INDEX(Models!$BJ48:$BT48,,AH48)*(1-AF48)+INDEX(Models!$BJ48:$BT48,,AH48+1)*AF48-ERP_i)*AE48*Ramure*Pc/MaxiM</f>
        <v>8.7639629378785302E-3</v>
      </c>
      <c r="AE48" s="305">
        <f t="shared" si="15"/>
        <v>0.7</v>
      </c>
      <c r="AF48" s="177">
        <f t="shared" si="23"/>
        <v>0.50203692184059179</v>
      </c>
      <c r="AG48" s="921">
        <f t="shared" si="24"/>
        <v>2</v>
      </c>
      <c r="AH48" s="176">
        <f t="shared" si="16"/>
        <v>8</v>
      </c>
      <c r="AI48" s="225">
        <f t="shared" si="17"/>
        <v>2.5020369218405918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10.952848175881622</v>
      </c>
      <c r="C49" s="955"/>
      <c r="D49" s="393">
        <f t="shared" si="0"/>
        <v>11.742662190012329</v>
      </c>
      <c r="E49" s="385">
        <f t="shared" si="1"/>
        <v>12.261277367135152</v>
      </c>
      <c r="F49" s="385">
        <f t="shared" si="2"/>
        <v>12.26139548902894</v>
      </c>
      <c r="G49" s="110">
        <f t="shared" si="21"/>
        <v>0.32206271821271176</v>
      </c>
      <c r="H49" s="414" t="b">
        <f>Wh_hp&gt;='2026'!Maxi_hp</f>
        <v>0</v>
      </c>
      <c r="I49" s="390">
        <f>IF(H49,Wh_hp,'2026'!Maxi_hp)</f>
        <v>29.923583051666235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6.7260217602315042E-2</v>
      </c>
      <c r="M49" s="959"/>
      <c r="N49" s="959"/>
      <c r="O49" s="48">
        <f>IF(t&lt;Tnet,'2026'!Resal+('2026'!Salim-'2026'!Resal)*(1-EXP(('2026'!Tnet-t)/('2026'!Tau_j))),Resal+(Salim-Resal)*(1-EXP((Tnet-t)/(Tau_j))))*Salcycl</f>
        <v>4.2296994154369924E-2</v>
      </c>
      <c r="P49" s="169">
        <f>(INDEX(Models!$BJ49:$BT49,,T49)*(1-R49)+INDEX(Models!$BJ49:$BT49,,T49+1)*R49-ERP_i)*Q49*Ramure*Pc/MaxiM</f>
        <v>3.0434389991243992E-4</v>
      </c>
      <c r="Q49" s="305">
        <f t="shared" si="4"/>
        <v>0.7</v>
      </c>
      <c r="R49" s="177">
        <f t="shared" si="5"/>
        <v>0.97716182230597903</v>
      </c>
      <c r="S49" s="921">
        <f t="shared" si="6"/>
        <v>-2</v>
      </c>
      <c r="T49" s="176">
        <f t="shared" si="7"/>
        <v>4</v>
      </c>
      <c r="U49" s="251">
        <f t="shared" si="8"/>
        <v>-1.022838177694021</v>
      </c>
      <c r="V49" s="383">
        <f t="shared" si="9"/>
        <v>33.998409653989775</v>
      </c>
      <c r="W49" s="402">
        <f t="shared" si="10"/>
        <v>10.952848175881622</v>
      </c>
      <c r="X49" s="157">
        <f t="shared" si="11"/>
        <v>46422</v>
      </c>
      <c r="Y49" s="385">
        <f t="shared" si="12"/>
        <v>10.295202435262096</v>
      </c>
      <c r="Z49" s="385">
        <f t="shared" si="22"/>
        <v>11.03759336692751</v>
      </c>
      <c r="AA49" s="386">
        <f t="shared" si="13"/>
        <v>12.258150119526871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9.957103973258162E-2</v>
      </c>
      <c r="AD49" s="231">
        <f>(INDEX(Models!$BJ49:$BT49,,AH49)*(1-AF49)+INDEX(Models!$BJ49:$BT49,,AH49+1)*AF49-ERP_i)*AE49*Ramure*Pc/MaxiM</f>
        <v>8.3617725659480991E-3</v>
      </c>
      <c r="AE49" s="305">
        <f t="shared" si="15"/>
        <v>0.7</v>
      </c>
      <c r="AF49" s="177">
        <f t="shared" si="23"/>
        <v>0.50214938867995773</v>
      </c>
      <c r="AG49" s="921">
        <f t="shared" si="24"/>
        <v>2</v>
      </c>
      <c r="AH49" s="176">
        <f t="shared" si="16"/>
        <v>8</v>
      </c>
      <c r="AI49" s="225">
        <f t="shared" si="17"/>
        <v>2.5021493886799577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10.347607612520129</v>
      </c>
      <c r="C50" s="955"/>
      <c r="D50" s="393">
        <f t="shared" si="0"/>
        <v>11.094020488809216</v>
      </c>
      <c r="E50" s="385">
        <f t="shared" si="1"/>
        <v>11.585292498664311</v>
      </c>
      <c r="F50" s="385">
        <f t="shared" si="2"/>
        <v>11.585300871663595</v>
      </c>
      <c r="G50" s="110">
        <f t="shared" si="21"/>
        <v>0.30158273777566991</v>
      </c>
      <c r="H50" s="414" t="b">
        <f>Wh_hp&gt;='2026'!Maxi_hp</f>
        <v>0</v>
      </c>
      <c r="I50" s="390">
        <f>IF(H50,Wh_hp,'2026'!Maxi_hp)</f>
        <v>37.591562892350396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6.7280646997363136E-2</v>
      </c>
      <c r="M50" s="959"/>
      <c r="N50" s="959"/>
      <c r="O50" s="48">
        <f>IF(t&lt;Tnet,'2026'!Resal+('2026'!Salim-'2026'!Resal)*(1-EXP(('2026'!Tnet-t)/('2026'!Tau_j))),Resal+(Salim-Resal)*(1-EXP((Tnet-t)/(Tau_j))))*Salcycl</f>
        <v>4.2404799871193014E-2</v>
      </c>
      <c r="P50" s="169">
        <f>(INDEX(Models!$BJ50:$BT50,,T50)*(1-R50)+INDEX(Models!$BJ50:$BT50,,T50+1)*R50-ERP_i)*Q50*Ramure*Pc/MaxiM</f>
        <v>3.0226826405382119E-4</v>
      </c>
      <c r="Q50" s="305">
        <f t="shared" si="4"/>
        <v>0.7</v>
      </c>
      <c r="R50" s="177">
        <f t="shared" si="5"/>
        <v>0.97727895334675985</v>
      </c>
      <c r="S50" s="921">
        <f t="shared" si="6"/>
        <v>-2</v>
      </c>
      <c r="T50" s="176">
        <f t="shared" si="7"/>
        <v>4</v>
      </c>
      <c r="U50" s="251">
        <f t="shared" si="8"/>
        <v>-1.0227210466532402</v>
      </c>
      <c r="V50" s="383">
        <f t="shared" si="9"/>
        <v>34.300661276759193</v>
      </c>
      <c r="W50" s="402">
        <f t="shared" si="10"/>
        <v>10.347607612520129</v>
      </c>
      <c r="X50" s="157">
        <f t="shared" si="11"/>
        <v>46423</v>
      </c>
      <c r="Y50" s="385">
        <f t="shared" si="12"/>
        <v>9.7290956906011772</v>
      </c>
      <c r="Z50" s="385">
        <f t="shared" si="22"/>
        <v>10.430892914659692</v>
      </c>
      <c r="AA50" s="386">
        <f t="shared" si="13"/>
        <v>11.585080290536077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9.9627050217273652E-2</v>
      </c>
      <c r="AD50" s="231">
        <f>(INDEX(Models!$BJ50:$BT50,,AH50)*(1-AF50)+INDEX(Models!$BJ50:$BT50,,AH50+1)*AF50-ERP_i)*AE50*Ramure*Pc/MaxiM</f>
        <v>7.9630574704745681E-3</v>
      </c>
      <c r="AE50" s="305">
        <f t="shared" si="15"/>
        <v>0.7</v>
      </c>
      <c r="AF50" s="177">
        <f t="shared" si="23"/>
        <v>0.50226651972073855</v>
      </c>
      <c r="AG50" s="921">
        <f t="shared" si="24"/>
        <v>2</v>
      </c>
      <c r="AH50" s="176">
        <f t="shared" si="16"/>
        <v>8</v>
      </c>
      <c r="AI50" s="225">
        <f t="shared" si="17"/>
        <v>2.5022665197207385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22.833453667312206</v>
      </c>
      <c r="C51" s="955"/>
      <c r="D51" s="393">
        <f t="shared" si="0"/>
        <v>24.481055009735002</v>
      </c>
      <c r="E51" s="385">
        <f t="shared" si="1"/>
        <v>25.568016850584844</v>
      </c>
      <c r="F51" s="385">
        <f t="shared" si="2"/>
        <v>25.571969243903922</v>
      </c>
      <c r="G51" s="110">
        <f t="shared" si="21"/>
        <v>0.65979153038804106</v>
      </c>
      <c r="H51" s="414" t="b">
        <f>Wh_hp&gt;='2026'!Maxi_hp</f>
        <v>0</v>
      </c>
      <c r="I51" s="390">
        <f>IF(H51,Wh_hp,'2026'!Maxi_hp)</f>
        <v>39.747861870771352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6.7301075944954936E-2</v>
      </c>
      <c r="M51" s="959"/>
      <c r="N51" s="959"/>
      <c r="O51" s="48">
        <f>IF(t&lt;Tnet,'2026'!Resal+('2026'!Salim-'2026'!Resal)*(1-EXP(('2026'!Tnet-t)/('2026'!Tau_j))),Resal+(Salim-Resal)*(1-EXP((Tnet-t)/(Tau_j))))*Salcycl</f>
        <v>4.2512559624857171E-2</v>
      </c>
      <c r="P51" s="169">
        <f>(INDEX(Models!$BJ51:$BT51,,T51)*(1-R51)+INDEX(Models!$BJ51:$BT51,,T51+1)*R51-ERP_i)*Q51*Ramure*Pc/MaxiM</f>
        <v>3.0062613837109683E-4</v>
      </c>
      <c r="Q51" s="305">
        <f t="shared" si="4"/>
        <v>0.7</v>
      </c>
      <c r="R51" s="177">
        <f t="shared" si="5"/>
        <v>0.97740093967635389</v>
      </c>
      <c r="S51" s="921">
        <f t="shared" si="6"/>
        <v>-2</v>
      </c>
      <c r="T51" s="176">
        <f t="shared" si="7"/>
        <v>4</v>
      </c>
      <c r="U51" s="251">
        <f t="shared" si="8"/>
        <v>-1.0225990603236461</v>
      </c>
      <c r="V51" s="383">
        <f t="shared" si="9"/>
        <v>34.602017298956625</v>
      </c>
      <c r="W51" s="402">
        <f t="shared" si="10"/>
        <v>22.833453667312206</v>
      </c>
      <c r="X51" s="157">
        <f t="shared" si="11"/>
        <v>46424</v>
      </c>
      <c r="Y51" s="385">
        <f t="shared" si="12"/>
        <v>21.389870971171355</v>
      </c>
      <c r="Z51" s="385">
        <f t="shared" si="22"/>
        <v>22.933307222201737</v>
      </c>
      <c r="AA51" s="386">
        <f t="shared" si="13"/>
        <v>25.472484151091095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9.9683129208291005E-2</v>
      </c>
      <c r="AD51" s="231">
        <f>(INDEX(Models!$BJ51:$BT51,,AH51)*(1-AF51)+INDEX(Models!$BJ51:$BT51,,AH51+1)*AF51-ERP_i)*AE51*Ramure*Pc/MaxiM</f>
        <v>7.5670149358453617E-3</v>
      </c>
      <c r="AE51" s="305">
        <f t="shared" si="15"/>
        <v>0.7</v>
      </c>
      <c r="AF51" s="177">
        <f t="shared" si="23"/>
        <v>0.50238850605033303</v>
      </c>
      <c r="AG51" s="921">
        <f t="shared" si="24"/>
        <v>2</v>
      </c>
      <c r="AH51" s="176">
        <f t="shared" si="16"/>
        <v>8</v>
      </c>
      <c r="AI51" s="225">
        <f t="shared" si="17"/>
        <v>2.502388506050333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8.992021637395025</v>
      </c>
      <c r="C52" s="955"/>
      <c r="D52" s="393">
        <f t="shared" si="0"/>
        <v>9.6410731889397727</v>
      </c>
      <c r="E52" s="385">
        <f t="shared" si="1"/>
        <v>10.07027085146011</v>
      </c>
      <c r="F52" s="385">
        <f t="shared" si="2"/>
        <v>10.07027085146011</v>
      </c>
      <c r="G52" s="110">
        <f t="shared" si="21"/>
        <v>0.25753339359198379</v>
      </c>
      <c r="H52" s="414" t="b">
        <f>Wh_hp&gt;='2026'!Maxi_hp</f>
        <v>0</v>
      </c>
      <c r="I52" s="390">
        <f>IF(H52,Wh_hp,'2026'!Maxi_hp)</f>
        <v>25.290736794333089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6.7321504445100433E-2</v>
      </c>
      <c r="M52" s="959"/>
      <c r="N52" s="959"/>
      <c r="O52" s="48">
        <f>IF(t&lt;Tnet,'2026'!Resal+('2026'!Salim-'2026'!Resal)*(1-EXP(('2026'!Tnet-t)/('2026'!Tau_j))),Resal+(Salim-Resal)*(1-EXP((Tnet-t)/(Tau_j))))*Salcycl</f>
        <v>4.2620269985896901E-2</v>
      </c>
      <c r="P52" s="169">
        <f>(INDEX(Models!$BJ52:$BT52,,T52)*(1-R52)+INDEX(Models!$BJ52:$BT52,,T52+1)*R52-ERP_i)*Q52*Ramure*Pc/MaxiM</f>
        <v>2.9944634954447418E-4</v>
      </c>
      <c r="Q52" s="305">
        <f t="shared" si="4"/>
        <v>0.7</v>
      </c>
      <c r="R52" s="177">
        <f t="shared" si="5"/>
        <v>0.97752798001125552</v>
      </c>
      <c r="S52" s="921">
        <f t="shared" si="6"/>
        <v>-2</v>
      </c>
      <c r="T52" s="176">
        <f t="shared" si="7"/>
        <v>4</v>
      </c>
      <c r="U52" s="251">
        <f t="shared" si="8"/>
        <v>-1.0224720199887445</v>
      </c>
      <c r="V52" s="383">
        <f t="shared" si="9"/>
        <v>34.905488891986913</v>
      </c>
      <c r="W52" s="402">
        <f t="shared" si="10"/>
        <v>8.992021637395025</v>
      </c>
      <c r="X52" s="157">
        <f t="shared" si="11"/>
        <v>46425</v>
      </c>
      <c r="Y52" s="385">
        <f t="shared" si="12"/>
        <v>8.4555414421494692</v>
      </c>
      <c r="Z52" s="385">
        <f t="shared" si="22"/>
        <v>9.0658694099286823</v>
      </c>
      <c r="AA52" s="386">
        <f t="shared" si="13"/>
        <v>10.07027085146011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9.9739267825730574E-2</v>
      </c>
      <c r="AD52" s="231">
        <f>(INDEX(Models!$BJ52:$BT52,,AH52)*(1-AF52)+INDEX(Models!$BJ52:$BT52,,AH52+1)*AF52-ERP_i)*AE52*Ramure*Pc/MaxiM</f>
        <v>7.1852412094670515E-3</v>
      </c>
      <c r="AE52" s="305">
        <f t="shared" si="15"/>
        <v>0.7</v>
      </c>
      <c r="AF52" s="177">
        <f t="shared" si="23"/>
        <v>0.50251554638523421</v>
      </c>
      <c r="AG52" s="921">
        <f t="shared" si="24"/>
        <v>2</v>
      </c>
      <c r="AH52" s="176">
        <f t="shared" si="16"/>
        <v>8</v>
      </c>
      <c r="AI52" s="225">
        <f t="shared" si="17"/>
        <v>2.5025155463852342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34.729121829996693</v>
      </c>
      <c r="C53" s="955"/>
      <c r="D53" s="393">
        <f t="shared" si="0"/>
        <v>37.236714118612525</v>
      </c>
      <c r="E53" s="385">
        <f t="shared" si="1"/>
        <v>38.898778285261088</v>
      </c>
      <c r="F53" s="385">
        <f t="shared" si="2"/>
        <v>38.910163524290738</v>
      </c>
      <c r="G53" s="110">
        <f t="shared" si="21"/>
        <v>0.98631987514210251</v>
      </c>
      <c r="H53" s="414" t="b">
        <f>Wh_hp&gt;='2026'!Maxi_hp</f>
        <v>0</v>
      </c>
      <c r="I53" s="390">
        <f>IF(H53,Wh_hp,'2026'!Maxi_hp)</f>
        <v>38.910279591584541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6.7341932497809398E-2</v>
      </c>
      <c r="M53" s="959"/>
      <c r="N53" s="959"/>
      <c r="O53" s="48">
        <f>IF(t&lt;Tnet,'2026'!Resal+('2026'!Salim-'2026'!Resal)*(1-EXP(('2026'!Tnet-t)/('2026'!Tau_j))),Resal+(Salim-Resal)*(1-EXP((Tnet-t)/(Tau_j))))*Salcycl</f>
        <v>4.2727927197608789E-2</v>
      </c>
      <c r="P53" s="169">
        <f>(INDEX(Models!$BJ53:$BT53,,T53)*(1-R53)+INDEX(Models!$BJ53:$BT53,,T53+1)*R53-ERP_i)*Q53*Ramure*Pc/MaxiM</f>
        <v>2.9843305278404809E-4</v>
      </c>
      <c r="Q53" s="305">
        <f t="shared" si="4"/>
        <v>0.7</v>
      </c>
      <c r="R53" s="177">
        <f t="shared" si="5"/>
        <v>0.97766028098462177</v>
      </c>
      <c r="S53" s="921">
        <f t="shared" si="6"/>
        <v>-2</v>
      </c>
      <c r="T53" s="176">
        <f t="shared" si="7"/>
        <v>4</v>
      </c>
      <c r="U53" s="251">
        <f t="shared" si="8"/>
        <v>-1.0223397190153782</v>
      </c>
      <c r="V53" s="383">
        <f t="shared" si="9"/>
        <v>35.210604775316177</v>
      </c>
      <c r="W53" s="402">
        <f t="shared" si="10"/>
        <v>34.729121829996693</v>
      </c>
      <c r="X53" s="157">
        <f t="shared" si="11"/>
        <v>46426</v>
      </c>
      <c r="Y53" s="385">
        <f t="shared" si="12"/>
        <v>32.449573768733131</v>
      </c>
      <c r="Z53" s="385">
        <f t="shared" si="22"/>
        <v>34.792572861818854</v>
      </c>
      <c r="AA53" s="386">
        <f t="shared" si="13"/>
        <v>38.64963036786753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9.9795456498216556E-2</v>
      </c>
      <c r="AD53" s="231">
        <f>(INDEX(Models!$BJ53:$BT53,,AH53)*(1-AF53)+INDEX(Models!$BJ53:$BT53,,AH53+1)*AF53-ERP_i)*AE53*Ramure*Pc/MaxiM</f>
        <v>6.8291675756944068E-3</v>
      </c>
      <c r="AE53" s="305">
        <f t="shared" si="15"/>
        <v>0.7</v>
      </c>
      <c r="AF53" s="177">
        <f t="shared" si="23"/>
        <v>0.50264784735860069</v>
      </c>
      <c r="AG53" s="921">
        <f t="shared" si="24"/>
        <v>2</v>
      </c>
      <c r="AH53" s="176">
        <f t="shared" si="16"/>
        <v>8</v>
      </c>
      <c r="AI53" s="225">
        <f t="shared" si="17"/>
        <v>2.5026478473586007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34.805010320067652</v>
      </c>
      <c r="C54" s="955"/>
      <c r="D54" s="393">
        <f t="shared" si="0"/>
        <v>37.318899464442495</v>
      </c>
      <c r="E54" s="385">
        <f t="shared" si="1"/>
        <v>38.98901445449345</v>
      </c>
      <c r="F54" s="385">
        <f t="shared" si="2"/>
        <v>39.00028808880915</v>
      </c>
      <c r="G54" s="110">
        <f t="shared" si="21"/>
        <v>0.97994840635296343</v>
      </c>
      <c r="H54" s="414" t="b">
        <f>Wh_hp&gt;='2026'!Maxi_hp</f>
        <v>0</v>
      </c>
      <c r="I54" s="390">
        <f>IF(H54,Wh_hp,'2026'!Maxi_hp)</f>
        <v>39.000458100500268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6.736236010309149E-2</v>
      </c>
      <c r="M54" s="959"/>
      <c r="N54" s="959"/>
      <c r="O54" s="48">
        <f>IF(t&lt;Tnet,'2026'!Resal+('2026'!Salim-'2026'!Resal)*(1-EXP(('2026'!Tnet-t)/('2026'!Tau_j))),Resal+(Salim-Resal)*(1-EXP((Tnet-t)/(Tau_j))))*Salcycl</f>
        <v>4.2835527222680879E-2</v>
      </c>
      <c r="P54" s="169">
        <f>(INDEX(Models!$BJ54:$BT54,,T54)*(1-R54)+INDEX(Models!$BJ54:$BT54,,T54+1)*R54-ERP_i)*Q54*Ramure*Pc/MaxiM</f>
        <v>2.9758625861927847E-4</v>
      </c>
      <c r="Q54" s="305">
        <f t="shared" si="4"/>
        <v>0.7</v>
      </c>
      <c r="R54" s="177">
        <f t="shared" si="5"/>
        <v>0.9777980574432128</v>
      </c>
      <c r="S54" s="921">
        <f t="shared" si="6"/>
        <v>-2</v>
      </c>
      <c r="T54" s="176">
        <f t="shared" si="7"/>
        <v>4</v>
      </c>
      <c r="U54" s="251">
        <f t="shared" si="8"/>
        <v>-1.0222019425567872</v>
      </c>
      <c r="V54" s="383">
        <f t="shared" si="9"/>
        <v>35.516883787449999</v>
      </c>
      <c r="W54" s="402">
        <f t="shared" si="10"/>
        <v>34.805010320067652</v>
      </c>
      <c r="X54" s="157">
        <f t="shared" si="11"/>
        <v>46427</v>
      </c>
      <c r="Y54" s="385">
        <f t="shared" si="12"/>
        <v>32.534548999462316</v>
      </c>
      <c r="Z54" s="385">
        <f t="shared" si="22"/>
        <v>34.88444772940818</v>
      </c>
      <c r="AA54" s="386">
        <f t="shared" si="13"/>
        <v>38.754111018282529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9.9851685077973068E-2</v>
      </c>
      <c r="AD54" s="231">
        <f>(INDEX(Models!$BJ54:$BT54,,AH54)*(1-AF54)+INDEX(Models!$BJ54:$BT54,,AH54+1)*AF54-ERP_i)*AE54*Ramure*Pc/MaxiM</f>
        <v>6.4982517016578508E-3</v>
      </c>
      <c r="AE54" s="305">
        <f t="shared" si="15"/>
        <v>0.7</v>
      </c>
      <c r="AF54" s="177">
        <f t="shared" si="23"/>
        <v>0.50278562381719194</v>
      </c>
      <c r="AG54" s="921">
        <f t="shared" si="24"/>
        <v>2</v>
      </c>
      <c r="AH54" s="176">
        <f t="shared" si="16"/>
        <v>8</v>
      </c>
      <c r="AI54" s="225">
        <f t="shared" si="17"/>
        <v>2.5027856238171919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32.337591178912241</v>
      </c>
      <c r="C55" s="955"/>
      <c r="D55" s="393">
        <f t="shared" si="0"/>
        <v>34.67402352990954</v>
      </c>
      <c r="E55" s="385">
        <f t="shared" si="1"/>
        <v>36.229844109240204</v>
      </c>
      <c r="F55" s="385">
        <f t="shared" si="2"/>
        <v>36.23910787412359</v>
      </c>
      <c r="G55" s="110">
        <f t="shared" si="21"/>
        <v>0.90264615661253378</v>
      </c>
      <c r="H55" s="414" t="b">
        <f>Wh_hp&gt;='2026'!Maxi_hp</f>
        <v>0</v>
      </c>
      <c r="I55" s="390">
        <f>IF(H55,Wh_hp,'2026'!Maxi_hp)</f>
        <v>36.239873016342578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6.73827872609567E-2</v>
      </c>
      <c r="M55" s="959"/>
      <c r="N55" s="959"/>
      <c r="O55" s="48">
        <f>IF(t&lt;Tnet,'2026'!Resal+('2026'!Salim-'2026'!Resal)*(1-EXP(('2026'!Tnet-t)/('2026'!Tau_j))),Resal+(Salim-Resal)*(1-EXP((Tnet-t)/(Tau_j))))*Salcycl</f>
        <v>4.2943065795137229E-2</v>
      </c>
      <c r="P55" s="169">
        <f>(INDEX(Models!$BJ55:$BT55,,T55)*(1-R55)+INDEX(Models!$BJ55:$BT55,,T55+1)*R55-ERP_i)*Q55*Ramure*Pc/MaxiM</f>
        <v>2.9690589312738371E-4</v>
      </c>
      <c r="Q55" s="305">
        <f t="shared" si="4"/>
        <v>0.7</v>
      </c>
      <c r="R55" s="177">
        <f t="shared" si="5"/>
        <v>0.97794153275387541</v>
      </c>
      <c r="S55" s="921">
        <f t="shared" si="6"/>
        <v>-2</v>
      </c>
      <c r="T55" s="176">
        <f t="shared" si="7"/>
        <v>4</v>
      </c>
      <c r="U55" s="251">
        <f t="shared" si="8"/>
        <v>-1.0220584672461246</v>
      </c>
      <c r="V55" s="383">
        <f t="shared" si="9"/>
        <v>35.82384504008045</v>
      </c>
      <c r="W55" s="402">
        <f t="shared" si="10"/>
        <v>32.337591178912241</v>
      </c>
      <c r="X55" s="157">
        <f t="shared" si="11"/>
        <v>46428</v>
      </c>
      <c r="Y55" s="385">
        <f t="shared" si="12"/>
        <v>30.258429583065713</v>
      </c>
      <c r="Z55" s="385">
        <f t="shared" si="22"/>
        <v>32.444639847680314</v>
      </c>
      <c r="AA55" s="386">
        <f t="shared" si="13"/>
        <v>36.045912853207817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9.9907942966882435E-2</v>
      </c>
      <c r="AD55" s="231">
        <f>(INDEX(Models!$BJ55:$BT55,,AH55)*(1-AF55)+INDEX(Models!$BJ55:$BT55,,AH55+1)*AF55-ERP_i)*AE55*Ramure*Pc/MaxiM</f>
        <v>6.1919468979211708E-3</v>
      </c>
      <c r="AE55" s="305">
        <f t="shared" si="15"/>
        <v>0.7</v>
      </c>
      <c r="AF55" s="177">
        <f t="shared" si="23"/>
        <v>0.50292909912785433</v>
      </c>
      <c r="AG55" s="921">
        <f t="shared" si="24"/>
        <v>2</v>
      </c>
      <c r="AH55" s="176">
        <f t="shared" si="16"/>
        <v>8</v>
      </c>
      <c r="AI55" s="225">
        <f t="shared" si="17"/>
        <v>2.5029290991278543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16.278044724316377</v>
      </c>
      <c r="C56" s="955"/>
      <c r="D56" s="393">
        <f t="shared" si="0"/>
        <v>17.454536588781931</v>
      </c>
      <c r="E56" s="385">
        <f t="shared" si="1"/>
        <v>18.239768441901624</v>
      </c>
      <c r="F56" s="385">
        <f t="shared" si="2"/>
        <v>18.24093105067772</v>
      </c>
      <c r="G56" s="110">
        <f t="shared" si="21"/>
        <v>0.45042356260229671</v>
      </c>
      <c r="H56" s="414" t="b">
        <f>Wh_hp&gt;='2026'!Maxi_hp</f>
        <v>0</v>
      </c>
      <c r="I56" s="390">
        <f>IF(H56,Wh_hp,'2026'!Maxi_hp)</f>
        <v>32.069160070810902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6.7403213971414577E-2</v>
      </c>
      <c r="M56" s="959"/>
      <c r="N56" s="959"/>
      <c r="O56" s="48">
        <f>IF(t&lt;Tnet,'2026'!Resal+('2026'!Salim-'2026'!Resal)*(1-EXP(('2026'!Tnet-t)/('2026'!Tau_j))),Resal+(Salim-Resal)*(1-EXP((Tnet-t)/(Tau_j))))*Salcycl</f>
        <v>4.3050538477002159E-2</v>
      </c>
      <c r="P56" s="169">
        <f>(INDEX(Models!$BJ56:$BT56,,T56)*(1-R56)+INDEX(Models!$BJ56:$BT56,,T56+1)*R56-ERP_i)*Q56*Ramure*Pc/MaxiM</f>
        <v>2.9639182894048246E-4</v>
      </c>
      <c r="Q56" s="305">
        <f t="shared" si="4"/>
        <v>0.7</v>
      </c>
      <c r="R56" s="177">
        <f t="shared" si="5"/>
        <v>0.97809093911973655</v>
      </c>
      <c r="S56" s="921">
        <f t="shared" si="6"/>
        <v>-2</v>
      </c>
      <c r="T56" s="176">
        <f t="shared" si="7"/>
        <v>4</v>
      </c>
      <c r="U56" s="251">
        <f t="shared" si="8"/>
        <v>-1.0219090608802635</v>
      </c>
      <c r="V56" s="383">
        <f t="shared" si="9"/>
        <v>36.131007914387673</v>
      </c>
      <c r="W56" s="402">
        <f t="shared" si="10"/>
        <v>16.278044724316377</v>
      </c>
      <c r="X56" s="157">
        <f t="shared" si="11"/>
        <v>46429</v>
      </c>
      <c r="Y56" s="385">
        <f t="shared" si="12"/>
        <v>15.291441491639304</v>
      </c>
      <c r="Z56" s="385">
        <f t="shared" si="22"/>
        <v>16.396626838869032</v>
      </c>
      <c r="AA56" s="386">
        <f t="shared" si="13"/>
        <v>18.217749993497268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9.9964219252008366E-2</v>
      </c>
      <c r="AD56" s="231">
        <f>(INDEX(Models!$BJ56:$BT56,,AH56)*(1-AF56)+INDEX(Models!$BJ56:$BT56,,AH56+1)*AF56-ERP_i)*AE56*Ramure*Pc/MaxiM</f>
        <v>5.9097058922735913E-3</v>
      </c>
      <c r="AE56" s="305">
        <f t="shared" si="15"/>
        <v>0.7</v>
      </c>
      <c r="AF56" s="177">
        <f t="shared" si="23"/>
        <v>0.50307850549371569</v>
      </c>
      <c r="AG56" s="921">
        <f t="shared" si="24"/>
        <v>2</v>
      </c>
      <c r="AH56" s="176">
        <f t="shared" si="16"/>
        <v>8</v>
      </c>
      <c r="AI56" s="225">
        <f t="shared" si="17"/>
        <v>2.5030785054937157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27.073121417471757</v>
      </c>
      <c r="C57" s="955"/>
      <c r="D57" s="393">
        <f t="shared" si="0"/>
        <v>29.03046075956577</v>
      </c>
      <c r="E57" s="385">
        <f t="shared" si="1"/>
        <v>30.33986693831336</v>
      </c>
      <c r="F57" s="385">
        <f t="shared" si="2"/>
        <v>30.345552202069932</v>
      </c>
      <c r="G57" s="110">
        <f t="shared" si="21"/>
        <v>0.74291284907577138</v>
      </c>
      <c r="H57" s="414" t="b">
        <f>Wh_hp&gt;='2026'!Maxi_hp</f>
        <v>0</v>
      </c>
      <c r="I57" s="390">
        <f>IF(H57,Wh_hp,'2026'!Maxi_hp)</f>
        <v>40.986650074876621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6.7423640234475224E-2</v>
      </c>
      <c r="M57" s="959"/>
      <c r="N57" s="959"/>
      <c r="O57" s="48">
        <f>IF(t&lt;Tnet,'2026'!Resal+('2026'!Salim-'2026'!Resal)*(1-EXP(('2026'!Tnet-t)/('2026'!Tau_j))),Resal+(Salim-Resal)*(1-EXP((Tnet-t)/(Tau_j))))*Salcycl</f>
        <v>4.315794071904986E-2</v>
      </c>
      <c r="P57" s="169">
        <f>(INDEX(Models!$BJ57:$BT57,,T57)*(1-R57)+INDEX(Models!$BJ57:$BT57,,T57+1)*R57-ERP_i)*Q57*Ramure*Pc/MaxiM</f>
        <v>2.9604391505023351E-4</v>
      </c>
      <c r="Q57" s="305">
        <f t="shared" si="4"/>
        <v>0.7</v>
      </c>
      <c r="R57" s="177">
        <f t="shared" si="5"/>
        <v>0.97824651790625938</v>
      </c>
      <c r="S57" s="921">
        <f t="shared" si="6"/>
        <v>-2</v>
      </c>
      <c r="T57" s="176">
        <f t="shared" si="7"/>
        <v>4</v>
      </c>
      <c r="U57" s="251">
        <f t="shared" si="8"/>
        <v>-1.0217534820937406</v>
      </c>
      <c r="V57" s="383">
        <f t="shared" si="9"/>
        <v>36.437892059721086</v>
      </c>
      <c r="W57" s="402">
        <f t="shared" si="10"/>
        <v>27.073121417471757</v>
      </c>
      <c r="X57" s="157">
        <f t="shared" si="11"/>
        <v>46430</v>
      </c>
      <c r="Y57" s="385">
        <f t="shared" si="12"/>
        <v>25.377927289382193</v>
      </c>
      <c r="Z57" s="385">
        <f t="shared" si="22"/>
        <v>27.212707060001925</v>
      </c>
      <c r="AA57" s="386">
        <f t="shared" si="13"/>
        <v>30.237030005846922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0.10002050284899622</v>
      </c>
      <c r="AD57" s="231">
        <f>(INDEX(Models!$BJ57:$BT57,,AH57)*(1-AF57)+INDEX(Models!$BJ57:$BT57,,AH57+1)*AF57-ERP_i)*AE57*Ramure*Pc/MaxiM</f>
        <v>5.6509842313980842E-3</v>
      </c>
      <c r="AE57" s="305">
        <f t="shared" si="15"/>
        <v>0.7</v>
      </c>
      <c r="AF57" s="177">
        <f t="shared" si="23"/>
        <v>0.5032340842802383</v>
      </c>
      <c r="AG57" s="921">
        <f t="shared" si="24"/>
        <v>2</v>
      </c>
      <c r="AH57" s="176">
        <f t="shared" si="16"/>
        <v>8</v>
      </c>
      <c r="AI57" s="225">
        <f t="shared" si="17"/>
        <v>2.5032340842802383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33.083393911379311</v>
      </c>
      <c r="C58" s="955"/>
      <c r="D58" s="393">
        <f t="shared" si="0"/>
        <v>35.476042462412096</v>
      </c>
      <c r="E58" s="385">
        <f t="shared" si="1"/>
        <v>37.080333004603446</v>
      </c>
      <c r="F58" s="385">
        <f t="shared" si="2"/>
        <v>37.089747851823368</v>
      </c>
      <c r="G58" s="110">
        <f t="shared" si="21"/>
        <v>0.90033713415923766</v>
      </c>
      <c r="H58" s="414" t="b">
        <f>Wh_hp&gt;='2026'!Maxi_hp</f>
        <v>0</v>
      </c>
      <c r="I58" s="390">
        <f>IF(H58,Wh_hp,'2026'!Maxi_hp)</f>
        <v>42.930559585857665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6.7444066050148188E-2</v>
      </c>
      <c r="M58" s="959"/>
      <c r="N58" s="959"/>
      <c r="O58" s="48">
        <f>IF(t&lt;Tnet,'2026'!Resal+('2026'!Salim-'2026'!Resal)*(1-EXP(('2026'!Tnet-t)/('2026'!Tau_j))),Resal+(Salim-Resal)*(1-EXP((Tnet-t)/(Tau_j))))*Salcycl</f>
        <v>4.3265267924972151E-2</v>
      </c>
      <c r="P58" s="169">
        <f>(INDEX(Models!$BJ58:$BT58,,T58)*(1-R58)+INDEX(Models!$BJ58:$BT58,,T58+1)*R58-ERP_i)*Q58*Ramure*Pc/MaxiM</f>
        <v>2.9596120470605952E-4</v>
      </c>
      <c r="Q58" s="305">
        <f t="shared" si="4"/>
        <v>0.7</v>
      </c>
      <c r="R58" s="177">
        <f t="shared" si="5"/>
        <v>0.9784085199772985</v>
      </c>
      <c r="S58" s="921">
        <f t="shared" si="6"/>
        <v>-2</v>
      </c>
      <c r="T58" s="176">
        <f t="shared" si="7"/>
        <v>4</v>
      </c>
      <c r="U58" s="251">
        <f t="shared" si="8"/>
        <v>-1.0215914800227015</v>
      </c>
      <c r="V58" s="383">
        <f t="shared" si="9"/>
        <v>36.744013744608246</v>
      </c>
      <c r="W58" s="402">
        <f t="shared" si="10"/>
        <v>33.083393911379311</v>
      </c>
      <c r="X58" s="157">
        <f t="shared" si="11"/>
        <v>46431</v>
      </c>
      <c r="Y58" s="385">
        <f t="shared" si="12"/>
        <v>30.982043217566655</v>
      </c>
      <c r="Z58" s="385">
        <f t="shared" si="22"/>
        <v>33.222718433994451</v>
      </c>
      <c r="AA58" s="386">
        <f t="shared" si="13"/>
        <v>36.917281156372951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0.10007678265171252</v>
      </c>
      <c r="AD58" s="231">
        <f>(INDEX(Models!$BJ58:$BT58,,AH58)*(1-AF58)+INDEX(Models!$BJ58:$BT58,,AH58+1)*AF58-ERP_i)*AE58*Ramure*Pc/MaxiM</f>
        <v>5.4215910003472447E-3</v>
      </c>
      <c r="AE58" s="305">
        <f t="shared" si="15"/>
        <v>0.7</v>
      </c>
      <c r="AF58" s="177">
        <f t="shared" si="23"/>
        <v>0.50339608635127764</v>
      </c>
      <c r="AG58" s="921">
        <f t="shared" si="24"/>
        <v>2</v>
      </c>
      <c r="AH58" s="176">
        <f t="shared" si="16"/>
        <v>8</v>
      </c>
      <c r="AI58" s="225">
        <f t="shared" si="17"/>
        <v>2.5033960863512776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18.352479537148145</v>
      </c>
      <c r="C59" s="955"/>
      <c r="D59" s="393">
        <f t="shared" si="0"/>
        <v>19.680193803090017</v>
      </c>
      <c r="E59" s="385">
        <f t="shared" si="1"/>
        <v>20.572473739610523</v>
      </c>
      <c r="F59" s="385">
        <f t="shared" si="2"/>
        <v>20.574173662973365</v>
      </c>
      <c r="G59" s="110">
        <f t="shared" si="21"/>
        <v>0.49525259973225877</v>
      </c>
      <c r="H59" s="414" t="b">
        <f>Wh_hp&gt;='2026'!Maxi_hp</f>
        <v>0</v>
      </c>
      <c r="I59" s="390">
        <f>IF(H59,Wh_hp,'2026'!Maxi_hp)</f>
        <v>42.898613753230741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6.7464491418443462E-2</v>
      </c>
      <c r="M59" s="959"/>
      <c r="N59" s="959"/>
      <c r="O59" s="48">
        <f>IF(t&lt;Tnet,'2026'!Resal+('2026'!Salim-'2026'!Resal)*(1-EXP(('2026'!Tnet-t)/('2026'!Tau_j))),Resal+(Salim-Resal)*(1-EXP((Tnet-t)/(Tau_j))))*Salcycl</f>
        <v>4.3372515518272238E-2</v>
      </c>
      <c r="P59" s="169">
        <f>(INDEX(Models!$BJ59:$BT59,,T59)*(1-R59)+INDEX(Models!$BJ59:$BT59,,T59+1)*R59-ERP_i)*Q59*Ramure*Pc/MaxiM</f>
        <v>2.9605543589164514E-4</v>
      </c>
      <c r="Q59" s="305">
        <f t="shared" si="4"/>
        <v>0.7</v>
      </c>
      <c r="R59" s="177">
        <f t="shared" si="5"/>
        <v>0.97857720604128029</v>
      </c>
      <c r="S59" s="921">
        <f t="shared" si="6"/>
        <v>-2</v>
      </c>
      <c r="T59" s="176">
        <f t="shared" si="7"/>
        <v>4</v>
      </c>
      <c r="U59" s="251">
        <f t="shared" si="8"/>
        <v>-1.0214227939587197</v>
      </c>
      <c r="V59" s="383">
        <f t="shared" si="9"/>
        <v>37.048896320533323</v>
      </c>
      <c r="W59" s="402">
        <f t="shared" si="10"/>
        <v>18.352479537148145</v>
      </c>
      <c r="X59" s="157">
        <f t="shared" si="11"/>
        <v>46432</v>
      </c>
      <c r="Y59" s="385">
        <f t="shared" si="12"/>
        <v>17.239856697899587</v>
      </c>
      <c r="Z59" s="385">
        <f t="shared" si="22"/>
        <v>18.487078013921916</v>
      </c>
      <c r="AA59" s="386">
        <f t="shared" si="13"/>
        <v>20.544234863156024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0.10013304768645384</v>
      </c>
      <c r="AD59" s="231">
        <f>(INDEX(Models!$BJ59:$BT59,,AH59)*(1-AF59)+INDEX(Models!$BJ59:$BT59,,AH59+1)*AF59-ERP_i)*AE59*Ramure*Pc/MaxiM</f>
        <v>5.2140847191936039E-3</v>
      </c>
      <c r="AE59" s="305">
        <f t="shared" si="15"/>
        <v>0.7</v>
      </c>
      <c r="AF59" s="177">
        <f t="shared" si="23"/>
        <v>0.50356477241525921</v>
      </c>
      <c r="AG59" s="921">
        <f t="shared" si="24"/>
        <v>2</v>
      </c>
      <c r="AH59" s="176">
        <f t="shared" si="16"/>
        <v>8</v>
      </c>
      <c r="AI59" s="225">
        <f t="shared" si="17"/>
        <v>2.5035647724152592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18.085056063606448</v>
      </c>
      <c r="C60" s="955"/>
      <c r="D60" s="393">
        <f t="shared" si="0"/>
        <v>19.393848293169434</v>
      </c>
      <c r="E60" s="385">
        <f t="shared" si="1"/>
        <v>20.275416912335547</v>
      </c>
      <c r="F60" s="385">
        <f t="shared" si="2"/>
        <v>20.276997848115101</v>
      </c>
      <c r="G60" s="110">
        <f t="shared" si="21"/>
        <v>0.48407254130530214</v>
      </c>
      <c r="H60" s="414" t="b">
        <f>Wh_hp&gt;='2026'!Maxi_hp</f>
        <v>0</v>
      </c>
      <c r="I60" s="390">
        <f>IF(H60,Wh_hp,'2026'!Maxi_hp)</f>
        <v>43.307632323541206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6.7484916339370704E-2</v>
      </c>
      <c r="M60" s="959"/>
      <c r="N60" s="959"/>
      <c r="O60" s="48">
        <f>IF(t&lt;Tnet,'2026'!Resal+('2026'!Salim-'2026'!Resal)*(1-EXP(('2026'!Tnet-t)/('2026'!Tau_j))),Resal+(Salim-Resal)*(1-EXP((Tnet-t)/(Tau_j))))*Salcycl</f>
        <v>4.3479679011175817E-2</v>
      </c>
      <c r="P60" s="169">
        <f>(INDEX(Models!$BJ60:$BT60,,T60)*(1-R60)+INDEX(Models!$BJ60:$BT60,,T60+1)*R60-ERP_i)*Q60*Ramure*Pc/MaxiM</f>
        <v>2.9632631049304579E-4</v>
      </c>
      <c r="Q60" s="305">
        <f t="shared" si="4"/>
        <v>0.7</v>
      </c>
      <c r="R60" s="177">
        <f t="shared" si="5"/>
        <v>0.97875284700761078</v>
      </c>
      <c r="S60" s="921">
        <f t="shared" si="6"/>
        <v>-2</v>
      </c>
      <c r="T60" s="176">
        <f t="shared" si="7"/>
        <v>4</v>
      </c>
      <c r="U60" s="251">
        <f t="shared" si="8"/>
        <v>-1.0212471529923892</v>
      </c>
      <c r="V60" s="383">
        <f t="shared" si="9"/>
        <v>37.35206022169033</v>
      </c>
      <c r="W60" s="402">
        <f t="shared" si="10"/>
        <v>18.085056063606448</v>
      </c>
      <c r="X60" s="157">
        <f t="shared" si="11"/>
        <v>46433</v>
      </c>
      <c r="Y60" s="385">
        <f t="shared" si="12"/>
        <v>16.991658194443421</v>
      </c>
      <c r="Z60" s="385">
        <f t="shared" si="22"/>
        <v>18.22132262755677</v>
      </c>
      <c r="AA60" s="386">
        <f t="shared" si="13"/>
        <v>20.250173030563758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0.10018928726904344</v>
      </c>
      <c r="AD60" s="231">
        <f>(INDEX(Models!$BJ60:$BT60,,AH60)*(1-AF60)+INDEX(Models!$BJ60:$BT60,,AH60+1)*AF60-ERP_i)*AE60*Ramure*Pc/MaxiM</f>
        <v>5.0279709760816761E-3</v>
      </c>
      <c r="AE60" s="305">
        <f t="shared" si="15"/>
        <v>0.7</v>
      </c>
      <c r="AF60" s="177">
        <f t="shared" si="23"/>
        <v>0.50374041338158948</v>
      </c>
      <c r="AG60" s="921">
        <f t="shared" si="24"/>
        <v>2</v>
      </c>
      <c r="AH60" s="176">
        <f t="shared" si="16"/>
        <v>8</v>
      </c>
      <c r="AI60" s="225">
        <f t="shared" si="17"/>
        <v>2.5037404133815895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7.8655166176790239</v>
      </c>
      <c r="C61" s="955"/>
      <c r="D61" s="393">
        <f t="shared" si="0"/>
        <v>8.4349186777499661</v>
      </c>
      <c r="E61" s="385">
        <f t="shared" si="1"/>
        <v>8.8193244015464138</v>
      </c>
      <c r="F61" s="385">
        <f t="shared" si="2"/>
        <v>8.8193244015464138</v>
      </c>
      <c r="G61" s="110">
        <f t="shared" si="21"/>
        <v>0.20883267950825049</v>
      </c>
      <c r="H61" s="414" t="b">
        <f>Wh_hp&gt;='2026'!Maxi_hp</f>
        <v>0</v>
      </c>
      <c r="I61" s="390">
        <f>IF(H61,Wh_hp,'2026'!Maxi_hp)</f>
        <v>43.625435149292962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6.7505340812939685E-2</v>
      </c>
      <c r="M61" s="959"/>
      <c r="N61" s="959"/>
      <c r="O61" s="48">
        <f>IF(t&lt;Tnet,'2026'!Resal+('2026'!Salim-'2026'!Resal)*(1-EXP(('2026'!Tnet-t)/('2026'!Tau_j))),Resal+(Salim-Resal)*(1-EXP((Tnet-t)/(Tau_j))))*Salcycl</f>
        <v>4.3586754074840896E-2</v>
      </c>
      <c r="P61" s="169">
        <f>(INDEX(Models!$BJ61:$BT61,,T61)*(1-R61)+INDEX(Models!$BJ61:$BT61,,T61+1)*R61-ERP_i)*Q61*Ramure*Pc/MaxiM</f>
        <v>2.9677363346918624E-4</v>
      </c>
      <c r="Q61" s="305">
        <f t="shared" si="4"/>
        <v>0.7</v>
      </c>
      <c r="R61" s="177">
        <f t="shared" si="5"/>
        <v>0.97893572435339871</v>
      </c>
      <c r="S61" s="921">
        <f t="shared" si="6"/>
        <v>-2</v>
      </c>
      <c r="T61" s="176">
        <f t="shared" si="7"/>
        <v>4</v>
      </c>
      <c r="U61" s="251">
        <f t="shared" si="8"/>
        <v>-1.0210642756466013</v>
      </c>
      <c r="V61" s="383">
        <f t="shared" si="9"/>
        <v>37.653026136757624</v>
      </c>
      <c r="W61" s="402">
        <f t="shared" si="10"/>
        <v>7.8655166176790239</v>
      </c>
      <c r="X61" s="157">
        <f t="shared" si="11"/>
        <v>46434</v>
      </c>
      <c r="Y61" s="385">
        <f t="shared" si="12"/>
        <v>7.3995566991987971</v>
      </c>
      <c r="Z61" s="385">
        <f t="shared" si="22"/>
        <v>7.9352268951863572</v>
      </c>
      <c r="AA61" s="386">
        <f t="shared" si="13"/>
        <v>8.8193244015464138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0.10024549116313665</v>
      </c>
      <c r="AD61" s="231">
        <f>(INDEX(Models!$BJ61:$BT61,,AH61)*(1-AF61)+INDEX(Models!$BJ61:$BT61,,AH61+1)*AF61-ERP_i)*AE61*Ramure*Pc/MaxiM</f>
        <v>4.8627687184037288E-3</v>
      </c>
      <c r="AE61" s="305">
        <f t="shared" si="15"/>
        <v>0.7</v>
      </c>
      <c r="AF61" s="177">
        <f t="shared" si="23"/>
        <v>0.50392329072737763</v>
      </c>
      <c r="AG61" s="921">
        <f t="shared" si="24"/>
        <v>2</v>
      </c>
      <c r="AH61" s="176">
        <f t="shared" si="16"/>
        <v>8</v>
      </c>
      <c r="AI61" s="225">
        <f t="shared" si="17"/>
        <v>2.5039232907273776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9.191403347678694</v>
      </c>
      <c r="C62" s="955"/>
      <c r="D62" s="393">
        <f t="shared" si="0"/>
        <v>9.8570051601407496</v>
      </c>
      <c r="E62" s="385">
        <f t="shared" si="1"/>
        <v>10.307372792059596</v>
      </c>
      <c r="F62" s="385">
        <f t="shared" si="2"/>
        <v>10.307372792059596</v>
      </c>
      <c r="G62" s="110">
        <f t="shared" si="21"/>
        <v>0.24211729811727262</v>
      </c>
      <c r="H62" s="414" t="b">
        <f>Wh_hp&gt;='2026'!Maxi_hp</f>
        <v>0</v>
      </c>
      <c r="I62" s="390">
        <f>IF(H62,Wh_hp,'2026'!Maxi_hp)</f>
        <v>44.343925318135149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6.7525764839160396E-2</v>
      </c>
      <c r="M62" s="959"/>
      <c r="N62" s="959"/>
      <c r="O62" s="48">
        <f>IF(t&lt;Tnet,'2026'!Resal+('2026'!Salim-'2026'!Resal)*(1-EXP(('2026'!Tnet-t)/('2026'!Tau_j))),Resal+(Salim-Resal)*(1-EXP((Tnet-t)/(Tau_j))))*Salcycl</f>
        <v>4.369373661014684E-2</v>
      </c>
      <c r="P62" s="169">
        <f>(INDEX(Models!$BJ62:$BT62,,T62)*(1-R62)+INDEX(Models!$BJ62:$BT62,,T62+1)*R62-ERP_i)*Q62*Ramure*Pc/MaxiM</f>
        <v>2.9739733846037179E-4</v>
      </c>
      <c r="Q62" s="305">
        <f t="shared" si="4"/>
        <v>0.7</v>
      </c>
      <c r="R62" s="177">
        <f t="shared" si="5"/>
        <v>0.97912613050055519</v>
      </c>
      <c r="S62" s="921">
        <f t="shared" si="6"/>
        <v>-2</v>
      </c>
      <c r="T62" s="176">
        <f t="shared" si="7"/>
        <v>4</v>
      </c>
      <c r="U62" s="251">
        <f t="shared" si="8"/>
        <v>-1.0208738694994448</v>
      </c>
      <c r="V62" s="383">
        <f t="shared" si="9"/>
        <v>37.951315004084222</v>
      </c>
      <c r="W62" s="402">
        <f t="shared" si="10"/>
        <v>9.191403347678694</v>
      </c>
      <c r="X62" s="157">
        <f t="shared" si="11"/>
        <v>46435</v>
      </c>
      <c r="Y62" s="385">
        <f t="shared" si="12"/>
        <v>8.6473243406199742</v>
      </c>
      <c r="Z62" s="385">
        <f t="shared" si="22"/>
        <v>9.2735262965506209</v>
      </c>
      <c r="AA62" s="386">
        <f t="shared" si="13"/>
        <v>10.307372792059596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0.10030164973807981</v>
      </c>
      <c r="AD62" s="231">
        <f>(INDEX(Models!$BJ62:$BT62,,AH62)*(1-AF62)+INDEX(Models!$BJ62:$BT62,,AH62+1)*AF62-ERP_i)*AE62*Ramure*Pc/MaxiM</f>
        <v>4.7180122066757604E-3</v>
      </c>
      <c r="AE62" s="305">
        <f t="shared" si="15"/>
        <v>0.7</v>
      </c>
      <c r="AF62" s="177">
        <f t="shared" si="23"/>
        <v>0.50411369687453389</v>
      </c>
      <c r="AG62" s="921">
        <f t="shared" si="24"/>
        <v>2</v>
      </c>
      <c r="AH62" s="176">
        <f t="shared" si="16"/>
        <v>8</v>
      </c>
      <c r="AI62" s="225">
        <f t="shared" si="17"/>
        <v>2.5041136968745339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30.123055920668484</v>
      </c>
      <c r="C63" s="955"/>
      <c r="D63" s="393">
        <f t="shared" si="0"/>
        <v>32.305145355739512</v>
      </c>
      <c r="E63" s="385">
        <f t="shared" si="1"/>
        <v>33.784947079716034</v>
      </c>
      <c r="F63" s="385">
        <f t="shared" si="2"/>
        <v>33.791966265062307</v>
      </c>
      <c r="G63" s="110">
        <f t="shared" si="21"/>
        <v>0.7875327354376106</v>
      </c>
      <c r="H63" s="414" t="b">
        <f>Wh_hp&gt;='2026'!Maxi_hp</f>
        <v>0</v>
      </c>
      <c r="I63" s="390">
        <f>IF(H63,Wh_hp,'2026'!Maxi_hp)</f>
        <v>43.682090944826165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6.7546188418042385E-2</v>
      </c>
      <c r="M63" s="959"/>
      <c r="N63" s="959"/>
      <c r="O63" s="48">
        <f>IF(t&lt;Tnet,'2026'!Resal+('2026'!Salim-'2026'!Resal)*(1-EXP(('2026'!Tnet-t)/('2026'!Tau_j))),Resal+(Salim-Resal)*(1-EXP((Tnet-t)/(Tau_j))))*Salcycl</f>
        <v>4.3800622818348893E-2</v>
      </c>
      <c r="P63" s="169">
        <f>(INDEX(Models!$BJ63:$BT63,,T63)*(1-R63)+INDEX(Models!$BJ63:$BT63,,T63+1)*R63-ERP_i)*Q63*Ramure*Pc/MaxiM</f>
        <v>2.9819751267032795E-4</v>
      </c>
      <c r="Q63" s="305">
        <f t="shared" si="4"/>
        <v>0.7</v>
      </c>
      <c r="R63" s="177">
        <f t="shared" si="5"/>
        <v>0.97932436920330335</v>
      </c>
      <c r="S63" s="921">
        <f t="shared" si="6"/>
        <v>-2</v>
      </c>
      <c r="T63" s="176">
        <f t="shared" si="7"/>
        <v>4</v>
      </c>
      <c r="U63" s="251">
        <f t="shared" si="8"/>
        <v>-1.0206756307966967</v>
      </c>
      <c r="V63" s="383">
        <f t="shared" si="9"/>
        <v>38.246448010194165</v>
      </c>
      <c r="W63" s="402">
        <f t="shared" si="10"/>
        <v>30.123055920668484</v>
      </c>
      <c r="X63" s="157">
        <f t="shared" si="11"/>
        <v>46436</v>
      </c>
      <c r="Y63" s="385">
        <f t="shared" si="12"/>
        <v>28.256531813461077</v>
      </c>
      <c r="Z63" s="385">
        <f t="shared" si="22"/>
        <v>30.303411774919301</v>
      </c>
      <c r="AA63" s="386">
        <f t="shared" si="13"/>
        <v>33.683847011248375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0.10035775412470589</v>
      </c>
      <c r="AD63" s="231">
        <f>(INDEX(Models!$BJ63:$BT63,,AH63)*(1-AF63)+INDEX(Models!$BJ63:$BT63,,AH63+1)*AF63-ERP_i)*AE63*Ramure*Pc/MaxiM</f>
        <v>4.5932527734466348E-3</v>
      </c>
      <c r="AE63" s="305">
        <f t="shared" si="15"/>
        <v>0.7</v>
      </c>
      <c r="AF63" s="177">
        <f t="shared" si="23"/>
        <v>0.50431193557728227</v>
      </c>
      <c r="AG63" s="921">
        <f t="shared" si="24"/>
        <v>2</v>
      </c>
      <c r="AH63" s="176">
        <f t="shared" si="16"/>
        <v>8</v>
      </c>
      <c r="AI63" s="225">
        <f t="shared" si="17"/>
        <v>2.5043119355772823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18.366875822961411</v>
      </c>
      <c r="C64" s="955"/>
      <c r="D64" s="393">
        <f t="shared" si="0"/>
        <v>19.697788657573728</v>
      </c>
      <c r="E64" s="385">
        <f t="shared" si="1"/>
        <v>20.602386054003919</v>
      </c>
      <c r="F64" s="385">
        <f t="shared" si="2"/>
        <v>20.603941115854752</v>
      </c>
      <c r="G64" s="110">
        <f t="shared" si="21"/>
        <v>0.47648534661655695</v>
      </c>
      <c r="H64" s="414" t="b">
        <f>Wh_hp&gt;='2026'!Maxi_hp</f>
        <v>0</v>
      </c>
      <c r="I64" s="390">
        <f>IF(H64,Wh_hp,'2026'!Maxi_hp)</f>
        <v>40.826390842051637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6.7566611549595645E-2</v>
      </c>
      <c r="M64" s="959"/>
      <c r="N64" s="959"/>
      <c r="O64" s="48">
        <f>IF(t&lt;Tnet,'2026'!Resal+('2026'!Salim-'2026'!Resal)*(1-EXP(('2026'!Tnet-t)/('2026'!Tau_j))),Resal+(Salim-Resal)*(1-EXP((Tnet-t)/(Tau_j))))*Salcycl</f>
        <v>4.3907409270897979E-2</v>
      </c>
      <c r="P64" s="169">
        <f>(INDEX(Models!$BJ64:$BT64,,T64)*(1-R64)+INDEX(Models!$BJ64:$BT64,,T64+1)*R64-ERP_i)*Q64*Ramure*Pc/MaxiM</f>
        <v>2.9917442123975399E-4</v>
      </c>
      <c r="Q64" s="305">
        <f t="shared" si="4"/>
        <v>0.7</v>
      </c>
      <c r="R64" s="177">
        <f t="shared" si="5"/>
        <v>0.97953075594611239</v>
      </c>
      <c r="S64" s="921">
        <f t="shared" si="6"/>
        <v>-2</v>
      </c>
      <c r="T64" s="176">
        <f t="shared" si="7"/>
        <v>4</v>
      </c>
      <c r="U64" s="251">
        <f t="shared" si="8"/>
        <v>-1.0204692440538876</v>
      </c>
      <c r="V64" s="383">
        <f t="shared" si="9"/>
        <v>38.53794658192809</v>
      </c>
      <c r="W64" s="402">
        <f t="shared" si="10"/>
        <v>18.366875822961411</v>
      </c>
      <c r="X64" s="157">
        <f t="shared" si="11"/>
        <v>46437</v>
      </c>
      <c r="Y64" s="385">
        <f t="shared" si="12"/>
        <v>17.263104770230612</v>
      </c>
      <c r="Z64" s="385">
        <f t="shared" si="22"/>
        <v>18.514035408920609</v>
      </c>
      <c r="AA64" s="386">
        <f t="shared" si="13"/>
        <v>20.580612879745861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0.10041379636750491</v>
      </c>
      <c r="AD64" s="231">
        <f>(INDEX(Models!$BJ64:$BT64,,AH64)*(1-AF64)+INDEX(Models!$BJ64:$BT64,,AH64+1)*AF64-ERP_i)*AE64*Ramure*Pc/MaxiM</f>
        <v>4.48806041552404E-3</v>
      </c>
      <c r="AE64" s="305">
        <f t="shared" si="15"/>
        <v>0.7</v>
      </c>
      <c r="AF64" s="177">
        <f t="shared" si="23"/>
        <v>0.50451832232009108</v>
      </c>
      <c r="AG64" s="921">
        <f t="shared" si="24"/>
        <v>2</v>
      </c>
      <c r="AH64" s="176">
        <f t="shared" si="16"/>
        <v>8</v>
      </c>
      <c r="AI64" s="225">
        <f t="shared" si="17"/>
        <v>2.5045183223200911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21.648505340388187</v>
      </c>
      <c r="C65" s="955"/>
      <c r="D65" s="393">
        <f t="shared" si="0"/>
        <v>23.21772233465186</v>
      </c>
      <c r="E65" s="385">
        <f t="shared" si="1"/>
        <v>24.286678458442392</v>
      </c>
      <c r="F65" s="385">
        <f t="shared" si="2"/>
        <v>24.289362589436251</v>
      </c>
      <c r="G65" s="110">
        <f t="shared" si="21"/>
        <v>0.55746702986063001</v>
      </c>
      <c r="H65" s="414" t="b">
        <f>Wh_hp&gt;='2026'!Maxi_hp</f>
        <v>0</v>
      </c>
      <c r="I65" s="390">
        <f>IF(H65,Wh_hp,'2026'!Maxi_hp)</f>
        <v>43.218540620250515</v>
      </c>
      <c r="J65" s="85">
        <f>IF(H65,An,'2026'!An_max)</f>
        <v>2019</v>
      </c>
      <c r="K65" s="197">
        <f t="shared" si="3"/>
        <v>46438</v>
      </c>
      <c r="L65" s="147">
        <f>IF(t&lt;Tvie,1-EXP((T0-t)*PertePVj)+'2026'!Pspv,1-EXP((T0-t)*PertePVj)+Pspv)</f>
        <v>6.7587034233829946E-2</v>
      </c>
      <c r="M65" s="959"/>
      <c r="N65" s="959"/>
      <c r="O65" s="48">
        <f>IF(t&lt;Tnet,'2026'!Resal+('2026'!Salim-'2026'!Resal)*(1-EXP(('2026'!Tnet-t)/('2026'!Tau_j))),Resal+(Salim-Resal)*(1-EXP((Tnet-t)/(Tau_j))))*Salcycl</f>
        <v>4.4014092977747159E-2</v>
      </c>
      <c r="P65" s="169">
        <f>(INDEX(Models!$BJ65:$BT65,,T65)*(1-R65)+INDEX(Models!$BJ65:$BT65,,T65+1)*R65-ERP_i)*Q65*Ramure*Pc/MaxiM</f>
        <v>3.0032086081404236E-4</v>
      </c>
      <c r="Q65" s="305">
        <f t="shared" si="4"/>
        <v>0.7</v>
      </c>
      <c r="R65" s="177">
        <f t="shared" si="5"/>
        <v>0.97974561835202256</v>
      </c>
      <c r="S65" s="921">
        <f t="shared" si="6"/>
        <v>-2</v>
      </c>
      <c r="T65" s="176">
        <f t="shared" si="7"/>
        <v>4</v>
      </c>
      <c r="U65" s="251">
        <f t="shared" si="8"/>
        <v>-1.0202543816479774</v>
      </c>
      <c r="V65" s="383">
        <f t="shared" si="9"/>
        <v>38.826324299676379</v>
      </c>
      <c r="W65" s="402">
        <f t="shared" si="10"/>
        <v>21.648505340388187</v>
      </c>
      <c r="X65" s="157">
        <f t="shared" si="11"/>
        <v>46438</v>
      </c>
      <c r="Y65" s="385">
        <f t="shared" si="12"/>
        <v>20.33930803647856</v>
      </c>
      <c r="Z65" s="385">
        <f t="shared" si="22"/>
        <v>21.813626347168618</v>
      </c>
      <c r="AA65" s="386">
        <f t="shared" si="13"/>
        <v>24.250020298686142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0.10046976957167854</v>
      </c>
      <c r="AD65" s="231">
        <f>(INDEX(Models!$BJ65:$BT65,,AH65)*(1-AF65)+INDEX(Models!$BJ65:$BT65,,AH65+1)*AF65-ERP_i)*AE65*Ramure*Pc/MaxiM</f>
        <v>4.4019128170335034E-3</v>
      </c>
      <c r="AE65" s="305">
        <f t="shared" si="15"/>
        <v>0.7</v>
      </c>
      <c r="AF65" s="177">
        <f t="shared" si="23"/>
        <v>0.50473318472600148</v>
      </c>
      <c r="AG65" s="921">
        <f t="shared" si="24"/>
        <v>2</v>
      </c>
      <c r="AH65" s="176">
        <f t="shared" si="16"/>
        <v>8</v>
      </c>
      <c r="AI65" s="225">
        <f t="shared" si="17"/>
        <v>2.5047331847260015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21.315023299122782</v>
      </c>
      <c r="C66" s="955"/>
      <c r="D66" s="393">
        <f t="shared" si="0"/>
        <v>22.860568166324278</v>
      </c>
      <c r="E66" s="385">
        <f t="shared" si="1"/>
        <v>23.915746981458028</v>
      </c>
      <c r="F66" s="385">
        <f t="shared" si="2"/>
        <v>23.918269116193507</v>
      </c>
      <c r="G66" s="110">
        <f t="shared" si="21"/>
        <v>0.54486041774827154</v>
      </c>
      <c r="H66" s="414" t="b">
        <f>Wh_hp&gt;='2026'!Maxi_hp</f>
        <v>0</v>
      </c>
      <c r="I66" s="390">
        <f>IF(H66,Wh_hp,'2026'!Maxi_hp)</f>
        <v>42.441850727741603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6.7607456470755056E-2</v>
      </c>
      <c r="M66" s="959"/>
      <c r="N66" s="959"/>
      <c r="O66" s="48">
        <f>IF(t&lt;Tnet,'2026'!Resal+('2026'!Salim-'2026'!Resal)*(1-EXP(('2026'!Tnet-t)/('2026'!Tau_j))),Resal+(Salim-Resal)*(1-EXP((Tnet-t)/(Tau_j))))*Salcycl</f>
        <v>4.4120671453491973E-2</v>
      </c>
      <c r="P66" s="169">
        <f>(INDEX(Models!$BJ66:$BT66,,T66)*(1-R66)+INDEX(Models!$BJ66:$BT66,,T66+1)*R66-ERP_i)*Q66*Ramure*Pc/MaxiM</f>
        <v>3.0132050382642036E-4</v>
      </c>
      <c r="Q66" s="305">
        <f t="shared" si="4"/>
        <v>0.7</v>
      </c>
      <c r="R66" s="177">
        <f t="shared" si="5"/>
        <v>0.97996929660130938</v>
      </c>
      <c r="S66" s="921">
        <f t="shared" si="6"/>
        <v>-2</v>
      </c>
      <c r="T66" s="176">
        <f t="shared" si="7"/>
        <v>4</v>
      </c>
      <c r="U66" s="251">
        <f t="shared" si="8"/>
        <v>-1.0200307033986906</v>
      </c>
      <c r="V66" s="383">
        <f t="shared" si="9"/>
        <v>39.112490352833262</v>
      </c>
      <c r="W66" s="402">
        <f t="shared" si="10"/>
        <v>21.315023299122782</v>
      </c>
      <c r="X66" s="157">
        <f t="shared" si="11"/>
        <v>46439</v>
      </c>
      <c r="Y66" s="385">
        <f t="shared" si="12"/>
        <v>20.028934337635466</v>
      </c>
      <c r="Z66" s="385">
        <f t="shared" si="22"/>
        <v>21.481225345092273</v>
      </c>
      <c r="AA66" s="386">
        <f t="shared" si="13"/>
        <v>23.881977041380694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0.10052566804367156</v>
      </c>
      <c r="AD66" s="231">
        <f>(INDEX(Models!$BJ66:$BT66,,AH66)*(1-AF66)+INDEX(Models!$BJ66:$BT66,,AH66+1)*AF66-ERP_i)*AE66*Ramure*Pc/MaxiM</f>
        <v>4.3358295311047481E-3</v>
      </c>
      <c r="AE66" s="305">
        <f t="shared" si="15"/>
        <v>0.7</v>
      </c>
      <c r="AF66" s="177">
        <f t="shared" si="23"/>
        <v>0.50495686297528808</v>
      </c>
      <c r="AG66" s="921">
        <f t="shared" si="24"/>
        <v>2</v>
      </c>
      <c r="AH66" s="176">
        <f t="shared" si="16"/>
        <v>8</v>
      </c>
      <c r="AI66" s="225">
        <f t="shared" si="17"/>
        <v>2.5049568629752881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34.902216761046425</v>
      </c>
      <c r="C67" s="955"/>
      <c r="D67" s="393">
        <f t="shared" si="0"/>
        <v>37.433784158974944</v>
      </c>
      <c r="E67" s="385">
        <f t="shared" si="1"/>
        <v>39.165983712788091</v>
      </c>
      <c r="F67" s="385">
        <f t="shared" si="2"/>
        <v>39.175890519576932</v>
      </c>
      <c r="G67" s="110">
        <f t="shared" si="21"/>
        <v>0.88587714171077458</v>
      </c>
      <c r="H67" s="414" t="b">
        <f>Wh_hp&gt;='2026'!Maxi_hp</f>
        <v>0</v>
      </c>
      <c r="I67" s="390">
        <f>IF(H67,Wh_hp,'2026'!Maxi_hp)</f>
        <v>42.464770609772728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6.7627878260380636E-2</v>
      </c>
      <c r="M67" s="959"/>
      <c r="N67" s="959"/>
      <c r="O67" s="48">
        <f>IF(t&lt;Tnet,'2026'!Resal+('2026'!Salim-'2026'!Resal)*(1-EXP(('2026'!Tnet-t)/('2026'!Tau_j))),Resal+(Salim-Resal)*(1-EXP((Tnet-t)/(Tau_j))))*Salcycl</f>
        <v>4.4227142780727972E-2</v>
      </c>
      <c r="P67" s="169">
        <f>(INDEX(Models!$BJ67:$BT67,,T67)*(1-R67)+INDEX(Models!$BJ67:$BT67,,T67+1)*R67-ERP_i)*Q67*Ramure*Pc/MaxiM</f>
        <v>3.0211616344871448E-4</v>
      </c>
      <c r="Q67" s="305">
        <f t="shared" si="4"/>
        <v>0.7</v>
      </c>
      <c r="R67" s="177">
        <f t="shared" si="5"/>
        <v>0.98020214386037852</v>
      </c>
      <c r="S67" s="921">
        <f t="shared" si="6"/>
        <v>-2</v>
      </c>
      <c r="T67" s="176">
        <f t="shared" si="7"/>
        <v>4</v>
      </c>
      <c r="U67" s="251">
        <f t="shared" si="8"/>
        <v>-1.0197978561396215</v>
      </c>
      <c r="V67" s="383">
        <f t="shared" si="9"/>
        <v>39.396544101469814</v>
      </c>
      <c r="W67" s="402">
        <f t="shared" si="10"/>
        <v>34.902216761046425</v>
      </c>
      <c r="X67" s="157">
        <f t="shared" si="11"/>
        <v>46440</v>
      </c>
      <c r="Y67" s="385">
        <f t="shared" si="12"/>
        <v>32.734967289352035</v>
      </c>
      <c r="Z67" s="385">
        <f t="shared" si="22"/>
        <v>35.109337276489086</v>
      </c>
      <c r="AA67" s="386">
        <f t="shared" si="13"/>
        <v>39.03559553819764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0.10058148742387145</v>
      </c>
      <c r="AD67" s="231">
        <f>(INDEX(Models!$BJ67:$BT67,,AH67)*(1-AF67)+INDEX(Models!$BJ67:$BT67,,AH67+1)*AF67-ERP_i)*AE67*Ramure*Pc/MaxiM</f>
        <v>4.2784100294734331E-3</v>
      </c>
      <c r="AE67" s="305">
        <f t="shared" si="15"/>
        <v>0.7</v>
      </c>
      <c r="AF67" s="177">
        <f t="shared" si="23"/>
        <v>0.50518971023435766</v>
      </c>
      <c r="AG67" s="921">
        <f t="shared" si="24"/>
        <v>2</v>
      </c>
      <c r="AH67" s="176">
        <f t="shared" si="16"/>
        <v>8</v>
      </c>
      <c r="AI67" s="225">
        <f t="shared" si="17"/>
        <v>2.5051897102343577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36.404891321044985</v>
      </c>
      <c r="C68" s="955"/>
      <c r="D68" s="393">
        <f t="shared" si="0"/>
        <v>39.046307638558005</v>
      </c>
      <c r="E68" s="385">
        <f t="shared" si="1"/>
        <v>40.85767144733326</v>
      </c>
      <c r="F68" s="385">
        <f t="shared" si="2"/>
        <v>40.868584631900639</v>
      </c>
      <c r="G68" s="110">
        <f t="shared" si="21"/>
        <v>0.9174620100088785</v>
      </c>
      <c r="H68" s="414" t="b">
        <f>Wh_hp&gt;='2026'!Maxi_hp</f>
        <v>0</v>
      </c>
      <c r="I68" s="390">
        <f>IF(H68,Wh_hp,'2026'!Maxi_hp)</f>
        <v>43.491209699160983</v>
      </c>
      <c r="J68" s="85">
        <f>IF(H68,An,'2026'!An_max)</f>
        <v>2019</v>
      </c>
      <c r="K68" s="197">
        <f t="shared" si="3"/>
        <v>46441</v>
      </c>
      <c r="L68" s="147">
        <f>IF(t&lt;Tvie,1-EXP((T0-t)*PertePVj)+'2026'!Pspv,1-EXP((T0-t)*PertePVj)+Pspv)</f>
        <v>6.7648299602716788E-2</v>
      </c>
      <c r="M68" s="959"/>
      <c r="N68" s="959"/>
      <c r="O68" s="48">
        <f>IF(t&lt;Tnet,'2026'!Resal+('2026'!Salim-'2026'!Resal)*(1-EXP(('2026'!Tnet-t)/('2026'!Tau_j))),Resal+(Salim-Resal)*(1-EXP((Tnet-t)/(Tau_j))))*Salcycl</f>
        <v>4.4333505670046736E-2</v>
      </c>
      <c r="P68" s="169">
        <f>(INDEX(Models!$BJ68:$BT68,,T68)*(1-R68)+INDEX(Models!$BJ68:$BT68,,T68+1)*R68-ERP_i)*Q68*Ramure*Pc/MaxiM</f>
        <v>3.0270993202525165E-4</v>
      </c>
      <c r="Q68" s="305">
        <f t="shared" si="4"/>
        <v>0.7</v>
      </c>
      <c r="R68" s="177">
        <f t="shared" si="5"/>
        <v>0.98044452672075644</v>
      </c>
      <c r="S68" s="921">
        <f t="shared" si="6"/>
        <v>-2</v>
      </c>
      <c r="T68" s="176">
        <f t="shared" si="7"/>
        <v>4</v>
      </c>
      <c r="U68" s="251">
        <f t="shared" si="8"/>
        <v>-1.0195554732792436</v>
      </c>
      <c r="V68" s="383">
        <f t="shared" si="9"/>
        <v>39.678582539950689</v>
      </c>
      <c r="W68" s="402">
        <f t="shared" si="10"/>
        <v>36.404891321044985</v>
      </c>
      <c r="X68" s="157">
        <f t="shared" si="11"/>
        <v>46441</v>
      </c>
      <c r="Y68" s="385">
        <f t="shared" si="12"/>
        <v>34.141368017040286</v>
      </c>
      <c r="Z68" s="385">
        <f t="shared" si="22"/>
        <v>36.618550706232796</v>
      </c>
      <c r="AA68" s="386">
        <f t="shared" si="13"/>
        <v>40.716106688436099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0.10063722481027546</v>
      </c>
      <c r="AD68" s="231">
        <f>(INDEX(Models!$BJ68:$BT68,,AH68)*(1-AF68)+INDEX(Models!$BJ68:$BT68,,AH68+1)*AF68-ERP_i)*AE68*Ramure*Pc/MaxiM</f>
        <v>4.2294334542343362E-3</v>
      </c>
      <c r="AE68" s="305">
        <f t="shared" si="15"/>
        <v>0.7</v>
      </c>
      <c r="AF68" s="177">
        <f t="shared" si="23"/>
        <v>0.50543209309473536</v>
      </c>
      <c r="AG68" s="921">
        <f t="shared" si="24"/>
        <v>2</v>
      </c>
      <c r="AH68" s="176">
        <f t="shared" si="16"/>
        <v>8</v>
      </c>
      <c r="AI68" s="225">
        <f t="shared" si="17"/>
        <v>2.5054320930947354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20.707759633319121</v>
      </c>
      <c r="C69" s="955"/>
      <c r="D69" s="393">
        <f t="shared" si="0"/>
        <v>22.210731409092084</v>
      </c>
      <c r="E69" s="385">
        <f t="shared" si="1"/>
        <v>23.243674724102522</v>
      </c>
      <c r="F69" s="385">
        <f t="shared" si="2"/>
        <v>23.245871338388451</v>
      </c>
      <c r="G69" s="110">
        <f t="shared" si="21"/>
        <v>0.51812091141045358</v>
      </c>
      <c r="H69" s="414" t="b">
        <f>Wh_hp&gt;='2026'!Maxi_hp</f>
        <v>0</v>
      </c>
      <c r="I69" s="390">
        <f>IF(H69,Wh_hp,'2026'!Maxi_hp)</f>
        <v>44.144707241290959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6.7668720497773061E-2</v>
      </c>
      <c r="M69" s="959"/>
      <c r="N69" s="959"/>
      <c r="O69" s="48">
        <f>IF(t&lt;Tnet,'2026'!Resal+('2026'!Salim-'2026'!Resal)*(1-EXP(('2026'!Tnet-t)/('2026'!Tau_j))),Resal+(Salim-Resal)*(1-EXP((Tnet-t)/(Tau_j))))*Salcycl</f>
        <v>4.4439759516137468E-2</v>
      </c>
      <c r="P69" s="169">
        <f>(INDEX(Models!$BJ69:$BT69,,T69)*(1-R69)+INDEX(Models!$BJ69:$BT69,,T69+1)*R69-ERP_i)*Q69*Ramure*Pc/MaxiM</f>
        <v>3.0310527357475971E-4</v>
      </c>
      <c r="Q69" s="305">
        <f t="shared" si="4"/>
        <v>0.7</v>
      </c>
      <c r="R69" s="177">
        <f t="shared" si="5"/>
        <v>0.98069682564797467</v>
      </c>
      <c r="S69" s="921">
        <f t="shared" si="6"/>
        <v>-2</v>
      </c>
      <c r="T69" s="176">
        <f t="shared" si="7"/>
        <v>4</v>
      </c>
      <c r="U69" s="251">
        <f t="shared" si="8"/>
        <v>-1.0193031743520253</v>
      </c>
      <c r="V69" s="383">
        <f t="shared" si="9"/>
        <v>39.958702522661497</v>
      </c>
      <c r="W69" s="402">
        <f t="shared" si="10"/>
        <v>20.707759633319121</v>
      </c>
      <c r="X69" s="157">
        <f t="shared" si="11"/>
        <v>46442</v>
      </c>
      <c r="Y69" s="385">
        <f t="shared" si="12"/>
        <v>19.465099179969751</v>
      </c>
      <c r="Z69" s="385">
        <f t="shared" si="22"/>
        <v>20.877878505119121</v>
      </c>
      <c r="AA69" s="386">
        <f t="shared" si="13"/>
        <v>23.215515605984564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0.10069287887204359</v>
      </c>
      <c r="AD69" s="231">
        <f>(INDEX(Models!$BJ69:$BT69,,AH69)*(1-AF69)+INDEX(Models!$BJ69:$BT69,,AH69+1)*AF69-ERP_i)*AE69*Ramure*Pc/MaxiM</f>
        <v>4.1887110694799118E-3</v>
      </c>
      <c r="AE69" s="305">
        <f t="shared" si="15"/>
        <v>0.7</v>
      </c>
      <c r="AF69" s="177">
        <f t="shared" si="23"/>
        <v>0.50568439202195359</v>
      </c>
      <c r="AG69" s="921">
        <f t="shared" si="24"/>
        <v>2</v>
      </c>
      <c r="AH69" s="176">
        <f t="shared" si="16"/>
        <v>8</v>
      </c>
      <c r="AI69" s="225">
        <f t="shared" si="17"/>
        <v>2.5056843920219536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30.116359207001594</v>
      </c>
      <c r="C70" s="955"/>
      <c r="D70" s="393">
        <f t="shared" si="0"/>
        <v>32.302915829539856</v>
      </c>
      <c r="E70" s="385">
        <f t="shared" si="1"/>
        <v>33.808966835741501</v>
      </c>
      <c r="F70" s="385">
        <f t="shared" si="2"/>
        <v>33.81553790642829</v>
      </c>
      <c r="G70" s="110">
        <f t="shared" si="21"/>
        <v>0.74839266695349715</v>
      </c>
      <c r="H70" s="414" t="b">
        <f>Wh_hp&gt;='2026'!Maxi_hp</f>
        <v>0</v>
      </c>
      <c r="I70" s="390">
        <f>IF(H70,Wh_hp,'2026'!Maxi_hp)</f>
        <v>44.223095559004854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6.7689140945559223E-2</v>
      </c>
      <c r="M70" s="959"/>
      <c r="N70" s="959"/>
      <c r="O70" s="48">
        <f>IF(t&lt;Tnet,'2026'!Resal+('2026'!Salim-'2026'!Resal)*(1-EXP(('2026'!Tnet-t)/('2026'!Tau_j))),Resal+(Salim-Resal)*(1-EXP((Tnet-t)/(Tau_j))))*Salcycl</f>
        <v>4.4545904449511557E-2</v>
      </c>
      <c r="P70" s="169">
        <f>(INDEX(Models!$BJ70:$BT70,,T70)*(1-R70)+INDEX(Models!$BJ70:$BT70,,T70+1)*R70-ERP_i)*Q70*Ramure*Pc/MaxiM</f>
        <v>3.0330555321725344E-4</v>
      </c>
      <c r="Q70" s="305">
        <f t="shared" si="4"/>
        <v>0.7</v>
      </c>
      <c r="R70" s="177">
        <f t="shared" si="5"/>
        <v>0.98095943544011077</v>
      </c>
      <c r="S70" s="921">
        <f t="shared" si="6"/>
        <v>-2</v>
      </c>
      <c r="T70" s="176">
        <f t="shared" si="7"/>
        <v>4</v>
      </c>
      <c r="U70" s="251">
        <f t="shared" si="8"/>
        <v>-1.0190405645598892</v>
      </c>
      <c r="V70" s="383">
        <f t="shared" si="9"/>
        <v>40.237000818139421</v>
      </c>
      <c r="W70" s="402">
        <f t="shared" si="10"/>
        <v>30.116359207001594</v>
      </c>
      <c r="X70" s="157">
        <f t="shared" si="11"/>
        <v>46443</v>
      </c>
      <c r="Y70" s="385">
        <f t="shared" si="12"/>
        <v>28.274849449818458</v>
      </c>
      <c r="Z70" s="385">
        <f t="shared" si="22"/>
        <v>30.327705802434931</v>
      </c>
      <c r="AA70" s="386">
        <f t="shared" si="13"/>
        <v>33.725497388150814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0.10074844995198404</v>
      </c>
      <c r="AD70" s="231">
        <f>(INDEX(Models!$BJ70:$BT70,,AH70)*(1-AF70)+INDEX(Models!$BJ70:$BT70,,AH70+1)*AF70-ERP_i)*AE70*Ramure*Pc/MaxiM</f>
        <v>4.1560638303656293E-3</v>
      </c>
      <c r="AE70" s="305">
        <f t="shared" si="15"/>
        <v>0.7</v>
      </c>
      <c r="AF70" s="177">
        <f t="shared" si="23"/>
        <v>0.50594700181408969</v>
      </c>
      <c r="AG70" s="921">
        <f t="shared" si="24"/>
        <v>2</v>
      </c>
      <c r="AH70" s="176">
        <f t="shared" si="16"/>
        <v>8</v>
      </c>
      <c r="AI70" s="225">
        <f t="shared" si="17"/>
        <v>2.5059470018140897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40.647401460143335</v>
      </c>
      <c r="C71" s="955"/>
      <c r="D71" s="393">
        <f t="shared" si="0"/>
        <v>43.599504786718811</v>
      </c>
      <c r="E71" s="385">
        <f t="shared" si="1"/>
        <v>45.637298776588686</v>
      </c>
      <c r="F71" s="385">
        <f t="shared" si="2"/>
        <v>45.651145410531825</v>
      </c>
      <c r="G71" s="110">
        <f t="shared" si="21"/>
        <v>1.0033032719379253</v>
      </c>
      <c r="H71" s="414" t="b">
        <f>Wh_hp&gt;='2026'!Maxi_hp</f>
        <v>1</v>
      </c>
      <c r="I71" s="390">
        <f>IF(H71,Wh_hp,'2026'!Maxi_hp)</f>
        <v>45.651145410531825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6.7709560946085268E-2</v>
      </c>
      <c r="M71" s="959"/>
      <c r="N71" s="959"/>
      <c r="O71" s="48">
        <f>IF(t&lt;Tnet,'2026'!Resal+('2026'!Salim-'2026'!Resal)*(1-EXP(('2026'!Tnet-t)/('2026'!Tau_j))),Resal+(Salim-Resal)*(1-EXP((Tnet-t)/(Tau_j))))*Salcycl</f>
        <v>4.4651941383420199E-2</v>
      </c>
      <c r="P71" s="169">
        <f>(INDEX(Models!$BJ71:$BT71,,T71)*(1-R71)+INDEX(Models!$BJ71:$BT71,,T71+1)*R71-ERP_i)*Q71*Ramure*Pc/MaxiM</f>
        <v>3.0331405310038396E-4</v>
      </c>
      <c r="Q71" s="305">
        <f t="shared" si="4"/>
        <v>0.7</v>
      </c>
      <c r="R71" s="177">
        <f t="shared" si="5"/>
        <v>0.98123276569567608</v>
      </c>
      <c r="S71" s="921">
        <f t="shared" si="6"/>
        <v>-2</v>
      </c>
      <c r="T71" s="176">
        <f t="shared" si="7"/>
        <v>4</v>
      </c>
      <c r="U71" s="251">
        <f t="shared" si="8"/>
        <v>-1.0187672343043239</v>
      </c>
      <c r="V71" s="383">
        <f t="shared" si="9"/>
        <v>40.513574107688349</v>
      </c>
      <c r="W71" s="402">
        <f t="shared" si="10"/>
        <v>40.647401460143335</v>
      </c>
      <c r="X71" s="157">
        <f t="shared" si="11"/>
        <v>46444</v>
      </c>
      <c r="Y71" s="385">
        <f t="shared" si="12"/>
        <v>38.111792698706751</v>
      </c>
      <c r="Z71" s="385">
        <f t="shared" si="22"/>
        <v>40.879742087007209</v>
      </c>
      <c r="AA71" s="386">
        <f t="shared" si="13"/>
        <v>45.462545836946489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0.10080394015715079</v>
      </c>
      <c r="AD71" s="231">
        <f>(INDEX(Models!$BJ71:$BT71,,AH71)*(1-AF71)+INDEX(Models!$BJ71:$BT71,,AH71+1)*AF71-ERP_i)*AE71*Ramure*Pc/MaxiM</f>
        <v>4.1313218296999262E-3</v>
      </c>
      <c r="AE71" s="305">
        <f t="shared" si="15"/>
        <v>0.7</v>
      </c>
      <c r="AF71" s="177">
        <f t="shared" si="23"/>
        <v>0.50622033206965478</v>
      </c>
      <c r="AG71" s="921">
        <f t="shared" si="24"/>
        <v>2</v>
      </c>
      <c r="AH71" s="176">
        <f t="shared" si="16"/>
        <v>8</v>
      </c>
      <c r="AI71" s="225">
        <f t="shared" si="17"/>
        <v>2.5062203320696548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28.051259130385446</v>
      </c>
      <c r="C72" s="955"/>
      <c r="D72" s="393">
        <f t="shared" si="0"/>
        <v>30.089200063958742</v>
      </c>
      <c r="E72" s="385">
        <f t="shared" si="1"/>
        <v>31.499029600702329</v>
      </c>
      <c r="F72" s="385">
        <f t="shared" si="2"/>
        <v>31.504306453108136</v>
      </c>
      <c r="G72" s="110">
        <f t="shared" si="21"/>
        <v>0.68763108796593553</v>
      </c>
      <c r="H72" s="414" t="b">
        <f>Wh_hp&gt;='2026'!Maxi_hp</f>
        <v>0</v>
      </c>
      <c r="I72" s="390">
        <f>IF(H72,Wh_hp,'2026'!Maxi_hp)</f>
        <v>44.962572405256154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6.7729980499360964E-2</v>
      </c>
      <c r="M72" s="959"/>
      <c r="N72" s="959"/>
      <c r="O72" s="48">
        <f>IF(t&lt;Tnet,'2026'!Resal+('2026'!Salim-'2026'!Resal)*(1-EXP(('2026'!Tnet-t)/('2026'!Tau_j))),Resal+(Salim-Resal)*(1-EXP((Tnet-t)/(Tau_j))))*Salcycl</f>
        <v>4.4757872055593451E-2</v>
      </c>
      <c r="P72" s="169">
        <f>(INDEX(Models!$BJ72:$BT72,,T72)*(1-R72)+INDEX(Models!$BJ72:$BT72,,T72+1)*R72-ERP_i)*Q72*Ramure*Pc/MaxiM</f>
        <v>3.0239911389771826E-4</v>
      </c>
      <c r="Q72" s="305">
        <f t="shared" si="4"/>
        <v>0.7</v>
      </c>
      <c r="R72" s="177">
        <f t="shared" si="5"/>
        <v>0.98151724129048623</v>
      </c>
      <c r="S72" s="921">
        <f t="shared" si="6"/>
        <v>-2</v>
      </c>
      <c r="T72" s="176">
        <f t="shared" si="7"/>
        <v>4</v>
      </c>
      <c r="U72" s="251">
        <f t="shared" si="8"/>
        <v>-1.0184827587095138</v>
      </c>
      <c r="V72" s="383">
        <f t="shared" si="9"/>
        <v>40.788548963829761</v>
      </c>
      <c r="W72" s="402">
        <f t="shared" si="10"/>
        <v>28.051259130385446</v>
      </c>
      <c r="X72" s="157">
        <f t="shared" si="11"/>
        <v>46445</v>
      </c>
      <c r="Y72" s="385">
        <f t="shared" si="12"/>
        <v>26.348084898031278</v>
      </c>
      <c r="Z72" s="385">
        <f t="shared" si="22"/>
        <v>28.262289194008794</v>
      </c>
      <c r="AA72" s="386">
        <f t="shared" si="13"/>
        <v>31.432556521650465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0.1008593534368743</v>
      </c>
      <c r="AD72" s="231">
        <f>(INDEX(Models!$BJ72:$BT72,,AH72)*(1-AF72)+INDEX(Models!$BJ72:$BT72,,AH72+1)*AF72-ERP_i)*AE72*Ramure*Pc/MaxiM</f>
        <v>4.1117533761498466E-3</v>
      </c>
      <c r="AE72" s="305">
        <f t="shared" si="15"/>
        <v>0.7</v>
      </c>
      <c r="AF72" s="177">
        <f t="shared" si="23"/>
        <v>0.50650480766446515</v>
      </c>
      <c r="AG72" s="921">
        <f t="shared" si="24"/>
        <v>2</v>
      </c>
      <c r="AH72" s="176">
        <f t="shared" si="16"/>
        <v>8</v>
      </c>
      <c r="AI72" s="225">
        <f t="shared" si="17"/>
        <v>2.5065048076644652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32.499233412111529</v>
      </c>
      <c r="C73" s="955"/>
      <c r="D73" s="393">
        <f t="shared" si="0"/>
        <v>34.861085913424048</v>
      </c>
      <c r="E73" s="385">
        <f t="shared" si="1"/>
        <v>36.498545683248807</v>
      </c>
      <c r="F73" s="385">
        <f t="shared" si="2"/>
        <v>36.506247470959572</v>
      </c>
      <c r="G73" s="110">
        <f t="shared" si="21"/>
        <v>0.7913960188917194</v>
      </c>
      <c r="H73" s="414" t="b">
        <f>Wh_hp&gt;='2026'!Maxi_hp</f>
        <v>0</v>
      </c>
      <c r="I73" s="390">
        <f>IF(H73,Wh_hp,'2026'!Maxi_hp)</f>
        <v>37.080698817786207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6.7750399605395972E-2</v>
      </c>
      <c r="M73" s="959"/>
      <c r="N73" s="959"/>
      <c r="O73" s="48">
        <f>IF(t&lt;Tnet,'2026'!Resal+('2026'!Salim-'2026'!Resal)*(1-EXP(('2026'!Tnet-t)/('2026'!Tau_j))),Resal+(Salim-Resal)*(1-EXP((Tnet-t)/(Tau_j))))*Salcycl</f>
        <v>4.4863699064488366E-2</v>
      </c>
      <c r="P73" s="169">
        <f>(INDEX(Models!$BJ73:$BT73,,T73)*(1-R73)+INDEX(Models!$BJ73:$BT73,,T73+1)*R73-ERP_i)*Q73*Ramure*Pc/MaxiM</f>
        <v>3.0048869051667321E-4</v>
      </c>
      <c r="Q73" s="305">
        <f t="shared" si="4"/>
        <v>0.7</v>
      </c>
      <c r="R73" s="177">
        <f t="shared" si="5"/>
        <v>0.98181330286307378</v>
      </c>
      <c r="S73" s="921">
        <f t="shared" si="6"/>
        <v>-2</v>
      </c>
      <c r="T73" s="176">
        <f t="shared" si="7"/>
        <v>4</v>
      </c>
      <c r="U73" s="251">
        <f t="shared" si="8"/>
        <v>-1.0181866971369262</v>
      </c>
      <c r="V73" s="383">
        <f t="shared" si="9"/>
        <v>41.062025574110073</v>
      </c>
      <c r="W73" s="402">
        <f t="shared" si="10"/>
        <v>32.499233412111529</v>
      </c>
      <c r="X73" s="157">
        <f t="shared" si="11"/>
        <v>46446</v>
      </c>
      <c r="Y73" s="385">
        <f t="shared" si="12"/>
        <v>30.510612411345502</v>
      </c>
      <c r="Z73" s="385">
        <f t="shared" si="22"/>
        <v>32.727943673487147</v>
      </c>
      <c r="AA73" s="386">
        <f t="shared" si="13"/>
        <v>36.40137761684791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0.10091469564768785</v>
      </c>
      <c r="AD73" s="231">
        <f>(INDEX(Models!$BJ73:$BT73,,AH73)*(1-AF73)+INDEX(Models!$BJ73:$BT73,,AH73+1)*AF73-ERP_i)*AE73*Ramure*Pc/MaxiM</f>
        <v>4.0915442388325049E-3</v>
      </c>
      <c r="AE73" s="305">
        <f t="shared" si="15"/>
        <v>0.7</v>
      </c>
      <c r="AF73" s="177">
        <f t="shared" si="23"/>
        <v>0.5068008692370527</v>
      </c>
      <c r="AG73" s="921">
        <f t="shared" si="24"/>
        <v>2</v>
      </c>
      <c r="AH73" s="176">
        <f t="shared" si="16"/>
        <v>8</v>
      </c>
      <c r="AI73" s="225">
        <f t="shared" si="17"/>
        <v>2.5068008692370527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41.537631178340831</v>
      </c>
      <c r="C74" s="955"/>
      <c r="D74" s="393">
        <f t="shared" si="0"/>
        <v>44.55731701189427</v>
      </c>
      <c r="E74" s="385">
        <f t="shared" si="1"/>
        <v>46.65538279114736</v>
      </c>
      <c r="F74" s="385">
        <f t="shared" si="2"/>
        <v>46.669271608719839</v>
      </c>
      <c r="G74" s="110">
        <f t="shared" si="21"/>
        <v>1.0049240409767168</v>
      </c>
      <c r="H74" s="414" t="b">
        <f>Wh_hp&gt;='2026'!Maxi_hp</f>
        <v>1</v>
      </c>
      <c r="I74" s="390">
        <f>IF(H74,Wh_hp,'2026'!Maxi_hp)</f>
        <v>46.669271608719839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6.7770818264200061E-2</v>
      </c>
      <c r="M74" s="959"/>
      <c r="N74" s="959"/>
      <c r="O74" s="48">
        <f>IF(t&lt;Tnet,'2026'!Resal+('2026'!Salim-'2026'!Resal)*(1-EXP(('2026'!Tnet-t)/('2026'!Tau_j))),Resal+(Salim-Resal)*(1-EXP((Tnet-t)/(Tau_j))))*Salcycl</f>
        <v>4.4969425899795405E-2</v>
      </c>
      <c r="P74" s="169">
        <f>(INDEX(Models!$BJ74:$BT74,,T74)*(1-R74)+INDEX(Models!$BJ74:$BT74,,T74+1)*R74-ERP_i)*Q74*Ramure*Pc/MaxiM</f>
        <v>2.9760090727208588E-4</v>
      </c>
      <c r="Q74" s="305">
        <f t="shared" si="4"/>
        <v>0.7</v>
      </c>
      <c r="R74" s="177">
        <f t="shared" si="5"/>
        <v>0.98212140730813258</v>
      </c>
      <c r="S74" s="921">
        <f t="shared" si="6"/>
        <v>-2</v>
      </c>
      <c r="T74" s="176">
        <f t="shared" si="7"/>
        <v>4</v>
      </c>
      <c r="U74" s="251">
        <f t="shared" si="8"/>
        <v>-1.0178785926918674</v>
      </c>
      <c r="V74" s="383">
        <f t="shared" si="9"/>
        <v>41.334100374361746</v>
      </c>
      <c r="W74" s="402">
        <f t="shared" si="10"/>
        <v>41.537631178340831</v>
      </c>
      <c r="X74" s="157">
        <f t="shared" si="11"/>
        <v>46447</v>
      </c>
      <c r="Y74" s="385">
        <f t="shared" si="12"/>
        <v>38.954391179070235</v>
      </c>
      <c r="Z74" s="385">
        <f t="shared" si="22"/>
        <v>41.786281680796144</v>
      </c>
      <c r="AA74" s="386">
        <f t="shared" si="13"/>
        <v>46.479294907225793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0.10096997460475812</v>
      </c>
      <c r="AD74" s="231">
        <f>(INDEX(Models!$BJ74:$BT74,,AH74)*(1-AF74)+INDEX(Models!$BJ74:$BT74,,AH74+1)*AF74-ERP_i)*AE74*Ramure*Pc/MaxiM</f>
        <v>4.0707020903781614E-3</v>
      </c>
      <c r="AE74" s="305">
        <f t="shared" si="15"/>
        <v>0.7</v>
      </c>
      <c r="AF74" s="177">
        <f t="shared" si="23"/>
        <v>0.5071089736821115</v>
      </c>
      <c r="AG74" s="921">
        <f t="shared" si="24"/>
        <v>2</v>
      </c>
      <c r="AH74" s="176">
        <f t="shared" si="16"/>
        <v>8</v>
      </c>
      <c r="AI74" s="225">
        <f t="shared" si="17"/>
        <v>2.5071089736821115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10.475147442834931</v>
      </c>
      <c r="C75" s="955"/>
      <c r="D75" s="393">
        <f t="shared" si="0"/>
        <v>11.236911572504017</v>
      </c>
      <c r="E75" s="385">
        <f t="shared" si="1"/>
        <v>11.767324389720004</v>
      </c>
      <c r="F75" s="385">
        <f t="shared" si="2"/>
        <v>11.767324389720004</v>
      </c>
      <c r="G75" s="110">
        <f t="shared" si="21"/>
        <v>0.25170299555918618</v>
      </c>
      <c r="H75" s="414" t="b">
        <f>Wh_hp&gt;='2026'!Maxi_hp</f>
        <v>0</v>
      </c>
      <c r="I75" s="390">
        <f>IF(H75,Wh_hp,'2026'!Maxi_hp)</f>
        <v>32.956677810715547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6.7791236475783223E-2</v>
      </c>
      <c r="M75" s="959"/>
      <c r="N75" s="959"/>
      <c r="O75" s="48">
        <f>IF(t&lt;Tnet,'2026'!Resal+('2026'!Salim-'2026'!Resal)*(1-EXP(('2026'!Tnet-t)/('2026'!Tau_j))),Resal+(Salim-Resal)*(1-EXP((Tnet-t)/(Tau_j))))*Salcycl</f>
        <v>4.5075056967016039E-2</v>
      </c>
      <c r="P75" s="169">
        <f>(INDEX(Models!$BJ75:$BT75,,T75)*(1-R75)+INDEX(Models!$BJ75:$BT75,,T75+1)*R75-ERP_i)*Q75*Ramure*Pc/MaxiM</f>
        <v>2.9375324280319547E-4</v>
      </c>
      <c r="Q75" s="305">
        <f t="shared" si="4"/>
        <v>0.7</v>
      </c>
      <c r="R75" s="177">
        <f t="shared" si="5"/>
        <v>0.98244202827739424</v>
      </c>
      <c r="S75" s="921">
        <f t="shared" si="6"/>
        <v>-2</v>
      </c>
      <c r="T75" s="176">
        <f t="shared" si="7"/>
        <v>4</v>
      </c>
      <c r="U75" s="251">
        <f t="shared" si="8"/>
        <v>-1.0175579717226058</v>
      </c>
      <c r="V75" s="383">
        <f t="shared" si="9"/>
        <v>41.604869703834432</v>
      </c>
      <c r="W75" s="402">
        <f t="shared" si="10"/>
        <v>10.475147442834931</v>
      </c>
      <c r="X75" s="157">
        <f t="shared" si="11"/>
        <v>46448</v>
      </c>
      <c r="Y75" s="385">
        <f t="shared" si="12"/>
        <v>9.861396589171747</v>
      </c>
      <c r="Z75" s="385">
        <f t="shared" si="22"/>
        <v>10.578528088376601</v>
      </c>
      <c r="AA75" s="386">
        <f t="shared" si="13"/>
        <v>11.767324389720004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0.10102520011957376</v>
      </c>
      <c r="AD75" s="231">
        <f>(INDEX(Models!$BJ75:$BT75,,AH75)*(1-AF75)+INDEX(Models!$BJ75:$BT75,,AH75+1)*AF75-ERP_i)*AE75*Ramure*Pc/MaxiM</f>
        <v>4.0492358544112917E-3</v>
      </c>
      <c r="AE75" s="305">
        <f t="shared" si="15"/>
        <v>0.7</v>
      </c>
      <c r="AF75" s="177">
        <f t="shared" si="23"/>
        <v>0.50742959465137316</v>
      </c>
      <c r="AG75" s="921">
        <f t="shared" si="24"/>
        <v>2</v>
      </c>
      <c r="AH75" s="176">
        <f t="shared" si="16"/>
        <v>8</v>
      </c>
      <c r="AI75" s="225">
        <f t="shared" si="17"/>
        <v>2.5074295946513732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39.273120576112362</v>
      </c>
      <c r="C76" s="955"/>
      <c r="D76" s="393">
        <f t="shared" si="0"/>
        <v>42.130027429274584</v>
      </c>
      <c r="E76" s="385">
        <f t="shared" si="1"/>
        <v>44.123556060593444</v>
      </c>
      <c r="F76" s="385">
        <f t="shared" si="2"/>
        <v>44.135177670013029</v>
      </c>
      <c r="G76" s="110">
        <f t="shared" si="21"/>
        <v>0.93785427936810273</v>
      </c>
      <c r="H76" s="414" t="b">
        <f>Wh_hp&gt;='2026'!Maxi_hp</f>
        <v>0</v>
      </c>
      <c r="I76" s="390">
        <f>IF(H76,Wh_hp,'2026'!Maxi_hp)</f>
        <v>44.135753753550254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6.7811654240155117E-2</v>
      </c>
      <c r="M76" s="959"/>
      <c r="N76" s="959"/>
      <c r="O76" s="48">
        <f>IF(t&lt;Tnet,'2026'!Resal+('2026'!Salim-'2026'!Resal)*(1-EXP(('2026'!Tnet-t)/('2026'!Tau_j))),Resal+(Salim-Resal)*(1-EXP((Tnet-t)/(Tau_j))))*Salcycl</f>
        <v>4.5180597605986618E-2</v>
      </c>
      <c r="P76" s="169">
        <f>(INDEX(Models!$BJ76:$BT76,,T76)*(1-R76)+INDEX(Models!$BJ76:$BT76,,T76+1)*R76-ERP_i)*Q76*Ramure*Pc/MaxiM</f>
        <v>2.8896256467404751E-4</v>
      </c>
      <c r="Q76" s="305">
        <f t="shared" si="4"/>
        <v>0.7</v>
      </c>
      <c r="R76" s="177">
        <f t="shared" si="5"/>
        <v>0.98277565668725209</v>
      </c>
      <c r="S76" s="921">
        <f t="shared" si="6"/>
        <v>-2</v>
      </c>
      <c r="T76" s="176">
        <f t="shared" si="7"/>
        <v>4</v>
      </c>
      <c r="U76" s="251">
        <f t="shared" si="8"/>
        <v>-1.0172243433127479</v>
      </c>
      <c r="V76" s="383">
        <f t="shared" si="9"/>
        <v>41.874429805271014</v>
      </c>
      <c r="W76" s="402">
        <f t="shared" si="10"/>
        <v>39.273120576112362</v>
      </c>
      <c r="X76" s="157">
        <f t="shared" si="11"/>
        <v>46449</v>
      </c>
      <c r="Y76" s="385">
        <f t="shared" si="12"/>
        <v>36.847897769717754</v>
      </c>
      <c r="Z76" s="385">
        <f t="shared" si="22"/>
        <v>39.528382796592801</v>
      </c>
      <c r="AA76" s="386">
        <f t="shared" si="13"/>
        <v>43.973211946949952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0.10108038402378861</v>
      </c>
      <c r="AD76" s="231">
        <f>(INDEX(Models!$BJ76:$BT76,,AH76)*(1-AF76)+INDEX(Models!$BJ76:$BT76,,AH76+1)*AF76-ERP_i)*AE76*Ramure*Pc/MaxiM</f>
        <v>4.0271557093216597E-3</v>
      </c>
      <c r="AE76" s="305">
        <f t="shared" si="15"/>
        <v>0.7</v>
      </c>
      <c r="AF76" s="177">
        <f t="shared" si="23"/>
        <v>0.50776322306123101</v>
      </c>
      <c r="AG76" s="921">
        <f t="shared" si="24"/>
        <v>2</v>
      </c>
      <c r="AH76" s="176">
        <f t="shared" si="16"/>
        <v>8</v>
      </c>
      <c r="AI76" s="225">
        <f t="shared" si="17"/>
        <v>2.507763223061231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4.1988524144335679</v>
      </c>
      <c r="C77" s="955"/>
      <c r="D77" s="393">
        <f t="shared" si="0"/>
        <v>4.5043948480917786</v>
      </c>
      <c r="E77" s="385">
        <f t="shared" si="1"/>
        <v>4.7180570342051906</v>
      </c>
      <c r="F77" s="385">
        <f t="shared" si="2"/>
        <v>4.7180570342051906</v>
      </c>
      <c r="G77" s="110">
        <f t="shared" si="21"/>
        <v>9.9605518805922402E-2</v>
      </c>
      <c r="H77" s="414" t="b">
        <f>Wh_hp&gt;='2026'!Maxi_hp</f>
        <v>0</v>
      </c>
      <c r="I77" s="390">
        <f>IF(H77,Wh_hp,'2026'!Maxi_hp)</f>
        <v>33.323703114447028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6.7832071557325624E-2</v>
      </c>
      <c r="M77" s="959"/>
      <c r="N77" s="959"/>
      <c r="O77" s="48">
        <f>IF(t&lt;Tnet,'2026'!Resal+('2026'!Salim-'2026'!Resal)*(1-EXP(('2026'!Tnet-t)/('2026'!Tau_j))),Resal+(Salim-Resal)*(1-EXP((Tnet-t)/(Tau_j))))*Salcycl</f>
        <v>4.5286054103287343E-2</v>
      </c>
      <c r="P77" s="169">
        <f>(INDEX(Models!$BJ77:$BT77,,T77)*(1-R77)+INDEX(Models!$BJ77:$BT77,,T77+1)*R77-ERP_i)*Q77*Ramure*Pc/MaxiM</f>
        <v>2.8324515683829425E-4</v>
      </c>
      <c r="Q77" s="305">
        <f t="shared" si="4"/>
        <v>0.7</v>
      </c>
      <c r="R77" s="177">
        <f t="shared" si="5"/>
        <v>0.9831228012323503</v>
      </c>
      <c r="S77" s="921">
        <f t="shared" si="6"/>
        <v>-2</v>
      </c>
      <c r="T77" s="176">
        <f t="shared" si="7"/>
        <v>4</v>
      </c>
      <c r="U77" s="251">
        <f t="shared" si="8"/>
        <v>-1.0168771987676497</v>
      </c>
      <c r="V77" s="383">
        <f t="shared" si="9"/>
        <v>42.142876821934834</v>
      </c>
      <c r="W77" s="402">
        <f t="shared" si="10"/>
        <v>4.1988524144335679</v>
      </c>
      <c r="X77" s="157">
        <f t="shared" si="11"/>
        <v>46450</v>
      </c>
      <c r="Y77" s="385">
        <f t="shared" si="12"/>
        <v>3.9532251765966837</v>
      </c>
      <c r="Z77" s="385">
        <f t="shared" si="22"/>
        <v>4.2408937874543016</v>
      </c>
      <c r="AA77" s="386">
        <f t="shared" si="13"/>
        <v>4.7180570342051906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0.10113554017925772</v>
      </c>
      <c r="AD77" s="231">
        <f>(INDEX(Models!$BJ77:$BT77,,AH77)*(1-AF77)+INDEX(Models!$BJ77:$BT77,,AH77+1)*AF77-ERP_i)*AE77*Ramure*Pc/MaxiM</f>
        <v>4.0044730822964497E-3</v>
      </c>
      <c r="AE77" s="305">
        <f t="shared" si="15"/>
        <v>0.7</v>
      </c>
      <c r="AF77" s="177">
        <f t="shared" si="23"/>
        <v>0.50811036760632922</v>
      </c>
      <c r="AG77" s="921">
        <f t="shared" si="24"/>
        <v>2</v>
      </c>
      <c r="AH77" s="176">
        <f t="shared" si="16"/>
        <v>8</v>
      </c>
      <c r="AI77" s="225">
        <f t="shared" si="17"/>
        <v>2.5081103676063292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14.927768374595788</v>
      </c>
      <c r="C78" s="955"/>
      <c r="D78" s="393">
        <f t="shared" si="0"/>
        <v>16.014384192701471</v>
      </c>
      <c r="E78" s="385">
        <f t="shared" si="1"/>
        <v>16.775864745010214</v>
      </c>
      <c r="F78" s="385">
        <f t="shared" si="2"/>
        <v>16.776209370727525</v>
      </c>
      <c r="G78" s="110">
        <f t="shared" si="21"/>
        <v>0.3518943107532565</v>
      </c>
      <c r="H78" s="414" t="b">
        <f>Wh_hp&gt;='2026'!Maxi_hp</f>
        <v>0</v>
      </c>
      <c r="I78" s="390">
        <f>IF(H78,Wh_hp,'2026'!Maxi_hp)</f>
        <v>47.032781812856342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6.7852488427304403E-2</v>
      </c>
      <c r="M78" s="959"/>
      <c r="N78" s="959"/>
      <c r="O78" s="48">
        <f>IF(t&lt;Tnet,'2026'!Resal+('2026'!Salim-'2026'!Resal)*(1-EXP(('2026'!Tnet-t)/('2026'!Tau_j))),Resal+(Salim-Resal)*(1-EXP((Tnet-t)/(Tau_j))))*Salcycl</f>
        <v>4.5391433698536335E-2</v>
      </c>
      <c r="P78" s="169">
        <f>(INDEX(Models!$BJ78:$BT78,,T78)*(1-R78)+INDEX(Models!$BJ78:$BT78,,T78+1)*R78-ERP_i)*Q78*Ramure*Pc/MaxiM</f>
        <v>2.7661674030910588E-4</v>
      </c>
      <c r="Q78" s="305">
        <f t="shared" si="4"/>
        <v>0.7</v>
      </c>
      <c r="R78" s="177">
        <f t="shared" si="5"/>
        <v>0.98348398890424593</v>
      </c>
      <c r="S78" s="921">
        <f t="shared" si="6"/>
        <v>-2</v>
      </c>
      <c r="T78" s="176">
        <f t="shared" si="7"/>
        <v>4</v>
      </c>
      <c r="U78" s="251">
        <f t="shared" si="8"/>
        <v>-1.0165160110957541</v>
      </c>
      <c r="V78" s="383">
        <f t="shared" si="9"/>
        <v>42.410306797982436</v>
      </c>
      <c r="W78" s="402">
        <f t="shared" si="10"/>
        <v>14.927768374595788</v>
      </c>
      <c r="X78" s="157">
        <f t="shared" si="11"/>
        <v>46451</v>
      </c>
      <c r="Y78" s="385">
        <f t="shared" si="12"/>
        <v>14.05133621294067</v>
      </c>
      <c r="Z78" s="385">
        <f t="shared" si="22"/>
        <v>15.074155150866211</v>
      </c>
      <c r="AA78" s="386">
        <f t="shared" si="13"/>
        <v>16.771249352318854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0.10119068447443932</v>
      </c>
      <c r="AD78" s="231">
        <f>(INDEX(Models!$BJ78:$BT78,,AH78)*(1-AF78)+INDEX(Models!$BJ78:$BT78,,AH78+1)*AF78-ERP_i)*AE78*Ramure*Pc/MaxiM</f>
        <v>3.9812006334910633E-3</v>
      </c>
      <c r="AE78" s="305">
        <f t="shared" si="15"/>
        <v>0.7</v>
      </c>
      <c r="AF78" s="177">
        <f t="shared" si="23"/>
        <v>0.50847155527822485</v>
      </c>
      <c r="AG78" s="921">
        <f t="shared" si="24"/>
        <v>2</v>
      </c>
      <c r="AH78" s="176">
        <f t="shared" si="16"/>
        <v>8</v>
      </c>
      <c r="AI78" s="225">
        <f t="shared" si="17"/>
        <v>2.5084715552782249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21.134322702277409</v>
      </c>
      <c r="C79" s="955"/>
      <c r="D79" s="393">
        <f t="shared" ref="D79:D142" si="25">Wh/(1-Ppv)</f>
        <v>22.673220006418465</v>
      </c>
      <c r="E79" s="385">
        <f t="shared" si="1"/>
        <v>23.753947278631099</v>
      </c>
      <c r="F79" s="385">
        <f t="shared" ref="F79:F142" si="26">Wh_sa/(1-Pvg*MEDIAN((-Sdif+Wh/Env_an)/Csdif,0,1))</f>
        <v>23.75572997647728</v>
      </c>
      <c r="G79" s="110">
        <f t="shared" si="21"/>
        <v>0.49511734289111442</v>
      </c>
      <c r="H79" s="414" t="b">
        <f>Wh_hp&gt;='2026'!Maxi_hp</f>
        <v>0</v>
      </c>
      <c r="I79" s="390">
        <f>IF(H79,Wh_hp,'2026'!Maxi_hp)</f>
        <v>24.181479709212134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6.7872904850101445E-2</v>
      </c>
      <c r="M79" s="959"/>
      <c r="N79" s="959"/>
      <c r="O79" s="48">
        <f>IF(t&lt;Tnet,'2026'!Resal+('2026'!Salim-'2026'!Resal)*(1-EXP(('2026'!Tnet-t)/('2026'!Tau_j))),Resal+(Salim-Resal)*(1-EXP((Tnet-t)/(Tau_j))))*Salcycl</f>
        <v>4.5496744584629448E-2</v>
      </c>
      <c r="P79" s="169">
        <f>(INDEX(Models!$BJ79:$BT79,,T79)*(1-R79)+INDEX(Models!$BJ79:$BT79,,T79+1)*R79-ERP_i)*Q79*Ramure*Pc/MaxiM</f>
        <v>2.6909007157996416E-4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0.98385976551414411</v>
      </c>
      <c r="S79" s="92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-1.0161402344858559</v>
      </c>
      <c r="V79" s="383">
        <f t="shared" ref="V79:V142" si="33">MaxiM*(1-Ppv)*(1-Pvg)*(1-Psa)</f>
        <v>42.677198933612416</v>
      </c>
      <c r="W79" s="402">
        <f t="shared" ref="W79:W142" si="34">Wh*(A79&gt;Tmaj)</f>
        <v>21.134322702277409</v>
      </c>
      <c r="X79" s="157">
        <f t="shared" ref="X79:X142" si="35">t</f>
        <v>46452</v>
      </c>
      <c r="Y79" s="385">
        <f t="shared" ref="Y79:Y142" si="36">Wh_pvt_s*(1-Ppv)</f>
        <v>19.879473384380766</v>
      </c>
      <c r="Z79" s="385">
        <f t="shared" ref="Z79:Z142" si="37">Wh_sa_s*(1-Psa_s)</f>
        <v>21.326998740642637</v>
      </c>
      <c r="AA79" s="386">
        <f t="shared" ref="AA79:AA142" si="38">Wh_hp*(1-Pvg_s*MEDIAN((-Sdif+Wh/Env_an)/Csdif,0,1))</f>
        <v>23.729513104480478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0.1012458348074665</v>
      </c>
      <c r="AD79" s="231">
        <f>(INDEX(Models!$BJ79:$BT79,,AH79)*(1-AF79)+INDEX(Models!$BJ79:$BT79,,AH79+1)*AF79-ERP_i)*AE79*Ramure*Pc/MaxiM</f>
        <v>3.9573167025111107E-3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0.50884733188812303</v>
      </c>
      <c r="AG79" s="92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2.508847331888123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32.066332141831062</v>
      </c>
      <c r="C80" s="955"/>
      <c r="D80" s="393">
        <f t="shared" si="25"/>
        <v>34.401998031210006</v>
      </c>
      <c r="E80" s="385">
        <f t="shared" ref="E80:E143" si="47">Wh_pvt/(1-Psa)</f>
        <v>36.04575647004296</v>
      </c>
      <c r="F80" s="385">
        <f t="shared" si="26"/>
        <v>36.051754243745478</v>
      </c>
      <c r="G80" s="110">
        <f t="shared" ref="G80:G143" si="48">+Wh_hp/MaxiM</f>
        <v>0.74663454968678034</v>
      </c>
      <c r="H80" s="414" t="b">
        <f>Wh_hp&gt;='2026'!Maxi_hp</f>
        <v>0</v>
      </c>
      <c r="I80" s="390">
        <f>IF(H80,Wh_hp,'2026'!Maxi_hp)</f>
        <v>43.018931785268983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6.78933208257263E-2</v>
      </c>
      <c r="M80" s="959"/>
      <c r="N80" s="959"/>
      <c r="O80" s="48">
        <f>IF(t&lt;Tnet,'2026'!Resal+('2026'!Salim-'2026'!Resal)*(1-EXP(('2026'!Tnet-t)/('2026'!Tau_j))),Resal+(Salim-Resal)*(1-EXP((Tnet-t)/(Tau_j))))*Salcycl</f>
        <v>4.5601995902043377E-2</v>
      </c>
      <c r="P80" s="169">
        <f>(INDEX(Models!$BJ80:$BT80,,T80)*(1-R80)+INDEX(Models!$BJ80:$BT80,,T80+1)*R80-ERP_i)*Q80*Ramure*Pc/MaxiM</f>
        <v>2.6069992063711443E-4</v>
      </c>
      <c r="Q80" s="305">
        <f t="shared" si="28"/>
        <v>0.7</v>
      </c>
      <c r="R80" s="177">
        <f t="shared" si="29"/>
        <v>0.98425069621857975</v>
      </c>
      <c r="S80" s="921">
        <f t="shared" si="30"/>
        <v>-2</v>
      </c>
      <c r="T80" s="176">
        <f t="shared" si="31"/>
        <v>4</v>
      </c>
      <c r="U80" s="251">
        <f t="shared" si="32"/>
        <v>-1.0157493037814203</v>
      </c>
      <c r="V80" s="383">
        <f t="shared" si="33"/>
        <v>42.943775770957807</v>
      </c>
      <c r="W80" s="402">
        <f t="shared" si="34"/>
        <v>32.066332141831062</v>
      </c>
      <c r="X80" s="157">
        <f t="shared" si="35"/>
        <v>46453</v>
      </c>
      <c r="Y80" s="385">
        <f t="shared" si="36"/>
        <v>30.124206942497896</v>
      </c>
      <c r="Z80" s="385">
        <f t="shared" si="37"/>
        <v>32.318411202872248</v>
      </c>
      <c r="AA80" s="386">
        <f t="shared" si="38"/>
        <v>35.96133032358108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0.10130101105631348</v>
      </c>
      <c r="AD80" s="231">
        <f>(INDEX(Models!$BJ80:$BT80,,AH80)*(1-AF80)+INDEX(Models!$BJ80:$BT80,,AH80+1)*AF80-ERP_i)*AE80*Ramure*Pc/MaxiM</f>
        <v>3.9303764996433833E-3</v>
      </c>
      <c r="AE80" s="305">
        <f t="shared" si="40"/>
        <v>0.7</v>
      </c>
      <c r="AF80" s="177">
        <f t="shared" si="41"/>
        <v>0.50923826259255867</v>
      </c>
      <c r="AG80" s="921">
        <f t="shared" ref="AG80:AG143" si="49">INDEX(Echel_vg,AH80)</f>
        <v>2</v>
      </c>
      <c r="AH80" s="176">
        <f t="shared" si="42"/>
        <v>8</v>
      </c>
      <c r="AI80" s="225">
        <f t="shared" si="43"/>
        <v>2.5092382625925587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30.760203686470707</v>
      </c>
      <c r="C81" s="955"/>
      <c r="D81" s="393">
        <f t="shared" si="25"/>
        <v>33.001455858982013</v>
      </c>
      <c r="E81" s="385">
        <f t="shared" si="47"/>
        <v>34.582107064403942</v>
      </c>
      <c r="F81" s="385">
        <f t="shared" si="26"/>
        <v>34.587230306511302</v>
      </c>
      <c r="G81" s="110">
        <f t="shared" si="48"/>
        <v>0.71180751441688728</v>
      </c>
      <c r="H81" s="414" t="b">
        <f>Wh_hp&gt;='2026'!Maxi_hp</f>
        <v>0</v>
      </c>
      <c r="I81" s="390">
        <f>IF(H81,Wh_hp,'2026'!Maxi_hp)</f>
        <v>34.58905079019069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6.7913736354188958E-2</v>
      </c>
      <c r="M81" s="959"/>
      <c r="N81" s="959"/>
      <c r="O81" s="48">
        <f>IF(t&lt;Tnet,'2026'!Resal+('2026'!Salim-'2026'!Resal)*(1-EXP(('2026'!Tnet-t)/('2026'!Tau_j))),Resal+(Salim-Resal)*(1-EXP((Tnet-t)/(Tau_j))))*Salcycl</f>
        <v>4.5707197727374131E-2</v>
      </c>
      <c r="P81" s="169">
        <f>(INDEX(Models!$BJ81:$BT81,,T81)*(1-R81)+INDEX(Models!$BJ81:$BT81,,T81+1)*R81-ERP_i)*Q81*Ramure*Pc/MaxiM</f>
        <v>2.5174164853349707E-4</v>
      </c>
      <c r="Q81" s="305">
        <f t="shared" si="28"/>
        <v>0.7</v>
      </c>
      <c r="R81" s="177">
        <f t="shared" si="29"/>
        <v>0.98465736604678988</v>
      </c>
      <c r="S81" s="921">
        <f t="shared" si="30"/>
        <v>-2</v>
      </c>
      <c r="T81" s="176">
        <f t="shared" si="31"/>
        <v>4</v>
      </c>
      <c r="U81" s="251">
        <f t="shared" si="32"/>
        <v>-1.0153426339532101</v>
      </c>
      <c r="V81" s="383">
        <f t="shared" si="33"/>
        <v>43.209737646466706</v>
      </c>
      <c r="W81" s="402">
        <f t="shared" si="34"/>
        <v>30.760203686470707</v>
      </c>
      <c r="X81" s="157">
        <f t="shared" si="35"/>
        <v>46454</v>
      </c>
      <c r="Y81" s="385">
        <f t="shared" si="36"/>
        <v>28.904266504079683</v>
      </c>
      <c r="Z81" s="385">
        <f t="shared" si="37"/>
        <v>31.010291248174841</v>
      </c>
      <c r="AA81" s="386">
        <f t="shared" si="38"/>
        <v>34.507880049039976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0.10135623503659526</v>
      </c>
      <c r="AD81" s="231">
        <f>(INDEX(Models!$BJ81:$BT81,,AH81)*(1-AF81)+INDEX(Models!$BJ81:$BT81,,AH81+1)*AF81-ERP_i)*AE81*Ramure*Pc/MaxiM</f>
        <v>3.8990475579302915E-3</v>
      </c>
      <c r="AE81" s="305">
        <f t="shared" si="40"/>
        <v>0.7</v>
      </c>
      <c r="AF81" s="177">
        <f t="shared" si="41"/>
        <v>0.5096449324207688</v>
      </c>
      <c r="AG81" s="921">
        <f t="shared" si="49"/>
        <v>2</v>
      </c>
      <c r="AH81" s="176">
        <f t="shared" si="42"/>
        <v>8</v>
      </c>
      <c r="AI81" s="225">
        <f t="shared" si="43"/>
        <v>2.5096449324207688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32.467329615644175</v>
      </c>
      <c r="C82" s="955"/>
      <c r="D82" s="393">
        <f t="shared" si="25"/>
        <v>34.833729468414667</v>
      </c>
      <c r="E82" s="385">
        <f t="shared" si="47"/>
        <v>36.506162988002423</v>
      </c>
      <c r="F82" s="385">
        <f t="shared" si="26"/>
        <v>36.51180816064165</v>
      </c>
      <c r="G82" s="110">
        <f t="shared" si="48"/>
        <v>0.74674263706877475</v>
      </c>
      <c r="H82" s="414" t="b">
        <f>Wh_hp&gt;='2026'!Maxi_hp</f>
        <v>0</v>
      </c>
      <c r="I82" s="390">
        <f>IF(H82,Wh_hp,'2026'!Maxi_hp)</f>
        <v>44.616353864796501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6.793415143549919E-2</v>
      </c>
      <c r="M82" s="959"/>
      <c r="N82" s="959"/>
      <c r="O82" s="48">
        <f>IF(t&lt;Tnet,'2026'!Resal+('2026'!Salim-'2026'!Resal)*(1-EXP(('2026'!Tnet-t)/('2026'!Tau_j))),Resal+(Salim-Resal)*(1-EXP((Tnet-t)/(Tau_j))))*Salcycl</f>
        <v>4.5812361056334239E-2</v>
      </c>
      <c r="P82" s="169">
        <f>(INDEX(Models!$BJ82:$BT82,,T82)*(1-R82)+INDEX(Models!$BJ82:$BT82,,T82+1)*R82-ERP_i)*Q82*Ramure*Pc/MaxiM</f>
        <v>2.4222608554310502E-4</v>
      </c>
      <c r="Q82" s="305">
        <f t="shared" si="28"/>
        <v>0.7</v>
      </c>
      <c r="R82" s="177">
        <f t="shared" si="29"/>
        <v>0.98508038042837676</v>
      </c>
      <c r="S82" s="921">
        <f t="shared" si="30"/>
        <v>-2</v>
      </c>
      <c r="T82" s="176">
        <f t="shared" si="31"/>
        <v>4</v>
      </c>
      <c r="U82" s="251">
        <f t="shared" si="32"/>
        <v>-1.0149196195716232</v>
      </c>
      <c r="V82" s="383">
        <f t="shared" si="33"/>
        <v>43.474797040881541</v>
      </c>
      <c r="W82" s="402">
        <f t="shared" si="34"/>
        <v>32.467329615644175</v>
      </c>
      <c r="X82" s="157">
        <f t="shared" si="35"/>
        <v>46455</v>
      </c>
      <c r="Y82" s="385">
        <f t="shared" si="36"/>
        <v>30.504820530184301</v>
      </c>
      <c r="Z82" s="385">
        <f t="shared" si="37"/>
        <v>32.728181787977299</v>
      </c>
      <c r="AA82" s="386">
        <f t="shared" si="38"/>
        <v>36.421769137858242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0.10141153044764314</v>
      </c>
      <c r="AD82" s="231">
        <f>(INDEX(Models!$BJ82:$BT82,,AH82)*(1-AF82)+INDEX(Models!$BJ82:$BT82,,AH82+1)*AF82-ERP_i)*AE82*Ramure*Pc/MaxiM</f>
        <v>3.86344252493016E-3</v>
      </c>
      <c r="AE82" s="305">
        <f t="shared" si="40"/>
        <v>0.7</v>
      </c>
      <c r="AF82" s="177">
        <f t="shared" si="41"/>
        <v>0.51006794680235545</v>
      </c>
      <c r="AG82" s="921">
        <f t="shared" si="49"/>
        <v>2</v>
      </c>
      <c r="AH82" s="176">
        <f t="shared" si="42"/>
        <v>8</v>
      </c>
      <c r="AI82" s="225">
        <f t="shared" si="43"/>
        <v>2.5100679468023555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23.497391005660894</v>
      </c>
      <c r="C83" s="955"/>
      <c r="D83" s="393">
        <f t="shared" si="25"/>
        <v>25.210563938471299</v>
      </c>
      <c r="E83" s="385">
        <f t="shared" si="47"/>
        <v>26.423882504761711</v>
      </c>
      <c r="F83" s="385">
        <f t="shared" si="26"/>
        <v>26.425961636677769</v>
      </c>
      <c r="G83" s="110">
        <f t="shared" si="48"/>
        <v>0.53713992827310875</v>
      </c>
      <c r="H83" s="414" t="b">
        <f>Wh_hp&gt;='2026'!Maxi_hp</f>
        <v>0</v>
      </c>
      <c r="I83" s="390">
        <f>IF(H83,Wh_hp,'2026'!Maxi_hp)</f>
        <v>45.293809105395539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6.7954566069666655E-2</v>
      </c>
      <c r="M83" s="959"/>
      <c r="N83" s="959"/>
      <c r="O83" s="48">
        <f>IF(t&lt;Tnet,'2026'!Resal+('2026'!Salim-'2026'!Resal)*(1-EXP(('2026'!Tnet-t)/('2026'!Tau_j))),Resal+(Salim-Resal)*(1-EXP((Tnet-t)/(Tau_j))))*Salcycl</f>
        <v>4.5917497781477211E-2</v>
      </c>
      <c r="P83" s="169">
        <f>(INDEX(Models!$BJ83:$BT83,,T83)*(1-R83)+INDEX(Models!$BJ83:$BT83,,T83+1)*R83-ERP_i)*Q83*Ramure*Pc/MaxiM</f>
        <v>2.3216332051137495E-4</v>
      </c>
      <c r="Q83" s="305">
        <f t="shared" si="28"/>
        <v>0.7</v>
      </c>
      <c r="R83" s="177">
        <f t="shared" si="29"/>
        <v>0.98552036571971335</v>
      </c>
      <c r="S83" s="921">
        <f t="shared" si="30"/>
        <v>-2</v>
      </c>
      <c r="T83" s="176">
        <f t="shared" si="31"/>
        <v>4</v>
      </c>
      <c r="U83" s="251">
        <f t="shared" si="32"/>
        <v>-1.0144796342802866</v>
      </c>
      <c r="V83" s="383">
        <f t="shared" si="33"/>
        <v>43.738666540824333</v>
      </c>
      <c r="W83" s="402">
        <f t="shared" si="34"/>
        <v>23.497391005660894</v>
      </c>
      <c r="X83" s="157">
        <f t="shared" si="35"/>
        <v>46456</v>
      </c>
      <c r="Y83" s="385">
        <f t="shared" si="36"/>
        <v>22.102369179660535</v>
      </c>
      <c r="Z83" s="385">
        <f t="shared" si="37"/>
        <v>23.713832368082389</v>
      </c>
      <c r="AA83" s="386">
        <f t="shared" si="38"/>
        <v>26.391718869359291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0.10146692280759023</v>
      </c>
      <c r="AD83" s="231">
        <f>(INDEX(Models!$BJ83:$BT83,,AH83)*(1-AF83)+INDEX(Models!$BJ83:$BT83,,AH83+1)*AF83-ERP_i)*AE83*Ramure*Pc/MaxiM</f>
        <v>3.8236701109540792E-3</v>
      </c>
      <c r="AE83" s="305">
        <f t="shared" si="40"/>
        <v>0.7</v>
      </c>
      <c r="AF83" s="177">
        <f t="shared" si="41"/>
        <v>0.5105079320936925</v>
      </c>
      <c r="AG83" s="921">
        <f t="shared" si="49"/>
        <v>2</v>
      </c>
      <c r="AH83" s="176">
        <f t="shared" si="42"/>
        <v>8</v>
      </c>
      <c r="AI83" s="225">
        <f t="shared" si="43"/>
        <v>2.5105079320936925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15.666228105789404</v>
      </c>
      <c r="C84" s="955"/>
      <c r="D84" s="393">
        <f t="shared" si="25"/>
        <v>16.808806388163536</v>
      </c>
      <c r="E84" s="385">
        <f t="shared" si="47"/>
        <v>17.619711695763641</v>
      </c>
      <c r="F84" s="385">
        <f t="shared" si="26"/>
        <v>17.620024245541078</v>
      </c>
      <c r="G84" s="110">
        <f t="shared" si="48"/>
        <v>0.355969499455564</v>
      </c>
      <c r="H84" s="414" t="b">
        <f>Wh_hp&gt;='2026'!Maxi_hp</f>
        <v>0</v>
      </c>
      <c r="I84" s="390">
        <f>IF(H84,Wh_hp,'2026'!Maxi_hp)</f>
        <v>36.273412618426136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6.7974980256701234E-2</v>
      </c>
      <c r="M84" s="959"/>
      <c r="N84" s="959"/>
      <c r="O84" s="48">
        <f>IF(t&lt;Tnet,'2026'!Resal+('2026'!Salim-'2026'!Resal)*(1-EXP(('2026'!Tnet-t)/('2026'!Tau_j))),Resal+(Salim-Resal)*(1-EXP((Tnet-t)/(Tau_j))))*Salcycl</f>
        <v>4.6022620664960989E-2</v>
      </c>
      <c r="P84" s="169">
        <f>(INDEX(Models!$BJ84:$BT84,,T84)*(1-R84)+INDEX(Models!$BJ84:$BT84,,T84+1)*R84-ERP_i)*Q84*Ramure*Pc/MaxiM</f>
        <v>2.2156265365620148E-4</v>
      </c>
      <c r="Q84" s="305">
        <f t="shared" si="28"/>
        <v>0.7</v>
      </c>
      <c r="R84" s="177">
        <f t="shared" si="29"/>
        <v>0.98597796972737828</v>
      </c>
      <c r="S84" s="921">
        <f t="shared" si="30"/>
        <v>-2</v>
      </c>
      <c r="T84" s="176">
        <f t="shared" si="31"/>
        <v>4</v>
      </c>
      <c r="U84" s="251">
        <f t="shared" si="32"/>
        <v>-1.0140220302726217</v>
      </c>
      <c r="V84" s="383">
        <f t="shared" si="33"/>
        <v>44.00105883995888</v>
      </c>
      <c r="W84" s="402">
        <f t="shared" si="34"/>
        <v>15.666228105789404</v>
      </c>
      <c r="X84" s="157">
        <f t="shared" si="35"/>
        <v>46457</v>
      </c>
      <c r="Y84" s="385">
        <f t="shared" si="36"/>
        <v>14.750606048949228</v>
      </c>
      <c r="Z84" s="385">
        <f t="shared" si="37"/>
        <v>15.826405661311416</v>
      </c>
      <c r="AA84" s="386">
        <f t="shared" si="38"/>
        <v>17.614692180359018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0.10152243937828237</v>
      </c>
      <c r="AD84" s="231">
        <f>(INDEX(Models!$BJ84:$BT84,,AH84)*(1-AF84)+INDEX(Models!$BJ84:$BT84,,AH84+1)*AF84-ERP_i)*AE84*Ramure*Pc/MaxiM</f>
        <v>3.7798347542983301E-3</v>
      </c>
      <c r="AE84" s="305">
        <f t="shared" si="40"/>
        <v>0.7</v>
      </c>
      <c r="AF84" s="177">
        <f t="shared" si="41"/>
        <v>0.5109655361013572</v>
      </c>
      <c r="AG84" s="921">
        <f t="shared" si="49"/>
        <v>2</v>
      </c>
      <c r="AH84" s="176">
        <f t="shared" si="42"/>
        <v>8</v>
      </c>
      <c r="AI84" s="225">
        <f t="shared" si="43"/>
        <v>2.5109655361013572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12.936138623680677</v>
      </c>
      <c r="C85" s="955"/>
      <c r="D85" s="393">
        <f t="shared" si="25"/>
        <v>13.879908468642979</v>
      </c>
      <c r="E85" s="385">
        <f t="shared" si="47"/>
        <v>14.551118738644446</v>
      </c>
      <c r="F85" s="385">
        <f t="shared" si="26"/>
        <v>14.551118738644446</v>
      </c>
      <c r="G85" s="110">
        <f t="shared" si="48"/>
        <v>0.29220342448736653</v>
      </c>
      <c r="H85" s="414" t="b">
        <f>Wh_hp&gt;='2026'!Maxi_hp</f>
        <v>0</v>
      </c>
      <c r="I85" s="390">
        <f>IF(H85,Wh_hp,'2026'!Maxi_hp)</f>
        <v>43.935491435363161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6.7995393996612807E-2</v>
      </c>
      <c r="M85" s="959"/>
      <c r="N85" s="959"/>
      <c r="O85" s="48">
        <f>IF(t&lt;Tnet,'2026'!Resal+('2026'!Salim-'2026'!Resal)*(1-EXP(('2026'!Tnet-t)/('2026'!Tau_j))),Resal+(Salim-Resal)*(1-EXP((Tnet-t)/(Tau_j))))*Salcycl</f>
        <v>4.6127743306697493E-2</v>
      </c>
      <c r="P85" s="169">
        <f>(INDEX(Models!$BJ85:$BT85,,T85)*(1-R85)+INDEX(Models!$BJ85:$BT85,,T85+1)*R85-ERP_i)*Q85*Ramure*Pc/MaxiM</f>
        <v>2.1043254977876535E-4</v>
      </c>
      <c r="Q85" s="305">
        <f t="shared" si="28"/>
        <v>0.7</v>
      </c>
      <c r="R85" s="177">
        <f t="shared" si="29"/>
        <v>0.98645386222673359</v>
      </c>
      <c r="S85" s="921">
        <f t="shared" si="30"/>
        <v>-2</v>
      </c>
      <c r="T85" s="176">
        <f t="shared" si="31"/>
        <v>4</v>
      </c>
      <c r="U85" s="251">
        <f t="shared" si="32"/>
        <v>-1.0135461377732664</v>
      </c>
      <c r="V85" s="383">
        <f t="shared" si="33"/>
        <v>44.261686740105212</v>
      </c>
      <c r="W85" s="402">
        <f t="shared" si="34"/>
        <v>12.936138623680677</v>
      </c>
      <c r="X85" s="157">
        <f t="shared" si="35"/>
        <v>46458</v>
      </c>
      <c r="Y85" s="385">
        <f t="shared" si="36"/>
        <v>12.18413686101751</v>
      </c>
      <c r="Z85" s="385">
        <f t="shared" si="37"/>
        <v>13.073043612161321</v>
      </c>
      <c r="AA85" s="386">
        <f t="shared" si="38"/>
        <v>14.551118738644446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0.10157810908089798</v>
      </c>
      <c r="AD85" s="231">
        <f>(INDEX(Models!$BJ85:$BT85,,AH85)*(1-AF85)+INDEX(Models!$BJ85:$BT85,,AH85+1)*AF85-ERP_i)*AE85*Ramure*Pc/MaxiM</f>
        <v>3.7320362909353242E-3</v>
      </c>
      <c r="AE85" s="305">
        <f t="shared" si="40"/>
        <v>0.7</v>
      </c>
      <c r="AF85" s="177">
        <f t="shared" si="41"/>
        <v>0.51144142860071229</v>
      </c>
      <c r="AG85" s="921">
        <f t="shared" si="49"/>
        <v>2</v>
      </c>
      <c r="AH85" s="176">
        <f t="shared" si="42"/>
        <v>8</v>
      </c>
      <c r="AI85" s="225">
        <f t="shared" si="43"/>
        <v>2.5114414286007123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12.17654800948052</v>
      </c>
      <c r="C86" s="955"/>
      <c r="D86" s="393">
        <f t="shared" si="25"/>
        <v>13.06518726896662</v>
      </c>
      <c r="E86" s="385">
        <f t="shared" si="47"/>
        <v>13.698508783202461</v>
      </c>
      <c r="F86" s="385">
        <f t="shared" si="26"/>
        <v>13.698508783202461</v>
      </c>
      <c r="G86" s="110">
        <f t="shared" si="48"/>
        <v>0.27345138338004982</v>
      </c>
      <c r="H86" s="414" t="b">
        <f>Wh_hp&gt;='2026'!Maxi_hp</f>
        <v>0</v>
      </c>
      <c r="I86" s="390">
        <f>IF(H86,Wh_hp,'2026'!Maxi_hp)</f>
        <v>42.800557177693996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6.8015807289411034E-2</v>
      </c>
      <c r="M86" s="959"/>
      <c r="N86" s="959"/>
      <c r="O86" s="48">
        <f>IF(t&lt;Tnet,'2026'!Resal+('2026'!Salim-'2026'!Resal)*(1-EXP(('2026'!Tnet-t)/('2026'!Tau_j))),Resal+(Salim-Resal)*(1-EXP((Tnet-t)/(Tau_j))))*Salcycl</f>
        <v>4.6232880108266934E-2</v>
      </c>
      <c r="P86" s="169">
        <f>(INDEX(Models!$BJ86:$BT86,,T86)*(1-R86)+INDEX(Models!$BJ86:$BT86,,T86+1)*R86-ERP_i)*Q86*Ramure*Pc/MaxiM</f>
        <v>1.9920111340660115E-4</v>
      </c>
      <c r="Q86" s="305">
        <f t="shared" si="28"/>
        <v>0.7</v>
      </c>
      <c r="R86" s="177">
        <f t="shared" si="29"/>
        <v>0.98694873547357931</v>
      </c>
      <c r="S86" s="921">
        <f t="shared" si="30"/>
        <v>-2</v>
      </c>
      <c r="T86" s="176">
        <f t="shared" si="31"/>
        <v>4</v>
      </c>
      <c r="U86" s="251">
        <f t="shared" si="32"/>
        <v>-1.0130512645264207</v>
      </c>
      <c r="V86" s="383">
        <f t="shared" si="33"/>
        <v>44.520244429115472</v>
      </c>
      <c r="W86" s="402">
        <f t="shared" si="34"/>
        <v>12.17654800948052</v>
      </c>
      <c r="X86" s="157">
        <f t="shared" si="35"/>
        <v>46459</v>
      </c>
      <c r="Y86" s="385">
        <f t="shared" si="36"/>
        <v>11.469253823853531</v>
      </c>
      <c r="Z86" s="385">
        <f t="shared" si="37"/>
        <v>12.306275056550346</v>
      </c>
      <c r="AA86" s="386">
        <f t="shared" si="38"/>
        <v>13.698508783202461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0.10163396240321539</v>
      </c>
      <c r="AD86" s="231">
        <f>(INDEX(Models!$BJ86:$BT86,,AH86)*(1-AF86)+INDEX(Models!$BJ86:$BT86,,AH86+1)*AF86-ERP_i)*AE86*Ramure*Pc/MaxiM</f>
        <v>3.6806193798013449E-3</v>
      </c>
      <c r="AE86" s="305">
        <f t="shared" si="40"/>
        <v>0.7</v>
      </c>
      <c r="AF86" s="177">
        <f t="shared" si="41"/>
        <v>0.51193630184755845</v>
      </c>
      <c r="AG86" s="921">
        <f t="shared" si="49"/>
        <v>2</v>
      </c>
      <c r="AH86" s="176">
        <f t="shared" si="42"/>
        <v>8</v>
      </c>
      <c r="AI86" s="225">
        <f t="shared" si="43"/>
        <v>2.5119363018475585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12.863744149006889</v>
      </c>
      <c r="C87" s="955"/>
      <c r="D87" s="393">
        <f t="shared" si="25"/>
        <v>13.802837006038724</v>
      </c>
      <c r="E87" s="385">
        <f t="shared" si="47"/>
        <v>14.473511238984655</v>
      </c>
      <c r="F87" s="385">
        <f t="shared" si="26"/>
        <v>14.473511238984655</v>
      </c>
      <c r="G87" s="110">
        <f t="shared" si="48"/>
        <v>0.28723422514343006</v>
      </c>
      <c r="H87" s="414" t="b">
        <f>Wh_hp&gt;='2026'!Maxi_hp</f>
        <v>0</v>
      </c>
      <c r="I87" s="390">
        <f>IF(H87,Wh_hp,'2026'!Maxi_hp)</f>
        <v>36.891466840324576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6.8036220135105796E-2</v>
      </c>
      <c r="M87" s="959"/>
      <c r="N87" s="959"/>
      <c r="O87" s="48">
        <f>IF(t&lt;Tnet,'2026'!Resal+('2026'!Salim-'2026'!Resal)*(1-EXP(('2026'!Tnet-t)/('2026'!Tau_j))),Resal+(Salim-Resal)*(1-EXP((Tnet-t)/(Tau_j))))*Salcycl</f>
        <v>4.6338046233001036E-2</v>
      </c>
      <c r="P87" s="169">
        <f>(INDEX(Models!$BJ87:$BT87,,T87)*(1-R87)+INDEX(Models!$BJ87:$BT87,,T87+1)*R87-ERP_i)*Q87*Ramure*Pc/MaxiM</f>
        <v>1.8854316388436916E-4</v>
      </c>
      <c r="Q87" s="305">
        <f t="shared" si="28"/>
        <v>0.7</v>
      </c>
      <c r="R87" s="177">
        <f t="shared" si="29"/>
        <v>0.98746330470661703</v>
      </c>
      <c r="S87" s="921">
        <f t="shared" si="30"/>
        <v>-2</v>
      </c>
      <c r="T87" s="176">
        <f t="shared" si="31"/>
        <v>4</v>
      </c>
      <c r="U87" s="251">
        <f t="shared" si="32"/>
        <v>-1.012536695293383</v>
      </c>
      <c r="V87" s="383">
        <f t="shared" si="33"/>
        <v>44.776414689312709</v>
      </c>
      <c r="W87" s="402">
        <f t="shared" si="34"/>
        <v>12.863744149006889</v>
      </c>
      <c r="X87" s="157">
        <f t="shared" si="35"/>
        <v>46460</v>
      </c>
      <c r="Y87" s="385">
        <f t="shared" si="36"/>
        <v>12.117112943659295</v>
      </c>
      <c r="Z87" s="385">
        <f t="shared" si="37"/>
        <v>13.001699428078524</v>
      </c>
      <c r="AA87" s="386">
        <f t="shared" si="38"/>
        <v>14.473511238984655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0.101690031299508</v>
      </c>
      <c r="AD87" s="231">
        <f>(INDEX(Models!$BJ87:$BT87,,AH87)*(1-AF87)+INDEX(Models!$BJ87:$BT87,,AH87+1)*AF87-ERP_i)*AE87*Ramure*Pc/MaxiM</f>
        <v>3.6280170872784231E-3</v>
      </c>
      <c r="AE87" s="305">
        <f t="shared" si="40"/>
        <v>0.7</v>
      </c>
      <c r="AF87" s="177">
        <f t="shared" si="41"/>
        <v>0.51245087108059595</v>
      </c>
      <c r="AG87" s="921">
        <f t="shared" si="49"/>
        <v>2</v>
      </c>
      <c r="AH87" s="176">
        <f t="shared" si="42"/>
        <v>8</v>
      </c>
      <c r="AI87" s="225">
        <f t="shared" si="43"/>
        <v>2.5124508710805959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14.603684729007155</v>
      </c>
      <c r="C88" s="955"/>
      <c r="D88" s="393">
        <f t="shared" si="25"/>
        <v>15.670141812061715</v>
      </c>
      <c r="E88" s="385">
        <f t="shared" si="47"/>
        <v>16.433360611564655</v>
      </c>
      <c r="F88" s="385">
        <f t="shared" si="26"/>
        <v>16.433462457359948</v>
      </c>
      <c r="G88" s="110">
        <f t="shared" si="48"/>
        <v>0.32425490152483005</v>
      </c>
      <c r="H88" s="414" t="b">
        <f>Wh_hp&gt;='2026'!Maxi_hp</f>
        <v>0</v>
      </c>
      <c r="I88" s="390">
        <f>IF(H88,Wh_hp,'2026'!Maxi_hp)</f>
        <v>34.951737117929945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6.8056632533706862E-2</v>
      </c>
      <c r="M88" s="959"/>
      <c r="N88" s="959"/>
      <c r="O88" s="48">
        <f>IF(t&lt;Tnet,'2026'!Resal+('2026'!Salim-'2026'!Resal)*(1-EXP(('2026'!Tnet-t)/('2026'!Tau_j))),Resal+(Salim-Resal)*(1-EXP((Tnet-t)/(Tau_j))))*Salcycl</f>
        <v>4.6443257562658248E-2</v>
      </c>
      <c r="P88" s="169">
        <f>(INDEX(Models!$BJ88:$BT88,,T88)*(1-R88)+INDEX(Models!$BJ88:$BT88,,T88+1)*R88-ERP_i)*Q88*Ramure*Pc/MaxiM</f>
        <v>1.7844872325258212E-4</v>
      </c>
      <c r="Q88" s="305">
        <f t="shared" si="28"/>
        <v>0.7</v>
      </c>
      <c r="R88" s="177">
        <f t="shared" si="29"/>
        <v>0.98799830863824867</v>
      </c>
      <c r="S88" s="921">
        <f t="shared" si="30"/>
        <v>-2</v>
      </c>
      <c r="T88" s="176">
        <f t="shared" si="31"/>
        <v>4</v>
      </c>
      <c r="U88" s="251">
        <f t="shared" si="32"/>
        <v>-1.0120016913617513</v>
      </c>
      <c r="V88" s="383">
        <f t="shared" si="33"/>
        <v>45.029910547760437</v>
      </c>
      <c r="W88" s="402">
        <f t="shared" si="34"/>
        <v>14.603684729007155</v>
      </c>
      <c r="X88" s="157">
        <f t="shared" si="35"/>
        <v>46461</v>
      </c>
      <c r="Y88" s="385">
        <f t="shared" si="36"/>
        <v>13.755097595552771</v>
      </c>
      <c r="Z88" s="385">
        <f t="shared" si="37"/>
        <v>14.759585266376467</v>
      </c>
      <c r="AA88" s="386">
        <f t="shared" si="38"/>
        <v>16.431422517822817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0.10174634908407619</v>
      </c>
      <c r="AD88" s="231">
        <f>(INDEX(Models!$BJ88:$BT88,,AH88)*(1-AF88)+INDEX(Models!$BJ88:$BT88,,AH88+1)*AF88-ERP_i)*AE88*Ramure*Pc/MaxiM</f>
        <v>3.574272309052183E-3</v>
      </c>
      <c r="AE88" s="305">
        <f t="shared" si="40"/>
        <v>0.7</v>
      </c>
      <c r="AF88" s="177">
        <f t="shared" si="41"/>
        <v>0.51298587501222759</v>
      </c>
      <c r="AG88" s="921">
        <f t="shared" si="49"/>
        <v>2</v>
      </c>
      <c r="AH88" s="176">
        <f t="shared" si="42"/>
        <v>8</v>
      </c>
      <c r="AI88" s="225">
        <f t="shared" si="43"/>
        <v>2.5129858750122276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10.023858895011559</v>
      </c>
      <c r="C89" s="955"/>
      <c r="D89" s="393">
        <f t="shared" si="25"/>
        <v>10.756102568022454</v>
      </c>
      <c r="E89" s="385">
        <f t="shared" si="47"/>
        <v>11.281227114126713</v>
      </c>
      <c r="F89" s="385">
        <f t="shared" si="26"/>
        <v>11.281227114126713</v>
      </c>
      <c r="G89" s="110">
        <f t="shared" si="48"/>
        <v>0.22133540771593427</v>
      </c>
      <c r="H89" s="414" t="b">
        <f>Wh_hp&gt;='2026'!Maxi_hp</f>
        <v>0</v>
      </c>
      <c r="I89" s="390">
        <f>IF(H89,Wh_hp,'2026'!Maxi_hp)</f>
        <v>52.275659986289419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6.8077044485223892E-2</v>
      </c>
      <c r="M89" s="959"/>
      <c r="N89" s="959"/>
      <c r="O89" s="48">
        <f>IF(t&lt;Tnet,'2026'!Resal+('2026'!Salim-'2026'!Resal)*(1-EXP(('2026'!Tnet-t)/('2026'!Tau_j))),Resal+(Salim-Resal)*(1-EXP((Tnet-t)/(Tau_j))))*Salcycl</f>
        <v>4.654853065112758E-2</v>
      </c>
      <c r="P89" s="169">
        <f>(INDEX(Models!$BJ89:$BT89,,T89)*(1-R89)+INDEX(Models!$BJ89:$BT89,,T89+1)*R89-ERP_i)*Q89*Ramure*Pc/MaxiM</f>
        <v>1.6890797201480286E-4</v>
      </c>
      <c r="Q89" s="305">
        <f t="shared" si="28"/>
        <v>0.7</v>
      </c>
      <c r="R89" s="177">
        <f t="shared" si="29"/>
        <v>0.98855450993102045</v>
      </c>
      <c r="S89" s="921">
        <f t="shared" si="30"/>
        <v>-2</v>
      </c>
      <c r="T89" s="176">
        <f t="shared" si="31"/>
        <v>4</v>
      </c>
      <c r="U89" s="251">
        <f t="shared" si="32"/>
        <v>-1.0114454900689795</v>
      </c>
      <c r="V89" s="383">
        <f t="shared" si="33"/>
        <v>45.280445134185044</v>
      </c>
      <c r="W89" s="402">
        <f t="shared" si="34"/>
        <v>10.023858895011559</v>
      </c>
      <c r="X89" s="157">
        <f t="shared" si="35"/>
        <v>46462</v>
      </c>
      <c r="Y89" s="385">
        <f t="shared" si="36"/>
        <v>9.4429562231019446</v>
      </c>
      <c r="Z89" s="385">
        <f t="shared" si="37"/>
        <v>10.13276491068496</v>
      </c>
      <c r="AA89" s="386">
        <f t="shared" si="38"/>
        <v>11.281227114126713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0.10180295031943916</v>
      </c>
      <c r="AD89" s="231">
        <f>(INDEX(Models!$BJ89:$BT89,,AH89)*(1-AF89)+INDEX(Models!$BJ89:$BT89,,AH89+1)*AF89-ERP_i)*AE89*Ramure*Pc/MaxiM</f>
        <v>3.5194246313737156E-3</v>
      </c>
      <c r="AE89" s="305">
        <f t="shared" si="40"/>
        <v>0.7</v>
      </c>
      <c r="AF89" s="177">
        <f t="shared" si="41"/>
        <v>0.51354207630499937</v>
      </c>
      <c r="AG89" s="921">
        <f t="shared" si="49"/>
        <v>2</v>
      </c>
      <c r="AH89" s="176">
        <f t="shared" si="42"/>
        <v>8</v>
      </c>
      <c r="AI89" s="225">
        <f t="shared" si="43"/>
        <v>2.5135420763049994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10.854435502750126</v>
      </c>
      <c r="C90" s="955"/>
      <c r="D90" s="393">
        <f t="shared" si="25"/>
        <v>11.647607974155042</v>
      </c>
      <c r="E90" s="385">
        <f t="shared" si="47"/>
        <v>12.217606766831475</v>
      </c>
      <c r="F90" s="385">
        <f t="shared" si="26"/>
        <v>12.217606766831475</v>
      </c>
      <c r="G90" s="110">
        <f t="shared" si="48"/>
        <v>0.23837558679140833</v>
      </c>
      <c r="H90" s="414" t="b">
        <f>Wh_hp&gt;='2026'!Maxi_hp</f>
        <v>0</v>
      </c>
      <c r="I90" s="390">
        <f>IF(H90,Wh_hp,'2026'!Maxi_hp)</f>
        <v>27.107916637934526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6.8097455989666877E-2</v>
      </c>
      <c r="M90" s="959"/>
      <c r="N90" s="959"/>
      <c r="O90" s="48">
        <f>IF(t&lt;Tnet,'2026'!Resal+('2026'!Salim-'2026'!Resal)*(1-EXP(('2026'!Tnet-t)/('2026'!Tau_j))),Resal+(Salim-Resal)*(1-EXP((Tnet-t)/(Tau_j))))*Salcycl</f>
        <v>4.6653882675605031E-2</v>
      </c>
      <c r="P90" s="169">
        <f>(INDEX(Models!$BJ90:$BT90,,T90)*(1-R90)+INDEX(Models!$BJ90:$BT90,,T90+1)*R90-ERP_i)*Q90*Ramure*Pc/MaxiM</f>
        <v>1.599112842962336E-4</v>
      </c>
      <c r="Q90" s="305">
        <f t="shared" si="28"/>
        <v>0.7</v>
      </c>
      <c r="R90" s="177">
        <f t="shared" si="29"/>
        <v>0.98913269565678474</v>
      </c>
      <c r="S90" s="921">
        <f t="shared" si="30"/>
        <v>-2</v>
      </c>
      <c r="T90" s="176">
        <f t="shared" si="31"/>
        <v>4</v>
      </c>
      <c r="U90" s="251">
        <f t="shared" si="32"/>
        <v>-1.0108673043432153</v>
      </c>
      <c r="V90" s="383">
        <f t="shared" si="33"/>
        <v>45.527731686404927</v>
      </c>
      <c r="W90" s="402">
        <f t="shared" si="34"/>
        <v>10.854435502750126</v>
      </c>
      <c r="X90" s="157">
        <f t="shared" si="35"/>
        <v>46463</v>
      </c>
      <c r="Y90" s="385">
        <f t="shared" si="36"/>
        <v>10.225881166093837</v>
      </c>
      <c r="Z90" s="385">
        <f t="shared" si="37"/>
        <v>10.973122921295996</v>
      </c>
      <c r="AA90" s="386">
        <f t="shared" si="38"/>
        <v>12.217606766831475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0.10185987070021121</v>
      </c>
      <c r="AD90" s="231">
        <f>(INDEX(Models!$BJ90:$BT90,,AH90)*(1-AF90)+INDEX(Models!$BJ90:$BT90,,AH90+1)*AF90-ERP_i)*AE90*Ramure*Pc/MaxiM</f>
        <v>3.4635102006056457E-3</v>
      </c>
      <c r="AE90" s="305">
        <f t="shared" si="40"/>
        <v>0.7</v>
      </c>
      <c r="AF90" s="177">
        <f t="shared" si="41"/>
        <v>0.51412026203076389</v>
      </c>
      <c r="AG90" s="921">
        <f t="shared" si="49"/>
        <v>2</v>
      </c>
      <c r="AH90" s="176">
        <f t="shared" si="42"/>
        <v>8</v>
      </c>
      <c r="AI90" s="225">
        <f t="shared" si="43"/>
        <v>2.5141202620307639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13.312694831324402</v>
      </c>
      <c r="C91" s="955"/>
      <c r="D91" s="393">
        <f t="shared" si="25"/>
        <v>14.285814010768769</v>
      </c>
      <c r="E91" s="385">
        <f t="shared" si="47"/>
        <v>14.986576298234816</v>
      </c>
      <c r="F91" s="385">
        <f t="shared" si="26"/>
        <v>14.986576298234816</v>
      </c>
      <c r="G91" s="110">
        <f t="shared" si="48"/>
        <v>0.29080723635402972</v>
      </c>
      <c r="H91" s="414" t="b">
        <f>Wh_hp&gt;='2026'!Maxi_hp</f>
        <v>0</v>
      </c>
      <c r="I91" s="390">
        <f>IF(H91,Wh_hp,'2026'!Maxi_hp)</f>
        <v>38.270489516966428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6.8117867047045588E-2</v>
      </c>
      <c r="M91" s="959"/>
      <c r="N91" s="959"/>
      <c r="O91" s="48">
        <f>IF(t&lt;Tnet,'2026'!Resal+('2026'!Salim-'2026'!Resal)*(1-EXP(('2026'!Tnet-t)/('2026'!Tau_j))),Resal+(Salim-Resal)*(1-EXP((Tnet-t)/(Tau_j))))*Salcycl</f>
        <v>4.6759331385687247E-2</v>
      </c>
      <c r="P91" s="169">
        <f>(INDEX(Models!$BJ91:$BT91,,T91)*(1-R91)+INDEX(Models!$BJ91:$BT91,,T91+1)*R91-ERP_i)*Q91*Ramure*Pc/MaxiM</f>
        <v>1.5144926262536149E-4</v>
      </c>
      <c r="Q91" s="305">
        <f t="shared" si="28"/>
        <v>0.7</v>
      </c>
      <c r="R91" s="177">
        <f t="shared" si="29"/>
        <v>0.98973367773541021</v>
      </c>
      <c r="S91" s="921">
        <f t="shared" si="30"/>
        <v>-2</v>
      </c>
      <c r="T91" s="176">
        <f t="shared" si="31"/>
        <v>4</v>
      </c>
      <c r="U91" s="251">
        <f t="shared" si="32"/>
        <v>-1.0102663222645898</v>
      </c>
      <c r="V91" s="383">
        <f t="shared" si="33"/>
        <v>45.771483544873604</v>
      </c>
      <c r="W91" s="402">
        <f t="shared" si="34"/>
        <v>13.312694831324402</v>
      </c>
      <c r="X91" s="157">
        <f t="shared" si="35"/>
        <v>46464</v>
      </c>
      <c r="Y91" s="385">
        <f t="shared" si="36"/>
        <v>12.542376075390214</v>
      </c>
      <c r="Z91" s="385">
        <f t="shared" si="37"/>
        <v>13.459187199614878</v>
      </c>
      <c r="AA91" s="386">
        <f t="shared" si="38"/>
        <v>14.986576298234816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0.10191714693367558</v>
      </c>
      <c r="AD91" s="231">
        <f>(INDEX(Models!$BJ91:$BT91,,AH91)*(1-AF91)+INDEX(Models!$BJ91:$BT91,,AH91+1)*AF91-ERP_i)*AE91*Ramure*Pc/MaxiM</f>
        <v>3.406561596263047E-3</v>
      </c>
      <c r="AE91" s="305">
        <f t="shared" si="40"/>
        <v>0.7</v>
      </c>
      <c r="AF91" s="177">
        <f t="shared" si="41"/>
        <v>0.51472124410938891</v>
      </c>
      <c r="AG91" s="921">
        <f t="shared" si="49"/>
        <v>2</v>
      </c>
      <c r="AH91" s="176">
        <f t="shared" si="42"/>
        <v>8</v>
      </c>
      <c r="AI91" s="225">
        <f t="shared" si="43"/>
        <v>2.5147212441093889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30.503352369328407</v>
      </c>
      <c r="C92" s="955"/>
      <c r="D92" s="393">
        <f t="shared" si="25"/>
        <v>32.733775449693624</v>
      </c>
      <c r="E92" s="385">
        <f t="shared" si="47"/>
        <v>34.343269154312637</v>
      </c>
      <c r="F92" s="385">
        <f t="shared" si="26"/>
        <v>34.345824887341465</v>
      </c>
      <c r="G92" s="110">
        <f t="shared" si="48"/>
        <v>0.66290604093983951</v>
      </c>
      <c r="H92" s="414" t="b">
        <f>Wh_hp&gt;='2026'!Maxi_hp</f>
        <v>0</v>
      </c>
      <c r="I92" s="390">
        <f>IF(H92,Wh_hp,'2026'!Maxi_hp)</f>
        <v>46.831517578729603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6.8138277657369684E-2</v>
      </c>
      <c r="M92" s="959"/>
      <c r="N92" s="959"/>
      <c r="O92" s="48">
        <f>IF(t&lt;Tnet,'2026'!Resal+('2026'!Salim-'2026'!Resal)*(1-EXP(('2026'!Tnet-t)/('2026'!Tau_j))),Resal+(Salim-Resal)*(1-EXP((Tnet-t)/(Tau_j))))*Salcycl</f>
        <v>4.6864895050822634E-2</v>
      </c>
      <c r="P92" s="169">
        <f>(INDEX(Models!$BJ92:$BT92,,T92)*(1-R92)+INDEX(Models!$BJ92:$BT92,,T92+1)*R92-ERP_i)*Q92*Ramure*Pc/MaxiM</f>
        <v>1.4351277226916343E-4</v>
      </c>
      <c r="Q92" s="305">
        <f t="shared" si="28"/>
        <v>0.7</v>
      </c>
      <c r="R92" s="177">
        <f t="shared" si="29"/>
        <v>0.99035829334961667</v>
      </c>
      <c r="S92" s="921">
        <f t="shared" si="30"/>
        <v>-2</v>
      </c>
      <c r="T92" s="176">
        <f t="shared" si="31"/>
        <v>4</v>
      </c>
      <c r="U92" s="251">
        <f t="shared" si="32"/>
        <v>-1.0096417066503833</v>
      </c>
      <c r="V92" s="383">
        <f t="shared" si="33"/>
        <v>46.011414161318051</v>
      </c>
      <c r="W92" s="402">
        <f t="shared" si="34"/>
        <v>30.503352369328407</v>
      </c>
      <c r="X92" s="157">
        <f t="shared" si="35"/>
        <v>46465</v>
      </c>
      <c r="Y92" s="385">
        <f t="shared" si="36"/>
        <v>28.691895178866275</v>
      </c>
      <c r="Z92" s="385">
        <f t="shared" si="37"/>
        <v>30.789863443190914</v>
      </c>
      <c r="AA92" s="386">
        <f t="shared" si="38"/>
        <v>34.28619153778795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0.10197481661804329</v>
      </c>
      <c r="AD92" s="231">
        <f>(INDEX(Models!$BJ92:$BT92,,AH92)*(1-AF92)+INDEX(Models!$BJ92:$BT92,,AH92+1)*AF92-ERP_i)*AE92*Ramure*Pc/MaxiM</f>
        <v>3.3486077057336789E-3</v>
      </c>
      <c r="AE92" s="305">
        <f t="shared" si="40"/>
        <v>0.7</v>
      </c>
      <c r="AF92" s="177">
        <f t="shared" si="41"/>
        <v>0.51534585972359581</v>
      </c>
      <c r="AG92" s="921">
        <f t="shared" si="49"/>
        <v>2</v>
      </c>
      <c r="AH92" s="176">
        <f t="shared" si="42"/>
        <v>8</v>
      </c>
      <c r="AI92" s="225">
        <f t="shared" si="43"/>
        <v>2.5153458597235958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31.448902022598695</v>
      </c>
      <c r="C93" s="955"/>
      <c r="D93" s="393">
        <f t="shared" si="25"/>
        <v>33.749203444358287</v>
      </c>
      <c r="E93" s="385">
        <f t="shared" si="47"/>
        <v>35.412551989954167</v>
      </c>
      <c r="F93" s="385">
        <f t="shared" si="26"/>
        <v>35.415168202975963</v>
      </c>
      <c r="G93" s="110">
        <f t="shared" si="48"/>
        <v>0.67994270242660837</v>
      </c>
      <c r="H93" s="414" t="b">
        <f>Wh_hp&gt;='2026'!Maxi_hp</f>
        <v>0</v>
      </c>
      <c r="I93" s="390">
        <f>IF(H93,Wh_hp,'2026'!Maxi_hp)</f>
        <v>53.139538604347429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6.8158687820649044E-2</v>
      </c>
      <c r="M93" s="959"/>
      <c r="N93" s="959"/>
      <c r="O93" s="48">
        <f>IF(t&lt;Tnet,'2026'!Resal+('2026'!Salim-'2026'!Resal)*(1-EXP(('2026'!Tnet-t)/('2026'!Tau_j))),Resal+(Salim-Resal)*(1-EXP((Tnet-t)/(Tau_j))))*Salcycl</f>
        <v>4.6970592406549411E-2</v>
      </c>
      <c r="P93" s="169">
        <f>(INDEX(Models!$BJ93:$BT93,,T93)*(1-R93)+INDEX(Models!$BJ93:$BT93,,T93+1)*R93-ERP_i)*Q93*Ramure*Pc/MaxiM</f>
        <v>1.3608660181867416E-4</v>
      </c>
      <c r="Q93" s="305">
        <f t="shared" si="28"/>
        <v>0.7</v>
      </c>
      <c r="R93" s="177">
        <f t="shared" si="29"/>
        <v>0.99100740533223819</v>
      </c>
      <c r="S93" s="921">
        <f t="shared" si="30"/>
        <v>-2</v>
      </c>
      <c r="T93" s="176">
        <f t="shared" si="31"/>
        <v>4</v>
      </c>
      <c r="U93" s="251">
        <f t="shared" si="32"/>
        <v>-1.0089925946677618</v>
      </c>
      <c r="V93" s="383">
        <f t="shared" si="33"/>
        <v>46.24940484832883</v>
      </c>
      <c r="W93" s="402">
        <f t="shared" si="34"/>
        <v>31.448902022598695</v>
      </c>
      <c r="X93" s="157">
        <f t="shared" si="35"/>
        <v>46466</v>
      </c>
      <c r="Y93" s="385">
        <f t="shared" si="36"/>
        <v>29.581179474395022</v>
      </c>
      <c r="Z93" s="385">
        <f t="shared" si="37"/>
        <v>31.744868023946925</v>
      </c>
      <c r="AA93" s="386">
        <f t="shared" si="38"/>
        <v>35.35192844426134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0.10203291811934931</v>
      </c>
      <c r="AD93" s="231">
        <f>(INDEX(Models!$BJ93:$BT93,,AH93)*(1-AF93)+INDEX(Models!$BJ93:$BT93,,AH93+1)*AF93-ERP_i)*AE93*Ramure*Pc/MaxiM</f>
        <v>3.2895195427930326E-3</v>
      </c>
      <c r="AE93" s="305">
        <f t="shared" si="40"/>
        <v>0.7</v>
      </c>
      <c r="AF93" s="177">
        <f t="shared" si="41"/>
        <v>0.51599497170621733</v>
      </c>
      <c r="AG93" s="921">
        <f t="shared" si="49"/>
        <v>2</v>
      </c>
      <c r="AH93" s="176">
        <f t="shared" si="42"/>
        <v>8</v>
      </c>
      <c r="AI93" s="225">
        <f t="shared" si="43"/>
        <v>2.5159949717062173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45.348466235093277</v>
      </c>
      <c r="C94" s="955"/>
      <c r="D94" s="393">
        <f t="shared" si="25"/>
        <v>48.666504598922913</v>
      </c>
      <c r="E94" s="385">
        <f t="shared" si="47"/>
        <v>51.07073303099299</v>
      </c>
      <c r="F94" s="385">
        <f t="shared" si="26"/>
        <v>51.077101607989768</v>
      </c>
      <c r="G94" s="110">
        <f t="shared" si="48"/>
        <v>0.97550249510279818</v>
      </c>
      <c r="H94" s="414" t="b">
        <f>Wh_hp&gt;='2026'!Maxi_hp</f>
        <v>0</v>
      </c>
      <c r="I94" s="390">
        <f>IF(H94,Wh_hp,'2026'!Maxi_hp)</f>
        <v>53.219933275475654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6.817909753689344E-2</v>
      </c>
      <c r="M94" s="959"/>
      <c r="N94" s="959"/>
      <c r="O94" s="48">
        <f>IF(t&lt;Tnet,'2026'!Resal+('2026'!Salim-'2026'!Resal)*(1-EXP(('2026'!Tnet-t)/('2026'!Tau_j))),Resal+(Salim-Resal)*(1-EXP((Tnet-t)/(Tau_j))))*Salcycl</f>
        <v>4.707644259993371E-2</v>
      </c>
      <c r="P94" s="169">
        <f>(INDEX(Models!$BJ94:$BT94,,T94)*(1-R94)+INDEX(Models!$BJ94:$BT94,,T94+1)*R94-ERP_i)*Q94*Ramure*Pc/MaxiM</f>
        <v>1.2920651285964696E-4</v>
      </c>
      <c r="Q94" s="305">
        <f t="shared" si="28"/>
        <v>0.7</v>
      </c>
      <c r="R94" s="177">
        <f t="shared" si="29"/>
        <v>0.99168190252193855</v>
      </c>
      <c r="S94" s="921">
        <f t="shared" si="30"/>
        <v>-2</v>
      </c>
      <c r="T94" s="176">
        <f t="shared" si="31"/>
        <v>4</v>
      </c>
      <c r="U94" s="251">
        <f t="shared" si="32"/>
        <v>-1.0083180974780614</v>
      </c>
      <c r="V94" s="383">
        <f t="shared" si="33"/>
        <v>46.487078627566468</v>
      </c>
      <c r="W94" s="402">
        <f t="shared" si="34"/>
        <v>45.348466235093277</v>
      </c>
      <c r="X94" s="157">
        <f t="shared" si="35"/>
        <v>46467</v>
      </c>
      <c r="Y94" s="385">
        <f t="shared" si="36"/>
        <v>42.602520726562759</v>
      </c>
      <c r="Z94" s="385">
        <f t="shared" si="37"/>
        <v>45.719644852299837</v>
      </c>
      <c r="AA94" s="386">
        <f t="shared" si="38"/>
        <v>50.917932468537835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0.10209149044788923</v>
      </c>
      <c r="AD94" s="231">
        <f>(INDEX(Models!$BJ94:$BT94,,AH94)*(1-AF94)+INDEX(Models!$BJ94:$BT94,,AH94+1)*AF94-ERP_i)*AE94*Ramure*Pc/MaxiM</f>
        <v>3.2292440640747139E-3</v>
      </c>
      <c r="AE94" s="305">
        <f t="shared" si="40"/>
        <v>0.7</v>
      </c>
      <c r="AF94" s="177">
        <f t="shared" si="41"/>
        <v>0.51666946889591747</v>
      </c>
      <c r="AG94" s="921">
        <f t="shared" si="49"/>
        <v>2</v>
      </c>
      <c r="AH94" s="176">
        <f t="shared" si="42"/>
        <v>8</v>
      </c>
      <c r="AI94" s="225">
        <f t="shared" si="43"/>
        <v>2.5166694688959175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40.017009587322953</v>
      </c>
      <c r="C95" s="955"/>
      <c r="D95" s="393">
        <f t="shared" si="25"/>
        <v>42.945898697862454</v>
      </c>
      <c r="E95" s="385">
        <f t="shared" si="47"/>
        <v>45.072531860918396</v>
      </c>
      <c r="F95" s="385">
        <f t="shared" si="26"/>
        <v>45.076933928159754</v>
      </c>
      <c r="G95" s="110">
        <f t="shared" si="48"/>
        <v>0.8564378424724276</v>
      </c>
      <c r="H95" s="414" t="b">
        <f>Wh_hp&gt;='2026'!Maxi_hp</f>
        <v>0</v>
      </c>
      <c r="I95" s="390">
        <f>IF(H95,Wh_hp,'2026'!Maxi_hp)</f>
        <v>52.117627843898426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6.8199506806112753E-2</v>
      </c>
      <c r="M95" s="959"/>
      <c r="N95" s="959"/>
      <c r="O95" s="48">
        <f>IF(t&lt;Tnet,'2026'!Resal+('2026'!Salim-'2026'!Resal)*(1-EXP(('2026'!Tnet-t)/('2026'!Tau_j))),Resal+(Salim-Resal)*(1-EXP((Tnet-t)/(Tau_j))))*Salcycl</f>
        <v>4.718246513460022E-2</v>
      </c>
      <c r="P95" s="169">
        <f>(INDEX(Models!$BJ95:$BT95,,T95)*(1-R95)+INDEX(Models!$BJ95:$BT95,,T95+1)*R95-ERP_i)*Q95*Ramure*Pc/MaxiM</f>
        <v>1.2284764783409351E-4</v>
      </c>
      <c r="Q95" s="305">
        <f t="shared" si="28"/>
        <v>0.7</v>
      </c>
      <c r="R95" s="177">
        <f t="shared" si="29"/>
        <v>0.99238270008311313</v>
      </c>
      <c r="S95" s="921">
        <f t="shared" si="30"/>
        <v>-2</v>
      </c>
      <c r="T95" s="176">
        <f t="shared" si="31"/>
        <v>4</v>
      </c>
      <c r="U95" s="251">
        <f t="shared" si="32"/>
        <v>-1.0076172999168869</v>
      </c>
      <c r="V95" s="383">
        <f t="shared" si="33"/>
        <v>46.723766092913174</v>
      </c>
      <c r="W95" s="402">
        <f t="shared" si="34"/>
        <v>40.017009587322953</v>
      </c>
      <c r="X95" s="157">
        <f t="shared" si="35"/>
        <v>46468</v>
      </c>
      <c r="Y95" s="385">
        <f t="shared" si="36"/>
        <v>37.617071388702222</v>
      </c>
      <c r="Z95" s="385">
        <f t="shared" si="37"/>
        <v>40.370306372949017</v>
      </c>
      <c r="AA95" s="386">
        <f t="shared" si="38"/>
        <v>44.963337019561266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0.1021505731350424</v>
      </c>
      <c r="AD95" s="231">
        <f>(INDEX(Models!$BJ95:$BT95,,AH95)*(1-AF95)+INDEX(Models!$BJ95:$BT95,,AH95+1)*AF95-ERP_i)*AE95*Ramure*Pc/MaxiM</f>
        <v>3.170127182847472E-3</v>
      </c>
      <c r="AE95" s="305">
        <f t="shared" si="40"/>
        <v>0.7</v>
      </c>
      <c r="AF95" s="177">
        <f t="shared" si="41"/>
        <v>0.51737026645709205</v>
      </c>
      <c r="AG95" s="921">
        <f t="shared" si="49"/>
        <v>2</v>
      </c>
      <c r="AH95" s="176">
        <f t="shared" si="42"/>
        <v>8</v>
      </c>
      <c r="AI95" s="225">
        <f t="shared" si="43"/>
        <v>2.5173702664570921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47.120966206382583</v>
      </c>
      <c r="C96" s="955"/>
      <c r="D96" s="393">
        <f t="shared" si="25"/>
        <v>50.570909377352841</v>
      </c>
      <c r="E96" s="385">
        <f t="shared" si="47"/>
        <v>53.081041765695737</v>
      </c>
      <c r="F96" s="385">
        <f t="shared" si="26"/>
        <v>53.087253194145482</v>
      </c>
      <c r="G96" s="110">
        <f t="shared" si="48"/>
        <v>1.0034534301766029</v>
      </c>
      <c r="H96" s="414" t="b">
        <f>Wh_hp&gt;='2026'!Maxi_hp</f>
        <v>1</v>
      </c>
      <c r="I96" s="390">
        <f>IF(H96,Wh_hp,'2026'!Maxi_hp)</f>
        <v>53.087253194145482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6.8219915628316641E-2</v>
      </c>
      <c r="M96" s="959"/>
      <c r="N96" s="959"/>
      <c r="O96" s="48">
        <f>IF(t&lt;Tnet,'2026'!Resal+('2026'!Salim-'2026'!Resal)*(1-EXP(('2026'!Tnet-t)/('2026'!Tau_j))),Resal+(Salim-Resal)*(1-EXP((Tnet-t)/(Tau_j))))*Salcycl</f>
        <v>4.7288679815720977E-2</v>
      </c>
      <c r="P96" s="169">
        <f>(INDEX(Models!$BJ96:$BT96,,T96)*(1-R96)+INDEX(Models!$BJ96:$BT96,,T96+1)*R96-ERP_i)*Q96*Ramure*Pc/MaxiM</f>
        <v>1.1700414084389127E-4</v>
      </c>
      <c r="Q96" s="305">
        <f t="shared" si="28"/>
        <v>0.7</v>
      </c>
      <c r="R96" s="177">
        <f t="shared" si="29"/>
        <v>0.99311073978540776</v>
      </c>
      <c r="S96" s="921">
        <f t="shared" si="30"/>
        <v>-2</v>
      </c>
      <c r="T96" s="176">
        <f t="shared" si="31"/>
        <v>4</v>
      </c>
      <c r="U96" s="251">
        <f t="shared" si="32"/>
        <v>-1.0068892602145922</v>
      </c>
      <c r="V96" s="383">
        <f t="shared" si="33"/>
        <v>46.958797278802983</v>
      </c>
      <c r="W96" s="402">
        <f t="shared" si="34"/>
        <v>47.120966206382583</v>
      </c>
      <c r="X96" s="157">
        <f t="shared" si="35"/>
        <v>46469</v>
      </c>
      <c r="Y96" s="385">
        <f t="shared" si="36"/>
        <v>44.271539504195076</v>
      </c>
      <c r="Z96" s="385">
        <f t="shared" si="37"/>
        <v>47.512863009996828</v>
      </c>
      <c r="AA96" s="386">
        <f t="shared" si="38"/>
        <v>52.922035128286268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0.10221020611125917</v>
      </c>
      <c r="AD96" s="231">
        <f>(INDEX(Models!$BJ96:$BT96,,AH96)*(1-AF96)+INDEX(Models!$BJ96:$BT96,,AH96+1)*AF96-ERP_i)*AE96*Ramure*Pc/MaxiM</f>
        <v>3.1121984265224177E-3</v>
      </c>
      <c r="AE96" s="305">
        <f t="shared" si="40"/>
        <v>0.7</v>
      </c>
      <c r="AF96" s="177">
        <f t="shared" si="41"/>
        <v>0.5180983061593869</v>
      </c>
      <c r="AG96" s="921">
        <f t="shared" si="49"/>
        <v>2</v>
      </c>
      <c r="AH96" s="176">
        <f t="shared" si="42"/>
        <v>8</v>
      </c>
      <c r="AI96" s="225">
        <f t="shared" si="43"/>
        <v>2.5180983061593869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44.351308722019063</v>
      </c>
      <c r="C97" s="955"/>
      <c r="D97" s="393">
        <f t="shared" si="25"/>
        <v>47.599515051546803</v>
      </c>
      <c r="E97" s="385">
        <f t="shared" si="47"/>
        <v>49.96774149082767</v>
      </c>
      <c r="F97" s="385">
        <f t="shared" si="26"/>
        <v>49.972842169367695</v>
      </c>
      <c r="G97" s="110">
        <f t="shared" si="48"/>
        <v>0.93980654291404253</v>
      </c>
      <c r="H97" s="414" t="b">
        <f>Wh_hp&gt;='2026'!Maxi_hp</f>
        <v>0</v>
      </c>
      <c r="I97" s="390">
        <f>IF(H97,Wh_hp,'2026'!Maxi_hp)</f>
        <v>52.635831121779191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6.8240324003514874E-2</v>
      </c>
      <c r="M97" s="959"/>
      <c r="N97" s="959"/>
      <c r="O97" s="48">
        <f>IF(t&lt;Tnet,'2026'!Resal+('2026'!Salim-'2026'!Resal)*(1-EXP(('2026'!Tnet-t)/('2026'!Tau_j))),Resal+(Salim-Resal)*(1-EXP((Tnet-t)/(Tau_j))))*Salcycl</f>
        <v>4.7395106695298443E-2</v>
      </c>
      <c r="P97" s="169">
        <f>(INDEX(Models!$BJ97:$BT97,,T97)*(1-R97)+INDEX(Models!$BJ97:$BT97,,T97+1)*R97-ERP_i)*Q97*Ramure*Pc/MaxiM</f>
        <v>1.1167016066760919E-4</v>
      </c>
      <c r="Q97" s="305">
        <f t="shared" si="28"/>
        <v>0.7</v>
      </c>
      <c r="R97" s="177">
        <f t="shared" si="29"/>
        <v>0.99386699023796754</v>
      </c>
      <c r="S97" s="921">
        <f t="shared" si="30"/>
        <v>-2</v>
      </c>
      <c r="T97" s="176">
        <f t="shared" si="31"/>
        <v>4</v>
      </c>
      <c r="U97" s="251">
        <f t="shared" si="32"/>
        <v>-1.0061330097620325</v>
      </c>
      <c r="V97" s="383">
        <f t="shared" si="33"/>
        <v>47.191502537796026</v>
      </c>
      <c r="W97" s="402">
        <f t="shared" si="34"/>
        <v>44.351308722019063</v>
      </c>
      <c r="X97" s="157">
        <f t="shared" si="35"/>
        <v>46470</v>
      </c>
      <c r="Y97" s="385">
        <f t="shared" si="36"/>
        <v>41.683953902598844</v>
      </c>
      <c r="Z97" s="385">
        <f t="shared" si="37"/>
        <v>44.736808188247984</v>
      </c>
      <c r="AA97" s="386">
        <f t="shared" si="38"/>
        <v>49.833279043724481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0.10227042958591534</v>
      </c>
      <c r="AD97" s="231">
        <f>(INDEX(Models!$BJ97:$BT97,,AH97)*(1-AF97)+INDEX(Models!$BJ97:$BT97,,AH97+1)*AF97-ERP_i)*AE97*Ramure*Pc/MaxiM</f>
        <v>3.0554830188901068E-3</v>
      </c>
      <c r="AE97" s="305">
        <f t="shared" si="40"/>
        <v>0.7</v>
      </c>
      <c r="AF97" s="177">
        <f t="shared" si="41"/>
        <v>0.51885455661194646</v>
      </c>
      <c r="AG97" s="921">
        <f t="shared" si="49"/>
        <v>2</v>
      </c>
      <c r="AH97" s="176">
        <f t="shared" si="42"/>
        <v>8</v>
      </c>
      <c r="AI97" s="225">
        <f t="shared" si="43"/>
        <v>2.5188545566119465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40.375233460396139</v>
      </c>
      <c r="C98" s="955"/>
      <c r="D98" s="393">
        <f t="shared" si="25"/>
        <v>43.333188633450654</v>
      </c>
      <c r="E98" s="385">
        <f t="shared" si="47"/>
        <v>45.494245645259177</v>
      </c>
      <c r="F98" s="385">
        <f t="shared" si="26"/>
        <v>45.498074854849875</v>
      </c>
      <c r="G98" s="110">
        <f t="shared" si="48"/>
        <v>0.85139783628760624</v>
      </c>
      <c r="H98" s="414" t="b">
        <f>Wh_hp&gt;='2026'!Maxi_hp</f>
        <v>0</v>
      </c>
      <c r="I98" s="390">
        <f>IF(H98,Wh_hp,'2026'!Maxi_hp)</f>
        <v>47.578792902284313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6.8260731931717333E-2</v>
      </c>
      <c r="M98" s="959"/>
      <c r="N98" s="959"/>
      <c r="O98" s="48">
        <f>IF(t&lt;Tnet,'2026'!Resal+('2026'!Salim-'2026'!Resal)*(1-EXP(('2026'!Tnet-t)/('2026'!Tau_j))),Resal+(Salim-Resal)*(1-EXP((Tnet-t)/(Tau_j))))*Salcycl</f>
        <v>4.7501766018044123E-2</v>
      </c>
      <c r="P98" s="169">
        <f>(INDEX(Models!$BJ98:$BT98,,T98)*(1-R98)+INDEX(Models!$BJ98:$BT98,,T98+1)*R98-ERP_i)*Q98*Ramure*Pc/MaxiM</f>
        <v>1.0684000279850039E-4</v>
      </c>
      <c r="Q98" s="305">
        <f t="shared" si="28"/>
        <v>0.7</v>
      </c>
      <c r="R98" s="177">
        <f t="shared" si="29"/>
        <v>0.99465244707321476</v>
      </c>
      <c r="S98" s="921">
        <f t="shared" si="30"/>
        <v>-2</v>
      </c>
      <c r="T98" s="176">
        <f t="shared" si="31"/>
        <v>4</v>
      </c>
      <c r="U98" s="251">
        <f t="shared" si="32"/>
        <v>-1.0053475529267852</v>
      </c>
      <c r="V98" s="383">
        <f t="shared" si="33"/>
        <v>47.421212544141312</v>
      </c>
      <c r="W98" s="402">
        <f t="shared" si="34"/>
        <v>40.375233460396139</v>
      </c>
      <c r="X98" s="157">
        <f t="shared" si="35"/>
        <v>46471</v>
      </c>
      <c r="Y98" s="385">
        <f t="shared" si="36"/>
        <v>37.964349519090959</v>
      </c>
      <c r="Z98" s="385">
        <f t="shared" si="37"/>
        <v>40.74567941930804</v>
      </c>
      <c r="AA98" s="386">
        <f t="shared" si="38"/>
        <v>45.390552984487584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0.10233128392965275</v>
      </c>
      <c r="AD98" s="231">
        <f>(INDEX(Models!$BJ98:$BT98,,AH98)*(1-AF98)+INDEX(Models!$BJ98:$BT98,,AH98+1)*AF98-ERP_i)*AE98*Ramure*Pc/MaxiM</f>
        <v>3.0000021305487024E-3</v>
      </c>
      <c r="AE98" s="305">
        <f t="shared" si="40"/>
        <v>0.7</v>
      </c>
      <c r="AF98" s="177">
        <f t="shared" si="41"/>
        <v>0.5196400134471939</v>
      </c>
      <c r="AG98" s="921">
        <f t="shared" si="49"/>
        <v>2</v>
      </c>
      <c r="AH98" s="176">
        <f t="shared" si="42"/>
        <v>8</v>
      </c>
      <c r="AI98" s="225">
        <f t="shared" si="43"/>
        <v>2.5196400134471939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43.854869063781123</v>
      </c>
      <c r="C99" s="955"/>
      <c r="D99" s="393">
        <f t="shared" si="25"/>
        <v>47.068778919156621</v>
      </c>
      <c r="E99" s="385">
        <f t="shared" si="47"/>
        <v>49.421679765647063</v>
      </c>
      <c r="F99" s="385">
        <f t="shared" si="26"/>
        <v>49.426170259538821</v>
      </c>
      <c r="G99" s="110">
        <f t="shared" si="48"/>
        <v>0.92039624999641712</v>
      </c>
      <c r="H99" s="414" t="b">
        <f>Wh_hp&gt;='2026'!Maxi_hp</f>
        <v>0</v>
      </c>
      <c r="I99" s="390">
        <f>IF(H99,Wh_hp,'2026'!Maxi_hp)</f>
        <v>56.081839676566283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6.82811394129339E-2</v>
      </c>
      <c r="M99" s="959"/>
      <c r="N99" s="959"/>
      <c r="O99" s="48">
        <f>IF(t&lt;Tnet,'2026'!Resal+('2026'!Salim-'2026'!Resal)*(1-EXP(('2026'!Tnet-t)/('2026'!Tau_j))),Resal+(Salim-Resal)*(1-EXP((Tnet-t)/(Tau_j))))*Salcycl</f>
        <v>4.7608678168117202E-2</v>
      </c>
      <c r="P99" s="169">
        <f>(INDEX(Models!$BJ99:$BT99,,T99)*(1-R99)+INDEX(Models!$BJ99:$BT99,,T99+1)*R99-ERP_i)*Q99*Ramure*Pc/MaxiM</f>
        <v>1.0250817806388528E-4</v>
      </c>
      <c r="Q99" s="305">
        <f t="shared" si="28"/>
        <v>0.7</v>
      </c>
      <c r="R99" s="177">
        <f t="shared" si="29"/>
        <v>0.99546813307461846</v>
      </c>
      <c r="S99" s="921">
        <f t="shared" si="30"/>
        <v>-2</v>
      </c>
      <c r="T99" s="176">
        <f t="shared" si="31"/>
        <v>4</v>
      </c>
      <c r="U99" s="251">
        <f t="shared" si="32"/>
        <v>-1.0045318669253815</v>
      </c>
      <c r="V99" s="383">
        <f t="shared" si="33"/>
        <v>47.647258299585445</v>
      </c>
      <c r="W99" s="402">
        <f t="shared" si="34"/>
        <v>43.854869063781123</v>
      </c>
      <c r="X99" s="157">
        <f t="shared" si="35"/>
        <v>46472</v>
      </c>
      <c r="Y99" s="385">
        <f t="shared" si="36"/>
        <v>41.228052519666711</v>
      </c>
      <c r="Z99" s="385">
        <f t="shared" si="37"/>
        <v>44.249455778634079</v>
      </c>
      <c r="AA99" s="386">
        <f t="shared" si="38"/>
        <v>49.297127128549889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0.10239280955973816</v>
      </c>
      <c r="AD99" s="231">
        <f>(INDEX(Models!$BJ99:$BT99,,AH99)*(1-AF99)+INDEX(Models!$BJ99:$BT99,,AH99+1)*AF99-ERP_i)*AE99*Ramure*Pc/MaxiM</f>
        <v>2.9457731305720081E-3</v>
      </c>
      <c r="AE99" s="305">
        <f t="shared" si="40"/>
        <v>0.7</v>
      </c>
      <c r="AF99" s="177">
        <f t="shared" si="41"/>
        <v>0.52045569944859738</v>
      </c>
      <c r="AG99" s="921">
        <f t="shared" si="49"/>
        <v>2</v>
      </c>
      <c r="AH99" s="176">
        <f t="shared" si="42"/>
        <v>8</v>
      </c>
      <c r="AI99" s="225">
        <f t="shared" si="43"/>
        <v>2.5204556994485974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44.575262476688323</v>
      </c>
      <c r="C100" s="955"/>
      <c r="D100" s="393">
        <f t="shared" si="25"/>
        <v>47.843014343010253</v>
      </c>
      <c r="E100" s="385">
        <f t="shared" si="47"/>
        <v>50.240272325365694</v>
      </c>
      <c r="F100" s="385">
        <f t="shared" si="26"/>
        <v>50.244747607214798</v>
      </c>
      <c r="G100" s="110">
        <f t="shared" si="48"/>
        <v>0.93118430306891897</v>
      </c>
      <c r="H100" s="414" t="b">
        <f>Wh_hp&gt;='2026'!Maxi_hp</f>
        <v>0</v>
      </c>
      <c r="I100" s="390">
        <f>IF(H100,Wh_hp,'2026'!Maxi_hp)</f>
        <v>55.275486537639232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6.8301546447174122E-2</v>
      </c>
      <c r="M100" s="959"/>
      <c r="N100" s="959"/>
      <c r="O100" s="48">
        <f>IF(t&lt;Tnet,'2026'!Resal+('2026'!Salim-'2026'!Resal)*(1-EXP(('2026'!Tnet-t)/('2026'!Tau_j))),Resal+(Salim-Resal)*(1-EXP((Tnet-t)/(Tau_j))))*Salcycl</f>
        <v>4.7715863616947393E-2</v>
      </c>
      <c r="P100" s="169">
        <f>(INDEX(Models!$BJ100:$BT100,,T100)*(1-R100)+INDEX(Models!$BJ100:$BT100,,T100+1)*R100-ERP_i)*Q100*Ramure*Pc/MaxiM</f>
        <v>9.877916520225808E-5</v>
      </c>
      <c r="Q100" s="305">
        <f t="shared" si="28"/>
        <v>0.7</v>
      </c>
      <c r="R100" s="177">
        <f t="shared" si="29"/>
        <v>0.99631509824258302</v>
      </c>
      <c r="S100" s="921">
        <f t="shared" si="30"/>
        <v>-2</v>
      </c>
      <c r="T100" s="176">
        <f t="shared" si="31"/>
        <v>4</v>
      </c>
      <c r="U100" s="251">
        <f t="shared" si="32"/>
        <v>-1.003684901757417</v>
      </c>
      <c r="V100" s="383">
        <f t="shared" si="33"/>
        <v>47.868965882298887</v>
      </c>
      <c r="W100" s="402">
        <f t="shared" si="34"/>
        <v>44.575262476688323</v>
      </c>
      <c r="X100" s="157">
        <f t="shared" si="35"/>
        <v>46473</v>
      </c>
      <c r="Y100" s="385">
        <f t="shared" si="36"/>
        <v>41.907134358650147</v>
      </c>
      <c r="Z100" s="385">
        <f t="shared" si="37"/>
        <v>44.979289381501673</v>
      </c>
      <c r="AA100" s="386">
        <f t="shared" si="38"/>
        <v>50.113689818638157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0.10245504682887899</v>
      </c>
      <c r="AD100" s="231">
        <f>(INDEX(Models!$BJ100:$BT100,,AH100)*(1-AF100)+INDEX(Models!$BJ100:$BT100,,AH100+1)*AF100-ERP_i)*AE100*Ramure*Pc/MaxiM</f>
        <v>2.8927293040688692E-3</v>
      </c>
      <c r="AE100" s="305">
        <f t="shared" si="40"/>
        <v>0.7</v>
      </c>
      <c r="AF100" s="177">
        <f t="shared" si="41"/>
        <v>0.52130266461656216</v>
      </c>
      <c r="AG100" s="921">
        <f t="shared" si="49"/>
        <v>2</v>
      </c>
      <c r="AH100" s="176">
        <f t="shared" si="42"/>
        <v>8</v>
      </c>
      <c r="AI100" s="225">
        <f t="shared" si="43"/>
        <v>2.5213026646165622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34.19683995063987</v>
      </c>
      <c r="C101" s="955"/>
      <c r="D101" s="393">
        <f t="shared" si="25"/>
        <v>36.704567701276176</v>
      </c>
      <c r="E101" s="385">
        <f t="shared" si="47"/>
        <v>38.548065032384535</v>
      </c>
      <c r="F101" s="385">
        <f t="shared" si="26"/>
        <v>38.5502218406453</v>
      </c>
      <c r="G101" s="110">
        <f t="shared" si="48"/>
        <v>0.71113669563673376</v>
      </c>
      <c r="H101" s="414" t="b">
        <f>Wh_hp&gt;='2026'!Maxi_hp</f>
        <v>0</v>
      </c>
      <c r="I101" s="390">
        <f>IF(H101,Wh_hp,'2026'!Maxi_hp)</f>
        <v>54.062253279945516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6.8321953034447991E-2</v>
      </c>
      <c r="M101" s="959"/>
      <c r="N101" s="959"/>
      <c r="O101" s="48">
        <f>IF(t&lt;Tnet,'2026'!Resal+('2026'!Salim-'2026'!Resal)*(1-EXP(('2026'!Tnet-t)/('2026'!Tau_j))),Resal+(Salim-Resal)*(1-EXP((Tnet-t)/(Tau_j))))*Salcycl</f>
        <v>4.7823342872323857E-2</v>
      </c>
      <c r="P101" s="169">
        <f>(INDEX(Models!$BJ101:$BT101,,T101)*(1-R101)+INDEX(Models!$BJ101:$BT101,,T101+1)*R101-ERP_i)*Q101*Ramure*Pc/MaxiM</f>
        <v>9.5250426750534851E-5</v>
      </c>
      <c r="Q101" s="305">
        <f t="shared" si="28"/>
        <v>0.7</v>
      </c>
      <c r="R101" s="177">
        <f t="shared" si="29"/>
        <v>0.99719441979224732</v>
      </c>
      <c r="S101" s="921">
        <f t="shared" si="30"/>
        <v>-2</v>
      </c>
      <c r="T101" s="176">
        <f t="shared" si="31"/>
        <v>4</v>
      </c>
      <c r="U101" s="251">
        <f t="shared" si="32"/>
        <v>-1.0028055802077527</v>
      </c>
      <c r="V101" s="383">
        <f t="shared" si="33"/>
        <v>48.085686010653632</v>
      </c>
      <c r="W101" s="402">
        <f t="shared" si="34"/>
        <v>34.19683995063987</v>
      </c>
      <c r="X101" s="157">
        <f t="shared" si="35"/>
        <v>46474</v>
      </c>
      <c r="Y101" s="385">
        <f t="shared" si="36"/>
        <v>32.180533032005734</v>
      </c>
      <c r="Z101" s="385">
        <f t="shared" si="37"/>
        <v>34.540400663959815</v>
      </c>
      <c r="AA101" s="386">
        <f t="shared" si="38"/>
        <v>38.485899490229514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0.10251803591783915</v>
      </c>
      <c r="AD101" s="231">
        <f>(INDEX(Models!$BJ101:$BT101,,AH101)*(1-AF101)+INDEX(Models!$BJ101:$BT101,,AH101+1)*AF101-ERP_i)*AE101*Ramure*Pc/MaxiM</f>
        <v>2.8406471906437815E-3</v>
      </c>
      <c r="AE101" s="305">
        <f t="shared" si="40"/>
        <v>0.7</v>
      </c>
      <c r="AF101" s="177">
        <f t="shared" si="41"/>
        <v>0.52218198616622624</v>
      </c>
      <c r="AG101" s="921">
        <f t="shared" si="49"/>
        <v>2</v>
      </c>
      <c r="AH101" s="176">
        <f t="shared" si="42"/>
        <v>8</v>
      </c>
      <c r="AI101" s="225">
        <f t="shared" si="43"/>
        <v>2.5221819861662262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26.949716773529619</v>
      </c>
      <c r="C102" s="955"/>
      <c r="D102" s="393">
        <f t="shared" si="25"/>
        <v>28.926630977510538</v>
      </c>
      <c r="E102" s="385">
        <f t="shared" si="47"/>
        <v>30.38291880380352</v>
      </c>
      <c r="F102" s="385">
        <f t="shared" si="26"/>
        <v>30.383948190855183</v>
      </c>
      <c r="G102" s="110">
        <f t="shared" si="48"/>
        <v>0.55797030069191667</v>
      </c>
      <c r="H102" s="414" t="b">
        <f>Wh_hp&gt;='2026'!Maxi_hp</f>
        <v>0</v>
      </c>
      <c r="I102" s="390">
        <f>IF(H102,Wh_hp,'2026'!Maxi_hp)</f>
        <v>54.934926813744624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6.8342359174765277E-2</v>
      </c>
      <c r="M102" s="959"/>
      <c r="N102" s="959"/>
      <c r="O102" s="48">
        <f>IF(t&lt;Tnet,'2026'!Resal+('2026'!Salim-'2026'!Resal)*(1-EXP(('2026'!Tnet-t)/('2026'!Tau_j))),Resal+(Salim-Resal)*(1-EXP((Tnet-t)/(Tau_j))))*Salcycl</f>
        <v>4.7931136428889611E-2</v>
      </c>
      <c r="P102" s="169">
        <f>(INDEX(Models!$BJ102:$BT102,,T102)*(1-R102)+INDEX(Models!$BJ102:$BT102,,T102+1)*R102-ERP_i)*Q102*Ramure*Pc/MaxiM</f>
        <v>9.1919637465695788E-5</v>
      </c>
      <c r="Q102" s="305">
        <f t="shared" si="28"/>
        <v>0.7</v>
      </c>
      <c r="R102" s="177">
        <f t="shared" si="29"/>
        <v>0.99810720207663373</v>
      </c>
      <c r="S102" s="921">
        <f t="shared" si="30"/>
        <v>-2</v>
      </c>
      <c r="T102" s="176">
        <f t="shared" si="31"/>
        <v>4</v>
      </c>
      <c r="U102" s="251">
        <f t="shared" si="32"/>
        <v>-1.0018927979233663</v>
      </c>
      <c r="V102" s="383">
        <f t="shared" si="33"/>
        <v>48.29675077078381</v>
      </c>
      <c r="W102" s="402">
        <f t="shared" si="34"/>
        <v>26.949716773529619</v>
      </c>
      <c r="X102" s="157">
        <f t="shared" si="35"/>
        <v>46475</v>
      </c>
      <c r="Y102" s="385">
        <f t="shared" si="36"/>
        <v>25.377490314963243</v>
      </c>
      <c r="Z102" s="385">
        <f t="shared" si="37"/>
        <v>27.23907281271757</v>
      </c>
      <c r="AA102" s="386">
        <f t="shared" si="38"/>
        <v>30.35270882692393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0.10258181673210183</v>
      </c>
      <c r="AD102" s="231">
        <f>(INDEX(Models!$BJ102:$BT102,,AH102)*(1-AF102)+INDEX(Models!$BJ102:$BT102,,AH102+1)*AF102-ERP_i)*AE102*Ramure*Pc/MaxiM</f>
        <v>2.7895348038244885E-3</v>
      </c>
      <c r="AE102" s="305">
        <f t="shared" si="40"/>
        <v>0.7</v>
      </c>
      <c r="AF102" s="177">
        <f t="shared" si="41"/>
        <v>0.52309476845061242</v>
      </c>
      <c r="AG102" s="921">
        <f t="shared" si="49"/>
        <v>2</v>
      </c>
      <c r="AH102" s="176">
        <f t="shared" si="42"/>
        <v>8</v>
      </c>
      <c r="AI102" s="225">
        <f t="shared" si="43"/>
        <v>2.5230947684506124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7.034716331385769</v>
      </c>
      <c r="C103" s="955"/>
      <c r="D103" s="393">
        <f t="shared" si="25"/>
        <v>7.5509179604549317</v>
      </c>
      <c r="E103" s="385">
        <f t="shared" si="47"/>
        <v>7.9319636625927208</v>
      </c>
      <c r="F103" s="385">
        <f t="shared" si="26"/>
        <v>7.9319636625927208</v>
      </c>
      <c r="G103" s="110">
        <f t="shared" si="48"/>
        <v>0.14502835644630649</v>
      </c>
      <c r="H103" s="414" t="b">
        <f>Wh_hp&gt;='2026'!Maxi_hp</f>
        <v>0</v>
      </c>
      <c r="I103" s="390">
        <f>IF(H103,Wh_hp,'2026'!Maxi_hp)</f>
        <v>56.1503147173473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6.8362764868135639E-2</v>
      </c>
      <c r="M103" s="959"/>
      <c r="N103" s="959"/>
      <c r="O103" s="48">
        <f>IF(t&lt;Tnet,'2026'!Resal+('2026'!Salim-'2026'!Resal)*(1-EXP(('2026'!Tnet-t)/('2026'!Tau_j))),Resal+(Salim-Resal)*(1-EXP((Tnet-t)/(Tau_j))))*Salcycl</f>
        <v>4.8039264720135741E-2</v>
      </c>
      <c r="P103" s="169">
        <f>(INDEX(Models!$BJ103:$BT103,,T103)*(1-R103)+INDEX(Models!$BJ103:$BT103,,T103+1)*R103-ERP_i)*Q103*Ramure*Pc/MaxiM</f>
        <v>8.8784514581561236E-5</v>
      </c>
      <c r="Q103" s="305">
        <f t="shared" si="28"/>
        <v>0.7</v>
      </c>
      <c r="R103" s="177">
        <f t="shared" si="29"/>
        <v>0.99905457642825191</v>
      </c>
      <c r="S103" s="921">
        <f t="shared" si="30"/>
        <v>-2</v>
      </c>
      <c r="T103" s="176">
        <f t="shared" si="31"/>
        <v>4</v>
      </c>
      <c r="U103" s="251">
        <f t="shared" si="32"/>
        <v>-1.0009454235717481</v>
      </c>
      <c r="V103" s="383">
        <f t="shared" si="33"/>
        <v>48.501492603725971</v>
      </c>
      <c r="W103" s="402">
        <f t="shared" si="34"/>
        <v>7.034716331385769</v>
      </c>
      <c r="X103" s="157">
        <f t="shared" si="35"/>
        <v>46476</v>
      </c>
      <c r="Y103" s="385">
        <f t="shared" si="36"/>
        <v>6.6311850776838561</v>
      </c>
      <c r="Z103" s="385">
        <f t="shared" si="37"/>
        <v>7.1177759192345667</v>
      </c>
      <c r="AA103" s="386">
        <f t="shared" si="38"/>
        <v>7.9319636625927208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0.10264642880272853</v>
      </c>
      <c r="AD103" s="231">
        <f>(INDEX(Models!$BJ103:$BT103,,AH103)*(1-AF103)+INDEX(Models!$BJ103:$BT103,,AH103+1)*AF103-ERP_i)*AE103*Ramure*Pc/MaxiM</f>
        <v>2.7393966942289723E-3</v>
      </c>
      <c r="AE103" s="305">
        <f t="shared" si="40"/>
        <v>0.7</v>
      </c>
      <c r="AF103" s="177">
        <f t="shared" si="41"/>
        <v>0.52404214280223105</v>
      </c>
      <c r="AG103" s="921">
        <f t="shared" si="49"/>
        <v>2</v>
      </c>
      <c r="AH103" s="176">
        <f t="shared" si="42"/>
        <v>8</v>
      </c>
      <c r="AI103" s="225">
        <f t="shared" si="43"/>
        <v>2.524042142802231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20.939686782506925</v>
      </c>
      <c r="C104" s="955"/>
      <c r="D104" s="393">
        <f t="shared" si="25"/>
        <v>22.476715867275669</v>
      </c>
      <c r="E104" s="385">
        <f t="shared" si="47"/>
        <v>23.613660441257835</v>
      </c>
      <c r="F104" s="385">
        <f t="shared" si="26"/>
        <v>23.61403686680843</v>
      </c>
      <c r="G104" s="110">
        <f t="shared" si="48"/>
        <v>0.42994964971862509</v>
      </c>
      <c r="H104" s="414" t="b">
        <f>Wh_hp&gt;='2026'!Maxi_hp</f>
        <v>0</v>
      </c>
      <c r="I104" s="390">
        <f>IF(H104,Wh_hp,'2026'!Maxi_hp)</f>
        <v>49.506417533337903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6.8383170114568959E-2</v>
      </c>
      <c r="M104" s="959"/>
      <c r="N104" s="959"/>
      <c r="O104" s="48">
        <f>IF(t&lt;Tnet,'2026'!Resal+('2026'!Salim-'2026'!Resal)*(1-EXP(('2026'!Tnet-t)/('2026'!Tau_j))),Resal+(Salim-Resal)*(1-EXP((Tnet-t)/(Tau_j))))*Salcycl</f>
        <v>4.8147748071946377E-2</v>
      </c>
      <c r="P104" s="169">
        <f>(INDEX(Models!$BJ104:$BT104,,T104)*(1-R104)+INDEX(Models!$BJ104:$BT104,,T104+1)*R104-ERP_i)*Q104*Ramure*Pc/MaxiM</f>
        <v>8.5848228356802077E-5</v>
      </c>
      <c r="Q104" s="305">
        <f t="shared" si="28"/>
        <v>0.7</v>
      </c>
      <c r="R104" s="177">
        <f t="shared" si="29"/>
        <v>3.7700911916238589E-5</v>
      </c>
      <c r="S104" s="921">
        <f t="shared" si="30"/>
        <v>-1</v>
      </c>
      <c r="T104" s="176">
        <f t="shared" si="31"/>
        <v>5</v>
      </c>
      <c r="U104" s="251">
        <f t="shared" si="32"/>
        <v>-0.99996229908808376</v>
      </c>
      <c r="V104" s="383">
        <f t="shared" si="33"/>
        <v>48.69924404463633</v>
      </c>
      <c r="W104" s="402">
        <f t="shared" si="34"/>
        <v>20.939686782506925</v>
      </c>
      <c r="X104" s="157">
        <f t="shared" si="35"/>
        <v>46477</v>
      </c>
      <c r="Y104" s="385">
        <f t="shared" si="36"/>
        <v>19.729790096144946</v>
      </c>
      <c r="Z104" s="385">
        <f t="shared" si="37"/>
        <v>21.178009524120863</v>
      </c>
      <c r="AA104" s="386">
        <f t="shared" si="38"/>
        <v>23.602240783383387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0.10271191119146823</v>
      </c>
      <c r="AD104" s="231">
        <f>(INDEX(Models!$BJ104:$BT104,,AH104)*(1-AF104)+INDEX(Models!$BJ104:$BT104,,AH104+1)*AF104-ERP_i)*AE104*Ramure*Pc/MaxiM</f>
        <v>2.6902341299193267E-3</v>
      </c>
      <c r="AE104" s="305">
        <f t="shared" si="40"/>
        <v>0.7</v>
      </c>
      <c r="AF104" s="177">
        <f t="shared" si="41"/>
        <v>0.52502526728589505</v>
      </c>
      <c r="AG104" s="921">
        <f t="shared" si="49"/>
        <v>2</v>
      </c>
      <c r="AH104" s="176">
        <f t="shared" si="42"/>
        <v>8</v>
      </c>
      <c r="AI104" s="225">
        <f t="shared" si="43"/>
        <v>2.525025267285895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31.190747550358385</v>
      </c>
      <c r="C105" s="955"/>
      <c r="D105" s="393">
        <f t="shared" si="25"/>
        <v>33.480965266136067</v>
      </c>
      <c r="E105" s="385">
        <f t="shared" si="47"/>
        <v>35.178563361032438</v>
      </c>
      <c r="F105" s="385">
        <f t="shared" si="26"/>
        <v>35.179977299621179</v>
      </c>
      <c r="G105" s="110">
        <f t="shared" si="48"/>
        <v>0.63795931775533965</v>
      </c>
      <c r="H105" s="414" t="b">
        <f>Wh_hp&gt;='2026'!Maxi_hp</f>
        <v>0</v>
      </c>
      <c r="I105" s="390">
        <f>IF(H105,Wh_hp,'2026'!Maxi_hp)</f>
        <v>49.445909039564896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6.8403574914075005E-2</v>
      </c>
      <c r="M105" s="959"/>
      <c r="N105" s="959"/>
      <c r="O105" s="48">
        <f>IF(t&lt;Tnet,'2026'!Resal+('2026'!Salim-'2026'!Resal)*(1-EXP(('2026'!Tnet-t)/('2026'!Tau_j))),Resal+(Salim-Resal)*(1-EXP((Tnet-t)/(Tau_j))))*Salcycl</f>
        <v>4.8256606657701533E-2</v>
      </c>
      <c r="P105" s="169">
        <f>(INDEX(Models!$BJ105:$BT105,,T105)*(1-R105)+INDEX(Models!$BJ105:$BT105,,T105+1)*R105-ERP_i)*Q105*Ramure*Pc/MaxiM</f>
        <v>8.3240238228054277E-5</v>
      </c>
      <c r="Q105" s="305">
        <f t="shared" si="28"/>
        <v>0.7</v>
      </c>
      <c r="R105" s="177">
        <f t="shared" si="29"/>
        <v>1.0577599812015004E-3</v>
      </c>
      <c r="S105" s="921">
        <f t="shared" si="30"/>
        <v>-1</v>
      </c>
      <c r="T105" s="176">
        <f t="shared" si="31"/>
        <v>5</v>
      </c>
      <c r="U105" s="251">
        <f t="shared" si="32"/>
        <v>-0.9989422400187985</v>
      </c>
      <c r="V105" s="383">
        <f t="shared" si="33"/>
        <v>48.889331824555498</v>
      </c>
      <c r="W105" s="402">
        <f t="shared" si="34"/>
        <v>31.190747550358385</v>
      </c>
      <c r="X105" s="157">
        <f t="shared" si="35"/>
        <v>46478</v>
      </c>
      <c r="Y105" s="385">
        <f t="shared" si="36"/>
        <v>29.367620615321901</v>
      </c>
      <c r="Z105" s="385">
        <f t="shared" si="37"/>
        <v>31.523973068717179</v>
      </c>
      <c r="AA105" s="386">
        <f t="shared" si="38"/>
        <v>35.135098886979847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0.10277830240007828</v>
      </c>
      <c r="AD105" s="231">
        <f>(INDEX(Models!$BJ105:$BT105,,AH105)*(1-AF105)+INDEX(Models!$BJ105:$BT105,,AH105+1)*AF105-ERP_i)*AE105*Ramure*Pc/MaxiM</f>
        <v>2.6420452693678717E-3</v>
      </c>
      <c r="AE105" s="305">
        <f t="shared" si="40"/>
        <v>0.7</v>
      </c>
      <c r="AF105" s="177">
        <f t="shared" si="41"/>
        <v>0.52604532635518053</v>
      </c>
      <c r="AG105" s="921">
        <f t="shared" si="49"/>
        <v>2</v>
      </c>
      <c r="AH105" s="176">
        <f t="shared" si="42"/>
        <v>8</v>
      </c>
      <c r="AI105" s="225">
        <f t="shared" si="43"/>
        <v>2.5260453263551805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19.131949242812301</v>
      </c>
      <c r="C106" s="955"/>
      <c r="D106" s="393">
        <f t="shared" si="25"/>
        <v>20.537185175453136</v>
      </c>
      <c r="E106" s="385">
        <f t="shared" si="47"/>
        <v>21.580967224726084</v>
      </c>
      <c r="F106" s="385">
        <f t="shared" si="26"/>
        <v>21.581191188284723</v>
      </c>
      <c r="G106" s="110">
        <f t="shared" si="48"/>
        <v>0.38985478237065185</v>
      </c>
      <c r="H106" s="414" t="b">
        <f>Wh_hp&gt;='2026'!Maxi_hp</f>
        <v>0</v>
      </c>
      <c r="I106" s="390">
        <f>IF(H106,Wh_hp,'2026'!Maxi_hp)</f>
        <v>44.480418756560418</v>
      </c>
      <c r="J106" s="85">
        <f>IF(H106,An,'2026'!An_max)</f>
        <v>2020</v>
      </c>
      <c r="K106" s="197">
        <f t="shared" si="27"/>
        <v>46479</v>
      </c>
      <c r="L106" s="147">
        <f>IF(t&lt;Tvie,1-EXP((T0-t)*PertePVj)+'2026'!Pspv,1-EXP((T0-t)*PertePVj)+Pspv)</f>
        <v>6.8423979266663548E-2</v>
      </c>
      <c r="M106" s="959"/>
      <c r="N106" s="959"/>
      <c r="O106" s="48">
        <f>IF(t&lt;Tnet,'2026'!Resal+('2026'!Salim-'2026'!Resal)*(1-EXP(('2026'!Tnet-t)/('2026'!Tau_j))),Resal+(Salim-Resal)*(1-EXP((Tnet-t)/(Tau_j))))*Salcycl</f>
        <v>4.8365860454903521E-2</v>
      </c>
      <c r="P106" s="169">
        <f>(INDEX(Models!$BJ106:$BT106,,T106)*(1-R106)+INDEX(Models!$BJ106:$BT106,,T106+1)*R106-ERP_i)*Q106*Ramure*Pc/MaxiM</f>
        <v>8.0821343335122191E-5</v>
      </c>
      <c r="Q106" s="305">
        <f t="shared" si="28"/>
        <v>0.7</v>
      </c>
      <c r="R106" s="177">
        <f t="shared" si="29"/>
        <v>2.1159640306408489E-3</v>
      </c>
      <c r="S106" s="921">
        <f t="shared" si="30"/>
        <v>-1</v>
      </c>
      <c r="T106" s="176">
        <f t="shared" si="31"/>
        <v>5</v>
      </c>
      <c r="U106" s="251">
        <f t="shared" si="32"/>
        <v>-0.99788403596935915</v>
      </c>
      <c r="V106" s="383">
        <f t="shared" si="33"/>
        <v>49.071096136537179</v>
      </c>
      <c r="W106" s="402">
        <f t="shared" si="34"/>
        <v>19.131949242812301</v>
      </c>
      <c r="X106" s="157">
        <f t="shared" si="35"/>
        <v>46479</v>
      </c>
      <c r="Y106" s="385">
        <f t="shared" si="36"/>
        <v>18.03084836555778</v>
      </c>
      <c r="Z106" s="385">
        <f t="shared" si="37"/>
        <v>19.355208769074906</v>
      </c>
      <c r="AA106" s="386">
        <f t="shared" si="38"/>
        <v>21.574000682776692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0.1028456402837295</v>
      </c>
      <c r="AD106" s="231">
        <f>(INDEX(Models!$BJ106:$BT106,,AH106)*(1-AF106)+INDEX(Models!$BJ106:$BT106,,AH106+1)*AF106-ERP_i)*AE106*Ramure*Pc/MaxiM</f>
        <v>2.5948253276016999E-3</v>
      </c>
      <c r="AE106" s="305">
        <f t="shared" si="40"/>
        <v>0.7</v>
      </c>
      <c r="AF106" s="177">
        <f t="shared" si="41"/>
        <v>0.52710353040461966</v>
      </c>
      <c r="AG106" s="921">
        <f t="shared" si="49"/>
        <v>2</v>
      </c>
      <c r="AH106" s="176">
        <f t="shared" si="42"/>
        <v>8</v>
      </c>
      <c r="AI106" s="225">
        <f t="shared" si="43"/>
        <v>2.5271035304046197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24.432599578141669</v>
      </c>
      <c r="C107" s="955"/>
      <c r="D107" s="393">
        <f t="shared" si="25"/>
        <v>26.227741142654583</v>
      </c>
      <c r="E107" s="385">
        <f t="shared" si="47"/>
        <v>27.563916586079046</v>
      </c>
      <c r="F107" s="385">
        <f t="shared" si="26"/>
        <v>27.56452360621352</v>
      </c>
      <c r="G107" s="110">
        <f t="shared" si="48"/>
        <v>0.49612066047703168</v>
      </c>
      <c r="H107" s="414" t="b">
        <f>Wh_hp&gt;='2026'!Maxi_hp</f>
        <v>0</v>
      </c>
      <c r="I107" s="390">
        <f>IF(H107,Wh_hp,'2026'!Maxi_hp)</f>
        <v>52.947397962650761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6.844438317234447E-2</v>
      </c>
      <c r="M107" s="959"/>
      <c r="N107" s="959"/>
      <c r="O107" s="48">
        <f>IF(t&lt;Tnet,'2026'!Resal+('2026'!Salim-'2026'!Resal)*(1-EXP(('2026'!Tnet-t)/('2026'!Tau_j))),Resal+(Salim-Resal)*(1-EXP((Tnet-t)/(Tau_j))))*Salcycl</f>
        <v>4.8475529203251509E-2</v>
      </c>
      <c r="P107" s="169">
        <f>(INDEX(Models!$BJ107:$BT107,,T107)*(1-R107)+INDEX(Models!$BJ107:$BT107,,T107+1)*R107-ERP_i)*Q107*Ramure*Pc/MaxiM</f>
        <v>7.8589613208690561E-5</v>
      </c>
      <c r="Q107" s="305">
        <f t="shared" si="28"/>
        <v>0.7</v>
      </c>
      <c r="R107" s="177">
        <f t="shared" si="29"/>
        <v>3.2135488354544384E-3</v>
      </c>
      <c r="S107" s="921">
        <f t="shared" si="30"/>
        <v>-1</v>
      </c>
      <c r="T107" s="176">
        <f t="shared" si="31"/>
        <v>5</v>
      </c>
      <c r="U107" s="251">
        <f t="shared" si="32"/>
        <v>-0.99678645116454556</v>
      </c>
      <c r="V107" s="383">
        <f t="shared" si="33"/>
        <v>49.244507223758866</v>
      </c>
      <c r="W107" s="402">
        <f t="shared" si="34"/>
        <v>24.432599578141669</v>
      </c>
      <c r="X107" s="157">
        <f t="shared" si="35"/>
        <v>46480</v>
      </c>
      <c r="Y107" s="385">
        <f t="shared" si="36"/>
        <v>23.018823524175581</v>
      </c>
      <c r="Z107" s="385">
        <f t="shared" si="37"/>
        <v>24.71009042118655</v>
      </c>
      <c r="AA107" s="386">
        <f t="shared" si="38"/>
        <v>27.544838926935768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0.10291396196828553</v>
      </c>
      <c r="AD107" s="231">
        <f>(INDEX(Models!$BJ107:$BT107,,AH107)*(1-AF107)+INDEX(Models!$BJ107:$BT107,,AH107+1)*AF107-ERP_i)*AE107*Ramure*Pc/MaxiM</f>
        <v>2.5485338009585204E-3</v>
      </c>
      <c r="AE107" s="305">
        <f t="shared" si="40"/>
        <v>0.7</v>
      </c>
      <c r="AF107" s="177">
        <f t="shared" si="41"/>
        <v>0.52820111520943325</v>
      </c>
      <c r="AG107" s="921">
        <f t="shared" si="49"/>
        <v>2</v>
      </c>
      <c r="AH107" s="176">
        <f t="shared" si="42"/>
        <v>8</v>
      </c>
      <c r="AI107" s="225">
        <f t="shared" si="43"/>
        <v>2.5282011152094332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42.846348609039381</v>
      </c>
      <c r="C108" s="955"/>
      <c r="D108" s="393">
        <f t="shared" si="25"/>
        <v>45.995414874427226</v>
      </c>
      <c r="E108" s="385">
        <f t="shared" si="47"/>
        <v>48.34425087432259</v>
      </c>
      <c r="F108" s="385">
        <f t="shared" si="26"/>
        <v>48.34726374673842</v>
      </c>
      <c r="G108" s="110">
        <f t="shared" si="48"/>
        <v>0.86714187191260539</v>
      </c>
      <c r="H108" s="414" t="b">
        <f>Wh_hp&gt;='2026'!Maxi_hp</f>
        <v>0</v>
      </c>
      <c r="I108" s="390">
        <f>IF(H108,Wh_hp,'2026'!Maxi_hp)</f>
        <v>55.741875297523443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6.8464786631127428E-2</v>
      </c>
      <c r="M108" s="959"/>
      <c r="N108" s="959"/>
      <c r="O108" s="48">
        <f>IF(t&lt;Tnet,'2026'!Resal+('2026'!Salim-'2026'!Resal)*(1-EXP(('2026'!Tnet-t)/('2026'!Tau_j))),Resal+(Salim-Resal)*(1-EXP((Tnet-t)/(Tau_j))))*Salcycl</f>
        <v>4.8585632364052507E-2</v>
      </c>
      <c r="P108" s="169">
        <f>(INDEX(Models!$BJ108:$BT108,,T108)*(1-R108)+INDEX(Models!$BJ108:$BT108,,T108+1)*R108-ERP_i)*Q108*Ramure*Pc/MaxiM</f>
        <v>7.6914013821994346E-5</v>
      </c>
      <c r="Q108" s="305">
        <f t="shared" si="28"/>
        <v>0.7</v>
      </c>
      <c r="R108" s="177">
        <f t="shared" si="29"/>
        <v>4.3517748703071346E-3</v>
      </c>
      <c r="S108" s="921">
        <f t="shared" si="30"/>
        <v>-1</v>
      </c>
      <c r="T108" s="176">
        <f t="shared" si="31"/>
        <v>5</v>
      </c>
      <c r="U108" s="251">
        <f t="shared" si="32"/>
        <v>-0.99564822512969287</v>
      </c>
      <c r="V108" s="383">
        <f t="shared" si="33"/>
        <v>49.410280535733065</v>
      </c>
      <c r="W108" s="402">
        <f t="shared" si="34"/>
        <v>42.846348609039381</v>
      </c>
      <c r="X108" s="157">
        <f t="shared" si="35"/>
        <v>46481</v>
      </c>
      <c r="Y108" s="385">
        <f t="shared" si="36"/>
        <v>40.317116678331715</v>
      </c>
      <c r="Z108" s="385">
        <f t="shared" si="37"/>
        <v>43.280292682147703</v>
      </c>
      <c r="AA108" s="386">
        <f t="shared" si="38"/>
        <v>48.249149502014198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0.10298330377116942</v>
      </c>
      <c r="AD108" s="231">
        <f>(INDEX(Models!$BJ108:$BT108,,AH108)*(1-AF108)+INDEX(Models!$BJ108:$BT108,,AH108+1)*AF108-ERP_i)*AE108*Ramure*Pc/MaxiM</f>
        <v>2.5047062514787404E-3</v>
      </c>
      <c r="AE108" s="305">
        <f t="shared" si="40"/>
        <v>0.7</v>
      </c>
      <c r="AF108" s="177">
        <f t="shared" si="41"/>
        <v>0.52933934124428594</v>
      </c>
      <c r="AG108" s="921">
        <f t="shared" si="49"/>
        <v>2</v>
      </c>
      <c r="AH108" s="176">
        <f t="shared" si="42"/>
        <v>8</v>
      </c>
      <c r="AI108" s="225">
        <f t="shared" si="43"/>
        <v>2.5293393412442859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49.375455785139877</v>
      </c>
      <c r="C109" s="955"/>
      <c r="D109" s="393">
        <f t="shared" si="25"/>
        <v>53.005550997324541</v>
      </c>
      <c r="E109" s="385">
        <f t="shared" si="47"/>
        <v>55.718846480924945</v>
      </c>
      <c r="F109" s="385">
        <f t="shared" si="26"/>
        <v>55.723043688809817</v>
      </c>
      <c r="G109" s="110">
        <f t="shared" si="48"/>
        <v>0.99609710344274671</v>
      </c>
      <c r="H109" s="414" t="b">
        <f>Wh_hp&gt;='2026'!Maxi_hp</f>
        <v>0</v>
      </c>
      <c r="I109" s="390">
        <f>IF(H109,Wh_hp,'2026'!Maxi_hp)</f>
        <v>58.256884739736201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6.8485189643022304E-2</v>
      </c>
      <c r="M109" s="959"/>
      <c r="N109" s="959"/>
      <c r="O109" s="48">
        <f>IF(t&lt;Tnet,'2026'!Resal+('2026'!Salim-'2026'!Resal)*(1-EXP(('2026'!Tnet-t)/('2026'!Tau_j))),Resal+(Salim-Resal)*(1-EXP((Tnet-t)/(Tau_j))))*Salcycl</f>
        <v>4.8696189080821843E-2</v>
      </c>
      <c r="P109" s="169">
        <f>(INDEX(Models!$BJ109:$BT109,,T109)*(1-R109)+INDEX(Models!$BJ109:$BT109,,T109+1)*R109-ERP_i)*Q109*Ramure*Pc/MaxiM</f>
        <v>7.5744935604316825E-5</v>
      </c>
      <c r="Q109" s="305">
        <f t="shared" si="28"/>
        <v>0.7</v>
      </c>
      <c r="R109" s="177">
        <f t="shared" si="29"/>
        <v>5.5319264983257899E-3</v>
      </c>
      <c r="S109" s="921">
        <f t="shared" si="30"/>
        <v>-1</v>
      </c>
      <c r="T109" s="176">
        <f t="shared" si="31"/>
        <v>5</v>
      </c>
      <c r="U109" s="251">
        <f t="shared" si="32"/>
        <v>-0.99446807350167421</v>
      </c>
      <c r="V109" s="383">
        <f t="shared" si="33"/>
        <v>49.568897211803332</v>
      </c>
      <c r="W109" s="402">
        <f t="shared" si="34"/>
        <v>49.375455785139877</v>
      </c>
      <c r="X109" s="157">
        <f t="shared" si="35"/>
        <v>46482</v>
      </c>
      <c r="Y109" s="385">
        <f t="shared" si="36"/>
        <v>46.443605153276948</v>
      </c>
      <c r="Z109" s="385">
        <f t="shared" si="37"/>
        <v>49.8581500121063</v>
      </c>
      <c r="AA109" s="386">
        <f t="shared" si="38"/>
        <v>55.586549690507539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0.10305370112546253</v>
      </c>
      <c r="AD109" s="231">
        <f>(INDEX(Models!$BJ109:$BT109,,AH109)*(1-AF109)+INDEX(Models!$BJ109:$BT109,,AH109+1)*AF109-ERP_i)*AE109*Ramure*Pc/MaxiM</f>
        <v>2.4632397049079669E-3</v>
      </c>
      <c r="AE109" s="305">
        <f t="shared" si="40"/>
        <v>0.7</v>
      </c>
      <c r="AF109" s="177">
        <f t="shared" si="41"/>
        <v>0.53051949287230471</v>
      </c>
      <c r="AG109" s="921">
        <f t="shared" si="49"/>
        <v>2</v>
      </c>
      <c r="AH109" s="176">
        <f t="shared" si="42"/>
        <v>8</v>
      </c>
      <c r="AI109" s="225">
        <f t="shared" si="43"/>
        <v>2.5305194928723047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11.595897551539029</v>
      </c>
      <c r="C110" s="955"/>
      <c r="D110" s="393">
        <f t="shared" si="25"/>
        <v>12.448703346514177</v>
      </c>
      <c r="E110" s="385">
        <f t="shared" si="47"/>
        <v>13.087466162414751</v>
      </c>
      <c r="F110" s="385">
        <f t="shared" si="26"/>
        <v>13.087466162414751</v>
      </c>
      <c r="G110" s="110">
        <f t="shared" si="48"/>
        <v>0.23320257455708671</v>
      </c>
      <c r="H110" s="414" t="b">
        <f>Wh_hp&gt;='2026'!Maxi_hp</f>
        <v>0</v>
      </c>
      <c r="I110" s="390">
        <f>IF(H110,Wh_hp,'2026'!Maxi_hp)</f>
        <v>57.685469912803519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6.8505592208038868E-2</v>
      </c>
      <c r="M110" s="959"/>
      <c r="N110" s="959"/>
      <c r="O110" s="48">
        <f>IF(t&lt;Tnet,'2026'!Resal+('2026'!Salim-'2026'!Resal)*(1-EXP(('2026'!Tnet-t)/('2026'!Tau_j))),Resal+(Salim-Resal)*(1-EXP((Tnet-t)/(Tau_j))))*Salcycl</f>
        <v>4.8807218140896134E-2</v>
      </c>
      <c r="P110" s="169">
        <f>(INDEX(Models!$BJ110:$BT110,,T110)*(1-R110)+INDEX(Models!$BJ110:$BT110,,T110+1)*R110-ERP_i)*Q110*Ramure*Pc/MaxiM</f>
        <v>7.5080711375680347E-5</v>
      </c>
      <c r="Q110" s="305">
        <f t="shared" si="28"/>
        <v>0.7</v>
      </c>
      <c r="R110" s="177">
        <f t="shared" si="29"/>
        <v>6.7553110213660617E-3</v>
      </c>
      <c r="S110" s="921">
        <f t="shared" si="30"/>
        <v>-1</v>
      </c>
      <c r="T110" s="176">
        <f t="shared" si="31"/>
        <v>5</v>
      </c>
      <c r="U110" s="251">
        <f t="shared" si="32"/>
        <v>-0.99324468897863394</v>
      </c>
      <c r="V110" s="383">
        <f t="shared" si="33"/>
        <v>49.720835824063428</v>
      </c>
      <c r="W110" s="402">
        <f t="shared" si="34"/>
        <v>11.595897551539029</v>
      </c>
      <c r="X110" s="157">
        <f t="shared" si="35"/>
        <v>46483</v>
      </c>
      <c r="Y110" s="385">
        <f t="shared" si="36"/>
        <v>10.933712522822008</v>
      </c>
      <c r="Z110" s="385">
        <f t="shared" si="37"/>
        <v>11.737818747339093</v>
      </c>
      <c r="AA110" s="386">
        <f t="shared" si="38"/>
        <v>13.087466162414751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0.1031251885068207</v>
      </c>
      <c r="AD110" s="231">
        <f>(INDEX(Models!$BJ110:$BT110,,AH110)*(1-AF110)+INDEX(Models!$BJ110:$BT110,,AH110+1)*AF110-ERP_i)*AE110*Ramure*Pc/MaxiM</f>
        <v>2.4240703651232788E-3</v>
      </c>
      <c r="AE110" s="305">
        <f t="shared" si="40"/>
        <v>0.7</v>
      </c>
      <c r="AF110" s="177">
        <f t="shared" si="41"/>
        <v>0.53174287739534476</v>
      </c>
      <c r="AG110" s="921">
        <f t="shared" si="49"/>
        <v>2</v>
      </c>
      <c r="AH110" s="176">
        <f t="shared" si="42"/>
        <v>8</v>
      </c>
      <c r="AI110" s="225">
        <f t="shared" si="43"/>
        <v>2.5317428773953448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38.195305263308839</v>
      </c>
      <c r="C111" s="955"/>
      <c r="D111" s="393">
        <f t="shared" si="25"/>
        <v>41.005229379083936</v>
      </c>
      <c r="E111" s="385">
        <f t="shared" si="47"/>
        <v>43.114327886321661</v>
      </c>
      <c r="F111" s="385">
        <f t="shared" si="26"/>
        <v>43.1164781217336</v>
      </c>
      <c r="G111" s="110">
        <f t="shared" si="48"/>
        <v>0.76593085961377494</v>
      </c>
      <c r="H111" s="414" t="b">
        <f>Wh_hp&gt;='2026'!Maxi_hp</f>
        <v>0</v>
      </c>
      <c r="I111" s="390">
        <f>IF(H111,Wh_hp,'2026'!Maxi_hp)</f>
        <v>56.268394657199678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6.852599432618689E-2</v>
      </c>
      <c r="M111" s="959"/>
      <c r="N111" s="959"/>
      <c r="O111" s="48">
        <f>IF(t&lt;Tnet,'2026'!Resal+('2026'!Salim-'2026'!Resal)*(1-EXP(('2026'!Tnet-t)/('2026'!Tau_j))),Resal+(Salim-Resal)*(1-EXP((Tnet-t)/(Tau_j))))*Salcycl</f>
        <v>4.8918737937855117E-2</v>
      </c>
      <c r="P111" s="169">
        <f>(INDEX(Models!$BJ111:$BT111,,T111)*(1-R111)+INDEX(Models!$BJ111:$BT111,,T111+1)*R111-ERP_i)*Q111*Ramure*Pc/MaxiM</f>
        <v>7.4920628179779347E-5</v>
      </c>
      <c r="Q111" s="305">
        <f t="shared" si="28"/>
        <v>0.7</v>
      </c>
      <c r="R111" s="177">
        <f t="shared" si="29"/>
        <v>8.0232575823150354E-3</v>
      </c>
      <c r="S111" s="921">
        <f t="shared" si="30"/>
        <v>-1</v>
      </c>
      <c r="T111" s="176">
        <f t="shared" si="31"/>
        <v>5</v>
      </c>
      <c r="U111" s="251">
        <f t="shared" si="32"/>
        <v>-0.99197674241768496</v>
      </c>
      <c r="V111" s="383">
        <f t="shared" si="33"/>
        <v>49.866574684309761</v>
      </c>
      <c r="W111" s="402">
        <f t="shared" si="34"/>
        <v>38.195305263308839</v>
      </c>
      <c r="X111" s="157">
        <f t="shared" si="35"/>
        <v>46484</v>
      </c>
      <c r="Y111" s="385">
        <f t="shared" si="36"/>
        <v>35.960030319890357</v>
      </c>
      <c r="Z111" s="385">
        <f t="shared" si="37"/>
        <v>38.605511373210526</v>
      </c>
      <c r="AA111" s="386">
        <f t="shared" si="38"/>
        <v>43.047966815623212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0.10319779936274263</v>
      </c>
      <c r="AD111" s="231">
        <f>(INDEX(Models!$BJ111:$BT111,,AH111)*(1-AF111)+INDEX(Models!$BJ111:$BT111,,AH111+1)*AF111-ERP_i)*AE111*Ramure*Pc/MaxiM</f>
        <v>2.387138665240679E-3</v>
      </c>
      <c r="AE111" s="305">
        <f t="shared" si="40"/>
        <v>0.7</v>
      </c>
      <c r="AF111" s="177">
        <f t="shared" si="41"/>
        <v>0.53301082395629384</v>
      </c>
      <c r="AG111" s="921">
        <f t="shared" si="49"/>
        <v>2</v>
      </c>
      <c r="AH111" s="176">
        <f t="shared" si="42"/>
        <v>8</v>
      </c>
      <c r="AI111" s="225">
        <f t="shared" si="43"/>
        <v>2.5330108239562938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30.990079704951853</v>
      </c>
      <c r="C112" s="955"/>
      <c r="D112" s="393">
        <f t="shared" si="25"/>
        <v>33.270663800950715</v>
      </c>
      <c r="E112" s="385">
        <f t="shared" si="47"/>
        <v>34.986056989676612</v>
      </c>
      <c r="F112" s="385">
        <f t="shared" si="26"/>
        <v>34.987259735830371</v>
      </c>
      <c r="G112" s="110">
        <f t="shared" si="48"/>
        <v>0.61969455203649615</v>
      </c>
      <c r="H112" s="414" t="b">
        <f>Wh_hp&gt;='2026'!Maxi_hp</f>
        <v>0</v>
      </c>
      <c r="I112" s="390">
        <f>IF(H112,Wh_hp,'2026'!Maxi_hp)</f>
        <v>56.211155978326396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6.8546395997476139E-2</v>
      </c>
      <c r="M112" s="959"/>
      <c r="N112" s="959"/>
      <c r="O112" s="48">
        <f>IF(t&lt;Tnet,'2026'!Resal+('2026'!Salim-'2026'!Resal)*(1-EXP(('2026'!Tnet-t)/('2026'!Tau_j))),Resal+(Salim-Resal)*(1-EXP((Tnet-t)/(Tau_j))))*Salcycl</f>
        <v>4.9030766434527251E-2</v>
      </c>
      <c r="P112" s="169">
        <f>(INDEX(Models!$BJ112:$BT112,,T112)*(1-R112)+INDEX(Models!$BJ112:$BT112,,T112+1)*R112-ERP_i)*Q112*Ramure*Pc/MaxiM</f>
        <v>7.5264889763820893E-5</v>
      </c>
      <c r="Q112" s="305">
        <f t="shared" si="28"/>
        <v>0.7</v>
      </c>
      <c r="R112" s="177">
        <f t="shared" si="29"/>
        <v>9.337115910058591E-3</v>
      </c>
      <c r="S112" s="921">
        <f t="shared" si="30"/>
        <v>-1</v>
      </c>
      <c r="T112" s="176">
        <f t="shared" si="31"/>
        <v>5</v>
      </c>
      <c r="U112" s="251">
        <f t="shared" si="32"/>
        <v>-0.99066288408994141</v>
      </c>
      <c r="V112" s="383">
        <f t="shared" si="33"/>
        <v>50.00659184586641</v>
      </c>
      <c r="W112" s="402">
        <f t="shared" si="34"/>
        <v>30.990079704951853</v>
      </c>
      <c r="X112" s="157">
        <f t="shared" si="35"/>
        <v>46485</v>
      </c>
      <c r="Y112" s="385">
        <f t="shared" si="36"/>
        <v>29.19209237662675</v>
      </c>
      <c r="Z112" s="385">
        <f t="shared" si="37"/>
        <v>31.340361185126351</v>
      </c>
      <c r="AA112" s="386">
        <f t="shared" si="38"/>
        <v>34.949668147417256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0.10327156604368581</v>
      </c>
      <c r="AD112" s="231">
        <f>(INDEX(Models!$BJ112:$BT112,,AH112)*(1-AF112)+INDEX(Models!$BJ112:$BT112,,AH112+1)*AF112-ERP_i)*AE112*Ramure*Pc/MaxiM</f>
        <v>2.3523889468503312E-3</v>
      </c>
      <c r="AE112" s="305">
        <f t="shared" si="40"/>
        <v>0.7</v>
      </c>
      <c r="AF112" s="177">
        <f t="shared" si="41"/>
        <v>0.53432468228403751</v>
      </c>
      <c r="AG112" s="921">
        <f t="shared" si="49"/>
        <v>2</v>
      </c>
      <c r="AH112" s="176">
        <f t="shared" si="42"/>
        <v>8</v>
      </c>
      <c r="AI112" s="225">
        <f t="shared" si="43"/>
        <v>2.5343246822840375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33.822132726859579</v>
      </c>
      <c r="C113" s="955"/>
      <c r="D113" s="393">
        <f t="shared" si="25"/>
        <v>36.311925134279107</v>
      </c>
      <c r="E113" s="385">
        <f t="shared" si="47"/>
        <v>38.18864182275334</v>
      </c>
      <c r="F113" s="385">
        <f t="shared" si="26"/>
        <v>38.190197124839315</v>
      </c>
      <c r="G113" s="110">
        <f t="shared" si="48"/>
        <v>0.67451166650820582</v>
      </c>
      <c r="H113" s="414" t="b">
        <f>Wh_hp&gt;='2026'!Maxi_hp</f>
        <v>0</v>
      </c>
      <c r="I113" s="390">
        <f>IF(H113,Wh_hp,'2026'!Maxi_hp)</f>
        <v>45.992596170964376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6.8566797221916498E-2</v>
      </c>
      <c r="M113" s="959"/>
      <c r="N113" s="959"/>
      <c r="O113" s="48">
        <f>IF(t&lt;Tnet,'2026'!Resal+('2026'!Salim-'2026'!Resal)*(1-EXP(('2026'!Tnet-t)/('2026'!Tau_j))),Resal+(Salim-Resal)*(1-EXP((Tnet-t)/(Tau_j))))*Salcycl</f>
        <v>4.9143321126337111E-2</v>
      </c>
      <c r="P113" s="169">
        <f>(INDEX(Models!$BJ113:$BT113,,T113)*(1-R113)+INDEX(Models!$BJ113:$BT113,,T113+1)*R113-ERP_i)*Q113*Ramure*Pc/MaxiM</f>
        <v>7.6114581025489193E-5</v>
      </c>
      <c r="Q113" s="305">
        <f t="shared" si="28"/>
        <v>0.7</v>
      </c>
      <c r="R113" s="177">
        <f t="shared" si="29"/>
        <v>1.0698254897624659E-2</v>
      </c>
      <c r="S113" s="921">
        <f t="shared" si="30"/>
        <v>-1</v>
      </c>
      <c r="T113" s="176">
        <f t="shared" si="31"/>
        <v>5</v>
      </c>
      <c r="U113" s="251">
        <f t="shared" si="32"/>
        <v>-0.98930174510237534</v>
      </c>
      <c r="V113" s="383">
        <f t="shared" si="33"/>
        <v>50.141365097026551</v>
      </c>
      <c r="W113" s="402">
        <f t="shared" si="34"/>
        <v>33.822132726859579</v>
      </c>
      <c r="X113" s="157">
        <f t="shared" si="35"/>
        <v>46486</v>
      </c>
      <c r="Y113" s="385">
        <f t="shared" si="36"/>
        <v>31.85582633385404</v>
      </c>
      <c r="Z113" s="385">
        <f t="shared" si="37"/>
        <v>34.200870485227675</v>
      </c>
      <c r="AA113" s="386">
        <f t="shared" si="38"/>
        <v>38.142795670785553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0.10334651973549719</v>
      </c>
      <c r="AD113" s="231">
        <f>(INDEX(Models!$BJ113:$BT113,,AH113)*(1-AF113)+INDEX(Models!$BJ113:$BT113,,AH113+1)*AF113-ERP_i)*AE113*Ramure*Pc/MaxiM</f>
        <v>2.3197691611429512E-3</v>
      </c>
      <c r="AE113" s="305">
        <f t="shared" si="40"/>
        <v>0.7</v>
      </c>
      <c r="AF113" s="177">
        <f t="shared" si="41"/>
        <v>0.53568582127160358</v>
      </c>
      <c r="AG113" s="921">
        <f t="shared" si="49"/>
        <v>2</v>
      </c>
      <c r="AH113" s="176">
        <f t="shared" si="42"/>
        <v>8</v>
      </c>
      <c r="AI113" s="225">
        <f t="shared" si="43"/>
        <v>2.5356858212716036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51.704293961635486</v>
      </c>
      <c r="C114" s="955"/>
      <c r="D114" s="393">
        <f t="shared" si="25"/>
        <v>55.51168488406573</v>
      </c>
      <c r="E114" s="385">
        <f t="shared" si="47"/>
        <v>58.387651511625172</v>
      </c>
      <c r="F114" s="385">
        <f t="shared" si="26"/>
        <v>58.392220786132839</v>
      </c>
      <c r="G114" s="110">
        <f t="shared" si="48"/>
        <v>1.0285045397372838</v>
      </c>
      <c r="H114" s="414" t="b">
        <f>Wh_hp&gt;='2026'!Maxi_hp</f>
        <v>1</v>
      </c>
      <c r="I114" s="390">
        <f>IF(H114,Wh_hp,'2026'!Maxi_hp)</f>
        <v>58.392220786132839</v>
      </c>
      <c r="J114" s="85">
        <f>IF(H114,An,'2026'!An_max)</f>
        <v>2027</v>
      </c>
      <c r="K114" s="197">
        <f t="shared" si="27"/>
        <v>46487</v>
      </c>
      <c r="L114" s="147">
        <f>IF(t&lt;Tvie,1-EXP((T0-t)*PertePVj)+'2026'!Pspv,1-EXP((T0-t)*PertePVj)+Pspv)</f>
        <v>6.8587197999517624E-2</v>
      </c>
      <c r="M114" s="959"/>
      <c r="N114" s="959"/>
      <c r="O114" s="48">
        <f>IF(t&lt;Tnet,'2026'!Resal+('2026'!Salim-'2026'!Resal)*(1-EXP(('2026'!Tnet-t)/('2026'!Tau_j))),Resal+(Salim-Resal)*(1-EXP((Tnet-t)/(Tau_j))))*Salcycl</f>
        <v>4.9256419004741515E-2</v>
      </c>
      <c r="P114" s="169">
        <f>(INDEX(Models!$BJ114:$BT114,,T114)*(1-R114)+INDEX(Models!$BJ114:$BT114,,T114+1)*R114-ERP_i)*Q114*Ramure*Pc/MaxiM</f>
        <v>7.8251425380769163E-5</v>
      </c>
      <c r="Q114" s="305">
        <f t="shared" si="28"/>
        <v>0.7</v>
      </c>
      <c r="R114" s="177">
        <f t="shared" si="29"/>
        <v>1.2108061003967219E-2</v>
      </c>
      <c r="S114" s="921">
        <f t="shared" si="30"/>
        <v>-1</v>
      </c>
      <c r="T114" s="176">
        <f t="shared" si="31"/>
        <v>5</v>
      </c>
      <c r="U114" s="251">
        <f t="shared" si="32"/>
        <v>-0.98789193899603278</v>
      </c>
      <c r="V114" s="383">
        <f t="shared" si="33"/>
        <v>50.271332759350372</v>
      </c>
      <c r="W114" s="402">
        <f t="shared" si="34"/>
        <v>51.704293961635486</v>
      </c>
      <c r="X114" s="157">
        <f t="shared" si="35"/>
        <v>46487</v>
      </c>
      <c r="Y114" s="385">
        <f t="shared" si="36"/>
        <v>48.650607923704953</v>
      </c>
      <c r="Z114" s="385">
        <f t="shared" si="37"/>
        <v>52.233132096975147</v>
      </c>
      <c r="AA114" s="386">
        <f t="shared" si="38"/>
        <v>58.258369398003005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0.1034226903926081</v>
      </c>
      <c r="AD114" s="231">
        <f>(INDEX(Models!$BJ114:$BT114,,AH114)*(1-AF114)+INDEX(Models!$BJ114:$BT114,,AH114+1)*AF114-ERP_i)*AE114*Ramure*Pc/MaxiM</f>
        <v>2.2922811690974276E-3</v>
      </c>
      <c r="AE114" s="305">
        <f t="shared" si="40"/>
        <v>0.7</v>
      </c>
      <c r="AF114" s="177">
        <f t="shared" si="41"/>
        <v>0.53709562737794592</v>
      </c>
      <c r="AG114" s="921">
        <f t="shared" si="49"/>
        <v>2</v>
      </c>
      <c r="AH114" s="176">
        <f t="shared" si="42"/>
        <v>8</v>
      </c>
      <c r="AI114" s="225">
        <f t="shared" si="43"/>
        <v>2.5370956273779459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42.664881527416</v>
      </c>
      <c r="C115" s="955"/>
      <c r="D115" s="393">
        <f t="shared" si="25"/>
        <v>45.807633228412115</v>
      </c>
      <c r="E115" s="385">
        <f t="shared" si="47"/>
        <v>48.18660984365669</v>
      </c>
      <c r="F115" s="385">
        <f t="shared" si="26"/>
        <v>48.189679182916507</v>
      </c>
      <c r="G115" s="110">
        <f t="shared" si="48"/>
        <v>0.84656106535341302</v>
      </c>
      <c r="H115" s="414" t="b">
        <f>Wh_hp&gt;='2026'!Maxi_hp</f>
        <v>0</v>
      </c>
      <c r="I115" s="390">
        <f>IF(H115,Wh_hp,'2026'!Maxi_hp)</f>
        <v>56.926003902955259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6.8607598330289399E-2</v>
      </c>
      <c r="M115" s="959"/>
      <c r="N115" s="959"/>
      <c r="O115" s="48">
        <f>IF(t&lt;Tnet,'2026'!Resal+('2026'!Salim-'2026'!Resal)*(1-EXP(('2026'!Tnet-t)/('2026'!Tau_j))),Resal+(Salim-Resal)*(1-EXP((Tnet-t)/(Tau_j))))*Salcycl</f>
        <v>4.9370076520495146E-2</v>
      </c>
      <c r="P115" s="169">
        <f>(INDEX(Models!$BJ115:$BT115,,T115)*(1-R115)+INDEX(Models!$BJ115:$BT115,,T115+1)*R115-ERP_i)*Q115*Ramure*Pc/MaxiM</f>
        <v>8.1571449750479354E-5</v>
      </c>
      <c r="Q115" s="305">
        <f t="shared" si="28"/>
        <v>0.7</v>
      </c>
      <c r="R115" s="177">
        <f t="shared" si="29"/>
        <v>1.3567936469864317E-2</v>
      </c>
      <c r="S115" s="921">
        <f t="shared" si="30"/>
        <v>-1</v>
      </c>
      <c r="T115" s="176">
        <f t="shared" si="31"/>
        <v>5</v>
      </c>
      <c r="U115" s="251">
        <f t="shared" si="32"/>
        <v>-0.98643206353013568</v>
      </c>
      <c r="V115" s="383">
        <f t="shared" si="33"/>
        <v>50.396977179414861</v>
      </c>
      <c r="W115" s="402">
        <f t="shared" si="34"/>
        <v>42.664881527416</v>
      </c>
      <c r="X115" s="157">
        <f t="shared" si="35"/>
        <v>46488</v>
      </c>
      <c r="Y115" s="385">
        <f t="shared" si="36"/>
        <v>40.166733824226462</v>
      </c>
      <c r="Z115" s="385">
        <f t="shared" si="37"/>
        <v>43.125468655552062</v>
      </c>
      <c r="AA115" s="386">
        <f t="shared" si="38"/>
        <v>48.104265239155879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0.10350010667143869</v>
      </c>
      <c r="AD115" s="231">
        <f>(INDEX(Models!$BJ115:$BT115,,AH115)*(1-AF115)+INDEX(Models!$BJ115:$BT115,,AH115+1)*AF115-ERP_i)*AE115*Ramure*Pc/MaxiM</f>
        <v>2.2699801591428508E-3</v>
      </c>
      <c r="AE115" s="305">
        <f t="shared" si="40"/>
        <v>0.7</v>
      </c>
      <c r="AF115" s="177">
        <f t="shared" si="41"/>
        <v>0.53855550284384313</v>
      </c>
      <c r="AG115" s="921">
        <f t="shared" si="49"/>
        <v>2</v>
      </c>
      <c r="AH115" s="176">
        <f t="shared" si="42"/>
        <v>8</v>
      </c>
      <c r="AI115" s="225">
        <f t="shared" si="43"/>
        <v>2.5385555028438431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2.4107033320441693</v>
      </c>
      <c r="C116" s="955"/>
      <c r="D116" s="393">
        <f t="shared" si="25"/>
        <v>2.5883356246720184</v>
      </c>
      <c r="E116" s="385">
        <f t="shared" si="47"/>
        <v>2.7230856372681904</v>
      </c>
      <c r="F116" s="385">
        <f t="shared" si="26"/>
        <v>2.7230856372681904</v>
      </c>
      <c r="G116" s="110">
        <f t="shared" si="48"/>
        <v>4.771485091048687E-2</v>
      </c>
      <c r="H116" s="414" t="b">
        <f>Wh_hp&gt;='2026'!Maxi_hp</f>
        <v>0</v>
      </c>
      <c r="I116" s="390">
        <f>IF(H116,Wh_hp,'2026'!Maxi_hp)</f>
        <v>56.893751444283453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6.8627998214241592E-2</v>
      </c>
      <c r="M116" s="959"/>
      <c r="N116" s="959"/>
      <c r="O116" s="48">
        <f>IF(t&lt;Tnet,'2026'!Resal+('2026'!Salim-'2026'!Resal)*(1-EXP(('2026'!Tnet-t)/('2026'!Tau_j))),Resal+(Salim-Resal)*(1-EXP((Tnet-t)/(Tau_j))))*Salcycl</f>
        <v>4.9484309546486957E-2</v>
      </c>
      <c r="P116" s="169">
        <f>(INDEX(Models!$BJ116:$BT116,,T116)*(1-R116)+INDEX(Models!$BJ116:$BT116,,T116+1)*R116-ERP_i)*Q116*Ramure*Pc/MaxiM</f>
        <v>8.6082003792298974E-5</v>
      </c>
      <c r="Q116" s="305">
        <f t="shared" si="28"/>
        <v>0.7</v>
      </c>
      <c r="R116" s="177">
        <f t="shared" si="29"/>
        <v>1.507929733849267E-2</v>
      </c>
      <c r="S116" s="921">
        <f t="shared" si="30"/>
        <v>-1</v>
      </c>
      <c r="T116" s="176">
        <f t="shared" si="31"/>
        <v>5</v>
      </c>
      <c r="U116" s="251">
        <f t="shared" si="32"/>
        <v>-0.98492070266150733</v>
      </c>
      <c r="V116" s="383">
        <f t="shared" si="33"/>
        <v>50.518774928017521</v>
      </c>
      <c r="W116" s="402">
        <f t="shared" si="34"/>
        <v>2.4107033320441693</v>
      </c>
      <c r="X116" s="157">
        <f t="shared" si="35"/>
        <v>46489</v>
      </c>
      <c r="Y116" s="385">
        <f t="shared" si="36"/>
        <v>2.2735085863716038</v>
      </c>
      <c r="Z116" s="385">
        <f t="shared" si="37"/>
        <v>2.4410317059268594</v>
      </c>
      <c r="AA116" s="386">
        <f t="shared" si="38"/>
        <v>2.7230856372681904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0.10357879586346341</v>
      </c>
      <c r="AD116" s="231">
        <f>(INDEX(Models!$BJ116:$BT116,,AH116)*(1-AF116)+INDEX(Models!$BJ116:$BT116,,AH116+1)*AF116-ERP_i)*AE116*Ramure*Pc/MaxiM</f>
        <v>2.2528383169607711E-3</v>
      </c>
      <c r="AE116" s="305">
        <f t="shared" si="40"/>
        <v>0.7</v>
      </c>
      <c r="AF116" s="177">
        <f t="shared" si="41"/>
        <v>0.5400668637124717</v>
      </c>
      <c r="AG116" s="921">
        <f t="shared" si="49"/>
        <v>2</v>
      </c>
      <c r="AH116" s="176">
        <f t="shared" si="42"/>
        <v>8</v>
      </c>
      <c r="AI116" s="225">
        <f t="shared" si="43"/>
        <v>2.5400668637124717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Wh_hp&gt;='2026'!Maxi_hp</f>
        <v>0</v>
      </c>
      <c r="I117" s="390">
        <f>IF(H117,Wh_hp,'2026'!Maxi_hp)</f>
        <v>58.336070770675065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6.8648397651383863E-2</v>
      </c>
      <c r="M117" s="959"/>
      <c r="N117" s="959"/>
      <c r="O117" s="48">
        <f>IF(t&lt;Tnet,'2026'!Resal+('2026'!Salim-'2026'!Resal)*(1-EXP(('2026'!Tnet-t)/('2026'!Tau_j))),Resal+(Salim-Resal)*(1-EXP((Tnet-t)/(Tau_j))))*Salcycl</f>
        <v>4.9599133339893894E-2</v>
      </c>
      <c r="P117" s="169">
        <f>(INDEX(Models!$BJ117:$BT117,,T117)*(1-R117)+INDEX(Models!$BJ117:$BT117,,T117+1)*R117-ERP_i)*Q117*Ramure*Pc/MaxiM</f>
        <v>9.1792178109144273E-5</v>
      </c>
      <c r="Q117" s="305">
        <f t="shared" si="28"/>
        <v>0.7</v>
      </c>
      <c r="R117" s="177">
        <f t="shared" si="29"/>
        <v>1.6643571271414137E-2</v>
      </c>
      <c r="S117" s="921">
        <f t="shared" si="30"/>
        <v>-1</v>
      </c>
      <c r="T117" s="176">
        <f t="shared" si="31"/>
        <v>5</v>
      </c>
      <c r="U117" s="251">
        <f t="shared" si="32"/>
        <v>-0.98335642872858586</v>
      </c>
      <c r="V117" s="383">
        <f t="shared" si="33"/>
        <v>50.637202266985781</v>
      </c>
      <c r="W117" s="402">
        <f t="shared" si="34"/>
        <v>0</v>
      </c>
      <c r="X117" s="157">
        <f t="shared" si="35"/>
        <v>46490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0.10365878382740819</v>
      </c>
      <c r="AD117" s="231">
        <f>(INDEX(Models!$BJ117:$BT117,,AH117)*(1-AF117)+INDEX(Models!$BJ117:$BT117,,AH117+1)*AF117-ERP_i)*AE117*Ramure*Pc/MaxiM</f>
        <v>2.2408348998703815E-3</v>
      </c>
      <c r="AE117" s="305">
        <f t="shared" si="40"/>
        <v>0.7</v>
      </c>
      <c r="AF117" s="177">
        <f t="shared" si="41"/>
        <v>0.54163113764539306</v>
      </c>
      <c r="AG117" s="921">
        <f t="shared" si="49"/>
        <v>2</v>
      </c>
      <c r="AH117" s="176">
        <f t="shared" si="42"/>
        <v>8</v>
      </c>
      <c r="AI117" s="225">
        <f t="shared" si="43"/>
        <v>2.5416311376453931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40.490625280155065</v>
      </c>
      <c r="C118" s="955"/>
      <c r="D118" s="393">
        <f t="shared" si="25"/>
        <v>43.476075035551801</v>
      </c>
      <c r="E118" s="385">
        <f t="shared" si="47"/>
        <v>45.750543278958574</v>
      </c>
      <c r="F118" s="385">
        <f t="shared" si="26"/>
        <v>45.753755151768196</v>
      </c>
      <c r="G118" s="110">
        <f t="shared" si="48"/>
        <v>0.79777908605826808</v>
      </c>
      <c r="H118" s="414" t="b">
        <f>Wh_hp&gt;='2026'!Maxi_hp</f>
        <v>0</v>
      </c>
      <c r="I118" s="390">
        <f>IF(H118,Wh_hp,'2026'!Maxi_hp)</f>
        <v>56.615625243922842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6.8668796641726204E-2</v>
      </c>
      <c r="M118" s="959"/>
      <c r="N118" s="959"/>
      <c r="O118" s="48">
        <f>IF(t&lt;Tnet,'2026'!Resal+('2026'!Salim-'2026'!Resal)*(1-EXP(('2026'!Tnet-t)/('2026'!Tau_j))),Resal+(Salim-Resal)*(1-EXP((Tnet-t)/(Tau_j))))*Salcycl</f>
        <v>4.9714562503410532E-2</v>
      </c>
      <c r="P118" s="169">
        <f>(INDEX(Models!$BJ118:$BT118,,T118)*(1-R118)+INDEX(Models!$BJ118:$BT118,,T118+1)*R118-ERP_i)*Q118*Ramure*Pc/MaxiM</f>
        <v>9.8712725058184404E-5</v>
      </c>
      <c r="Q118" s="305">
        <f t="shared" si="28"/>
        <v>0.7</v>
      </c>
      <c r="R118" s="177">
        <f t="shared" si="29"/>
        <v>1.8262195150977711E-2</v>
      </c>
      <c r="S118" s="921">
        <f t="shared" si="30"/>
        <v>-1</v>
      </c>
      <c r="T118" s="176">
        <f t="shared" si="31"/>
        <v>5</v>
      </c>
      <c r="U118" s="251">
        <f t="shared" si="32"/>
        <v>-0.98173780484902229</v>
      </c>
      <c r="V118" s="383">
        <f t="shared" si="33"/>
        <v>50.752735152510986</v>
      </c>
      <c r="W118" s="402">
        <f t="shared" si="34"/>
        <v>40.490625280155065</v>
      </c>
      <c r="X118" s="157">
        <f t="shared" si="35"/>
        <v>46491</v>
      </c>
      <c r="Y118" s="385">
        <f t="shared" si="36"/>
        <v>38.130663970761589</v>
      </c>
      <c r="Z118" s="385">
        <f t="shared" si="37"/>
        <v>40.942109351932778</v>
      </c>
      <c r="AA118" s="386">
        <f t="shared" si="38"/>
        <v>45.681067645530774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0.10374009492008081</v>
      </c>
      <c r="AD118" s="231">
        <f>(INDEX(Models!$BJ118:$BT118,,AH118)*(1-AF118)+INDEX(Models!$BJ118:$BT118,,AH118+1)*AF118-ERP_i)*AE118*Ramure*Pc/MaxiM</f>
        <v>2.2339557771062449E-3</v>
      </c>
      <c r="AE118" s="305">
        <f t="shared" si="40"/>
        <v>0.7</v>
      </c>
      <c r="AF118" s="177">
        <f t="shared" si="41"/>
        <v>0.54324976152495674</v>
      </c>
      <c r="AG118" s="921">
        <f t="shared" si="49"/>
        <v>2</v>
      </c>
      <c r="AH118" s="176">
        <f t="shared" si="42"/>
        <v>8</v>
      </c>
      <c r="AI118" s="225">
        <f t="shared" si="43"/>
        <v>2.5432497615249567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45.06467633243836</v>
      </c>
      <c r="C119" s="955"/>
      <c r="D119" s="393">
        <f t="shared" si="25"/>
        <v>48.388439283063711</v>
      </c>
      <c r="E119" s="385">
        <f t="shared" si="47"/>
        <v>50.926118900973755</v>
      </c>
      <c r="F119" s="385">
        <f t="shared" si="26"/>
        <v>50.930674462267994</v>
      </c>
      <c r="G119" s="110">
        <f t="shared" si="48"/>
        <v>0.88593609232545001</v>
      </c>
      <c r="H119" s="414" t="b">
        <f>Wh_hp&gt;='2026'!Maxi_hp</f>
        <v>0</v>
      </c>
      <c r="I119" s="390">
        <f>IF(H119,Wh_hp,'2026'!Maxi_hp)</f>
        <v>56.990205602590848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6.8689195185278273E-2</v>
      </c>
      <c r="M119" s="959"/>
      <c r="N119" s="959"/>
      <c r="O119" s="48">
        <f>IF(t&lt;Tnet,'2026'!Resal+('2026'!Salim-'2026'!Resal)*(1-EXP(('2026'!Tnet-t)/('2026'!Tau_j))),Resal+(Salim-Resal)*(1-EXP((Tnet-t)/(Tau_j))))*Salcycl</f>
        <v>4.9830610945330131E-2</v>
      </c>
      <c r="P119" s="169">
        <f>(INDEX(Models!$BJ119:$BT119,,T119)*(1-R119)+INDEX(Models!$BJ119:$BT119,,T119+1)*R119-ERP_i)*Q119*Ramure*Pc/MaxiM</f>
        <v>1.0685597794852506E-4</v>
      </c>
      <c r="Q119" s="305">
        <f t="shared" si="28"/>
        <v>0.7</v>
      </c>
      <c r="R119" s="177">
        <f t="shared" si="29"/>
        <v>1.9936612460509262E-2</v>
      </c>
      <c r="S119" s="921">
        <f t="shared" si="30"/>
        <v>-1</v>
      </c>
      <c r="T119" s="176">
        <f t="shared" si="31"/>
        <v>5</v>
      </c>
      <c r="U119" s="251">
        <f t="shared" si="32"/>
        <v>-0.98006338753949074</v>
      </c>
      <c r="V119" s="383">
        <f t="shared" si="33"/>
        <v>50.865849232161693</v>
      </c>
      <c r="W119" s="402">
        <f t="shared" si="34"/>
        <v>45.06467633243836</v>
      </c>
      <c r="X119" s="157">
        <f t="shared" si="35"/>
        <v>46492</v>
      </c>
      <c r="Y119" s="385">
        <f t="shared" si="36"/>
        <v>42.428310689932324</v>
      </c>
      <c r="Z119" s="385">
        <f t="shared" si="37"/>
        <v>45.557627454320325</v>
      </c>
      <c r="AA119" s="386">
        <f t="shared" si="38"/>
        <v>50.835509997824538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0.10382275192537808</v>
      </c>
      <c r="AD119" s="231">
        <f>(INDEX(Models!$BJ119:$BT119,,AH119)*(1-AF119)+INDEX(Models!$BJ119:$BT119,,AH119+1)*AF119-ERP_i)*AE119*Ramure*Pc/MaxiM</f>
        <v>2.2321929740953548E-3</v>
      </c>
      <c r="AE119" s="305">
        <f t="shared" si="40"/>
        <v>0.7</v>
      </c>
      <c r="AF119" s="177">
        <f t="shared" si="41"/>
        <v>0.54492417883448807</v>
      </c>
      <c r="AG119" s="921">
        <f t="shared" si="49"/>
        <v>2</v>
      </c>
      <c r="AH119" s="176">
        <f t="shared" si="42"/>
        <v>8</v>
      </c>
      <c r="AI119" s="225">
        <f t="shared" si="43"/>
        <v>2.5449241788344881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40.545714978108009</v>
      </c>
      <c r="C120" s="955"/>
      <c r="D120" s="393">
        <f t="shared" si="25"/>
        <v>43.537133729315492</v>
      </c>
      <c r="E120" s="385">
        <f t="shared" si="47"/>
        <v>45.826019288504909</v>
      </c>
      <c r="F120" s="385">
        <f t="shared" si="26"/>
        <v>45.829789115496276</v>
      </c>
      <c r="G120" s="110">
        <f t="shared" si="48"/>
        <v>0.79534537924209747</v>
      </c>
      <c r="H120" s="414" t="b">
        <f>Wh_hp&gt;='2026'!Maxi_hp</f>
        <v>0</v>
      </c>
      <c r="I120" s="390">
        <f>IF(H120,Wh_hp,'2026'!Maxi_hp)</f>
        <v>53.394011325702145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6.8709593282049841E-2</v>
      </c>
      <c r="M120" s="959"/>
      <c r="N120" s="959"/>
      <c r="O120" s="48">
        <f>IF(t&lt;Tnet,'2026'!Resal+('2026'!Salim-'2026'!Resal)*(1-EXP(('2026'!Tnet-t)/('2026'!Tau_j))),Resal+(Salim-Resal)*(1-EXP((Tnet-t)/(Tau_j))))*Salcycl</f>
        <v>4.9947291838275988E-2</v>
      </c>
      <c r="P120" s="169">
        <f>(INDEX(Models!$BJ120:$BT120,,T120)*(1-R120)+INDEX(Models!$BJ120:$BT120,,T120+1)*R120-ERP_i)*Q120*Ramure*Pc/MaxiM</f>
        <v>1.1623576776416844E-4</v>
      </c>
      <c r="Q120" s="305">
        <f t="shared" si="28"/>
        <v>0.7</v>
      </c>
      <c r="R120" s="177">
        <f t="shared" si="29"/>
        <v>2.1668270434151649E-2</v>
      </c>
      <c r="S120" s="921">
        <f t="shared" si="30"/>
        <v>-1</v>
      </c>
      <c r="T120" s="176">
        <f t="shared" si="31"/>
        <v>5</v>
      </c>
      <c r="U120" s="251">
        <f t="shared" si="32"/>
        <v>-0.97833172956584835</v>
      </c>
      <c r="V120" s="383">
        <f t="shared" si="33"/>
        <v>50.977019839242189</v>
      </c>
      <c r="W120" s="402">
        <f t="shared" si="34"/>
        <v>40.545714978108009</v>
      </c>
      <c r="X120" s="157">
        <f t="shared" si="35"/>
        <v>46493</v>
      </c>
      <c r="Y120" s="385">
        <f t="shared" si="36"/>
        <v>38.185507493353974</v>
      </c>
      <c r="Z120" s="385">
        <f t="shared" si="37"/>
        <v>41.002792703435212</v>
      </c>
      <c r="AA120" s="386">
        <f t="shared" si="38"/>
        <v>45.757284626637095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0.10390677598106654</v>
      </c>
      <c r="AD120" s="231">
        <f>(INDEX(Models!$BJ120:$BT120,,AH120)*(1-AF120)+INDEX(Models!$BJ120:$BT120,,AH120+1)*AF120-ERP_i)*AE120*Ramure*Pc/MaxiM</f>
        <v>2.2355442168033187E-3</v>
      </c>
      <c r="AE120" s="305">
        <f t="shared" si="40"/>
        <v>0.7</v>
      </c>
      <c r="AF120" s="177">
        <f t="shared" si="41"/>
        <v>0.54665583680813068</v>
      </c>
      <c r="AG120" s="921">
        <f t="shared" si="49"/>
        <v>2</v>
      </c>
      <c r="AH120" s="176">
        <f t="shared" si="42"/>
        <v>8</v>
      </c>
      <c r="AI120" s="225">
        <f t="shared" si="43"/>
        <v>2.5466558368081307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51.199606231729774</v>
      </c>
      <c r="C121" s="955"/>
      <c r="D121" s="393">
        <f t="shared" si="25"/>
        <v>54.978261656866096</v>
      </c>
      <c r="E121" s="385">
        <f t="shared" si="47"/>
        <v>57.875791000224559</v>
      </c>
      <c r="F121" s="385">
        <f t="shared" si="26"/>
        <v>57.88313462083768</v>
      </c>
      <c r="G121" s="110">
        <f t="shared" si="48"/>
        <v>1.0022289716869432</v>
      </c>
      <c r="H121" s="414" t="b">
        <f>Wh_hp&gt;='2026'!Maxi_hp</f>
        <v>1</v>
      </c>
      <c r="I121" s="390">
        <f>IF(H121,Wh_hp,'2026'!Maxi_hp)</f>
        <v>57.88313462083768</v>
      </c>
      <c r="J121" s="85">
        <f>IF(H121,An,'2026'!An_max)</f>
        <v>2027</v>
      </c>
      <c r="K121" s="197">
        <f t="shared" si="27"/>
        <v>46494</v>
      </c>
      <c r="L121" s="147">
        <f>IF(t&lt;Tvie,1-EXP((T0-t)*PertePVj)+'2026'!Pspv,1-EXP((T0-t)*PertePVj)+Pspv)</f>
        <v>6.8729990932050788E-2</v>
      </c>
      <c r="M121" s="959"/>
      <c r="N121" s="959"/>
      <c r="O121" s="48">
        <f>IF(t&lt;Tnet,'2026'!Resal+('2026'!Salim-'2026'!Resal)*(1-EXP(('2026'!Tnet-t)/('2026'!Tau_j))),Resal+(Salim-Resal)*(1-EXP((Tnet-t)/(Tau_j))))*Salcycl</f>
        <v>5.0064617576409738E-2</v>
      </c>
      <c r="P121" s="169">
        <f>(INDEX(Models!$BJ121:$BT121,,T121)*(1-R121)+INDEX(Models!$BJ121:$BT121,,T121+1)*R121-ERP_i)*Q121*Ramure*Pc/MaxiM</f>
        <v>1.2686978100322498E-4</v>
      </c>
      <c r="Q121" s="305">
        <f t="shared" si="28"/>
        <v>0.7</v>
      </c>
      <c r="R121" s="177">
        <f t="shared" si="29"/>
        <v>2.345861696882845E-2</v>
      </c>
      <c r="S121" s="921">
        <f t="shared" si="30"/>
        <v>-1</v>
      </c>
      <c r="T121" s="176">
        <f t="shared" si="31"/>
        <v>5</v>
      </c>
      <c r="U121" s="251">
        <f t="shared" si="32"/>
        <v>-0.97654138303117155</v>
      </c>
      <c r="V121" s="383">
        <f t="shared" si="33"/>
        <v>51.08573756908168</v>
      </c>
      <c r="W121" s="402">
        <f t="shared" si="34"/>
        <v>51.199606231729774</v>
      </c>
      <c r="X121" s="157">
        <f t="shared" si="35"/>
        <v>46494</v>
      </c>
      <c r="Y121" s="385">
        <f t="shared" si="36"/>
        <v>48.190760473561191</v>
      </c>
      <c r="Z121" s="385">
        <f t="shared" si="37"/>
        <v>51.747355766124535</v>
      </c>
      <c r="AA121" s="386">
        <f t="shared" si="38"/>
        <v>57.753241642125055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0.10399218650299692</v>
      </c>
      <c r="AD121" s="231">
        <f>(INDEX(Models!$BJ121:$BT121,,AH121)*(1-AF121)+INDEX(Models!$BJ121:$BT121,,AH121+1)*AF121-ERP_i)*AE121*Ramure*Pc/MaxiM</f>
        <v>2.2440557092058911E-3</v>
      </c>
      <c r="AE121" s="305">
        <f t="shared" si="40"/>
        <v>0.7</v>
      </c>
      <c r="AF121" s="177">
        <f t="shared" si="41"/>
        <v>0.54844618334280737</v>
      </c>
      <c r="AG121" s="921">
        <f t="shared" si="49"/>
        <v>2</v>
      </c>
      <c r="AH121" s="176">
        <f t="shared" si="42"/>
        <v>8</v>
      </c>
      <c r="AI121" s="225">
        <f t="shared" si="43"/>
        <v>2.5484461833428074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36.50916085676733</v>
      </c>
      <c r="C122" s="955"/>
      <c r="D122" s="393">
        <f t="shared" si="25"/>
        <v>39.204484374132917</v>
      </c>
      <c r="E122" s="385">
        <f t="shared" si="47"/>
        <v>41.27581192240612</v>
      </c>
      <c r="F122" s="385">
        <f t="shared" si="26"/>
        <v>41.279212609530695</v>
      </c>
      <c r="G122" s="110">
        <f t="shared" si="48"/>
        <v>0.71315312539537412</v>
      </c>
      <c r="H122" s="414" t="b">
        <f>Wh_hp&gt;='2026'!Maxi_hp</f>
        <v>0</v>
      </c>
      <c r="I122" s="390">
        <f>IF(H122,Wh_hp,'2026'!Maxi_hp)</f>
        <v>42.269665111428111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6.8750388135290885E-2</v>
      </c>
      <c r="M122" s="959"/>
      <c r="N122" s="959"/>
      <c r="O122" s="48">
        <f>IF(t&lt;Tnet,'2026'!Resal+('2026'!Salim-'2026'!Resal)*(1-EXP(('2026'!Tnet-t)/('2026'!Tau_j))),Resal+(Salim-Resal)*(1-EXP((Tnet-t)/(Tau_j))))*Salcycl</f>
        <v>5.0182599730977329E-2</v>
      </c>
      <c r="P122" s="169">
        <f>(INDEX(Models!$BJ122:$BT122,,T122)*(1-R122)+INDEX(Models!$BJ122:$BT122,,T122+1)*R122-ERP_i)*Q122*Ramure*Pc/MaxiM</f>
        <v>1.3956592520369572E-4</v>
      </c>
      <c r="Q122" s="305">
        <f t="shared" si="28"/>
        <v>0.7</v>
      </c>
      <c r="R122" s="177">
        <f t="shared" si="29"/>
        <v>2.5309097291551286E-2</v>
      </c>
      <c r="S122" s="921">
        <f t="shared" si="30"/>
        <v>-1</v>
      </c>
      <c r="T122" s="176">
        <f t="shared" si="31"/>
        <v>5</v>
      </c>
      <c r="U122" s="251">
        <f t="shared" si="32"/>
        <v>-0.97469090270844871</v>
      </c>
      <c r="V122" s="383">
        <f t="shared" si="33"/>
        <v>51.191071970368739</v>
      </c>
      <c r="W122" s="402">
        <f t="shared" si="34"/>
        <v>36.50916085676733</v>
      </c>
      <c r="X122" s="157">
        <f t="shared" si="35"/>
        <v>46495</v>
      </c>
      <c r="Y122" s="385">
        <f t="shared" si="36"/>
        <v>34.394369657747994</v>
      </c>
      <c r="Z122" s="385">
        <f t="shared" si="37"/>
        <v>36.933566703858951</v>
      </c>
      <c r="AA122" s="386">
        <f t="shared" si="38"/>
        <v>41.224133321434472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0.10407900110648635</v>
      </c>
      <c r="AD122" s="231">
        <f>(INDEX(Models!$BJ122:$BT122,,AH122)*(1-AF122)+INDEX(Models!$BJ122:$BT122,,AH122+1)*AF122-ERP_i)*AE122*Ramure*Pc/MaxiM</f>
        <v>2.2604819323607155E-3</v>
      </c>
      <c r="AE122" s="305">
        <f t="shared" si="40"/>
        <v>0.7</v>
      </c>
      <c r="AF122" s="177">
        <f t="shared" si="41"/>
        <v>0.55029666366553043</v>
      </c>
      <c r="AG122" s="921">
        <f t="shared" si="49"/>
        <v>2</v>
      </c>
      <c r="AH122" s="176">
        <f t="shared" si="42"/>
        <v>8</v>
      </c>
      <c r="AI122" s="225">
        <f t="shared" si="43"/>
        <v>2.5502966636655304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8.7391848607204849</v>
      </c>
      <c r="C123" s="955"/>
      <c r="D123" s="393">
        <f t="shared" si="25"/>
        <v>9.3845690394334174</v>
      </c>
      <c r="E123" s="385">
        <f t="shared" si="47"/>
        <v>9.8816272313638489</v>
      </c>
      <c r="F123" s="385">
        <f t="shared" si="26"/>
        <v>9.8816272313638489</v>
      </c>
      <c r="G123" s="110">
        <f t="shared" si="48"/>
        <v>0.17035167523637976</v>
      </c>
      <c r="H123" s="414" t="b">
        <f>Wh_hp&gt;='2026'!Maxi_hp</f>
        <v>0</v>
      </c>
      <c r="I123" s="390">
        <f>IF(H123,Wh_hp,'2026'!Maxi_hp)</f>
        <v>56.035337326864806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6.8770784891779901E-2</v>
      </c>
      <c r="M123" s="959"/>
      <c r="N123" s="959"/>
      <c r="O123" s="48">
        <f>IF(t&lt;Tnet,'2026'!Resal+('2026'!Salim-'2026'!Resal)*(1-EXP(('2026'!Tnet-t)/('2026'!Tau_j))),Resal+(Salim-Resal)*(1-EXP((Tnet-t)/(Tau_j))))*Salcycl</f>
        <v>5.0301249004090276E-2</v>
      </c>
      <c r="P123" s="169">
        <f>(INDEX(Models!$BJ123:$BT123,,T123)*(1-R123)+INDEX(Models!$BJ123:$BT123,,T123+1)*R123-ERP_i)*Q123*Ramure*Pc/MaxiM</f>
        <v>1.5397268552133994E-4</v>
      </c>
      <c r="Q123" s="305">
        <f t="shared" si="28"/>
        <v>0.7</v>
      </c>
      <c r="R123" s="177">
        <f t="shared" si="29"/>
        <v>2.7221150376188219E-2</v>
      </c>
      <c r="S123" s="921">
        <f t="shared" si="30"/>
        <v>-1</v>
      </c>
      <c r="T123" s="176">
        <f t="shared" si="31"/>
        <v>5</v>
      </c>
      <c r="U123" s="251">
        <f t="shared" si="32"/>
        <v>-0.97277884962381178</v>
      </c>
      <c r="V123" s="383">
        <f t="shared" si="33"/>
        <v>51.292945918104991</v>
      </c>
      <c r="W123" s="402">
        <f t="shared" si="34"/>
        <v>8.7391848607204849</v>
      </c>
      <c r="X123" s="157">
        <f t="shared" si="35"/>
        <v>46496</v>
      </c>
      <c r="Y123" s="385">
        <f t="shared" si="36"/>
        <v>8.2435068223795014</v>
      </c>
      <c r="Z123" s="385">
        <f t="shared" si="37"/>
        <v>8.8522854401872539</v>
      </c>
      <c r="AA123" s="386">
        <f t="shared" si="38"/>
        <v>9.8816272313638489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0.10416723552468253</v>
      </c>
      <c r="AD123" s="231">
        <f>(INDEX(Models!$BJ123:$BT123,,AH123)*(1-AF123)+INDEX(Models!$BJ123:$BT123,,AH123+1)*AF123-ERP_i)*AE123*Ramure*Pc/MaxiM</f>
        <v>2.2832514196512144E-3</v>
      </c>
      <c r="AE123" s="305">
        <f t="shared" si="40"/>
        <v>0.7</v>
      </c>
      <c r="AF123" s="177">
        <f t="shared" si="41"/>
        <v>0.55220871675016703</v>
      </c>
      <c r="AG123" s="921">
        <f t="shared" si="49"/>
        <v>2</v>
      </c>
      <c r="AH123" s="176">
        <f t="shared" si="42"/>
        <v>8</v>
      </c>
      <c r="AI123" s="225">
        <f t="shared" si="43"/>
        <v>2.552208716750167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9.8598736913838998</v>
      </c>
      <c r="C124" s="955"/>
      <c r="D124" s="393">
        <f t="shared" si="25"/>
        <v>10.588252057262491</v>
      </c>
      <c r="E124" s="385">
        <f t="shared" si="47"/>
        <v>11.150464911639377</v>
      </c>
      <c r="F124" s="385">
        <f t="shared" si="26"/>
        <v>11.150464911639377</v>
      </c>
      <c r="G124" s="110">
        <f t="shared" si="48"/>
        <v>0.19182630972969675</v>
      </c>
      <c r="H124" s="414" t="b">
        <f>Wh_hp&gt;='2026'!Maxi_hp</f>
        <v>0</v>
      </c>
      <c r="I124" s="390">
        <f>IF(H124,Wh_hp,'2026'!Maxi_hp)</f>
        <v>54.638540839726012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6.8791181201527496E-2</v>
      </c>
      <c r="M124" s="959"/>
      <c r="N124" s="959"/>
      <c r="O124" s="48">
        <f>IF(t&lt;Tnet,'2026'!Resal+('2026'!Salim-'2026'!Resal)*(1-EXP(('2026'!Tnet-t)/('2026'!Tau_j))),Resal+(Salim-Resal)*(1-EXP((Tnet-t)/(Tau_j))))*Salcycl</f>
        <v>5.0420575180683429E-2</v>
      </c>
      <c r="P124" s="169">
        <f>(INDEX(Models!$BJ124:$BT124,,T124)*(1-R124)+INDEX(Models!$BJ124:$BT124,,T124+1)*R124-ERP_i)*Q124*Ramure*Pc/MaxiM</f>
        <v>1.7011901042536263E-4</v>
      </c>
      <c r="Q124" s="305">
        <f t="shared" si="28"/>
        <v>0.7</v>
      </c>
      <c r="R124" s="177">
        <f t="shared" si="29"/>
        <v>2.9196205104857431E-2</v>
      </c>
      <c r="S124" s="921">
        <f t="shared" si="30"/>
        <v>-1</v>
      </c>
      <c r="T124" s="176">
        <f t="shared" si="31"/>
        <v>5</v>
      </c>
      <c r="U124" s="251">
        <f t="shared" si="32"/>
        <v>-0.97080379489514257</v>
      </c>
      <c r="V124" s="383">
        <f t="shared" si="33"/>
        <v>51.391263030185108</v>
      </c>
      <c r="W124" s="402">
        <f t="shared" si="34"/>
        <v>9.8598736913838998</v>
      </c>
      <c r="X124" s="157">
        <f t="shared" si="35"/>
        <v>46497</v>
      </c>
      <c r="Y124" s="385">
        <f t="shared" si="36"/>
        <v>9.3008689534999096</v>
      </c>
      <c r="Z124" s="385">
        <f t="shared" si="37"/>
        <v>9.9879519671009014</v>
      </c>
      <c r="AA124" s="386">
        <f t="shared" si="38"/>
        <v>11.150464911639377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0.10425690352381532</v>
      </c>
      <c r="AD124" s="231">
        <f>(INDEX(Models!$BJ124:$BT124,,AH124)*(1-AF124)+INDEX(Models!$BJ124:$BT124,,AH124+1)*AF124-ERP_i)*AE124*Ramure*Pc/MaxiM</f>
        <v>2.3124208112837324E-3</v>
      </c>
      <c r="AE124" s="305">
        <f t="shared" si="40"/>
        <v>0.7</v>
      </c>
      <c r="AF124" s="177">
        <f t="shared" si="41"/>
        <v>0.55418377147883646</v>
      </c>
      <c r="AG124" s="921">
        <f t="shared" si="49"/>
        <v>2</v>
      </c>
      <c r="AH124" s="176">
        <f t="shared" si="42"/>
        <v>8</v>
      </c>
      <c r="AI124" s="225">
        <f t="shared" si="43"/>
        <v>2.5541837714788365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8.9046817178505453</v>
      </c>
      <c r="C125" s="955"/>
      <c r="D125" s="393">
        <f t="shared" si="25"/>
        <v>9.5627066429580783</v>
      </c>
      <c r="E125" s="385">
        <f t="shared" si="47"/>
        <v>10.071738204727311</v>
      </c>
      <c r="F125" s="385">
        <f t="shared" si="26"/>
        <v>10.071738204727311</v>
      </c>
      <c r="G125" s="110">
        <f t="shared" si="48"/>
        <v>0.17292118142196297</v>
      </c>
      <c r="H125" s="414" t="b">
        <f>Wh_hp&gt;='2026'!Maxi_hp</f>
        <v>0</v>
      </c>
      <c r="I125" s="390">
        <f>IF(H125,Wh_hp,'2026'!Maxi_hp)</f>
        <v>49.293646269634195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6.8811577064543661E-2</v>
      </c>
      <c r="M125" s="959"/>
      <c r="N125" s="959"/>
      <c r="O125" s="48">
        <f>IF(t&lt;Tnet,'2026'!Resal+('2026'!Salim-'2026'!Resal)*(1-EXP(('2026'!Tnet-t)/('2026'!Tau_j))),Resal+(Salim-Resal)*(1-EXP((Tnet-t)/(Tau_j))))*Salcycl</f>
        <v>5.0540587078634784E-2</v>
      </c>
      <c r="P125" s="169">
        <f>(INDEX(Models!$BJ125:$BT125,,T125)*(1-R125)+INDEX(Models!$BJ125:$BT125,,T125+1)*R125-ERP_i)*Q125*Ramure*Pc/MaxiM</f>
        <v>1.8803723899084467E-4</v>
      </c>
      <c r="Q125" s="305">
        <f t="shared" si="28"/>
        <v>0.7</v>
      </c>
      <c r="R125" s="177">
        <f t="shared" si="29"/>
        <v>3.1235676170330517E-2</v>
      </c>
      <c r="S125" s="921">
        <f t="shared" si="30"/>
        <v>-1</v>
      </c>
      <c r="T125" s="176">
        <f t="shared" si="31"/>
        <v>5</v>
      </c>
      <c r="U125" s="251">
        <f t="shared" si="32"/>
        <v>-0.96876432382966948</v>
      </c>
      <c r="V125" s="383">
        <f t="shared" si="33"/>
        <v>51.485926899614881</v>
      </c>
      <c r="W125" s="402">
        <f t="shared" si="34"/>
        <v>8.9046817178505453</v>
      </c>
      <c r="X125" s="157">
        <f t="shared" si="35"/>
        <v>46498</v>
      </c>
      <c r="Y125" s="385">
        <f t="shared" si="36"/>
        <v>8.4000387290716176</v>
      </c>
      <c r="Z125" s="385">
        <f t="shared" si="37"/>
        <v>9.0207722971807733</v>
      </c>
      <c r="AA125" s="386">
        <f t="shared" si="38"/>
        <v>10.071738204727311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0.10434801681533505</v>
      </c>
      <c r="AD125" s="231">
        <f>(INDEX(Models!$BJ125:$BT125,,AH125)*(1-AF125)+INDEX(Models!$BJ125:$BT125,,AH125+1)*AF125-ERP_i)*AE125*Ramure*Pc/MaxiM</f>
        <v>2.3480611897782801E-3</v>
      </c>
      <c r="AE125" s="305">
        <f t="shared" si="40"/>
        <v>0.7</v>
      </c>
      <c r="AF125" s="177">
        <f t="shared" si="41"/>
        <v>0.55622324254430922</v>
      </c>
      <c r="AG125" s="921">
        <f t="shared" si="49"/>
        <v>2</v>
      </c>
      <c r="AH125" s="176">
        <f t="shared" si="42"/>
        <v>8</v>
      </c>
      <c r="AI125" s="225">
        <f t="shared" si="43"/>
        <v>2.5562232425443092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26.923315224591626</v>
      </c>
      <c r="C126" s="955"/>
      <c r="D126" s="393">
        <f t="shared" si="25"/>
        <v>28.913487607946877</v>
      </c>
      <c r="E126" s="385">
        <f t="shared" si="47"/>
        <v>30.456450768766366</v>
      </c>
      <c r="F126" s="385">
        <f t="shared" si="26"/>
        <v>30.458457727781944</v>
      </c>
      <c r="G126" s="110">
        <f t="shared" si="48"/>
        <v>0.52192989623680264</v>
      </c>
      <c r="H126" s="414" t="b">
        <f>Wh_hp&gt;='2026'!Maxi_hp</f>
        <v>0</v>
      </c>
      <c r="I126" s="390">
        <f>IF(H126,Wh_hp,'2026'!Maxi_hp)</f>
        <v>60.094501166563738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6.8831972480838055E-2</v>
      </c>
      <c r="M126" s="959"/>
      <c r="N126" s="959"/>
      <c r="O126" s="48">
        <f>IF(t&lt;Tnet,'2026'!Resal+('2026'!Salim-'2026'!Resal)*(1-EXP(('2026'!Tnet-t)/('2026'!Tau_j))),Resal+(Salim-Resal)*(1-EXP((Tnet-t)/(Tau_j))))*Salcycl</f>
        <v>5.0661292497083232E-2</v>
      </c>
      <c r="P126" s="169">
        <f>(INDEX(Models!$BJ126:$BT126,,T126)*(1-R126)+INDEX(Models!$BJ126:$BT126,,T126+1)*R126-ERP_i)*Q126*Ramure*Pc/MaxiM</f>
        <v>2.0776286078400262E-4</v>
      </c>
      <c r="Q126" s="305">
        <f t="shared" si="28"/>
        <v>0.7</v>
      </c>
      <c r="R126" s="177">
        <f t="shared" si="29"/>
        <v>3.3340959717212959E-2</v>
      </c>
      <c r="S126" s="921">
        <f t="shared" si="30"/>
        <v>-1</v>
      </c>
      <c r="T126" s="176">
        <f t="shared" si="31"/>
        <v>5</v>
      </c>
      <c r="U126" s="251">
        <f t="shared" si="32"/>
        <v>-0.96665904028278704</v>
      </c>
      <c r="V126" s="383">
        <f t="shared" si="33"/>
        <v>51.576841113189211</v>
      </c>
      <c r="W126" s="402">
        <f t="shared" si="34"/>
        <v>26.923315224591626</v>
      </c>
      <c r="X126" s="157">
        <f t="shared" si="35"/>
        <v>46499</v>
      </c>
      <c r="Y126" s="385">
        <f t="shared" si="36"/>
        <v>25.380549489840444</v>
      </c>
      <c r="Z126" s="385">
        <f t="shared" si="37"/>
        <v>27.256680577252908</v>
      </c>
      <c r="AA126" s="386">
        <f t="shared" si="38"/>
        <v>30.435368239849112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0.10444058496503876</v>
      </c>
      <c r="AD126" s="231">
        <f>(INDEX(Models!$BJ126:$BT126,,AH126)*(1-AF126)+INDEX(Models!$BJ126:$BT126,,AH126+1)*AF126-ERP_i)*AE126*Ramure*Pc/MaxiM</f>
        <v>2.3902521325701808E-3</v>
      </c>
      <c r="AE126" s="305">
        <f t="shared" si="40"/>
        <v>0.7</v>
      </c>
      <c r="AF126" s="177">
        <f t="shared" si="41"/>
        <v>0.55832852609119188</v>
      </c>
      <c r="AG126" s="921">
        <f t="shared" si="49"/>
        <v>2</v>
      </c>
      <c r="AH126" s="176">
        <f t="shared" si="42"/>
        <v>8</v>
      </c>
      <c r="AI126" s="225">
        <f t="shared" si="43"/>
        <v>2.5583285260911919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9.2510300035918878</v>
      </c>
      <c r="C127" s="955"/>
      <c r="D127" s="393">
        <f t="shared" si="25"/>
        <v>9.9350840620854086</v>
      </c>
      <c r="E127" s="385">
        <f t="shared" si="47"/>
        <v>10.466606585087078</v>
      </c>
      <c r="F127" s="385">
        <f t="shared" si="26"/>
        <v>10.466606585087078</v>
      </c>
      <c r="G127" s="110">
        <f t="shared" si="48"/>
        <v>0.1790206849825699</v>
      </c>
      <c r="H127" s="414" t="b">
        <f>Wh_hp&gt;='2026'!Maxi_hp</f>
        <v>0</v>
      </c>
      <c r="I127" s="390">
        <f>IF(H127,Wh_hp,'2026'!Maxi_hp)</f>
        <v>60.511949341362161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6.8852367450420449E-2</v>
      </c>
      <c r="M127" s="959"/>
      <c r="N127" s="959"/>
      <c r="O127" s="48">
        <f>IF(t&lt;Tnet,'2026'!Resal+('2026'!Salim-'2026'!Resal)*(1-EXP(('2026'!Tnet-t)/('2026'!Tau_j))),Resal+(Salim-Resal)*(1-EXP((Tnet-t)/(Tau_j))))*Salcycl</f>
        <v>5.0782698163030909E-2</v>
      </c>
      <c r="P127" s="169">
        <f>(INDEX(Models!$BJ127:$BT127,,T127)*(1-R127)+INDEX(Models!$BJ127:$BT127,,T127+1)*R127-ERP_i)*Q127*Ramure*Pc/MaxiM</f>
        <v>2.293339676528794E-4</v>
      </c>
      <c r="Q127" s="305">
        <f t="shared" si="28"/>
        <v>0.7</v>
      </c>
      <c r="R127" s="177">
        <f t="shared" si="29"/>
        <v>3.5513428721246298E-2</v>
      </c>
      <c r="S127" s="921">
        <f t="shared" si="30"/>
        <v>-1</v>
      </c>
      <c r="T127" s="176">
        <f t="shared" si="31"/>
        <v>5</v>
      </c>
      <c r="U127" s="251">
        <f t="shared" si="32"/>
        <v>-0.9644865712787537</v>
      </c>
      <c r="V127" s="383">
        <f t="shared" si="33"/>
        <v>51.663909279962787</v>
      </c>
      <c r="W127" s="402">
        <f t="shared" si="34"/>
        <v>9.2510300035918878</v>
      </c>
      <c r="X127" s="157">
        <f t="shared" si="35"/>
        <v>46500</v>
      </c>
      <c r="Y127" s="385">
        <f t="shared" si="36"/>
        <v>8.7271661873543191</v>
      </c>
      <c r="Z127" s="385">
        <f t="shared" si="37"/>
        <v>9.3724838922249365</v>
      </c>
      <c r="AA127" s="386">
        <f t="shared" si="38"/>
        <v>10.466606585087078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0.10453461529939015</v>
      </c>
      <c r="AD127" s="231">
        <f>(INDEX(Models!$BJ127:$BT127,,AH127)*(1-AF127)+INDEX(Models!$BJ127:$BT127,,AH127+1)*AF127-ERP_i)*AE127*Ramure*Pc/MaxiM</f>
        <v>2.4390749603145712E-3</v>
      </c>
      <c r="AE127" s="305">
        <f t="shared" si="40"/>
        <v>0.7</v>
      </c>
      <c r="AF127" s="177">
        <f t="shared" si="41"/>
        <v>0.56050099509522511</v>
      </c>
      <c r="AG127" s="921">
        <f t="shared" si="49"/>
        <v>2</v>
      </c>
      <c r="AH127" s="176">
        <f t="shared" si="42"/>
        <v>8</v>
      </c>
      <c r="AI127" s="225">
        <f t="shared" si="43"/>
        <v>2.5605009950952251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23.779656473782097</v>
      </c>
      <c r="C128" s="955"/>
      <c r="D128" s="393">
        <f t="shared" si="25"/>
        <v>25.538568202748927</v>
      </c>
      <c r="E128" s="385">
        <f t="shared" si="47"/>
        <v>26.908331707002528</v>
      </c>
      <c r="F128" s="385">
        <f t="shared" si="26"/>
        <v>26.909884763919003</v>
      </c>
      <c r="G128" s="110">
        <f t="shared" si="48"/>
        <v>0.45944694797486202</v>
      </c>
      <c r="H128" s="414" t="b">
        <f>Wh_hp&gt;='2026'!Maxi_hp</f>
        <v>0</v>
      </c>
      <c r="I128" s="390">
        <f>IF(H128,Wh_hp,'2026'!Maxi_hp)</f>
        <v>59.112989516648078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6.8872761973300611E-2</v>
      </c>
      <c r="M128" s="959"/>
      <c r="N128" s="959"/>
      <c r="O128" s="48">
        <f>IF(t&lt;Tnet,'2026'!Resal+('2026'!Salim-'2026'!Resal)*(1-EXP(('2026'!Tnet-t)/('2026'!Tau_j))),Resal+(Salim-Resal)*(1-EXP((Tnet-t)/(Tau_j))))*Salcycl</f>
        <v>5.0904809676370281E-2</v>
      </c>
      <c r="P128" s="169">
        <f>(INDEX(Models!$BJ128:$BT128,,T128)*(1-R128)+INDEX(Models!$BJ128:$BT128,,T128+1)*R128-ERP_i)*Q128*Ramure*Pc/MaxiM</f>
        <v>2.5322856758182565E-4</v>
      </c>
      <c r="Q128" s="305">
        <f t="shared" si="28"/>
        <v>0.7</v>
      </c>
      <c r="R128" s="177">
        <f t="shared" si="29"/>
        <v>3.7754428107827809E-2</v>
      </c>
      <c r="S128" s="921">
        <f t="shared" si="30"/>
        <v>-1</v>
      </c>
      <c r="T128" s="176">
        <f t="shared" si="31"/>
        <v>5</v>
      </c>
      <c r="U128" s="251">
        <f t="shared" si="32"/>
        <v>-0.96224557189217219</v>
      </c>
      <c r="V128" s="383">
        <f t="shared" si="33"/>
        <v>51.747012409500215</v>
      </c>
      <c r="W128" s="402">
        <f t="shared" si="34"/>
        <v>23.779656473782097</v>
      </c>
      <c r="X128" s="157">
        <f t="shared" si="35"/>
        <v>46501</v>
      </c>
      <c r="Y128" s="385">
        <f t="shared" si="36"/>
        <v>22.422095378674605</v>
      </c>
      <c r="Z128" s="385">
        <f t="shared" si="37"/>
        <v>24.080592278873564</v>
      </c>
      <c r="AA128" s="386">
        <f t="shared" si="38"/>
        <v>26.894574659451305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0.10463011280934498</v>
      </c>
      <c r="AD128" s="231">
        <f>(INDEX(Models!$BJ128:$BT128,,AH128)*(1-AF128)+INDEX(Models!$BJ128:$BT128,,AH128+1)*AF128-ERP_i)*AE128*Ramure*Pc/MaxiM</f>
        <v>2.4963385325777769E-3</v>
      </c>
      <c r="AE128" s="305">
        <f t="shared" si="40"/>
        <v>0.7</v>
      </c>
      <c r="AF128" s="177">
        <f t="shared" si="41"/>
        <v>0.56274199448180662</v>
      </c>
      <c r="AG128" s="921">
        <f t="shared" si="49"/>
        <v>2</v>
      </c>
      <c r="AH128" s="176">
        <f t="shared" si="42"/>
        <v>8</v>
      </c>
      <c r="AI128" s="225">
        <f t="shared" si="43"/>
        <v>2.5627419944818066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45.099848505826877</v>
      </c>
      <c r="C129" s="955"/>
      <c r="D129" s="393">
        <f t="shared" si="25"/>
        <v>48.436813453627607</v>
      </c>
      <c r="E129" s="385">
        <f t="shared" si="47"/>
        <v>51.04133171740051</v>
      </c>
      <c r="F129" s="385">
        <f t="shared" si="26"/>
        <v>51.052921192583177</v>
      </c>
      <c r="G129" s="110">
        <f t="shared" si="48"/>
        <v>0.87017006963415544</v>
      </c>
      <c r="H129" s="414" t="b">
        <f>Wh_hp&gt;='2026'!Maxi_hp</f>
        <v>0</v>
      </c>
      <c r="I129" s="390">
        <f>IF(H129,Wh_hp,'2026'!Maxi_hp)</f>
        <v>55.415664195239167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6.8893156049488535E-2</v>
      </c>
      <c r="M129" s="959"/>
      <c r="N129" s="959"/>
      <c r="O129" s="48">
        <f>IF(t&lt;Tnet,'2026'!Resal+('2026'!Salim-'2026'!Resal)*(1-EXP(('2026'!Tnet-t)/('2026'!Tau_j))),Resal+(Salim-Resal)*(1-EXP((Tnet-t)/(Tau_j))))*Salcycl</f>
        <v>5.1027631453530432E-2</v>
      </c>
      <c r="P129" s="169">
        <f>(INDEX(Models!$BJ129:$BT129,,T129)*(1-R129)+INDEX(Models!$BJ129:$BT129,,T129+1)*R129-ERP_i)*Q129*Ramure*Pc/MaxiM</f>
        <v>2.7867790858796871E-4</v>
      </c>
      <c r="Q129" s="305">
        <f t="shared" si="28"/>
        <v>0.7</v>
      </c>
      <c r="R129" s="177">
        <f t="shared" si="29"/>
        <v>4.0065269612793664E-2</v>
      </c>
      <c r="S129" s="921">
        <f t="shared" si="30"/>
        <v>-1</v>
      </c>
      <c r="T129" s="176">
        <f t="shared" si="31"/>
        <v>5</v>
      </c>
      <c r="U129" s="251">
        <f t="shared" si="32"/>
        <v>-0.95993473038720634</v>
      </c>
      <c r="V129" s="383">
        <f t="shared" si="33"/>
        <v>51.826096176832067</v>
      </c>
      <c r="W129" s="402">
        <f t="shared" si="34"/>
        <v>45.099848505826877</v>
      </c>
      <c r="X129" s="157">
        <f t="shared" si="35"/>
        <v>46502</v>
      </c>
      <c r="Y129" s="385">
        <f t="shared" si="36"/>
        <v>42.468733704166645</v>
      </c>
      <c r="Z129" s="385">
        <f t="shared" si="37"/>
        <v>45.61102088346788</v>
      </c>
      <c r="AA129" s="386">
        <f t="shared" si="38"/>
        <v>50.94649895824206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0.10472708005210267</v>
      </c>
      <c r="AD129" s="231">
        <f>(INDEX(Models!$BJ129:$BT129,,AH129)*(1-AF129)+INDEX(Models!$BJ129:$BT129,,AH129+1)*AF129-ERP_i)*AE129*Ramure*Pc/MaxiM</f>
        <v>2.5590050650255158E-3</v>
      </c>
      <c r="AE129" s="305">
        <f t="shared" si="40"/>
        <v>0.7</v>
      </c>
      <c r="AF129" s="177">
        <f t="shared" si="41"/>
        <v>0.56505283598677281</v>
      </c>
      <c r="AG129" s="921">
        <f t="shared" si="49"/>
        <v>2</v>
      </c>
      <c r="AH129" s="176">
        <f t="shared" si="42"/>
        <v>8</v>
      </c>
      <c r="AI129" s="225">
        <f t="shared" si="43"/>
        <v>2.5650528359867728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50.439575015548364</v>
      </c>
      <c r="C130" s="955"/>
      <c r="D130" s="393">
        <f t="shared" si="25"/>
        <v>54.172816066820168</v>
      </c>
      <c r="E130" s="385">
        <f t="shared" si="47"/>
        <v>57.09319984796668</v>
      </c>
      <c r="F130" s="385">
        <f t="shared" si="26"/>
        <v>57.109957354024566</v>
      </c>
      <c r="G130" s="110">
        <f t="shared" si="48"/>
        <v>0.97182889938979078</v>
      </c>
      <c r="H130" s="414" t="b">
        <f>Wh_hp&gt;='2026'!Maxi_hp</f>
        <v>0</v>
      </c>
      <c r="I130" s="390">
        <f>IF(H130,Wh_hp,'2026'!Maxi_hp)</f>
        <v>57.110631606618483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6.8913549678993768E-2</v>
      </c>
      <c r="M130" s="959"/>
      <c r="N130" s="959"/>
      <c r="O130" s="48">
        <f>IF(t&lt;Tnet,'2026'!Resal+('2026'!Salim-'2026'!Resal)*(1-EXP(('2026'!Tnet-t)/('2026'!Tau_j))),Resal+(Salim-Resal)*(1-EXP((Tnet-t)/(Tau_j))))*Salcycl</f>
        <v>5.1151166669992046E-2</v>
      </c>
      <c r="P130" s="169">
        <f>(INDEX(Models!$BJ130:$BT130,,T130)*(1-R130)+INDEX(Models!$BJ130:$BT130,,T130+1)*R130-ERP_i)*Q130*Ramure*Pc/MaxiM</f>
        <v>3.0572375085333598E-4</v>
      </c>
      <c r="Q130" s="305">
        <f t="shared" si="28"/>
        <v>0.7</v>
      </c>
      <c r="R130" s="177">
        <f t="shared" si="29"/>
        <v>4.244722639065257E-2</v>
      </c>
      <c r="S130" s="921">
        <f t="shared" si="30"/>
        <v>-1</v>
      </c>
      <c r="T130" s="176">
        <f t="shared" si="31"/>
        <v>5</v>
      </c>
      <c r="U130" s="251">
        <f t="shared" si="32"/>
        <v>-0.95755277360934743</v>
      </c>
      <c r="V130" s="383">
        <f t="shared" si="33"/>
        <v>51.901064617686878</v>
      </c>
      <c r="W130" s="402">
        <f t="shared" si="34"/>
        <v>50.439575015548364</v>
      </c>
      <c r="X130" s="157">
        <f t="shared" si="35"/>
        <v>46503</v>
      </c>
      <c r="Y130" s="385">
        <f t="shared" si="36"/>
        <v>47.480260002974561</v>
      </c>
      <c r="Z130" s="385">
        <f t="shared" si="37"/>
        <v>50.994469940578576</v>
      </c>
      <c r="AA130" s="386">
        <f t="shared" si="38"/>
        <v>56.965955701288209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0.10482551705131134</v>
      </c>
      <c r="AD130" s="231">
        <f>(INDEX(Models!$BJ130:$BT130,,AH130)*(1-AF130)+INDEX(Models!$BJ130:$BT130,,AH130+1)*AF130-ERP_i)*AE130*Ramure*Pc/MaxiM</f>
        <v>2.6271645226660801E-3</v>
      </c>
      <c r="AE130" s="305">
        <f t="shared" si="40"/>
        <v>0.7</v>
      </c>
      <c r="AF130" s="177">
        <f t="shared" si="41"/>
        <v>0.56743479276463171</v>
      </c>
      <c r="AG130" s="921">
        <f t="shared" si="49"/>
        <v>2</v>
      </c>
      <c r="AH130" s="176">
        <f t="shared" si="42"/>
        <v>8</v>
      </c>
      <c r="AI130" s="225">
        <f t="shared" si="43"/>
        <v>2.5674347927646317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37.178840460006612</v>
      </c>
      <c r="C131" s="955"/>
      <c r="D131" s="393">
        <f t="shared" si="25"/>
        <v>39.93147443725266</v>
      </c>
      <c r="E131" s="385">
        <f t="shared" si="47"/>
        <v>42.089638195612892</v>
      </c>
      <c r="F131" s="385">
        <f t="shared" si="26"/>
        <v>42.097991790075064</v>
      </c>
      <c r="G131" s="110">
        <f t="shared" si="48"/>
        <v>0.71526805571211771</v>
      </c>
      <c r="H131" s="414" t="b">
        <f>Wh_hp&gt;='2026'!Maxi_hp</f>
        <v>0</v>
      </c>
      <c r="I131" s="390">
        <f>IF(H131,Wh_hp,'2026'!Maxi_hp)</f>
        <v>42.103474182693475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6.8933942861826192E-2</v>
      </c>
      <c r="M131" s="959"/>
      <c r="N131" s="959"/>
      <c r="O131" s="48">
        <f>IF(t&lt;Tnet,'2026'!Resal+('2026'!Salim-'2026'!Resal)*(1-EXP(('2026'!Tnet-t)/('2026'!Tau_j))),Resal+(Salim-Resal)*(1-EXP((Tnet-t)/(Tau_j))))*Salcycl</f>
        <v>5.1275417201974906E-2</v>
      </c>
      <c r="P131" s="169">
        <f>(INDEX(Models!$BJ131:$BT131,,T131)*(1-R131)+INDEX(Models!$BJ131:$BT131,,T131+1)*R131-ERP_i)*Q131*Ramure*Pc/MaxiM</f>
        <v>3.3441040755714552E-4</v>
      </c>
      <c r="Q131" s="305">
        <f t="shared" si="28"/>
        <v>0.7</v>
      </c>
      <c r="R131" s="177">
        <f t="shared" si="29"/>
        <v>4.490152737778752E-2</v>
      </c>
      <c r="S131" s="921">
        <f t="shared" si="30"/>
        <v>-1</v>
      </c>
      <c r="T131" s="176">
        <f t="shared" si="31"/>
        <v>5</v>
      </c>
      <c r="U131" s="251">
        <f t="shared" si="32"/>
        <v>-0.95509847262221248</v>
      </c>
      <c r="V131" s="383">
        <f t="shared" si="33"/>
        <v>51.971821816064647</v>
      </c>
      <c r="W131" s="402">
        <f t="shared" si="34"/>
        <v>37.178840460006612</v>
      </c>
      <c r="X131" s="157">
        <f t="shared" si="35"/>
        <v>46504</v>
      </c>
      <c r="Y131" s="385">
        <f t="shared" si="36"/>
        <v>35.027126369056688</v>
      </c>
      <c r="Z131" s="385">
        <f t="shared" si="37"/>
        <v>37.620452491544889</v>
      </c>
      <c r="AA131" s="386">
        <f t="shared" si="38"/>
        <v>42.030522799372164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0.10492542119635861</v>
      </c>
      <c r="AD131" s="231">
        <f>(INDEX(Models!$BJ131:$BT131,,AH131)*(1-AF131)+INDEX(Models!$BJ131:$BT131,,AH131+1)*AF131-ERP_i)*AE131*Ramure*Pc/MaxiM</f>
        <v>2.7009130956238249E-3</v>
      </c>
      <c r="AE131" s="305">
        <f t="shared" si="40"/>
        <v>0.7</v>
      </c>
      <c r="AF131" s="177">
        <f t="shared" si="41"/>
        <v>0.56988909375176666</v>
      </c>
      <c r="AG131" s="921">
        <f t="shared" si="49"/>
        <v>2</v>
      </c>
      <c r="AH131" s="176">
        <f t="shared" si="42"/>
        <v>8</v>
      </c>
      <c r="AI131" s="225">
        <f t="shared" si="43"/>
        <v>2.5698890937517667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19.995150587030036</v>
      </c>
      <c r="C132" s="955"/>
      <c r="D132" s="393">
        <f t="shared" si="25"/>
        <v>21.476014927659428</v>
      </c>
      <c r="E132" s="385">
        <f t="shared" si="47"/>
        <v>22.639704418635631</v>
      </c>
      <c r="F132" s="385">
        <f t="shared" si="26"/>
        <v>22.640698320179482</v>
      </c>
      <c r="G132" s="110">
        <f t="shared" si="48"/>
        <v>0.38411602482005291</v>
      </c>
      <c r="H132" s="414" t="b">
        <f>Wh_hp&gt;='2026'!Maxi_hp</f>
        <v>0</v>
      </c>
      <c r="I132" s="390">
        <f>IF(H132,Wh_hp,'2026'!Maxi_hp)</f>
        <v>44.927139058198264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6.8954335597995575E-2</v>
      </c>
      <c r="M132" s="959"/>
      <c r="N132" s="959"/>
      <c r="O132" s="48">
        <f>IF(t&lt;Tnet,'2026'!Resal+('2026'!Salim-'2026'!Resal)*(1-EXP(('2026'!Tnet-t)/('2026'!Tau_j))),Resal+(Salim-Resal)*(1-EXP((Tnet-t)/(Tau_j))))*Salcycl</f>
        <v>5.1400383567654952E-2</v>
      </c>
      <c r="P132" s="169">
        <f>(INDEX(Models!$BJ132:$BT132,,T132)*(1-R132)+INDEX(Models!$BJ132:$BT132,,T132+1)*R132-ERP_i)*Q132*Ramure*Pc/MaxiM</f>
        <v>3.6478476976385167E-4</v>
      </c>
      <c r="Q132" s="305">
        <f t="shared" si="28"/>
        <v>0.7</v>
      </c>
      <c r="R132" s="177">
        <f t="shared" si="29"/>
        <v>4.7429351420664845E-2</v>
      </c>
      <c r="S132" s="921">
        <f t="shared" si="30"/>
        <v>-1</v>
      </c>
      <c r="T132" s="176">
        <f t="shared" si="31"/>
        <v>5</v>
      </c>
      <c r="U132" s="251">
        <f t="shared" si="32"/>
        <v>-0.95257064857933516</v>
      </c>
      <c r="V132" s="383">
        <f t="shared" si="33"/>
        <v>52.038271908205026</v>
      </c>
      <c r="W132" s="402">
        <f t="shared" si="34"/>
        <v>19.995150587030036</v>
      </c>
      <c r="X132" s="157">
        <f t="shared" si="35"/>
        <v>46505</v>
      </c>
      <c r="Y132" s="385">
        <f t="shared" si="36"/>
        <v>18.859297028465573</v>
      </c>
      <c r="Z132" s="385">
        <f t="shared" si="37"/>
        <v>20.256038720268993</v>
      </c>
      <c r="AA132" s="386">
        <f t="shared" si="38"/>
        <v>22.633122901602615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0.10502678714148221</v>
      </c>
      <c r="AD132" s="231">
        <f>(INDEX(Models!$BJ132:$BT132,,AH132)*(1-AF132)+INDEX(Models!$BJ132:$BT132,,AH132+1)*AF132-ERP_i)*AE132*Ramure*Pc/MaxiM</f>
        <v>2.7803531833964614E-3</v>
      </c>
      <c r="AE132" s="305">
        <f t="shared" si="40"/>
        <v>0.7</v>
      </c>
      <c r="AF132" s="177">
        <f t="shared" si="41"/>
        <v>0.57241691779464388</v>
      </c>
      <c r="AG132" s="921">
        <f t="shared" si="49"/>
        <v>2</v>
      </c>
      <c r="AH132" s="176">
        <f t="shared" si="42"/>
        <v>8</v>
      </c>
      <c r="AI132" s="225">
        <f t="shared" si="43"/>
        <v>2.5724169177946439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40.47948704030668</v>
      </c>
      <c r="C133" s="955"/>
      <c r="D133" s="393">
        <f t="shared" si="25"/>
        <v>43.478397689956445</v>
      </c>
      <c r="E133" s="385">
        <f t="shared" si="47"/>
        <v>45.840371653355078</v>
      </c>
      <c r="F133" s="385">
        <f t="shared" si="26"/>
        <v>45.852771605351869</v>
      </c>
      <c r="G133" s="110">
        <f t="shared" si="48"/>
        <v>0.77685448108200039</v>
      </c>
      <c r="H133" s="414" t="b">
        <f>Wh_hp&gt;='2026'!Maxi_hp</f>
        <v>0</v>
      </c>
      <c r="I133" s="390">
        <f>IF(H133,Wh_hp,'2026'!Maxi_hp)</f>
        <v>53.012856919854819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6.8974727887511689E-2</v>
      </c>
      <c r="M133" s="959"/>
      <c r="N133" s="959"/>
      <c r="O133" s="48">
        <f>IF(t&lt;Tnet,'2026'!Resal+('2026'!Salim-'2026'!Resal)*(1-EXP(('2026'!Tnet-t)/('2026'!Tau_j))),Resal+(Salim-Resal)*(1-EXP((Tnet-t)/(Tau_j))))*Salcycl</f>
        <v>5.1526064868319101E-2</v>
      </c>
      <c r="P133" s="169">
        <f>(INDEX(Models!$BJ133:$BT133,,T133)*(1-R133)+INDEX(Models!$BJ133:$BT133,,T133+1)*R133-ERP_i)*Q133*Ramure*Pc/MaxiM</f>
        <v>3.9689632706184792E-4</v>
      </c>
      <c r="Q133" s="305">
        <f t="shared" si="28"/>
        <v>0.7</v>
      </c>
      <c r="R133" s="177">
        <f t="shared" si="29"/>
        <v>5.0031821181796943E-2</v>
      </c>
      <c r="S133" s="921">
        <f t="shared" si="30"/>
        <v>-1</v>
      </c>
      <c r="T133" s="176">
        <f t="shared" si="31"/>
        <v>5</v>
      </c>
      <c r="U133" s="251">
        <f t="shared" si="32"/>
        <v>-0.94996817881820306</v>
      </c>
      <c r="V133" s="383">
        <f t="shared" si="33"/>
        <v>52.100319091419536</v>
      </c>
      <c r="W133" s="402">
        <f t="shared" si="34"/>
        <v>40.47948704030668</v>
      </c>
      <c r="X133" s="157">
        <f t="shared" si="35"/>
        <v>46506</v>
      </c>
      <c r="Y133" s="385">
        <f t="shared" si="36"/>
        <v>38.127507136736661</v>
      </c>
      <c r="Z133" s="385">
        <f t="shared" si="37"/>
        <v>40.952172061050156</v>
      </c>
      <c r="AA133" s="386">
        <f t="shared" si="38"/>
        <v>45.763243893101119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0.10512960670552994</v>
      </c>
      <c r="AD133" s="231">
        <f>(INDEX(Models!$BJ133:$BT133,,AH133)*(1-AF133)+INDEX(Models!$BJ133:$BT133,,AH133+1)*AF133-ERP_i)*AE133*Ramure*Pc/MaxiM</f>
        <v>2.8655933645361873E-3</v>
      </c>
      <c r="AE133" s="305">
        <f t="shared" si="40"/>
        <v>0.7</v>
      </c>
      <c r="AF133" s="177">
        <f t="shared" si="41"/>
        <v>0.57501938755577608</v>
      </c>
      <c r="AG133" s="921">
        <f t="shared" si="49"/>
        <v>2</v>
      </c>
      <c r="AH133" s="176">
        <f t="shared" si="42"/>
        <v>8</v>
      </c>
      <c r="AI133" s="225">
        <f t="shared" si="43"/>
        <v>2.5750193875557761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39.471495603197376</v>
      </c>
      <c r="C134" s="955"/>
      <c r="D134" s="393">
        <f t="shared" si="25"/>
        <v>42.396658105343732</v>
      </c>
      <c r="E134" s="385">
        <f t="shared" si="47"/>
        <v>44.705823825476003</v>
      </c>
      <c r="F134" s="385">
        <f t="shared" si="26"/>
        <v>44.718394492925441</v>
      </c>
      <c r="G134" s="110">
        <f t="shared" si="48"/>
        <v>0.75665642120009202</v>
      </c>
      <c r="H134" s="414" t="b">
        <f>Wh_hp&gt;='2026'!Maxi_hp</f>
        <v>0</v>
      </c>
      <c r="I134" s="390">
        <f>IF(H134,Wh_hp,'2026'!Maxi_hp)</f>
        <v>59.629748537925202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6.8995119730384302E-2</v>
      </c>
      <c r="M134" s="959"/>
      <c r="N134" s="959"/>
      <c r="O134" s="48">
        <f>IF(t&lt;Tnet,'2026'!Resal+('2026'!Salim-'2026'!Resal)*(1-EXP(('2026'!Tnet-t)/('2026'!Tau_j))),Resal+(Salim-Resal)*(1-EXP((Tnet-t)/(Tau_j))))*Salcycl</f>
        <v>5.1652458729915501E-2</v>
      </c>
      <c r="P134" s="169">
        <f>(INDEX(Models!$BJ134:$BT134,,T134)*(1-R134)+INDEX(Models!$BJ134:$BT134,,T134+1)*R134-ERP_i)*Q134*Ramure*Pc/MaxiM</f>
        <v>4.307971836411488E-4</v>
      </c>
      <c r="Q134" s="305">
        <f t="shared" si="28"/>
        <v>0.7</v>
      </c>
      <c r="R134" s="177">
        <f t="shared" si="29"/>
        <v>5.2709996839076068E-2</v>
      </c>
      <c r="S134" s="921">
        <f t="shared" si="30"/>
        <v>-1</v>
      </c>
      <c r="T134" s="176">
        <f t="shared" si="31"/>
        <v>5</v>
      </c>
      <c r="U134" s="251">
        <f t="shared" si="32"/>
        <v>-0.94729000316092393</v>
      </c>
      <c r="V134" s="383">
        <f t="shared" si="33"/>
        <v>52.157867630212841</v>
      </c>
      <c r="W134" s="402">
        <f t="shared" si="34"/>
        <v>39.471495603197376</v>
      </c>
      <c r="X134" s="157">
        <f t="shared" si="35"/>
        <v>46507</v>
      </c>
      <c r="Y134" s="385">
        <f t="shared" si="36"/>
        <v>37.179965006926246</v>
      </c>
      <c r="Z134" s="385">
        <f t="shared" si="37"/>
        <v>39.935306242604291</v>
      </c>
      <c r="AA134" s="386">
        <f t="shared" si="38"/>
        <v>44.632116537372269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0.105233868773289</v>
      </c>
      <c r="AD134" s="231">
        <f>(INDEX(Models!$BJ134:$BT134,,AH134)*(1-AF134)+INDEX(Models!$BJ134:$BT134,,AH134+1)*AF134-ERP_i)*AE134*Ramure*Pc/MaxiM</f>
        <v>2.9567483518365655E-3</v>
      </c>
      <c r="AE134" s="305">
        <f t="shared" si="40"/>
        <v>0.7</v>
      </c>
      <c r="AF134" s="177">
        <f t="shared" si="41"/>
        <v>0.57769756321305499</v>
      </c>
      <c r="AG134" s="921">
        <f t="shared" si="49"/>
        <v>2</v>
      </c>
      <c r="AH134" s="176">
        <f t="shared" si="42"/>
        <v>8</v>
      </c>
      <c r="AI134" s="225">
        <f t="shared" si="43"/>
        <v>2.577697563213055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44.181784071631995</v>
      </c>
      <c r="C135" s="955"/>
      <c r="D135" s="393">
        <f t="shared" si="25"/>
        <v>47.457057125729577</v>
      </c>
      <c r="E135" s="385">
        <f t="shared" si="47"/>
        <v>50.048549035775999</v>
      </c>
      <c r="F135" s="385">
        <f t="shared" si="26"/>
        <v>50.06677611920427</v>
      </c>
      <c r="G135" s="110">
        <f t="shared" si="48"/>
        <v>0.84613829876608393</v>
      </c>
      <c r="H135" s="414" t="b">
        <f>Wh_hp&gt;='2026'!Maxi_hp</f>
        <v>0</v>
      </c>
      <c r="I135" s="390">
        <f>IF(H135,Wh_hp,'2026'!Maxi_hp)</f>
        <v>57.486763345827086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6.9015511126623186E-2</v>
      </c>
      <c r="M135" s="959"/>
      <c r="N135" s="959"/>
      <c r="O135" s="48">
        <f>IF(t&lt;Tnet,'2026'!Resal+('2026'!Salim-'2026'!Resal)*(1-EXP(('2026'!Tnet-t)/('2026'!Tau_j))),Resal+(Salim-Resal)*(1-EXP((Tnet-t)/(Tau_j))))*Salcycl</f>
        <v>5.1779561245500941E-2</v>
      </c>
      <c r="P135" s="169">
        <f>(INDEX(Models!$BJ135:$BT135,,T135)*(1-R135)+INDEX(Models!$BJ135:$BT135,,T135+1)*R135-ERP_i)*Q135*Ramure*Pc/MaxiM</f>
        <v>4.6654546581854987E-4</v>
      </c>
      <c r="Q135" s="305">
        <f t="shared" si="28"/>
        <v>0.7</v>
      </c>
      <c r="R135" s="177">
        <f t="shared" si="29"/>
        <v>5.5464869597136035E-2</v>
      </c>
      <c r="S135" s="921">
        <f t="shared" si="30"/>
        <v>-1</v>
      </c>
      <c r="T135" s="176">
        <f t="shared" si="31"/>
        <v>5</v>
      </c>
      <c r="U135" s="251">
        <f t="shared" si="32"/>
        <v>-0.94453513040286396</v>
      </c>
      <c r="V135" s="383">
        <f t="shared" si="33"/>
        <v>52.210441597818637</v>
      </c>
      <c r="W135" s="402">
        <f t="shared" si="34"/>
        <v>44.181784071631995</v>
      </c>
      <c r="X135" s="157">
        <f t="shared" si="35"/>
        <v>46508</v>
      </c>
      <c r="Y135" s="385">
        <f t="shared" si="36"/>
        <v>41.60199114361297</v>
      </c>
      <c r="Z135" s="385">
        <f t="shared" si="37"/>
        <v>44.686019628487337</v>
      </c>
      <c r="AA135" s="386">
        <f t="shared" si="38"/>
        <v>49.947463406897327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0.10533955919938516</v>
      </c>
      <c r="AD135" s="231">
        <f>(INDEX(Models!$BJ135:$BT135,,AH135)*(1-AF135)+INDEX(Models!$BJ135:$BT135,,AH135+1)*AF135-ERP_i)*AE135*Ramure*Pc/MaxiM</f>
        <v>3.0539611650089314E-3</v>
      </c>
      <c r="AE135" s="305">
        <f t="shared" si="40"/>
        <v>0.7</v>
      </c>
      <c r="AF135" s="177">
        <f t="shared" si="41"/>
        <v>0.58045243597111496</v>
      </c>
      <c r="AG135" s="921">
        <f t="shared" si="49"/>
        <v>2</v>
      </c>
      <c r="AH135" s="176">
        <f t="shared" si="42"/>
        <v>8</v>
      </c>
      <c r="AI135" s="225">
        <f t="shared" si="43"/>
        <v>2.580452435971115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25.880704193738474</v>
      </c>
      <c r="C136" s="955"/>
      <c r="D136" s="393">
        <f t="shared" si="25"/>
        <v>27.799895024370628</v>
      </c>
      <c r="E136" s="385">
        <f t="shared" si="47"/>
        <v>29.321918612565941</v>
      </c>
      <c r="F136" s="385">
        <f t="shared" si="26"/>
        <v>29.326046403766068</v>
      </c>
      <c r="G136" s="110">
        <f t="shared" si="48"/>
        <v>0.49507034954943968</v>
      </c>
      <c r="H136" s="414" t="b">
        <f>Wh_hp&gt;='2026'!Maxi_hp</f>
        <v>0</v>
      </c>
      <c r="I136" s="390">
        <f>IF(H136,Wh_hp,'2026'!Maxi_hp)</f>
        <v>52.039309618554178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6.903590207623822E-2</v>
      </c>
      <c r="M136" s="959"/>
      <c r="N136" s="959"/>
      <c r="O136" s="48">
        <f>IF(t&lt;Tnet,'2026'!Resal+('2026'!Salim-'2026'!Resal)*(1-EXP(('2026'!Tnet-t)/('2026'!Tau_j))),Resal+(Salim-Resal)*(1-EXP((Tnet-t)/(Tau_j))))*Salcycl</f>
        <v>5.190736691912954E-2</v>
      </c>
      <c r="P136" s="169">
        <f>(INDEX(Models!$BJ136:$BT136,,T136)*(1-R136)+INDEX(Models!$BJ136:$BT136,,T136+1)*R136-ERP_i)*Q136*Ramure*Pc/MaxiM</f>
        <v>5.0462632828205528E-4</v>
      </c>
      <c r="Q136" s="305">
        <f t="shared" si="28"/>
        <v>0.7</v>
      </c>
      <c r="R136" s="177">
        <f t="shared" si="29"/>
        <v>5.8297355032571163E-2</v>
      </c>
      <c r="S136" s="921">
        <f t="shared" si="30"/>
        <v>-1</v>
      </c>
      <c r="T136" s="176">
        <f t="shared" si="31"/>
        <v>5</v>
      </c>
      <c r="U136" s="251">
        <f t="shared" si="32"/>
        <v>-0.94170264496742884</v>
      </c>
      <c r="V136" s="383">
        <f t="shared" si="33"/>
        <v>52.257796590894536</v>
      </c>
      <c r="W136" s="402">
        <f t="shared" si="34"/>
        <v>25.880704193738474</v>
      </c>
      <c r="X136" s="157">
        <f t="shared" si="35"/>
        <v>46509</v>
      </c>
      <c r="Y136" s="385">
        <f t="shared" si="36"/>
        <v>24.401125079924128</v>
      </c>
      <c r="Z136" s="385">
        <f t="shared" si="37"/>
        <v>26.210597309115972</v>
      </c>
      <c r="AA136" s="386">
        <f t="shared" si="38"/>
        <v>29.300206212510265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0.10544666071582551</v>
      </c>
      <c r="AD136" s="231">
        <f>(INDEX(Models!$BJ136:$BT136,,AH136)*(1-AF136)+INDEX(Models!$BJ136:$BT136,,AH136+1)*AF136-ERP_i)*AE136*Ramure*Pc/MaxiM</f>
        <v>3.1589875076828526E-3</v>
      </c>
      <c r="AE136" s="305">
        <f t="shared" si="40"/>
        <v>0.7</v>
      </c>
      <c r="AF136" s="177">
        <f t="shared" si="41"/>
        <v>0.58328492140655008</v>
      </c>
      <c r="AG136" s="921">
        <f t="shared" si="49"/>
        <v>2</v>
      </c>
      <c r="AH136" s="176">
        <f t="shared" si="42"/>
        <v>8</v>
      </c>
      <c r="AI136" s="225">
        <f t="shared" si="43"/>
        <v>2.5832849214065501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29.559882175695979</v>
      </c>
      <c r="C137" s="955"/>
      <c r="D137" s="393">
        <f t="shared" si="25"/>
        <v>31.752598938117888</v>
      </c>
      <c r="E137" s="385">
        <f t="shared" si="47"/>
        <v>33.49557001868633</v>
      </c>
      <c r="F137" s="385">
        <f t="shared" si="26"/>
        <v>33.50247791041599</v>
      </c>
      <c r="G137" s="110">
        <f t="shared" si="48"/>
        <v>0.56500457392206949</v>
      </c>
      <c r="H137" s="414" t="b">
        <f>Wh_hp&gt;='2026'!Maxi_hp</f>
        <v>0</v>
      </c>
      <c r="I137" s="390">
        <f>IF(H137,Wh_hp,'2026'!Maxi_hp)</f>
        <v>59.632265422182535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6.9056292579239176E-2</v>
      </c>
      <c r="M137" s="959"/>
      <c r="N137" s="959"/>
      <c r="O137" s="48">
        <f>IF(t&lt;Tnet,'2026'!Resal+('2026'!Salim-'2026'!Resal)*(1-EXP(('2026'!Tnet-t)/('2026'!Tau_j))),Resal+(Salim-Resal)*(1-EXP((Tnet-t)/(Tau_j))))*Salcycl</f>
        <v>5.2035868611762258E-2</v>
      </c>
      <c r="P137" s="169">
        <f>(INDEX(Models!$BJ137:$BT137,,T137)*(1-R137)+INDEX(Models!$BJ137:$BT137,,T137+1)*R137-ERP_i)*Q137*Ramure*Pc/MaxiM</f>
        <v>5.4425218372005811E-4</v>
      </c>
      <c r="Q137" s="305">
        <f t="shared" si="28"/>
        <v>0.7</v>
      </c>
      <c r="R137" s="177">
        <f t="shared" si="29"/>
        <v>6.1208286298134906E-2</v>
      </c>
      <c r="S137" s="921">
        <f t="shared" si="30"/>
        <v>-1</v>
      </c>
      <c r="T137" s="176">
        <f t="shared" si="31"/>
        <v>5</v>
      </c>
      <c r="U137" s="251">
        <f t="shared" si="32"/>
        <v>-0.93879171370186509</v>
      </c>
      <c r="V137" s="383">
        <f t="shared" si="33"/>
        <v>52.300261651513999</v>
      </c>
      <c r="W137" s="402">
        <f t="shared" si="34"/>
        <v>29.559882175695979</v>
      </c>
      <c r="X137" s="157">
        <f t="shared" si="35"/>
        <v>46510</v>
      </c>
      <c r="Y137" s="385">
        <f t="shared" si="36"/>
        <v>27.862219285609093</v>
      </c>
      <c r="Z137" s="385">
        <f t="shared" si="37"/>
        <v>29.929005442018784</v>
      </c>
      <c r="AA137" s="386">
        <f t="shared" si="38"/>
        <v>33.460984807718994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0.10555515284431879</v>
      </c>
      <c r="AD137" s="231">
        <f>(INDEX(Models!$BJ137:$BT137,,AH137)*(1-AF137)+INDEX(Models!$BJ137:$BT137,,AH137+1)*AF137-ERP_i)*AE137*Ramure*Pc/MaxiM</f>
        <v>3.2691177910613516E-3</v>
      </c>
      <c r="AE137" s="305">
        <f t="shared" si="40"/>
        <v>0.7</v>
      </c>
      <c r="AF137" s="177">
        <f t="shared" si="41"/>
        <v>0.58619585267211383</v>
      </c>
      <c r="AG137" s="921">
        <f t="shared" si="49"/>
        <v>2</v>
      </c>
      <c r="AH137" s="176">
        <f t="shared" si="42"/>
        <v>8</v>
      </c>
      <c r="AI137" s="225">
        <f t="shared" si="43"/>
        <v>2.5861958526721138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17.435027892252524</v>
      </c>
      <c r="C138" s="955"/>
      <c r="D138" s="393">
        <f t="shared" si="25"/>
        <v>18.7287476498222</v>
      </c>
      <c r="E138" s="385">
        <f t="shared" si="47"/>
        <v>19.759503274084889</v>
      </c>
      <c r="F138" s="385">
        <f t="shared" si="26"/>
        <v>19.760050699787929</v>
      </c>
      <c r="G138" s="110">
        <f t="shared" si="48"/>
        <v>0.33293710624179007</v>
      </c>
      <c r="H138" s="414" t="b">
        <f>Wh_hp&gt;='2026'!Maxi_hp</f>
        <v>0</v>
      </c>
      <c r="I138" s="390">
        <f>IF(H138,Wh_hp,'2026'!Maxi_hp)</f>
        <v>56.02715044671482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6.9076682635635711E-2</v>
      </c>
      <c r="M138" s="959"/>
      <c r="N138" s="959"/>
      <c r="O138" s="48">
        <f>IF(t&lt;Tnet,'2026'!Resal+('2026'!Salim-'2026'!Resal)*(1-EXP(('2026'!Tnet-t)/('2026'!Tau_j))),Resal+(Salim-Resal)*(1-EXP((Tnet-t)/(Tau_j))))*Salcycl</f>
        <v>5.2165057489808014E-2</v>
      </c>
      <c r="P138" s="169">
        <f>(INDEX(Models!$BJ138:$BT138,,T138)*(1-R138)+INDEX(Models!$BJ138:$BT138,,T138+1)*R138-ERP_i)*Q138*Ramure*Pc/MaxiM</f>
        <v>5.854726252561939E-4</v>
      </c>
      <c r="Q138" s="305">
        <f t="shared" si="28"/>
        <v>0.7</v>
      </c>
      <c r="R138" s="177">
        <f t="shared" si="29"/>
        <v>6.4198407214425379E-2</v>
      </c>
      <c r="S138" s="921">
        <f t="shared" si="30"/>
        <v>-1</v>
      </c>
      <c r="T138" s="176">
        <f t="shared" si="31"/>
        <v>5</v>
      </c>
      <c r="U138" s="251">
        <f t="shared" si="32"/>
        <v>-0.93580159278557462</v>
      </c>
      <c r="V138" s="383">
        <f t="shared" si="33"/>
        <v>52.33812206168718</v>
      </c>
      <c r="W138" s="402">
        <f t="shared" si="34"/>
        <v>17.435027892252524</v>
      </c>
      <c r="X138" s="157">
        <f t="shared" si="35"/>
        <v>46511</v>
      </c>
      <c r="Y138" s="385">
        <f t="shared" si="36"/>
        <v>16.448739705288006</v>
      </c>
      <c r="Z138" s="385">
        <f t="shared" si="37"/>
        <v>17.669274577693226</v>
      </c>
      <c r="AA138" s="386">
        <f t="shared" si="38"/>
        <v>19.756886190423174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0.10566501181455837</v>
      </c>
      <c r="AD138" s="231">
        <f>(INDEX(Models!$BJ138:$BT138,,AH138)*(1-AF138)+INDEX(Models!$BJ138:$BT138,,AH138+1)*AF138-ERP_i)*AE138*Ramure*Pc/MaxiM</f>
        <v>3.3844475974375596E-3</v>
      </c>
      <c r="AE138" s="305">
        <f t="shared" si="40"/>
        <v>0.7</v>
      </c>
      <c r="AF138" s="177">
        <f t="shared" si="41"/>
        <v>0.58918597358840419</v>
      </c>
      <c r="AG138" s="921">
        <f t="shared" si="49"/>
        <v>2</v>
      </c>
      <c r="AH138" s="176">
        <f t="shared" si="42"/>
        <v>8</v>
      </c>
      <c r="AI138" s="225">
        <f t="shared" si="43"/>
        <v>2.5891859735884042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36.615723000398503</v>
      </c>
      <c r="C139" s="955"/>
      <c r="D139" s="393">
        <f t="shared" si="25"/>
        <v>39.333556602641217</v>
      </c>
      <c r="E139" s="385">
        <f t="shared" si="47"/>
        <v>41.504005366517433</v>
      </c>
      <c r="F139" s="385">
        <f t="shared" si="26"/>
        <v>41.518881104994861</v>
      </c>
      <c r="G139" s="110">
        <f t="shared" si="48"/>
        <v>0.69896255549073105</v>
      </c>
      <c r="H139" s="414" t="b">
        <f>Wh_hp&gt;='2026'!Maxi_hp</f>
        <v>0</v>
      </c>
      <c r="I139" s="390">
        <f>IF(H139,Wh_hp,'2026'!Maxi_hp)</f>
        <v>58.496922298592779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6.9097072245437707E-2</v>
      </c>
      <c r="M139" s="959"/>
      <c r="N139" s="959"/>
      <c r="O139" s="48">
        <f>IF(t&lt;Tnet,'2026'!Resal+('2026'!Salim-'2026'!Resal)*(1-EXP(('2026'!Tnet-t)/('2026'!Tau_j))),Resal+(Salim-Resal)*(1-EXP((Tnet-t)/(Tau_j))))*Salcycl</f>
        <v>5.2294922976932244E-2</v>
      </c>
      <c r="P139" s="169">
        <f>(INDEX(Models!$BJ139:$BT139,,T139)*(1-R139)+INDEX(Models!$BJ139:$BT139,,T139+1)*R139-ERP_i)*Q139*Ramure*Pc/MaxiM</f>
        <v>6.2833788455921176E-4</v>
      </c>
      <c r="Q139" s="305">
        <f t="shared" si="28"/>
        <v>0.7</v>
      </c>
      <c r="R139" s="177">
        <f t="shared" si="29"/>
        <v>6.7268365281001774E-2</v>
      </c>
      <c r="S139" s="921">
        <f t="shared" si="30"/>
        <v>-1</v>
      </c>
      <c r="T139" s="176">
        <f t="shared" si="31"/>
        <v>5</v>
      </c>
      <c r="U139" s="251">
        <f t="shared" si="32"/>
        <v>-0.93273163471899823</v>
      </c>
      <c r="V139" s="383">
        <f t="shared" si="33"/>
        <v>52.371662996934056</v>
      </c>
      <c r="W139" s="402">
        <f t="shared" si="34"/>
        <v>36.615723000398503</v>
      </c>
      <c r="X139" s="157">
        <f t="shared" si="35"/>
        <v>46512</v>
      </c>
      <c r="Y139" s="385">
        <f t="shared" si="36"/>
        <v>34.492715443485366</v>
      </c>
      <c r="Z139" s="385">
        <f t="shared" si="37"/>
        <v>37.05296697979616</v>
      </c>
      <c r="AA139" s="386">
        <f t="shared" si="38"/>
        <v>41.435899396153246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0.1057762104896891</v>
      </c>
      <c r="AD139" s="231">
        <f>(INDEX(Models!$BJ139:$BT139,,AH139)*(1-AF139)+INDEX(Models!$BJ139:$BT139,,AH139+1)*AF139-ERP_i)*AE139*Ramure*Pc/MaxiM</f>
        <v>3.5050731410579466E-3</v>
      </c>
      <c r="AE139" s="305">
        <f t="shared" si="40"/>
        <v>0.7</v>
      </c>
      <c r="AF139" s="177">
        <f t="shared" si="41"/>
        <v>0.59225593165498047</v>
      </c>
      <c r="AG139" s="921">
        <f t="shared" si="49"/>
        <v>2</v>
      </c>
      <c r="AH139" s="176">
        <f t="shared" si="42"/>
        <v>8</v>
      </c>
      <c r="AI139" s="225">
        <f t="shared" si="43"/>
        <v>2.5922559316549805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34.195044997636089</v>
      </c>
      <c r="C140" s="955"/>
      <c r="D140" s="393">
        <f t="shared" si="25"/>
        <v>36.734006257525927</v>
      </c>
      <c r="E140" s="385">
        <f t="shared" si="47"/>
        <v>38.766349689926187</v>
      </c>
      <c r="F140" s="385">
        <f t="shared" si="26"/>
        <v>38.779492554666703</v>
      </c>
      <c r="G140" s="110">
        <f t="shared" si="48"/>
        <v>0.65234460925902849</v>
      </c>
      <c r="H140" s="414" t="b">
        <f>Wh_hp&gt;='2026'!Maxi_hp</f>
        <v>0</v>
      </c>
      <c r="I140" s="390">
        <f>IF(H140,Wh_hp,'2026'!Maxi_hp)</f>
        <v>61.787025291973102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6.9117461408654934E-2</v>
      </c>
      <c r="M140" s="959"/>
      <c r="N140" s="959"/>
      <c r="O140" s="48">
        <f>IF(t&lt;Tnet,'2026'!Resal+('2026'!Salim-'2026'!Resal)*(1-EXP(('2026'!Tnet-t)/('2026'!Tau_j))),Resal+(Salim-Resal)*(1-EXP((Tnet-t)/(Tau_j))))*Salcycl</f>
        <v>5.2425452709786234E-2</v>
      </c>
      <c r="P140" s="169">
        <f>(INDEX(Models!$BJ140:$BT140,,T140)*(1-R140)+INDEX(Models!$BJ140:$BT140,,T140+1)*R140-ERP_i)*Q140*Ramure*Pc/MaxiM</f>
        <v>6.7289868482524687E-4</v>
      </c>
      <c r="Q140" s="305">
        <f t="shared" si="28"/>
        <v>0.7</v>
      </c>
      <c r="R140" s="177">
        <f t="shared" si="29"/>
        <v>7.0418704642343122E-2</v>
      </c>
      <c r="S140" s="921">
        <f t="shared" si="30"/>
        <v>-1</v>
      </c>
      <c r="T140" s="176">
        <f t="shared" si="31"/>
        <v>5</v>
      </c>
      <c r="U140" s="251">
        <f t="shared" si="32"/>
        <v>-0.92958129535765688</v>
      </c>
      <c r="V140" s="383">
        <f t="shared" si="33"/>
        <v>52.401169530190039</v>
      </c>
      <c r="W140" s="402">
        <f t="shared" si="34"/>
        <v>34.195044997636089</v>
      </c>
      <c r="X140" s="157">
        <f t="shared" si="35"/>
        <v>46513</v>
      </c>
      <c r="Y140" s="385">
        <f t="shared" si="36"/>
        <v>32.217630692040579</v>
      </c>
      <c r="Z140" s="385">
        <f t="shared" si="37"/>
        <v>34.609770144355487</v>
      </c>
      <c r="AA140" s="386">
        <f t="shared" si="38"/>
        <v>38.708571128370927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0.10588871830020294</v>
      </c>
      <c r="AD140" s="231">
        <f>(INDEX(Models!$BJ140:$BT140,,AH140)*(1-AF140)+INDEX(Models!$BJ140:$BT140,,AH140+1)*AF140-ERP_i)*AE140*Ramure*Pc/MaxiM</f>
        <v>3.6310907418266678E-3</v>
      </c>
      <c r="AE140" s="305">
        <f t="shared" si="40"/>
        <v>0.7</v>
      </c>
      <c r="AF140" s="177">
        <f t="shared" si="41"/>
        <v>0.59540627101632193</v>
      </c>
      <c r="AG140" s="921">
        <f t="shared" si="49"/>
        <v>2</v>
      </c>
      <c r="AH140" s="176">
        <f t="shared" si="42"/>
        <v>8</v>
      </c>
      <c r="AI140" s="225">
        <f t="shared" si="43"/>
        <v>2.5954062710163219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44.247277144505198</v>
      </c>
      <c r="C141" s="955"/>
      <c r="D141" s="393">
        <f t="shared" si="25"/>
        <v>47.533651626571164</v>
      </c>
      <c r="E141" s="385">
        <f t="shared" si="47"/>
        <v>50.170441059620408</v>
      </c>
      <c r="F141" s="385">
        <f t="shared" si="26"/>
        <v>50.198497266345825</v>
      </c>
      <c r="G141" s="110">
        <f t="shared" si="48"/>
        <v>0.84384462608525068</v>
      </c>
      <c r="H141" s="414" t="b">
        <f>Wh_hp&gt;='2026'!Maxi_hp</f>
        <v>0</v>
      </c>
      <c r="I141" s="390">
        <f>IF(H141,Wh_hp,'2026'!Maxi_hp)</f>
        <v>57.268675300754929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6.9137850125297162E-2</v>
      </c>
      <c r="M141" s="959"/>
      <c r="N141" s="959"/>
      <c r="O141" s="48">
        <f>IF(t&lt;Tnet,'2026'!Resal+('2026'!Salim-'2026'!Resal)*(1-EXP(('2026'!Tnet-t)/('2026'!Tau_j))),Resal+(Salim-Resal)*(1-EXP((Tnet-t)/(Tau_j))))*Salcycl</f>
        <v>5.2556632498322944E-2</v>
      </c>
      <c r="P141" s="169">
        <f>(INDEX(Models!$BJ141:$BT141,,T141)*(1-R141)+INDEX(Models!$BJ141:$BT141,,T141+1)*R141-ERP_i)*Q141*Ramure*Pc/MaxiM</f>
        <v>7.1920607956965654E-4</v>
      </c>
      <c r="Q141" s="305">
        <f t="shared" si="28"/>
        <v>0.7</v>
      </c>
      <c r="R141" s="177">
        <f t="shared" si="29"/>
        <v>7.3649859047495436E-2</v>
      </c>
      <c r="S141" s="921">
        <f t="shared" si="30"/>
        <v>-1</v>
      </c>
      <c r="T141" s="176">
        <f t="shared" si="31"/>
        <v>5</v>
      </c>
      <c r="U141" s="251">
        <f t="shared" si="32"/>
        <v>-0.92635014095250456</v>
      </c>
      <c r="V141" s="383">
        <f t="shared" si="33"/>
        <v>52.426926637843557</v>
      </c>
      <c r="W141" s="402">
        <f t="shared" si="34"/>
        <v>44.247277144505198</v>
      </c>
      <c r="X141" s="157">
        <f t="shared" si="35"/>
        <v>46514</v>
      </c>
      <c r="Y141" s="385">
        <f t="shared" si="36"/>
        <v>41.652461226551708</v>
      </c>
      <c r="Z141" s="385">
        <f t="shared" si="37"/>
        <v>44.746111153147936</v>
      </c>
      <c r="AA141" s="386">
        <f t="shared" si="38"/>
        <v>50.05171850322315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0.1060025011875176</v>
      </c>
      <c r="AD141" s="231">
        <f>(INDEX(Models!$BJ141:$BT141,,AH141)*(1-AF141)+INDEX(Models!$BJ141:$BT141,,AH141+1)*AF141-ERP_i)*AE141*Ramure*Pc/MaxiM</f>
        <v>3.7625962705039599E-3</v>
      </c>
      <c r="AE141" s="305">
        <f t="shared" si="40"/>
        <v>0.7</v>
      </c>
      <c r="AF141" s="177">
        <f t="shared" si="41"/>
        <v>0.59863742542147458</v>
      </c>
      <c r="AG141" s="921">
        <f t="shared" si="49"/>
        <v>2</v>
      </c>
      <c r="AH141" s="176">
        <f t="shared" si="42"/>
        <v>8</v>
      </c>
      <c r="AI141" s="225">
        <f t="shared" si="43"/>
        <v>2.5986374254214746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46.15994975207601</v>
      </c>
      <c r="C142" s="955"/>
      <c r="D142" s="393">
        <f t="shared" si="25"/>
        <v>49.589470150655323</v>
      </c>
      <c r="E142" s="385">
        <f t="shared" si="47"/>
        <v>52.347582964144586</v>
      </c>
      <c r="F142" s="385">
        <f t="shared" si="26"/>
        <v>52.380892820390436</v>
      </c>
      <c r="G142" s="110">
        <f t="shared" si="48"/>
        <v>0.87997269358087904</v>
      </c>
      <c r="H142" s="414" t="b">
        <f>Wh_hp&gt;='2026'!Maxi_hp</f>
        <v>0</v>
      </c>
      <c r="I142" s="390">
        <f>IF(H142,Wh_hp,'2026'!Maxi_hp)</f>
        <v>59.229596839292704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6.9158238395374161E-2</v>
      </c>
      <c r="M142" s="959"/>
      <c r="N142" s="959"/>
      <c r="O142" s="48">
        <f>IF(t&lt;Tnet,'2026'!Resal+('2026'!Salim-'2026'!Resal)*(1-EXP(('2026'!Tnet-t)/('2026'!Tau_j))),Resal+(Salim-Resal)*(1-EXP((Tnet-t)/(Tau_j))))*Salcycl</f>
        <v>5.2688446291368048E-2</v>
      </c>
      <c r="P142" s="169">
        <f>(INDEX(Models!$BJ142:$BT142,,T142)*(1-R142)+INDEX(Models!$BJ142:$BT142,,T142+1)*R142-ERP_i)*Q142*Ramure*Pc/MaxiM</f>
        <v>7.6736798916185434E-4</v>
      </c>
      <c r="Q142" s="305">
        <f t="shared" si="28"/>
        <v>0.7</v>
      </c>
      <c r="R142" s="177">
        <f t="shared" si="29"/>
        <v>7.6962144845628355E-2</v>
      </c>
      <c r="S142" s="921">
        <f t="shared" si="30"/>
        <v>-1</v>
      </c>
      <c r="T142" s="176">
        <f t="shared" si="31"/>
        <v>5</v>
      </c>
      <c r="U142" s="251">
        <f t="shared" si="32"/>
        <v>-0.92303785515437164</v>
      </c>
      <c r="V142" s="383">
        <f t="shared" si="33"/>
        <v>52.449216228951578</v>
      </c>
      <c r="W142" s="402">
        <f t="shared" si="34"/>
        <v>46.15994975207601</v>
      </c>
      <c r="X142" s="157">
        <f t="shared" si="35"/>
        <v>46515</v>
      </c>
      <c r="Y142" s="385">
        <f t="shared" si="36"/>
        <v>43.443349619833185</v>
      </c>
      <c r="Z142" s="385">
        <f t="shared" si="37"/>
        <v>46.671036272527822</v>
      </c>
      <c r="AA142" s="386">
        <f t="shared" si="38"/>
        <v>52.211602082075608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0.1061175215584866</v>
      </c>
      <c r="AD142" s="231">
        <f>(INDEX(Models!$BJ142:$BT142,,AH142)*(1-AF142)+INDEX(Models!$BJ142:$BT142,,AH142+1)*AF142-ERP_i)*AE142*Ramure*Pc/MaxiM</f>
        <v>3.8999956194818125E-3</v>
      </c>
      <c r="AE142" s="305">
        <f t="shared" si="40"/>
        <v>0.7</v>
      </c>
      <c r="AF142" s="177">
        <f t="shared" si="41"/>
        <v>0.6019497112196075</v>
      </c>
      <c r="AG142" s="921">
        <f t="shared" si="49"/>
        <v>2</v>
      </c>
      <c r="AH142" s="176">
        <f t="shared" si="42"/>
        <v>8</v>
      </c>
      <c r="AI142" s="225">
        <f t="shared" si="43"/>
        <v>2.6019497112196075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50.213846949688147</v>
      </c>
      <c r="C143" s="955"/>
      <c r="D143" s="393">
        <f t="shared" ref="D143:D206" si="50">Wh/(1-Ppv)</f>
        <v>53.945739068833028</v>
      </c>
      <c r="E143" s="385">
        <f t="shared" si="47"/>
        <v>56.954104783741585</v>
      </c>
      <c r="F143" s="385">
        <f t="shared" ref="F143:F206" si="51">Wh_sa/(1-Pvg*MEDIAN((-Sdif+Wh/Env_an)/Csdif,0,1))</f>
        <v>56.997810867787692</v>
      </c>
      <c r="G143" s="110">
        <f t="shared" si="48"/>
        <v>0.95698317701048152</v>
      </c>
      <c r="H143" s="414" t="b">
        <f>Wh_hp&gt;='2026'!Maxi_hp</f>
        <v>0</v>
      </c>
      <c r="I143" s="390">
        <f>IF(H143,Wh_hp,'2026'!Maxi_hp)</f>
        <v>57.000458488064048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6.91786262188957E-2</v>
      </c>
      <c r="M143" s="959"/>
      <c r="N143" s="959"/>
      <c r="O143" s="48">
        <f>IF(t&lt;Tnet,'2026'!Resal+('2026'!Salim-'2026'!Resal)*(1-EXP(('2026'!Tnet-t)/('2026'!Tau_j))),Resal+(Salim-Resal)*(1-EXP((Tnet-t)/(Tau_j))))*Salcycl</f>
        <v>5.2820876148111165E-2</v>
      </c>
      <c r="P143" s="169">
        <f>(INDEX(Models!$BJ143:$BT143,,T143)*(1-R143)+INDEX(Models!$BJ143:$BT143,,T143+1)*R143-ERP_i)*Q143*Ramure*Pc/MaxiM</f>
        <v>8.1695053797545898E-4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8.0355754062973794E-2</v>
      </c>
      <c r="S143" s="921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-0.91964424593702621</v>
      </c>
      <c r="V143" s="383">
        <f t="shared" ref="V143:V206" si="58">MaxiM*(1-Ppv)*(1-Pvg)*(1-Psa)</f>
        <v>52.468348572272497</v>
      </c>
      <c r="W143" s="402">
        <f t="shared" ref="W143:W206" si="59">Wh*(A143&gt;Tmaj)</f>
        <v>50.213846949688147</v>
      </c>
      <c r="X143" s="157">
        <f t="shared" ref="X143:X206" si="60">t</f>
        <v>46516</v>
      </c>
      <c r="Y143" s="385">
        <f t="shared" ref="Y143:Y206" si="61">Wh_pvt_s*(1-Ppv)</f>
        <v>47.238693415092044</v>
      </c>
      <c r="Z143" s="385">
        <f t="shared" ref="Z143:Z206" si="62">Wh_sa_s*(1-Psa_s)</f>
        <v>50.74947218197515</v>
      </c>
      <c r="AA143" s="386">
        <f t="shared" ref="AA143:AA206" si="63">Wh_hp*(1-Pvg_s*MEDIAN((-Sdif+Wh/Env_an)/Csdif,0,1))</f>
        <v>56.781593078625214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0.10623373825206726</v>
      </c>
      <c r="AD143" s="231">
        <f>(INDEX(Models!$BJ143:$BT143,,AH143)*(1-AF143)+INDEX(Models!$BJ143:$BT143,,AH143+1)*AF143-ERP_i)*AE143*Ramure*Pc/MaxiM</f>
        <v>4.0415251796476577E-3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0.60534332043695294</v>
      </c>
      <c r="AG143" s="92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2.6053433204369529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47.857897739383361</v>
      </c>
      <c r="C144" s="955"/>
      <c r="D144" s="393">
        <f t="shared" si="50"/>
        <v>51.41582189794196</v>
      </c>
      <c r="E144" s="385">
        <f t="shared" ref="E144:E169" si="72">Wh_pvt/(1-Psa)</f>
        <v>54.290727788498899</v>
      </c>
      <c r="F144" s="385">
        <f t="shared" si="51"/>
        <v>54.331948508830592</v>
      </c>
      <c r="G144" s="110">
        <f t="shared" ref="G144:G169" si="73">+Wh_hp/MaxiM</f>
        <v>0.91174657295286743</v>
      </c>
      <c r="H144" s="414" t="b">
        <f>Wh_hp&gt;='2026'!Maxi_hp</f>
        <v>0</v>
      </c>
      <c r="I144" s="390">
        <f>IF(H144,Wh_hp,'2026'!Maxi_hp)</f>
        <v>54.337432013839013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6.919901359587155E-2</v>
      </c>
      <c r="M144" s="959"/>
      <c r="N144" s="959"/>
      <c r="O144" s="48">
        <f>IF(t&lt;Tnet,'2026'!Resal+('2026'!Salim-'2026'!Resal)*(1-EXP(('2026'!Tnet-t)/('2026'!Tau_j))),Resal+(Salim-Resal)*(1-EXP((Tnet-t)/(Tau_j))))*Salcycl</f>
        <v>5.2953902216171203E-2</v>
      </c>
      <c r="P144" s="169">
        <f>(INDEX(Models!$BJ144:$BT144,,T144)*(1-R144)+INDEX(Models!$BJ144:$BT144,,T144+1)*R144-ERP_i)*Q144*Ramure*Pc/MaxiM</f>
        <v>8.6799251982855839E-4</v>
      </c>
      <c r="Q144" s="305">
        <f t="shared" si="53"/>
        <v>0.7</v>
      </c>
      <c r="R144" s="177">
        <f t="shared" si="54"/>
        <v>8.3830747609692002E-2</v>
      </c>
      <c r="S144" s="921">
        <f t="shared" si="55"/>
        <v>-1</v>
      </c>
      <c r="T144" s="176">
        <f t="shared" si="56"/>
        <v>5</v>
      </c>
      <c r="U144" s="251">
        <f t="shared" si="57"/>
        <v>-0.916169252390308</v>
      </c>
      <c r="V144" s="383">
        <f t="shared" si="58"/>
        <v>52.484609055264258</v>
      </c>
      <c r="W144" s="402">
        <f t="shared" si="59"/>
        <v>47.857897739383361</v>
      </c>
      <c r="X144" s="157">
        <f t="shared" si="60"/>
        <v>46517</v>
      </c>
      <c r="Y144" s="385">
        <f t="shared" si="61"/>
        <v>45.028412326581787</v>
      </c>
      <c r="Z144" s="385">
        <f t="shared" si="62"/>
        <v>48.375982604547517</v>
      </c>
      <c r="AA144" s="386">
        <f t="shared" si="63"/>
        <v>54.133097413827173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0.10635110651933842</v>
      </c>
      <c r="AD144" s="231">
        <f>(INDEX(Models!$BJ144:$BT144,,AH144)*(1-AF144)+INDEX(Models!$BJ144:$BT144,,AH144+1)*AF144-ERP_i)*AE144*Ramure*Pc/MaxiM</f>
        <v>4.1872451920731231E-3</v>
      </c>
      <c r="AE144" s="305">
        <f t="shared" si="65"/>
        <v>0.7</v>
      </c>
      <c r="AF144" s="177">
        <f t="shared" si="66"/>
        <v>0.60881831398367092</v>
      </c>
      <c r="AG144" s="921">
        <f t="shared" ref="AG144:AG207" si="74">INDEX(Echel_vg,AH144)</f>
        <v>2</v>
      </c>
      <c r="AH144" s="176">
        <f t="shared" si="67"/>
        <v>8</v>
      </c>
      <c r="AI144" s="225">
        <f t="shared" si="68"/>
        <v>2.6088183139836709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51.338856988897803</v>
      </c>
      <c r="C145" s="955"/>
      <c r="D145" s="393">
        <f t="shared" si="50"/>
        <v>55.156775955501708</v>
      </c>
      <c r="E145" s="385">
        <f t="shared" si="72"/>
        <v>58.249073820185934</v>
      </c>
      <c r="F145" s="385">
        <f t="shared" si="51"/>
        <v>58.301048550688591</v>
      </c>
      <c r="G145" s="110">
        <f t="shared" si="73"/>
        <v>0.97788654561596233</v>
      </c>
      <c r="H145" s="414" t="b">
        <f>Wh_hp&gt;='2026'!Maxi_hp</f>
        <v>0</v>
      </c>
      <c r="I145" s="390">
        <f>IF(H145,Wh_hp,'2026'!Maxi_hp)</f>
        <v>58.302606785219012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6.9219400526311592E-2</v>
      </c>
      <c r="M145" s="959"/>
      <c r="N145" s="959"/>
      <c r="O145" s="48">
        <f>IF(t&lt;Tnet,'2026'!Resal+('2026'!Salim-'2026'!Resal)*(1-EXP(('2026'!Tnet-t)/('2026'!Tau_j))),Resal+(Salim-Resal)*(1-EXP((Tnet-t)/(Tau_j))))*Salcycl</f>
        <v>5.3087502716869031E-2</v>
      </c>
      <c r="P145" s="169">
        <f>(INDEX(Models!$BJ145:$BT145,,T145)*(1-R145)+INDEX(Models!$BJ145:$BT145,,T145+1)*R145-ERP_i)*Q145*Ramure*Pc/MaxiM</f>
        <v>9.205315854305668E-4</v>
      </c>
      <c r="Q145" s="305">
        <f t="shared" si="53"/>
        <v>0.7</v>
      </c>
      <c r="R145" s="177">
        <f t="shared" si="54"/>
        <v>8.7387048668056244E-2</v>
      </c>
      <c r="S145" s="921">
        <f t="shared" si="55"/>
        <v>-1</v>
      </c>
      <c r="T145" s="176">
        <f t="shared" si="56"/>
        <v>5</v>
      </c>
      <c r="U145" s="251">
        <f t="shared" si="57"/>
        <v>-0.91261295133194376</v>
      </c>
      <c r="V145" s="383">
        <f t="shared" si="58"/>
        <v>52.498283020739457</v>
      </c>
      <c r="W145" s="402">
        <f t="shared" si="59"/>
        <v>51.338856988897803</v>
      </c>
      <c r="X145" s="157">
        <f t="shared" si="60"/>
        <v>46518</v>
      </c>
      <c r="Y145" s="385">
        <f t="shared" si="61"/>
        <v>48.284194571722026</v>
      </c>
      <c r="Z145" s="385">
        <f t="shared" si="62"/>
        <v>51.874947328107623</v>
      </c>
      <c r="AA145" s="386">
        <f t="shared" si="63"/>
        <v>58.056162444968123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0.10646957801800495</v>
      </c>
      <c r="AD145" s="231">
        <f>(INDEX(Models!$BJ145:$BT145,,AH145)*(1-AF145)+INDEX(Models!$BJ145:$BT145,,AH145+1)*AF145-ERP_i)*AE145*Ramure*Pc/MaxiM</f>
        <v>4.3372114288743472E-3</v>
      </c>
      <c r="AE145" s="305">
        <f t="shared" si="65"/>
        <v>0.7</v>
      </c>
      <c r="AF145" s="177">
        <f t="shared" si="66"/>
        <v>0.61237461504203505</v>
      </c>
      <c r="AG145" s="921">
        <f t="shared" si="74"/>
        <v>2</v>
      </c>
      <c r="AH145" s="176">
        <f t="shared" si="67"/>
        <v>8</v>
      </c>
      <c r="AI145" s="225">
        <f t="shared" si="68"/>
        <v>2.6123746150420351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39.521634908453692</v>
      </c>
      <c r="C146" s="955"/>
      <c r="D146" s="393">
        <f t="shared" si="50"/>
        <v>42.46167203634851</v>
      </c>
      <c r="E146" s="385">
        <f t="shared" si="72"/>
        <v>44.848588070245057</v>
      </c>
      <c r="F146" s="385">
        <f t="shared" si="51"/>
        <v>44.876870693532709</v>
      </c>
      <c r="G146" s="110">
        <f t="shared" si="73"/>
        <v>0.75239525764349835</v>
      </c>
      <c r="H146" s="414" t="b">
        <f>Wh_hp&gt;='2026'!Maxi_hp</f>
        <v>0</v>
      </c>
      <c r="I146" s="390">
        <f>IF(H146,Wh_hp,'2026'!Maxi_hp)</f>
        <v>54.342875304504368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6.9239787010225484E-2</v>
      </c>
      <c r="M146" s="959"/>
      <c r="N146" s="959"/>
      <c r="O146" s="48">
        <f>IF(t&lt;Tnet,'2026'!Resal+('2026'!Salim-'2026'!Resal)*(1-EXP(('2026'!Tnet-t)/('2026'!Tau_j))),Resal+(Salim-Resal)*(1-EXP((Tnet-t)/(Tau_j))))*Salcycl</f>
        <v>5.3221653938313289E-2</v>
      </c>
      <c r="P146" s="169">
        <f>(INDEX(Models!$BJ146:$BT146,,T146)*(1-R146)+INDEX(Models!$BJ146:$BT146,,T146+1)*R146-ERP_i)*Q146*Ramure*Pc/MaxiM</f>
        <v>9.7460404166431871E-4</v>
      </c>
      <c r="Q146" s="305">
        <f t="shared" si="53"/>
        <v>0.7</v>
      </c>
      <c r="R146" s="177">
        <f t="shared" si="54"/>
        <v>9.1024436315884971E-2</v>
      </c>
      <c r="S146" s="921">
        <f t="shared" si="55"/>
        <v>-1</v>
      </c>
      <c r="T146" s="176">
        <f t="shared" si="56"/>
        <v>5</v>
      </c>
      <c r="U146" s="251">
        <f t="shared" si="57"/>
        <v>-0.90897556368411503</v>
      </c>
      <c r="V146" s="383">
        <f t="shared" si="58"/>
        <v>52.509655778865451</v>
      </c>
      <c r="W146" s="402">
        <f t="shared" si="59"/>
        <v>39.521634908453692</v>
      </c>
      <c r="X146" s="157">
        <f t="shared" si="60"/>
        <v>46519</v>
      </c>
      <c r="Y146" s="385">
        <f t="shared" si="61"/>
        <v>37.209035931744879</v>
      </c>
      <c r="Z146" s="385">
        <f t="shared" si="62"/>
        <v>39.977037493064458</v>
      </c>
      <c r="AA146" s="386">
        <f t="shared" si="63"/>
        <v>44.746529877648385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0.10658910082246101</v>
      </c>
      <c r="AD146" s="231">
        <f>(INDEX(Models!$BJ146:$BT146,,AH146)*(1-AF146)+INDEX(Models!$BJ146:$BT146,,AH146+1)*AF146-ERP_i)*AE146*Ramure*Pc/MaxiM</f>
        <v>4.4914746649451576E-3</v>
      </c>
      <c r="AE146" s="305">
        <f t="shared" si="65"/>
        <v>0.7</v>
      </c>
      <c r="AF146" s="177">
        <f t="shared" si="66"/>
        <v>0.61601200268986389</v>
      </c>
      <c r="AG146" s="921">
        <f t="shared" si="74"/>
        <v>2</v>
      </c>
      <c r="AH146" s="176">
        <f t="shared" si="67"/>
        <v>8</v>
      </c>
      <c r="AI146" s="225">
        <f t="shared" si="68"/>
        <v>2.6160120026898639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36.188987407440294</v>
      </c>
      <c r="C147" s="955"/>
      <c r="D147" s="393">
        <f t="shared" si="50"/>
        <v>38.881958587651553</v>
      </c>
      <c r="E147" s="385">
        <f t="shared" si="72"/>
        <v>41.07348924371999</v>
      </c>
      <c r="F147" s="385">
        <f t="shared" si="51"/>
        <v>41.097022080817005</v>
      </c>
      <c r="G147" s="110">
        <f t="shared" si="73"/>
        <v>0.68874898873800461</v>
      </c>
      <c r="H147" s="414" t="b">
        <f>Wh_hp&gt;='2026'!Maxi_hp</f>
        <v>0</v>
      </c>
      <c r="I147" s="390">
        <f>IF(H147,Wh_hp,'2026'!Maxi_hp)</f>
        <v>61.987907498178245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6.9260173047623108E-2</v>
      </c>
      <c r="M147" s="959"/>
      <c r="N147" s="959"/>
      <c r="O147" s="48">
        <f>IF(t&lt;Tnet,'2026'!Resal+('2026'!Salim-'2026'!Resal)*(1-EXP(('2026'!Tnet-t)/('2026'!Tau_j))),Resal+(Salim-Resal)*(1-EXP((Tnet-t)/(Tau_j))))*Salcycl</f>
        <v>5.3356330236869622E-2</v>
      </c>
      <c r="P147" s="169">
        <f>(INDEX(Models!$BJ147:$BT147,,T147)*(1-R147)+INDEX(Models!$BJ147:$BT147,,T147+1)*R147-ERP_i)*Q147*Ramure*Pc/MaxiM</f>
        <v>1.0302446405296953E-3</v>
      </c>
      <c r="Q147" s="305">
        <f t="shared" si="53"/>
        <v>0.7</v>
      </c>
      <c r="R147" s="177">
        <f t="shared" si="54"/>
        <v>9.4742539441337148E-2</v>
      </c>
      <c r="S147" s="921">
        <f t="shared" si="55"/>
        <v>-1</v>
      </c>
      <c r="T147" s="176">
        <f t="shared" si="56"/>
        <v>5</v>
      </c>
      <c r="U147" s="251">
        <f t="shared" si="57"/>
        <v>-0.90525746055866285</v>
      </c>
      <c r="V147" s="383">
        <f t="shared" si="58"/>
        <v>52.51901260830801</v>
      </c>
      <c r="W147" s="402">
        <f t="shared" si="59"/>
        <v>36.188987407440294</v>
      </c>
      <c r="X147" s="157">
        <f t="shared" si="60"/>
        <v>46520</v>
      </c>
      <c r="Y147" s="385">
        <f t="shared" si="61"/>
        <v>34.080613387036806</v>
      </c>
      <c r="Z147" s="385">
        <f t="shared" si="62"/>
        <v>36.616691797352956</v>
      </c>
      <c r="AA147" s="386">
        <f t="shared" si="63"/>
        <v>40.990804999852791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0.10670961945039967</v>
      </c>
      <c r="AD147" s="231">
        <f>(INDEX(Models!$BJ147:$BT147,,AH147)*(1-AF147)+INDEX(Models!$BJ147:$BT147,,AH147+1)*AF147-ERP_i)*AE147*Ramure*Pc/MaxiM</f>
        <v>4.6500801388708116E-3</v>
      </c>
      <c r="AE147" s="305">
        <f t="shared" si="65"/>
        <v>0.7</v>
      </c>
      <c r="AF147" s="177">
        <f t="shared" si="66"/>
        <v>0.61973010581531618</v>
      </c>
      <c r="AG147" s="921">
        <f t="shared" si="74"/>
        <v>2</v>
      </c>
      <c r="AH147" s="176">
        <f t="shared" si="67"/>
        <v>8</v>
      </c>
      <c r="AI147" s="225">
        <f t="shared" si="68"/>
        <v>2.6197301058153162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47.233761706213699</v>
      </c>
      <c r="C148" s="955"/>
      <c r="D148" s="393">
        <f t="shared" si="50"/>
        <v>50.749731451960059</v>
      </c>
      <c r="E148" s="385">
        <f t="shared" si="72"/>
        <v>53.617829812389751</v>
      </c>
      <c r="F148" s="385">
        <f t="shared" si="51"/>
        <v>53.667791402753295</v>
      </c>
      <c r="G148" s="110">
        <f t="shared" si="73"/>
        <v>0.89909352167671774</v>
      </c>
      <c r="H148" s="414" t="b">
        <f>Wh_hp&gt;='2026'!Maxi_hp</f>
        <v>0</v>
      </c>
      <c r="I148" s="390">
        <f>IF(H148,Wh_hp,'2026'!Maxi_hp)</f>
        <v>60.924968033525275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6.9280558638514123E-2</v>
      </c>
      <c r="M148" s="959"/>
      <c r="N148" s="959"/>
      <c r="O148" s="48">
        <f>IF(t&lt;Tnet,'2026'!Resal+('2026'!Salim-'2026'!Resal)*(1-EXP(('2026'!Tnet-t)/('2026'!Tau_j))),Resal+(Salim-Resal)*(1-EXP((Tnet-t)/(Tau_j))))*Salcycl</f>
        <v>5.3491504047538781E-2</v>
      </c>
      <c r="P148" s="169">
        <f>(INDEX(Models!$BJ148:$BT148,,T148)*(1-R148)+INDEX(Models!$BJ148:$BT148,,T148+1)*R148-ERP_i)*Q148*Ramure*Pc/MaxiM</f>
        <v>1.0874863581049792E-3</v>
      </c>
      <c r="Q148" s="305">
        <f t="shared" si="53"/>
        <v>0.7</v>
      </c>
      <c r="R148" s="177">
        <f t="shared" si="54"/>
        <v>9.8540831006939555E-2</v>
      </c>
      <c r="S148" s="921">
        <f t="shared" si="55"/>
        <v>-1</v>
      </c>
      <c r="T148" s="176">
        <f t="shared" si="56"/>
        <v>5</v>
      </c>
      <c r="U148" s="251">
        <f t="shared" si="57"/>
        <v>-0.90145916899306044</v>
      </c>
      <c r="V148" s="383">
        <f t="shared" si="58"/>
        <v>52.52663876372209</v>
      </c>
      <c r="W148" s="402">
        <f t="shared" si="59"/>
        <v>47.233761706213699</v>
      </c>
      <c r="X148" s="157">
        <f t="shared" si="60"/>
        <v>46521</v>
      </c>
      <c r="Y148" s="385">
        <f t="shared" si="61"/>
        <v>44.429663853679401</v>
      </c>
      <c r="Z148" s="385">
        <f t="shared" si="62"/>
        <v>47.736903173190711</v>
      </c>
      <c r="AA148" s="386">
        <f t="shared" si="63"/>
        <v>53.446668185654445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0.10683107490685981</v>
      </c>
      <c r="AD148" s="231">
        <f>(INDEX(Models!$BJ148:$BT148,,AH148)*(1-AF148)+INDEX(Models!$BJ148:$BT148,,AH148+1)*AF148-ERP_i)*AE148*Ramure*Pc/MaxiM</f>
        <v>4.8130670041828978E-3</v>
      </c>
      <c r="AE148" s="305">
        <f t="shared" si="65"/>
        <v>0.7</v>
      </c>
      <c r="AF148" s="177">
        <f t="shared" si="66"/>
        <v>0.62352839738091825</v>
      </c>
      <c r="AG148" s="921">
        <f t="shared" si="74"/>
        <v>2</v>
      </c>
      <c r="AH148" s="176">
        <f t="shared" si="67"/>
        <v>8</v>
      </c>
      <c r="AI148" s="225">
        <f t="shared" si="68"/>
        <v>2.6235283973809183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48.189509446378537</v>
      </c>
      <c r="C149" s="955"/>
      <c r="D149" s="393">
        <f t="shared" si="50"/>
        <v>51.777756864016872</v>
      </c>
      <c r="E149" s="385">
        <f t="shared" si="72"/>
        <v>54.711794236174441</v>
      </c>
      <c r="F149" s="385">
        <f t="shared" si="51"/>
        <v>54.767164152661657</v>
      </c>
      <c r="G149" s="110">
        <f t="shared" si="73"/>
        <v>0.91721367113729368</v>
      </c>
      <c r="H149" s="414" t="b">
        <f>Wh_hp&gt;='2026'!Maxi_hp</f>
        <v>0</v>
      </c>
      <c r="I149" s="390">
        <f>IF(H149,Wh_hp,'2026'!Maxi_hp)</f>
        <v>61.115724809852011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6.9300943782908409E-2</v>
      </c>
      <c r="M149" s="959"/>
      <c r="N149" s="959"/>
      <c r="O149" s="48">
        <f>IF(t&lt;Tnet,'2026'!Resal+('2026'!Salim-'2026'!Resal)*(1-EXP(('2026'!Tnet-t)/('2026'!Tau_j))),Resal+(Salim-Resal)*(1-EXP((Tnet-t)/(Tau_j))))*Salcycl</f>
        <v>5.3627145903718865E-2</v>
      </c>
      <c r="P149" s="169">
        <f>(INDEX(Models!$BJ149:$BT149,,T149)*(1-R149)+INDEX(Models!$BJ149:$BT149,,T149+1)*R149-ERP_i)*Q149*Ramure*Pc/MaxiM</f>
        <v>1.1463801502710853E-3</v>
      </c>
      <c r="Q149" s="305">
        <f t="shared" si="53"/>
        <v>0.7</v>
      </c>
      <c r="R149" s="177">
        <f t="shared" si="54"/>
        <v>0.1024186227219791</v>
      </c>
      <c r="S149" s="921">
        <f t="shared" si="55"/>
        <v>-1</v>
      </c>
      <c r="T149" s="176">
        <f t="shared" si="56"/>
        <v>5</v>
      </c>
      <c r="U149" s="251">
        <f t="shared" si="57"/>
        <v>-0.8975813772780209</v>
      </c>
      <c r="V149" s="383">
        <f t="shared" si="58"/>
        <v>52.531902579884374</v>
      </c>
      <c r="W149" s="402">
        <f t="shared" si="59"/>
        <v>48.189509446378537</v>
      </c>
      <c r="X149" s="157">
        <f t="shared" si="60"/>
        <v>46522</v>
      </c>
      <c r="Y149" s="385">
        <f t="shared" si="61"/>
        <v>45.320202946853655</v>
      </c>
      <c r="Z149" s="385">
        <f t="shared" si="62"/>
        <v>48.694798435771084</v>
      </c>
      <c r="AA149" s="386">
        <f t="shared" si="63"/>
        <v>54.526604428683868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0.10695340474649005</v>
      </c>
      <c r="AD149" s="231">
        <f>(INDEX(Models!$BJ149:$BT149,,AH149)*(1-AF149)+INDEX(Models!$BJ149:$BT149,,AH149+1)*AF149-ERP_i)*AE149*Ramure*Pc/MaxiM</f>
        <v>4.9805546047099972E-3</v>
      </c>
      <c r="AE149" s="305">
        <f t="shared" si="65"/>
        <v>0.7</v>
      </c>
      <c r="AF149" s="177">
        <f t="shared" si="66"/>
        <v>0.62740618909595813</v>
      </c>
      <c r="AG149" s="921">
        <f t="shared" si="74"/>
        <v>2</v>
      </c>
      <c r="AH149" s="176">
        <f t="shared" si="67"/>
        <v>8</v>
      </c>
      <c r="AI149" s="225">
        <f t="shared" si="68"/>
        <v>2.6274061890959581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46.402417758412234</v>
      </c>
      <c r="C150" s="955"/>
      <c r="D150" s="393">
        <f t="shared" si="50"/>
        <v>49.858688265271731</v>
      </c>
      <c r="E150" s="385">
        <f t="shared" si="72"/>
        <v>52.691556230389452</v>
      </c>
      <c r="F150" s="385">
        <f t="shared" si="51"/>
        <v>52.744601151160495</v>
      </c>
      <c r="G150" s="110">
        <f t="shared" si="73"/>
        <v>0.88310478940542603</v>
      </c>
      <c r="H150" s="414" t="b">
        <f>Wh_hp&gt;='2026'!Maxi_hp</f>
        <v>0</v>
      </c>
      <c r="I150" s="390">
        <f>IF(H150,Wh_hp,'2026'!Maxi_hp)</f>
        <v>53.059049152756259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6.9321328480815736E-2</v>
      </c>
      <c r="M150" s="959"/>
      <c r="N150" s="959"/>
      <c r="O150" s="48">
        <f>IF(t&lt;Tnet,'2026'!Resal+('2026'!Salim-'2026'!Resal)*(1-EXP(('2026'!Tnet-t)/('2026'!Tau_j))),Resal+(Salim-Resal)*(1-EXP((Tnet-t)/(Tau_j))))*Salcycl</f>
        <v>5.3763224466767331E-2</v>
      </c>
      <c r="P150" s="169">
        <f>(INDEX(Models!$BJ150:$BT150,,T150)*(1-R150)+INDEX(Models!$BJ150:$BT150,,T150+1)*R150-ERP_i)*Q150*Ramure*Pc/MaxiM</f>
        <v>1.2069373288937394E-3</v>
      </c>
      <c r="Q150" s="305">
        <f t="shared" si="53"/>
        <v>0.7</v>
      </c>
      <c r="R150" s="177">
        <f t="shared" si="54"/>
        <v>0.10637506018310527</v>
      </c>
      <c r="S150" s="921">
        <f t="shared" si="55"/>
        <v>-1</v>
      </c>
      <c r="T150" s="176">
        <f t="shared" si="56"/>
        <v>5</v>
      </c>
      <c r="U150" s="251">
        <f t="shared" si="57"/>
        <v>-0.89362493981689473</v>
      </c>
      <c r="V150" s="383">
        <f t="shared" si="58"/>
        <v>52.534048880722409</v>
      </c>
      <c r="W150" s="402">
        <f t="shared" si="59"/>
        <v>46.402417758412234</v>
      </c>
      <c r="X150" s="157">
        <f t="shared" si="60"/>
        <v>46523</v>
      </c>
      <c r="Y150" s="385">
        <f t="shared" si="61"/>
        <v>43.643887102723532</v>
      </c>
      <c r="Z150" s="385">
        <f t="shared" si="62"/>
        <v>46.894689260990432</v>
      </c>
      <c r="AA150" s="386">
        <f t="shared" si="63"/>
        <v>52.518151361672885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0.10707654315468519</v>
      </c>
      <c r="AD150" s="231">
        <f>(INDEX(Models!$BJ150:$BT150,,AH150)*(1-AF150)+INDEX(Models!$BJ150:$BT150,,AH150+1)*AF150-ERP_i)*AE150*Ramure*Pc/MaxiM</f>
        <v>5.1524387270254534E-3</v>
      </c>
      <c r="AE150" s="305">
        <f t="shared" si="65"/>
        <v>0.7</v>
      </c>
      <c r="AF150" s="177">
        <f t="shared" si="66"/>
        <v>0.63136262655708419</v>
      </c>
      <c r="AG150" s="921">
        <f t="shared" si="74"/>
        <v>2</v>
      </c>
      <c r="AH150" s="176">
        <f t="shared" si="67"/>
        <v>8</v>
      </c>
      <c r="AI150" s="225">
        <f t="shared" si="68"/>
        <v>2.6313626265570842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49.685004271960509</v>
      </c>
      <c r="C151" s="955"/>
      <c r="D151" s="393">
        <f t="shared" si="50"/>
        <v>53.386946585762182</v>
      </c>
      <c r="E151" s="385">
        <f t="shared" si="72"/>
        <v>56.428421972020331</v>
      </c>
      <c r="F151" s="385">
        <f t="shared" si="51"/>
        <v>56.494545494215096</v>
      </c>
      <c r="G151" s="110">
        <f t="shared" si="73"/>
        <v>0.94568989268018666</v>
      </c>
      <c r="H151" s="414" t="b">
        <f>Wh_hp&gt;='2026'!Maxi_hp</f>
        <v>0</v>
      </c>
      <c r="I151" s="390">
        <f>IF(H151,Wh_hp,'2026'!Maxi_hp)</f>
        <v>56.499547485861797</v>
      </c>
      <c r="J151" s="85">
        <f>IF(H151,An,'2026'!An_max)</f>
        <v>2025</v>
      </c>
      <c r="K151" s="197">
        <f t="shared" si="52"/>
        <v>46524</v>
      </c>
      <c r="L151" s="147">
        <f>IF(t&lt;Tvie,1-EXP((T0-t)*PertePVj)+'2026'!Pspv,1-EXP((T0-t)*PertePVj)+Pspv)</f>
        <v>6.9341712732245875E-2</v>
      </c>
      <c r="M151" s="959"/>
      <c r="N151" s="959"/>
      <c r="O151" s="48">
        <f>IF(t&lt;Tnet,'2026'!Resal+('2026'!Salim-'2026'!Resal)*(1-EXP(('2026'!Tnet-t)/('2026'!Tau_j))),Resal+(Salim-Resal)*(1-EXP((Tnet-t)/(Tau_j))))*Salcycl</f>
        <v>5.3899706565713371E-2</v>
      </c>
      <c r="P151" s="169">
        <f>(INDEX(Models!$BJ151:$BT151,,T151)*(1-R151)+INDEX(Models!$BJ151:$BT151,,T151+1)*R151-ERP_i)*Q151*Ramure*Pc/MaxiM</f>
        <v>1.2687058221815531E-3</v>
      </c>
      <c r="Q151" s="305">
        <f t="shared" si="53"/>
        <v>0.7</v>
      </c>
      <c r="R151" s="177">
        <f t="shared" si="54"/>
        <v>0.11040911854307911</v>
      </c>
      <c r="S151" s="921">
        <f t="shared" si="55"/>
        <v>-1</v>
      </c>
      <c r="T151" s="176">
        <f t="shared" si="56"/>
        <v>5</v>
      </c>
      <c r="U151" s="251">
        <f t="shared" si="57"/>
        <v>-0.88959088145692089</v>
      </c>
      <c r="V151" s="383">
        <f t="shared" si="58"/>
        <v>52.533199982722266</v>
      </c>
      <c r="W151" s="402">
        <f t="shared" si="59"/>
        <v>49.685004271960509</v>
      </c>
      <c r="X151" s="157">
        <f t="shared" si="60"/>
        <v>46524</v>
      </c>
      <c r="Y151" s="385">
        <f t="shared" si="61"/>
        <v>46.71014208570292</v>
      </c>
      <c r="Z151" s="385">
        <f t="shared" si="62"/>
        <v>50.190432648309105</v>
      </c>
      <c r="AA151" s="386">
        <f t="shared" si="63"/>
        <v>56.216908958705858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0.10720042104811388</v>
      </c>
      <c r="AD151" s="231">
        <f>(INDEX(Models!$BJ151:$BT151,,AH151)*(1-AF151)+INDEX(Models!$BJ151:$BT151,,AH151+1)*AF151-ERP_i)*AE151*Ramure*Pc/MaxiM</f>
        <v>5.3269861822150847E-3</v>
      </c>
      <c r="AE151" s="305">
        <f t="shared" si="65"/>
        <v>0.7</v>
      </c>
      <c r="AF151" s="177">
        <f t="shared" si="66"/>
        <v>0.63539668491705781</v>
      </c>
      <c r="AG151" s="921">
        <f t="shared" si="74"/>
        <v>2</v>
      </c>
      <c r="AH151" s="176">
        <f t="shared" si="67"/>
        <v>8</v>
      </c>
      <c r="AI151" s="225">
        <f t="shared" si="68"/>
        <v>2.6353966849170578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48.134292663440533</v>
      </c>
      <c r="C152" s="955"/>
      <c r="D152" s="393">
        <f t="shared" si="50"/>
        <v>51.7218270224527</v>
      </c>
      <c r="E152" s="385">
        <f t="shared" si="72"/>
        <v>54.676348667291556</v>
      </c>
      <c r="F152" s="385">
        <f t="shared" si="51"/>
        <v>54.740533369216372</v>
      </c>
      <c r="G152" s="110">
        <f t="shared" si="73"/>
        <v>0.91618356056789718</v>
      </c>
      <c r="H152" s="414" t="b">
        <f>Wh_hp&gt;='2026'!Maxi_hp</f>
        <v>0</v>
      </c>
      <c r="I152" s="390">
        <f>IF(H152,Wh_hp,'2026'!Maxi_hp)</f>
        <v>59.62470514235855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6.9362096537208595E-2</v>
      </c>
      <c r="M152" s="959"/>
      <c r="N152" s="959"/>
      <c r="O152" s="48">
        <f>IF(t&lt;Tnet,'2026'!Resal+('2026'!Salim-'2026'!Resal)*(1-EXP(('2026'!Tnet-t)/('2026'!Tau_j))),Resal+(Salim-Resal)*(1-EXP((Tnet-t)/(Tau_j))))*Salcycl</f>
        <v>5.4036557247399059E-2</v>
      </c>
      <c r="P152" s="169">
        <f>(INDEX(Models!$BJ152:$BT152,,T152)*(1-R152)+INDEX(Models!$BJ152:$BT152,,T152+1)*R152-ERP_i)*Q152*Ramure*Pc/MaxiM</f>
        <v>1.3317034496931261E-3</v>
      </c>
      <c r="Q152" s="305">
        <f t="shared" si="53"/>
        <v>0.7</v>
      </c>
      <c r="R152" s="177">
        <f t="shared" si="54"/>
        <v>0.11451959876703621</v>
      </c>
      <c r="S152" s="921">
        <f t="shared" si="55"/>
        <v>-1</v>
      </c>
      <c r="T152" s="176">
        <f t="shared" si="56"/>
        <v>5</v>
      </c>
      <c r="U152" s="251">
        <f t="shared" si="57"/>
        <v>-0.88548040123296379</v>
      </c>
      <c r="V152" s="383">
        <f t="shared" si="58"/>
        <v>52.529453539032168</v>
      </c>
      <c r="W152" s="402">
        <f t="shared" si="59"/>
        <v>48.134292663440533</v>
      </c>
      <c r="X152" s="157">
        <f t="shared" si="60"/>
        <v>46525</v>
      </c>
      <c r="Y152" s="385">
        <f t="shared" si="61"/>
        <v>45.255702939151583</v>
      </c>
      <c r="Z152" s="385">
        <f t="shared" si="62"/>
        <v>48.628690891226945</v>
      </c>
      <c r="AA152" s="386">
        <f t="shared" si="63"/>
        <v>54.475244685570701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0.10732496619500964</v>
      </c>
      <c r="AD152" s="231">
        <f>(INDEX(Models!$BJ152:$BT152,,AH152)*(1-AF152)+INDEX(Models!$BJ152:$BT152,,AH152+1)*AF152-ERP_i)*AE152*Ramure*Pc/MaxiM</f>
        <v>5.5042065255567025E-3</v>
      </c>
      <c r="AE152" s="305">
        <f t="shared" si="65"/>
        <v>0.7</v>
      </c>
      <c r="AF152" s="177">
        <f t="shared" si="66"/>
        <v>0.63950716514101513</v>
      </c>
      <c r="AG152" s="921">
        <f t="shared" si="74"/>
        <v>2</v>
      </c>
      <c r="AH152" s="176">
        <f t="shared" si="67"/>
        <v>8</v>
      </c>
      <c r="AI152" s="225">
        <f t="shared" si="68"/>
        <v>2.6395071651410151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50.284172851448396</v>
      </c>
      <c r="C153" s="955"/>
      <c r="D153" s="393">
        <f t="shared" si="50"/>
        <v>54.033125064971344</v>
      </c>
      <c r="E153" s="385">
        <f t="shared" si="72"/>
        <v>57.127960325053536</v>
      </c>
      <c r="F153" s="385">
        <f t="shared" si="51"/>
        <v>57.202950222846432</v>
      </c>
      <c r="G153" s="110">
        <f t="shared" si="73"/>
        <v>0.95729455120661033</v>
      </c>
      <c r="H153" s="414" t="b">
        <f>Wh_hp&gt;='2026'!Maxi_hp</f>
        <v>0</v>
      </c>
      <c r="I153" s="390">
        <f>IF(H153,Wh_hp,'2026'!Maxi_hp)</f>
        <v>59.775748831066402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6.9382479895713556E-2</v>
      </c>
      <c r="M153" s="959"/>
      <c r="N153" s="959"/>
      <c r="O153" s="48">
        <f>IF(t&lt;Tnet,'2026'!Resal+('2026'!Salim-'2026'!Resal)*(1-EXP(('2026'!Tnet-t)/('2026'!Tau_j))),Resal+(Salim-Resal)*(1-EXP((Tnet-t)/(Tau_j))))*Salcycl</f>
        <v>5.4173739837250046E-2</v>
      </c>
      <c r="P153" s="169">
        <f>(INDEX(Models!$BJ153:$BT153,,T153)*(1-R153)+INDEX(Models!$BJ153:$BT153,,T153+1)*R153-ERP_i)*Q153*Ramure*Pc/MaxiM</f>
        <v>1.3959456363826996E-3</v>
      </c>
      <c r="Q153" s="305">
        <f t="shared" si="53"/>
        <v>0.7</v>
      </c>
      <c r="R153" s="177">
        <f t="shared" si="54"/>
        <v>0.11870512453433268</v>
      </c>
      <c r="S153" s="921">
        <f t="shared" si="55"/>
        <v>-1</v>
      </c>
      <c r="T153" s="176">
        <f t="shared" si="56"/>
        <v>5</v>
      </c>
      <c r="U153" s="251">
        <f t="shared" si="57"/>
        <v>-0.88129487546566732</v>
      </c>
      <c r="V153" s="383">
        <f t="shared" si="58"/>
        <v>52.522907364161782</v>
      </c>
      <c r="W153" s="402">
        <f t="shared" si="59"/>
        <v>50.284172851448396</v>
      </c>
      <c r="X153" s="157">
        <f t="shared" si="60"/>
        <v>46526</v>
      </c>
      <c r="Y153" s="385">
        <f t="shared" si="61"/>
        <v>47.260432009293368</v>
      </c>
      <c r="Z153" s="385">
        <f t="shared" si="62"/>
        <v>50.783948279844644</v>
      </c>
      <c r="AA153" s="386">
        <f t="shared" si="63"/>
        <v>56.897601434677348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0.10745010335543993</v>
      </c>
      <c r="AD153" s="231">
        <f>(INDEX(Models!$BJ153:$BT153,,AH153)*(1-AF153)+INDEX(Models!$BJ153:$BT153,,AH153+1)*AF153-ERP_i)*AE153*Ramure*Pc/MaxiM</f>
        <v>5.684103072077281E-3</v>
      </c>
      <c r="AE153" s="305">
        <f t="shared" si="65"/>
        <v>0.7</v>
      </c>
      <c r="AF153" s="177">
        <f t="shared" si="66"/>
        <v>0.6436926909083116</v>
      </c>
      <c r="AG153" s="921">
        <f t="shared" si="74"/>
        <v>2</v>
      </c>
      <c r="AH153" s="176">
        <f t="shared" si="67"/>
        <v>8</v>
      </c>
      <c r="AI153" s="225">
        <f t="shared" si="68"/>
        <v>2.6436926909083116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45.609713335077203</v>
      </c>
      <c r="C154" s="955"/>
      <c r="D154" s="393">
        <f t="shared" si="50"/>
        <v>49.011233231051527</v>
      </c>
      <c r="E154" s="385">
        <f t="shared" si="72"/>
        <v>51.825964377315636</v>
      </c>
      <c r="F154" s="385">
        <f t="shared" si="51"/>
        <v>51.887553136309592</v>
      </c>
      <c r="G154" s="110">
        <f t="shared" si="73"/>
        <v>0.86829179351052699</v>
      </c>
      <c r="H154" s="414" t="b">
        <f>Wh_hp&gt;='2026'!Maxi_hp</f>
        <v>0</v>
      </c>
      <c r="I154" s="390">
        <f>IF(H154,Wh_hp,'2026'!Maxi_hp)</f>
        <v>61.745336141235896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6.9402862807770749E-2</v>
      </c>
      <c r="M154" s="959"/>
      <c r="N154" s="959"/>
      <c r="O154" s="48">
        <f>IF(t&lt;Tnet,'2026'!Resal+('2026'!Salim-'2026'!Resal)*(1-EXP(('2026'!Tnet-t)/('2026'!Tau_j))),Resal+(Salim-Resal)*(1-EXP((Tnet-t)/(Tau_j))))*Salcycl</f>
        <v>5.4311216010794118E-2</v>
      </c>
      <c r="P154" s="169">
        <f>(INDEX(Models!$BJ154:$BT154,,T154)*(1-R154)+INDEX(Models!$BJ154:$BT154,,T154+1)*R154-ERP_i)*Q154*Ramure*Pc/MaxiM</f>
        <v>1.461445271206905E-3</v>
      </c>
      <c r="Q154" s="305">
        <f t="shared" si="53"/>
        <v>0.7</v>
      </c>
      <c r="R154" s="177">
        <f t="shared" si="54"/>
        <v>0.12296413984199328</v>
      </c>
      <c r="S154" s="921">
        <f t="shared" si="55"/>
        <v>-1</v>
      </c>
      <c r="T154" s="176">
        <f t="shared" si="56"/>
        <v>5</v>
      </c>
      <c r="U154" s="251">
        <f t="shared" si="57"/>
        <v>-0.87703586015800672</v>
      </c>
      <c r="V154" s="383">
        <f t="shared" si="58"/>
        <v>52.513659435320598</v>
      </c>
      <c r="W154" s="402">
        <f t="shared" si="59"/>
        <v>45.609713335077203</v>
      </c>
      <c r="X154" s="157">
        <f t="shared" si="60"/>
        <v>46527</v>
      </c>
      <c r="Y154" s="385">
        <f t="shared" si="61"/>
        <v>42.886635646001963</v>
      </c>
      <c r="Z154" s="385">
        <f t="shared" si="62"/>
        <v>46.085071543845793</v>
      </c>
      <c r="AA154" s="386">
        <f t="shared" si="63"/>
        <v>51.640317677619841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0.10757575444160383</v>
      </c>
      <c r="AD154" s="231">
        <f>(INDEX(Models!$BJ154:$BT154,,AH154)*(1-AF154)+INDEX(Models!$BJ154:$BT154,,AH154+1)*AF154-ERP_i)*AE154*Ramure*Pc/MaxiM</f>
        <v>5.8666727155890367E-3</v>
      </c>
      <c r="AE154" s="305">
        <f t="shared" si="65"/>
        <v>0.7</v>
      </c>
      <c r="AF154" s="177">
        <f t="shared" si="66"/>
        <v>0.64795170621597231</v>
      </c>
      <c r="AG154" s="921">
        <f t="shared" si="74"/>
        <v>2</v>
      </c>
      <c r="AH154" s="176">
        <f t="shared" si="67"/>
        <v>8</v>
      </c>
      <c r="AI154" s="225">
        <f t="shared" si="68"/>
        <v>2.6479517062159723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46.16837583601923</v>
      </c>
      <c r="C155" s="955"/>
      <c r="D155" s="393">
        <f t="shared" si="50"/>
        <v>49.612646782245093</v>
      </c>
      <c r="E155" s="385">
        <f t="shared" si="72"/>
        <v>52.4695589580895</v>
      </c>
      <c r="F155" s="385">
        <f t="shared" si="51"/>
        <v>52.53600923977686</v>
      </c>
      <c r="G155" s="110">
        <f t="shared" si="73"/>
        <v>0.87913546907145501</v>
      </c>
      <c r="H155" s="414" t="b">
        <f>Wh_hp&gt;='2026'!Maxi_hp</f>
        <v>0</v>
      </c>
      <c r="I155" s="390">
        <f>IF(H155,Wh_hp,'2026'!Maxi_hp)</f>
        <v>58.246676654523853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6.9423245273389944E-2</v>
      </c>
      <c r="M155" s="959"/>
      <c r="N155" s="959"/>
      <c r="O155" s="48">
        <f>IF(t&lt;Tnet,'2026'!Resal+('2026'!Salim-'2026'!Resal)*(1-EXP(('2026'!Tnet-t)/('2026'!Tau_j))),Resal+(Salim-Resal)*(1-EXP((Tnet-t)/(Tau_j))))*Salcycl</f>
        <v>5.4448945875958048E-2</v>
      </c>
      <c r="P155" s="169">
        <f>(INDEX(Models!$BJ155:$BT155,,T155)*(1-R155)+INDEX(Models!$BJ155:$BT155,,T155+1)*R155-ERP_i)*Q155*Ramure*Pc/MaxiM</f>
        <v>1.5282125692126617E-3</v>
      </c>
      <c r="Q155" s="305">
        <f t="shared" si="53"/>
        <v>0.7</v>
      </c>
      <c r="R155" s="177">
        <f t="shared" si="54"/>
        <v>0.12729490736293614</v>
      </c>
      <c r="S155" s="921">
        <f t="shared" si="55"/>
        <v>-1</v>
      </c>
      <c r="T155" s="176">
        <f t="shared" si="56"/>
        <v>5</v>
      </c>
      <c r="U155" s="251">
        <f t="shared" si="57"/>
        <v>-0.87270509263706386</v>
      </c>
      <c r="V155" s="383">
        <f t="shared" si="58"/>
        <v>52.501807896561481</v>
      </c>
      <c r="W155" s="402">
        <f t="shared" si="59"/>
        <v>46.16837583601923</v>
      </c>
      <c r="X155" s="157">
        <f t="shared" si="60"/>
        <v>46528</v>
      </c>
      <c r="Y155" s="385">
        <f t="shared" si="61"/>
        <v>43.404868483070871</v>
      </c>
      <c r="Z155" s="385">
        <f t="shared" si="62"/>
        <v>46.64297518996441</v>
      </c>
      <c r="AA155" s="386">
        <f t="shared" si="63"/>
        <v>52.272858123911242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0.10770183869803635</v>
      </c>
      <c r="AD155" s="231">
        <f>(INDEX(Models!$BJ155:$BT155,,AH155)*(1-AF155)+INDEX(Models!$BJ155:$BT155,,AH155+1)*AF155-ERP_i)*AE155*Ramure*Pc/MaxiM</f>
        <v>6.0519057655804226E-3</v>
      </c>
      <c r="AE155" s="305">
        <f t="shared" si="65"/>
        <v>0.7</v>
      </c>
      <c r="AF155" s="177">
        <f t="shared" si="66"/>
        <v>0.65228247373691506</v>
      </c>
      <c r="AG155" s="921">
        <f t="shared" si="74"/>
        <v>2</v>
      </c>
      <c r="AH155" s="176">
        <f t="shared" si="67"/>
        <v>8</v>
      </c>
      <c r="AI155" s="225">
        <f t="shared" si="68"/>
        <v>2.6522824737369151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35.316727255504752</v>
      </c>
      <c r="C156" s="955"/>
      <c r="D156" s="393">
        <f t="shared" si="50"/>
        <v>37.95227058920895</v>
      </c>
      <c r="E156" s="385">
        <f t="shared" si="72"/>
        <v>40.143583910714561</v>
      </c>
      <c r="F156" s="385">
        <f t="shared" si="51"/>
        <v>40.177746962035947</v>
      </c>
      <c r="G156" s="110">
        <f t="shared" si="73"/>
        <v>0.67235804680321087</v>
      </c>
      <c r="H156" s="414" t="b">
        <f>Wh_hp&gt;='2026'!Maxi_hp</f>
        <v>0</v>
      </c>
      <c r="I156" s="390">
        <f>IF(H156,Wh_hp,'2026'!Maxi_hp)</f>
        <v>58.677512490213942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6.944362729258069E-2</v>
      </c>
      <c r="M156" s="959"/>
      <c r="N156" s="959"/>
      <c r="O156" s="48">
        <f>IF(t&lt;Tnet,'2026'!Resal+('2026'!Salim-'2026'!Resal)*(1-EXP(('2026'!Tnet-t)/('2026'!Tau_j))),Resal+(Salim-Resal)*(1-EXP((Tnet-t)/(Tau_j))))*Salcycl</f>
        <v>5.4586888066083611E-2</v>
      </c>
      <c r="P156" s="169">
        <f>(INDEX(Models!$BJ156:$BT156,,T156)*(1-R156)+INDEX(Models!$BJ156:$BT156,,T156+1)*R156-ERP_i)*Q156*Ramure*Pc/MaxiM</f>
        <v>1.5963304391666685E-3</v>
      </c>
      <c r="Q156" s="305">
        <f t="shared" si="53"/>
        <v>0.7</v>
      </c>
      <c r="R156" s="177">
        <f t="shared" si="54"/>
        <v>0.1316955076084918</v>
      </c>
      <c r="S156" s="921">
        <f t="shared" si="55"/>
        <v>-1</v>
      </c>
      <c r="T156" s="176">
        <f t="shared" si="56"/>
        <v>5</v>
      </c>
      <c r="U156" s="251">
        <f t="shared" si="57"/>
        <v>-0.8683044923915082</v>
      </c>
      <c r="V156" s="383">
        <f t="shared" si="58"/>
        <v>52.487447084361264</v>
      </c>
      <c r="W156" s="402">
        <f t="shared" si="59"/>
        <v>35.316727255504752</v>
      </c>
      <c r="X156" s="157">
        <f t="shared" si="60"/>
        <v>46529</v>
      </c>
      <c r="Y156" s="385">
        <f t="shared" si="61"/>
        <v>33.24534742045978</v>
      </c>
      <c r="Z156" s="385">
        <f t="shared" si="62"/>
        <v>35.726312124147483</v>
      </c>
      <c r="AA156" s="386">
        <f t="shared" si="63"/>
        <v>40.044210143637521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0.10782827290142209</v>
      </c>
      <c r="AD156" s="231">
        <f>(INDEX(Models!$BJ156:$BT156,,AH156)*(1-AF156)+INDEX(Models!$BJ156:$BT156,,AH156+1)*AF156-ERP_i)*AE156*Ramure*Pc/MaxiM</f>
        <v>6.2397496626848932E-3</v>
      </c>
      <c r="AE156" s="305">
        <f t="shared" si="65"/>
        <v>0.7</v>
      </c>
      <c r="AF156" s="177">
        <f t="shared" si="66"/>
        <v>0.6566830739824705</v>
      </c>
      <c r="AG156" s="921">
        <f t="shared" si="74"/>
        <v>2</v>
      </c>
      <c r="AH156" s="176">
        <f t="shared" si="67"/>
        <v>8</v>
      </c>
      <c r="AI156" s="225">
        <f t="shared" si="68"/>
        <v>2.6566830739824705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16.495373761813241</v>
      </c>
      <c r="C157" s="955"/>
      <c r="D157" s="393">
        <f t="shared" si="50"/>
        <v>17.726744498834101</v>
      </c>
      <c r="E157" s="385">
        <f t="shared" si="72"/>
        <v>18.753002561053062</v>
      </c>
      <c r="F157" s="385">
        <f t="shared" si="51"/>
        <v>18.753643988520281</v>
      </c>
      <c r="G157" s="110">
        <f t="shared" si="73"/>
        <v>0.3138602435124056</v>
      </c>
      <c r="H157" s="414" t="b">
        <f>Wh_hp&gt;='2026'!Maxi_hp</f>
        <v>0</v>
      </c>
      <c r="I157" s="390">
        <f>IF(H157,Wh_hp,'2026'!Maxi_hp)</f>
        <v>53.955691624579302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6.9464008865352977E-2</v>
      </c>
      <c r="M157" s="959"/>
      <c r="N157" s="959"/>
      <c r="O157" s="48">
        <f>IF(t&lt;Tnet,'2026'!Resal+('2026'!Salim-'2026'!Resal)*(1-EXP(('2026'!Tnet-t)/('2026'!Tau_j))),Resal+(Salim-Resal)*(1-EXP((Tnet-t)/(Tau_j))))*Salcycl</f>
        <v>5.4724999843509405E-2</v>
      </c>
      <c r="P157" s="169">
        <f>(INDEX(Models!$BJ157:$BT157,,T157)*(1-R157)+INDEX(Models!$BJ157:$BT157,,T157+1)*R157-ERP_i)*Q157*Ramure*Pc/MaxiM</f>
        <v>1.6657402636618911E-3</v>
      </c>
      <c r="Q157" s="305">
        <f t="shared" si="53"/>
        <v>0.7</v>
      </c>
      <c r="R157" s="177">
        <f t="shared" si="54"/>
        <v>0.13616383894026407</v>
      </c>
      <c r="S157" s="921">
        <f t="shared" si="55"/>
        <v>-1</v>
      </c>
      <c r="T157" s="176">
        <f t="shared" si="56"/>
        <v>5</v>
      </c>
      <c r="U157" s="251">
        <f t="shared" si="57"/>
        <v>-0.86383616105973593</v>
      </c>
      <c r="V157" s="383">
        <f t="shared" si="58"/>
        <v>52.470678786877336</v>
      </c>
      <c r="W157" s="402">
        <f t="shared" si="59"/>
        <v>16.495373761813241</v>
      </c>
      <c r="X157" s="157">
        <f t="shared" si="60"/>
        <v>46530</v>
      </c>
      <c r="Y157" s="385">
        <f t="shared" si="61"/>
        <v>15.564969675942825</v>
      </c>
      <c r="Z157" s="385">
        <f t="shared" si="62"/>
        <v>16.726886250755022</v>
      </c>
      <c r="AA157" s="386">
        <f t="shared" si="63"/>
        <v>18.751168066452053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0.10795497157954108</v>
      </c>
      <c r="AD157" s="231">
        <f>(INDEX(Models!$BJ157:$BT157,,AH157)*(1-AF157)+INDEX(Models!$BJ157:$BT157,,AH157+1)*AF157-ERP_i)*AE157*Ramure*Pc/MaxiM</f>
        <v>6.42978869709665E-3</v>
      </c>
      <c r="AE157" s="305">
        <f t="shared" si="65"/>
        <v>0.7</v>
      </c>
      <c r="AF157" s="177">
        <f t="shared" si="66"/>
        <v>0.66115140531424288</v>
      </c>
      <c r="AG157" s="921">
        <f t="shared" si="74"/>
        <v>2</v>
      </c>
      <c r="AH157" s="176">
        <f t="shared" si="67"/>
        <v>8</v>
      </c>
      <c r="AI157" s="225">
        <f t="shared" si="68"/>
        <v>2.6611514053142429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15.680576179373297</v>
      </c>
      <c r="C158" s="955"/>
      <c r="D158" s="393">
        <f t="shared" si="50"/>
        <v>16.851491808110243</v>
      </c>
      <c r="E158" s="385">
        <f t="shared" si="72"/>
        <v>17.829686106407813</v>
      </c>
      <c r="F158" s="385">
        <f t="shared" si="51"/>
        <v>17.829686106407813</v>
      </c>
      <c r="G158" s="110">
        <f t="shared" si="73"/>
        <v>0.29843412323104707</v>
      </c>
      <c r="H158" s="414" t="b">
        <f>Wh_hp&gt;='2026'!Maxi_hp</f>
        <v>0</v>
      </c>
      <c r="I158" s="390">
        <f>IF(H158,Wh_hp,'2026'!Maxi_hp)</f>
        <v>25.770368698840517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6.9484389991716466E-2</v>
      </c>
      <c r="M158" s="959"/>
      <c r="N158" s="959"/>
      <c r="O158" s="48">
        <f>IF(t&lt;Tnet,'2026'!Resal+('2026'!Salim-'2026'!Resal)*(1-EXP(('2026'!Tnet-t)/('2026'!Tau_j))),Resal+(Salim-Resal)*(1-EXP((Tnet-t)/(Tau_j))))*Salcycl</f>
        <v>5.4863237213470403E-2</v>
      </c>
      <c r="P158" s="169">
        <f>(INDEX(Models!$BJ158:$BT158,,T158)*(1-R158)+INDEX(Models!$BJ158:$BT158,,T158+1)*R158-ERP_i)*Q158*Ramure*Pc/MaxiM</f>
        <v>1.7364415095158536E-3</v>
      </c>
      <c r="Q158" s="305">
        <f t="shared" si="53"/>
        <v>0.7</v>
      </c>
      <c r="R158" s="177">
        <f t="shared" si="54"/>
        <v>0.14069761847109363</v>
      </c>
      <c r="S158" s="921">
        <f t="shared" si="55"/>
        <v>-1</v>
      </c>
      <c r="T158" s="176">
        <f t="shared" si="56"/>
        <v>5</v>
      </c>
      <c r="U158" s="251">
        <f t="shared" si="57"/>
        <v>-0.85930238152890637</v>
      </c>
      <c r="V158" s="383">
        <f t="shared" si="58"/>
        <v>52.451601735514394</v>
      </c>
      <c r="W158" s="402">
        <f t="shared" si="59"/>
        <v>15.680576179373297</v>
      </c>
      <c r="X158" s="157">
        <f t="shared" si="60"/>
        <v>46531</v>
      </c>
      <c r="Y158" s="385">
        <f t="shared" si="61"/>
        <v>14.797636797820456</v>
      </c>
      <c r="Z158" s="385">
        <f t="shared" si="62"/>
        <v>15.902620696162986</v>
      </c>
      <c r="AA158" s="386">
        <f t="shared" si="63"/>
        <v>17.829686106407813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0.10808184724868823</v>
      </c>
      <c r="AD158" s="231">
        <f>(INDEX(Models!$BJ158:$BT158,,AH158)*(1-AF158)+INDEX(Models!$BJ158:$BT158,,AH158+1)*AF158-ERP_i)*AE158*Ramure*Pc/MaxiM</f>
        <v>6.6219478339961989E-3</v>
      </c>
      <c r="AE158" s="305">
        <f t="shared" si="65"/>
        <v>0.7</v>
      </c>
      <c r="AF158" s="177">
        <f t="shared" si="66"/>
        <v>0.66568518484507244</v>
      </c>
      <c r="AG158" s="921">
        <f t="shared" si="74"/>
        <v>2</v>
      </c>
      <c r="AH158" s="176">
        <f t="shared" si="67"/>
        <v>8</v>
      </c>
      <c r="AI158" s="225">
        <f t="shared" si="68"/>
        <v>2.6656851848450724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36.527729530545201</v>
      </c>
      <c r="C159" s="955"/>
      <c r="D159" s="393">
        <f t="shared" si="50"/>
        <v>39.256224405269506</v>
      </c>
      <c r="E159" s="385">
        <f t="shared" si="72"/>
        <v>41.5410465646452</v>
      </c>
      <c r="F159" s="385">
        <f t="shared" si="51"/>
        <v>41.583663408561208</v>
      </c>
      <c r="G159" s="110">
        <f t="shared" si="73"/>
        <v>0.69614454394506176</v>
      </c>
      <c r="H159" s="414" t="b">
        <f>Wh_hp&gt;='2026'!Maxi_hp</f>
        <v>0</v>
      </c>
      <c r="I159" s="390">
        <f>IF(H159,Wh_hp,'2026'!Maxi_hp)</f>
        <v>55.122596698708996</v>
      </c>
      <c r="J159" s="85">
        <f>IF(H159,An,'2026'!An_max)</f>
        <v>2021</v>
      </c>
      <c r="K159" s="197">
        <f t="shared" si="52"/>
        <v>46532</v>
      </c>
      <c r="L159" s="147">
        <f>IF(t&lt;Tvie,1-EXP((T0-t)*PertePVj)+'2026'!Pspv,1-EXP((T0-t)*PertePVj)+Pspv)</f>
        <v>6.9504770671681038E-2</v>
      </c>
      <c r="M159" s="959"/>
      <c r="N159" s="959"/>
      <c r="O159" s="48">
        <f>IF(t&lt;Tnet,'2026'!Resal+('2026'!Salim-'2026'!Resal)*(1-EXP(('2026'!Tnet-t)/('2026'!Tau_j))),Resal+(Salim-Resal)*(1-EXP((Tnet-t)/(Tau_j))))*Salcycl</f>
        <v>5.5001555047971731E-2</v>
      </c>
      <c r="P159" s="169">
        <f>(INDEX(Models!$BJ159:$BT159,,T159)*(1-R159)+INDEX(Models!$BJ159:$BT159,,T159+1)*R159-ERP_i)*Q159*Ramure*Pc/MaxiM</f>
        <v>1.8084403969684448E-3</v>
      </c>
      <c r="Q159" s="305">
        <f t="shared" si="53"/>
        <v>0.7</v>
      </c>
      <c r="R159" s="177">
        <f t="shared" si="54"/>
        <v>0.14529438388881066</v>
      </c>
      <c r="S159" s="921">
        <f t="shared" si="55"/>
        <v>-1</v>
      </c>
      <c r="T159" s="176">
        <f t="shared" si="56"/>
        <v>5</v>
      </c>
      <c r="U159" s="251">
        <f t="shared" si="57"/>
        <v>-0.85470561611118934</v>
      </c>
      <c r="V159" s="383">
        <f t="shared" si="58"/>
        <v>52.430314297956912</v>
      </c>
      <c r="W159" s="402">
        <f t="shared" si="59"/>
        <v>36.527729530545201</v>
      </c>
      <c r="X159" s="157">
        <f t="shared" si="60"/>
        <v>46532</v>
      </c>
      <c r="Y159" s="385">
        <f t="shared" si="61"/>
        <v>34.373144181582717</v>
      </c>
      <c r="Z159" s="385">
        <f t="shared" si="62"/>
        <v>36.940698993583325</v>
      </c>
      <c r="AA159" s="386">
        <f t="shared" si="63"/>
        <v>41.423036508450039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0.10820881066872885</v>
      </c>
      <c r="AD159" s="231">
        <f>(INDEX(Models!$BJ159:$BT159,,AH159)*(1-AF159)+INDEX(Models!$BJ159:$BT159,,AH159+1)*AF159-ERP_i)*AE159*Ramure*Pc/MaxiM</f>
        <v>6.8161822488155572E-3</v>
      </c>
      <c r="AE159" s="305">
        <f t="shared" si="65"/>
        <v>0.7</v>
      </c>
      <c r="AF159" s="177">
        <f t="shared" si="66"/>
        <v>0.67028195026278947</v>
      </c>
      <c r="AG159" s="921">
        <f t="shared" si="74"/>
        <v>2</v>
      </c>
      <c r="AH159" s="176">
        <f t="shared" si="67"/>
        <v>8</v>
      </c>
      <c r="AI159" s="225">
        <f t="shared" si="68"/>
        <v>2.6702819502627895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24.857372055502669</v>
      </c>
      <c r="C160" s="955"/>
      <c r="D160" s="393">
        <f t="shared" si="50"/>
        <v>26.714716770352616</v>
      </c>
      <c r="E160" s="385">
        <f t="shared" si="72"/>
        <v>28.273727480360542</v>
      </c>
      <c r="F160" s="385">
        <f t="shared" si="51"/>
        <v>28.286982563140889</v>
      </c>
      <c r="G160" s="110">
        <f t="shared" si="73"/>
        <v>0.47364414551766043</v>
      </c>
      <c r="H160" s="414" t="b">
        <f>Wh_hp&gt;='2026'!Maxi_hp</f>
        <v>0</v>
      </c>
      <c r="I160" s="390">
        <f>IF(H160,Wh_hp,'2026'!Maxi_hp)</f>
        <v>58.823190702914935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6.952515090525635E-2</v>
      </c>
      <c r="M160" s="959"/>
      <c r="N160" s="959"/>
      <c r="O160" s="48">
        <f>IF(t&lt;Tnet,'2026'!Resal+('2026'!Salim-'2026'!Resal)*(1-EXP(('2026'!Tnet-t)/('2026'!Tau_j))),Resal+(Salim-Resal)*(1-EXP((Tnet-t)/(Tau_j))))*Salcycl</f>
        <v>5.5139907219196482E-2</v>
      </c>
      <c r="P160" s="169">
        <f>(INDEX(Models!$BJ160:$BT160,,T160)*(1-R160)+INDEX(Models!$BJ160:$BT160,,T160+1)*R160-ERP_i)*Q160*Ramure*Pc/MaxiM</f>
        <v>1.8817406115033053E-3</v>
      </c>
      <c r="Q160" s="305">
        <f t="shared" si="53"/>
        <v>0.7</v>
      </c>
      <c r="R160" s="177">
        <f t="shared" si="54"/>
        <v>0.14995149622964299</v>
      </c>
      <c r="S160" s="921">
        <f t="shared" si="55"/>
        <v>-1</v>
      </c>
      <c r="T160" s="176">
        <f t="shared" si="56"/>
        <v>5</v>
      </c>
      <c r="U160" s="251">
        <f t="shared" si="57"/>
        <v>-0.85004850377035701</v>
      </c>
      <c r="V160" s="383">
        <f t="shared" si="58"/>
        <v>52.406914953093562</v>
      </c>
      <c r="W160" s="402">
        <f t="shared" si="59"/>
        <v>24.857372055502669</v>
      </c>
      <c r="X160" s="157">
        <f t="shared" si="60"/>
        <v>46533</v>
      </c>
      <c r="Y160" s="385">
        <f t="shared" si="61"/>
        <v>23.427910589854381</v>
      </c>
      <c r="Z160" s="385">
        <f t="shared" si="62"/>
        <v>25.178445836174216</v>
      </c>
      <c r="AA160" s="386">
        <f t="shared" si="63"/>
        <v>28.237586549426492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0.10833577111477354</v>
      </c>
      <c r="AD160" s="231">
        <f>(INDEX(Models!$BJ160:$BT160,,AH160)*(1-AF160)+INDEX(Models!$BJ160:$BT160,,AH160+1)*AF160-ERP_i)*AE160*Ramure*Pc/MaxiM</f>
        <v>7.012440932513824E-3</v>
      </c>
      <c r="AE160" s="305">
        <f t="shared" si="65"/>
        <v>0.7</v>
      </c>
      <c r="AF160" s="177">
        <f t="shared" si="66"/>
        <v>0.67493906260362202</v>
      </c>
      <c r="AG160" s="921">
        <f t="shared" si="74"/>
        <v>2</v>
      </c>
      <c r="AH160" s="176">
        <f t="shared" si="67"/>
        <v>8</v>
      </c>
      <c r="AI160" s="225">
        <f t="shared" si="68"/>
        <v>2.674939062603622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39.615446904956983</v>
      </c>
      <c r="C161" s="955"/>
      <c r="D161" s="393">
        <f t="shared" si="50"/>
        <v>42.576448619177619</v>
      </c>
      <c r="E161" s="385">
        <f t="shared" si="72"/>
        <v>45.067712765523943</v>
      </c>
      <c r="F161" s="385">
        <f t="shared" si="51"/>
        <v>45.125257389492397</v>
      </c>
      <c r="G161" s="110">
        <f t="shared" si="73"/>
        <v>0.75577117331197896</v>
      </c>
      <c r="H161" s="414" t="b">
        <f>Wh_hp&gt;='2026'!Maxi_hp</f>
        <v>0</v>
      </c>
      <c r="I161" s="390">
        <f>IF(H161,Wh_hp,'2026'!Maxi_hp)</f>
        <v>60.55384086599669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6.9545530692452284E-2</v>
      </c>
      <c r="M161" s="959"/>
      <c r="N161" s="959"/>
      <c r="O161" s="48">
        <f>IF(t&lt;Tnet,'2026'!Resal+('2026'!Salim-'2026'!Resal)*(1-EXP(('2026'!Tnet-t)/('2026'!Tau_j))),Resal+(Salim-Resal)*(1-EXP((Tnet-t)/(Tau_j))))*Salcycl</f>
        <v>5.5278246741913749E-2</v>
      </c>
      <c r="P161" s="169">
        <f>(INDEX(Models!$BJ161:$BT161,,T161)*(1-R161)+INDEX(Models!$BJ161:$BT161,,T161+1)*R161-ERP_i)*Q161*Ramure*Pc/MaxiM</f>
        <v>1.9563432262234928E-3</v>
      </c>
      <c r="Q161" s="305">
        <f t="shared" si="53"/>
        <v>0.7</v>
      </c>
      <c r="R161" s="177">
        <f t="shared" si="54"/>
        <v>0.15466614362061892</v>
      </c>
      <c r="S161" s="921">
        <f t="shared" si="55"/>
        <v>-1</v>
      </c>
      <c r="T161" s="176">
        <f t="shared" si="56"/>
        <v>5</v>
      </c>
      <c r="U161" s="251">
        <f t="shared" si="57"/>
        <v>-0.84533385637938108</v>
      </c>
      <c r="V161" s="383">
        <f t="shared" si="58"/>
        <v>52.381502289020212</v>
      </c>
      <c r="W161" s="402">
        <f t="shared" si="59"/>
        <v>39.615446904956983</v>
      </c>
      <c r="X161" s="157">
        <f t="shared" si="60"/>
        <v>46534</v>
      </c>
      <c r="Y161" s="385">
        <f t="shared" si="61"/>
        <v>37.257034857166644</v>
      </c>
      <c r="Z161" s="385">
        <f t="shared" si="62"/>
        <v>40.041760329114922</v>
      </c>
      <c r="AA161" s="386">
        <f t="shared" si="63"/>
        <v>44.913160093815165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0.10846263666428277</v>
      </c>
      <c r="AD161" s="231">
        <f>(INDEX(Models!$BJ161:$BT161,,AH161)*(1-AF161)+INDEX(Models!$BJ161:$BT161,,AH161+1)*AF161-ERP_i)*AE161*Ramure*Pc/MaxiM</f>
        <v>7.2106667675150534E-3</v>
      </c>
      <c r="AE161" s="305">
        <f t="shared" si="65"/>
        <v>0.7</v>
      </c>
      <c r="AF161" s="177">
        <f t="shared" si="66"/>
        <v>0.67965370999459784</v>
      </c>
      <c r="AG161" s="921">
        <f t="shared" si="74"/>
        <v>2</v>
      </c>
      <c r="AH161" s="176">
        <f t="shared" si="67"/>
        <v>8</v>
      </c>
      <c r="AI161" s="225">
        <f t="shared" si="68"/>
        <v>2.6796537099945978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48.795780312609651</v>
      </c>
      <c r="C162" s="955"/>
      <c r="D162" s="393">
        <f t="shared" si="50"/>
        <v>52.44410199367794</v>
      </c>
      <c r="E162" s="385">
        <f t="shared" si="72"/>
        <v>55.520876061264666</v>
      </c>
      <c r="F162" s="385">
        <f t="shared" si="51"/>
        <v>55.622939820749423</v>
      </c>
      <c r="G162" s="110">
        <f t="shared" si="73"/>
        <v>0.93184801428001529</v>
      </c>
      <c r="H162" s="414" t="b">
        <f>Wh_hp&gt;='2026'!Maxi_hp</f>
        <v>0</v>
      </c>
      <c r="I162" s="390">
        <f>IF(H162,Wh_hp,'2026'!Maxi_hp)</f>
        <v>57.676626455771242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6.9565910033278611E-2</v>
      </c>
      <c r="M162" s="959"/>
      <c r="N162" s="959"/>
      <c r="O162" s="48">
        <f>IF(t&lt;Tnet,'2026'!Resal+('2026'!Salim-'2026'!Resal)*(1-EXP(('2026'!Tnet-t)/('2026'!Tau_j))),Resal+(Salim-Resal)*(1-EXP((Tnet-t)/(Tau_j))))*Salcycl</f>
        <v>5.541652592426044E-2</v>
      </c>
      <c r="P162" s="169">
        <f>(INDEX(Models!$BJ162:$BT162,,T162)*(1-R162)+INDEX(Models!$BJ162:$BT162,,T162+1)*R162-ERP_i)*Q162*Ramure*Pc/MaxiM</f>
        <v>2.0322466347649018E-3</v>
      </c>
      <c r="Q162" s="305">
        <f t="shared" si="53"/>
        <v>0.7</v>
      </c>
      <c r="R162" s="177">
        <f t="shared" si="54"/>
        <v>0.15943534600216125</v>
      </c>
      <c r="S162" s="921">
        <f t="shared" si="55"/>
        <v>-1</v>
      </c>
      <c r="T162" s="176">
        <f t="shared" si="56"/>
        <v>5</v>
      </c>
      <c r="U162" s="251">
        <f t="shared" si="57"/>
        <v>-0.84056465399783875</v>
      </c>
      <c r="V162" s="383">
        <f t="shared" si="58"/>
        <v>52.354174992396892</v>
      </c>
      <c r="W162" s="402">
        <f t="shared" si="59"/>
        <v>48.795780312609651</v>
      </c>
      <c r="X162" s="157">
        <f t="shared" si="60"/>
        <v>46535</v>
      </c>
      <c r="Y162" s="385">
        <f t="shared" si="61"/>
        <v>45.824913879910227</v>
      </c>
      <c r="Z162" s="385">
        <f t="shared" si="62"/>
        <v>49.251112329245409</v>
      </c>
      <c r="AA162" s="386">
        <f t="shared" si="63"/>
        <v>55.250753811104538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0.10858931449824488</v>
      </c>
      <c r="AD162" s="231">
        <f>(INDEX(Models!$BJ162:$BT162,,AH162)*(1-AF162)+INDEX(Models!$BJ162:$BT162,,AH162+1)*AF162-ERP_i)*AE162*Ramure*Pc/MaxiM</f>
        <v>7.4107966375699455E-3</v>
      </c>
      <c r="AE162" s="305">
        <f t="shared" si="65"/>
        <v>0.7</v>
      </c>
      <c r="AF162" s="177">
        <f t="shared" si="66"/>
        <v>0.68442291237614006</v>
      </c>
      <c r="AG162" s="921">
        <f t="shared" si="74"/>
        <v>2</v>
      </c>
      <c r="AH162" s="176">
        <f t="shared" si="67"/>
        <v>8</v>
      </c>
      <c r="AI162" s="225">
        <f t="shared" si="68"/>
        <v>2.6844229123761401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52.832861096991586</v>
      </c>
      <c r="C163" s="955"/>
      <c r="D163" s="393">
        <f t="shared" si="50"/>
        <v>56.784267544922969</v>
      </c>
      <c r="E163" s="385">
        <f t="shared" si="72"/>
        <v>60.124463890138941</v>
      </c>
      <c r="F163" s="385">
        <f t="shared" si="51"/>
        <v>60.251561411651245</v>
      </c>
      <c r="G163" s="110">
        <f t="shared" si="73"/>
        <v>1.0097058919531765</v>
      </c>
      <c r="H163" s="414" t="b">
        <f>Wh_hp&gt;='2026'!Maxi_hp</f>
        <v>0</v>
      </c>
      <c r="I163" s="390">
        <f>IF(H163,Wh_hp,'2026'!Maxi_hp)</f>
        <v>60.251561411651252</v>
      </c>
      <c r="J163" s="85">
        <f>IF(H163,An,'2026'!An_max)</f>
        <v>2026</v>
      </c>
      <c r="K163" s="197">
        <f t="shared" si="52"/>
        <v>46536</v>
      </c>
      <c r="L163" s="147">
        <f>IF(t&lt;Tvie,1-EXP((T0-t)*PertePVj)+'2026'!Pspv,1-EXP((T0-t)*PertePVj)+Pspv)</f>
        <v>6.9586288927744988E-2</v>
      </c>
      <c r="M163" s="959"/>
      <c r="N163" s="959"/>
      <c r="O163" s="48">
        <f>IF(t&lt;Tnet,'2026'!Resal+('2026'!Salim-'2026'!Resal)*(1-EXP(('2026'!Tnet-t)/('2026'!Tau_j))),Resal+(Salim-Resal)*(1-EXP((Tnet-t)/(Tau_j))))*Salcycl</f>
        <v>5.5554696526180648E-2</v>
      </c>
      <c r="P163" s="169">
        <f>(INDEX(Models!$BJ163:$BT163,,T163)*(1-R163)+INDEX(Models!$BJ163:$BT163,,T163+1)*R163-ERP_i)*Q163*Ramure*Pc/MaxiM</f>
        <v>2.1094477642486552E-3</v>
      </c>
      <c r="Q163" s="305">
        <f t="shared" si="53"/>
        <v>0.7</v>
      </c>
      <c r="R163" s="177">
        <f t="shared" si="54"/>
        <v>0.16425596083338323</v>
      </c>
      <c r="S163" s="921">
        <f t="shared" si="55"/>
        <v>-1</v>
      </c>
      <c r="T163" s="176">
        <f t="shared" si="56"/>
        <v>5</v>
      </c>
      <c r="U163" s="251">
        <f t="shared" si="57"/>
        <v>-0.83574403916661677</v>
      </c>
      <c r="V163" s="383">
        <f t="shared" si="58"/>
        <v>52.325000297652643</v>
      </c>
      <c r="W163" s="402">
        <f t="shared" si="59"/>
        <v>52.832861096991586</v>
      </c>
      <c r="X163" s="157">
        <f t="shared" si="60"/>
        <v>46536</v>
      </c>
      <c r="Y163" s="385">
        <f t="shared" si="61"/>
        <v>49.584030689192417</v>
      </c>
      <c r="Z163" s="385">
        <f t="shared" si="62"/>
        <v>53.292454850057311</v>
      </c>
      <c r="AA163" s="386">
        <f t="shared" si="63"/>
        <v>59.792880364468559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0.10871571121491029</v>
      </c>
      <c r="AD163" s="231">
        <f>(INDEX(Models!$BJ163:$BT163,,AH163)*(1-AF163)+INDEX(Models!$BJ163:$BT163,,AH163+1)*AF163-ERP_i)*AE163*Ramure*Pc/MaxiM</f>
        <v>7.6127661497248341E-3</v>
      </c>
      <c r="AE163" s="305">
        <f t="shared" si="65"/>
        <v>0.7</v>
      </c>
      <c r="AF163" s="177">
        <f t="shared" si="66"/>
        <v>0.68924352720736204</v>
      </c>
      <c r="AG163" s="921">
        <f t="shared" si="74"/>
        <v>2</v>
      </c>
      <c r="AH163" s="176">
        <f t="shared" si="67"/>
        <v>8</v>
      </c>
      <c r="AI163" s="225">
        <f t="shared" si="68"/>
        <v>2.689243527207362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44.269516984954535</v>
      </c>
      <c r="C164" s="955"/>
      <c r="D164" s="393">
        <f t="shared" si="50"/>
        <v>47.581507124620146</v>
      </c>
      <c r="E164" s="385">
        <f t="shared" si="72"/>
        <v>50.387736730092456</v>
      </c>
      <c r="F164" s="385">
        <f t="shared" si="51"/>
        <v>50.473927029105674</v>
      </c>
      <c r="G164" s="110">
        <f t="shared" si="73"/>
        <v>0.84614458675475079</v>
      </c>
      <c r="H164" s="414" t="b">
        <f>Wh_hp&gt;='2026'!Maxi_hp</f>
        <v>0</v>
      </c>
      <c r="I164" s="390">
        <f>IF(H164,Wh_hp,'2026'!Maxi_hp)</f>
        <v>58.524365554999449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6.9606667375861297E-2</v>
      </c>
      <c r="M164" s="959"/>
      <c r="N164" s="959"/>
      <c r="O164" s="48">
        <f>IF(t&lt;Tnet,'2026'!Resal+('2026'!Salim-'2026'!Resal)*(1-EXP(('2026'!Tnet-t)/('2026'!Tau_j))),Resal+(Salim-Resal)*(1-EXP((Tnet-t)/(Tau_j))))*Salcycl</f>
        <v>5.5692709924722174E-2</v>
      </c>
      <c r="P164" s="169">
        <f>(INDEX(Models!$BJ164:$BT164,,T164)*(1-R164)+INDEX(Models!$BJ164:$BT164,,T164+1)*R164-ERP_i)*Q164*Ramure*Pc/MaxiM</f>
        <v>2.1870490625910889E-3</v>
      </c>
      <c r="Q164" s="305">
        <f t="shared" si="53"/>
        <v>0.7</v>
      </c>
      <c r="R164" s="177">
        <f t="shared" si="54"/>
        <v>0.16912468977347084</v>
      </c>
      <c r="S164" s="921">
        <f t="shared" si="55"/>
        <v>-1</v>
      </c>
      <c r="T164" s="176">
        <f t="shared" si="56"/>
        <v>5</v>
      </c>
      <c r="U164" s="251">
        <f t="shared" si="57"/>
        <v>-0.83087531022652916</v>
      </c>
      <c r="V164" s="383">
        <f t="shared" si="58"/>
        <v>52.293966409761062</v>
      </c>
      <c r="W164" s="402">
        <f t="shared" si="59"/>
        <v>44.269516984954535</v>
      </c>
      <c r="X164" s="157">
        <f t="shared" si="60"/>
        <v>46537</v>
      </c>
      <c r="Y164" s="385">
        <f t="shared" si="61"/>
        <v>41.593998908143377</v>
      </c>
      <c r="Z164" s="385">
        <f t="shared" si="62"/>
        <v>44.705822204066209</v>
      </c>
      <c r="AA164" s="386">
        <f t="shared" si="63"/>
        <v>50.165973730245042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0.10884173315441711</v>
      </c>
      <c r="AD164" s="231">
        <f>(INDEX(Models!$BJ164:$BT164,,AH164)*(1-AF164)+INDEX(Models!$BJ164:$BT164,,AH164+1)*AF164-ERP_i)*AE164*Ramure*Pc/MaxiM</f>
        <v>7.8142085745835487E-3</v>
      </c>
      <c r="AE164" s="305">
        <f t="shared" si="65"/>
        <v>0.7</v>
      </c>
      <c r="AF164" s="177">
        <f t="shared" si="66"/>
        <v>0.69411225614744954</v>
      </c>
      <c r="AG164" s="921">
        <f t="shared" si="74"/>
        <v>2</v>
      </c>
      <c r="AH164" s="176">
        <f t="shared" si="67"/>
        <v>8</v>
      </c>
      <c r="AI164" s="225">
        <f t="shared" si="68"/>
        <v>2.6941122561474495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49.188868853889204</v>
      </c>
      <c r="C165" s="955"/>
      <c r="D165" s="393">
        <f t="shared" si="50"/>
        <v>52.870054540498664</v>
      </c>
      <c r="E165" s="385">
        <f t="shared" si="72"/>
        <v>55.996360302268876</v>
      </c>
      <c r="F165" s="385">
        <f t="shared" si="51"/>
        <v>56.112787294225193</v>
      </c>
      <c r="G165" s="110">
        <f t="shared" si="73"/>
        <v>0.94103654394616065</v>
      </c>
      <c r="H165" s="414" t="b">
        <f>Wh_hp&gt;='2026'!Maxi_hp</f>
        <v>0</v>
      </c>
      <c r="I165" s="390">
        <f>IF(H165,Wh_hp,'2026'!Maxi_hp)</f>
        <v>59.313017833892296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6.9627045377637309E-2</v>
      </c>
      <c r="M165" s="959"/>
      <c r="N165" s="959"/>
      <c r="O165" s="48">
        <f>IF(t&lt;Tnet,'2026'!Resal+('2026'!Salim-'2026'!Resal)*(1-EXP(('2026'!Tnet-t)/('2026'!Tau_j))),Resal+(Salim-Resal)*(1-EXP((Tnet-t)/(Tau_j))))*Salcycl</f>
        <v>5.5830517285308995E-2</v>
      </c>
      <c r="P165" s="169">
        <f>(INDEX(Models!$BJ165:$BT165,,T165)*(1-R165)+INDEX(Models!$BJ165:$BT165,,T165+1)*R165-ERP_i)*Q165*Ramure*Pc/MaxiM</f>
        <v>2.265090496840576E-3</v>
      </c>
      <c r="Q165" s="305">
        <f t="shared" si="53"/>
        <v>0.7</v>
      </c>
      <c r="R165" s="177">
        <f t="shared" si="54"/>
        <v>0.17403808632309747</v>
      </c>
      <c r="S165" s="921">
        <f t="shared" si="55"/>
        <v>-1</v>
      </c>
      <c r="T165" s="176">
        <f t="shared" si="56"/>
        <v>5</v>
      </c>
      <c r="U165" s="251">
        <f t="shared" si="57"/>
        <v>-0.82596191367690253</v>
      </c>
      <c r="V165" s="383">
        <f t="shared" si="58"/>
        <v>52.260980943849688</v>
      </c>
      <c r="W165" s="402">
        <f t="shared" si="59"/>
        <v>49.188868853889204</v>
      </c>
      <c r="X165" s="157">
        <f t="shared" si="60"/>
        <v>46538</v>
      </c>
      <c r="Y165" s="385">
        <f t="shared" si="61"/>
        <v>46.175556400541261</v>
      </c>
      <c r="Z165" s="385">
        <f t="shared" si="62"/>
        <v>49.631232476317912</v>
      </c>
      <c r="AA165" s="386">
        <f t="shared" si="63"/>
        <v>55.700797218000886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0.10896728673250418</v>
      </c>
      <c r="AD165" s="231">
        <f>(INDEX(Models!$BJ165:$BT165,,AH165)*(1-AF165)+INDEX(Models!$BJ165:$BT165,,AH165+1)*AF165-ERP_i)*AE165*Ramure*Pc/MaxiM</f>
        <v>8.0152788521617637E-3</v>
      </c>
      <c r="AE165" s="305">
        <f t="shared" si="65"/>
        <v>0.7</v>
      </c>
      <c r="AF165" s="177">
        <f t="shared" si="66"/>
        <v>0.69902565269707617</v>
      </c>
      <c r="AG165" s="921">
        <f t="shared" si="74"/>
        <v>2</v>
      </c>
      <c r="AH165" s="176">
        <f t="shared" si="67"/>
        <v>8</v>
      </c>
      <c r="AI165" s="225">
        <f t="shared" si="68"/>
        <v>2.6990256526970762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49.998291313170341</v>
      </c>
      <c r="C166" s="955"/>
      <c r="D166" s="393">
        <f t="shared" si="50"/>
        <v>53.741229449589767</v>
      </c>
      <c r="E166" s="385">
        <f t="shared" si="72"/>
        <v>56.927342949805521</v>
      </c>
      <c r="F166" s="385">
        <f t="shared" si="51"/>
        <v>57.052901853272147</v>
      </c>
      <c r="G166" s="110">
        <f t="shared" si="73"/>
        <v>0.95720864670714545</v>
      </c>
      <c r="H166" s="414" t="b">
        <f>Wh_hp&gt;='2026'!Maxi_hp</f>
        <v>0</v>
      </c>
      <c r="I166" s="390">
        <f>IF(H166,Wh_hp,'2026'!Maxi_hp)</f>
        <v>60.331915443766647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6.9647422933082792E-2</v>
      </c>
      <c r="M166" s="959"/>
      <c r="N166" s="959"/>
      <c r="O166" s="48">
        <f>IF(t&lt;Tnet,'2026'!Resal+('2026'!Salim-'2026'!Resal)*(1-EXP(('2026'!Tnet-t)/('2026'!Tau_j))),Resal+(Salim-Resal)*(1-EXP((Tnet-t)/(Tau_j))))*Salcycl</f>
        <v>5.596806973803499E-2</v>
      </c>
      <c r="P166" s="169">
        <f>(INDEX(Models!$BJ166:$BT166,,T166)*(1-R166)+INDEX(Models!$BJ166:$BT166,,T166+1)*R166-ERP_i)*Q166*Ramure*Pc/MaxiM</f>
        <v>2.343548875366099E-3</v>
      </c>
      <c r="Q166" s="305">
        <f t="shared" si="53"/>
        <v>0.7</v>
      </c>
      <c r="R166" s="177">
        <f t="shared" si="54"/>
        <v>0.17899256440017974</v>
      </c>
      <c r="S166" s="921">
        <f t="shared" si="55"/>
        <v>-1</v>
      </c>
      <c r="T166" s="176">
        <f t="shared" si="56"/>
        <v>5</v>
      </c>
      <c r="U166" s="251">
        <f t="shared" si="57"/>
        <v>-0.82100743559982026</v>
      </c>
      <c r="V166" s="383">
        <f t="shared" si="58"/>
        <v>52.225954916588421</v>
      </c>
      <c r="W166" s="402">
        <f t="shared" si="59"/>
        <v>49.998291313170341</v>
      </c>
      <c r="X166" s="157">
        <f t="shared" si="60"/>
        <v>46539</v>
      </c>
      <c r="Y166" s="385">
        <f t="shared" si="61"/>
        <v>46.923926363487098</v>
      </c>
      <c r="Z166" s="385">
        <f t="shared" si="62"/>
        <v>50.436713478477323</v>
      </c>
      <c r="AA166" s="386">
        <f t="shared" si="63"/>
        <v>56.612724614720058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0.10909227878138354</v>
      </c>
      <c r="AD166" s="231">
        <f>(INDEX(Models!$BJ166:$BT166,,AH166)*(1-AF166)+INDEX(Models!$BJ166:$BT166,,AH166+1)*AF166-ERP_i)*AE166*Ramure*Pc/MaxiM</f>
        <v>8.2158799088642778E-3</v>
      </c>
      <c r="AE166" s="305">
        <f t="shared" si="65"/>
        <v>0.7</v>
      </c>
      <c r="AF166" s="177">
        <f t="shared" si="66"/>
        <v>0.70398013077415866</v>
      </c>
      <c r="AG166" s="921">
        <f t="shared" si="74"/>
        <v>2</v>
      </c>
      <c r="AH166" s="176">
        <f t="shared" si="67"/>
        <v>8</v>
      </c>
      <c r="AI166" s="225">
        <f t="shared" si="68"/>
        <v>2.7039801307741587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39.579666467747529</v>
      </c>
      <c r="C167" s="955"/>
      <c r="D167" s="393">
        <f t="shared" si="50"/>
        <v>42.543584398716057</v>
      </c>
      <c r="E167" s="385">
        <f t="shared" si="72"/>
        <v>45.072384912392685</v>
      </c>
      <c r="F167" s="385">
        <f t="shared" si="51"/>
        <v>45.143997034323434</v>
      </c>
      <c r="G167" s="110">
        <f t="shared" si="73"/>
        <v>0.75775878928998719</v>
      </c>
      <c r="H167" s="414" t="b">
        <f>Wh_hp&gt;='2026'!Maxi_hp</f>
        <v>0</v>
      </c>
      <c r="I167" s="390">
        <f>IF(H167,Wh_hp,'2026'!Maxi_hp)</f>
        <v>59.300139796564821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6.9667800042207517E-2</v>
      </c>
      <c r="M167" s="959"/>
      <c r="N167" s="959"/>
      <c r="O167" s="48">
        <f>IF(t&lt;Tnet,'2026'!Resal+('2026'!Salim-'2026'!Resal)*(1-EXP(('2026'!Tnet-t)/('2026'!Tau_j))),Resal+(Salim-Resal)*(1-EXP((Tnet-t)/(Tau_j))))*Salcycl</f>
        <v>5.610531855795664E-2</v>
      </c>
      <c r="P167" s="169">
        <f>(INDEX(Models!$BJ167:$BT167,,T167)*(1-R167)+INDEX(Models!$BJ167:$BT167,,T167+1)*R167-ERP_i)*Q167*Ramure*Pc/MaxiM</f>
        <v>2.4223994387871984E-3</v>
      </c>
      <c r="Q167" s="305">
        <f t="shared" si="53"/>
        <v>0.7</v>
      </c>
      <c r="R167" s="177">
        <f t="shared" si="54"/>
        <v>0.18398440781459235</v>
      </c>
      <c r="S167" s="921">
        <f t="shared" si="55"/>
        <v>-1</v>
      </c>
      <c r="T167" s="176">
        <f t="shared" si="56"/>
        <v>5</v>
      </c>
      <c r="U167" s="251">
        <f t="shared" si="57"/>
        <v>-0.81601559218540765</v>
      </c>
      <c r="V167" s="383">
        <f t="shared" si="58"/>
        <v>52.188799505406884</v>
      </c>
      <c r="W167" s="402">
        <f t="shared" si="59"/>
        <v>39.579666467747529</v>
      </c>
      <c r="X167" s="157">
        <f t="shared" si="60"/>
        <v>46540</v>
      </c>
      <c r="Y167" s="385">
        <f t="shared" si="61"/>
        <v>37.20575208522235</v>
      </c>
      <c r="Z167" s="385">
        <f t="shared" si="62"/>
        <v>39.991899761085676</v>
      </c>
      <c r="AA167" s="386">
        <f t="shared" si="63"/>
        <v>44.895201818560011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0.10921661689573417</v>
      </c>
      <c r="AD167" s="231">
        <f>(INDEX(Models!$BJ167:$BT167,,AH167)*(1-AF167)+INDEX(Models!$BJ167:$BT167,,AH167+1)*AF167-ERP_i)*AE167*Ramure*Pc/MaxiM</f>
        <v>8.4159130436199121E-3</v>
      </c>
      <c r="AE167" s="305">
        <f t="shared" si="65"/>
        <v>0.7</v>
      </c>
      <c r="AF167" s="177">
        <f t="shared" si="66"/>
        <v>0.70897197418857116</v>
      </c>
      <c r="AG167" s="921">
        <f t="shared" si="74"/>
        <v>2</v>
      </c>
      <c r="AH167" s="176">
        <f t="shared" si="67"/>
        <v>8</v>
      </c>
      <c r="AI167" s="225">
        <f t="shared" si="68"/>
        <v>2.7089719741885712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49.718538644168355</v>
      </c>
      <c r="C168" s="955"/>
      <c r="D168" s="393">
        <f t="shared" si="50"/>
        <v>53.442875172837446</v>
      </c>
      <c r="E168" s="385">
        <f t="shared" si="72"/>
        <v>56.627745001924488</v>
      </c>
      <c r="F168" s="385">
        <f t="shared" si="51"/>
        <v>56.760281974375772</v>
      </c>
      <c r="G168" s="110">
        <f t="shared" si="73"/>
        <v>0.95322692199635528</v>
      </c>
      <c r="H168" s="414" t="b">
        <f>Wh_hp&gt;='2026'!Maxi_hp</f>
        <v>0</v>
      </c>
      <c r="I168" s="390">
        <f>IF(H168,Wh_hp,'2026'!Maxi_hp)</f>
        <v>56.76822569134054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6.9688176705021254E-2</v>
      </c>
      <c r="M168" s="959"/>
      <c r="N168" s="959"/>
      <c r="O168" s="48">
        <f>IF(t&lt;Tnet,'2026'!Resal+('2026'!Salim-'2026'!Resal)*(1-EXP(('2026'!Tnet-t)/('2026'!Tau_j))),Resal+(Salim-Resal)*(1-EXP((Tnet-t)/(Tau_j))))*Salcycl</f>
        <v>5.6242215348303357E-2</v>
      </c>
      <c r="P168" s="169">
        <f>(INDEX(Models!$BJ168:$BT168,,T168)*(1-R168)+INDEX(Models!$BJ168:$BT168,,T168+1)*R168-ERP_i)*Q168*Ramure*Pc/MaxiM</f>
        <v>2.5016159707252498E-3</v>
      </c>
      <c r="Q168" s="305">
        <f t="shared" si="53"/>
        <v>0.7</v>
      </c>
      <c r="R168" s="177">
        <f t="shared" si="54"/>
        <v>0.18900978059686424</v>
      </c>
      <c r="S168" s="921">
        <f t="shared" si="55"/>
        <v>-1</v>
      </c>
      <c r="T168" s="176">
        <f t="shared" si="56"/>
        <v>5</v>
      </c>
      <c r="U168" s="251">
        <f t="shared" si="57"/>
        <v>-0.81099021940313576</v>
      </c>
      <c r="V168" s="383">
        <f t="shared" si="58"/>
        <v>52.149426029590487</v>
      </c>
      <c r="W168" s="402">
        <f t="shared" si="59"/>
        <v>49.718538644168355</v>
      </c>
      <c r="X168" s="157">
        <f t="shared" si="60"/>
        <v>46541</v>
      </c>
      <c r="Y168" s="385">
        <f t="shared" si="61"/>
        <v>46.652873732637175</v>
      </c>
      <c r="Z168" s="385">
        <f t="shared" si="62"/>
        <v>50.147566186358901</v>
      </c>
      <c r="AA168" s="386">
        <f t="shared" si="63"/>
        <v>56.303839846712862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0.10934020978168464</v>
      </c>
      <c r="AD168" s="231">
        <f>(INDEX(Models!$BJ168:$BT168,,AH168)*(1-AF168)+INDEX(Models!$BJ168:$BT168,,AH168+1)*AF168-ERP_i)*AE168*Ramure*Pc/MaxiM</f>
        <v>8.615278402357443E-3</v>
      </c>
      <c r="AE168" s="305">
        <f t="shared" si="65"/>
        <v>0.7</v>
      </c>
      <c r="AF168" s="177">
        <f t="shared" si="66"/>
        <v>0.71399734697084316</v>
      </c>
      <c r="AG168" s="921">
        <f t="shared" si="74"/>
        <v>2</v>
      </c>
      <c r="AH168" s="176">
        <f t="shared" si="67"/>
        <v>8</v>
      </c>
      <c r="AI168" s="225">
        <f t="shared" si="68"/>
        <v>2.7139973469708432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20.591721431728644</v>
      </c>
      <c r="C169" s="955"/>
      <c r="D169" s="393">
        <f t="shared" si="50"/>
        <v>22.134699288482029</v>
      </c>
      <c r="E169" s="385">
        <f t="shared" si="72"/>
        <v>23.457185181446427</v>
      </c>
      <c r="F169" s="385">
        <f t="shared" si="51"/>
        <v>23.465420373046999</v>
      </c>
      <c r="G169" s="110">
        <f t="shared" si="73"/>
        <v>0.394294185165387</v>
      </c>
      <c r="H169" s="414" t="b">
        <f>Wh_hp&gt;='2026'!Maxi_hp</f>
        <v>0</v>
      </c>
      <c r="I169" s="390">
        <f>IF(H169,Wh_hp,'2026'!Maxi_hp)</f>
        <v>57.111684044434135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6.9708552921533773E-2</v>
      </c>
      <c r="M169" s="959"/>
      <c r="N169" s="959"/>
      <c r="O169" s="48">
        <f>IF(t&lt;Tnet,'2026'!Resal+('2026'!Salim-'2026'!Resal)*(1-EXP(('2026'!Tnet-t)/('2026'!Tau_j))),Resal+(Salim-Resal)*(1-EXP((Tnet-t)/(Tau_j))))*Salcycl</f>
        <v>5.6378712225472964E-2</v>
      </c>
      <c r="P169" s="169">
        <f>(INDEX(Models!$BJ169:$BT169,,T169)*(1-R169)+INDEX(Models!$BJ169:$BT169,,T169+1)*R169-ERP_i)*Q169*Ramure*Pc/MaxiM</f>
        <v>2.581170922286974E-3</v>
      </c>
      <c r="Q169" s="305">
        <f t="shared" si="53"/>
        <v>0.7</v>
      </c>
      <c r="R169" s="177">
        <f t="shared" si="54"/>
        <v>0.19406473812652403</v>
      </c>
      <c r="S169" s="921">
        <f t="shared" si="55"/>
        <v>-1</v>
      </c>
      <c r="T169" s="176">
        <f t="shared" si="56"/>
        <v>5</v>
      </c>
      <c r="U169" s="251">
        <f t="shared" si="57"/>
        <v>-0.80593526187347597</v>
      </c>
      <c r="V169" s="383">
        <f t="shared" si="58"/>
        <v>52.107745932046754</v>
      </c>
      <c r="W169" s="402">
        <f t="shared" si="59"/>
        <v>20.591721431728644</v>
      </c>
      <c r="X169" s="157">
        <f t="shared" si="60"/>
        <v>46542</v>
      </c>
      <c r="Y169" s="385">
        <f t="shared" si="61"/>
        <v>19.416841609475505</v>
      </c>
      <c r="Z169" s="385">
        <f t="shared" si="62"/>
        <v>20.871783429217935</v>
      </c>
      <c r="AA169" s="386">
        <f t="shared" si="63"/>
        <v>23.437299820224823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0.10946296760657635</v>
      </c>
      <c r="AD169" s="231">
        <f>(INDEX(Models!$BJ169:$BT169,,AH169)*(1-AF169)+INDEX(Models!$BJ169:$BT169,,AH169+1)*AF169-ERP_i)*AE169*Ramure*Pc/MaxiM</f>
        <v>8.8138754729374953E-3</v>
      </c>
      <c r="AE169" s="305">
        <f t="shared" si="65"/>
        <v>0.7</v>
      </c>
      <c r="AF169" s="177">
        <f t="shared" si="66"/>
        <v>0.71905230450050306</v>
      </c>
      <c r="AG169" s="921">
        <f t="shared" si="74"/>
        <v>2</v>
      </c>
      <c r="AH169" s="176">
        <f t="shared" si="67"/>
        <v>8</v>
      </c>
      <c r="AI169" s="225">
        <f t="shared" si="68"/>
        <v>2.7190523045005031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29.052503649174316</v>
      </c>
      <c r="C170" s="955"/>
      <c r="D170" s="393">
        <f t="shared" si="50"/>
        <v>31.230148442988369</v>
      </c>
      <c r="E170" s="385">
        <f t="shared" ref="E170:E232" si="75">Wh_pvt/(1-Psa)</f>
        <v>33.100834210552719</v>
      </c>
      <c r="F170" s="385">
        <f t="shared" si="51"/>
        <v>33.133309399485633</v>
      </c>
      <c r="G170" s="110">
        <f t="shared" ref="G170:G232" si="76">+Wh_hp/MaxiM</f>
        <v>0.55707984105373698</v>
      </c>
      <c r="H170" s="414" t="b">
        <f>Wh_hp&gt;='2026'!Maxi_hp</f>
        <v>0</v>
      </c>
      <c r="I170" s="390">
        <f>IF(H170,Wh_hp,'2026'!Maxi_hp)</f>
        <v>42.716075181662134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6.9728928691754843E-2</v>
      </c>
      <c r="M170" s="959"/>
      <c r="N170" s="959"/>
      <c r="O170" s="48">
        <f>IF(t&lt;Tnet,'2026'!Resal+('2026'!Salim-'2026'!Resal)*(1-EXP(('2026'!Tnet-t)/('2026'!Tau_j))),Resal+(Salim-Resal)*(1-EXP((Tnet-t)/(Tau_j))))*Salcycl</f>
        <v>5.6514762004637439E-2</v>
      </c>
      <c r="P170" s="169">
        <f>(INDEX(Models!$BJ170:$BT170,,T170)*(1-R170)+INDEX(Models!$BJ170:$BT170,,T170+1)*R170-ERP_i)*Q170*Ramure*Pc/MaxiM</f>
        <v>2.6591050108853223E-3</v>
      </c>
      <c r="Q170" s="305">
        <f t="shared" si="53"/>
        <v>0.7</v>
      </c>
      <c r="R170" s="177">
        <f t="shared" si="54"/>
        <v>0.19914523899679604</v>
      </c>
      <c r="S170" s="921">
        <f t="shared" si="55"/>
        <v>-1</v>
      </c>
      <c r="T170" s="176">
        <f t="shared" si="56"/>
        <v>5</v>
      </c>
      <c r="U170" s="251">
        <f t="shared" si="57"/>
        <v>-0.80085476100320396</v>
      </c>
      <c r="V170" s="383">
        <f t="shared" si="58"/>
        <v>52.063771540288187</v>
      </c>
      <c r="W170" s="402">
        <f t="shared" si="59"/>
        <v>29.052503649174316</v>
      </c>
      <c r="X170" s="157">
        <f t="shared" si="60"/>
        <v>46543</v>
      </c>
      <c r="Y170" s="385">
        <f t="shared" si="61"/>
        <v>27.354119427584507</v>
      </c>
      <c r="Z170" s="385">
        <f t="shared" si="62"/>
        <v>29.404460991263829</v>
      </c>
      <c r="AA170" s="386">
        <f t="shared" si="63"/>
        <v>33.023314369271162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0.10958480234723939</v>
      </c>
      <c r="AD170" s="231">
        <f>(INDEX(Models!$BJ170:$BT170,,AH170)*(1-AF170)+INDEX(Models!$BJ170:$BT170,,AH170+1)*AF170-ERP_i)*AE170*Ramure*Pc/MaxiM</f>
        <v>9.006516840286272E-3</v>
      </c>
      <c r="AE170" s="305">
        <f t="shared" si="65"/>
        <v>0.7</v>
      </c>
      <c r="AF170" s="177">
        <f t="shared" si="66"/>
        <v>0.72413280537077496</v>
      </c>
      <c r="AG170" s="921">
        <f t="shared" si="74"/>
        <v>2</v>
      </c>
      <c r="AH170" s="176">
        <f t="shared" si="67"/>
        <v>8</v>
      </c>
      <c r="AI170" s="225">
        <f t="shared" si="68"/>
        <v>2.724132805370775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43.527523492701491</v>
      </c>
      <c r="C171" s="955"/>
      <c r="D171" s="393">
        <f t="shared" si="50"/>
        <v>46.791175411747119</v>
      </c>
      <c r="E171" s="385">
        <f t="shared" si="75"/>
        <v>49.601093129780978</v>
      </c>
      <c r="F171" s="385">
        <f t="shared" si="51"/>
        <v>49.705347893146055</v>
      </c>
      <c r="G171" s="110">
        <f t="shared" si="76"/>
        <v>0.83625259214941339</v>
      </c>
      <c r="H171" s="414" t="b">
        <f>Wh_hp&gt;='2026'!Maxi_hp</f>
        <v>0</v>
      </c>
      <c r="I171" s="390">
        <f>IF(H171,Wh_hp,'2026'!Maxi_hp)</f>
        <v>56.000265625104696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6.9749304015694236E-2</v>
      </c>
      <c r="M171" s="959"/>
      <c r="N171" s="959"/>
      <c r="O171" s="48">
        <f>IF(t&lt;Tnet,'2026'!Resal+('2026'!Salim-'2026'!Resal)*(1-EXP(('2026'!Tnet-t)/('2026'!Tau_j))),Resal+(Salim-Resal)*(1-EXP((Tnet-t)/(Tau_j))))*Salcycl</f>
        <v>5.6650318384752693E-2</v>
      </c>
      <c r="P171" s="169">
        <f>(INDEX(Models!$BJ171:$BT171,,T171)*(1-R171)+INDEX(Models!$BJ171:$BT171,,T171+1)*R171-ERP_i)*Q171*Ramure*Pc/MaxiM</f>
        <v>2.7351965650421481E-3</v>
      </c>
      <c r="Q171" s="305">
        <f t="shared" si="53"/>
        <v>0.7</v>
      </c>
      <c r="R171" s="177">
        <f t="shared" si="54"/>
        <v>0.20424715754393596</v>
      </c>
      <c r="S171" s="921">
        <f t="shared" si="55"/>
        <v>-1</v>
      </c>
      <c r="T171" s="176">
        <f t="shared" si="56"/>
        <v>5</v>
      </c>
      <c r="U171" s="251">
        <f t="shared" si="57"/>
        <v>-0.79575284245606404</v>
      </c>
      <c r="V171" s="383">
        <f t="shared" si="58"/>
        <v>52.017424247987684</v>
      </c>
      <c r="W171" s="402">
        <f t="shared" si="59"/>
        <v>43.527523492701491</v>
      </c>
      <c r="X171" s="157">
        <f t="shared" si="60"/>
        <v>46544</v>
      </c>
      <c r="Y171" s="385">
        <f t="shared" si="61"/>
        <v>40.875615756860732</v>
      </c>
      <c r="Z171" s="385">
        <f t="shared" si="62"/>
        <v>43.940430180070884</v>
      </c>
      <c r="AA171" s="386">
        <f t="shared" si="63"/>
        <v>49.354945474942227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0.10970562813447578</v>
      </c>
      <c r="AD171" s="231">
        <f>(INDEX(Models!$BJ171:$BT171,,AH171)*(1-AF171)+INDEX(Models!$BJ171:$BT171,,AH171+1)*AF171-ERP_i)*AE171*Ramure*Pc/MaxiM</f>
        <v>9.1930522857491467E-3</v>
      </c>
      <c r="AE171" s="305">
        <f t="shared" si="65"/>
        <v>0.7</v>
      </c>
      <c r="AF171" s="177">
        <f t="shared" si="66"/>
        <v>0.72923472391791488</v>
      </c>
      <c r="AG171" s="921">
        <f t="shared" si="74"/>
        <v>2</v>
      </c>
      <c r="AH171" s="176">
        <f t="shared" si="67"/>
        <v>8</v>
      </c>
      <c r="AI171" s="225">
        <f t="shared" si="68"/>
        <v>2.7292347239179149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25.484448348519628</v>
      </c>
      <c r="C172" s="955"/>
      <c r="D172" s="393">
        <f t="shared" si="50"/>
        <v>27.395847856477456</v>
      </c>
      <c r="E172" s="385">
        <f t="shared" si="75"/>
        <v>29.045188657397674</v>
      </c>
      <c r="F172" s="385">
        <f t="shared" si="51"/>
        <v>29.067398008258881</v>
      </c>
      <c r="G172" s="110">
        <f t="shared" si="76"/>
        <v>0.48937774521121918</v>
      </c>
      <c r="H172" s="414" t="b">
        <f>Wh_hp&gt;='2026'!Maxi_hp</f>
        <v>0</v>
      </c>
      <c r="I172" s="390">
        <f>IF(H172,Wh_hp,'2026'!Maxi_hp)</f>
        <v>55.156942491889488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6.9769678893361831E-2</v>
      </c>
      <c r="M172" s="959"/>
      <c r="N172" s="959"/>
      <c r="O172" s="48">
        <f>IF(t&lt;Tnet,'2026'!Resal+('2026'!Salim-'2026'!Resal)*(1-EXP(('2026'!Tnet-t)/('2026'!Tau_j))),Resal+(Salim-Resal)*(1-EXP((Tnet-t)/(Tau_j))))*Salcycl</f>
        <v>5.678533613174306E-2</v>
      </c>
      <c r="P172" s="169">
        <f>(INDEX(Models!$BJ172:$BT172,,T172)*(1-R172)+INDEX(Models!$BJ172:$BT172,,T172+1)*R172-ERP_i)*Q172*Ramure*Pc/MaxiM</f>
        <v>2.8093319838780398E-3</v>
      </c>
      <c r="Q172" s="305">
        <f t="shared" si="53"/>
        <v>0.7</v>
      </c>
      <c r="R172" s="177">
        <f t="shared" si="54"/>
        <v>0.20936629696176201</v>
      </c>
      <c r="S172" s="921">
        <f t="shared" si="55"/>
        <v>-1</v>
      </c>
      <c r="T172" s="176">
        <f t="shared" si="56"/>
        <v>5</v>
      </c>
      <c r="U172" s="251">
        <f t="shared" si="57"/>
        <v>-0.79063370303823799</v>
      </c>
      <c r="V172" s="383">
        <f t="shared" si="58"/>
        <v>51.968619771441887</v>
      </c>
      <c r="W172" s="402">
        <f t="shared" si="59"/>
        <v>25.484448348519628</v>
      </c>
      <c r="X172" s="157">
        <f t="shared" si="60"/>
        <v>46545</v>
      </c>
      <c r="Y172" s="385">
        <f t="shared" si="61"/>
        <v>24.008405114534842</v>
      </c>
      <c r="Z172" s="385">
        <f t="shared" si="62"/>
        <v>25.80909756411026</v>
      </c>
      <c r="AA172" s="386">
        <f t="shared" si="63"/>
        <v>28.993296877397995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0.10982536159142388</v>
      </c>
      <c r="AD172" s="231">
        <f>(INDEX(Models!$BJ172:$BT172,,AH172)*(1-AF172)+INDEX(Models!$BJ172:$BT172,,AH172+1)*AF172-ERP_i)*AE172*Ramure*Pc/MaxiM</f>
        <v>9.3732895783374907E-3</v>
      </c>
      <c r="AE172" s="305">
        <f t="shared" si="65"/>
        <v>0.7</v>
      </c>
      <c r="AF172" s="177">
        <f t="shared" si="66"/>
        <v>0.73435386333574071</v>
      </c>
      <c r="AG172" s="921">
        <f t="shared" si="74"/>
        <v>2</v>
      </c>
      <c r="AH172" s="176">
        <f t="shared" si="67"/>
        <v>8</v>
      </c>
      <c r="AI172" s="225">
        <f t="shared" si="68"/>
        <v>2.7343538633357407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18.948468037853083</v>
      </c>
      <c r="C173" s="955"/>
      <c r="D173" s="393">
        <f t="shared" si="50"/>
        <v>20.370098283273489</v>
      </c>
      <c r="E173" s="385">
        <f t="shared" si="75"/>
        <v>21.599539108628235</v>
      </c>
      <c r="F173" s="385">
        <f t="shared" si="51"/>
        <v>21.605317499046041</v>
      </c>
      <c r="G173" s="110">
        <f t="shared" si="76"/>
        <v>0.36401997158178551</v>
      </c>
      <c r="H173" s="414" t="b">
        <f>Wh_hp&gt;='2026'!Maxi_hp</f>
        <v>0</v>
      </c>
      <c r="I173" s="390">
        <f>IF(H173,Wh_hp,'2026'!Maxi_hp)</f>
        <v>61.487890344452325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6.9790053324767176E-2</v>
      </c>
      <c r="M173" s="959"/>
      <c r="N173" s="959"/>
      <c r="O173" s="48">
        <f>IF(t&lt;Tnet,'2026'!Resal+('2026'!Salim-'2026'!Resal)*(1-EXP(('2026'!Tnet-t)/('2026'!Tau_j))),Resal+(Salim-Resal)*(1-EXP((Tnet-t)/(Tau_j))))*Salcycl</f>
        <v>5.6919771258620494E-2</v>
      </c>
      <c r="P173" s="169">
        <f>(INDEX(Models!$BJ173:$BT173,,T173)*(1-R173)+INDEX(Models!$BJ173:$BT173,,T173+1)*R173-ERP_i)*Q173*Ramure*Pc/MaxiM</f>
        <v>2.8813963374096658E-3</v>
      </c>
      <c r="Q173" s="305">
        <f t="shared" si="53"/>
        <v>0.7</v>
      </c>
      <c r="R173" s="177">
        <f t="shared" si="54"/>
        <v>0.21449840291502842</v>
      </c>
      <c r="S173" s="921">
        <f t="shared" si="55"/>
        <v>-1</v>
      </c>
      <c r="T173" s="176">
        <f t="shared" si="56"/>
        <v>5</v>
      </c>
      <c r="U173" s="251">
        <f t="shared" si="57"/>
        <v>-0.78550159708497158</v>
      </c>
      <c r="V173" s="383">
        <f t="shared" si="58"/>
        <v>51.917273848758292</v>
      </c>
      <c r="W173" s="402">
        <f t="shared" si="59"/>
        <v>18.948468037853083</v>
      </c>
      <c r="X173" s="157">
        <f t="shared" si="60"/>
        <v>46546</v>
      </c>
      <c r="Y173" s="385">
        <f t="shared" si="61"/>
        <v>17.872033804473578</v>
      </c>
      <c r="Z173" s="385">
        <f t="shared" si="62"/>
        <v>19.2129033540783</v>
      </c>
      <c r="AA173" s="386">
        <f t="shared" si="63"/>
        <v>21.586171739627417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0.10994392216348037</v>
      </c>
      <c r="AD173" s="231">
        <f>(INDEX(Models!$BJ173:$BT173,,AH173)*(1-AF173)+INDEX(Models!$BJ173:$BT173,,AH173+1)*AF173-ERP_i)*AE173*Ramure*Pc/MaxiM</f>
        <v>9.5470394135651025E-3</v>
      </c>
      <c r="AE173" s="305">
        <f t="shared" si="65"/>
        <v>0.7</v>
      </c>
      <c r="AF173" s="177">
        <f t="shared" si="66"/>
        <v>0.73948596928900745</v>
      </c>
      <c r="AG173" s="921">
        <f t="shared" si="74"/>
        <v>2</v>
      </c>
      <c r="AH173" s="176">
        <f t="shared" si="67"/>
        <v>8</v>
      </c>
      <c r="AI173" s="225">
        <f t="shared" si="68"/>
        <v>2.7394859692890074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42.100656099354943</v>
      </c>
      <c r="C174" s="955"/>
      <c r="D174" s="393">
        <f t="shared" si="50"/>
        <v>45.260296756069984</v>
      </c>
      <c r="E174" s="385">
        <f t="shared" si="75"/>
        <v>47.998800200896682</v>
      </c>
      <c r="F174" s="385">
        <f t="shared" si="51"/>
        <v>48.102588383031588</v>
      </c>
      <c r="G174" s="110">
        <f t="shared" si="76"/>
        <v>0.81111633194127564</v>
      </c>
      <c r="H174" s="414" t="b">
        <f>Wh_hp&gt;='2026'!Maxi_hp</f>
        <v>0</v>
      </c>
      <c r="I174" s="390">
        <f>IF(H174,Wh_hp,'2026'!Maxi_hp)</f>
        <v>58.767455716335284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6.9810427309920264E-2</v>
      </c>
      <c r="M174" s="959"/>
      <c r="N174" s="959"/>
      <c r="O174" s="48">
        <f>IF(t&lt;Tnet,'2026'!Resal+('2026'!Salim-'2026'!Resal)*(1-EXP(('2026'!Tnet-t)/('2026'!Tau_j))),Resal+(Salim-Resal)*(1-EXP((Tnet-t)/(Tau_j))))*Salcycl</f>
        <v>5.70535812012972E-2</v>
      </c>
      <c r="P174" s="169">
        <f>(INDEX(Models!$BJ174:$BT174,,T174)*(1-R174)+INDEX(Models!$BJ174:$BT174,,T174+1)*R174-ERP_i)*Q174*Ramure*Pc/MaxiM</f>
        <v>2.9512737430617835E-3</v>
      </c>
      <c r="Q174" s="305">
        <f t="shared" si="53"/>
        <v>0.7</v>
      </c>
      <c r="R174" s="177">
        <f t="shared" si="54"/>
        <v>0.21963917755933426</v>
      </c>
      <c r="S174" s="921">
        <f t="shared" si="55"/>
        <v>-1</v>
      </c>
      <c r="T174" s="176">
        <f t="shared" si="56"/>
        <v>5</v>
      </c>
      <c r="U174" s="251">
        <f t="shared" si="57"/>
        <v>-0.78036082244066574</v>
      </c>
      <c r="V174" s="383">
        <f t="shared" si="58"/>
        <v>51.863302208062031</v>
      </c>
      <c r="W174" s="402">
        <f t="shared" si="59"/>
        <v>42.100656099354943</v>
      </c>
      <c r="X174" s="157">
        <f t="shared" si="60"/>
        <v>46547</v>
      </c>
      <c r="Y174" s="385">
        <f t="shared" si="61"/>
        <v>39.537092422410453</v>
      </c>
      <c r="Z174" s="385">
        <f t="shared" si="62"/>
        <v>42.504338452290312</v>
      </c>
      <c r="AA174" s="386">
        <f t="shared" si="63"/>
        <v>47.760969632446276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0.11006123243747738</v>
      </c>
      <c r="AD174" s="231">
        <f>(INDEX(Models!$BJ174:$BT174,,AH174)*(1-AF174)+INDEX(Models!$BJ174:$BT174,,AH174+1)*AF174-ERP_i)*AE174*Ramure*Pc/MaxiM</f>
        <v>9.7141160775852699E-3</v>
      </c>
      <c r="AE174" s="305">
        <f t="shared" si="65"/>
        <v>0.7</v>
      </c>
      <c r="AF174" s="177">
        <f t="shared" si="66"/>
        <v>0.74462674393331341</v>
      </c>
      <c r="AG174" s="921">
        <f t="shared" si="74"/>
        <v>2</v>
      </c>
      <c r="AH174" s="176">
        <f t="shared" si="67"/>
        <v>8</v>
      </c>
      <c r="AI174" s="225">
        <f t="shared" si="68"/>
        <v>2.7446267439333134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51.550697543108498</v>
      </c>
      <c r="C175" s="955"/>
      <c r="D175" s="393">
        <f t="shared" si="50"/>
        <v>55.420774618371965</v>
      </c>
      <c r="E175" s="385">
        <f t="shared" si="75"/>
        <v>58.782344380669855</v>
      </c>
      <c r="F175" s="385">
        <f t="shared" si="51"/>
        <v>58.959076775124529</v>
      </c>
      <c r="G175" s="110">
        <f t="shared" si="76"/>
        <v>0.99503877041255195</v>
      </c>
      <c r="H175" s="414" t="b">
        <f>Wh_hp&gt;='2026'!Maxi_hp</f>
        <v>0</v>
      </c>
      <c r="I175" s="390">
        <f>IF(H175,Wh_hp,'2026'!Maxi_hp)</f>
        <v>58.960100044628135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6.9830800848830754E-2</v>
      </c>
      <c r="M175" s="959"/>
      <c r="N175" s="959"/>
      <c r="O175" s="48">
        <f>IF(t&lt;Tnet,'2026'!Resal+('2026'!Salim-'2026'!Resal)*(1-EXP(('2026'!Tnet-t)/('2026'!Tau_j))),Resal+(Salim-Resal)*(1-EXP((Tnet-t)/(Tau_j))))*Salcycl</f>
        <v>5.7186724988861043E-2</v>
      </c>
      <c r="P175" s="169">
        <f>(INDEX(Models!$BJ175:$BT175,,T175)*(1-R175)+INDEX(Models!$BJ175:$BT175,,T175+1)*R175-ERP_i)*Q175*Ramure*Pc/MaxiM</f>
        <v>3.0188477474631494E-3</v>
      </c>
      <c r="Q175" s="305">
        <f t="shared" si="53"/>
        <v>0.7</v>
      </c>
      <c r="R175" s="177">
        <f t="shared" si="54"/>
        <v>0.22478429387034582</v>
      </c>
      <c r="S175" s="921">
        <f t="shared" si="55"/>
        <v>-1</v>
      </c>
      <c r="T175" s="176">
        <f t="shared" si="56"/>
        <v>5</v>
      </c>
      <c r="U175" s="251">
        <f t="shared" si="57"/>
        <v>-0.77521570612965418</v>
      </c>
      <c r="V175" s="383">
        <f t="shared" si="58"/>
        <v>51.806620528394028</v>
      </c>
      <c r="W175" s="402">
        <f t="shared" si="59"/>
        <v>51.550697543108498</v>
      </c>
      <c r="X175" s="157">
        <f t="shared" si="60"/>
        <v>46548</v>
      </c>
      <c r="Y175" s="385">
        <f t="shared" si="61"/>
        <v>48.321124266126127</v>
      </c>
      <c r="Z175" s="385">
        <f t="shared" si="62"/>
        <v>51.948746862637272</v>
      </c>
      <c r="AA175" s="386">
        <f t="shared" si="63"/>
        <v>58.381003430842178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0.1101772184478557</v>
      </c>
      <c r="AD175" s="231">
        <f>(INDEX(Models!$BJ175:$BT175,,AH175)*(1-AF175)+INDEX(Models!$BJ175:$BT175,,AH175+1)*AF175-ERP_i)*AE175*Ramure*Pc/MaxiM</f>
        <v>9.8743380840848501E-3</v>
      </c>
      <c r="AE175" s="305">
        <f t="shared" si="65"/>
        <v>0.7</v>
      </c>
      <c r="AF175" s="177">
        <f t="shared" si="66"/>
        <v>0.74977186024432463</v>
      </c>
      <c r="AG175" s="921">
        <f t="shared" si="74"/>
        <v>2</v>
      </c>
      <c r="AH175" s="176">
        <f t="shared" si="67"/>
        <v>8</v>
      </c>
      <c r="AI175" s="225">
        <f t="shared" si="68"/>
        <v>2.7497718602443246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50.148391775359578</v>
      </c>
      <c r="C176" s="955"/>
      <c r="D176" s="393">
        <f t="shared" si="50"/>
        <v>53.914374098458566</v>
      </c>
      <c r="E176" s="385">
        <f t="shared" si="75"/>
        <v>57.192606453441641</v>
      </c>
      <c r="F176" s="385">
        <f t="shared" si="51"/>
        <v>57.361702154559858</v>
      </c>
      <c r="G176" s="110">
        <f t="shared" si="76"/>
        <v>0.96897222317956822</v>
      </c>
      <c r="H176" s="414" t="b">
        <f>Wh_hp&gt;='2026'!Maxi_hp</f>
        <v>0</v>
      </c>
      <c r="I176" s="390">
        <f>IF(H176,Wh_hp,'2026'!Maxi_hp)</f>
        <v>57.368034348642254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6.9851173941508526E-2</v>
      </c>
      <c r="M176" s="959"/>
      <c r="N176" s="959"/>
      <c r="O176" s="48">
        <f>IF(t&lt;Tnet,'2026'!Resal+('2026'!Salim-'2026'!Resal)*(1-EXP(('2026'!Tnet-t)/('2026'!Tau_j))),Resal+(Salim-Resal)*(1-EXP((Tnet-t)/(Tau_j))))*Salcycl</f>
        <v>5.7319163407105043E-2</v>
      </c>
      <c r="P176" s="169">
        <f>(INDEX(Models!$BJ176:$BT176,,T176)*(1-R176)+INDEX(Models!$BJ176:$BT176,,T176+1)*R176-ERP_i)*Q176*Ramure*Pc/MaxiM</f>
        <v>3.0840017090107696E-3</v>
      </c>
      <c r="Q176" s="305">
        <f t="shared" si="53"/>
        <v>0.7</v>
      </c>
      <c r="R176" s="177">
        <f t="shared" si="54"/>
        <v>0.22992941018135737</v>
      </c>
      <c r="S176" s="921">
        <f t="shared" si="55"/>
        <v>-1</v>
      </c>
      <c r="T176" s="176">
        <f t="shared" si="56"/>
        <v>5</v>
      </c>
      <c r="U176" s="251">
        <f t="shared" si="57"/>
        <v>-0.77007058981864263</v>
      </c>
      <c r="V176" s="383">
        <f t="shared" si="58"/>
        <v>51.747144406998373</v>
      </c>
      <c r="W176" s="402">
        <f t="shared" si="59"/>
        <v>50.148391775359578</v>
      </c>
      <c r="X176" s="157">
        <f t="shared" si="60"/>
        <v>46549</v>
      </c>
      <c r="Y176" s="385">
        <f t="shared" si="61"/>
        <v>47.015308699288965</v>
      </c>
      <c r="Z176" s="385">
        <f t="shared" si="62"/>
        <v>50.546006598230612</v>
      </c>
      <c r="AA176" s="386">
        <f t="shared" si="63"/>
        <v>56.811893117890833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0.11029180996763881</v>
      </c>
      <c r="AD176" s="231">
        <f>(INDEX(Models!$BJ176:$BT176,,AH176)*(1-AF176)+INDEX(Models!$BJ176:$BT176,,AH176+1)*AF176-ERP_i)*AE176*Ramure*Pc/MaxiM</f>
        <v>1.002752877514849E-2</v>
      </c>
      <c r="AE176" s="305">
        <f t="shared" si="65"/>
        <v>0.7</v>
      </c>
      <c r="AF176" s="177">
        <f t="shared" si="66"/>
        <v>0.75491697655533629</v>
      </c>
      <c r="AG176" s="921">
        <f t="shared" si="74"/>
        <v>2</v>
      </c>
      <c r="AH176" s="176">
        <f t="shared" si="67"/>
        <v>8</v>
      </c>
      <c r="AI176" s="225">
        <f t="shared" si="68"/>
        <v>2.7549169765553363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38.440098995614264</v>
      </c>
      <c r="C177" s="955"/>
      <c r="D177" s="393">
        <f t="shared" si="50"/>
        <v>41.327731513429704</v>
      </c>
      <c r="E177" s="385">
        <f t="shared" si="75"/>
        <v>43.846765884631971</v>
      </c>
      <c r="F177" s="385">
        <f t="shared" si="51"/>
        <v>43.934404106898803</v>
      </c>
      <c r="G177" s="110">
        <f t="shared" si="76"/>
        <v>0.74289097907481949</v>
      </c>
      <c r="H177" s="414" t="b">
        <f>Wh_hp&gt;='2026'!Maxi_hp</f>
        <v>0</v>
      </c>
      <c r="I177" s="390">
        <f>IF(H177,Wh_hp,'2026'!Maxi_hp)</f>
        <v>53.061432092137871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6.987154658796324E-2</v>
      </c>
      <c r="M177" s="959"/>
      <c r="N177" s="959"/>
      <c r="O177" s="48">
        <f>IF(t&lt;Tnet,'2026'!Resal+('2026'!Salim-'2026'!Resal)*(1-EXP(('2026'!Tnet-t)/('2026'!Tau_j))),Resal+(Salim-Resal)*(1-EXP((Tnet-t)/(Tau_j))))*Salcycl</f>
        <v>5.7450859154133754E-2</v>
      </c>
      <c r="P177" s="169">
        <f>(INDEX(Models!$BJ177:$BT177,,T177)*(1-R177)+INDEX(Models!$BJ177:$BT177,,T177+1)*R177-ERP_i)*Q177*Ramure*Pc/MaxiM</f>
        <v>3.1466545118710551E-3</v>
      </c>
      <c r="Q177" s="305">
        <f t="shared" si="53"/>
        <v>0.7</v>
      </c>
      <c r="R177" s="177">
        <f t="shared" si="54"/>
        <v>0.23507018482566333</v>
      </c>
      <c r="S177" s="921">
        <f t="shared" si="55"/>
        <v>-1</v>
      </c>
      <c r="T177" s="176">
        <f t="shared" si="56"/>
        <v>5</v>
      </c>
      <c r="U177" s="251">
        <f t="shared" si="57"/>
        <v>-0.76492981517433667</v>
      </c>
      <c r="V177" s="383">
        <f t="shared" si="58"/>
        <v>51.684207120475492</v>
      </c>
      <c r="W177" s="402">
        <f t="shared" si="59"/>
        <v>38.440098995614264</v>
      </c>
      <c r="X177" s="157">
        <f t="shared" si="60"/>
        <v>46550</v>
      </c>
      <c r="Y177" s="385">
        <f t="shared" si="61"/>
        <v>36.118528266356968</v>
      </c>
      <c r="Z177" s="385">
        <f t="shared" si="62"/>
        <v>38.831763649269696</v>
      </c>
      <c r="AA177" s="386">
        <f t="shared" si="63"/>
        <v>43.651055889866321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0.11040494078209528</v>
      </c>
      <c r="AD177" s="231">
        <f>(INDEX(Models!$BJ177:$BT177,,AH177)*(1-AF177)+INDEX(Models!$BJ177:$BT177,,AH177+1)*AF177-ERP_i)*AE177*Ramure*Pc/MaxiM</f>
        <v>1.0173631122288496E-2</v>
      </c>
      <c r="AE177" s="305">
        <f t="shared" si="65"/>
        <v>0.7</v>
      </c>
      <c r="AF177" s="177">
        <f t="shared" si="66"/>
        <v>0.76005775119964225</v>
      </c>
      <c r="AG177" s="921">
        <f t="shared" si="74"/>
        <v>2</v>
      </c>
      <c r="AH177" s="176">
        <f t="shared" si="67"/>
        <v>8</v>
      </c>
      <c r="AI177" s="225">
        <f t="shared" si="68"/>
        <v>2.7600577511996423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47.223270479613973</v>
      </c>
      <c r="C178" s="955"/>
      <c r="D178" s="393">
        <f t="shared" si="50"/>
        <v>50.771809678385907</v>
      </c>
      <c r="E178" s="385">
        <f t="shared" si="75"/>
        <v>53.873968519049868</v>
      </c>
      <c r="F178" s="385">
        <f t="shared" si="51"/>
        <v>54.02608619369844</v>
      </c>
      <c r="G178" s="110">
        <f t="shared" si="76"/>
        <v>0.91451135707070119</v>
      </c>
      <c r="H178" s="414" t="b">
        <f>Wh_hp&gt;='2026'!Maxi_hp</f>
        <v>0</v>
      </c>
      <c r="I178" s="390">
        <f>IF(H178,Wh_hp,'2026'!Maxi_hp)</f>
        <v>61.924411785677407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6.9891918788204666E-2</v>
      </c>
      <c r="M178" s="959"/>
      <c r="N178" s="959"/>
      <c r="O178" s="48">
        <f>IF(t&lt;Tnet,'2026'!Resal+('2026'!Salim-'2026'!Resal)*(1-EXP(('2026'!Tnet-t)/('2026'!Tau_j))),Resal+(Salim-Resal)*(1-EXP((Tnet-t)/(Tau_j))))*Salcycl</f>
        <v>5.758177698691417E-2</v>
      </c>
      <c r="P178" s="169">
        <f>(INDEX(Models!$BJ178:$BT178,,T178)*(1-R178)+INDEX(Models!$BJ178:$BT178,,T178+1)*R178-ERP_i)*Q178*Ramure*Pc/MaxiM</f>
        <v>3.2054691713181934E-3</v>
      </c>
      <c r="Q178" s="305">
        <f t="shared" si="53"/>
        <v>0.7</v>
      </c>
      <c r="R178" s="177">
        <f t="shared" si="54"/>
        <v>0.24020229077892985</v>
      </c>
      <c r="S178" s="921">
        <f t="shared" si="55"/>
        <v>-1</v>
      </c>
      <c r="T178" s="176">
        <f t="shared" si="56"/>
        <v>5</v>
      </c>
      <c r="U178" s="251">
        <f t="shared" si="57"/>
        <v>-0.75979770922107015</v>
      </c>
      <c r="V178" s="383">
        <f t="shared" si="58"/>
        <v>51.61752102201573</v>
      </c>
      <c r="W178" s="402">
        <f t="shared" si="59"/>
        <v>47.223270479613973</v>
      </c>
      <c r="X178" s="157">
        <f t="shared" si="60"/>
        <v>46551</v>
      </c>
      <c r="Y178" s="385">
        <f t="shared" si="61"/>
        <v>44.291861228853286</v>
      </c>
      <c r="Z178" s="385">
        <f t="shared" si="62"/>
        <v>47.620122998122369</v>
      </c>
      <c r="AA178" s="386">
        <f t="shared" si="63"/>
        <v>53.536828528443522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0.1105165489430827</v>
      </c>
      <c r="AD178" s="231">
        <f>(INDEX(Models!$BJ178:$BT178,,AH178)*(1-AF178)+INDEX(Models!$BJ178:$BT178,,AH178+1)*AF178-ERP_i)*AE178*Ramure*Pc/MaxiM</f>
        <v>1.0309783964479522E-2</v>
      </c>
      <c r="AE178" s="305">
        <f t="shared" si="65"/>
        <v>0.7</v>
      </c>
      <c r="AF178" s="177">
        <f t="shared" si="66"/>
        <v>0.76518985715290855</v>
      </c>
      <c r="AG178" s="921">
        <f t="shared" si="74"/>
        <v>2</v>
      </c>
      <c r="AH178" s="176">
        <f t="shared" si="67"/>
        <v>8</v>
      </c>
      <c r="AI178" s="225">
        <f t="shared" si="68"/>
        <v>2.7651898571529085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44.961990283305134</v>
      </c>
      <c r="C179" s="955"/>
      <c r="D179" s="393">
        <f t="shared" si="50"/>
        <v>48.341666948290339</v>
      </c>
      <c r="E179" s="385">
        <f t="shared" si="75"/>
        <v>51.302426635920334</v>
      </c>
      <c r="F179" s="385">
        <f t="shared" si="51"/>
        <v>51.439569625916214</v>
      </c>
      <c r="G179" s="110">
        <f t="shared" si="76"/>
        <v>0.87172463273273293</v>
      </c>
      <c r="H179" s="414" t="b">
        <f>Wh_hp&gt;='2026'!Maxi_hp</f>
        <v>0</v>
      </c>
      <c r="I179" s="390">
        <f>IF(H179,Wh_hp,'2026'!Maxi_hp)</f>
        <v>57.572810186062441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6.9912290542242683E-2</v>
      </c>
      <c r="M179" s="959"/>
      <c r="N179" s="959"/>
      <c r="O179" s="48">
        <f>IF(t&lt;Tnet,'2026'!Resal+('2026'!Salim-'2026'!Resal)*(1-EXP(('2026'!Tnet-t)/('2026'!Tau_j))),Resal+(Salim-Resal)*(1-EXP((Tnet-t)/(Tau_j))))*Salcycl</f>
        <v>5.7711883857691999E-2</v>
      </c>
      <c r="P179" s="169">
        <f>(INDEX(Models!$BJ179:$BT179,,T179)*(1-R179)+INDEX(Models!$BJ179:$BT179,,T179+1)*R179-ERP_i)*Q179*Ramure*Pc/MaxiM</f>
        <v>3.2613107025602707E-3</v>
      </c>
      <c r="Q179" s="305">
        <f t="shared" si="53"/>
        <v>0.7</v>
      </c>
      <c r="R179" s="177">
        <f t="shared" si="54"/>
        <v>0.24532143019675567</v>
      </c>
      <c r="S179" s="921">
        <f t="shared" si="55"/>
        <v>-1</v>
      </c>
      <c r="T179" s="176">
        <f t="shared" si="56"/>
        <v>5</v>
      </c>
      <c r="U179" s="251">
        <f t="shared" si="57"/>
        <v>-0.75467856980324433</v>
      </c>
      <c r="V179" s="383">
        <f t="shared" si="58"/>
        <v>51.547421234718669</v>
      </c>
      <c r="W179" s="402">
        <f t="shared" si="59"/>
        <v>44.961990283305134</v>
      </c>
      <c r="X179" s="157">
        <f t="shared" si="60"/>
        <v>46552</v>
      </c>
      <c r="Y179" s="385">
        <f t="shared" si="61"/>
        <v>42.18747772908231</v>
      </c>
      <c r="Z179" s="385">
        <f t="shared" si="62"/>
        <v>45.358601452413211</v>
      </c>
      <c r="AA179" s="386">
        <f t="shared" si="63"/>
        <v>51.000626148151468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0.11062657700218752</v>
      </c>
      <c r="AD179" s="231">
        <f>(INDEX(Models!$BJ179:$BT179,,AH179)*(1-AF179)+INDEX(Models!$BJ179:$BT179,,AH179+1)*AF179-ERP_i)*AE179*Ramure*Pc/MaxiM</f>
        <v>1.0438237214284652E-2</v>
      </c>
      <c r="AE179" s="305">
        <f t="shared" si="65"/>
        <v>0.7</v>
      </c>
      <c r="AF179" s="177">
        <f t="shared" si="66"/>
        <v>0.77030899657073482</v>
      </c>
      <c r="AG179" s="921">
        <f t="shared" si="74"/>
        <v>2</v>
      </c>
      <c r="AH179" s="176">
        <f t="shared" si="67"/>
        <v>8</v>
      </c>
      <c r="AI179" s="225">
        <f t="shared" si="68"/>
        <v>2.7703089965707348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48.270452392663785</v>
      </c>
      <c r="C180" s="955"/>
      <c r="D180" s="393">
        <f t="shared" si="50"/>
        <v>51.899954350276637</v>
      </c>
      <c r="E180" s="385">
        <f t="shared" si="75"/>
        <v>55.086203666561204</v>
      </c>
      <c r="F180" s="385">
        <f t="shared" si="51"/>
        <v>55.253032985423154</v>
      </c>
      <c r="G180" s="110">
        <f t="shared" si="76"/>
        <v>0.93748124139081368</v>
      </c>
      <c r="H180" s="414" t="b">
        <f>Wh_hp&gt;='2026'!Maxi_hp</f>
        <v>0</v>
      </c>
      <c r="I180" s="390">
        <f>IF(H180,Wh_hp,'2026'!Maxi_hp)</f>
        <v>55.266002789326365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6.9932661850087063E-2</v>
      </c>
      <c r="M180" s="959"/>
      <c r="N180" s="959"/>
      <c r="O180" s="48">
        <f>IF(t&lt;Tnet,'2026'!Resal+('2026'!Salim-'2026'!Resal)*(1-EXP(('2026'!Tnet-t)/('2026'!Tau_j))),Resal+(Salim-Resal)*(1-EXP((Tnet-t)/(Tau_j))))*Salcycl</f>
        <v>5.7841149039259361E-2</v>
      </c>
      <c r="P180" s="169">
        <f>(INDEX(Models!$BJ180:$BT180,,T180)*(1-R180)+INDEX(Models!$BJ180:$BT180,,T180+1)*R180-ERP_i)*Q180*Ramure*Pc/MaxiM</f>
        <v>3.3140426967141457E-3</v>
      </c>
      <c r="Q180" s="305">
        <f t="shared" si="53"/>
        <v>0.7</v>
      </c>
      <c r="R180" s="177">
        <f t="shared" si="54"/>
        <v>0.25042334874389582</v>
      </c>
      <c r="S180" s="921">
        <f t="shared" si="55"/>
        <v>-1</v>
      </c>
      <c r="T180" s="176">
        <f t="shared" si="56"/>
        <v>5</v>
      </c>
      <c r="U180" s="251">
        <f t="shared" si="57"/>
        <v>-0.74957665125610418</v>
      </c>
      <c r="V180" s="383">
        <f t="shared" si="58"/>
        <v>51.474294282090035</v>
      </c>
      <c r="W180" s="402">
        <f t="shared" si="59"/>
        <v>48.270452392663785</v>
      </c>
      <c r="X180" s="157">
        <f t="shared" si="60"/>
        <v>46553</v>
      </c>
      <c r="Y180" s="385">
        <f t="shared" si="61"/>
        <v>45.258862829866814</v>
      </c>
      <c r="Z180" s="385">
        <f t="shared" si="62"/>
        <v>48.661920458249405</v>
      </c>
      <c r="AA180" s="386">
        <f t="shared" si="63"/>
        <v>54.721504768697997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0.11073497222091781</v>
      </c>
      <c r="AD180" s="231">
        <f>(INDEX(Models!$BJ180:$BT180,,AH180)*(1-AF180)+INDEX(Models!$BJ180:$BT180,,AH180+1)*AF180-ERP_i)*AE180*Ramure*Pc/MaxiM</f>
        <v>1.0558738816126154E-2</v>
      </c>
      <c r="AE180" s="305">
        <f t="shared" si="65"/>
        <v>0.7</v>
      </c>
      <c r="AF180" s="177">
        <f t="shared" si="66"/>
        <v>0.77541091511787474</v>
      </c>
      <c r="AG180" s="921">
        <f t="shared" si="74"/>
        <v>2</v>
      </c>
      <c r="AH180" s="176">
        <f t="shared" si="67"/>
        <v>8</v>
      </c>
      <c r="AI180" s="225">
        <f t="shared" si="68"/>
        <v>2.7754109151178747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46.844582787078743</v>
      </c>
      <c r="C181" s="955"/>
      <c r="D181" s="393">
        <f t="shared" si="50"/>
        <v>50.367975419202722</v>
      </c>
      <c r="E181" s="385">
        <f t="shared" si="75"/>
        <v>53.467459688941432</v>
      </c>
      <c r="F181" s="385">
        <f t="shared" si="51"/>
        <v>53.624999139801709</v>
      </c>
      <c r="G181" s="110">
        <f t="shared" si="76"/>
        <v>0.9110101869649303</v>
      </c>
      <c r="H181" s="414" t="b">
        <f>Wh_hp&gt;='2026'!Maxi_hp</f>
        <v>0</v>
      </c>
      <c r="I181" s="390">
        <f>IF(H181,Wh_hp,'2026'!Maxi_hp)</f>
        <v>59.636866753529013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6.9953032711747465E-2</v>
      </c>
      <c r="M181" s="959"/>
      <c r="N181" s="959"/>
      <c r="O181" s="48">
        <f>IF(t&lt;Tnet,'2026'!Resal+('2026'!Salim-'2026'!Resal)*(1-EXP(('2026'!Tnet-t)/('2026'!Tau_j))),Resal+(Salim-Resal)*(1-EXP((Tnet-t)/(Tau_j))))*Salcycl</f>
        <v>5.7969544238133483E-2</v>
      </c>
      <c r="P181" s="169">
        <f>(INDEX(Models!$BJ181:$BT181,,T181)*(1-R181)+INDEX(Models!$BJ181:$BT181,,T181+1)*R181-ERP_i)*Q181*Ramure*Pc/MaxiM</f>
        <v>3.3635284346704253E-3</v>
      </c>
      <c r="Q181" s="305">
        <f t="shared" si="53"/>
        <v>0.7</v>
      </c>
      <c r="R181" s="177">
        <f t="shared" si="54"/>
        <v>0.25550384961416772</v>
      </c>
      <c r="S181" s="921">
        <f t="shared" si="55"/>
        <v>-1</v>
      </c>
      <c r="T181" s="176">
        <f t="shared" si="56"/>
        <v>5</v>
      </c>
      <c r="U181" s="251">
        <f t="shared" si="57"/>
        <v>-0.74449615038583228</v>
      </c>
      <c r="V181" s="383">
        <f t="shared" si="58"/>
        <v>51.398526121948052</v>
      </c>
      <c r="W181" s="402">
        <f t="shared" si="59"/>
        <v>46.844582787078743</v>
      </c>
      <c r="X181" s="157">
        <f t="shared" si="60"/>
        <v>46554</v>
      </c>
      <c r="Y181" s="385">
        <f t="shared" si="61"/>
        <v>43.932356715185286</v>
      </c>
      <c r="Z181" s="385">
        <f t="shared" si="62"/>
        <v>47.236707672171988</v>
      </c>
      <c r="AA181" s="386">
        <f t="shared" si="63"/>
        <v>53.125193757513365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0.1108416867563627</v>
      </c>
      <c r="AD181" s="231">
        <f>(INDEX(Models!$BJ181:$BT181,,AH181)*(1-AF181)+INDEX(Models!$BJ181:$BT181,,AH181+1)*AF181-ERP_i)*AE181*Ramure*Pc/MaxiM</f>
        <v>1.0671038942614742E-2</v>
      </c>
      <c r="AE181" s="305">
        <f t="shared" si="65"/>
        <v>0.7</v>
      </c>
      <c r="AF181" s="177">
        <f t="shared" si="66"/>
        <v>0.78049141598814664</v>
      </c>
      <c r="AG181" s="921">
        <f t="shared" si="74"/>
        <v>2</v>
      </c>
      <c r="AH181" s="176">
        <f t="shared" si="67"/>
        <v>8</v>
      </c>
      <c r="AI181" s="225">
        <f t="shared" si="68"/>
        <v>2.7804914159881466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47.457151199711276</v>
      </c>
      <c r="C182" s="955"/>
      <c r="D182" s="393">
        <f t="shared" si="50"/>
        <v>51.027735507013375</v>
      </c>
      <c r="E182" s="385">
        <f t="shared" si="75"/>
        <v>54.175151660187169</v>
      </c>
      <c r="F182" s="385">
        <f t="shared" si="51"/>
        <v>54.340507393836923</v>
      </c>
      <c r="G182" s="110">
        <f t="shared" si="76"/>
        <v>0.92438099220908398</v>
      </c>
      <c r="H182" s="414" t="b">
        <f>Wh_hp&gt;='2026'!Maxi_hp</f>
        <v>0</v>
      </c>
      <c r="I182" s="390">
        <f>IF(H182,Wh_hp,'2026'!Maxi_hp)</f>
        <v>58.647204437041879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6.9973403127233658E-2</v>
      </c>
      <c r="M182" s="959"/>
      <c r="N182" s="959"/>
      <c r="O182" s="48">
        <f>IF(t&lt;Tnet,'2026'!Resal+('2026'!Salim-'2026'!Resal)*(1-EXP(('2026'!Tnet-t)/('2026'!Tau_j))),Resal+(Salim-Resal)*(1-EXP((Tnet-t)/(Tau_j))))*Salcycl</f>
        <v>5.8097043694790414E-2</v>
      </c>
      <c r="P182" s="169">
        <f>(INDEX(Models!$BJ182:$BT182,,T182)*(1-R182)+INDEX(Models!$BJ182:$BT182,,T182+1)*R182-ERP_i)*Q182*Ramure*Pc/MaxiM</f>
        <v>3.4096314208346078E-3</v>
      </c>
      <c r="Q182" s="305">
        <f t="shared" si="53"/>
        <v>0.7</v>
      </c>
      <c r="R182" s="177">
        <f t="shared" si="54"/>
        <v>0.2605588071438274</v>
      </c>
      <c r="S182" s="921">
        <f t="shared" si="55"/>
        <v>-1</v>
      </c>
      <c r="T182" s="176">
        <f t="shared" si="56"/>
        <v>5</v>
      </c>
      <c r="U182" s="251">
        <f t="shared" si="57"/>
        <v>-0.7394411928561726</v>
      </c>
      <c r="V182" s="383">
        <f t="shared" si="58"/>
        <v>51.320502131650414</v>
      </c>
      <c r="W182" s="402">
        <f t="shared" si="59"/>
        <v>47.457151199711276</v>
      </c>
      <c r="X182" s="157">
        <f t="shared" si="60"/>
        <v>46555</v>
      </c>
      <c r="Y182" s="385">
        <f t="shared" si="61"/>
        <v>44.49901715762433</v>
      </c>
      <c r="Z182" s="385">
        <f t="shared" si="62"/>
        <v>47.847037178563703</v>
      </c>
      <c r="AA182" s="386">
        <f t="shared" si="63"/>
        <v>53.817961178401944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0.11094667782090696</v>
      </c>
      <c r="AD182" s="231">
        <f>(INDEX(Models!$BJ182:$BT182,,AH182)*(1-AF182)+INDEX(Models!$BJ182:$BT182,,AH182+1)*AF182-ERP_i)*AE182*Ramure*Pc/MaxiM</f>
        <v>1.0774890931567071E-2</v>
      </c>
      <c r="AE182" s="305">
        <f t="shared" si="65"/>
        <v>0.7</v>
      </c>
      <c r="AF182" s="177">
        <f t="shared" si="66"/>
        <v>0.78554637351780654</v>
      </c>
      <c r="AG182" s="921">
        <f t="shared" si="74"/>
        <v>2</v>
      </c>
      <c r="AH182" s="176">
        <f t="shared" si="67"/>
        <v>8</v>
      </c>
      <c r="AI182" s="225">
        <f t="shared" si="68"/>
        <v>2.7855463735178065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49.057203131658028</v>
      </c>
      <c r="C183" s="955"/>
      <c r="D183" s="393">
        <f t="shared" si="50"/>
        <v>52.749327598589581</v>
      </c>
      <c r="E183" s="385">
        <f t="shared" si="75"/>
        <v>56.010459550668315</v>
      </c>
      <c r="F183" s="385">
        <f t="shared" si="51"/>
        <v>56.192640056272808</v>
      </c>
      <c r="G183" s="110">
        <f t="shared" si="76"/>
        <v>0.95718734126667082</v>
      </c>
      <c r="H183" s="414" t="b">
        <f>Wh_hp&gt;='2026'!Maxi_hp</f>
        <v>0</v>
      </c>
      <c r="I183" s="390">
        <f>IF(H183,Wh_hp,'2026'!Maxi_hp)</f>
        <v>56.677985927992459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6.9993773096555523E-2</v>
      </c>
      <c r="M183" s="959"/>
      <c r="N183" s="959"/>
      <c r="O183" s="48">
        <f>IF(t&lt;Tnet,'2026'!Resal+('2026'!Salim-'2026'!Resal)*(1-EXP(('2026'!Tnet-t)/('2026'!Tau_j))),Resal+(Salim-Resal)*(1-EXP((Tnet-t)/(Tau_j))))*Salcycl</f>
        <v>5.8223624270189164E-2</v>
      </c>
      <c r="P183" s="169">
        <f>(INDEX(Models!$BJ183:$BT183,,T183)*(1-R183)+INDEX(Models!$BJ183:$BT183,,T183+1)*R183-ERP_i)*Q183*Ramure*Pc/MaxiM</f>
        <v>3.4522159145805422E-3</v>
      </c>
      <c r="Q183" s="305">
        <f t="shared" si="53"/>
        <v>0.7</v>
      </c>
      <c r="R183" s="177">
        <f t="shared" si="54"/>
        <v>0.2655841799260994</v>
      </c>
      <c r="S183" s="921">
        <f t="shared" si="55"/>
        <v>-1</v>
      </c>
      <c r="T183" s="176">
        <f t="shared" si="56"/>
        <v>5</v>
      </c>
      <c r="U183" s="251">
        <f t="shared" si="57"/>
        <v>-0.7344158200739006</v>
      </c>
      <c r="V183" s="383">
        <f t="shared" si="58"/>
        <v>51.240607082324928</v>
      </c>
      <c r="W183" s="402">
        <f t="shared" si="59"/>
        <v>49.057203131658028</v>
      </c>
      <c r="X183" s="157">
        <f t="shared" si="60"/>
        <v>46556</v>
      </c>
      <c r="Y183" s="385">
        <f t="shared" si="61"/>
        <v>45.981851233678853</v>
      </c>
      <c r="Z183" s="385">
        <f t="shared" si="62"/>
        <v>49.442519741809001</v>
      </c>
      <c r="AA183" s="386">
        <f t="shared" si="63"/>
        <v>55.619005134775421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0.11104990781477701</v>
      </c>
      <c r="AD183" s="231">
        <f>(INDEX(Models!$BJ183:$BT183,,AH183)*(1-AF183)+INDEX(Models!$BJ183:$BT183,,AH183+1)*AF183-ERP_i)*AE183*Ramure*Pc/MaxiM</f>
        <v>1.0870052196757164E-2</v>
      </c>
      <c r="AE183" s="305">
        <f t="shared" si="65"/>
        <v>0.7</v>
      </c>
      <c r="AF183" s="177">
        <f t="shared" si="66"/>
        <v>0.79057174630007854</v>
      </c>
      <c r="AG183" s="921">
        <f t="shared" si="74"/>
        <v>2</v>
      </c>
      <c r="AH183" s="176">
        <f t="shared" si="67"/>
        <v>8</v>
      </c>
      <c r="AI183" s="225">
        <f t="shared" si="68"/>
        <v>2.7905717463000785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50.090149045260667</v>
      </c>
      <c r="C184" s="955"/>
      <c r="D184" s="393">
        <f t="shared" si="50"/>
        <v>53.861194391022309</v>
      </c>
      <c r="E184" s="385">
        <f t="shared" si="75"/>
        <v>57.198696309249677</v>
      </c>
      <c r="F184" s="385">
        <f t="shared" si="51"/>
        <v>57.393010731200711</v>
      </c>
      <c r="G184" s="110">
        <f t="shared" si="76"/>
        <v>0.97899935231802215</v>
      </c>
      <c r="H184" s="414" t="b">
        <f>Wh_hp&gt;='2026'!Maxi_hp</f>
        <v>0</v>
      </c>
      <c r="I184" s="390">
        <f>IF(H184,Wh_hp,'2026'!Maxi_hp)</f>
        <v>57.397690921112854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7.0014142619722719E-2</v>
      </c>
      <c r="M184" s="959"/>
      <c r="N184" s="959"/>
      <c r="O184" s="48">
        <f>IF(t&lt;Tnet,'2026'!Resal+('2026'!Salim-'2026'!Resal)*(1-EXP(('2026'!Tnet-t)/('2026'!Tau_j))),Resal+(Salim-Resal)*(1-EXP((Tnet-t)/(Tau_j))))*Salcycl</f>
        <v>5.8349265517921522E-2</v>
      </c>
      <c r="P184" s="169">
        <f>(INDEX(Models!$BJ184:$BT184,,T184)*(1-R184)+INDEX(Models!$BJ184:$BT184,,T184+1)*R184-ERP_i)*Q184*Ramure*Pc/MaxiM</f>
        <v>3.489869947814298E-3</v>
      </c>
      <c r="Q184" s="305">
        <f t="shared" si="53"/>
        <v>0.7</v>
      </c>
      <c r="R184" s="177">
        <f t="shared" si="54"/>
        <v>0.2705760233405119</v>
      </c>
      <c r="S184" s="921">
        <f t="shared" si="55"/>
        <v>-1</v>
      </c>
      <c r="T184" s="176">
        <f t="shared" si="56"/>
        <v>5</v>
      </c>
      <c r="U184" s="251">
        <f t="shared" si="57"/>
        <v>-0.7294239766594881</v>
      </c>
      <c r="V184" s="383">
        <f t="shared" si="58"/>
        <v>51.159290712378088</v>
      </c>
      <c r="W184" s="402">
        <f t="shared" si="59"/>
        <v>50.090149045260667</v>
      </c>
      <c r="X184" s="157">
        <f t="shared" si="60"/>
        <v>46557</v>
      </c>
      <c r="Y184" s="385">
        <f t="shared" si="61"/>
        <v>46.9378810438402</v>
      </c>
      <c r="Z184" s="385">
        <f t="shared" si="62"/>
        <v>50.471607359774069</v>
      </c>
      <c r="AA184" s="386">
        <f t="shared" si="63"/>
        <v>56.78312842519869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0.11115134443039512</v>
      </c>
      <c r="AD184" s="231">
        <f>(INDEX(Models!$BJ184:$BT184,,AH184)*(1-AF184)+INDEX(Models!$BJ184:$BT184,,AH184+1)*AF184-ERP_i)*AE184*Ramure*Pc/MaxiM</f>
        <v>1.0953432637935861E-2</v>
      </c>
      <c r="AE184" s="305">
        <f t="shared" si="65"/>
        <v>0.7</v>
      </c>
      <c r="AF184" s="177">
        <f t="shared" si="66"/>
        <v>0.79556358971449104</v>
      </c>
      <c r="AG184" s="921">
        <f t="shared" si="74"/>
        <v>2</v>
      </c>
      <c r="AH184" s="176">
        <f t="shared" si="67"/>
        <v>8</v>
      </c>
      <c r="AI184" s="225">
        <f t="shared" si="68"/>
        <v>2.795563589714491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31.594611361379272</v>
      </c>
      <c r="C185" s="955"/>
      <c r="D185" s="393">
        <f t="shared" si="50"/>
        <v>33.973961140240185</v>
      </c>
      <c r="E185" s="385">
        <f t="shared" si="75"/>
        <v>36.083931114715263</v>
      </c>
      <c r="F185" s="385">
        <f t="shared" si="51"/>
        <v>36.141906753046527</v>
      </c>
      <c r="G185" s="110">
        <f t="shared" si="76"/>
        <v>0.61738050080795037</v>
      </c>
      <c r="H185" s="414" t="b">
        <f>Wh_hp&gt;='2026'!Maxi_hp</f>
        <v>0</v>
      </c>
      <c r="I185" s="390">
        <f>IF(H185,Wh_hp,'2026'!Maxi_hp)</f>
        <v>50.746590499850917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7.0034511696745128E-2</v>
      </c>
      <c r="M185" s="959"/>
      <c r="N185" s="959"/>
      <c r="O185" s="48">
        <f>IF(t&lt;Tnet,'2026'!Resal+('2026'!Salim-'2026'!Resal)*(1-EXP(('2026'!Tnet-t)/('2026'!Tau_j))),Resal+(Salim-Resal)*(1-EXP((Tnet-t)/(Tau_j))))*Salcycl</f>
        <v>5.8473949741429859E-2</v>
      </c>
      <c r="P185" s="169">
        <f>(INDEX(Models!$BJ185:$BT185,,T185)*(1-R185)+INDEX(Models!$BJ185:$BT185,,T185+1)*R185-ERP_i)*Q185*Ramure*Pc/MaxiM</f>
        <v>3.524739489790968E-3</v>
      </c>
      <c r="Q185" s="305">
        <f t="shared" si="53"/>
        <v>0.7</v>
      </c>
      <c r="R185" s="177">
        <f t="shared" si="54"/>
        <v>0.27553050141759416</v>
      </c>
      <c r="S185" s="921">
        <f t="shared" si="55"/>
        <v>-1</v>
      </c>
      <c r="T185" s="176">
        <f t="shared" si="56"/>
        <v>5</v>
      </c>
      <c r="U185" s="251">
        <f t="shared" si="57"/>
        <v>-0.72446949858240584</v>
      </c>
      <c r="V185" s="383">
        <f t="shared" si="58"/>
        <v>51.076819433483656</v>
      </c>
      <c r="W185" s="402">
        <f t="shared" si="59"/>
        <v>31.594611361379272</v>
      </c>
      <c r="X185" s="157">
        <f t="shared" si="60"/>
        <v>46558</v>
      </c>
      <c r="Y185" s="385">
        <f t="shared" si="61"/>
        <v>29.721548625438817</v>
      </c>
      <c r="Z185" s="385">
        <f t="shared" si="62"/>
        <v>31.95984044490352</v>
      </c>
      <c r="AA185" s="386">
        <f t="shared" si="63"/>
        <v>35.960478191991086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0.11125096072772934</v>
      </c>
      <c r="AD185" s="231">
        <f>(INDEX(Models!$BJ185:$BT185,,AH185)*(1-AF185)+INDEX(Models!$BJ185:$BT185,,AH185+1)*AF185-ERP_i)*AE185*Ramure*Pc/MaxiM</f>
        <v>1.1030295347057881E-2</v>
      </c>
      <c r="AE185" s="305">
        <f t="shared" si="65"/>
        <v>0.7</v>
      </c>
      <c r="AF185" s="177">
        <f t="shared" si="66"/>
        <v>0.80051806779157308</v>
      </c>
      <c r="AG185" s="921">
        <f t="shared" si="74"/>
        <v>2</v>
      </c>
      <c r="AH185" s="176">
        <f t="shared" si="67"/>
        <v>8</v>
      </c>
      <c r="AI185" s="225">
        <f t="shared" si="68"/>
        <v>2.8005180677915731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22.337699547610299</v>
      </c>
      <c r="C186" s="955"/>
      <c r="D186" s="393">
        <f t="shared" si="50"/>
        <v>24.020449244876062</v>
      </c>
      <c r="E186" s="385">
        <f t="shared" si="75"/>
        <v>25.515603983756758</v>
      </c>
      <c r="F186" s="385">
        <f t="shared" si="51"/>
        <v>25.533514162918834</v>
      </c>
      <c r="G186" s="110">
        <f t="shared" si="76"/>
        <v>0.43679766187233149</v>
      </c>
      <c r="H186" s="414" t="b">
        <f>Wh_hp&gt;='2026'!Maxi_hp</f>
        <v>0</v>
      </c>
      <c r="I186" s="390">
        <f>IF(H186,Wh_hp,'2026'!Maxi_hp)</f>
        <v>50.271199376554243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7.0054880327632518E-2</v>
      </c>
      <c r="M186" s="959"/>
      <c r="N186" s="959"/>
      <c r="O186" s="48">
        <f>IF(t&lt;Tnet,'2026'!Resal+('2026'!Salim-'2026'!Resal)*(1-EXP(('2026'!Tnet-t)/('2026'!Tau_j))),Resal+(Salim-Resal)*(1-EXP((Tnet-t)/(Tau_j))))*Salcycl</f>
        <v>5.8597662035847251E-2</v>
      </c>
      <c r="P186" s="169">
        <f>(INDEX(Models!$BJ186:$BT186,,T186)*(1-R186)+INDEX(Models!$BJ186:$BT186,,T186+1)*R186-ERP_i)*Q186*Ramure*Pc/MaxiM</f>
        <v>3.5567484444846572E-3</v>
      </c>
      <c r="Q186" s="305">
        <f t="shared" si="53"/>
        <v>0.7</v>
      </c>
      <c r="R186" s="177">
        <f t="shared" si="54"/>
        <v>0.28044389796722091</v>
      </c>
      <c r="S186" s="921">
        <f t="shared" si="55"/>
        <v>-1</v>
      </c>
      <c r="T186" s="176">
        <f t="shared" si="56"/>
        <v>5</v>
      </c>
      <c r="U186" s="251">
        <f t="shared" si="57"/>
        <v>-0.71955610203277909</v>
      </c>
      <c r="V186" s="383">
        <f t="shared" si="58"/>
        <v>50.993573585618016</v>
      </c>
      <c r="W186" s="402">
        <f t="shared" si="59"/>
        <v>22.337699547610299</v>
      </c>
      <c r="X186" s="157">
        <f t="shared" si="60"/>
        <v>46559</v>
      </c>
      <c r="Y186" s="385">
        <f t="shared" si="61"/>
        <v>21.054624128907868</v>
      </c>
      <c r="Z186" s="385">
        <f t="shared" si="62"/>
        <v>22.640716837490046</v>
      </c>
      <c r="AA186" s="386">
        <f t="shared" si="63"/>
        <v>25.477617299151923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0.11134873518004801</v>
      </c>
      <c r="AD186" s="231">
        <f>(INDEX(Models!$BJ186:$BT186,,AH186)*(1-AF186)+INDEX(Models!$BJ186:$BT186,,AH186+1)*AF186-ERP_i)*AE186*Ramure*Pc/MaxiM</f>
        <v>1.11004519527922E-2</v>
      </c>
      <c r="AE186" s="305">
        <f t="shared" si="65"/>
        <v>0.7</v>
      </c>
      <c r="AF186" s="177">
        <f t="shared" si="66"/>
        <v>0.80543146434119972</v>
      </c>
      <c r="AG186" s="921">
        <f t="shared" si="74"/>
        <v>2</v>
      </c>
      <c r="AH186" s="176">
        <f t="shared" si="67"/>
        <v>8</v>
      </c>
      <c r="AI186" s="225">
        <f t="shared" si="68"/>
        <v>2.8054314643411997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39.444871700752309</v>
      </c>
      <c r="C187" s="955"/>
      <c r="D187" s="393">
        <f t="shared" si="50"/>
        <v>42.41727262087835</v>
      </c>
      <c r="E187" s="385">
        <f t="shared" si="75"/>
        <v>45.063413872350026</v>
      </c>
      <c r="F187" s="385">
        <f t="shared" si="51"/>
        <v>45.17328423993785</v>
      </c>
      <c r="G187" s="110">
        <f t="shared" si="76"/>
        <v>0.77390116057698888</v>
      </c>
      <c r="H187" s="414" t="b">
        <f>Wh_hp&gt;='2026'!Maxi_hp</f>
        <v>0</v>
      </c>
      <c r="I187" s="390">
        <f>IF(H187,Wh_hp,'2026'!Maxi_hp)</f>
        <v>58.651325061036623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7.007524851239455E-2</v>
      </c>
      <c r="M187" s="959"/>
      <c r="N187" s="959"/>
      <c r="O187" s="48">
        <f>IF(t&lt;Tnet,'2026'!Resal+('2026'!Salim-'2026'!Resal)*(1-EXP(('2026'!Tnet-t)/('2026'!Tau_j))),Resal+(Salim-Resal)*(1-EXP((Tnet-t)/(Tau_j))))*Salcycl</f>
        <v>5.8720390314132204E-2</v>
      </c>
      <c r="P187" s="169">
        <f>(INDEX(Models!$BJ187:$BT187,,T187)*(1-R187)+INDEX(Models!$BJ187:$BT187,,T187+1)*R187-ERP_i)*Q187*Ramure*Pc/MaxiM</f>
        <v>3.5858228795859516E-3</v>
      </c>
      <c r="Q187" s="305">
        <f t="shared" si="53"/>
        <v>0.7</v>
      </c>
      <c r="R187" s="177">
        <f t="shared" si="54"/>
        <v>0.28531262690730852</v>
      </c>
      <c r="S187" s="921">
        <f t="shared" si="55"/>
        <v>-1</v>
      </c>
      <c r="T187" s="176">
        <f t="shared" si="56"/>
        <v>5</v>
      </c>
      <c r="U187" s="251">
        <f t="shared" si="57"/>
        <v>-0.71468737309269148</v>
      </c>
      <c r="V187" s="383">
        <f t="shared" si="58"/>
        <v>50.909932912512552</v>
      </c>
      <c r="W187" s="402">
        <f t="shared" si="59"/>
        <v>39.444871700752309</v>
      </c>
      <c r="X187" s="157">
        <f t="shared" si="60"/>
        <v>46560</v>
      </c>
      <c r="Y187" s="385">
        <f t="shared" si="61"/>
        <v>37.043575912840744</v>
      </c>
      <c r="Z187" s="385">
        <f t="shared" si="62"/>
        <v>39.83502520347151</v>
      </c>
      <c r="AA187" s="386">
        <f t="shared" si="63"/>
        <v>44.831225515915719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0.11144465168971318</v>
      </c>
      <c r="AD187" s="231">
        <f>(INDEX(Models!$BJ187:$BT187,,AH187)*(1-AF187)+INDEX(Models!$BJ187:$BT187,,AH187+1)*AF187-ERP_i)*AE187*Ramure*Pc/MaxiM</f>
        <v>1.1163719806253632E-2</v>
      </c>
      <c r="AE187" s="305">
        <f t="shared" si="65"/>
        <v>0.7</v>
      </c>
      <c r="AF187" s="177">
        <f t="shared" si="66"/>
        <v>0.81030019328128766</v>
      </c>
      <c r="AG187" s="921">
        <f t="shared" si="74"/>
        <v>2</v>
      </c>
      <c r="AH187" s="176">
        <f t="shared" si="67"/>
        <v>8</v>
      </c>
      <c r="AI187" s="225">
        <f t="shared" si="68"/>
        <v>2.8103001932812877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39.101659362762177</v>
      </c>
      <c r="C188" s="955"/>
      <c r="D188" s="393">
        <f t="shared" si="50"/>
        <v>42.049118216995346</v>
      </c>
      <c r="E188" s="385">
        <f t="shared" si="75"/>
        <v>44.678070861566454</v>
      </c>
      <c r="F188" s="385">
        <f t="shared" si="51"/>
        <v>44.786525562716349</v>
      </c>
      <c r="G188" s="110">
        <f t="shared" si="76"/>
        <v>0.768401825833539</v>
      </c>
      <c r="H188" s="414" t="b">
        <f>Wh_hp&gt;='2026'!Maxi_hp</f>
        <v>0</v>
      </c>
      <c r="I188" s="390">
        <f>IF(H188,Wh_hp,'2026'!Maxi_hp)</f>
        <v>52.717054573900171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7.0095616251041104E-2</v>
      </c>
      <c r="M188" s="959"/>
      <c r="N188" s="959"/>
      <c r="O188" s="48">
        <f>IF(t&lt;Tnet,'2026'!Resal+('2026'!Salim-'2026'!Resal)*(1-EXP(('2026'!Tnet-t)/('2026'!Tau_j))),Resal+(Salim-Resal)*(1-EXP((Tnet-t)/(Tau_j))))*Salcycl</f>
        <v>5.8842125317291161E-2</v>
      </c>
      <c r="P188" s="169">
        <f>(INDEX(Models!$BJ188:$BT188,,T188)*(1-R188)+INDEX(Models!$BJ188:$BT188,,T188+1)*R188-ERP_i)*Q188*Ramure*Pc/MaxiM</f>
        <v>3.6118543403479888E-3</v>
      </c>
      <c r="Q188" s="305">
        <f t="shared" si="53"/>
        <v>0.7</v>
      </c>
      <c r="R188" s="177">
        <f t="shared" si="54"/>
        <v>0.2901332417385305</v>
      </c>
      <c r="S188" s="921">
        <f t="shared" si="55"/>
        <v>-1</v>
      </c>
      <c r="T188" s="176">
        <f t="shared" si="56"/>
        <v>5</v>
      </c>
      <c r="U188" s="251">
        <f t="shared" si="57"/>
        <v>-0.7098667582614695</v>
      </c>
      <c r="V188" s="383">
        <f t="shared" si="58"/>
        <v>50.826278449220538</v>
      </c>
      <c r="W188" s="402">
        <f t="shared" si="59"/>
        <v>39.101659362762177</v>
      </c>
      <c r="X188" s="157">
        <f t="shared" si="60"/>
        <v>46561</v>
      </c>
      <c r="Y188" s="385">
        <f t="shared" si="61"/>
        <v>36.723570385792478</v>
      </c>
      <c r="Z188" s="385">
        <f t="shared" si="62"/>
        <v>39.491770366475158</v>
      </c>
      <c r="AA188" s="386">
        <f t="shared" si="63"/>
        <v>44.449623576777391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0.11153869957388003</v>
      </c>
      <c r="AD188" s="231">
        <f>(INDEX(Models!$BJ188:$BT188,,AH188)*(1-AF188)+INDEX(Models!$BJ188:$BT188,,AH188+1)*AF188-ERP_i)*AE188*Ramure*Pc/MaxiM</f>
        <v>1.1219807784115814E-2</v>
      </c>
      <c r="AE188" s="305">
        <f t="shared" si="65"/>
        <v>0.7</v>
      </c>
      <c r="AF188" s="177">
        <f t="shared" si="66"/>
        <v>0.8151208081125092</v>
      </c>
      <c r="AG188" s="921">
        <f t="shared" si="74"/>
        <v>2</v>
      </c>
      <c r="AH188" s="176">
        <f t="shared" si="67"/>
        <v>8</v>
      </c>
      <c r="AI188" s="225">
        <f t="shared" si="68"/>
        <v>2.8151208081125092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37.245292745405941</v>
      </c>
      <c r="C189" s="955"/>
      <c r="D189" s="393">
        <f t="shared" si="50"/>
        <v>40.053697113043732</v>
      </c>
      <c r="E189" s="385">
        <f t="shared" si="75"/>
        <v>42.563354235889207</v>
      </c>
      <c r="F189" s="385">
        <f t="shared" si="51"/>
        <v>42.659488620164915</v>
      </c>
      <c r="G189" s="110">
        <f t="shared" si="76"/>
        <v>0.73298267576204801</v>
      </c>
      <c r="H189" s="414" t="b">
        <f>Wh_hp&gt;='2026'!Maxi_hp</f>
        <v>0</v>
      </c>
      <c r="I189" s="390">
        <f>IF(H189,Wh_hp,'2026'!Maxi_hp)</f>
        <v>57.879746381610467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7.011598354358195E-2</v>
      </c>
      <c r="M189" s="959"/>
      <c r="N189" s="959"/>
      <c r="O189" s="48">
        <f>IF(t&lt;Tnet,'2026'!Resal+('2026'!Salim-'2026'!Resal)*(1-EXP(('2026'!Tnet-t)/('2026'!Tau_j))),Resal+(Salim-Resal)*(1-EXP((Tnet-t)/(Tau_j))))*Salcycl</f>
        <v>5.8962860608606414E-2</v>
      </c>
      <c r="P189" s="169">
        <f>(INDEX(Models!$BJ189:$BT189,,T189)*(1-R189)+INDEX(Models!$BJ189:$BT189,,T189+1)*R189-ERP_i)*Q189*Ramure*Pc/MaxiM</f>
        <v>3.6347341112948186E-3</v>
      </c>
      <c r="Q189" s="305">
        <f t="shared" si="53"/>
        <v>0.7</v>
      </c>
      <c r="R189" s="177">
        <f t="shared" si="54"/>
        <v>0.29490244412007283</v>
      </c>
      <c r="S189" s="921">
        <f t="shared" si="55"/>
        <v>-1</v>
      </c>
      <c r="T189" s="176">
        <f t="shared" si="56"/>
        <v>5</v>
      </c>
      <c r="U189" s="251">
        <f t="shared" si="57"/>
        <v>-0.70509755587992717</v>
      </c>
      <c r="V189" s="383">
        <f t="shared" si="58"/>
        <v>50.742990777894654</v>
      </c>
      <c r="W189" s="402">
        <f t="shared" si="59"/>
        <v>37.245292745405941</v>
      </c>
      <c r="X189" s="157">
        <f t="shared" si="60"/>
        <v>46562</v>
      </c>
      <c r="Y189" s="385">
        <f t="shared" si="61"/>
        <v>34.993959128505644</v>
      </c>
      <c r="Z189" s="385">
        <f t="shared" si="62"/>
        <v>37.632606334992047</v>
      </c>
      <c r="AA189" s="386">
        <f t="shared" si="63"/>
        <v>42.361452253651535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0.111630873520203</v>
      </c>
      <c r="AD189" s="231">
        <f>(INDEX(Models!$BJ189:$BT189,,AH189)*(1-AF189)+INDEX(Models!$BJ189:$BT189,,AH189+1)*AF189-ERP_i)*AE189*Ramure*Pc/MaxiM</f>
        <v>1.1268423425542554E-2</v>
      </c>
      <c r="AE189" s="305">
        <f t="shared" si="65"/>
        <v>0.7</v>
      </c>
      <c r="AF189" s="177">
        <f t="shared" si="66"/>
        <v>0.81989001049405186</v>
      </c>
      <c r="AG189" s="921">
        <f t="shared" si="74"/>
        <v>2</v>
      </c>
      <c r="AH189" s="176">
        <f t="shared" si="67"/>
        <v>8</v>
      </c>
      <c r="AI189" s="225">
        <f t="shared" si="68"/>
        <v>2.8198900104940519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31.957095495589563</v>
      </c>
      <c r="C190" s="955"/>
      <c r="D190" s="393">
        <f t="shared" si="50"/>
        <v>34.367507009219914</v>
      </c>
      <c r="E190" s="385">
        <f t="shared" si="75"/>
        <v>36.525530016954242</v>
      </c>
      <c r="F190" s="385">
        <f t="shared" si="51"/>
        <v>36.588719146316521</v>
      </c>
      <c r="G190" s="110">
        <f t="shared" si="76"/>
        <v>0.62959165699751074</v>
      </c>
      <c r="H190" s="414" t="b">
        <f>Wh_hp&gt;='2026'!Maxi_hp</f>
        <v>0</v>
      </c>
      <c r="I190" s="390">
        <f>IF(H190,Wh_hp,'2026'!Maxi_hp)</f>
        <v>56.287194704165557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7.0136350390026747E-2</v>
      </c>
      <c r="M190" s="959"/>
      <c r="N190" s="959"/>
      <c r="O190" s="48">
        <f>IF(t&lt;Tnet,'2026'!Resal+('2026'!Salim-'2026'!Resal)*(1-EXP(('2026'!Tnet-t)/('2026'!Tau_j))),Resal+(Salim-Resal)*(1-EXP((Tnet-t)/(Tau_j))))*Salcycl</f>
        <v>5.9082592551911763E-2</v>
      </c>
      <c r="P190" s="169">
        <f>(INDEX(Models!$BJ190:$BT190,,T190)*(1-R190)+INDEX(Models!$BJ190:$BT190,,T190+1)*R190-ERP_i)*Q190*Ramure*Pc/MaxiM</f>
        <v>3.6543920673430329E-3</v>
      </c>
      <c r="Q190" s="305">
        <f t="shared" si="53"/>
        <v>0.7</v>
      </c>
      <c r="R190" s="177">
        <f t="shared" si="54"/>
        <v>0.29961709151104876</v>
      </c>
      <c r="S190" s="921">
        <f t="shared" si="55"/>
        <v>-1</v>
      </c>
      <c r="T190" s="176">
        <f t="shared" si="56"/>
        <v>5</v>
      </c>
      <c r="U190" s="251">
        <f t="shared" si="57"/>
        <v>-0.70038290848895124</v>
      </c>
      <c r="V190" s="383">
        <f t="shared" si="58"/>
        <v>50.6604480719827</v>
      </c>
      <c r="W190" s="402">
        <f t="shared" si="59"/>
        <v>31.957095495589563</v>
      </c>
      <c r="X190" s="157">
        <f t="shared" si="60"/>
        <v>46563</v>
      </c>
      <c r="Y190" s="385">
        <f t="shared" si="61"/>
        <v>30.059960797940729</v>
      </c>
      <c r="Z190" s="385">
        <f t="shared" si="62"/>
        <v>32.327278102062849</v>
      </c>
      <c r="AA190" s="386">
        <f t="shared" si="63"/>
        <v>36.393165229332105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0.11172117351288363</v>
      </c>
      <c r="AD190" s="231">
        <f>(INDEX(Models!$BJ190:$BT190,,AH190)*(1-AF190)+INDEX(Models!$BJ190:$BT190,,AH190+1)*AF190-ERP_i)*AE190*Ramure*Pc/MaxiM</f>
        <v>1.1309392773377152E-2</v>
      </c>
      <c r="AE190" s="305">
        <f t="shared" si="65"/>
        <v>0.7</v>
      </c>
      <c r="AF190" s="177">
        <f t="shared" si="66"/>
        <v>0.82460465788502768</v>
      </c>
      <c r="AG190" s="921">
        <f t="shared" si="74"/>
        <v>2</v>
      </c>
      <c r="AH190" s="176">
        <f t="shared" si="67"/>
        <v>8</v>
      </c>
      <c r="AI190" s="225">
        <f t="shared" si="68"/>
        <v>2.8246046578850277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10.35477639195676</v>
      </c>
      <c r="C191" s="955"/>
      <c r="D191" s="393">
        <f t="shared" si="50"/>
        <v>11.136044728111976</v>
      </c>
      <c r="E191" s="385">
        <f t="shared" si="75"/>
        <v>11.836798847715505</v>
      </c>
      <c r="F191" s="385">
        <f t="shared" si="51"/>
        <v>11.836798847715505</v>
      </c>
      <c r="G191" s="110">
        <f t="shared" si="76"/>
        <v>0.20397699118245105</v>
      </c>
      <c r="H191" s="414" t="b">
        <f>Wh_hp&gt;='2026'!Maxi_hp</f>
        <v>0</v>
      </c>
      <c r="I191" s="390">
        <f>IF(H191,Wh_hp,'2026'!Maxi_hp)</f>
        <v>59.196700093726733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7.0156716790385376E-2</v>
      </c>
      <c r="M191" s="959"/>
      <c r="N191" s="959"/>
      <c r="O191" s="48">
        <f>IF(t&lt;Tnet,'2026'!Resal+('2026'!Salim-'2026'!Resal)*(1-EXP(('2026'!Tnet-t)/('2026'!Tau_j))),Resal+(Salim-Resal)*(1-EXP((Tnet-t)/(Tau_j))))*Salcycl</f>
        <v>5.9201320274085194E-2</v>
      </c>
      <c r="P191" s="169">
        <f>(INDEX(Models!$BJ191:$BT191,,T191)*(1-R191)+INDEX(Models!$BJ191:$BT191,,T191+1)*R191-ERP_i)*Q191*Ramure*Pc/MaxiM</f>
        <v>3.6708296286214448E-3</v>
      </c>
      <c r="Q191" s="305">
        <f t="shared" si="53"/>
        <v>0.7</v>
      </c>
      <c r="R191" s="177">
        <f t="shared" si="54"/>
        <v>0.30427420385188098</v>
      </c>
      <c r="S191" s="921">
        <f t="shared" si="55"/>
        <v>-1</v>
      </c>
      <c r="T191" s="176">
        <f t="shared" si="56"/>
        <v>5</v>
      </c>
      <c r="U191" s="251">
        <f t="shared" si="57"/>
        <v>-0.69572579614811902</v>
      </c>
      <c r="V191" s="383">
        <f t="shared" si="58"/>
        <v>50.578085852592025</v>
      </c>
      <c r="W191" s="402">
        <f t="shared" si="59"/>
        <v>10.35477639195676</v>
      </c>
      <c r="X191" s="157">
        <f t="shared" si="60"/>
        <v>46564</v>
      </c>
      <c r="Y191" s="385">
        <f t="shared" si="61"/>
        <v>9.7757502584801426</v>
      </c>
      <c r="Z191" s="385">
        <f t="shared" si="62"/>
        <v>10.513331047288315</v>
      </c>
      <c r="AA191" s="386">
        <f t="shared" si="63"/>
        <v>11.836798847715505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0.11180960472962835</v>
      </c>
      <c r="AD191" s="231">
        <f>(INDEX(Models!$BJ191:$BT191,,AH191)*(1-AF191)+INDEX(Models!$BJ191:$BT191,,AH191+1)*AF191-ERP_i)*AE191*Ramure*Pc/MaxiM</f>
        <v>1.1342760883651206E-2</v>
      </c>
      <c r="AE191" s="305">
        <f t="shared" si="65"/>
        <v>0.7</v>
      </c>
      <c r="AF191" s="177">
        <f t="shared" si="66"/>
        <v>0.82926177022585978</v>
      </c>
      <c r="AG191" s="921">
        <f t="shared" si="74"/>
        <v>2</v>
      </c>
      <c r="AH191" s="176">
        <f t="shared" si="67"/>
        <v>8</v>
      </c>
      <c r="AI191" s="225">
        <f t="shared" si="68"/>
        <v>2.8292617702258598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9.709018985793497</v>
      </c>
      <c r="C192" s="955"/>
      <c r="D192" s="393">
        <f t="shared" si="50"/>
        <v>10.441793599207845</v>
      </c>
      <c r="E192" s="385">
        <f t="shared" si="75"/>
        <v>11.100249824874762</v>
      </c>
      <c r="F192" s="385">
        <f t="shared" si="51"/>
        <v>11.100249824874762</v>
      </c>
      <c r="G192" s="110">
        <f t="shared" si="76"/>
        <v>0.19156814187542548</v>
      </c>
      <c r="H192" s="414" t="b">
        <f>Wh_hp&gt;='2026'!Maxi_hp</f>
        <v>0</v>
      </c>
      <c r="I192" s="390">
        <f>IF(H192,Wh_hp,'2026'!Maxi_hp)</f>
        <v>57.199547222334189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7.0177082744667496E-2</v>
      </c>
      <c r="M192" s="959"/>
      <c r="N192" s="959"/>
      <c r="O192" s="48">
        <f>IF(t&lt;Tnet,'2026'!Resal+('2026'!Salim-'2026'!Resal)*(1-EXP(('2026'!Tnet-t)/('2026'!Tau_j))),Resal+(Salim-Resal)*(1-EXP((Tnet-t)/(Tau_j))))*Salcycl</f>
        <v>5.9319045612051965E-2</v>
      </c>
      <c r="P192" s="169">
        <f>(INDEX(Models!$BJ192:$BT192,,T192)*(1-R192)+INDEX(Models!$BJ192:$BT192,,T192+1)*R192-ERP_i)*Q192*Ramure*Pc/MaxiM</f>
        <v>3.6816155203066459E-3</v>
      </c>
      <c r="Q192" s="305">
        <f t="shared" si="53"/>
        <v>0.7</v>
      </c>
      <c r="R192" s="177">
        <f t="shared" si="54"/>
        <v>0.30887096926959812</v>
      </c>
      <c r="S192" s="921">
        <f t="shared" si="55"/>
        <v>-1</v>
      </c>
      <c r="T192" s="176">
        <f t="shared" si="56"/>
        <v>5</v>
      </c>
      <c r="U192" s="251">
        <f t="shared" si="57"/>
        <v>-0.69112903073040188</v>
      </c>
      <c r="V192" s="383">
        <f t="shared" si="58"/>
        <v>50.49521291018663</v>
      </c>
      <c r="W192" s="402">
        <f t="shared" si="59"/>
        <v>9.709018985793497</v>
      </c>
      <c r="X192" s="157">
        <f t="shared" si="60"/>
        <v>46565</v>
      </c>
      <c r="Y192" s="385">
        <f t="shared" si="61"/>
        <v>9.1663563875270988</v>
      </c>
      <c r="Z192" s="385">
        <f t="shared" si="62"/>
        <v>9.8581743011717862</v>
      </c>
      <c r="AA192" s="386">
        <f t="shared" si="63"/>
        <v>11.100249824874762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0.11189617741031238</v>
      </c>
      <c r="AD192" s="231">
        <f>(INDEX(Models!$BJ192:$BT192,,AH192)*(1-AF192)+INDEX(Models!$BJ192:$BT192,,AH192+1)*AF192-ERP_i)*AE192*Ramure*Pc/MaxiM</f>
        <v>1.1362922971772823E-2</v>
      </c>
      <c r="AE192" s="305">
        <f t="shared" si="65"/>
        <v>0.7</v>
      </c>
      <c r="AF192" s="177">
        <f t="shared" si="66"/>
        <v>0.83385853564357681</v>
      </c>
      <c r="AG192" s="921">
        <f t="shared" si="74"/>
        <v>2</v>
      </c>
      <c r="AH192" s="176">
        <f t="shared" si="67"/>
        <v>8</v>
      </c>
      <c r="AI192" s="225">
        <f t="shared" si="68"/>
        <v>2.8338585356435768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49.998214843709803</v>
      </c>
      <c r="C193" s="955"/>
      <c r="D193" s="393">
        <f t="shared" si="50"/>
        <v>53.772937867036596</v>
      </c>
      <c r="E193" s="385">
        <f t="shared" si="75"/>
        <v>57.170936684574734</v>
      </c>
      <c r="F193" s="385">
        <f t="shared" si="51"/>
        <v>57.38007331667189</v>
      </c>
      <c r="G193" s="110">
        <f t="shared" si="76"/>
        <v>0.99175352278526974</v>
      </c>
      <c r="H193" s="414" t="b">
        <f>Wh_hp&gt;='2026'!Maxi_hp</f>
        <v>0</v>
      </c>
      <c r="I193" s="390">
        <f>IF(H193,Wh_hp,'2026'!Maxi_hp)</f>
        <v>57.381947425116394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7.0197448252882988E-2</v>
      </c>
      <c r="M193" s="959"/>
      <c r="N193" s="959"/>
      <c r="O193" s="48">
        <f>IF(t&lt;Tnet,'2026'!Resal+('2026'!Salim-'2026'!Resal)*(1-EXP(('2026'!Tnet-t)/('2026'!Tau_j))),Resal+(Salim-Resal)*(1-EXP((Tnet-t)/(Tau_j))))*Salcycl</f>
        <v>5.943577304471475E-2</v>
      </c>
      <c r="P193" s="169">
        <f>(INDEX(Models!$BJ193:$BT193,,T193)*(1-R193)+INDEX(Models!$BJ193:$BT193,,T193+1)*R193-ERP_i)*Q193*Ramure*Pc/MaxiM</f>
        <v>3.6879808918277293E-3</v>
      </c>
      <c r="Q193" s="305">
        <f t="shared" si="53"/>
        <v>0.7</v>
      </c>
      <c r="R193" s="177">
        <f t="shared" si="54"/>
        <v>0.31340474880042768</v>
      </c>
      <c r="S193" s="921">
        <f t="shared" si="55"/>
        <v>-1</v>
      </c>
      <c r="T193" s="176">
        <f t="shared" si="56"/>
        <v>5</v>
      </c>
      <c r="U193" s="251">
        <f t="shared" si="57"/>
        <v>-0.68659525119957232</v>
      </c>
      <c r="V193" s="383">
        <f t="shared" si="58"/>
        <v>50.411765478173024</v>
      </c>
      <c r="W193" s="402">
        <f t="shared" si="59"/>
        <v>49.998214843709803</v>
      </c>
      <c r="X193" s="157">
        <f t="shared" si="60"/>
        <v>46566</v>
      </c>
      <c r="Y193" s="385">
        <f t="shared" si="61"/>
        <v>46.845218033638936</v>
      </c>
      <c r="Z193" s="385">
        <f t="shared" si="62"/>
        <v>50.381898765082823</v>
      </c>
      <c r="AA193" s="386">
        <f t="shared" si="63"/>
        <v>56.735152594258118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0.11198090669836813</v>
      </c>
      <c r="AD193" s="231">
        <f>(INDEX(Models!$BJ193:$BT193,,AH193)*(1-AF193)+INDEX(Models!$BJ193:$BT193,,AH193+1)*AF193-ERP_i)*AE193*Ramure*Pc/MaxiM</f>
        <v>1.1372734069375305E-2</v>
      </c>
      <c r="AE193" s="305">
        <f t="shared" si="65"/>
        <v>0.7</v>
      </c>
      <c r="AF193" s="177">
        <f t="shared" si="66"/>
        <v>0.83839231517440638</v>
      </c>
      <c r="AG193" s="921">
        <f t="shared" si="74"/>
        <v>2</v>
      </c>
      <c r="AH193" s="176">
        <f t="shared" si="67"/>
        <v>8</v>
      </c>
      <c r="AI193" s="225">
        <f t="shared" si="68"/>
        <v>2.8383923151744064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50.780942662173146</v>
      </c>
      <c r="C194" s="955"/>
      <c r="D194" s="393">
        <f t="shared" si="50"/>
        <v>54.615955639274304</v>
      </c>
      <c r="E194" s="385">
        <f t="shared" si="75"/>
        <v>58.074372171776744</v>
      </c>
      <c r="F194" s="385">
        <f t="shared" si="51"/>
        <v>58.289451559149803</v>
      </c>
      <c r="G194" s="110">
        <f t="shared" si="76"/>
        <v>1.0090049067127487</v>
      </c>
      <c r="H194" s="414" t="b">
        <f>Wh_hp&gt;='2026'!Maxi_hp</f>
        <v>1</v>
      </c>
      <c r="I194" s="390">
        <f>IF(H194,Wh_hp,'2026'!Maxi_hp)</f>
        <v>58.289451559149803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7.0217813315041622E-2</v>
      </c>
      <c r="M194" s="959"/>
      <c r="N194" s="959"/>
      <c r="O194" s="48">
        <f>IF(t&lt;Tnet,'2026'!Resal+('2026'!Salim-'2026'!Resal)*(1-EXP(('2026'!Tnet-t)/('2026'!Tau_j))),Resal+(Salim-Resal)*(1-EXP((Tnet-t)/(Tau_j))))*Salcycl</f>
        <v>5.9551509610347206E-2</v>
      </c>
      <c r="P194" s="169">
        <f>(INDEX(Models!$BJ194:$BT194,,T194)*(1-R194)+INDEX(Models!$BJ194:$BT194,,T194+1)*R194-ERP_i)*Q194*Ramure*Pc/MaxiM</f>
        <v>3.6898509356329428E-3</v>
      </c>
      <c r="Q194" s="305">
        <f t="shared" si="53"/>
        <v>0.7</v>
      </c>
      <c r="R194" s="177">
        <f t="shared" si="54"/>
        <v>0.31787308013219995</v>
      </c>
      <c r="S194" s="921">
        <f t="shared" si="55"/>
        <v>-1</v>
      </c>
      <c r="T194" s="176">
        <f t="shared" si="56"/>
        <v>5</v>
      </c>
      <c r="U194" s="251">
        <f t="shared" si="57"/>
        <v>-0.68212691986780005</v>
      </c>
      <c r="V194" s="383">
        <f t="shared" si="58"/>
        <v>50.327746004341144</v>
      </c>
      <c r="W194" s="402">
        <f t="shared" si="59"/>
        <v>50.780942662173146</v>
      </c>
      <c r="X194" s="157">
        <f t="shared" si="60"/>
        <v>46567</v>
      </c>
      <c r="Y194" s="385">
        <f t="shared" si="61"/>
        <v>47.575767246944089</v>
      </c>
      <c r="Z194" s="385">
        <f t="shared" si="62"/>
        <v>51.168723092631552</v>
      </c>
      <c r="AA194" s="386">
        <f t="shared" si="63"/>
        <v>57.626577011316478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0.11206381245613044</v>
      </c>
      <c r="AD194" s="231">
        <f>(INDEX(Models!$BJ194:$BT194,,AH194)*(1-AF194)+INDEX(Models!$BJ194:$BT194,,AH194+1)*AF194-ERP_i)*AE194*Ramure*Pc/MaxiM</f>
        <v>1.137211845544071E-2</v>
      </c>
      <c r="AE194" s="305">
        <f t="shared" si="65"/>
        <v>0.7</v>
      </c>
      <c r="AF194" s="177">
        <f t="shared" si="66"/>
        <v>0.84286064650617876</v>
      </c>
      <c r="AG194" s="921">
        <f t="shared" si="74"/>
        <v>2</v>
      </c>
      <c r="AH194" s="176">
        <f t="shared" si="67"/>
        <v>8</v>
      </c>
      <c r="AI194" s="225">
        <f t="shared" si="68"/>
        <v>2.8428606465061788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11.56424832285804</v>
      </c>
      <c r="C195" s="955"/>
      <c r="D195" s="393">
        <f t="shared" si="50"/>
        <v>12.437861018132589</v>
      </c>
      <c r="E195" s="385">
        <f t="shared" si="75"/>
        <v>13.227070935215147</v>
      </c>
      <c r="F195" s="385">
        <f t="shared" si="51"/>
        <v>13.227070935215147</v>
      </c>
      <c r="G195" s="110">
        <f t="shared" si="76"/>
        <v>0.22931698441588247</v>
      </c>
      <c r="H195" s="414" t="b">
        <f>Wh_hp&gt;='2026'!Maxi_hp</f>
        <v>0</v>
      </c>
      <c r="I195" s="390">
        <f>IF(H195,Wh_hp,'2026'!Maxi_hp)</f>
        <v>51.899795502885659</v>
      </c>
      <c r="J195" s="85">
        <f>IF(H195,An,'2026'!An_max)</f>
        <v>2021</v>
      </c>
      <c r="K195" s="197">
        <f t="shared" si="52"/>
        <v>46568</v>
      </c>
      <c r="L195" s="147">
        <f>IF(t&lt;Tvie,1-EXP((T0-t)*PertePVj)+'2026'!Pspv,1-EXP((T0-t)*PertePVj)+Pspv)</f>
        <v>7.0238177931153056E-2</v>
      </c>
      <c r="M195" s="959"/>
      <c r="N195" s="959"/>
      <c r="O195" s="48">
        <f>IF(t&lt;Tnet,'2026'!Resal+('2026'!Salim-'2026'!Resal)*(1-EXP(('2026'!Tnet-t)/('2026'!Tau_j))),Resal+(Salim-Resal)*(1-EXP((Tnet-t)/(Tau_j))))*Salcycl</f>
        <v>5.9666264810102662E-2</v>
      </c>
      <c r="P195" s="169">
        <f>(INDEX(Models!$BJ195:$BT195,,T195)*(1-R195)+INDEX(Models!$BJ195:$BT195,,T195+1)*R195-ERP_i)*Q195*Ramure*Pc/MaxiM</f>
        <v>3.6871556873520539E-3</v>
      </c>
      <c r="Q195" s="305">
        <f t="shared" si="53"/>
        <v>0.7</v>
      </c>
      <c r="R195" s="177">
        <f t="shared" si="54"/>
        <v>0.3222736803777555</v>
      </c>
      <c r="S195" s="921">
        <f t="shared" si="55"/>
        <v>-1</v>
      </c>
      <c r="T195" s="176">
        <f t="shared" si="56"/>
        <v>5</v>
      </c>
      <c r="U195" s="251">
        <f t="shared" si="57"/>
        <v>-0.6777263196222445</v>
      </c>
      <c r="V195" s="383">
        <f t="shared" si="58"/>
        <v>50.243156512075942</v>
      </c>
      <c r="W195" s="402">
        <f t="shared" si="59"/>
        <v>11.56424832285804</v>
      </c>
      <c r="X195" s="157">
        <f t="shared" si="60"/>
        <v>46568</v>
      </c>
      <c r="Y195" s="385">
        <f t="shared" si="61"/>
        <v>10.918864490891742</v>
      </c>
      <c r="Z195" s="385">
        <f t="shared" si="62"/>
        <v>11.743722135843111</v>
      </c>
      <c r="AA195" s="386">
        <f t="shared" si="63"/>
        <v>13.227070935215147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0.1121449190555739</v>
      </c>
      <c r="AD195" s="231">
        <f>(INDEX(Models!$BJ195:$BT195,,AH195)*(1-AF195)+INDEX(Models!$BJ195:$BT195,,AH195+1)*AF195-ERP_i)*AE195*Ramure*Pc/MaxiM</f>
        <v>1.1361010456526731E-2</v>
      </c>
      <c r="AE195" s="305">
        <f t="shared" si="65"/>
        <v>0.7</v>
      </c>
      <c r="AF195" s="177">
        <f t="shared" si="66"/>
        <v>0.84726124675173464</v>
      </c>
      <c r="AG195" s="921">
        <f t="shared" si="74"/>
        <v>2</v>
      </c>
      <c r="AH195" s="176">
        <f t="shared" si="67"/>
        <v>8</v>
      </c>
      <c r="AI195" s="225">
        <f t="shared" si="68"/>
        <v>2.8472612467517346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43.281331879441289</v>
      </c>
      <c r="C196" s="955"/>
      <c r="D196" s="393">
        <f t="shared" si="50"/>
        <v>46.552008100464441</v>
      </c>
      <c r="E196" s="385">
        <f t="shared" si="75"/>
        <v>49.511827658135829</v>
      </c>
      <c r="F196" s="385">
        <f t="shared" si="51"/>
        <v>49.658773354028455</v>
      </c>
      <c r="G196" s="110">
        <f t="shared" si="76"/>
        <v>0.86227614161840005</v>
      </c>
      <c r="H196" s="414" t="b">
        <f>Wh_hp&gt;='2026'!Maxi_hp</f>
        <v>0</v>
      </c>
      <c r="I196" s="390">
        <f>IF(H196,Wh_hp,'2026'!Maxi_hp)</f>
        <v>55.368807466601659</v>
      </c>
      <c r="J196" s="85">
        <f>IF(H196,An,'2026'!An_max)</f>
        <v>2021</v>
      </c>
      <c r="K196" s="197">
        <f t="shared" si="52"/>
        <v>46569</v>
      </c>
      <c r="L196" s="147">
        <f>IF(t&lt;Tvie,1-EXP((T0-t)*PertePVj)+'2026'!Pspv,1-EXP((T0-t)*PertePVj)+Pspv)</f>
        <v>7.0258542101227173E-2</v>
      </c>
      <c r="M196" s="959"/>
      <c r="N196" s="959"/>
      <c r="O196" s="48">
        <f>IF(t&lt;Tnet,'2026'!Resal+('2026'!Salim-'2026'!Resal)*(1-EXP(('2026'!Tnet-t)/('2026'!Tau_j))),Resal+(Salim-Resal)*(1-EXP((Tnet-t)/(Tau_j))))*Salcycl</f>
        <v>5.9780050498398962E-2</v>
      </c>
      <c r="P196" s="169">
        <f>(INDEX(Models!$BJ196:$BT196,,T196)*(1-R196)+INDEX(Models!$BJ196:$BT196,,T196+1)*R196-ERP_i)*Q196*Ramure*Pc/MaxiM</f>
        <v>3.6798299721135059E-3</v>
      </c>
      <c r="Q196" s="305">
        <f t="shared" si="53"/>
        <v>0.7</v>
      </c>
      <c r="R196" s="177">
        <f t="shared" si="54"/>
        <v>0.32660444789869847</v>
      </c>
      <c r="S196" s="921">
        <f t="shared" si="55"/>
        <v>-1</v>
      </c>
      <c r="T196" s="176">
        <f t="shared" si="56"/>
        <v>5</v>
      </c>
      <c r="U196" s="251">
        <f t="shared" si="57"/>
        <v>-0.67339555210130153</v>
      </c>
      <c r="V196" s="383">
        <f t="shared" si="58"/>
        <v>50.157998609539938</v>
      </c>
      <c r="W196" s="402">
        <f t="shared" si="59"/>
        <v>43.281331879441289</v>
      </c>
      <c r="X196" s="157">
        <f t="shared" si="60"/>
        <v>46569</v>
      </c>
      <c r="Y196" s="385">
        <f t="shared" si="61"/>
        <v>40.614695173415278</v>
      </c>
      <c r="Z196" s="385">
        <f t="shared" si="62"/>
        <v>43.683859451857714</v>
      </c>
      <c r="AA196" s="386">
        <f t="shared" si="63"/>
        <v>49.205961871649421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0.11222425514606854</v>
      </c>
      <c r="AD196" s="231">
        <f>(INDEX(Models!$BJ196:$BT196,,AH196)*(1-AF196)+INDEX(Models!$BJ196:$BT196,,AH196+1)*AF196-ERP_i)*AE196*Ramure*Pc/MaxiM</f>
        <v>1.1339354000494389E-2</v>
      </c>
      <c r="AE196" s="305">
        <f t="shared" si="65"/>
        <v>0.7</v>
      </c>
      <c r="AF196" s="177">
        <f t="shared" si="66"/>
        <v>0.85159201427267739</v>
      </c>
      <c r="AG196" s="921">
        <f t="shared" si="74"/>
        <v>2</v>
      </c>
      <c r="AH196" s="176">
        <f t="shared" si="67"/>
        <v>8</v>
      </c>
      <c r="AI196" s="225">
        <f t="shared" si="68"/>
        <v>2.8515920142726774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49.813338475889992</v>
      </c>
      <c r="C197" s="955"/>
      <c r="D197" s="393">
        <f t="shared" si="50"/>
        <v>53.578797757737405</v>
      </c>
      <c r="E197" s="385">
        <f t="shared" si="75"/>
        <v>56.992226376405924</v>
      </c>
      <c r="F197" s="385">
        <f t="shared" si="51"/>
        <v>57.200477152834608</v>
      </c>
      <c r="G197" s="110">
        <f t="shared" si="76"/>
        <v>0.99480172006896062</v>
      </c>
      <c r="H197" s="414" t="b">
        <f>Wh_hp&gt;='2026'!Maxi_hp</f>
        <v>0</v>
      </c>
      <c r="I197" s="390">
        <f>IF(H197,Wh_hp,'2026'!Maxi_hp)</f>
        <v>57.201632842646234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7.0278905825273741E-2</v>
      </c>
      <c r="M197" s="959"/>
      <c r="N197" s="959"/>
      <c r="O197" s="48">
        <f>IF(t&lt;Tnet,'2026'!Resal+('2026'!Salim-'2026'!Resal)*(1-EXP(('2026'!Tnet-t)/('2026'!Tau_j))),Resal+(Salim-Resal)*(1-EXP((Tnet-t)/(Tau_j))))*Salcycl</f>
        <v>5.9892880761044195E-2</v>
      </c>
      <c r="P197" s="169">
        <f>(INDEX(Models!$BJ197:$BT197,,T197)*(1-R197)+INDEX(Models!$BJ197:$BT197,,T197+1)*R197-ERP_i)*Q197*Ramure*Pc/MaxiM</f>
        <v>3.6678133129793653E-3</v>
      </c>
      <c r="Q197" s="305">
        <f t="shared" si="53"/>
        <v>0.7</v>
      </c>
      <c r="R197" s="177">
        <f t="shared" si="54"/>
        <v>0.33086346320635907</v>
      </c>
      <c r="S197" s="921">
        <f t="shared" si="55"/>
        <v>-1</v>
      </c>
      <c r="T197" s="176">
        <f t="shared" si="56"/>
        <v>5</v>
      </c>
      <c r="U197" s="251">
        <f t="shared" si="57"/>
        <v>-0.66913653679364093</v>
      </c>
      <c r="V197" s="383">
        <f t="shared" si="58"/>
        <v>50.072273503962371</v>
      </c>
      <c r="W197" s="402">
        <f t="shared" si="59"/>
        <v>49.813338475889992</v>
      </c>
      <c r="X197" s="157">
        <f t="shared" si="60"/>
        <v>46570</v>
      </c>
      <c r="Y197" s="385">
        <f t="shared" si="61"/>
        <v>46.678377739581784</v>
      </c>
      <c r="Z197" s="385">
        <f t="shared" si="62"/>
        <v>50.206860995249535</v>
      </c>
      <c r="AA197" s="386">
        <f t="shared" si="63"/>
        <v>56.55848352010473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0.11230185340095607</v>
      </c>
      <c r="AD197" s="231">
        <f>(INDEX(Models!$BJ197:$BT197,,AH197)*(1-AF197)+INDEX(Models!$BJ197:$BT197,,AH197+1)*AF197-ERP_i)*AE197*Ramure*Pc/MaxiM</f>
        <v>1.1307102107160912E-2</v>
      </c>
      <c r="AE197" s="305">
        <f t="shared" si="65"/>
        <v>0.7</v>
      </c>
      <c r="AF197" s="177">
        <f t="shared" si="66"/>
        <v>0.8558510295803381</v>
      </c>
      <c r="AG197" s="921">
        <f t="shared" si="74"/>
        <v>2</v>
      </c>
      <c r="AH197" s="176">
        <f t="shared" si="67"/>
        <v>8</v>
      </c>
      <c r="AI197" s="225">
        <f t="shared" si="68"/>
        <v>2.8558510295803381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43.083356249640829</v>
      </c>
      <c r="C198" s="955"/>
      <c r="D198" s="393">
        <f t="shared" si="50"/>
        <v>46.341101838316156</v>
      </c>
      <c r="E198" s="385">
        <f t="shared" si="75"/>
        <v>49.299294770007066</v>
      </c>
      <c r="F198" s="385">
        <f t="shared" si="51"/>
        <v>49.444158792034578</v>
      </c>
      <c r="G198" s="110">
        <f t="shared" si="76"/>
        <v>0.86128533535971274</v>
      </c>
      <c r="H198" s="414" t="b">
        <f>Wh_hp&gt;='2026'!Maxi_hp</f>
        <v>0</v>
      </c>
      <c r="I198" s="390">
        <f>IF(H198,Wh_hp,'2026'!Maxi_hp)</f>
        <v>49.470616501651506</v>
      </c>
      <c r="J198" s="85">
        <f>IF(H198,An,'2026'!An_max)</f>
        <v>2025</v>
      </c>
      <c r="K198" s="197">
        <f t="shared" si="52"/>
        <v>46571</v>
      </c>
      <c r="L198" s="147">
        <f>IF(t&lt;Tvie,1-EXP((T0-t)*PertePVj)+'2026'!Pspv,1-EXP((T0-t)*PertePVj)+Pspv)</f>
        <v>7.029926910330242E-2</v>
      </c>
      <c r="M198" s="959"/>
      <c r="N198" s="959"/>
      <c r="O198" s="48">
        <f>IF(t&lt;Tnet,'2026'!Resal+('2026'!Salim-'2026'!Resal)*(1-EXP(('2026'!Tnet-t)/('2026'!Tau_j))),Resal+(Salim-Resal)*(1-EXP((Tnet-t)/(Tau_j))))*Salcycl</f>
        <v>6.0004771782062698E-2</v>
      </c>
      <c r="P198" s="169">
        <f>(INDEX(Models!$BJ198:$BT198,,T198)*(1-R198)+INDEX(Models!$BJ198:$BT198,,T198+1)*R198-ERP_i)*Q198*Ramure*Pc/MaxiM</f>
        <v>3.6498797699675762E-3</v>
      </c>
      <c r="Q198" s="305">
        <f t="shared" si="53"/>
        <v>0.7</v>
      </c>
      <c r="R198" s="177">
        <f t="shared" si="54"/>
        <v>0.33504898897365554</v>
      </c>
      <c r="S198" s="921">
        <f t="shared" si="55"/>
        <v>-1</v>
      </c>
      <c r="T198" s="176">
        <f t="shared" si="56"/>
        <v>5</v>
      </c>
      <c r="U198" s="251">
        <f t="shared" si="57"/>
        <v>-0.66495101102634446</v>
      </c>
      <c r="V198" s="383">
        <f t="shared" si="58"/>
        <v>49.986040717124752</v>
      </c>
      <c r="W198" s="402">
        <f t="shared" si="59"/>
        <v>43.083356249640829</v>
      </c>
      <c r="X198" s="157">
        <f t="shared" si="60"/>
        <v>46571</v>
      </c>
      <c r="Y198" s="385">
        <f t="shared" si="61"/>
        <v>40.433612038889443</v>
      </c>
      <c r="Z198" s="385">
        <f t="shared" si="62"/>
        <v>43.490997366315042</v>
      </c>
      <c r="AA198" s="386">
        <f t="shared" si="63"/>
        <v>48.997191517354267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0.11237775024490927</v>
      </c>
      <c r="AD198" s="231">
        <f>(INDEX(Models!$BJ198:$BT198,,AH198)*(1-AF198)+INDEX(Models!$BJ198:$BT198,,AH198+1)*AF198-ERP_i)*AE198*Ramure*Pc/MaxiM</f>
        <v>1.1261435316102391E-2</v>
      </c>
      <c r="AE198" s="305">
        <f t="shared" si="65"/>
        <v>0.7</v>
      </c>
      <c r="AF198" s="177">
        <f t="shared" si="66"/>
        <v>0.86003655534763457</v>
      </c>
      <c r="AG198" s="921">
        <f t="shared" si="74"/>
        <v>2</v>
      </c>
      <c r="AH198" s="176">
        <f t="shared" si="67"/>
        <v>8</v>
      </c>
      <c r="AI198" s="225">
        <f t="shared" si="68"/>
        <v>2.8600365553476346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41.087517882730928</v>
      </c>
      <c r="C199" s="955"/>
      <c r="D199" s="393">
        <f t="shared" si="50"/>
        <v>44.195316255051338</v>
      </c>
      <c r="E199" s="385">
        <f t="shared" si="75"/>
        <v>47.022083692519239</v>
      </c>
      <c r="F199" s="385">
        <f t="shared" si="51"/>
        <v>47.149965807579171</v>
      </c>
      <c r="G199" s="110">
        <f t="shared" si="76"/>
        <v>0.8226542720015636</v>
      </c>
      <c r="H199" s="414" t="b">
        <f>Wh_hp&gt;='2026'!Maxi_hp</f>
        <v>0</v>
      </c>
      <c r="I199" s="390">
        <f>IF(H199,Wh_hp,'2026'!Maxi_hp)</f>
        <v>55.745011407918014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7.031963193532309E-2</v>
      </c>
      <c r="M199" s="959"/>
      <c r="N199" s="959"/>
      <c r="O199" s="48">
        <f>IF(t&lt;Tnet,'2026'!Resal+('2026'!Salim-'2026'!Resal)*(1-EXP(('2026'!Tnet-t)/('2026'!Tau_j))),Resal+(Salim-Resal)*(1-EXP((Tnet-t)/(Tau_j))))*Salcycl</f>
        <v>6.0115741700268642E-2</v>
      </c>
      <c r="P199" s="169">
        <f>(INDEX(Models!$BJ199:$BT199,,T199)*(1-R199)+INDEX(Models!$BJ199:$BT199,,T199+1)*R199-ERP_i)*Q199*Ramure*Pc/MaxiM</f>
        <v>3.6273095659026333E-3</v>
      </c>
      <c r="Q199" s="305">
        <f t="shared" si="53"/>
        <v>0.7</v>
      </c>
      <c r="R199" s="177">
        <f t="shared" si="54"/>
        <v>0.33915946919761264</v>
      </c>
      <c r="S199" s="921">
        <f t="shared" si="55"/>
        <v>-1</v>
      </c>
      <c r="T199" s="176">
        <f t="shared" si="56"/>
        <v>5</v>
      </c>
      <c r="U199" s="251">
        <f t="shared" si="57"/>
        <v>-0.66084053080238736</v>
      </c>
      <c r="V199" s="383">
        <f t="shared" si="58"/>
        <v>49.899233701028848</v>
      </c>
      <c r="W199" s="402">
        <f t="shared" si="59"/>
        <v>41.087517882730928</v>
      </c>
      <c r="X199" s="157">
        <f t="shared" si="60"/>
        <v>46572</v>
      </c>
      <c r="Y199" s="385">
        <f t="shared" si="61"/>
        <v>38.579163793946122</v>
      </c>
      <c r="Z199" s="385">
        <f t="shared" si="62"/>
        <v>41.497234016306784</v>
      </c>
      <c r="AA199" s="386">
        <f t="shared" si="63"/>
        <v>46.75491730178112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0.11245198556418036</v>
      </c>
      <c r="AD199" s="231">
        <f>(INDEX(Models!$BJ199:$BT199,,AH199)*(1-AF199)+INDEX(Models!$BJ199:$BT199,,AH199+1)*AF199-ERP_i)*AE199*Ramure*Pc/MaxiM</f>
        <v>1.1205345043012746E-2</v>
      </c>
      <c r="AE199" s="305">
        <f t="shared" si="65"/>
        <v>0.7</v>
      </c>
      <c r="AF199" s="177">
        <f t="shared" si="66"/>
        <v>0.86414703557159145</v>
      </c>
      <c r="AG199" s="921">
        <f t="shared" si="74"/>
        <v>2</v>
      </c>
      <c r="AH199" s="176">
        <f t="shared" si="67"/>
        <v>8</v>
      </c>
      <c r="AI199" s="225">
        <f t="shared" si="68"/>
        <v>2.8641470355715914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50.032341758460191</v>
      </c>
      <c r="C200" s="955"/>
      <c r="D200" s="393">
        <f t="shared" si="50"/>
        <v>53.817891974320695</v>
      </c>
      <c r="E200" s="385">
        <f t="shared" si="75"/>
        <v>57.266833429927537</v>
      </c>
      <c r="F200" s="385">
        <f t="shared" si="51"/>
        <v>57.47374171282457</v>
      </c>
      <c r="G200" s="110">
        <f t="shared" si="76"/>
        <v>1.0044264330036197</v>
      </c>
      <c r="H200" s="414" t="b">
        <f>Wh_hp&gt;='2026'!Maxi_hp</f>
        <v>0</v>
      </c>
      <c r="I200" s="390">
        <f>IF(H200,Wh_hp,'2026'!Maxi_hp)</f>
        <v>58.767865102105034</v>
      </c>
      <c r="J200" s="85">
        <f>IF(H200,An,'2026'!An_max)</f>
        <v>2021</v>
      </c>
      <c r="K200" s="197">
        <f t="shared" si="52"/>
        <v>46573</v>
      </c>
      <c r="L200" s="147">
        <f>IF(t&lt;Tvie,1-EXP((T0-t)*PertePVj)+'2026'!Pspv,1-EXP((T0-t)*PertePVj)+Pspv)</f>
        <v>7.0339994321345523E-2</v>
      </c>
      <c r="M200" s="959"/>
      <c r="N200" s="959"/>
      <c r="O200" s="48">
        <f>IF(t&lt;Tnet,'2026'!Resal+('2026'!Salim-'2026'!Resal)*(1-EXP(('2026'!Tnet-t)/('2026'!Tau_j))),Resal+(Salim-Resal)*(1-EXP((Tnet-t)/(Tau_j))))*Salcycl</f>
        <v>6.0225810456710729E-2</v>
      </c>
      <c r="P200" s="169">
        <f>(INDEX(Models!$BJ200:$BT200,,T200)*(1-R200)+INDEX(Models!$BJ200:$BT200,,T200+1)*R200-ERP_i)*Q200*Ramure*Pc/MaxiM</f>
        <v>3.6000489394074136E-3</v>
      </c>
      <c r="Q200" s="305">
        <f t="shared" si="53"/>
        <v>0.7</v>
      </c>
      <c r="R200" s="177">
        <f t="shared" si="54"/>
        <v>0.34319352755758648</v>
      </c>
      <c r="S200" s="921">
        <f t="shared" si="55"/>
        <v>-1</v>
      </c>
      <c r="T200" s="176">
        <f t="shared" si="56"/>
        <v>5</v>
      </c>
      <c r="U200" s="251">
        <f t="shared" si="57"/>
        <v>-0.65680647244241352</v>
      </c>
      <c r="V200" s="383">
        <f t="shared" si="58"/>
        <v>49.811852928685219</v>
      </c>
      <c r="W200" s="402">
        <f t="shared" si="59"/>
        <v>50.032341758460191</v>
      </c>
      <c r="X200" s="157">
        <f t="shared" si="60"/>
        <v>46573</v>
      </c>
      <c r="Y200" s="385">
        <f t="shared" si="61"/>
        <v>46.890544216497375</v>
      </c>
      <c r="Z200" s="385">
        <f t="shared" si="62"/>
        <v>50.438379547442338</v>
      </c>
      <c r="AA200" s="386">
        <f t="shared" si="63"/>
        <v>56.833552438698163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0.1125246024019665</v>
      </c>
      <c r="AD200" s="231">
        <f>(INDEX(Models!$BJ200:$BT200,,AH200)*(1-AF200)+INDEX(Models!$BJ200:$BT200,,AH200+1)*AF200-ERP_i)*AE200*Ramure*Pc/MaxiM</f>
        <v>1.1138813222309418E-2</v>
      </c>
      <c r="AE200" s="305">
        <f t="shared" si="65"/>
        <v>0.7</v>
      </c>
      <c r="AF200" s="177">
        <f t="shared" si="66"/>
        <v>0.86818109393156551</v>
      </c>
      <c r="AG200" s="921">
        <f t="shared" si="74"/>
        <v>2</v>
      </c>
      <c r="AH200" s="176">
        <f t="shared" si="67"/>
        <v>8</v>
      </c>
      <c r="AI200" s="225">
        <f t="shared" si="68"/>
        <v>2.8681810939315655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40.987844868839026</v>
      </c>
      <c r="C201" s="955"/>
      <c r="D201" s="393">
        <f t="shared" si="50"/>
        <v>44.090035472242889</v>
      </c>
      <c r="E201" s="385">
        <f t="shared" si="75"/>
        <v>46.921014888367885</v>
      </c>
      <c r="F201" s="385">
        <f t="shared" si="51"/>
        <v>47.046747922783133</v>
      </c>
      <c r="G201" s="110">
        <f t="shared" si="76"/>
        <v>0.82356857850085285</v>
      </c>
      <c r="H201" s="414" t="b">
        <f>Wh_hp&gt;='2026'!Maxi_hp</f>
        <v>0</v>
      </c>
      <c r="I201" s="390">
        <f>IF(H201,Wh_hp,'2026'!Maxi_hp)</f>
        <v>56.315415913154332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7.0360356261379375E-2</v>
      </c>
      <c r="M201" s="959"/>
      <c r="N201" s="959"/>
      <c r="O201" s="48">
        <f>IF(t&lt;Tnet,'2026'!Resal+('2026'!Salim-'2026'!Resal)*(1-EXP(('2026'!Tnet-t)/('2026'!Tau_j))),Resal+(Salim-Resal)*(1-EXP((Tnet-t)/(Tau_j))))*Salcycl</f>
        <v>6.03349996341793E-2</v>
      </c>
      <c r="P201" s="169">
        <f>(INDEX(Models!$BJ201:$BT201,,T201)*(1-R201)+INDEX(Models!$BJ201:$BT201,,T201+1)*R201-ERP_i)*Q201*Ramure*Pc/MaxiM</f>
        <v>3.5680482549397619E-3</v>
      </c>
      <c r="Q201" s="305">
        <f t="shared" si="53"/>
        <v>0.7</v>
      </c>
      <c r="R201" s="177">
        <f t="shared" si="54"/>
        <v>0.34714996501871265</v>
      </c>
      <c r="S201" s="921">
        <f t="shared" si="55"/>
        <v>-1</v>
      </c>
      <c r="T201" s="176">
        <f t="shared" si="56"/>
        <v>5</v>
      </c>
      <c r="U201" s="251">
        <f t="shared" si="57"/>
        <v>-0.65285003498128735</v>
      </c>
      <c r="V201" s="383">
        <f t="shared" si="58"/>
        <v>49.723898540874359</v>
      </c>
      <c r="W201" s="402">
        <f t="shared" si="59"/>
        <v>40.987844868839026</v>
      </c>
      <c r="X201" s="157">
        <f t="shared" si="60"/>
        <v>46574</v>
      </c>
      <c r="Y201" s="385">
        <f t="shared" si="61"/>
        <v>38.490405377967988</v>
      </c>
      <c r="Z201" s="385">
        <f t="shared" si="62"/>
        <v>41.403575715828694</v>
      </c>
      <c r="AA201" s="386">
        <f t="shared" si="63"/>
        <v>46.656944558721776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0.11259564664122533</v>
      </c>
      <c r="AD201" s="231">
        <f>(INDEX(Models!$BJ201:$BT201,,AH201)*(1-AF201)+INDEX(Models!$BJ201:$BT201,,AH201+1)*AF201-ERP_i)*AE201*Ramure*Pc/MaxiM</f>
        <v>1.1061828097741011E-2</v>
      </c>
      <c r="AE201" s="305">
        <f t="shared" si="65"/>
        <v>0.7</v>
      </c>
      <c r="AF201" s="177">
        <f t="shared" si="66"/>
        <v>0.87213753139269157</v>
      </c>
      <c r="AG201" s="921">
        <f t="shared" si="74"/>
        <v>2</v>
      </c>
      <c r="AH201" s="176">
        <f t="shared" si="67"/>
        <v>8</v>
      </c>
      <c r="AI201" s="225">
        <f t="shared" si="68"/>
        <v>2.8721375313926916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48.418864656607106</v>
      </c>
      <c r="C202" s="955"/>
      <c r="D202" s="393">
        <f t="shared" si="50"/>
        <v>52.084617414238409</v>
      </c>
      <c r="E202" s="385">
        <f t="shared" si="75"/>
        <v>55.435312423663156</v>
      </c>
      <c r="F202" s="385">
        <f t="shared" si="51"/>
        <v>55.624860978542898</v>
      </c>
      <c r="G202" s="110">
        <f t="shared" si="76"/>
        <v>0.97537013179489573</v>
      </c>
      <c r="H202" s="414" t="b">
        <f>Wh_hp&gt;='2026'!Maxi_hp</f>
        <v>0</v>
      </c>
      <c r="I202" s="390">
        <f>IF(H202,Wh_hp,'2026'!Maxi_hp)</f>
        <v>56.989181729783134</v>
      </c>
      <c r="J202" s="85">
        <f>IF(H202,An,'2026'!An_max)</f>
        <v>2018</v>
      </c>
      <c r="K202" s="197">
        <f t="shared" si="52"/>
        <v>46575</v>
      </c>
      <c r="L202" s="147">
        <f>IF(t&lt;Tvie,1-EXP((T0-t)*PertePVj)+'2026'!Pspv,1-EXP((T0-t)*PertePVj)+Pspv)</f>
        <v>7.038071775543453E-2</v>
      </c>
      <c r="M202" s="959"/>
      <c r="N202" s="959"/>
      <c r="O202" s="48">
        <f>IF(t&lt;Tnet,'2026'!Resal+('2026'!Salim-'2026'!Resal)*(1-EXP(('2026'!Tnet-t)/('2026'!Tau_j))),Resal+(Salim-Resal)*(1-EXP((Tnet-t)/(Tau_j))))*Salcycl</f>
        <v>6.0443332290023681E-2</v>
      </c>
      <c r="P202" s="169">
        <f>(INDEX(Models!$BJ202:$BT202,,T202)*(1-R202)+INDEX(Models!$BJ202:$BT202,,T202+1)*R202-ERP_i)*Q202*Ramure*Pc/MaxiM</f>
        <v>3.5312617800175548E-3</v>
      </c>
      <c r="Q202" s="305">
        <f t="shared" si="53"/>
        <v>0.7</v>
      </c>
      <c r="R202" s="177">
        <f t="shared" si="54"/>
        <v>0.35102775673375219</v>
      </c>
      <c r="S202" s="921">
        <f t="shared" si="55"/>
        <v>-1</v>
      </c>
      <c r="T202" s="176">
        <f t="shared" si="56"/>
        <v>5</v>
      </c>
      <c r="U202" s="251">
        <f t="shared" si="57"/>
        <v>-0.64897224326624781</v>
      </c>
      <c r="V202" s="383">
        <f t="shared" si="58"/>
        <v>49.635370367739938</v>
      </c>
      <c r="W202" s="402">
        <f t="shared" si="59"/>
        <v>48.418864656607106</v>
      </c>
      <c r="X202" s="157">
        <f t="shared" si="60"/>
        <v>46575</v>
      </c>
      <c r="Y202" s="385">
        <f t="shared" si="61"/>
        <v>45.398115546683258</v>
      </c>
      <c r="Z202" s="385">
        <f t="shared" si="62"/>
        <v>48.835169852619153</v>
      </c>
      <c r="AA202" s="386">
        <f t="shared" si="63"/>
        <v>55.035785837184747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0.11266516667735431</v>
      </c>
      <c r="AD202" s="231">
        <f>(INDEX(Models!$BJ202:$BT202,,AH202)*(1-AF202)+INDEX(Models!$BJ202:$BT202,,AH202+1)*AF202-ERP_i)*AE202*Ramure*Pc/MaxiM</f>
        <v>1.097438349533323E-2</v>
      </c>
      <c r="AE202" s="305">
        <f t="shared" si="65"/>
        <v>0.7</v>
      </c>
      <c r="AF202" s="177">
        <f t="shared" si="66"/>
        <v>0.876015323107731</v>
      </c>
      <c r="AG202" s="921">
        <f t="shared" si="74"/>
        <v>2</v>
      </c>
      <c r="AH202" s="176">
        <f t="shared" si="67"/>
        <v>8</v>
      </c>
      <c r="AI202" s="225">
        <f t="shared" si="68"/>
        <v>2.876015323107731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50.747295276370885</v>
      </c>
      <c r="C203" s="955"/>
      <c r="D203" s="393">
        <f t="shared" si="50"/>
        <v>54.590527290042942</v>
      </c>
      <c r="E203" s="385">
        <f t="shared" si="75"/>
        <v>58.109080507031294</v>
      </c>
      <c r="F203" s="385">
        <f t="shared" si="51"/>
        <v>58.312570820398371</v>
      </c>
      <c r="G203" s="110">
        <f t="shared" si="76"/>
        <v>1.0242405204973573</v>
      </c>
      <c r="H203" s="414" t="b">
        <f>Wh_hp&gt;='2026'!Maxi_hp</f>
        <v>0</v>
      </c>
      <c r="I203" s="390">
        <f>IF(H203,Wh_hp,'2026'!Maxi_hp)</f>
        <v>59.606340921073496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7.0401078803520645E-2</v>
      </c>
      <c r="M203" s="959"/>
      <c r="N203" s="959"/>
      <c r="O203" s="48">
        <f>IF(t&lt;Tnet,'2026'!Resal+('2026'!Salim-'2026'!Resal)*(1-EXP(('2026'!Tnet-t)/('2026'!Tau_j))),Resal+(Salim-Resal)*(1-EXP((Tnet-t)/(Tau_j))))*Salcycl</f>
        <v>6.0550832783571588E-2</v>
      </c>
      <c r="P203" s="169">
        <f>(INDEX(Models!$BJ203:$BT203,,T203)*(1-R203)+INDEX(Models!$BJ203:$BT203,,T203+1)*R203-ERP_i)*Q203*Ramure*Pc/MaxiM</f>
        <v>3.4896474380082488E-3</v>
      </c>
      <c r="Q203" s="305">
        <f t="shared" si="53"/>
        <v>0.7</v>
      </c>
      <c r="R203" s="177">
        <f t="shared" si="54"/>
        <v>0.3548260482993546</v>
      </c>
      <c r="S203" s="921">
        <f t="shared" si="55"/>
        <v>-1</v>
      </c>
      <c r="T203" s="176">
        <f t="shared" si="56"/>
        <v>5</v>
      </c>
      <c r="U203" s="251">
        <f t="shared" si="57"/>
        <v>-0.6451739517006454</v>
      </c>
      <c r="V203" s="383">
        <f t="shared" si="58"/>
        <v>49.546267952500735</v>
      </c>
      <c r="W203" s="402">
        <f t="shared" si="59"/>
        <v>50.747295276370885</v>
      </c>
      <c r="X203" s="157">
        <f t="shared" si="60"/>
        <v>46576</v>
      </c>
      <c r="Y203" s="385">
        <f t="shared" si="61"/>
        <v>47.573220713340554</v>
      </c>
      <c r="Z203" s="385">
        <f t="shared" si="62"/>
        <v>51.176071344951048</v>
      </c>
      <c r="AA203" s="386">
        <f t="shared" si="63"/>
        <v>57.678335422410427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0.11273321308320869</v>
      </c>
      <c r="AD203" s="231">
        <f>(INDEX(Models!$BJ203:$BT203,,AH203)*(1-AF203)+INDEX(Models!$BJ203:$BT203,,AH203+1)*AF203-ERP_i)*AE203*Ramure*Pc/MaxiM</f>
        <v>1.0876478074365472E-2</v>
      </c>
      <c r="AE203" s="305">
        <f t="shared" si="65"/>
        <v>0.7</v>
      </c>
      <c r="AF203" s="177">
        <f t="shared" si="66"/>
        <v>0.87981361467333352</v>
      </c>
      <c r="AG203" s="921">
        <f t="shared" si="74"/>
        <v>2</v>
      </c>
      <c r="AH203" s="176">
        <f t="shared" si="67"/>
        <v>8</v>
      </c>
      <c r="AI203" s="225">
        <f t="shared" si="68"/>
        <v>2.8798136146733335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50.173110212279539</v>
      </c>
      <c r="C204" s="955"/>
      <c r="D204" s="393">
        <f t="shared" si="50"/>
        <v>53.974039784437302</v>
      </c>
      <c r="E204" s="385">
        <f t="shared" si="75"/>
        <v>57.459383891207722</v>
      </c>
      <c r="F204" s="385">
        <f t="shared" si="51"/>
        <v>57.657909676559221</v>
      </c>
      <c r="G204" s="110">
        <f t="shared" si="76"/>
        <v>1.0144878493958986</v>
      </c>
      <c r="H204" s="414" t="b">
        <f>Wh_hp&gt;='2026'!Maxi_hp</f>
        <v>1</v>
      </c>
      <c r="I204" s="390">
        <f>IF(H204,Wh_hp,'2026'!Maxi_hp)</f>
        <v>57.657909676559221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7.0421439405647601E-2</v>
      </c>
      <c r="M204" s="959"/>
      <c r="N204" s="959"/>
      <c r="O204" s="48">
        <f>IF(t&lt;Tnet,'2026'!Resal+('2026'!Salim-'2026'!Resal)*(1-EXP(('2026'!Tnet-t)/('2026'!Tau_j))),Resal+(Salim-Resal)*(1-EXP((Tnet-t)/(Tau_j))))*Salcycl</f>
        <v>6.0657526599475792E-2</v>
      </c>
      <c r="P204" s="169">
        <f>(INDEX(Models!$BJ204:$BT204,,T204)*(1-R204)+INDEX(Models!$BJ204:$BT204,,T204+1)*R204-ERP_i)*Q204*Ramure*Pc/MaxiM</f>
        <v>3.443166539771482E-3</v>
      </c>
      <c r="Q204" s="305">
        <f t="shared" si="53"/>
        <v>0.7</v>
      </c>
      <c r="R204" s="177">
        <f t="shared" si="54"/>
        <v>0.35854415142480667</v>
      </c>
      <c r="S204" s="921">
        <f t="shared" si="55"/>
        <v>-1</v>
      </c>
      <c r="T204" s="176">
        <f t="shared" si="56"/>
        <v>5</v>
      </c>
      <c r="U204" s="251">
        <f t="shared" si="57"/>
        <v>-0.64145584857519333</v>
      </c>
      <c r="V204" s="383">
        <f t="shared" si="58"/>
        <v>49.45659057637441</v>
      </c>
      <c r="W204" s="402">
        <f t="shared" si="59"/>
        <v>50.173110212279539</v>
      </c>
      <c r="X204" s="157">
        <f t="shared" si="60"/>
        <v>46577</v>
      </c>
      <c r="Y204" s="385">
        <f t="shared" si="61"/>
        <v>47.039718148761693</v>
      </c>
      <c r="Z204" s="385">
        <f t="shared" si="62"/>
        <v>50.603273507820056</v>
      </c>
      <c r="AA204" s="386">
        <f t="shared" si="63"/>
        <v>57.037042699684811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0.11279983826896953</v>
      </c>
      <c r="AD204" s="231">
        <f>(INDEX(Models!$BJ204:$BT204,,AH204)*(1-AF204)+INDEX(Models!$BJ204:$BT204,,AH204+1)*AF204-ERP_i)*AE204*Ramure*Pc/MaxiM</f>
        <v>1.0768114563244809E-2</v>
      </c>
      <c r="AE204" s="305">
        <f t="shared" si="65"/>
        <v>0.7</v>
      </c>
      <c r="AF204" s="177">
        <f t="shared" si="66"/>
        <v>0.88353171779878537</v>
      </c>
      <c r="AG204" s="921">
        <f t="shared" si="74"/>
        <v>2</v>
      </c>
      <c r="AH204" s="176">
        <f t="shared" si="67"/>
        <v>8</v>
      </c>
      <c r="AI204" s="225">
        <f t="shared" si="68"/>
        <v>2.8835317177987854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49.844913908070509</v>
      </c>
      <c r="C205" s="955"/>
      <c r="D205" s="393">
        <f t="shared" si="50"/>
        <v>53.622155002854718</v>
      </c>
      <c r="E205" s="385">
        <f t="shared" si="75"/>
        <v>57.091213540990232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Wh_hp&gt;='2026'!Maxi_hp</f>
        <v>1</v>
      </c>
      <c r="I205" s="390">
        <f>IF(H205,Wh_hp,'2026'!Maxi_hp)</f>
        <v>57.285515204280557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7.0441799561825058E-2</v>
      </c>
      <c r="M205" s="959"/>
      <c r="N205" s="959"/>
      <c r="O205" s="48">
        <f>IF(t&lt;Tnet,'2026'!Resal+('2026'!Salim-'2026'!Resal)*(1-EXP(('2026'!Tnet-t)/('2026'!Tau_j))),Resal+(Salim-Resal)*(1-EXP((Tnet-t)/(Tau_j))))*Salcycl</f>
        <v>6.0763440168333523E-2</v>
      </c>
      <c r="P205" s="169">
        <f>(INDEX(Models!$BJ205:$BT205,,T205)*(1-R205)+INDEX(Models!$BJ205:$BT205,,T205+1)*R205-ERP_i)*Q205*Ramure*Pc/MaxiM</f>
        <v>3.3918113959077257E-3</v>
      </c>
      <c r="Q205" s="305">
        <f t="shared" si="53"/>
        <v>0.7</v>
      </c>
      <c r="R205" s="177">
        <f t="shared" si="54"/>
        <v>0.36218153907263539</v>
      </c>
      <c r="S205" s="921">
        <f t="shared" si="55"/>
        <v>-1</v>
      </c>
      <c r="T205" s="176">
        <f t="shared" si="56"/>
        <v>5</v>
      </c>
      <c r="U205" s="251">
        <f t="shared" si="57"/>
        <v>-0.63781846092736461</v>
      </c>
      <c r="V205" s="383">
        <f t="shared" si="58"/>
        <v>49.365929859471954</v>
      </c>
      <c r="W205" s="402">
        <f t="shared" si="59"/>
        <v>49.844913908070509</v>
      </c>
      <c r="X205" s="157">
        <f t="shared" si="60"/>
        <v>46578</v>
      </c>
      <c r="Y205" s="385">
        <f t="shared" si="61"/>
        <v>46.737050779099818</v>
      </c>
      <c r="Z205" s="385">
        <f t="shared" si="62"/>
        <v>50.278778410075795</v>
      </c>
      <c r="AA205" s="386">
        <f t="shared" si="63"/>
        <v>56.675459607410126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0.11286509613938783</v>
      </c>
      <c r="AD205" s="231">
        <f>(INDEX(Models!$BJ205:$BT205,,AH205)*(1-AF205)+INDEX(Models!$BJ205:$BT205,,AH205+1)*AF205-ERP_i)*AE205*Ramure*Pc/MaxiM</f>
        <v>1.0649386580446521E-2</v>
      </c>
      <c r="AE205" s="305">
        <f t="shared" si="65"/>
        <v>0.7</v>
      </c>
      <c r="AF205" s="177">
        <f t="shared" si="66"/>
        <v>0.8871691054466142</v>
      </c>
      <c r="AG205" s="921">
        <f t="shared" si="74"/>
        <v>2</v>
      </c>
      <c r="AH205" s="176">
        <f t="shared" si="67"/>
        <v>8</v>
      </c>
      <c r="AI205" s="225">
        <f t="shared" si="68"/>
        <v>2.8871691054466142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48.65950506022137</v>
      </c>
      <c r="C206" s="955"/>
      <c r="D206" s="393">
        <f t="shared" si="50"/>
        <v>52.348062583568705</v>
      </c>
      <c r="E206" s="385">
        <f t="shared" si="75"/>
        <v>55.740935317255087</v>
      </c>
      <c r="F206" s="385">
        <f t="shared" si="51"/>
        <v>55.924163549811809</v>
      </c>
      <c r="G206" s="110">
        <f t="shared" si="76"/>
        <v>0.9874703157692365</v>
      </c>
      <c r="H206" s="414" t="b">
        <f>Wh_hp&gt;='2026'!Maxi_hp</f>
        <v>0</v>
      </c>
      <c r="I206" s="390">
        <f>IF(H206,Wh_hp,'2026'!Maxi_hp)</f>
        <v>56.244702289420005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7.0462159272062896E-2</v>
      </c>
      <c r="M206" s="959"/>
      <c r="N206" s="959"/>
      <c r="O206" s="48">
        <f>IF(t&lt;Tnet,'2026'!Resal+('2026'!Salim-'2026'!Resal)*(1-EXP(('2026'!Tnet-t)/('2026'!Tau_j))),Resal+(Salim-Resal)*(1-EXP((Tnet-t)/(Tau_j))))*Salcycl</f>
        <v>6.086860068593232E-2</v>
      </c>
      <c r="P206" s="169">
        <f>(INDEX(Models!$BJ206:$BT206,,T206)*(1-R206)+INDEX(Models!$BJ206:$BT206,,T206+1)*R206-ERP_i)*Q206*Ramure*Pc/MaxiM</f>
        <v>3.3357983522813838E-3</v>
      </c>
      <c r="Q206" s="305">
        <f t="shared" si="53"/>
        <v>0.7</v>
      </c>
      <c r="R206" s="177">
        <f t="shared" si="54"/>
        <v>0.36573784013099964</v>
      </c>
      <c r="S206" s="921">
        <f t="shared" si="55"/>
        <v>-1</v>
      </c>
      <c r="T206" s="176">
        <f t="shared" si="56"/>
        <v>5</v>
      </c>
      <c r="U206" s="251">
        <f t="shared" si="57"/>
        <v>-0.63426215986900036</v>
      </c>
      <c r="V206" s="383">
        <f t="shared" si="58"/>
        <v>49.273991335904263</v>
      </c>
      <c r="W206" s="402">
        <f t="shared" si="59"/>
        <v>48.65950506022137</v>
      </c>
      <c r="X206" s="157">
        <f t="shared" si="60"/>
        <v>46579</v>
      </c>
      <c r="Y206" s="385">
        <f t="shared" si="61"/>
        <v>45.636683995468253</v>
      </c>
      <c r="Z206" s="385">
        <f t="shared" si="62"/>
        <v>49.096101305278097</v>
      </c>
      <c r="AA206" s="386">
        <f t="shared" si="63"/>
        <v>55.346306683498234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0.11292904175092253</v>
      </c>
      <c r="AD206" s="231">
        <f>(INDEX(Models!$BJ206:$BT206,,AH206)*(1-AF206)+INDEX(Models!$BJ206:$BT206,,AH206+1)*AF206-ERP_i)*AE206*Ramure*Pc/MaxiM</f>
        <v>1.0520289125785287E-2</v>
      </c>
      <c r="AE206" s="305">
        <f t="shared" si="65"/>
        <v>0.7</v>
      </c>
      <c r="AF206" s="177">
        <f t="shared" si="66"/>
        <v>0.89072540650497878</v>
      </c>
      <c r="AG206" s="921">
        <f t="shared" si="74"/>
        <v>2</v>
      </c>
      <c r="AH206" s="176">
        <f t="shared" si="67"/>
        <v>8</v>
      </c>
      <c r="AI206" s="225">
        <f t="shared" si="68"/>
        <v>2.8907254065049788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48.243003588312241</v>
      </c>
      <c r="C207" s="955"/>
      <c r="D207" s="393">
        <f t="shared" ref="D207:D270" si="77">Wh/(1-Ppv)</f>
        <v>51.901125638162547</v>
      </c>
      <c r="E207" s="385">
        <f t="shared" si="75"/>
        <v>55.271177105868681</v>
      </c>
      <c r="F207" s="385">
        <f t="shared" ref="F207:F270" si="78">Wh_sa/(1-Pvg*MEDIAN((-Sdif+Wh/Env_an)/Csdif,0,1))</f>
        <v>55.447974929190103</v>
      </c>
      <c r="G207" s="110">
        <f t="shared" si="76"/>
        <v>0.98084325719037957</v>
      </c>
      <c r="H207" s="414" t="b">
        <f>Wh_hp&gt;='2026'!Maxi_hp</f>
        <v>0</v>
      </c>
      <c r="I207" s="390">
        <f>IF(H207,Wh_hp,'2026'!Maxi_hp)</f>
        <v>57.631675116560842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7.0482518536370886E-2</v>
      </c>
      <c r="M207" s="959"/>
      <c r="N207" s="959"/>
      <c r="O207" s="48">
        <f>IF(t&lt;Tnet,'2026'!Resal+('2026'!Salim-'2026'!Resal)*(1-EXP(('2026'!Tnet-t)/('2026'!Tau_j))),Resal+(Salim-Resal)*(1-EXP((Tnet-t)/(Tau_j))))*Salcycl</f>
        <v>6.0973035932471581E-2</v>
      </c>
      <c r="P207" s="169">
        <f>(INDEX(Models!$BJ207:$BT207,,T207)*(1-R207)+INDEX(Models!$BJ207:$BT207,,T207+1)*R207-ERP_i)*Q207*Ramure*Pc/MaxiM</f>
        <v>3.2778273694896352E-3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0.36921283367771784</v>
      </c>
      <c r="S207" s="921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-0.63078716632228216</v>
      </c>
      <c r="V207" s="383">
        <f t="shared" ref="V207:V270" si="85">MaxiM*(1-Ppv)*(1-Pvg)*(1-Psa)</f>
        <v>49.180826534736113</v>
      </c>
      <c r="W207" s="402">
        <f t="shared" ref="W207:W270" si="86">Wh*(A207&gt;Tmaj)</f>
        <v>48.243003588312241</v>
      </c>
      <c r="X207" s="157">
        <f t="shared" ref="X207:X270" si="87">t</f>
        <v>46580</v>
      </c>
      <c r="Y207" s="385">
        <f t="shared" ref="Y207:Y270" si="88">Wh_pvt_s*(1-Ppv)</f>
        <v>45.254374163300199</v>
      </c>
      <c r="Z207" s="385">
        <f t="shared" ref="Z207:Z270" si="89">Wh_sa_s*(1-Psa_s)</f>
        <v>48.685877421091782</v>
      </c>
      <c r="AA207" s="386">
        <f t="shared" ref="AA207:AA270" si="90">Wh_hp*(1-Pvg_s*MEDIAN((-Sdif+Wh/Env_an)/Csdif,0,1))</f>
        <v>54.887737940032871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0.11299173097125773</v>
      </c>
      <c r="AD207" s="231">
        <f>(INDEX(Models!$BJ207:$BT207,,AH207)*(1-AF207)+INDEX(Models!$BJ207:$BT207,,AH207+1)*AF207-ERP_i)*AE207*Ramure*Pc/MaxiM</f>
        <v>1.0386780232704038E-2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0.89420040005169676</v>
      </c>
      <c r="AG207" s="92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2.8942004000516968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48.489054508047502</v>
      </c>
      <c r="C208" s="955"/>
      <c r="D208" s="393">
        <f t="shared" si="77"/>
        <v>52.166976450721293</v>
      </c>
      <c r="E208" s="385">
        <f t="shared" si="75"/>
        <v>55.560428170613292</v>
      </c>
      <c r="F208" s="385">
        <f t="shared" si="78"/>
        <v>55.736664638301818</v>
      </c>
      <c r="G208" s="110">
        <f t="shared" si="76"/>
        <v>0.9877708440740558</v>
      </c>
      <c r="H208" s="414" t="b">
        <f>Wh_hp&gt;='2026'!Maxi_hp</f>
        <v>0</v>
      </c>
      <c r="I208" s="390">
        <f>IF(H208,Wh_hp,'2026'!Maxi_hp)</f>
        <v>55.738915540832814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7.0502877354758686E-2</v>
      </c>
      <c r="M208" s="959"/>
      <c r="N208" s="959"/>
      <c r="O208" s="48">
        <f>IF(t&lt;Tnet,'2026'!Resal+('2026'!Salim-'2026'!Resal)*(1-EXP(('2026'!Tnet-t)/('2026'!Tau_j))),Resal+(Salim-Resal)*(1-EXP((Tnet-t)/(Tau_j))))*Salcycl</f>
        <v>6.1076774093091715E-2</v>
      </c>
      <c r="P208" s="169">
        <f>(INDEX(Models!$BJ208:$BT208,,T208)*(1-R208)+INDEX(Models!$BJ208:$BT208,,T208+1)*R208-ERP_i)*Q208*Ramure*Pc/MaxiM</f>
        <v>3.2179112725248728E-3</v>
      </c>
      <c r="Q208" s="305">
        <f t="shared" si="80"/>
        <v>0.7</v>
      </c>
      <c r="R208" s="177">
        <f t="shared" si="81"/>
        <v>0.37260644289506328</v>
      </c>
      <c r="S208" s="921">
        <f t="shared" si="82"/>
        <v>-1</v>
      </c>
      <c r="T208" s="176">
        <f t="shared" si="83"/>
        <v>5</v>
      </c>
      <c r="U208" s="251">
        <f t="shared" si="84"/>
        <v>-0.62739355710493672</v>
      </c>
      <c r="V208" s="383">
        <f t="shared" si="85"/>
        <v>49.086620255643815</v>
      </c>
      <c r="W208" s="402">
        <f t="shared" si="86"/>
        <v>48.489054508047502</v>
      </c>
      <c r="X208" s="157">
        <f t="shared" si="87"/>
        <v>46581</v>
      </c>
      <c r="Y208" s="385">
        <f t="shared" si="88"/>
        <v>45.487366667296442</v>
      </c>
      <c r="Z208" s="385">
        <f t="shared" si="89"/>
        <v>48.937608906033681</v>
      </c>
      <c r="AA208" s="386">
        <f t="shared" si="90"/>
        <v>55.175361157473901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0.11305322014363055</v>
      </c>
      <c r="AD208" s="231">
        <f>(INDEX(Models!$BJ208:$BT208,,AH208)*(1-AF208)+INDEX(Models!$BJ208:$BT208,,AH208+1)*AF208-ERP_i)*AE208*Ramure*Pc/MaxiM</f>
        <v>1.0248870860574912E-2</v>
      </c>
      <c r="AE208" s="305">
        <f t="shared" si="92"/>
        <v>0.7</v>
      </c>
      <c r="AF208" s="177">
        <f t="shared" si="93"/>
        <v>0.8975940092690422</v>
      </c>
      <c r="AG208" s="921">
        <f t="shared" ref="AG208:AG271" si="99">INDEX(Echel_vg,AH208)</f>
        <v>2</v>
      </c>
      <c r="AH208" s="176">
        <f t="shared" si="94"/>
        <v>8</v>
      </c>
      <c r="AI208" s="225">
        <f t="shared" si="95"/>
        <v>2.8975940092690422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47.737139375683839</v>
      </c>
      <c r="C209" s="955"/>
      <c r="D209" s="393">
        <f t="shared" si="77"/>
        <v>51.35915303168882</v>
      </c>
      <c r="E209" s="385">
        <f t="shared" si="75"/>
        <v>54.70606130527915</v>
      </c>
      <c r="F209" s="385">
        <f t="shared" si="78"/>
        <v>54.872908970037216</v>
      </c>
      <c r="G209" s="110">
        <f t="shared" si="76"/>
        <v>0.97428239384995907</v>
      </c>
      <c r="H209" s="414" t="b">
        <f>Wh_hp&gt;='2026'!Maxi_hp</f>
        <v>0</v>
      </c>
      <c r="I209" s="390">
        <f>IF(H209,Wh_hp,'2026'!Maxi_hp)</f>
        <v>56.367501147703905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7.0523235727236067E-2</v>
      </c>
      <c r="M209" s="959"/>
      <c r="N209" s="959"/>
      <c r="O209" s="48">
        <f>IF(t&lt;Tnet,'2026'!Resal+('2026'!Salim-'2026'!Resal)*(1-EXP(('2026'!Tnet-t)/('2026'!Tau_j))),Resal+(Salim-Resal)*(1-EXP((Tnet-t)/(Tau_j))))*Salcycl</f>
        <v>6.117984358101386E-2</v>
      </c>
      <c r="P209" s="169">
        <f>(INDEX(Models!$BJ209:$BT209,,T209)*(1-R209)+INDEX(Models!$BJ209:$BT209,,T209+1)*R209-ERP_i)*Q209*Ramure*Pc/MaxiM</f>
        <v>3.1560632800328361E-3</v>
      </c>
      <c r="Q209" s="305">
        <f t="shared" si="80"/>
        <v>0.7</v>
      </c>
      <c r="R209" s="177">
        <f t="shared" si="81"/>
        <v>0.3759187286931962</v>
      </c>
      <c r="S209" s="921">
        <f t="shared" si="82"/>
        <v>-1</v>
      </c>
      <c r="T209" s="176">
        <f t="shared" si="83"/>
        <v>5</v>
      </c>
      <c r="U209" s="251">
        <f t="shared" si="84"/>
        <v>-0.6240812713068038</v>
      </c>
      <c r="V209" s="383">
        <f t="shared" si="85"/>
        <v>48.991557209211919</v>
      </c>
      <c r="W209" s="402">
        <f t="shared" si="86"/>
        <v>47.737139375683839</v>
      </c>
      <c r="X209" s="157">
        <f t="shared" si="87"/>
        <v>46582</v>
      </c>
      <c r="Y209" s="385">
        <f t="shared" si="88"/>
        <v>44.793513984840743</v>
      </c>
      <c r="Z209" s="385">
        <f t="shared" si="89"/>
        <v>48.19218264147554</v>
      </c>
      <c r="AA209" s="386">
        <f t="shared" si="90"/>
        <v>54.338617415748224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0.11311356575832471</v>
      </c>
      <c r="AD209" s="231">
        <f>(INDEX(Models!$BJ209:$BT209,,AH209)*(1-AF209)+INDEX(Models!$BJ209:$BT209,,AH209+1)*AF209-ERP_i)*AE209*Ramure*Pc/MaxiM</f>
        <v>1.0106572110363522E-2</v>
      </c>
      <c r="AE209" s="305">
        <f t="shared" si="92"/>
        <v>0.7</v>
      </c>
      <c r="AF209" s="177">
        <f t="shared" si="93"/>
        <v>0.90090629506717512</v>
      </c>
      <c r="AG209" s="921">
        <f t="shared" si="99"/>
        <v>2</v>
      </c>
      <c r="AH209" s="176">
        <f t="shared" si="94"/>
        <v>8</v>
      </c>
      <c r="AI209" s="225">
        <f t="shared" si="95"/>
        <v>2.9009062950671751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45.787622403878153</v>
      </c>
      <c r="C210" s="955"/>
      <c r="D210" s="393">
        <f t="shared" si="77"/>
        <v>49.262797148147264</v>
      </c>
      <c r="E210" s="385">
        <f t="shared" si="75"/>
        <v>52.478818418051546</v>
      </c>
      <c r="F210" s="385">
        <f t="shared" si="78"/>
        <v>52.626777650288162</v>
      </c>
      <c r="G210" s="110">
        <f t="shared" si="76"/>
        <v>0.93616849854614126</v>
      </c>
      <c r="H210" s="414" t="b">
        <f>Wh_hp&gt;='2026'!Maxi_hp</f>
        <v>0</v>
      </c>
      <c r="I210" s="390">
        <f>IF(H210,Wh_hp,'2026'!Maxi_hp)</f>
        <v>57.830639820469678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7.0543593653812908E-2</v>
      </c>
      <c r="M210" s="959"/>
      <c r="N210" s="959"/>
      <c r="O210" s="48">
        <f>IF(t&lt;Tnet,'2026'!Resal+('2026'!Salim-'2026'!Resal)*(1-EXP(('2026'!Tnet-t)/('2026'!Tau_j))),Resal+(Salim-Resal)*(1-EXP((Tnet-t)/(Tau_j))))*Salcycl</f>
        <v>6.1282272864551506E-2</v>
      </c>
      <c r="P210" s="169">
        <f>(INDEX(Models!$BJ210:$BT210,,T210)*(1-R210)+INDEX(Models!$BJ210:$BT210,,T210+1)*R210-ERP_i)*Q210*Ramure*Pc/MaxiM</f>
        <v>3.0922968847320979E-3</v>
      </c>
      <c r="Q210" s="305">
        <f t="shared" si="80"/>
        <v>0.7</v>
      </c>
      <c r="R210" s="177">
        <f t="shared" si="81"/>
        <v>0.37914988309834863</v>
      </c>
      <c r="S210" s="921">
        <f t="shared" si="82"/>
        <v>-1</v>
      </c>
      <c r="T210" s="176">
        <f t="shared" si="83"/>
        <v>5</v>
      </c>
      <c r="U210" s="251">
        <f t="shared" si="84"/>
        <v>-0.62085011690165137</v>
      </c>
      <c r="V210" s="383">
        <f t="shared" si="85"/>
        <v>48.895822036777538</v>
      </c>
      <c r="W210" s="402">
        <f t="shared" si="86"/>
        <v>45.787622403878153</v>
      </c>
      <c r="X210" s="157">
        <f t="shared" si="87"/>
        <v>46583</v>
      </c>
      <c r="Y210" s="385">
        <f t="shared" si="88"/>
        <v>42.985715634699929</v>
      </c>
      <c r="Z210" s="385">
        <f t="shared" si="89"/>
        <v>46.24823212923166</v>
      </c>
      <c r="AA210" s="386">
        <f t="shared" si="90"/>
        <v>52.150219781039091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0.11317282413358662</v>
      </c>
      <c r="AD210" s="231">
        <f>(INDEX(Models!$BJ210:$BT210,,AH210)*(1-AF210)+INDEX(Models!$BJ210:$BT210,,AH210+1)*AF210-ERP_i)*AE210*Ramure*Pc/MaxiM</f>
        <v>9.9598949805089765E-3</v>
      </c>
      <c r="AE210" s="305">
        <f t="shared" si="92"/>
        <v>0.7</v>
      </c>
      <c r="AF210" s="177">
        <f t="shared" si="93"/>
        <v>0.90413744947232733</v>
      </c>
      <c r="AG210" s="921">
        <f t="shared" si="99"/>
        <v>2</v>
      </c>
      <c r="AH210" s="176">
        <f t="shared" si="94"/>
        <v>8</v>
      </c>
      <c r="AI210" s="225">
        <f t="shared" si="95"/>
        <v>2.9041374494723273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47.524248409213463</v>
      </c>
      <c r="C211" s="955"/>
      <c r="D211" s="393">
        <f t="shared" si="77"/>
        <v>51.132348984336311</v>
      </c>
      <c r="E211" s="385">
        <f t="shared" si="75"/>
        <v>54.476328875179355</v>
      </c>
      <c r="F211" s="385">
        <f t="shared" si="78"/>
        <v>54.635516383784349</v>
      </c>
      <c r="G211" s="110">
        <f t="shared" si="76"/>
        <v>0.97375517794296473</v>
      </c>
      <c r="H211" s="414" t="b">
        <f>Wh_hp&gt;='2026'!Maxi_hp</f>
        <v>0</v>
      </c>
      <c r="I211" s="390">
        <f>IF(H211,Wh_hp,'2026'!Maxi_hp)</f>
        <v>57.203978991704709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7.056395113449887E-2</v>
      </c>
      <c r="M211" s="959"/>
      <c r="N211" s="959"/>
      <c r="O211" s="48">
        <f>IF(t&lt;Tnet,'2026'!Resal+('2026'!Salim-'2026'!Resal)*(1-EXP(('2026'!Tnet-t)/('2026'!Tau_j))),Resal+(Salim-Resal)*(1-EXP((Tnet-t)/(Tau_j))))*Salcycl</f>
        <v>6.1384090299202256E-2</v>
      </c>
      <c r="P211" s="169">
        <f>(INDEX(Models!$BJ211:$BT211,,T211)*(1-R211)+INDEX(Models!$BJ211:$BT211,,T211+1)*R211-ERP_i)*Q211*Ramure*Pc/MaxiM</f>
        <v>3.0266257469578855E-3</v>
      </c>
      <c r="Q211" s="305">
        <f t="shared" si="80"/>
        <v>0.7</v>
      </c>
      <c r="R211" s="177">
        <f t="shared" si="81"/>
        <v>0.38230022245969009</v>
      </c>
      <c r="S211" s="921">
        <f t="shared" si="82"/>
        <v>-1</v>
      </c>
      <c r="T211" s="176">
        <f t="shared" si="83"/>
        <v>5</v>
      </c>
      <c r="U211" s="251">
        <f t="shared" si="84"/>
        <v>-0.61769977754030991</v>
      </c>
      <c r="V211" s="383">
        <f t="shared" si="85"/>
        <v>48.799599330980193</v>
      </c>
      <c r="W211" s="402">
        <f t="shared" si="86"/>
        <v>47.524248409213463</v>
      </c>
      <c r="X211" s="157">
        <f t="shared" si="87"/>
        <v>46584</v>
      </c>
      <c r="Y211" s="385">
        <f t="shared" si="88"/>
        <v>44.605115970687834</v>
      </c>
      <c r="Z211" s="385">
        <f t="shared" si="89"/>
        <v>47.991592347998811</v>
      </c>
      <c r="AA211" s="386">
        <f t="shared" si="90"/>
        <v>54.119613015283115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0.11323105110810347</v>
      </c>
      <c r="AD211" s="231">
        <f>(INDEX(Models!$BJ211:$BT211,,AH211)*(1-AF211)+INDEX(Models!$BJ211:$BT211,,AH211+1)*AF211-ERP_i)*AE211*Ramure*Pc/MaxiM</f>
        <v>9.8088501524492538E-3</v>
      </c>
      <c r="AE211" s="305">
        <f t="shared" si="92"/>
        <v>0.7</v>
      </c>
      <c r="AF211" s="177">
        <f t="shared" si="93"/>
        <v>0.90728778883366878</v>
      </c>
      <c r="AG211" s="921">
        <f t="shared" si="99"/>
        <v>2</v>
      </c>
      <c r="AH211" s="176">
        <f t="shared" si="94"/>
        <v>8</v>
      </c>
      <c r="AI211" s="225">
        <f t="shared" si="95"/>
        <v>2.9072877888336688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47.500323692153451</v>
      </c>
      <c r="C212" s="955"/>
      <c r="D212" s="393">
        <f t="shared" si="77"/>
        <v>51.107727263126712</v>
      </c>
      <c r="E212" s="385">
        <f t="shared" si="75"/>
        <v>54.455970234900477</v>
      </c>
      <c r="F212" s="385">
        <f t="shared" si="78"/>
        <v>54.611861315178295</v>
      </c>
      <c r="G212" s="110">
        <f t="shared" si="76"/>
        <v>0.97520218816636584</v>
      </c>
      <c r="H212" s="414" t="b">
        <f>Wh_hp&gt;='2026'!Maxi_hp</f>
        <v>0</v>
      </c>
      <c r="I212" s="390">
        <f>IF(H212,Wh_hp,'2026'!Maxi_hp)</f>
        <v>57.205914857920881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7.0584308169303722E-2</v>
      </c>
      <c r="M212" s="959"/>
      <c r="N212" s="959"/>
      <c r="O212" s="48">
        <f>IF(t&lt;Tnet,'2026'!Resal+('2026'!Salim-'2026'!Resal)*(1-EXP(('2026'!Tnet-t)/('2026'!Tau_j))),Resal+(Salim-Resal)*(1-EXP((Tnet-t)/(Tau_j))))*Salcycl</f>
        <v>6.1485323965964345E-2</v>
      </c>
      <c r="P212" s="169">
        <f>(INDEX(Models!$BJ212:$BT212,,T212)*(1-R212)+INDEX(Models!$BJ212:$BT212,,T212+1)*R212-ERP_i)*Q212*Ramure*Pc/MaxiM</f>
        <v>2.9589172423684787E-3</v>
      </c>
      <c r="Q212" s="305">
        <f t="shared" si="80"/>
        <v>0.7</v>
      </c>
      <c r="R212" s="177">
        <f t="shared" si="81"/>
        <v>0.38537018052626637</v>
      </c>
      <c r="S212" s="921">
        <f t="shared" si="82"/>
        <v>-1</v>
      </c>
      <c r="T212" s="176">
        <f t="shared" si="83"/>
        <v>5</v>
      </c>
      <c r="U212" s="251">
        <f t="shared" si="84"/>
        <v>-0.61462981947373363</v>
      </c>
      <c r="V212" s="383">
        <f t="shared" si="85"/>
        <v>48.703080801947955</v>
      </c>
      <c r="W212" s="402">
        <f t="shared" si="86"/>
        <v>47.500323692153451</v>
      </c>
      <c r="X212" s="157">
        <f t="shared" si="87"/>
        <v>46585</v>
      </c>
      <c r="Y212" s="385">
        <f t="shared" si="88"/>
        <v>44.587799731875322</v>
      </c>
      <c r="Z212" s="385">
        <f t="shared" si="89"/>
        <v>47.97401219259541</v>
      </c>
      <c r="AA212" s="386">
        <f t="shared" si="90"/>
        <v>54.103281018076459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0.11328830174704553</v>
      </c>
      <c r="AD212" s="231">
        <f>(INDEX(Models!$BJ212:$BT212,,AH212)*(1-AF212)+INDEX(Models!$BJ212:$BT212,,AH212+1)*AF212-ERP_i)*AE212*Ramure*Pc/MaxiM</f>
        <v>9.6531950868624979E-3</v>
      </c>
      <c r="AE212" s="305">
        <f t="shared" si="92"/>
        <v>0.7</v>
      </c>
      <c r="AF212" s="177">
        <f t="shared" si="93"/>
        <v>0.91035774690024507</v>
      </c>
      <c r="AG212" s="921">
        <f t="shared" si="99"/>
        <v>2</v>
      </c>
      <c r="AH212" s="176">
        <f t="shared" si="94"/>
        <v>8</v>
      </c>
      <c r="AI212" s="225">
        <f t="shared" si="95"/>
        <v>2.9103577469002451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48.244870900044617</v>
      </c>
      <c r="C213" s="955"/>
      <c r="D213" s="393">
        <f t="shared" si="77"/>
        <v>51.90995593656033</v>
      </c>
      <c r="E213" s="385">
        <f t="shared" si="75"/>
        <v>55.316689670521569</v>
      </c>
      <c r="F213" s="385">
        <f t="shared" si="78"/>
        <v>55.475333572764718</v>
      </c>
      <c r="G213" s="110">
        <f t="shared" si="76"/>
        <v>0.99253173851514376</v>
      </c>
      <c r="H213" s="414" t="b">
        <f>Wh_hp&gt;='2026'!Maxi_hp</f>
        <v>0</v>
      </c>
      <c r="I213" s="390">
        <f>IF(H213,Wh_hp,'2026'!Maxi_hp)</f>
        <v>55.476548518307396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7.0604664758237345E-2</v>
      </c>
      <c r="M213" s="959"/>
      <c r="N213" s="959"/>
      <c r="O213" s="48">
        <f>IF(t&lt;Tnet,'2026'!Resal+('2026'!Salim-'2026'!Resal)*(1-EXP(('2026'!Tnet-t)/('2026'!Tau_j))),Resal+(Salim-Resal)*(1-EXP((Tnet-t)/(Tau_j))))*Salcycl</f>
        <v>6.1586001516947153E-2</v>
      </c>
      <c r="P213" s="169">
        <f>(INDEX(Models!$BJ213:$BT213,,T213)*(1-R213)+INDEX(Models!$BJ213:$BT213,,T213+1)*R213-ERP_i)*Q213*Ramure*Pc/MaxiM</f>
        <v>2.8904312837508546E-3</v>
      </c>
      <c r="Q213" s="305">
        <f t="shared" si="80"/>
        <v>0.7</v>
      </c>
      <c r="R213" s="177">
        <f t="shared" si="81"/>
        <v>0.38836030144255673</v>
      </c>
      <c r="S213" s="921">
        <f t="shared" si="82"/>
        <v>-1</v>
      </c>
      <c r="T213" s="176">
        <f t="shared" si="83"/>
        <v>5</v>
      </c>
      <c r="U213" s="251">
        <f t="shared" si="84"/>
        <v>-0.61163969855744327</v>
      </c>
      <c r="V213" s="383">
        <f t="shared" si="85"/>
        <v>48.606390204423704</v>
      </c>
      <c r="W213" s="402">
        <f t="shared" si="86"/>
        <v>48.244870900044617</v>
      </c>
      <c r="X213" s="157">
        <f t="shared" si="87"/>
        <v>46586</v>
      </c>
      <c r="Y213" s="385">
        <f t="shared" si="88"/>
        <v>45.285148919621705</v>
      </c>
      <c r="Z213" s="385">
        <f t="shared" si="89"/>
        <v>48.725388650505465</v>
      </c>
      <c r="AA213" s="386">
        <f t="shared" si="90"/>
        <v>54.954145999246755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0.11334463006352001</v>
      </c>
      <c r="AD213" s="231">
        <f>(INDEX(Models!$BJ213:$BT213,,AH213)*(1-AF213)+INDEX(Models!$BJ213:$BT213,,AH213+1)*AF213-ERP_i)*AE213*Ramure*Pc/MaxiM</f>
        <v>9.495838452647053E-3</v>
      </c>
      <c r="AE213" s="305">
        <f t="shared" si="92"/>
        <v>0.7</v>
      </c>
      <c r="AF213" s="177">
        <f t="shared" si="93"/>
        <v>0.91334786781653587</v>
      </c>
      <c r="AG213" s="921">
        <f t="shared" si="99"/>
        <v>2</v>
      </c>
      <c r="AH213" s="176">
        <f t="shared" si="94"/>
        <v>8</v>
      </c>
      <c r="AI213" s="225">
        <f t="shared" si="95"/>
        <v>2.9133478678165359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32.956596335285752</v>
      </c>
      <c r="C214" s="955"/>
      <c r="D214" s="393">
        <f t="shared" si="77"/>
        <v>35.461032496535587</v>
      </c>
      <c r="E214" s="385">
        <f t="shared" si="75"/>
        <v>37.792293588804498</v>
      </c>
      <c r="F214" s="385">
        <f t="shared" si="78"/>
        <v>37.850166906031674</v>
      </c>
      <c r="G214" s="110">
        <f t="shared" si="76"/>
        <v>0.6785021789632687</v>
      </c>
      <c r="H214" s="414" t="b">
        <f>Wh_hp&gt;='2026'!Maxi_hp</f>
        <v>0</v>
      </c>
      <c r="I214" s="390">
        <f>IF(H214,Wh_hp,'2026'!Maxi_hp)</f>
        <v>57.76277955645417</v>
      </c>
      <c r="J214" s="85">
        <f>IF(H214,An,'2026'!An_max)</f>
        <v>2021</v>
      </c>
      <c r="K214" s="197">
        <f t="shared" si="79"/>
        <v>46587</v>
      </c>
      <c r="L214" s="147">
        <f>IF(t&lt;Tvie,1-EXP((T0-t)*PertePVj)+'2026'!Pspv,1-EXP((T0-t)*PertePVj)+Pspv)</f>
        <v>7.0625020901309399E-2</v>
      </c>
      <c r="M214" s="959"/>
      <c r="N214" s="959"/>
      <c r="O214" s="48">
        <f>IF(t&lt;Tnet,'2026'!Resal+('2026'!Salim-'2026'!Resal)*(1-EXP(('2026'!Tnet-t)/('2026'!Tau_j))),Resal+(Salim-Resal)*(1-EXP((Tnet-t)/(Tau_j))))*Salcycl</f>
        <v>6.1686150029261887E-2</v>
      </c>
      <c r="P214" s="169">
        <f>(INDEX(Models!$BJ214:$BT214,,T214)*(1-R214)+INDEX(Models!$BJ214:$BT214,,T214+1)*R214-ERP_i)*Q214*Ramure*Pc/MaxiM</f>
        <v>2.8211915522476068E-3</v>
      </c>
      <c r="Q214" s="305">
        <f t="shared" si="80"/>
        <v>0.7</v>
      </c>
      <c r="R214" s="177">
        <f t="shared" si="81"/>
        <v>0.39127123270812048</v>
      </c>
      <c r="S214" s="921">
        <f t="shared" si="82"/>
        <v>-1</v>
      </c>
      <c r="T214" s="176">
        <f t="shared" si="83"/>
        <v>5</v>
      </c>
      <c r="U214" s="251">
        <f t="shared" si="84"/>
        <v>-0.60872876729187952</v>
      </c>
      <c r="V214" s="383">
        <f t="shared" si="85"/>
        <v>48.50971192896948</v>
      </c>
      <c r="W214" s="402">
        <f t="shared" si="86"/>
        <v>32.956596335285752</v>
      </c>
      <c r="X214" s="157">
        <f t="shared" si="87"/>
        <v>46587</v>
      </c>
      <c r="Y214" s="385">
        <f t="shared" si="88"/>
        <v>31.030103037323077</v>
      </c>
      <c r="Z214" s="385">
        <f t="shared" si="89"/>
        <v>33.388141207993485</v>
      </c>
      <c r="AA214" s="386">
        <f t="shared" si="90"/>
        <v>37.658633600795298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0.11340008875711369</v>
      </c>
      <c r="AD214" s="231">
        <f>(INDEX(Models!$BJ214:$BT214,,AH214)*(1-AF214)+INDEX(Models!$BJ214:$BT214,,AH214+1)*AF214-ERP_i)*AE214*Ramure*Pc/MaxiM</f>
        <v>9.3368095798939659E-3</v>
      </c>
      <c r="AE214" s="305">
        <f t="shared" si="92"/>
        <v>0.7</v>
      </c>
      <c r="AF214" s="177">
        <f t="shared" si="93"/>
        <v>0.91625879908209962</v>
      </c>
      <c r="AG214" s="921">
        <f t="shared" si="99"/>
        <v>2</v>
      </c>
      <c r="AH214" s="176">
        <f t="shared" si="94"/>
        <v>8</v>
      </c>
      <c r="AI214" s="225">
        <f t="shared" si="95"/>
        <v>2.9162587990820996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37.517763367654176</v>
      </c>
      <c r="C215" s="955"/>
      <c r="D215" s="393">
        <f t="shared" si="77"/>
        <v>40.369695725338786</v>
      </c>
      <c r="E215" s="385">
        <f t="shared" si="75"/>
        <v>43.02822910541088</v>
      </c>
      <c r="F215" s="385">
        <f t="shared" si="78"/>
        <v>43.108700027619676</v>
      </c>
      <c r="G215" s="110">
        <f t="shared" si="76"/>
        <v>0.77426182178600078</v>
      </c>
      <c r="H215" s="414" t="b">
        <f>Wh_hp&gt;='2026'!Maxi_hp</f>
        <v>0</v>
      </c>
      <c r="I215" s="390">
        <f>IF(H215,Wh_hp,'2026'!Maxi_hp)</f>
        <v>55.682250887635263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7.0645376598529652E-2</v>
      </c>
      <c r="M215" s="959"/>
      <c r="N215" s="959"/>
      <c r="O215" s="48">
        <f>IF(t&lt;Tnet,'2026'!Resal+('2026'!Salim-'2026'!Resal)*(1-EXP(('2026'!Tnet-t)/('2026'!Tau_j))),Resal+(Salim-Resal)*(1-EXP((Tnet-t)/(Tau_j))))*Salcycl</f>
        <v>6.1785795868084616E-2</v>
      </c>
      <c r="P215" s="169">
        <f>(INDEX(Models!$BJ215:$BT215,,T215)*(1-R215)+INDEX(Models!$BJ215:$BT215,,T215+1)*R215-ERP_i)*Q215*Ramure*Pc/MaxiM</f>
        <v>2.7512212239310008E-3</v>
      </c>
      <c r="Q215" s="305">
        <f t="shared" si="80"/>
        <v>0.7</v>
      </c>
      <c r="R215" s="177">
        <f t="shared" si="81"/>
        <v>0.3941037181435556</v>
      </c>
      <c r="S215" s="921">
        <f t="shared" si="82"/>
        <v>-1</v>
      </c>
      <c r="T215" s="176">
        <f t="shared" si="83"/>
        <v>5</v>
      </c>
      <c r="U215" s="251">
        <f t="shared" si="84"/>
        <v>-0.6058962818564444</v>
      </c>
      <c r="V215" s="383">
        <f t="shared" si="85"/>
        <v>48.413230402686693</v>
      </c>
      <c r="W215" s="402">
        <f t="shared" si="86"/>
        <v>37.517763367654176</v>
      </c>
      <c r="X215" s="157">
        <f t="shared" si="87"/>
        <v>46588</v>
      </c>
      <c r="Y215" s="385">
        <f t="shared" si="88"/>
        <v>35.29676818753574</v>
      </c>
      <c r="Z215" s="385">
        <f t="shared" si="89"/>
        <v>37.979870437775773</v>
      </c>
      <c r="AA215" s="386">
        <f t="shared" si="90"/>
        <v>42.840305711285112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0.11345472897101644</v>
      </c>
      <c r="AD215" s="231">
        <f>(INDEX(Models!$BJ215:$BT215,,AH215)*(1-AF215)+INDEX(Models!$BJ215:$BT215,,AH215+1)*AF215-ERP_i)*AE215*Ramure*Pc/MaxiM</f>
        <v>9.1761361646406289E-3</v>
      </c>
      <c r="AE215" s="305">
        <f t="shared" si="92"/>
        <v>0.7</v>
      </c>
      <c r="AF215" s="177">
        <f t="shared" si="93"/>
        <v>0.91909128451753475</v>
      </c>
      <c r="AG215" s="921">
        <f t="shared" si="99"/>
        <v>2</v>
      </c>
      <c r="AH215" s="176">
        <f t="shared" si="94"/>
        <v>8</v>
      </c>
      <c r="AI215" s="225">
        <f t="shared" si="95"/>
        <v>2.9190912845175347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46.826465646689869</v>
      </c>
      <c r="C216" s="955"/>
      <c r="D216" s="393">
        <f t="shared" si="77"/>
        <v>50.387107471998611</v>
      </c>
      <c r="E216" s="385">
        <f t="shared" si="75"/>
        <v>53.711011516139699</v>
      </c>
      <c r="F216" s="385">
        <f t="shared" si="78"/>
        <v>53.848994241957861</v>
      </c>
      <c r="G216" s="110">
        <f t="shared" si="76"/>
        <v>0.96903353277794868</v>
      </c>
      <c r="H216" s="414" t="b">
        <f>Wh_hp&gt;='2026'!Maxi_hp</f>
        <v>0</v>
      </c>
      <c r="I216" s="390">
        <f>IF(H216,Wh_hp,'2026'!Maxi_hp)</f>
        <v>53.853504182413779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7.0665731849907876E-2</v>
      </c>
      <c r="M216" s="959"/>
      <c r="N216" s="959"/>
      <c r="O216" s="48">
        <f>IF(t&lt;Tnet,'2026'!Resal+('2026'!Salim-'2026'!Resal)*(1-EXP(('2026'!Tnet-t)/('2026'!Tau_j))),Resal+(Salim-Resal)*(1-EXP((Tnet-t)/(Tau_j))))*Salcycl</f>
        <v>6.1884964559684043E-2</v>
      </c>
      <c r="P216" s="169">
        <f>(INDEX(Models!$BJ216:$BT216,,T216)*(1-R216)+INDEX(Models!$BJ216:$BT216,,T216+1)*R216-ERP_i)*Q216*Ramure*Pc/MaxiM</f>
        <v>2.6805429450289433E-3</v>
      </c>
      <c r="Q216" s="305">
        <f t="shared" si="80"/>
        <v>0.7</v>
      </c>
      <c r="R216" s="177">
        <f t="shared" si="81"/>
        <v>0.39685859090161557</v>
      </c>
      <c r="S216" s="921">
        <f t="shared" si="82"/>
        <v>-1</v>
      </c>
      <c r="T216" s="176">
        <f t="shared" si="83"/>
        <v>5</v>
      </c>
      <c r="U216" s="251">
        <f t="shared" si="84"/>
        <v>-0.60314140909838443</v>
      </c>
      <c r="V216" s="383">
        <f t="shared" si="85"/>
        <v>48.317130098311452</v>
      </c>
      <c r="W216" s="402">
        <f t="shared" si="86"/>
        <v>46.826465646689869</v>
      </c>
      <c r="X216" s="157">
        <f t="shared" si="87"/>
        <v>46589</v>
      </c>
      <c r="Y216" s="385">
        <f t="shared" si="88"/>
        <v>43.981063880310302</v>
      </c>
      <c r="Z216" s="385">
        <f t="shared" si="89"/>
        <v>47.325343945249998</v>
      </c>
      <c r="AA216" s="386">
        <f t="shared" si="90"/>
        <v>53.385000631630099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0.11350860006902044</v>
      </c>
      <c r="AD216" s="231">
        <f>(INDEX(Models!$BJ216:$BT216,,AH216)*(1-AF216)+INDEX(Models!$BJ216:$BT216,,AH216+1)*AF216-ERP_i)*AE216*Ramure*Pc/MaxiM</f>
        <v>9.0138442426601611E-3</v>
      </c>
      <c r="AE216" s="305">
        <f t="shared" si="92"/>
        <v>0.7</v>
      </c>
      <c r="AF216" s="177">
        <f t="shared" si="93"/>
        <v>0.92184615727559471</v>
      </c>
      <c r="AG216" s="921">
        <f t="shared" si="99"/>
        <v>2</v>
      </c>
      <c r="AH216" s="176">
        <f t="shared" si="94"/>
        <v>8</v>
      </c>
      <c r="AI216" s="225">
        <f t="shared" si="95"/>
        <v>2.9218461572755947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35.74117089177318</v>
      </c>
      <c r="C217" s="955"/>
      <c r="D217" s="393">
        <f t="shared" si="77"/>
        <v>38.459739360990312</v>
      </c>
      <c r="E217" s="385">
        <f t="shared" si="75"/>
        <v>41.001140991523606</v>
      </c>
      <c r="F217" s="385">
        <f t="shared" si="78"/>
        <v>41.06867744204488</v>
      </c>
      <c r="G217" s="110">
        <f t="shared" si="76"/>
        <v>0.7404697850461488</v>
      </c>
      <c r="H217" s="414" t="b">
        <f>Wh_hp&gt;='2026'!Maxi_hp</f>
        <v>0</v>
      </c>
      <c r="I217" s="390">
        <f>IF(H217,Wh_hp,'2026'!Maxi_hp)</f>
        <v>54.507643131176636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7.068608665545395E-2</v>
      </c>
      <c r="M217" s="959"/>
      <c r="N217" s="959"/>
      <c r="O217" s="48">
        <f>IF(t&lt;Tnet,'2026'!Resal+('2026'!Salim-'2026'!Resal)*(1-EXP(('2026'!Tnet-t)/('2026'!Tau_j))),Resal+(Salim-Resal)*(1-EXP((Tnet-t)/(Tau_j))))*Salcycl</f>
        <v>6.1983680675098476E-2</v>
      </c>
      <c r="P217" s="169">
        <f>(INDEX(Models!$BJ217:$BT217,,T217)*(1-R217)+INDEX(Models!$BJ217:$BT217,,T217+1)*R217-ERP_i)*Q217*Ramure*Pc/MaxiM</f>
        <v>2.6091788212740069E-3</v>
      </c>
      <c r="Q217" s="305">
        <f t="shared" si="80"/>
        <v>0.7</v>
      </c>
      <c r="R217" s="177">
        <f t="shared" si="81"/>
        <v>0.3995367665588947</v>
      </c>
      <c r="S217" s="921">
        <f t="shared" si="82"/>
        <v>-1</v>
      </c>
      <c r="T217" s="176">
        <f t="shared" si="83"/>
        <v>5</v>
      </c>
      <c r="U217" s="251">
        <f t="shared" si="84"/>
        <v>-0.6004632334411053</v>
      </c>
      <c r="V217" s="383">
        <f t="shared" si="85"/>
        <v>48.221595542193754</v>
      </c>
      <c r="W217" s="402">
        <f t="shared" si="86"/>
        <v>35.74117089177318</v>
      </c>
      <c r="X217" s="157">
        <f t="shared" si="87"/>
        <v>46590</v>
      </c>
      <c r="Y217" s="385">
        <f t="shared" si="88"/>
        <v>33.642824086091331</v>
      </c>
      <c r="Z217" s="385">
        <f t="shared" si="89"/>
        <v>36.20178671920749</v>
      </c>
      <c r="AA217" s="386">
        <f t="shared" si="90"/>
        <v>40.839603543812743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0.1135617494334832</v>
      </c>
      <c r="AD217" s="231">
        <f>(INDEX(Models!$BJ217:$BT217,,AH217)*(1-AF217)+INDEX(Models!$BJ217:$BT217,,AH217+1)*AF217-ERP_i)*AE217*Ramure*Pc/MaxiM</f>
        <v>8.8499581953263469E-3</v>
      </c>
      <c r="AE217" s="305">
        <f t="shared" si="92"/>
        <v>0.7</v>
      </c>
      <c r="AF217" s="177">
        <f t="shared" si="93"/>
        <v>0.92452433293287362</v>
      </c>
      <c r="AG217" s="921">
        <f t="shared" si="99"/>
        <v>2</v>
      </c>
      <c r="AH217" s="176">
        <f t="shared" si="94"/>
        <v>8</v>
      </c>
      <c r="AI217" s="225">
        <f t="shared" si="95"/>
        <v>2.9245243329328736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39.877030441352119</v>
      </c>
      <c r="C218" s="955"/>
      <c r="D218" s="393">
        <f t="shared" si="77"/>
        <v>42.911123246043502</v>
      </c>
      <c r="E218" s="385">
        <f t="shared" si="75"/>
        <v>45.751464167887292</v>
      </c>
      <c r="F218" s="385">
        <f t="shared" si="78"/>
        <v>45.839285240956116</v>
      </c>
      <c r="G218" s="110">
        <f t="shared" si="76"/>
        <v>0.82806664452474199</v>
      </c>
      <c r="H218" s="414" t="b">
        <f>Wh_hp&gt;='2026'!Maxi_hp</f>
        <v>0</v>
      </c>
      <c r="I218" s="390">
        <f>IF(H218,Wh_hp,'2026'!Maxi_hp)</f>
        <v>56.297408043792899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7.0706441015177424E-2</v>
      </c>
      <c r="M218" s="959"/>
      <c r="N218" s="959"/>
      <c r="O218" s="48">
        <f>IF(t&lt;Tnet,'2026'!Resal+('2026'!Salim-'2026'!Resal)*(1-EXP(('2026'!Tnet-t)/('2026'!Tau_j))),Resal+(Salim-Resal)*(1-EXP((Tnet-t)/(Tau_j))))*Salcycl</f>
        <v>6.2081967725033133E-2</v>
      </c>
      <c r="P218" s="169">
        <f>(INDEX(Models!$BJ218:$BT218,,T218)*(1-R218)+INDEX(Models!$BJ218:$BT218,,T218+1)*R218-ERP_i)*Q218*Ramure*Pc/MaxiM</f>
        <v>2.5371504209527108E-3</v>
      </c>
      <c r="Q218" s="305">
        <f t="shared" si="80"/>
        <v>0.7</v>
      </c>
      <c r="R218" s="177">
        <f t="shared" si="81"/>
        <v>0.4021392363200269</v>
      </c>
      <c r="S218" s="921">
        <f t="shared" si="82"/>
        <v>-1</v>
      </c>
      <c r="T218" s="176">
        <f t="shared" si="83"/>
        <v>5</v>
      </c>
      <c r="U218" s="251">
        <f t="shared" si="84"/>
        <v>-0.5978607636799731</v>
      </c>
      <c r="V218" s="383">
        <f t="shared" si="85"/>
        <v>48.126811320920623</v>
      </c>
      <c r="W218" s="402">
        <f t="shared" si="86"/>
        <v>39.877030441352119</v>
      </c>
      <c r="X218" s="157">
        <f t="shared" si="87"/>
        <v>46591</v>
      </c>
      <c r="Y218" s="385">
        <f t="shared" si="88"/>
        <v>37.510783754937698</v>
      </c>
      <c r="Z218" s="385">
        <f t="shared" si="89"/>
        <v>40.364837776251427</v>
      </c>
      <c r="AA218" s="386">
        <f t="shared" si="90"/>
        <v>45.538679422759962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0.11361422228512569</v>
      </c>
      <c r="AD218" s="231">
        <f>(INDEX(Models!$BJ218:$BT218,,AH218)*(1-AF218)+INDEX(Models!$BJ218:$BT218,,AH218+1)*AF218-ERP_i)*AE218*Ramure*Pc/MaxiM</f>
        <v>8.6845007869521141E-3</v>
      </c>
      <c r="AE218" s="305">
        <f t="shared" si="92"/>
        <v>0.7</v>
      </c>
      <c r="AF218" s="177">
        <f t="shared" si="93"/>
        <v>0.92712680269400582</v>
      </c>
      <c r="AG218" s="921">
        <f t="shared" si="99"/>
        <v>2</v>
      </c>
      <c r="AH218" s="176">
        <f t="shared" si="94"/>
        <v>8</v>
      </c>
      <c r="AI218" s="225">
        <f t="shared" si="95"/>
        <v>2.9271268026940058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47.214917855909768</v>
      </c>
      <c r="C219" s="955"/>
      <c r="D219" s="393">
        <f t="shared" si="77"/>
        <v>50.808435665921145</v>
      </c>
      <c r="E219" s="385">
        <f t="shared" si="75"/>
        <v>54.177163458437022</v>
      </c>
      <c r="F219" s="385">
        <f t="shared" si="78"/>
        <v>54.307748990077698</v>
      </c>
      <c r="G219" s="110">
        <f t="shared" si="76"/>
        <v>0.98291548199116452</v>
      </c>
      <c r="H219" s="414" t="b">
        <f>Wh_hp&gt;='2026'!Maxi_hp</f>
        <v>0</v>
      </c>
      <c r="I219" s="390">
        <f>IF(H219,Wh_hp,'2026'!Maxi_hp)</f>
        <v>54.310045521395942</v>
      </c>
      <c r="J219" s="85">
        <f>IF(H219,An,'2026'!An_max)</f>
        <v>2025</v>
      </c>
      <c r="K219" s="197">
        <f t="shared" si="79"/>
        <v>46592</v>
      </c>
      <c r="L219" s="147">
        <f>IF(t&lt;Tvie,1-EXP((T0-t)*PertePVj)+'2026'!Pspv,1-EXP((T0-t)*PertePVj)+Pspv)</f>
        <v>7.0726794929088288E-2</v>
      </c>
      <c r="M219" s="959"/>
      <c r="N219" s="959"/>
      <c r="O219" s="48">
        <f>IF(t&lt;Tnet,'2026'!Resal+('2026'!Salim-'2026'!Resal)*(1-EXP(('2026'!Tnet-t)/('2026'!Tau_j))),Resal+(Salim-Resal)*(1-EXP((Tnet-t)/(Tau_j))))*Salcycl</f>
        <v>6.2179848066432182E-2</v>
      </c>
      <c r="P219" s="169">
        <f>(INDEX(Models!$BJ219:$BT219,,T219)*(1-R219)+INDEX(Models!$BJ219:$BT219,,T219+1)*R219-ERP_i)*Q219*Ramure*Pc/MaxiM</f>
        <v>2.4644884209341716E-3</v>
      </c>
      <c r="Q219" s="305">
        <f t="shared" si="80"/>
        <v>0.7</v>
      </c>
      <c r="R219" s="177">
        <f t="shared" si="81"/>
        <v>0.40466706036290412</v>
      </c>
      <c r="S219" s="921">
        <f t="shared" si="82"/>
        <v>-1</v>
      </c>
      <c r="T219" s="176">
        <f t="shared" si="83"/>
        <v>5</v>
      </c>
      <c r="U219" s="251">
        <f t="shared" si="84"/>
        <v>-0.59533293963709588</v>
      </c>
      <c r="V219" s="383">
        <f t="shared" si="85"/>
        <v>48.032696368330456</v>
      </c>
      <c r="W219" s="402">
        <f t="shared" si="86"/>
        <v>47.214917855909768</v>
      </c>
      <c r="X219" s="157">
        <f t="shared" si="87"/>
        <v>46592</v>
      </c>
      <c r="Y219" s="385">
        <f t="shared" si="88"/>
        <v>44.358655166588569</v>
      </c>
      <c r="Z219" s="385">
        <f t="shared" si="89"/>
        <v>47.734783403341126</v>
      </c>
      <c r="AA219" s="386">
        <f t="shared" si="90"/>
        <v>53.856431905890062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0.11366606152531675</v>
      </c>
      <c r="AD219" s="231">
        <f>(INDEX(Models!$BJ219:$BT219,,AH219)*(1-AF219)+INDEX(Models!$BJ219:$BT219,,AH219+1)*AF219-ERP_i)*AE219*Ramure*Pc/MaxiM</f>
        <v>8.5175265144284036E-3</v>
      </c>
      <c r="AE219" s="305">
        <f t="shared" si="92"/>
        <v>0.7</v>
      </c>
      <c r="AF219" s="177">
        <f t="shared" si="93"/>
        <v>0.92965462673688304</v>
      </c>
      <c r="AG219" s="921">
        <f t="shared" si="99"/>
        <v>2</v>
      </c>
      <c r="AH219" s="176">
        <f t="shared" si="94"/>
        <v>8</v>
      </c>
      <c r="AI219" s="225">
        <f t="shared" si="95"/>
        <v>2.929654626736883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24.270379498820727</v>
      </c>
      <c r="C220" s="955"/>
      <c r="D220" s="393">
        <f t="shared" si="77"/>
        <v>26.118165208703346</v>
      </c>
      <c r="E220" s="385">
        <f t="shared" si="75"/>
        <v>27.85276116424189</v>
      </c>
      <c r="F220" s="385">
        <f t="shared" si="78"/>
        <v>27.872402049841266</v>
      </c>
      <c r="G220" s="110">
        <f t="shared" si="76"/>
        <v>0.50542202013278958</v>
      </c>
      <c r="H220" s="414" t="b">
        <f>Wh_hp&gt;='2026'!Maxi_hp</f>
        <v>0</v>
      </c>
      <c r="I220" s="390">
        <f>IF(H220,Wh_hp,'2026'!Maxi_hp)</f>
        <v>54.530894378058939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7.0747148397196091E-2</v>
      </c>
      <c r="M220" s="959"/>
      <c r="N220" s="959"/>
      <c r="O220" s="48">
        <f>IF(t&lt;Tnet,'2026'!Resal+('2026'!Salim-'2026'!Resal)*(1-EXP(('2026'!Tnet-t)/('2026'!Tau_j))),Resal+(Salim-Resal)*(1-EXP((Tnet-t)/(Tau_j))))*Salcycl</f>
        <v>6.2277342821058103E-2</v>
      </c>
      <c r="P220" s="169">
        <f>(INDEX(Models!$BJ220:$BT220,,T220)*(1-R220)+INDEX(Models!$BJ220:$BT220,,T220+1)*R220-ERP_i)*Q220*Ramure*Pc/MaxiM</f>
        <v>2.3913046121469246E-3</v>
      </c>
      <c r="Q220" s="305">
        <f t="shared" si="80"/>
        <v>0.7</v>
      </c>
      <c r="R220" s="177">
        <f t="shared" si="81"/>
        <v>0.40712136135003907</v>
      </c>
      <c r="S220" s="921">
        <f t="shared" si="82"/>
        <v>-1</v>
      </c>
      <c r="T220" s="176">
        <f t="shared" si="83"/>
        <v>5</v>
      </c>
      <c r="U220" s="251">
        <f t="shared" si="84"/>
        <v>-0.59287863864996093</v>
      </c>
      <c r="V220" s="383">
        <f t="shared" si="85"/>
        <v>47.938978596514708</v>
      </c>
      <c r="W220" s="402">
        <f t="shared" si="86"/>
        <v>24.270379498820727</v>
      </c>
      <c r="X220" s="157">
        <f t="shared" si="87"/>
        <v>46593</v>
      </c>
      <c r="Y220" s="385">
        <f t="shared" si="88"/>
        <v>22.898692153913355</v>
      </c>
      <c r="Z220" s="385">
        <f t="shared" si="89"/>
        <v>24.642046687741647</v>
      </c>
      <c r="AA220" s="386">
        <f t="shared" si="90"/>
        <v>27.803822526476015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0.11371730760126909</v>
      </c>
      <c r="AD220" s="231">
        <f>(INDEX(Models!$BJ220:$BT220,,AH220)*(1-AF220)+INDEX(Models!$BJ220:$BT220,,AH220+1)*AF220-ERP_i)*AE220*Ramure*Pc/MaxiM</f>
        <v>8.3496505130789805E-3</v>
      </c>
      <c r="AE220" s="305">
        <f t="shared" si="92"/>
        <v>0.7</v>
      </c>
      <c r="AF220" s="177">
        <f t="shared" si="93"/>
        <v>0.93210892772401799</v>
      </c>
      <c r="AG220" s="921">
        <f t="shared" si="99"/>
        <v>2</v>
      </c>
      <c r="AH220" s="176">
        <f t="shared" si="94"/>
        <v>8</v>
      </c>
      <c r="AI220" s="225">
        <f t="shared" si="95"/>
        <v>2.932108927724018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46.141476371591963</v>
      </c>
      <c r="C221" s="955"/>
      <c r="D221" s="393">
        <f t="shared" si="77"/>
        <v>49.655469908853213</v>
      </c>
      <c r="E221" s="385">
        <f t="shared" si="75"/>
        <v>52.95874356632762</v>
      </c>
      <c r="F221" s="385">
        <f t="shared" si="78"/>
        <v>53.075480668353933</v>
      </c>
      <c r="G221" s="110">
        <f t="shared" si="76"/>
        <v>0.96426941243209063</v>
      </c>
      <c r="H221" s="414" t="b">
        <f>Wh_hp&gt;='2026'!Maxi_hp</f>
        <v>0</v>
      </c>
      <c r="I221" s="390">
        <f>IF(H221,Wh_hp,'2026'!Maxi_hp)</f>
        <v>54.739727703954557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7.0767501419510825E-2</v>
      </c>
      <c r="M221" s="959"/>
      <c r="N221" s="959"/>
      <c r="O221" s="48">
        <f>IF(t&lt;Tnet,'2026'!Resal+('2026'!Salim-'2026'!Resal)*(1-EXP(('2026'!Tnet-t)/('2026'!Tau_j))),Resal+(Salim-Resal)*(1-EXP((Tnet-t)/(Tau_j))))*Salcycl</f>
        <v>6.2374471806289258E-2</v>
      </c>
      <c r="P221" s="169">
        <f>(INDEX(Models!$BJ221:$BT221,,T221)*(1-R221)+INDEX(Models!$BJ221:$BT221,,T221+1)*R221-ERP_i)*Q221*Ramure*Pc/MaxiM</f>
        <v>2.3173640037000495E-3</v>
      </c>
      <c r="Q221" s="305">
        <f t="shared" si="80"/>
        <v>0.7</v>
      </c>
      <c r="R221" s="177">
        <f t="shared" si="81"/>
        <v>0.40950331812789798</v>
      </c>
      <c r="S221" s="921">
        <f t="shared" si="82"/>
        <v>-1</v>
      </c>
      <c r="T221" s="176">
        <f t="shared" si="83"/>
        <v>5</v>
      </c>
      <c r="U221" s="251">
        <f t="shared" si="84"/>
        <v>-0.59049668187210202</v>
      </c>
      <c r="V221" s="383">
        <f t="shared" si="85"/>
        <v>47.845574341807136</v>
      </c>
      <c r="W221" s="402">
        <f t="shared" si="86"/>
        <v>46.141476371591963</v>
      </c>
      <c r="X221" s="157">
        <f t="shared" si="87"/>
        <v>46594</v>
      </c>
      <c r="Y221" s="385">
        <f t="shared" si="88"/>
        <v>43.369099535307221</v>
      </c>
      <c r="Z221" s="385">
        <f t="shared" si="89"/>
        <v>46.67195734281632</v>
      </c>
      <c r="AA221" s="386">
        <f t="shared" si="90"/>
        <v>52.663362706669581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0.11376799839434631</v>
      </c>
      <c r="AD221" s="231">
        <f>(INDEX(Models!$BJ221:$BT221,,AH221)*(1-AF221)+INDEX(Models!$BJ221:$BT221,,AH221+1)*AF221-ERP_i)*AE221*Ramure*Pc/MaxiM</f>
        <v>8.1810094058212216E-3</v>
      </c>
      <c r="AE221" s="305">
        <f t="shared" si="92"/>
        <v>0.7</v>
      </c>
      <c r="AF221" s="177">
        <f t="shared" si="93"/>
        <v>0.9344908845018769</v>
      </c>
      <c r="AG221" s="921">
        <f t="shared" si="99"/>
        <v>2</v>
      </c>
      <c r="AH221" s="176">
        <f t="shared" si="94"/>
        <v>8</v>
      </c>
      <c r="AI221" s="225">
        <f t="shared" si="95"/>
        <v>2.9344908845018769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49.961183116447302</v>
      </c>
      <c r="C222" s="955"/>
      <c r="D222" s="393">
        <f t="shared" si="77"/>
        <v>53.767251462761756</v>
      </c>
      <c r="E222" s="385">
        <f t="shared" si="75"/>
        <v>57.349976373778127</v>
      </c>
      <c r="F222" s="385">
        <f t="shared" si="78"/>
        <v>57.478883622167679</v>
      </c>
      <c r="G222" s="110">
        <f t="shared" si="76"/>
        <v>1.0462551840388283</v>
      </c>
      <c r="H222" s="414" t="b">
        <f>Wh_hp&gt;='2026'!Maxi_hp</f>
        <v>1</v>
      </c>
      <c r="I222" s="390">
        <f>IF(H222,Wh_hp,'2026'!Maxi_hp)</f>
        <v>57.478883622167679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7.0787853996042038E-2</v>
      </c>
      <c r="M222" s="959"/>
      <c r="N222" s="959"/>
      <c r="O222" s="48">
        <f>IF(t&lt;Tnet,'2026'!Resal+('2026'!Salim-'2026'!Resal)*(1-EXP(('2026'!Tnet-t)/('2026'!Tau_j))),Resal+(Salim-Resal)*(1-EXP((Tnet-t)/(Tau_j))))*Salcycl</f>
        <v>6.2471253478222549E-2</v>
      </c>
      <c r="P222" s="169">
        <f>(INDEX(Models!$BJ222:$BT222,,T222)*(1-R222)+INDEX(Models!$BJ222:$BT222,,T222+1)*R222-ERP_i)*Q222*Ramure*Pc/MaxiM</f>
        <v>2.2426887974532094E-3</v>
      </c>
      <c r="Q222" s="305">
        <f t="shared" si="80"/>
        <v>0.7</v>
      </c>
      <c r="R222" s="177">
        <f t="shared" si="81"/>
        <v>0.41181415963286394</v>
      </c>
      <c r="S222" s="921">
        <f t="shared" si="82"/>
        <v>-1</v>
      </c>
      <c r="T222" s="176">
        <f t="shared" si="83"/>
        <v>5</v>
      </c>
      <c r="U222" s="251">
        <f t="shared" si="84"/>
        <v>-0.58818584036713606</v>
      </c>
      <c r="V222" s="383">
        <f t="shared" si="85"/>
        <v>47.752387637959984</v>
      </c>
      <c r="W222" s="402">
        <f t="shared" si="86"/>
        <v>49.961183116447302</v>
      </c>
      <c r="X222" s="157">
        <f t="shared" si="87"/>
        <v>46595</v>
      </c>
      <c r="Y222" s="385">
        <f t="shared" si="88"/>
        <v>46.951839514205595</v>
      </c>
      <c r="Z222" s="385">
        <f t="shared" si="89"/>
        <v>50.528654533972919</v>
      </c>
      <c r="AA222" s="386">
        <f t="shared" si="90"/>
        <v>57.018382428863241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0.11381816913145471</v>
      </c>
      <c r="AD222" s="231">
        <f>(INDEX(Models!$BJ222:$BT222,,AH222)*(1-AF222)+INDEX(Models!$BJ222:$BT222,,AH222+1)*AF222-ERP_i)*AE222*Ramure*Pc/MaxiM</f>
        <v>8.0116586176499915E-3</v>
      </c>
      <c r="AE222" s="305">
        <f t="shared" si="92"/>
        <v>0.7</v>
      </c>
      <c r="AF222" s="177">
        <f t="shared" si="93"/>
        <v>0.93680172600684264</v>
      </c>
      <c r="AG222" s="921">
        <f t="shared" si="99"/>
        <v>2</v>
      </c>
      <c r="AH222" s="176">
        <f t="shared" si="94"/>
        <v>8</v>
      </c>
      <c r="AI222" s="225">
        <f t="shared" si="95"/>
        <v>2.9368017260068426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39.694204083868513</v>
      </c>
      <c r="C223" s="955"/>
      <c r="D223" s="393">
        <f t="shared" si="77"/>
        <v>42.719064401558065</v>
      </c>
      <c r="E223" s="385">
        <f t="shared" si="75"/>
        <v>45.570293048641645</v>
      </c>
      <c r="F223" s="385">
        <f t="shared" si="78"/>
        <v>45.645601595138892</v>
      </c>
      <c r="G223" s="110">
        <f t="shared" si="76"/>
        <v>0.83244218071180176</v>
      </c>
      <c r="H223" s="414" t="b">
        <f>Wh_hp&gt;='2026'!Maxi_hp</f>
        <v>0</v>
      </c>
      <c r="I223" s="390">
        <f>IF(H223,Wh_hp,'2026'!Maxi_hp)</f>
        <v>52.534108463708804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7.0808206126799611E-2</v>
      </c>
      <c r="M223" s="959"/>
      <c r="N223" s="959"/>
      <c r="O223" s="48">
        <f>IF(t&lt;Tnet,'2026'!Resal+('2026'!Salim-'2026'!Resal)*(1-EXP(('2026'!Tnet-t)/('2026'!Tau_j))),Resal+(Salim-Resal)*(1-EXP((Tnet-t)/(Tau_j))))*Salcycl</f>
        <v>6.2567704887045272E-2</v>
      </c>
      <c r="P223" s="169">
        <f>(INDEX(Models!$BJ223:$BT223,,T223)*(1-R223)+INDEX(Models!$BJ223:$BT223,,T223+1)*R223-ERP_i)*Q223*Ramure*Pc/MaxiM</f>
        <v>2.1672996123817292E-3</v>
      </c>
      <c r="Q223" s="305">
        <f t="shared" si="80"/>
        <v>0.7</v>
      </c>
      <c r="R223" s="177">
        <f t="shared" si="81"/>
        <v>0.41405515901944545</v>
      </c>
      <c r="S223" s="921">
        <f t="shared" si="82"/>
        <v>-1</v>
      </c>
      <c r="T223" s="176">
        <f t="shared" si="83"/>
        <v>5</v>
      </c>
      <c r="U223" s="251">
        <f t="shared" si="84"/>
        <v>-0.58594484098055455</v>
      </c>
      <c r="V223" s="383">
        <f t="shared" si="85"/>
        <v>47.659322701695743</v>
      </c>
      <c r="W223" s="402">
        <f t="shared" si="86"/>
        <v>39.694204083868513</v>
      </c>
      <c r="X223" s="157">
        <f t="shared" si="87"/>
        <v>46596</v>
      </c>
      <c r="Y223" s="385">
        <f t="shared" si="88"/>
        <v>37.359626752286566</v>
      </c>
      <c r="Z223" s="385">
        <f t="shared" si="89"/>
        <v>40.206582751402067</v>
      </c>
      <c r="AA223" s="386">
        <f t="shared" si="90"/>
        <v>45.373122797355549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0.11386785231927223</v>
      </c>
      <c r="AD223" s="231">
        <f>(INDEX(Models!$BJ223:$BT223,,AH223)*(1-AF223)+INDEX(Models!$BJ223:$BT223,,AH223+1)*AF223-ERP_i)*AE223*Ramure*Pc/MaxiM</f>
        <v>7.8416490595750194E-3</v>
      </c>
      <c r="AE223" s="305">
        <f t="shared" si="92"/>
        <v>0.7</v>
      </c>
      <c r="AF223" s="177">
        <f t="shared" si="93"/>
        <v>0.93904272539342415</v>
      </c>
      <c r="AG223" s="921">
        <f t="shared" si="99"/>
        <v>2</v>
      </c>
      <c r="AH223" s="176">
        <f t="shared" si="94"/>
        <v>8</v>
      </c>
      <c r="AI223" s="225">
        <f t="shared" si="95"/>
        <v>2.9390427253934241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26.441444084525212</v>
      </c>
      <c r="C224" s="955"/>
      <c r="D224" s="393">
        <f t="shared" si="77"/>
        <v>28.457013295905206</v>
      </c>
      <c r="E224" s="385">
        <f t="shared" si="75"/>
        <v>30.359453267899042</v>
      </c>
      <c r="F224" s="385">
        <f t="shared" si="78"/>
        <v>30.38267923459868</v>
      </c>
      <c r="G224" s="110">
        <f t="shared" si="76"/>
        <v>0.55514817229393765</v>
      </c>
      <c r="H224" s="414" t="b">
        <f>Wh_hp&gt;='2026'!Maxi_hp</f>
        <v>0</v>
      </c>
      <c r="I224" s="390">
        <f>IF(H224,Wh_hp,'2026'!Maxi_hp)</f>
        <v>55.721551124095164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7.0828557811793313E-2</v>
      </c>
      <c r="M224" s="959"/>
      <c r="N224" s="959"/>
      <c r="O224" s="48">
        <f>IF(t&lt;Tnet,'2026'!Resal+('2026'!Salim-'2026'!Resal)*(1-EXP(('2026'!Tnet-t)/('2026'!Tau_j))),Resal+(Salim-Resal)*(1-EXP((Tnet-t)/(Tau_j))))*Salcycl</f>
        <v>6.2663841644520171E-2</v>
      </c>
      <c r="P224" s="169">
        <f>(INDEX(Models!$BJ224:$BT224,,T224)*(1-R224)+INDEX(Models!$BJ224:$BT224,,T224+1)*R224-ERP_i)*Q224*Ramure*Pc/MaxiM</f>
        <v>2.0912154996332172E-3</v>
      </c>
      <c r="Q224" s="305">
        <f t="shared" si="80"/>
        <v>0.7</v>
      </c>
      <c r="R224" s="177">
        <f t="shared" si="81"/>
        <v>0.41622762802347879</v>
      </c>
      <c r="S224" s="921">
        <f t="shared" si="82"/>
        <v>-1</v>
      </c>
      <c r="T224" s="176">
        <f t="shared" si="83"/>
        <v>5</v>
      </c>
      <c r="U224" s="251">
        <f t="shared" si="84"/>
        <v>-0.58377237197652121</v>
      </c>
      <c r="V224" s="383">
        <f t="shared" si="85"/>
        <v>47.566283930987218</v>
      </c>
      <c r="W224" s="402">
        <f t="shared" si="86"/>
        <v>26.441444084525212</v>
      </c>
      <c r="X224" s="157">
        <f t="shared" si="87"/>
        <v>46597</v>
      </c>
      <c r="Y224" s="385">
        <f t="shared" si="88"/>
        <v>24.944611670734989</v>
      </c>
      <c r="Z224" s="385">
        <f t="shared" si="89"/>
        <v>26.846080861019811</v>
      </c>
      <c r="AA224" s="386">
        <f t="shared" si="90"/>
        <v>30.297481404292704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0.1139170777008508</v>
      </c>
      <c r="AD224" s="231">
        <f>(INDEX(Models!$BJ224:$BT224,,AH224)*(1-AF224)+INDEX(Models!$BJ224:$BT224,,AH224+1)*AF224-ERP_i)*AE224*Ramure*Pc/MaxiM</f>
        <v>7.6710272418395644E-3</v>
      </c>
      <c r="AE224" s="305">
        <f t="shared" si="92"/>
        <v>0.7</v>
      </c>
      <c r="AF224" s="177">
        <f t="shared" si="93"/>
        <v>0.94121519439745782</v>
      </c>
      <c r="AG224" s="921">
        <f t="shared" si="99"/>
        <v>2</v>
      </c>
      <c r="AH224" s="176">
        <f t="shared" si="94"/>
        <v>8</v>
      </c>
      <c r="AI224" s="225">
        <f t="shared" si="95"/>
        <v>2.9412151943974578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39.848321008521779</v>
      </c>
      <c r="C225" s="955"/>
      <c r="D225" s="393">
        <f t="shared" si="77"/>
        <v>42.886804306308903</v>
      </c>
      <c r="E225" s="385">
        <f t="shared" si="75"/>
        <v>45.758599256983807</v>
      </c>
      <c r="F225" s="385">
        <f t="shared" si="78"/>
        <v>45.829738031978316</v>
      </c>
      <c r="G225" s="110">
        <f t="shared" si="76"/>
        <v>0.8389974587971798</v>
      </c>
      <c r="H225" s="414" t="b">
        <f>Wh_hp&gt;='2026'!Maxi_hp</f>
        <v>0</v>
      </c>
      <c r="I225" s="390">
        <f>IF(H225,Wh_hp,'2026'!Maxi_hp)</f>
        <v>53.533900381500366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7.0848909051032916E-2</v>
      </c>
      <c r="M225" s="959"/>
      <c r="N225" s="959"/>
      <c r="O225" s="48">
        <f>IF(t&lt;Tnet,'2026'!Resal+('2026'!Salim-'2026'!Resal)*(1-EXP(('2026'!Tnet-t)/('2026'!Tau_j))),Resal+(Salim-Resal)*(1-EXP((Tnet-t)/(Tau_j))))*Salcycl</f>
        <v>6.2759677903309108E-2</v>
      </c>
      <c r="P225" s="169">
        <f>(INDEX(Models!$BJ225:$BT225,,T225)*(1-R225)+INDEX(Models!$BJ225:$BT225,,T225+1)*R225-ERP_i)*Q225*Ramure*Pc/MaxiM</f>
        <v>2.0144539663090873E-3</v>
      </c>
      <c r="Q225" s="305">
        <f t="shared" si="80"/>
        <v>0.7</v>
      </c>
      <c r="R225" s="177">
        <f t="shared" si="81"/>
        <v>0.41833291157036123</v>
      </c>
      <c r="S225" s="921">
        <f t="shared" si="82"/>
        <v>-1</v>
      </c>
      <c r="T225" s="176">
        <f t="shared" si="83"/>
        <v>5</v>
      </c>
      <c r="U225" s="251">
        <f t="shared" si="84"/>
        <v>-0.58166708842963877</v>
      </c>
      <c r="V225" s="383">
        <f t="shared" si="85"/>
        <v>47.473175902513255</v>
      </c>
      <c r="W225" s="402">
        <f t="shared" si="86"/>
        <v>39.848321008521779</v>
      </c>
      <c r="X225" s="157">
        <f t="shared" si="87"/>
        <v>46598</v>
      </c>
      <c r="Y225" s="385">
        <f t="shared" si="88"/>
        <v>37.511730024763665</v>
      </c>
      <c r="Z225" s="385">
        <f t="shared" si="89"/>
        <v>40.372045397322758</v>
      </c>
      <c r="AA225" s="386">
        <f t="shared" si="90"/>
        <v>45.564887550224569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0.11396587223391974</v>
      </c>
      <c r="AD225" s="231">
        <f>(INDEX(Models!$BJ225:$BT225,,AH225)*(1-AF225)+INDEX(Models!$BJ225:$BT225,,AH225+1)*AF225-ERP_i)*AE225*Ramure*Pc/MaxiM</f>
        <v>7.4998354060623468E-3</v>
      </c>
      <c r="AE225" s="305">
        <f t="shared" si="92"/>
        <v>0.7</v>
      </c>
      <c r="AF225" s="177">
        <f t="shared" si="93"/>
        <v>0.94332047794434004</v>
      </c>
      <c r="AG225" s="921">
        <f t="shared" si="99"/>
        <v>2</v>
      </c>
      <c r="AH225" s="176">
        <f t="shared" si="94"/>
        <v>8</v>
      </c>
      <c r="AI225" s="225">
        <f t="shared" si="95"/>
        <v>2.94332047794434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47.903029170730562</v>
      </c>
      <c r="C226" s="955"/>
      <c r="D226" s="393">
        <f t="shared" si="77"/>
        <v>51.556823060998845</v>
      </c>
      <c r="E226" s="385">
        <f t="shared" si="75"/>
        <v>55.014790148240387</v>
      </c>
      <c r="F226" s="385">
        <f t="shared" si="78"/>
        <v>55.12160846336959</v>
      </c>
      <c r="G226" s="110">
        <f t="shared" si="76"/>
        <v>1.0110419368193317</v>
      </c>
      <c r="H226" s="414" t="b">
        <f>Wh_hp&gt;='2026'!Maxi_hp</f>
        <v>1</v>
      </c>
      <c r="I226" s="390">
        <f>IF(H226,Wh_hp,'2026'!Maxi_hp)</f>
        <v>55.12160846336959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7.0869259844528076E-2</v>
      </c>
      <c r="M226" s="959"/>
      <c r="N226" s="959"/>
      <c r="O226" s="48">
        <f>IF(t&lt;Tnet,'2026'!Resal+('2026'!Salim-'2026'!Resal)*(1-EXP(('2026'!Tnet-t)/('2026'!Tau_j))),Resal+(Salim-Resal)*(1-EXP((Tnet-t)/(Tau_j))))*Salcycl</f>
        <v>6.2855226347748594E-2</v>
      </c>
      <c r="P226" s="169">
        <f>(INDEX(Models!$BJ226:$BT226,,T226)*(1-R226)+INDEX(Models!$BJ226:$BT226,,T226+1)*R226-ERP_i)*Q226*Ramure*Pc/MaxiM</f>
        <v>1.9378664394416518E-3</v>
      </c>
      <c r="Q226" s="305">
        <f t="shared" si="80"/>
        <v>0.7</v>
      </c>
      <c r="R226" s="177">
        <f t="shared" si="81"/>
        <v>0.42037238263583432</v>
      </c>
      <c r="S226" s="921">
        <f t="shared" si="82"/>
        <v>-1</v>
      </c>
      <c r="T226" s="176">
        <f t="shared" si="83"/>
        <v>5</v>
      </c>
      <c r="U226" s="251">
        <f t="shared" si="84"/>
        <v>-0.57962761736416568</v>
      </c>
      <c r="V226" s="383">
        <f t="shared" si="85"/>
        <v>47.379863709145624</v>
      </c>
      <c r="W226" s="402">
        <f t="shared" si="86"/>
        <v>47.903029170730562</v>
      </c>
      <c r="X226" s="157">
        <f t="shared" si="87"/>
        <v>46599</v>
      </c>
      <c r="Y226" s="385">
        <f t="shared" si="88"/>
        <v>45.043282578706673</v>
      </c>
      <c r="Z226" s="385">
        <f t="shared" si="89"/>
        <v>48.478949874341211</v>
      </c>
      <c r="AA226" s="386">
        <f t="shared" si="90"/>
        <v>54.717528387383389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0.11401426009001991</v>
      </c>
      <c r="AD226" s="231">
        <f>(INDEX(Models!$BJ226:$BT226,,AH226)*(1-AF226)+INDEX(Models!$BJ226:$BT226,,AH226+1)*AF226-ERP_i)*AE226*Ramure*Pc/MaxiM</f>
        <v>7.3307018291153703E-3</v>
      </c>
      <c r="AE226" s="305">
        <f t="shared" si="92"/>
        <v>0.7</v>
      </c>
      <c r="AF226" s="177">
        <f t="shared" si="93"/>
        <v>0.94535994900981324</v>
      </c>
      <c r="AG226" s="921">
        <f t="shared" si="99"/>
        <v>2</v>
      </c>
      <c r="AH226" s="176">
        <f t="shared" si="94"/>
        <v>8</v>
      </c>
      <c r="AI226" s="225">
        <f t="shared" si="95"/>
        <v>2.9453599490098132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47.834838781806511</v>
      </c>
      <c r="C227" s="955"/>
      <c r="D227" s="393">
        <f t="shared" si="77"/>
        <v>51.484559107886426</v>
      </c>
      <c r="E227" s="385">
        <f t="shared" si="75"/>
        <v>54.943265012943087</v>
      </c>
      <c r="F227" s="385">
        <f t="shared" si="78"/>
        <v>55.045740208106061</v>
      </c>
      <c r="G227" s="110">
        <f t="shared" si="76"/>
        <v>1.0116015621368712</v>
      </c>
      <c r="H227" s="414" t="b">
        <f>Wh_hp&gt;='2026'!Maxi_hp</f>
        <v>1</v>
      </c>
      <c r="I227" s="390">
        <f>IF(H227,Wh_hp,'2026'!Maxi_hp)</f>
        <v>55.045740208106061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7.0889610192288677E-2</v>
      </c>
      <c r="M227" s="959"/>
      <c r="N227" s="959"/>
      <c r="O227" s="48">
        <f>IF(t&lt;Tnet,'2026'!Resal+('2026'!Salim-'2026'!Resal)*(1-EXP(('2026'!Tnet-t)/('2026'!Tau_j))),Resal+(Salim-Resal)*(1-EXP((Tnet-t)/(Tau_j))))*Salcycl</f>
        <v>6.2950498195582044E-2</v>
      </c>
      <c r="P227" s="169">
        <f>(INDEX(Models!$BJ227:$BT227,,T227)*(1-R227)+INDEX(Models!$BJ227:$BT227,,T227+1)*R227-ERP_i)*Q227*Ramure*Pc/MaxiM</f>
        <v>1.8616371544020033E-3</v>
      </c>
      <c r="Q227" s="305">
        <f t="shared" si="80"/>
        <v>0.7</v>
      </c>
      <c r="R227" s="177">
        <f t="shared" si="81"/>
        <v>0.42234743736450353</v>
      </c>
      <c r="S227" s="921">
        <f t="shared" si="82"/>
        <v>-1</v>
      </c>
      <c r="T227" s="176">
        <f t="shared" si="83"/>
        <v>5</v>
      </c>
      <c r="U227" s="251">
        <f t="shared" si="84"/>
        <v>-0.57765256263549647</v>
      </c>
      <c r="V227" s="383">
        <f t="shared" si="85"/>
        <v>47.286244478272543</v>
      </c>
      <c r="W227" s="402">
        <f t="shared" si="86"/>
        <v>47.834838781806511</v>
      </c>
      <c r="X227" s="157">
        <f t="shared" si="87"/>
        <v>46600</v>
      </c>
      <c r="Y227" s="385">
        <f t="shared" si="88"/>
        <v>44.985420278211805</v>
      </c>
      <c r="Z227" s="385">
        <f t="shared" si="89"/>
        <v>48.417734611192955</v>
      </c>
      <c r="AA227" s="386">
        <f t="shared" si="90"/>
        <v>54.65139656122868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0.114062262673413</v>
      </c>
      <c r="AD227" s="231">
        <f>(INDEX(Models!$BJ227:$BT227,,AH227)*(1-AF227)+INDEX(Models!$BJ227:$BT227,,AH227+1)*AF227-ERP_i)*AE227*Ramure*Pc/MaxiM</f>
        <v>7.1639266796399365E-3</v>
      </c>
      <c r="AE227" s="305">
        <f t="shared" si="92"/>
        <v>0.7</v>
      </c>
      <c r="AF227" s="177">
        <f t="shared" si="93"/>
        <v>0.94733500373848223</v>
      </c>
      <c r="AG227" s="921">
        <f t="shared" si="99"/>
        <v>2</v>
      </c>
      <c r="AH227" s="176">
        <f t="shared" si="94"/>
        <v>8</v>
      </c>
      <c r="AI227" s="225">
        <f t="shared" si="95"/>
        <v>2.9473350037384822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47.881167599989375</v>
      </c>
      <c r="C228" s="955"/>
      <c r="D228" s="393">
        <f t="shared" si="77"/>
        <v>51.535551500315769</v>
      </c>
      <c r="E228" s="385">
        <f t="shared" si="75"/>
        <v>55.003259685373393</v>
      </c>
      <c r="F228" s="385">
        <f t="shared" si="78"/>
        <v>55.101659633239542</v>
      </c>
      <c r="G228" s="110">
        <f t="shared" si="76"/>
        <v>1.0145986866280075</v>
      </c>
      <c r="H228" s="414" t="b">
        <f>Wh_hp&gt;='2026'!Maxi_hp</f>
        <v>0</v>
      </c>
      <c r="I228" s="390">
        <f>IF(H228,Wh_hp,'2026'!Maxi_hp)</f>
        <v>55.101659633239557</v>
      </c>
      <c r="J228" s="85">
        <f>IF(H228,An,'2026'!An_max)</f>
        <v>2022</v>
      </c>
      <c r="K228" s="197">
        <f t="shared" si="79"/>
        <v>46601</v>
      </c>
      <c r="L228" s="147">
        <f>IF(t&lt;Tvie,1-EXP((T0-t)*PertePVj)+'2026'!Pspv,1-EXP((T0-t)*PertePVj)+Pspv)</f>
        <v>7.0909960094324487E-2</v>
      </c>
      <c r="M228" s="959"/>
      <c r="N228" s="959"/>
      <c r="O228" s="48">
        <f>IF(t&lt;Tnet,'2026'!Resal+('2026'!Salim-'2026'!Resal)*(1-EXP(('2026'!Tnet-t)/('2026'!Tau_j))),Resal+(Salim-Resal)*(1-EXP((Tnet-t)/(Tau_j))))*Salcycl</f>
        <v>6.3045503210053644E-2</v>
      </c>
      <c r="P228" s="169">
        <f>(INDEX(Models!$BJ228:$BT228,,T228)*(1-R228)+INDEX(Models!$BJ228:$BT228,,T228+1)*R228-ERP_i)*Q228*Ramure*Pc/MaxiM</f>
        <v>1.7857891853186958E-3</v>
      </c>
      <c r="Q228" s="305">
        <f t="shared" si="80"/>
        <v>0.7</v>
      </c>
      <c r="R228" s="177">
        <f t="shared" si="81"/>
        <v>0.42425949044914035</v>
      </c>
      <c r="S228" s="921">
        <f t="shared" si="82"/>
        <v>-1</v>
      </c>
      <c r="T228" s="176">
        <f t="shared" si="83"/>
        <v>5</v>
      </c>
      <c r="U228" s="251">
        <f t="shared" si="84"/>
        <v>-0.57574050955085965</v>
      </c>
      <c r="V228" s="383">
        <f t="shared" si="85"/>
        <v>47.192223123332823</v>
      </c>
      <c r="W228" s="402">
        <f t="shared" si="86"/>
        <v>47.881167599989375</v>
      </c>
      <c r="X228" s="157">
        <f t="shared" si="87"/>
        <v>46601</v>
      </c>
      <c r="Y228" s="385">
        <f t="shared" si="88"/>
        <v>45.035166828491221</v>
      </c>
      <c r="Z228" s="385">
        <f t="shared" si="89"/>
        <v>48.472338410885719</v>
      </c>
      <c r="AA228" s="386">
        <f t="shared" si="90"/>
        <v>54.715972486300792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0.11410989865853684</v>
      </c>
      <c r="AD228" s="231">
        <f>(INDEX(Models!$BJ228:$BT228,,AH228)*(1-AF228)+INDEX(Models!$BJ228:$BT228,,AH228+1)*AF228-ERP_i)*AE228*Ramure*Pc/MaxiM</f>
        <v>6.9995559027787495E-3</v>
      </c>
      <c r="AE228" s="305">
        <f t="shared" si="92"/>
        <v>0.7</v>
      </c>
      <c r="AF228" s="177">
        <f t="shared" si="93"/>
        <v>0.94924705682311927</v>
      </c>
      <c r="AG228" s="921">
        <f t="shared" si="99"/>
        <v>2</v>
      </c>
      <c r="AH228" s="176">
        <f t="shared" si="94"/>
        <v>8</v>
      </c>
      <c r="AI228" s="225">
        <f t="shared" si="95"/>
        <v>2.9492470568231193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46.367292427351771</v>
      </c>
      <c r="C229" s="955"/>
      <c r="D229" s="393">
        <f t="shared" si="77"/>
        <v>49.907227524477427</v>
      </c>
      <c r="E229" s="385">
        <f t="shared" si="75"/>
        <v>53.2707563855218</v>
      </c>
      <c r="F229" s="385">
        <f t="shared" si="78"/>
        <v>53.359998391731622</v>
      </c>
      <c r="G229" s="110">
        <f t="shared" si="76"/>
        <v>0.98445418451447075</v>
      </c>
      <c r="H229" s="414" t="b">
        <f>Wh_hp&gt;='2026'!Maxi_hp</f>
        <v>0</v>
      </c>
      <c r="I229" s="390">
        <f>IF(H229,Wh_hp,'2026'!Maxi_hp)</f>
        <v>53.74274506897126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7.0930309550645054E-2</v>
      </c>
      <c r="M229" s="959"/>
      <c r="N229" s="959"/>
      <c r="O229" s="48">
        <f>IF(t&lt;Tnet,'2026'!Resal+('2026'!Salim-'2026'!Resal)*(1-EXP(('2026'!Tnet-t)/('2026'!Tau_j))),Resal+(Salim-Resal)*(1-EXP((Tnet-t)/(Tau_j))))*Salcycl</f>
        <v>6.3140249721675215E-2</v>
      </c>
      <c r="P229" s="169">
        <f>(INDEX(Models!$BJ229:$BT229,,T229)*(1-R229)+INDEX(Models!$BJ229:$BT229,,T229+1)*R229-ERP_i)*Q229*Ramure*Pc/MaxiM</f>
        <v>1.7103439853334663E-3</v>
      </c>
      <c r="Q229" s="305">
        <f t="shared" si="80"/>
        <v>0.7</v>
      </c>
      <c r="R229" s="177">
        <f t="shared" si="81"/>
        <v>0.4261099707718633</v>
      </c>
      <c r="S229" s="921">
        <f t="shared" si="82"/>
        <v>-1</v>
      </c>
      <c r="T229" s="176">
        <f t="shared" si="83"/>
        <v>5</v>
      </c>
      <c r="U229" s="251">
        <f t="shared" si="84"/>
        <v>-0.5738900292281367</v>
      </c>
      <c r="V229" s="383">
        <f t="shared" si="85"/>
        <v>47.097704736929387</v>
      </c>
      <c r="W229" s="402">
        <f t="shared" si="86"/>
        <v>46.367292427351771</v>
      </c>
      <c r="X229" s="157">
        <f t="shared" si="87"/>
        <v>46602</v>
      </c>
      <c r="Y229" s="385">
        <f t="shared" si="88"/>
        <v>43.622169473383224</v>
      </c>
      <c r="Z229" s="385">
        <f t="shared" si="89"/>
        <v>46.952526728414611</v>
      </c>
      <c r="AA229" s="386">
        <f t="shared" si="90"/>
        <v>53.003225722135099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0.1141571840446233</v>
      </c>
      <c r="AD229" s="231">
        <f>(INDEX(Models!$BJ229:$BT229,,AH229)*(1-AF229)+INDEX(Models!$BJ229:$BT229,,AH229+1)*AF229-ERP_i)*AE229*Ramure*Pc/MaxiM</f>
        <v>6.837631912275953E-3</v>
      </c>
      <c r="AE229" s="305">
        <f t="shared" si="92"/>
        <v>0.7</v>
      </c>
      <c r="AF229" s="177">
        <f t="shared" si="93"/>
        <v>0.95109753714584233</v>
      </c>
      <c r="AG229" s="921">
        <f t="shared" si="99"/>
        <v>2</v>
      </c>
      <c r="AH229" s="176">
        <f t="shared" si="94"/>
        <v>8</v>
      </c>
      <c r="AI229" s="225">
        <f t="shared" si="95"/>
        <v>2.9510975371458423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45.867343341597753</v>
      </c>
      <c r="C230" s="955"/>
      <c r="D230" s="393">
        <f t="shared" si="77"/>
        <v>49.370190899190462</v>
      </c>
      <c r="E230" s="385">
        <f t="shared" si="75"/>
        <v>52.702841632627802</v>
      </c>
      <c r="F230" s="385">
        <f t="shared" si="78"/>
        <v>52.786185529595166</v>
      </c>
      <c r="G230" s="110">
        <f t="shared" si="76"/>
        <v>0.97579190186739706</v>
      </c>
      <c r="H230" s="414" t="b">
        <f>Wh_hp&gt;='2026'!Maxi_hp</f>
        <v>0</v>
      </c>
      <c r="I230" s="390">
        <f>IF(H230,Wh_hp,'2026'!Maxi_hp)</f>
        <v>52.788265189687309</v>
      </c>
      <c r="J230" s="85">
        <f>IF(H230,An,'2026'!An_max)</f>
        <v>2025</v>
      </c>
      <c r="K230" s="197">
        <f t="shared" si="79"/>
        <v>46603</v>
      </c>
      <c r="L230" s="147">
        <f>IF(t&lt;Tvie,1-EXP((T0-t)*PertePVj)+'2026'!Pspv,1-EXP((T0-t)*PertePVj)+Pspv)</f>
        <v>7.0950658561260482E-2</v>
      </c>
      <c r="M230" s="959"/>
      <c r="N230" s="959"/>
      <c r="O230" s="48">
        <f>IF(t&lt;Tnet,'2026'!Resal+('2026'!Salim-'2026'!Resal)*(1-EXP(('2026'!Tnet-t)/('2026'!Tau_j))),Resal+(Salim-Resal)*(1-EXP((Tnet-t)/(Tau_j))))*Salcycl</f>
        <v>6.3234744658893907E-2</v>
      </c>
      <c r="P230" s="169">
        <f>(INDEX(Models!$BJ230:$BT230,,T230)*(1-R230)+INDEX(Models!$BJ230:$BT230,,T230+1)*R230-ERP_i)*Q230*Ramure*Pc/MaxiM</f>
        <v>1.6353214747193865E-3</v>
      </c>
      <c r="Q230" s="305">
        <f t="shared" si="80"/>
        <v>0.7</v>
      </c>
      <c r="R230" s="177">
        <f t="shared" si="81"/>
        <v>0.4279003173065401</v>
      </c>
      <c r="S230" s="921">
        <f t="shared" si="82"/>
        <v>-1</v>
      </c>
      <c r="T230" s="176">
        <f t="shared" si="83"/>
        <v>5</v>
      </c>
      <c r="U230" s="251">
        <f t="shared" si="84"/>
        <v>-0.5720996826934599</v>
      </c>
      <c r="V230" s="383">
        <f t="shared" si="85"/>
        <v>47.002594584182795</v>
      </c>
      <c r="W230" s="402">
        <f t="shared" si="86"/>
        <v>45.867343341597753</v>
      </c>
      <c r="X230" s="157">
        <f t="shared" si="87"/>
        <v>46603</v>
      </c>
      <c r="Y230" s="385">
        <f t="shared" si="88"/>
        <v>43.160196468362507</v>
      </c>
      <c r="Z230" s="385">
        <f t="shared" si="89"/>
        <v>46.456301665877071</v>
      </c>
      <c r="AA230" s="386">
        <f t="shared" si="90"/>
        <v>52.445832449658106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0.11420413222595509</v>
      </c>
      <c r="AD230" s="231">
        <f>(INDEX(Models!$BJ230:$BT230,,AH230)*(1-AF230)+INDEX(Models!$BJ230:$BT230,,AH230+1)*AF230-ERP_i)*AE230*Ramure*Pc/MaxiM</f>
        <v>6.6781938553449379E-3</v>
      </c>
      <c r="AE230" s="305">
        <f t="shared" si="92"/>
        <v>0.7</v>
      </c>
      <c r="AF230" s="177">
        <f t="shared" si="93"/>
        <v>0.95288788368051902</v>
      </c>
      <c r="AG230" s="921">
        <f t="shared" si="99"/>
        <v>2</v>
      </c>
      <c r="AH230" s="176">
        <f t="shared" si="94"/>
        <v>8</v>
      </c>
      <c r="AI230" s="225">
        <f t="shared" si="95"/>
        <v>2.952887883680519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41.356594685399131</v>
      </c>
      <c r="C231" s="955"/>
      <c r="D231" s="393">
        <f t="shared" si="77"/>
        <v>44.51593545801876</v>
      </c>
      <c r="E231" s="385">
        <f t="shared" si="75"/>
        <v>47.525689546519189</v>
      </c>
      <c r="F231" s="385">
        <f t="shared" si="78"/>
        <v>47.587406671327216</v>
      </c>
      <c r="G231" s="110">
        <f t="shared" si="76"/>
        <v>0.88144302214141934</v>
      </c>
      <c r="H231" s="414" t="b">
        <f>Wh_hp&gt;='2026'!Maxi_hp</f>
        <v>0</v>
      </c>
      <c r="I231" s="390">
        <f>IF(H231,Wh_hp,'2026'!Maxi_hp)</f>
        <v>53.36011340472448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7.0971007126180208E-2</v>
      </c>
      <c r="M231" s="959"/>
      <c r="N231" s="959"/>
      <c r="O231" s="48">
        <f>IF(t&lt;Tnet,'2026'!Resal+('2026'!Salim-'2026'!Resal)*(1-EXP(('2026'!Tnet-t)/('2026'!Tau_j))),Resal+(Salim-Resal)*(1-EXP((Tnet-t)/(Tau_j))))*Salcycl</f>
        <v>6.3328993586813931E-2</v>
      </c>
      <c r="P231" s="169">
        <f>(INDEX(Models!$BJ231:$BT231,,T231)*(1-R231)+INDEX(Models!$BJ231:$BT231,,T231+1)*R231-ERP_i)*Q231*Ramure*Pc/MaxiM</f>
        <v>1.5607401292564152E-3</v>
      </c>
      <c r="Q231" s="305">
        <f t="shared" si="80"/>
        <v>0.7</v>
      </c>
      <c r="R231" s="177">
        <f t="shared" si="81"/>
        <v>0.42963197528018249</v>
      </c>
      <c r="S231" s="921">
        <f t="shared" si="82"/>
        <v>-1</v>
      </c>
      <c r="T231" s="176">
        <f t="shared" si="83"/>
        <v>5</v>
      </c>
      <c r="U231" s="251">
        <f t="shared" si="84"/>
        <v>-0.57036802471981751</v>
      </c>
      <c r="V231" s="383">
        <f t="shared" si="85"/>
        <v>46.906798094519296</v>
      </c>
      <c r="W231" s="402">
        <f t="shared" si="86"/>
        <v>41.356594685399131</v>
      </c>
      <c r="X231" s="157">
        <f t="shared" si="87"/>
        <v>46604</v>
      </c>
      <c r="Y231" s="385">
        <f t="shared" si="88"/>
        <v>38.946844250438858</v>
      </c>
      <c r="Z231" s="385">
        <f t="shared" si="89"/>
        <v>41.922097748491467</v>
      </c>
      <c r="AA231" s="386">
        <f t="shared" si="90"/>
        <v>47.329532530128859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0.11425075407611826</v>
      </c>
      <c r="AD231" s="231">
        <f>(INDEX(Models!$BJ231:$BT231,,AH231)*(1-AF231)+INDEX(Models!$BJ231:$BT231,,AH231+1)*AF231-ERP_i)*AE231*Ramure*Pc/MaxiM</f>
        <v>6.5212778741345059E-3</v>
      </c>
      <c r="AE231" s="305">
        <f t="shared" si="92"/>
        <v>0.7</v>
      </c>
      <c r="AF231" s="177">
        <f t="shared" si="93"/>
        <v>0.95461954165416119</v>
      </c>
      <c r="AG231" s="921">
        <f t="shared" si="99"/>
        <v>2</v>
      </c>
      <c r="AH231" s="176">
        <f t="shared" si="94"/>
        <v>8</v>
      </c>
      <c r="AI231" s="225">
        <f t="shared" si="95"/>
        <v>2.9546195416541612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43.721835872754404</v>
      </c>
      <c r="C232" s="955"/>
      <c r="D232" s="393">
        <f t="shared" si="77"/>
        <v>47.062894537762141</v>
      </c>
      <c r="E232" s="385">
        <f t="shared" si="75"/>
        <v>50.249893575865535</v>
      </c>
      <c r="F232" s="385">
        <f t="shared" si="78"/>
        <v>50.317646273975562</v>
      </c>
      <c r="G232" s="110">
        <f t="shared" si="76"/>
        <v>0.93389222754608892</v>
      </c>
      <c r="H232" s="414" t="b">
        <f>Wh_hp&gt;='2026'!Maxi_hp</f>
        <v>0</v>
      </c>
      <c r="I232" s="390">
        <f>IF(H232,Wh_hp,'2026'!Maxi_hp)</f>
        <v>54.203152791652954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7.0991355245414223E-2</v>
      </c>
      <c r="M232" s="959"/>
      <c r="N232" s="959"/>
      <c r="O232" s="48">
        <f>IF(t&lt;Tnet,'2026'!Resal+('2026'!Salim-'2026'!Resal)*(1-EXP(('2026'!Tnet-t)/('2026'!Tau_j))),Resal+(Salim-Resal)*(1-EXP((Tnet-t)/(Tau_j))))*Salcycl</f>
        <v>6.3423000753061773E-2</v>
      </c>
      <c r="P232" s="169">
        <f>(INDEX(Models!$BJ232:$BT232,,T232)*(1-R232)+INDEX(Models!$BJ232:$BT232,,T232+1)*R232-ERP_i)*Q232*Ramure*Pc/MaxiM</f>
        <v>1.4866170678147703E-3</v>
      </c>
      <c r="Q232" s="305">
        <f t="shared" si="80"/>
        <v>0.7</v>
      </c>
      <c r="R232" s="177">
        <f t="shared" si="81"/>
        <v>0.43130639258971404</v>
      </c>
      <c r="S232" s="921">
        <f t="shared" si="82"/>
        <v>-1</v>
      </c>
      <c r="T232" s="176">
        <f t="shared" si="83"/>
        <v>5</v>
      </c>
      <c r="U232" s="251">
        <f t="shared" si="84"/>
        <v>-0.56869360741028596</v>
      </c>
      <c r="V232" s="383">
        <f t="shared" si="85"/>
        <v>46.810220855144586</v>
      </c>
      <c r="W232" s="402">
        <f t="shared" si="86"/>
        <v>43.721835872754404</v>
      </c>
      <c r="X232" s="157">
        <f t="shared" si="87"/>
        <v>46605</v>
      </c>
      <c r="Y232" s="385">
        <f t="shared" si="88"/>
        <v>41.163890372227229</v>
      </c>
      <c r="Z232" s="385">
        <f t="shared" si="89"/>
        <v>44.309480438797642</v>
      </c>
      <c r="AA232" s="386">
        <f t="shared" si="90"/>
        <v>50.027473478827226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0.11429705804450764</v>
      </c>
      <c r="AD232" s="231">
        <f>(INDEX(Models!$BJ232:$BT232,,AH232)*(1-AF232)+INDEX(Models!$BJ232:$BT232,,AH232+1)*AF232-ERP_i)*AE232*Ramure*Pc/MaxiM</f>
        <v>6.3669173614678675E-3</v>
      </c>
      <c r="AE232" s="305">
        <f t="shared" si="92"/>
        <v>0.7</v>
      </c>
      <c r="AF232" s="177">
        <f t="shared" si="93"/>
        <v>0.95629395896369296</v>
      </c>
      <c r="AG232" s="921">
        <f t="shared" si="99"/>
        <v>2</v>
      </c>
      <c r="AH232" s="176">
        <f t="shared" si="94"/>
        <v>8</v>
      </c>
      <c r="AI232" s="225">
        <f t="shared" si="95"/>
        <v>2.956293958963693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46.642562153553683</v>
      </c>
      <c r="C233" s="955"/>
      <c r="D233" s="393">
        <f t="shared" si="77"/>
        <v>50.20791144528858</v>
      </c>
      <c r="E233" s="385">
        <f t="shared" ref="E233:E296" si="100">Wh_pvt/(1-Psa)</f>
        <v>53.613251995096761</v>
      </c>
      <c r="F233" s="385">
        <f t="shared" si="78"/>
        <v>53.688949631015817</v>
      </c>
      <c r="G233" s="110">
        <f t="shared" ref="G233:G296" si="101">+Wh_hp/MaxiM</f>
        <v>0.99849260140562135</v>
      </c>
      <c r="H233" s="414" t="b">
        <f>Wh_hp&gt;='2026'!Maxi_hp</f>
        <v>0</v>
      </c>
      <c r="I233" s="390">
        <f>IF(H233,Wh_hp,'2026'!Maxi_hp)</f>
        <v>53.689063433839777</v>
      </c>
      <c r="J233" s="85">
        <f>IF(H233,An,'2026'!An_max)</f>
        <v>2025</v>
      </c>
      <c r="K233" s="197">
        <f t="shared" si="79"/>
        <v>46606</v>
      </c>
      <c r="L233" s="147">
        <f>IF(t&lt;Tvie,1-EXP((T0-t)*PertePVj)+'2026'!Pspv,1-EXP((T0-t)*PertePVj)+Pspv)</f>
        <v>7.1011702918972186E-2</v>
      </c>
      <c r="M233" s="959"/>
      <c r="N233" s="959"/>
      <c r="O233" s="48">
        <f>IF(t&lt;Tnet,'2026'!Resal+('2026'!Salim-'2026'!Resal)*(1-EXP(('2026'!Tnet-t)/('2026'!Tau_j))),Resal+(Salim-Resal)*(1-EXP((Tnet-t)/(Tau_j))))*Salcycl</f>
        <v>6.3516769139831619E-2</v>
      </c>
      <c r="P233" s="169">
        <f>(INDEX(Models!$BJ233:$BT233,,T233)*(1-R233)+INDEX(Models!$BJ233:$BT233,,T233+1)*R233-ERP_i)*Q233*Ramure*Pc/MaxiM</f>
        <v>1.4129661273876608E-3</v>
      </c>
      <c r="Q233" s="305">
        <f t="shared" si="80"/>
        <v>0.7</v>
      </c>
      <c r="R233" s="177">
        <f t="shared" si="81"/>
        <v>0.4329250164692775</v>
      </c>
      <c r="S233" s="921">
        <f t="shared" si="82"/>
        <v>-1</v>
      </c>
      <c r="T233" s="176">
        <f t="shared" si="83"/>
        <v>5</v>
      </c>
      <c r="U233" s="251">
        <f t="shared" si="84"/>
        <v>-0.5670749835307225</v>
      </c>
      <c r="V233" s="383">
        <f t="shared" si="85"/>
        <v>46.712835181333858</v>
      </c>
      <c r="W233" s="402">
        <f t="shared" si="86"/>
        <v>46.642562153553683</v>
      </c>
      <c r="X233" s="157">
        <f t="shared" si="87"/>
        <v>46606</v>
      </c>
      <c r="Y233" s="385">
        <f t="shared" si="88"/>
        <v>43.89943199643438</v>
      </c>
      <c r="Z233" s="385">
        <f t="shared" si="89"/>
        <v>47.255096898820675</v>
      </c>
      <c r="AA233" s="386">
        <f t="shared" si="90"/>
        <v>53.355982711892331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0.11434305026326219</v>
      </c>
      <c r="AD233" s="231">
        <f>(INDEX(Models!$BJ233:$BT233,,AH233)*(1-AF233)+INDEX(Models!$BJ233:$BT233,,AH233+1)*AF233-ERP_i)*AE233*Ramure*Pc/MaxiM</f>
        <v>6.2151343638421255E-3</v>
      </c>
      <c r="AE233" s="305">
        <f t="shared" si="92"/>
        <v>0.7</v>
      </c>
      <c r="AF233" s="177">
        <f t="shared" si="93"/>
        <v>0.95791258284325664</v>
      </c>
      <c r="AG233" s="921">
        <f t="shared" si="99"/>
        <v>2</v>
      </c>
      <c r="AH233" s="176">
        <f t="shared" si="94"/>
        <v>8</v>
      </c>
      <c r="AI233" s="225">
        <f t="shared" si="95"/>
        <v>2.9579125828432566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47.212795950077819</v>
      </c>
      <c r="C234" s="955"/>
      <c r="D234" s="393">
        <f t="shared" si="77"/>
        <v>50.822846964248725</v>
      </c>
      <c r="E234" s="385">
        <f t="shared" si="100"/>
        <v>54.275316134438455</v>
      </c>
      <c r="F234" s="385">
        <f t="shared" si="78"/>
        <v>54.348181539187046</v>
      </c>
      <c r="G234" s="110">
        <f t="shared" si="101"/>
        <v>1.0128309621752036</v>
      </c>
      <c r="H234" s="414" t="b">
        <f>Wh_hp&gt;='2026'!Maxi_hp</f>
        <v>1</v>
      </c>
      <c r="I234" s="390">
        <f>IF(H234,Wh_hp,'2026'!Maxi_hp)</f>
        <v>54.348181539187046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7.1032050146863868E-2</v>
      </c>
      <c r="M234" s="959"/>
      <c r="N234" s="959"/>
      <c r="O234" s="48">
        <f>IF(t&lt;Tnet,'2026'!Resal+('2026'!Salim-'2026'!Resal)*(1-EXP(('2026'!Tnet-t)/('2026'!Tau_j))),Resal+(Salim-Resal)*(1-EXP((Tnet-t)/(Tau_j))))*Salcycl</f>
        <v>6.3610300521107138E-2</v>
      </c>
      <c r="P234" s="169">
        <f>(INDEX(Models!$BJ234:$BT234,,T234)*(1-R234)+INDEX(Models!$BJ234:$BT234,,T234+1)*R234-ERP_i)*Q234*Ramure*Pc/MaxiM</f>
        <v>1.3407146786696179E-3</v>
      </c>
      <c r="Q234" s="305">
        <f t="shared" si="80"/>
        <v>0.7</v>
      </c>
      <c r="R234" s="177">
        <f t="shared" si="81"/>
        <v>0.43448929040219908</v>
      </c>
      <c r="S234" s="921">
        <f t="shared" si="82"/>
        <v>-1</v>
      </c>
      <c r="T234" s="176">
        <f t="shared" si="83"/>
        <v>5</v>
      </c>
      <c r="U234" s="251">
        <f t="shared" si="84"/>
        <v>-0.56551070959780092</v>
      </c>
      <c r="V234" s="383">
        <f t="shared" si="85"/>
        <v>46.614684693960577</v>
      </c>
      <c r="W234" s="402">
        <f t="shared" si="86"/>
        <v>47.212795950077819</v>
      </c>
      <c r="X234" s="157">
        <f t="shared" si="87"/>
        <v>46607</v>
      </c>
      <c r="Y234" s="385">
        <f t="shared" si="88"/>
        <v>44.441137314605612</v>
      </c>
      <c r="Z234" s="385">
        <f t="shared" si="89"/>
        <v>47.839257879275031</v>
      </c>
      <c r="AA234" s="386">
        <f t="shared" si="90"/>
        <v>54.01834840149354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0.11438873466275143</v>
      </c>
      <c r="AD234" s="231">
        <f>(INDEX(Models!$BJ234:$BT234,,AH234)*(1-AF234)+INDEX(Models!$BJ234:$BT234,,AH234+1)*AF234-ERP_i)*AE234*Ramure*Pc/MaxiM</f>
        <v>6.0688900410711955E-3</v>
      </c>
      <c r="AE234" s="305">
        <f t="shared" si="92"/>
        <v>0.7</v>
      </c>
      <c r="AF234" s="177">
        <f t="shared" si="93"/>
        <v>0.959476856776178</v>
      </c>
      <c r="AG234" s="921">
        <f t="shared" si="99"/>
        <v>2</v>
      </c>
      <c r="AH234" s="176">
        <f t="shared" si="94"/>
        <v>8</v>
      </c>
      <c r="AI234" s="225">
        <f t="shared" si="95"/>
        <v>2.959476856776178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45.489812965921772</v>
      </c>
      <c r="C235" s="955"/>
      <c r="D235" s="393">
        <f t="shared" si="77"/>
        <v>48.969191389850444</v>
      </c>
      <c r="E235" s="385">
        <f t="shared" si="100"/>
        <v>52.300949951054783</v>
      </c>
      <c r="F235" s="385">
        <f t="shared" si="78"/>
        <v>52.36534839353012</v>
      </c>
      <c r="G235" s="110">
        <f t="shared" si="101"/>
        <v>0.97790303143907986</v>
      </c>
      <c r="H235" s="414" t="b">
        <f>Wh_hp&gt;='2026'!Maxi_hp</f>
        <v>0</v>
      </c>
      <c r="I235" s="390">
        <f>IF(H235,Wh_hp,'2026'!Maxi_hp)</f>
        <v>54.505372378920782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7.1052396929099038E-2</v>
      </c>
      <c r="M235" s="959"/>
      <c r="N235" s="959"/>
      <c r="O235" s="48">
        <f>IF(t&lt;Tnet,'2026'!Resal+('2026'!Salim-'2026'!Resal)*(1-EXP(('2026'!Tnet-t)/('2026'!Tau_j))),Resal+(Salim-Resal)*(1-EXP((Tnet-t)/(Tau_j))))*Salcycl</f>
        <v>6.3703595524026338E-2</v>
      </c>
      <c r="P235" s="169">
        <f>(INDEX(Models!$BJ235:$BT235,,T235)*(1-R235)+INDEX(Models!$BJ235:$BT235,,T235+1)*R235-ERP_i)*Q235*Ramure*Pc/MaxiM</f>
        <v>1.2698041195774116E-3</v>
      </c>
      <c r="Q235" s="305">
        <f t="shared" si="80"/>
        <v>0.7</v>
      </c>
      <c r="R235" s="177">
        <f t="shared" si="81"/>
        <v>0.43600065127082743</v>
      </c>
      <c r="S235" s="921">
        <f t="shared" si="82"/>
        <v>-1</v>
      </c>
      <c r="T235" s="176">
        <f t="shared" si="83"/>
        <v>5</v>
      </c>
      <c r="U235" s="251">
        <f t="shared" si="84"/>
        <v>-0.56399934872917257</v>
      </c>
      <c r="V235" s="383">
        <f t="shared" si="85"/>
        <v>46.515849813528078</v>
      </c>
      <c r="W235" s="402">
        <f t="shared" si="86"/>
        <v>45.489812965921772</v>
      </c>
      <c r="X235" s="157">
        <f t="shared" si="87"/>
        <v>46608</v>
      </c>
      <c r="Y235" s="385">
        <f t="shared" si="88"/>
        <v>42.830750533298101</v>
      </c>
      <c r="Z235" s="385">
        <f t="shared" si="89"/>
        <v>46.106745301574442</v>
      </c>
      <c r="AA235" s="386">
        <f t="shared" si="90"/>
        <v>52.064726050646492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0.11443411309369736</v>
      </c>
      <c r="AD235" s="231">
        <f>(INDEX(Models!$BJ235:$BT235,,AH235)*(1-AF235)+INDEX(Models!$BJ235:$BT235,,AH235+1)*AF235-ERP_i)*AE235*Ramure*Pc/MaxiM</f>
        <v>5.9276509610746535E-3</v>
      </c>
      <c r="AE235" s="305">
        <f t="shared" si="92"/>
        <v>0.7</v>
      </c>
      <c r="AF235" s="177">
        <f t="shared" si="93"/>
        <v>0.96098821764480613</v>
      </c>
      <c r="AG235" s="921">
        <f t="shared" si="99"/>
        <v>2</v>
      </c>
      <c r="AH235" s="176">
        <f t="shared" si="94"/>
        <v>8</v>
      </c>
      <c r="AI235" s="225">
        <f t="shared" si="95"/>
        <v>2.9609882176448061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44.185760149239918</v>
      </c>
      <c r="C236" s="955"/>
      <c r="D236" s="393">
        <f t="shared" si="77"/>
        <v>47.56643733824437</v>
      </c>
      <c r="E236" s="385">
        <f t="shared" si="100"/>
        <v>50.807805297743172</v>
      </c>
      <c r="F236" s="385">
        <f t="shared" si="78"/>
        <v>50.864664378982333</v>
      </c>
      <c r="G236" s="110">
        <f t="shared" si="101"/>
        <v>0.95186416893964021</v>
      </c>
      <c r="H236" s="414" t="b">
        <f>Wh_hp&gt;='2026'!Maxi_hp</f>
        <v>0</v>
      </c>
      <c r="I236" s="390">
        <f>IF(H236,Wh_hp,'2026'!Maxi_hp)</f>
        <v>52.854099421104479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7.1072743265687466E-2</v>
      </c>
      <c r="M236" s="959"/>
      <c r="N236" s="959"/>
      <c r="O236" s="48">
        <f>IF(t&lt;Tnet,'2026'!Resal+('2026'!Salim-'2026'!Resal)*(1-EXP(('2026'!Tnet-t)/('2026'!Tau_j))),Resal+(Salim-Resal)*(1-EXP((Tnet-t)/(Tau_j))))*Salcycl</f>
        <v>6.3796653693340713E-2</v>
      </c>
      <c r="P236" s="169">
        <f>(INDEX(Models!$BJ236:$BT236,,T236)*(1-R236)+INDEX(Models!$BJ236:$BT236,,T236+1)*R236-ERP_i)*Q236*Ramure*Pc/MaxiM</f>
        <v>1.2002515326695507E-3</v>
      </c>
      <c r="Q236" s="305">
        <f t="shared" si="80"/>
        <v>0.7</v>
      </c>
      <c r="R236" s="177">
        <f t="shared" si="81"/>
        <v>0.43746052673672453</v>
      </c>
      <c r="S236" s="921">
        <f t="shared" si="82"/>
        <v>-1</v>
      </c>
      <c r="T236" s="176">
        <f t="shared" si="83"/>
        <v>5</v>
      </c>
      <c r="U236" s="251">
        <f t="shared" si="84"/>
        <v>-0.56253947326327547</v>
      </c>
      <c r="V236" s="383">
        <f t="shared" si="85"/>
        <v>46.416407462355551</v>
      </c>
      <c r="W236" s="402">
        <f t="shared" si="86"/>
        <v>44.185760149239918</v>
      </c>
      <c r="X236" s="157">
        <f t="shared" si="87"/>
        <v>46609</v>
      </c>
      <c r="Y236" s="385">
        <f t="shared" si="88"/>
        <v>41.614799758128079</v>
      </c>
      <c r="Z236" s="385">
        <f t="shared" si="89"/>
        <v>44.798771331596903</v>
      </c>
      <c r="AA236" s="386">
        <f t="shared" si="90"/>
        <v>50.590308658713099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0.11447918545400548</v>
      </c>
      <c r="AD236" s="231">
        <f>(INDEX(Models!$BJ236:$BT236,,AH236)*(1-AF236)+INDEX(Models!$BJ236:$BT236,,AH236+1)*AF236-ERP_i)*AE236*Ramure*Pc/MaxiM</f>
        <v>5.7914385279054749E-3</v>
      </c>
      <c r="AE236" s="305">
        <f t="shared" si="92"/>
        <v>0.7</v>
      </c>
      <c r="AF236" s="177">
        <f t="shared" si="93"/>
        <v>0.96244809311070334</v>
      </c>
      <c r="AG236" s="921">
        <f t="shared" si="99"/>
        <v>2</v>
      </c>
      <c r="AH236" s="176">
        <f t="shared" si="94"/>
        <v>8</v>
      </c>
      <c r="AI236" s="225">
        <f t="shared" si="95"/>
        <v>2.9624480931107033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41.809150277647376</v>
      </c>
      <c r="C237" s="955"/>
      <c r="D237" s="393">
        <f t="shared" si="77"/>
        <v>45.008977530039644</v>
      </c>
      <c r="E237" s="385">
        <f t="shared" si="100"/>
        <v>48.080836886972307</v>
      </c>
      <c r="F237" s="385">
        <f t="shared" si="78"/>
        <v>48.127746586242289</v>
      </c>
      <c r="G237" s="110">
        <f t="shared" si="101"/>
        <v>0.9025427837542741</v>
      </c>
      <c r="H237" s="414" t="b">
        <f>Wh_hp&gt;='2026'!Maxi_hp</f>
        <v>0</v>
      </c>
      <c r="I237" s="390">
        <f>IF(H237,Wh_hp,'2026'!Maxi_hp)</f>
        <v>52.879735063277003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7.1093089156638922E-2</v>
      </c>
      <c r="M237" s="959"/>
      <c r="N237" s="959"/>
      <c r="O237" s="48">
        <f>IF(t&lt;Tnet,'2026'!Resal+('2026'!Salim-'2026'!Resal)*(1-EXP(('2026'!Tnet-t)/('2026'!Tau_j))),Resal+(Salim-Resal)*(1-EXP((Tnet-t)/(Tau_j))))*Salcycl</f>
        <v>6.3889473557915355E-2</v>
      </c>
      <c r="P237" s="169">
        <f>(INDEX(Models!$BJ237:$BT237,,T237)*(1-R237)+INDEX(Models!$BJ237:$BT237,,T237+1)*R237-ERP_i)*Q237*Ramure*Pc/MaxiM</f>
        <v>1.1320739215528949E-3</v>
      </c>
      <c r="Q237" s="305">
        <f t="shared" si="80"/>
        <v>0.7</v>
      </c>
      <c r="R237" s="177">
        <f t="shared" si="81"/>
        <v>0.43887033284306698</v>
      </c>
      <c r="S237" s="921">
        <f t="shared" si="82"/>
        <v>-1</v>
      </c>
      <c r="T237" s="176">
        <f t="shared" si="83"/>
        <v>5</v>
      </c>
      <c r="U237" s="251">
        <f t="shared" si="84"/>
        <v>-0.56112966715693302</v>
      </c>
      <c r="V237" s="383">
        <f t="shared" si="85"/>
        <v>46.316434610745269</v>
      </c>
      <c r="W237" s="402">
        <f t="shared" si="86"/>
        <v>41.809150277647376</v>
      </c>
      <c r="X237" s="157">
        <f t="shared" si="87"/>
        <v>46610</v>
      </c>
      <c r="Y237" s="385">
        <f t="shared" si="88"/>
        <v>39.393347500790313</v>
      </c>
      <c r="Z237" s="385">
        <f t="shared" si="89"/>
        <v>42.408283371500396</v>
      </c>
      <c r="AA237" s="386">
        <f t="shared" si="90"/>
        <v>47.89320203838642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0.11452394981838682</v>
      </c>
      <c r="AD237" s="231">
        <f>(INDEX(Models!$BJ237:$BT237,,AH237)*(1-AF237)+INDEX(Models!$BJ237:$BT237,,AH237+1)*AF237-ERP_i)*AE237*Ramure*Pc/MaxiM</f>
        <v>5.6602743185769399E-3</v>
      </c>
      <c r="AE237" s="305">
        <f t="shared" si="92"/>
        <v>0.7</v>
      </c>
      <c r="AF237" s="177">
        <f t="shared" si="93"/>
        <v>0.96385789921704612</v>
      </c>
      <c r="AG237" s="921">
        <f t="shared" si="99"/>
        <v>2</v>
      </c>
      <c r="AH237" s="176">
        <f t="shared" si="94"/>
        <v>8</v>
      </c>
      <c r="AI237" s="225">
        <f t="shared" si="95"/>
        <v>2.9638578992170461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43.117856299219419</v>
      </c>
      <c r="C238" s="955"/>
      <c r="D238" s="393">
        <f t="shared" si="77"/>
        <v>46.418860930282705</v>
      </c>
      <c r="E238" s="385">
        <f t="shared" si="100"/>
        <v>49.591849241879103</v>
      </c>
      <c r="F238" s="385">
        <f t="shared" si="78"/>
        <v>49.639665625317321</v>
      </c>
      <c r="G238" s="110">
        <f t="shared" si="101"/>
        <v>0.93286839014606304</v>
      </c>
      <c r="H238" s="414" t="b">
        <f>Wh_hp&gt;='2026'!Maxi_hp</f>
        <v>0</v>
      </c>
      <c r="I238" s="390">
        <f>IF(H238,Wh_hp,'2026'!Maxi_hp)</f>
        <v>51.227825043986797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7.1113434601963177E-2</v>
      </c>
      <c r="M238" s="959"/>
      <c r="N238" s="959"/>
      <c r="O238" s="48">
        <f>IF(t&lt;Tnet,'2026'!Resal+('2026'!Salim-'2026'!Resal)*(1-EXP(('2026'!Tnet-t)/('2026'!Tau_j))),Resal+(Salim-Resal)*(1-EXP((Tnet-t)/(Tau_j))))*Salcycl</f>
        <v>6.3982052698226238E-2</v>
      </c>
      <c r="P238" s="169">
        <f>(INDEX(Models!$BJ238:$BT238,,T238)*(1-R238)+INDEX(Models!$BJ238:$BT238,,T238+1)*R238-ERP_i)*Q238*Ramure*Pc/MaxiM</f>
        <v>1.0652882581137328E-3</v>
      </c>
      <c r="Q238" s="305">
        <f t="shared" si="80"/>
        <v>0.7</v>
      </c>
      <c r="R238" s="177">
        <f t="shared" si="81"/>
        <v>0.44023147183063305</v>
      </c>
      <c r="S238" s="921">
        <f t="shared" si="82"/>
        <v>-1</v>
      </c>
      <c r="T238" s="176">
        <f t="shared" si="83"/>
        <v>5</v>
      </c>
      <c r="U238" s="251">
        <f t="shared" si="84"/>
        <v>-0.55976852816936695</v>
      </c>
      <c r="V238" s="383">
        <f t="shared" si="85"/>
        <v>46.216008270509661</v>
      </c>
      <c r="W238" s="402">
        <f t="shared" si="86"/>
        <v>43.117856299219419</v>
      </c>
      <c r="X238" s="157">
        <f t="shared" si="87"/>
        <v>46611</v>
      </c>
      <c r="Y238" s="385">
        <f t="shared" si="88"/>
        <v>40.622607431313263</v>
      </c>
      <c r="Z238" s="385">
        <f t="shared" si="89"/>
        <v>43.732581506231696</v>
      </c>
      <c r="AA238" s="386">
        <f t="shared" si="90"/>
        <v>49.391259170230924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0.11456840256888653</v>
      </c>
      <c r="AD238" s="231">
        <f>(INDEX(Models!$BJ238:$BT238,,AH238)*(1-AF238)+INDEX(Models!$BJ238:$BT238,,AH238+1)*AF238-ERP_i)*AE238*Ramure*Pc/MaxiM</f>
        <v>5.5341801452863252E-3</v>
      </c>
      <c r="AE238" s="305">
        <f t="shared" si="92"/>
        <v>0.7</v>
      </c>
      <c r="AF238" s="177">
        <f t="shared" si="93"/>
        <v>0.96521903820461219</v>
      </c>
      <c r="AG238" s="921">
        <f t="shared" si="99"/>
        <v>2</v>
      </c>
      <c r="AH238" s="176">
        <f t="shared" si="94"/>
        <v>8</v>
      </c>
      <c r="AI238" s="225">
        <f t="shared" si="95"/>
        <v>2.9652190382046122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33.846096449585275</v>
      </c>
      <c r="C239" s="955"/>
      <c r="D239" s="393">
        <f t="shared" si="77"/>
        <v>36.438074403298778</v>
      </c>
      <c r="E239" s="385">
        <f t="shared" si="100"/>
        <v>38.932660810708491</v>
      </c>
      <c r="F239" s="385">
        <f t="shared" si="78"/>
        <v>38.956808921438324</v>
      </c>
      <c r="G239" s="110">
        <f t="shared" si="101"/>
        <v>0.73366745632181052</v>
      </c>
      <c r="H239" s="414" t="b">
        <f>Wh_hp&gt;='2026'!Maxi_hp</f>
        <v>0</v>
      </c>
      <c r="I239" s="390">
        <f>IF(H239,Wh_hp,'2026'!Maxi_hp)</f>
        <v>48.536022746732414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7.1133779601669889E-2</v>
      </c>
      <c r="M239" s="959"/>
      <c r="N239" s="959"/>
      <c r="O239" s="48">
        <f>IF(t&lt;Tnet,'2026'!Resal+('2026'!Salim-'2026'!Resal)*(1-EXP(('2026'!Tnet-t)/('2026'!Tau_j))),Resal+(Salim-Resal)*(1-EXP((Tnet-t)/(Tau_j))))*Salcycl</f>
        <v>6.4074387813832026E-2</v>
      </c>
      <c r="P239" s="169">
        <f>(INDEX(Models!$BJ239:$BT239,,T239)*(1-R239)+INDEX(Models!$BJ239:$BT239,,T239+1)*R239-ERP_i)*Q239*Ramure*Pc/MaxiM</f>
        <v>9.9991152272460105E-4</v>
      </c>
      <c r="Q239" s="305">
        <f t="shared" si="80"/>
        <v>0.7</v>
      </c>
      <c r="R239" s="177">
        <f t="shared" si="81"/>
        <v>0.44154533015837671</v>
      </c>
      <c r="S239" s="921">
        <f t="shared" si="82"/>
        <v>-1</v>
      </c>
      <c r="T239" s="176">
        <f t="shared" si="83"/>
        <v>5</v>
      </c>
      <c r="U239" s="251">
        <f t="shared" si="84"/>
        <v>-0.55845466984162329</v>
      </c>
      <c r="V239" s="383">
        <f t="shared" si="85"/>
        <v>46.115205489079649</v>
      </c>
      <c r="W239" s="402">
        <f t="shared" si="86"/>
        <v>33.846096449585275</v>
      </c>
      <c r="X239" s="157">
        <f t="shared" si="87"/>
        <v>46612</v>
      </c>
      <c r="Y239" s="385">
        <f t="shared" si="88"/>
        <v>31.930820202473438</v>
      </c>
      <c r="Z239" s="385">
        <f t="shared" si="89"/>
        <v>34.376123817680003</v>
      </c>
      <c r="AA239" s="386">
        <f t="shared" si="90"/>
        <v>38.826079330727907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0.11461253852448865</v>
      </c>
      <c r="AD239" s="231">
        <f>(INDEX(Models!$BJ239:$BT239,,AH239)*(1-AF239)+INDEX(Models!$BJ239:$BT239,,AH239+1)*AF239-ERP_i)*AE239*Ramure*Pc/MaxiM</f>
        <v>5.4131780980667572E-3</v>
      </c>
      <c r="AE239" s="305">
        <f t="shared" si="92"/>
        <v>0.7</v>
      </c>
      <c r="AF239" s="177">
        <f t="shared" si="93"/>
        <v>0.96653289653235586</v>
      </c>
      <c r="AG239" s="921">
        <f t="shared" si="99"/>
        <v>2</v>
      </c>
      <c r="AH239" s="176">
        <f t="shared" si="94"/>
        <v>8</v>
      </c>
      <c r="AI239" s="225">
        <f t="shared" si="95"/>
        <v>2.9665328965323559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31.002026473101292</v>
      </c>
      <c r="C240" s="955"/>
      <c r="D240" s="393">
        <f t="shared" si="77"/>
        <v>33.376932900653138</v>
      </c>
      <c r="E240" s="385">
        <f t="shared" si="100"/>
        <v>35.665459722825567</v>
      </c>
      <c r="F240" s="385">
        <f t="shared" si="78"/>
        <v>35.683324627521337</v>
      </c>
      <c r="G240" s="110">
        <f t="shared" si="101"/>
        <v>0.67345709226434791</v>
      </c>
      <c r="H240" s="414" t="b">
        <f>Wh_hp&gt;='2026'!Maxi_hp</f>
        <v>0</v>
      </c>
      <c r="I240" s="390">
        <f>IF(H240,Wh_hp,'2026'!Maxi_hp)</f>
        <v>53.538915966622881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7.1154124155768939E-2</v>
      </c>
      <c r="M240" s="959"/>
      <c r="N240" s="959"/>
      <c r="O240" s="48">
        <f>IF(t&lt;Tnet,'2026'!Resal+('2026'!Salim-'2026'!Resal)*(1-EXP(('2026'!Tnet-t)/('2026'!Tau_j))),Resal+(Salim-Resal)*(1-EXP((Tnet-t)/(Tau_j))))*Salcycl</f>
        <v>6.4166474789831271E-2</v>
      </c>
      <c r="P240" s="169">
        <f>(INDEX(Models!$BJ240:$BT240,,T240)*(1-R240)+INDEX(Models!$BJ240:$BT240,,T240+1)*R240-ERP_i)*Q240*Ramure*Pc/MaxiM</f>
        <v>9.3767055151347035E-4</v>
      </c>
      <c r="Q240" s="305">
        <f t="shared" si="80"/>
        <v>0.7</v>
      </c>
      <c r="R240" s="177">
        <f t="shared" si="81"/>
        <v>0.44281327671932558</v>
      </c>
      <c r="S240" s="921">
        <f t="shared" si="82"/>
        <v>-1</v>
      </c>
      <c r="T240" s="176">
        <f t="shared" si="83"/>
        <v>5</v>
      </c>
      <c r="U240" s="251">
        <f t="shared" si="84"/>
        <v>-0.55718672328067442</v>
      </c>
      <c r="V240" s="383">
        <f t="shared" si="85"/>
        <v>46.014024593065351</v>
      </c>
      <c r="W240" s="402">
        <f t="shared" si="86"/>
        <v>31.002026473101292</v>
      </c>
      <c r="X240" s="157">
        <f t="shared" si="87"/>
        <v>46613</v>
      </c>
      <c r="Y240" s="385">
        <f t="shared" si="88"/>
        <v>29.261034230012434</v>
      </c>
      <c r="Z240" s="385">
        <f t="shared" si="89"/>
        <v>31.50257216076562</v>
      </c>
      <c r="AA240" s="386">
        <f t="shared" si="90"/>
        <v>35.58230998637535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0.11465635106804153</v>
      </c>
      <c r="AD240" s="231">
        <f>(INDEX(Models!$BJ240:$BT240,,AH240)*(1-AF240)+INDEX(Models!$BJ240:$BT240,,AH240+1)*AF240-ERP_i)*AE240*Ramure*Pc/MaxiM</f>
        <v>5.3019288872396498E-3</v>
      </c>
      <c r="AE240" s="305">
        <f t="shared" si="92"/>
        <v>0.7</v>
      </c>
      <c r="AF240" s="177">
        <f t="shared" si="93"/>
        <v>0.9678008430933045</v>
      </c>
      <c r="AG240" s="921">
        <f t="shared" si="99"/>
        <v>2</v>
      </c>
      <c r="AH240" s="176">
        <f t="shared" si="94"/>
        <v>8</v>
      </c>
      <c r="AI240" s="225">
        <f t="shared" si="95"/>
        <v>2.9678008430933045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35.159226444549475</v>
      </c>
      <c r="C241" s="955"/>
      <c r="D241" s="393">
        <f t="shared" si="77"/>
        <v>37.853423752086307</v>
      </c>
      <c r="E241" s="385">
        <f t="shared" si="100"/>
        <v>40.452855853819926</v>
      </c>
      <c r="F241" s="385">
        <f t="shared" si="78"/>
        <v>40.47649598319655</v>
      </c>
      <c r="G241" s="110">
        <f t="shared" si="101"/>
        <v>0.76556126608496577</v>
      </c>
      <c r="H241" s="414" t="b">
        <f>Wh_hp&gt;='2026'!Maxi_hp</f>
        <v>0</v>
      </c>
      <c r="I241" s="390">
        <f>IF(H241,Wh_hp,'2026'!Maxi_hp)</f>
        <v>53.803189402990363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7.1174468264269986E-2</v>
      </c>
      <c r="M241" s="959"/>
      <c r="N241" s="959"/>
      <c r="O241" s="48">
        <f>IF(t&lt;Tnet,'2026'!Resal+('2026'!Salim-'2026'!Resal)*(1-EXP(('2026'!Tnet-t)/('2026'!Tau_j))),Resal+(Salim-Resal)*(1-EXP((Tnet-t)/(Tau_j))))*Salcycl</f>
        <v>6.425830876136171E-2</v>
      </c>
      <c r="P241" s="169">
        <f>(INDEX(Models!$BJ241:$BT241,,T241)*(1-R241)+INDEX(Models!$BJ241:$BT241,,T241+1)*R241-ERP_i)*Q241*Ramure*Pc/MaxiM</f>
        <v>8.7772461161265112E-4</v>
      </c>
      <c r="Q241" s="305">
        <f t="shared" si="80"/>
        <v>0.7</v>
      </c>
      <c r="R241" s="177">
        <f t="shared" si="81"/>
        <v>0.44403666124236585</v>
      </c>
      <c r="S241" s="921">
        <f t="shared" si="82"/>
        <v>-1</v>
      </c>
      <c r="T241" s="176">
        <f t="shared" si="83"/>
        <v>5</v>
      </c>
      <c r="U241" s="251">
        <f t="shared" si="84"/>
        <v>-0.55596333875763415</v>
      </c>
      <c r="V241" s="383">
        <f t="shared" si="85"/>
        <v>45.912582636277584</v>
      </c>
      <c r="W241" s="402">
        <f t="shared" si="86"/>
        <v>35.159226444549475</v>
      </c>
      <c r="X241" s="157">
        <f t="shared" si="87"/>
        <v>46614</v>
      </c>
      <c r="Y241" s="385">
        <f t="shared" si="88"/>
        <v>33.168277235892575</v>
      </c>
      <c r="Z241" s="385">
        <f t="shared" si="89"/>
        <v>35.709911175578704</v>
      </c>
      <c r="AA241" s="386">
        <f t="shared" si="90"/>
        <v>40.336501084254834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0.1146998322688455</v>
      </c>
      <c r="AD241" s="231">
        <f>(INDEX(Models!$BJ241:$BT241,,AH241)*(1-AF241)+INDEX(Models!$BJ241:$BT241,,AH241+1)*AF241-ERP_i)*AE241*Ramure*Pc/MaxiM</f>
        <v>5.1978128521949982E-3</v>
      </c>
      <c r="AE241" s="305">
        <f t="shared" si="92"/>
        <v>0.7</v>
      </c>
      <c r="AF241" s="177">
        <f t="shared" si="93"/>
        <v>0.96902422761634455</v>
      </c>
      <c r="AG241" s="921">
        <f t="shared" si="99"/>
        <v>2</v>
      </c>
      <c r="AH241" s="176">
        <f t="shared" si="94"/>
        <v>8</v>
      </c>
      <c r="AI241" s="225">
        <f t="shared" si="95"/>
        <v>2.9690242276163445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32.56179709005815</v>
      </c>
      <c r="C242" s="955"/>
      <c r="D242" s="393">
        <f t="shared" si="77"/>
        <v>35.057725245506866</v>
      </c>
      <c r="E242" s="385">
        <f t="shared" si="100"/>
        <v>37.468840811936012</v>
      </c>
      <c r="F242" s="385">
        <f t="shared" si="78"/>
        <v>37.486881884786953</v>
      </c>
      <c r="G242" s="110">
        <f t="shared" si="101"/>
        <v>0.71054527307169291</v>
      </c>
      <c r="H242" s="414" t="b">
        <f>Wh_hp&gt;='2026'!Maxi_hp</f>
        <v>0</v>
      </c>
      <c r="I242" s="390">
        <f>IF(H242,Wh_hp,'2026'!Maxi_hp)</f>
        <v>53.769916943030935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7.1194811927182911E-2</v>
      </c>
      <c r="M242" s="959"/>
      <c r="N242" s="959"/>
      <c r="O242" s="48">
        <f>IF(t&lt;Tnet,'2026'!Resal+('2026'!Salim-'2026'!Resal)*(1-EXP(('2026'!Tnet-t)/('2026'!Tau_j))),Resal+(Salim-Resal)*(1-EXP((Tnet-t)/(Tau_j))))*Salcycl</f>
        <v>6.4349884175254904E-2</v>
      </c>
      <c r="P242" s="169">
        <f>(INDEX(Models!$BJ242:$BT242,,T242)*(1-R242)+INDEX(Models!$BJ242:$BT242,,T242+1)*R242-ERP_i)*Q242*Ramure*Pc/MaxiM</f>
        <v>8.200969719200635E-4</v>
      </c>
      <c r="Q242" s="305">
        <f t="shared" si="80"/>
        <v>0.7</v>
      </c>
      <c r="R242" s="177">
        <f t="shared" si="81"/>
        <v>0.44521681287038462</v>
      </c>
      <c r="S242" s="921">
        <f t="shared" si="82"/>
        <v>-1</v>
      </c>
      <c r="T242" s="176">
        <f t="shared" si="83"/>
        <v>5</v>
      </c>
      <c r="U242" s="251">
        <f t="shared" si="84"/>
        <v>-0.55478318712961538</v>
      </c>
      <c r="V242" s="383">
        <f t="shared" si="85"/>
        <v>45.810956724070365</v>
      </c>
      <c r="W242" s="402">
        <f t="shared" si="86"/>
        <v>32.56179709005815</v>
      </c>
      <c r="X242" s="157">
        <f t="shared" si="87"/>
        <v>46615</v>
      </c>
      <c r="Y242" s="385">
        <f t="shared" si="88"/>
        <v>30.730623789661692</v>
      </c>
      <c r="Z242" s="385">
        <f t="shared" si="89"/>
        <v>33.086188777029584</v>
      </c>
      <c r="AA242" s="386">
        <f t="shared" si="90"/>
        <v>37.374669466482068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0.11474297299935815</v>
      </c>
      <c r="AD242" s="231">
        <f>(INDEX(Models!$BJ242:$BT242,,AH242)*(1-AF242)+INDEX(Models!$BJ242:$BT242,,AH242+1)*AF242-ERP_i)*AE242*Ramure*Pc/MaxiM</f>
        <v>5.1008643013634985E-3</v>
      </c>
      <c r="AE242" s="305">
        <f t="shared" si="92"/>
        <v>0.7</v>
      </c>
      <c r="AF242" s="177">
        <f t="shared" si="93"/>
        <v>0.97020437924436376</v>
      </c>
      <c r="AG242" s="921">
        <f t="shared" si="99"/>
        <v>2</v>
      </c>
      <c r="AH242" s="176">
        <f t="shared" si="94"/>
        <v>8</v>
      </c>
      <c r="AI242" s="225">
        <f t="shared" si="95"/>
        <v>2.9702043792443638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23.76954638675517</v>
      </c>
      <c r="C243" s="955"/>
      <c r="D243" s="393">
        <f t="shared" si="77"/>
        <v>25.592091126824613</v>
      </c>
      <c r="E243" s="385">
        <f t="shared" si="100"/>
        <v>27.354871747123806</v>
      </c>
      <c r="F243" s="385">
        <f t="shared" si="78"/>
        <v>27.361449085041624</v>
      </c>
      <c r="G243" s="110">
        <f t="shared" si="101"/>
        <v>0.5197436316518147</v>
      </c>
      <c r="H243" s="414" t="b">
        <f>Wh_hp&gt;='2026'!Maxi_hp</f>
        <v>0</v>
      </c>
      <c r="I243" s="390">
        <f>IF(H243,Wh_hp,'2026'!Maxi_hp)</f>
        <v>51.890414604753857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7.1215155144517372E-2</v>
      </c>
      <c r="M243" s="959"/>
      <c r="N243" s="959"/>
      <c r="O243" s="48">
        <f>IF(t&lt;Tnet,'2026'!Resal+('2026'!Salim-'2026'!Resal)*(1-EXP(('2026'!Tnet-t)/('2026'!Tau_j))),Resal+(Salim-Resal)*(1-EXP((Tnet-t)/(Tau_j))))*Salcycl</f>
        <v>6.4441194848026934E-2</v>
      </c>
      <c r="P243" s="169">
        <f>(INDEX(Models!$BJ243:$BT243,,T243)*(1-R243)+INDEX(Models!$BJ243:$BT243,,T243+1)*R243-ERP_i)*Q243*Ramure*Pc/MaxiM</f>
        <v>7.6481083867929495E-4</v>
      </c>
      <c r="Q243" s="305">
        <f t="shared" si="80"/>
        <v>0.7</v>
      </c>
      <c r="R243" s="177">
        <f t="shared" si="81"/>
        <v>0.44635503890523731</v>
      </c>
      <c r="S243" s="921">
        <f t="shared" si="82"/>
        <v>-1</v>
      </c>
      <c r="T243" s="176">
        <f t="shared" si="83"/>
        <v>5</v>
      </c>
      <c r="U243" s="251">
        <f t="shared" si="84"/>
        <v>-0.55364496109476269</v>
      </c>
      <c r="V243" s="383">
        <f t="shared" si="85"/>
        <v>45.709223984838331</v>
      </c>
      <c r="W243" s="402">
        <f t="shared" si="86"/>
        <v>23.76954638675517</v>
      </c>
      <c r="X243" s="157">
        <f t="shared" si="87"/>
        <v>46616</v>
      </c>
      <c r="Y243" s="385">
        <f t="shared" si="88"/>
        <v>22.460428330157477</v>
      </c>
      <c r="Z243" s="385">
        <f t="shared" si="89"/>
        <v>24.182595629725505</v>
      </c>
      <c r="AA243" s="386">
        <f t="shared" si="90"/>
        <v>27.318353704860343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0.11478576304460622</v>
      </c>
      <c r="AD243" s="231">
        <f>(INDEX(Models!$BJ243:$BT243,,AH243)*(1-AF243)+INDEX(Models!$BJ243:$BT243,,AH243+1)*AF243-ERP_i)*AE243*Ramure*Pc/MaxiM</f>
        <v>5.0111176088965545E-3</v>
      </c>
      <c r="AE243" s="305">
        <f t="shared" si="92"/>
        <v>0.7</v>
      </c>
      <c r="AF243" s="177">
        <f t="shared" si="93"/>
        <v>0.97134260527921601</v>
      </c>
      <c r="AG243" s="921">
        <f t="shared" si="99"/>
        <v>2</v>
      </c>
      <c r="AH243" s="176">
        <f t="shared" si="94"/>
        <v>8</v>
      </c>
      <c r="AI243" s="225">
        <f t="shared" si="95"/>
        <v>2.971342605279216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31.62544896473139</v>
      </c>
      <c r="C244" s="955"/>
      <c r="D244" s="393">
        <f t="shared" si="77"/>
        <v>34.051095723166149</v>
      </c>
      <c r="E244" s="385">
        <f t="shared" si="100"/>
        <v>36.400073804226224</v>
      </c>
      <c r="F244" s="385">
        <f t="shared" si="78"/>
        <v>36.414643643693346</v>
      </c>
      <c r="G244" s="110">
        <f t="shared" si="101"/>
        <v>0.69321079819923492</v>
      </c>
      <c r="H244" s="414" t="b">
        <f>Wh_hp&gt;='2026'!Maxi_hp</f>
        <v>0</v>
      </c>
      <c r="I244" s="390">
        <f>IF(H244,Wh_hp,'2026'!Maxi_hp)</f>
        <v>49.183966953911138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7.1235497916283141E-2</v>
      </c>
      <c r="M244" s="959"/>
      <c r="N244" s="959"/>
      <c r="O244" s="48">
        <f>IF(t&lt;Tnet,'2026'!Resal+('2026'!Salim-'2026'!Resal)*(1-EXP(('2026'!Tnet-t)/('2026'!Tau_j))),Resal+(Salim-Resal)*(1-EXP((Tnet-t)/(Tau_j))))*Salcycl</f>
        <v>6.4532234019463647E-2</v>
      </c>
      <c r="P244" s="169">
        <f>(INDEX(Models!$BJ244:$BT244,,T244)*(1-R244)+INDEX(Models!$BJ244:$BT244,,T244+1)*R244-ERP_i)*Q244*Ramure*Pc/MaxiM</f>
        <v>7.1188934249166735E-4</v>
      </c>
      <c r="Q244" s="305">
        <f t="shared" si="80"/>
        <v>0.7</v>
      </c>
      <c r="R244" s="177">
        <f t="shared" si="81"/>
        <v>0.4474526237100509</v>
      </c>
      <c r="S244" s="921">
        <f t="shared" si="82"/>
        <v>-1</v>
      </c>
      <c r="T244" s="176">
        <f t="shared" si="83"/>
        <v>5</v>
      </c>
      <c r="U244" s="251">
        <f t="shared" si="84"/>
        <v>-0.5525473762899491</v>
      </c>
      <c r="V244" s="383">
        <f t="shared" si="85"/>
        <v>45.607461565728769</v>
      </c>
      <c r="W244" s="402">
        <f t="shared" si="86"/>
        <v>31.62544896473139</v>
      </c>
      <c r="X244" s="157">
        <f t="shared" si="87"/>
        <v>46617</v>
      </c>
      <c r="Y244" s="385">
        <f t="shared" si="88"/>
        <v>29.854139084038337</v>
      </c>
      <c r="Z244" s="385">
        <f t="shared" si="89"/>
        <v>32.143927784771591</v>
      </c>
      <c r="AA244" s="386">
        <f t="shared" si="90"/>
        <v>36.3137726092504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0.11482819120304237</v>
      </c>
      <c r="AD244" s="231">
        <f>(INDEX(Models!$BJ244:$BT244,,AH244)*(1-AF244)+INDEX(Models!$BJ244:$BT244,,AH244+1)*AF244-ERP_i)*AE244*Ramure*Pc/MaxiM</f>
        <v>4.9286071097820522E-3</v>
      </c>
      <c r="AE244" s="305">
        <f t="shared" si="92"/>
        <v>0.7</v>
      </c>
      <c r="AF244" s="177">
        <f t="shared" si="93"/>
        <v>0.9724401900840296</v>
      </c>
      <c r="AG244" s="921">
        <f t="shared" si="99"/>
        <v>2</v>
      </c>
      <c r="AH244" s="176">
        <f t="shared" si="94"/>
        <v>8</v>
      </c>
      <c r="AI244" s="225">
        <f t="shared" si="95"/>
        <v>2.9724401900840296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32.271958249025879</v>
      </c>
      <c r="C245" s="955"/>
      <c r="D245" s="393">
        <f t="shared" si="77"/>
        <v>34.747952824222239</v>
      </c>
      <c r="E245" s="385">
        <f t="shared" si="100"/>
        <v>37.148607049598787</v>
      </c>
      <c r="F245" s="385">
        <f t="shared" si="78"/>
        <v>37.162974056478809</v>
      </c>
      <c r="G245" s="110">
        <f t="shared" si="101"/>
        <v>0.70898930658185377</v>
      </c>
      <c r="H245" s="414" t="b">
        <f>Wh_hp&gt;='2026'!Maxi_hp</f>
        <v>0</v>
      </c>
      <c r="I245" s="390">
        <f>IF(H245,Wh_hp,'2026'!Maxi_hp)</f>
        <v>49.967163493960541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7.1255840242490098E-2</v>
      </c>
      <c r="M245" s="959"/>
      <c r="N245" s="959"/>
      <c r="O245" s="48">
        <f>IF(t&lt;Tnet,'2026'!Resal+('2026'!Salim-'2026'!Resal)*(1-EXP(('2026'!Tnet-t)/('2026'!Tau_j))),Resal+(Salim-Resal)*(1-EXP((Tnet-t)/(Tau_j))))*Salcycl</f>
        <v>6.462299440114469E-2</v>
      </c>
      <c r="P245" s="169">
        <f>(INDEX(Models!$BJ245:$BT245,,T245)*(1-R245)+INDEX(Models!$BJ245:$BT245,,T245+1)*R245-ERP_i)*Q245*Ramure*Pc/MaxiM</f>
        <v>6.6135551805063405E-4</v>
      </c>
      <c r="Q245" s="305">
        <f t="shared" si="80"/>
        <v>0.7</v>
      </c>
      <c r="R245" s="177">
        <f t="shared" si="81"/>
        <v>0.44851082775949025</v>
      </c>
      <c r="S245" s="921">
        <f t="shared" si="82"/>
        <v>-1</v>
      </c>
      <c r="T245" s="176">
        <f t="shared" si="83"/>
        <v>5</v>
      </c>
      <c r="U245" s="251">
        <f t="shared" si="84"/>
        <v>-0.55148917224050975</v>
      </c>
      <c r="V245" s="383">
        <f t="shared" si="85"/>
        <v>45.505746629609419</v>
      </c>
      <c r="W245" s="402">
        <f t="shared" si="86"/>
        <v>32.271958249025879</v>
      </c>
      <c r="X245" s="157">
        <f t="shared" si="87"/>
        <v>46618</v>
      </c>
      <c r="Y245" s="385">
        <f t="shared" si="88"/>
        <v>30.463488909286887</v>
      </c>
      <c r="Z245" s="385">
        <f t="shared" si="89"/>
        <v>32.800732676737091</v>
      </c>
      <c r="AA245" s="386">
        <f t="shared" si="90"/>
        <v>37.057541569976358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0.11487024537774775</v>
      </c>
      <c r="AD245" s="231">
        <f>(INDEX(Models!$BJ245:$BT245,,AH245)*(1-AF245)+INDEX(Models!$BJ245:$BT245,,AH245+1)*AF245-ERP_i)*AE245*Ramure*Pc/MaxiM</f>
        <v>4.8533669756327495E-3</v>
      </c>
      <c r="AE245" s="305">
        <f t="shared" si="92"/>
        <v>0.7</v>
      </c>
      <c r="AF245" s="177">
        <f t="shared" si="93"/>
        <v>0.97349839413346917</v>
      </c>
      <c r="AG245" s="921">
        <f t="shared" si="99"/>
        <v>2</v>
      </c>
      <c r="AH245" s="176">
        <f t="shared" si="94"/>
        <v>8</v>
      </c>
      <c r="AI245" s="225">
        <f t="shared" si="95"/>
        <v>2.9734983941334692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45.51939201240215</v>
      </c>
      <c r="C246" s="955"/>
      <c r="D246" s="393">
        <f t="shared" si="77"/>
        <v>49.012840132025097</v>
      </c>
      <c r="E246" s="385">
        <f t="shared" si="100"/>
        <v>52.404090582499379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Wh_hp&gt;='2026'!Maxi_hp</f>
        <v>0</v>
      </c>
      <c r="I246" s="390">
        <f>IF(H246,Wh_hp,'2026'!Maxi_hp)</f>
        <v>52.544338316202321</v>
      </c>
      <c r="J246" s="85">
        <f>IF(H246,An,'2026'!An_max)</f>
        <v>2021</v>
      </c>
      <c r="K246" s="197">
        <f t="shared" si="79"/>
        <v>46619</v>
      </c>
      <c r="L246" s="147">
        <f>IF(t&lt;Tvie,1-EXP((T0-t)*PertePVj)+'2026'!Pspv,1-EXP((T0-t)*PertePVj)+Pspv)</f>
        <v>7.1276182123147791E-2</v>
      </c>
      <c r="M246" s="959"/>
      <c r="N246" s="959"/>
      <c r="O246" s="48">
        <f>IF(t&lt;Tnet,'2026'!Resal+('2026'!Salim-'2026'!Resal)*(1-EXP(('2026'!Tnet-t)/('2026'!Tau_j))),Resal+(Salim-Resal)*(1-EXP((Tnet-t)/(Tau_j))))*Salcycl</f>
        <v>6.471346821934551E-2</v>
      </c>
      <c r="P246" s="169">
        <f>(INDEX(Models!$BJ246:$BT246,,T246)*(1-R246)+INDEX(Models!$BJ246:$BT246,,T246+1)*R246-ERP_i)*Q246*Ramure*Pc/MaxiM</f>
        <v>6.1323227704353461E-4</v>
      </c>
      <c r="Q246" s="305">
        <f t="shared" si="80"/>
        <v>0.7</v>
      </c>
      <c r="R246" s="177">
        <f t="shared" si="81"/>
        <v>0.44953088682877551</v>
      </c>
      <c r="S246" s="921">
        <f t="shared" si="82"/>
        <v>-1</v>
      </c>
      <c r="T246" s="176">
        <f t="shared" si="83"/>
        <v>5</v>
      </c>
      <c r="U246" s="251">
        <f t="shared" si="84"/>
        <v>-0.55046911317122449</v>
      </c>
      <c r="V246" s="383">
        <f t="shared" si="85"/>
        <v>45.404156352013331</v>
      </c>
      <c r="W246" s="402">
        <f t="shared" si="86"/>
        <v>45.51939201240215</v>
      </c>
      <c r="X246" s="157">
        <f t="shared" si="87"/>
        <v>46619</v>
      </c>
      <c r="Y246" s="385">
        <f t="shared" si="88"/>
        <v>42.896454466013132</v>
      </c>
      <c r="Z246" s="385">
        <f t="shared" si="89"/>
        <v>46.188601649173123</v>
      </c>
      <c r="AA246" s="386">
        <f t="shared" si="90"/>
        <v>52.185316139360275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0.11491191265705847</v>
      </c>
      <c r="AD246" s="231">
        <f>(INDEX(Models!$BJ246:$BT246,,AH246)*(1-AF246)+INDEX(Models!$BJ246:$BT246,,AH246+1)*AF246-ERP_i)*AE246*Ramure*Pc/MaxiM</f>
        <v>4.7854310721925034E-3</v>
      </c>
      <c r="AE246" s="305">
        <f t="shared" si="92"/>
        <v>0.7</v>
      </c>
      <c r="AF246" s="177">
        <f t="shared" si="93"/>
        <v>0.97451845320275421</v>
      </c>
      <c r="AG246" s="921">
        <f t="shared" si="99"/>
        <v>2</v>
      </c>
      <c r="AH246" s="176">
        <f t="shared" si="94"/>
        <v>8</v>
      </c>
      <c r="AI246" s="225">
        <f t="shared" si="95"/>
        <v>2.9745184532027542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30.25055146401154</v>
      </c>
      <c r="C247" s="955"/>
      <c r="D247" s="393">
        <f t="shared" si="77"/>
        <v>32.572884921153239</v>
      </c>
      <c r="E247" s="385">
        <f t="shared" si="100"/>
        <v>34.829995674636081</v>
      </c>
      <c r="F247" s="385">
        <f t="shared" si="78"/>
        <v>34.840383053373053</v>
      </c>
      <c r="G247" s="110">
        <f t="shared" si="101"/>
        <v>0.66755082832087986</v>
      </c>
      <c r="H247" s="414" t="b">
        <f>Wh_hp&gt;='2026'!Maxi_hp</f>
        <v>0</v>
      </c>
      <c r="I247" s="390">
        <f>IF(H247,Wh_hp,'2026'!Maxi_hp)</f>
        <v>51.773522913939907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7.1296523558266212E-2</v>
      </c>
      <c r="M247" s="959"/>
      <c r="N247" s="959"/>
      <c r="O247" s="48">
        <f>IF(t&lt;Tnet,'2026'!Resal+('2026'!Salim-'2026'!Resal)*(1-EXP(('2026'!Tnet-t)/('2026'!Tau_j))),Resal+(Salim-Resal)*(1-EXP((Tnet-t)/(Tau_j))))*Salcycl</f>
        <v>6.4803647251857555E-2</v>
      </c>
      <c r="P247" s="169">
        <f>(INDEX(Models!$BJ247:$BT247,,T247)*(1-R247)+INDEX(Models!$BJ247:$BT247,,T247+1)*R247-ERP_i)*Q247*Ramure*Pc/MaxiM</f>
        <v>5.6753300507239536E-4</v>
      </c>
      <c r="Q247" s="305">
        <f t="shared" si="80"/>
        <v>0.7</v>
      </c>
      <c r="R247" s="177">
        <f t="shared" si="81"/>
        <v>0.45051401131243973</v>
      </c>
      <c r="S247" s="921">
        <f t="shared" si="82"/>
        <v>-1</v>
      </c>
      <c r="T247" s="176">
        <f t="shared" si="83"/>
        <v>5</v>
      </c>
      <c r="U247" s="251">
        <f t="shared" si="84"/>
        <v>-0.54948598868756027</v>
      </c>
      <c r="V247" s="383">
        <f t="shared" si="85"/>
        <v>45.303516259401512</v>
      </c>
      <c r="W247" s="402">
        <f t="shared" si="86"/>
        <v>30.25055146401154</v>
      </c>
      <c r="X247" s="157">
        <f t="shared" si="87"/>
        <v>46620</v>
      </c>
      <c r="Y247" s="385">
        <f t="shared" si="88"/>
        <v>28.565837182866492</v>
      </c>
      <c r="Z247" s="385">
        <f t="shared" si="89"/>
        <v>30.758835201430081</v>
      </c>
      <c r="AA247" s="386">
        <f t="shared" si="90"/>
        <v>34.753907346978025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0.11495317938388094</v>
      </c>
      <c r="AD247" s="231">
        <f>(INDEX(Models!$BJ247:$BT247,,AH247)*(1-AF247)+INDEX(Models!$BJ247:$BT247,,AH247+1)*AF247-ERP_i)*AE247*Ramure*Pc/MaxiM</f>
        <v>4.7247547970335306E-3</v>
      </c>
      <c r="AE247" s="305">
        <f t="shared" si="92"/>
        <v>0.7</v>
      </c>
      <c r="AF247" s="177">
        <f t="shared" si="93"/>
        <v>0.97550157768641865</v>
      </c>
      <c r="AG247" s="921">
        <f t="shared" si="99"/>
        <v>2</v>
      </c>
      <c r="AH247" s="176">
        <f t="shared" si="94"/>
        <v>8</v>
      </c>
      <c r="AI247" s="225">
        <f t="shared" si="95"/>
        <v>2.9755015776864187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21.656515579003692</v>
      </c>
      <c r="C248" s="955"/>
      <c r="D248" s="393">
        <f t="shared" si="77"/>
        <v>23.319596051951404</v>
      </c>
      <c r="E248" s="385">
        <f t="shared" si="100"/>
        <v>24.937904529581768</v>
      </c>
      <c r="F248" s="385">
        <f t="shared" si="78"/>
        <v>24.941261010201774</v>
      </c>
      <c r="G248" s="110">
        <f t="shared" si="101"/>
        <v>0.4788940403781719</v>
      </c>
      <c r="H248" s="414" t="b">
        <f>Wh_hp&gt;='2026'!Maxi_hp</f>
        <v>0</v>
      </c>
      <c r="I248" s="390">
        <f>IF(H248,Wh_hp,'2026'!Maxi_hp)</f>
        <v>53.717329476513434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7.1316864547854908E-2</v>
      </c>
      <c r="M248" s="959"/>
      <c r="N248" s="959"/>
      <c r="O248" s="48">
        <f>IF(t&lt;Tnet,'2026'!Resal+('2026'!Salim-'2026'!Resal)*(1-EXP(('2026'!Tnet-t)/('2026'!Tau_j))),Resal+(Salim-Resal)*(1-EXP((Tnet-t)/(Tau_j))))*Salcycl</f>
        <v>6.4893522858374006E-2</v>
      </c>
      <c r="P248" s="169">
        <f>(INDEX(Models!$BJ248:$BT248,,T248)*(1-R248)+INDEX(Models!$BJ248:$BT248,,T248+1)*R248-ERP_i)*Q248*Ramure*Pc/MaxiM</f>
        <v>5.2603276646284844E-4</v>
      </c>
      <c r="Q248" s="305">
        <f t="shared" si="80"/>
        <v>0.7</v>
      </c>
      <c r="R248" s="177">
        <f t="shared" si="81"/>
        <v>0.45146138566405813</v>
      </c>
      <c r="S248" s="921">
        <f t="shared" si="82"/>
        <v>-1</v>
      </c>
      <c r="T248" s="176">
        <f t="shared" si="83"/>
        <v>5</v>
      </c>
      <c r="U248" s="251">
        <f t="shared" si="84"/>
        <v>-0.54853861433594187</v>
      </c>
      <c r="V248" s="383">
        <f t="shared" si="85"/>
        <v>45.204231020932525</v>
      </c>
      <c r="W248" s="402">
        <f t="shared" si="86"/>
        <v>21.656515579003692</v>
      </c>
      <c r="X248" s="157">
        <f t="shared" si="87"/>
        <v>46621</v>
      </c>
      <c r="Y248" s="385">
        <f t="shared" si="88"/>
        <v>20.474449128840575</v>
      </c>
      <c r="Z248" s="385">
        <f t="shared" si="89"/>
        <v>22.046754535789265</v>
      </c>
      <c r="AA248" s="386">
        <f t="shared" si="90"/>
        <v>24.911419033716438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0.11499403121315509</v>
      </c>
      <c r="AD248" s="231">
        <f>(INDEX(Models!$BJ248:$BT248,,AH248)*(1-AF248)+INDEX(Models!$BJ248:$BT248,,AH248+1)*AF248-ERP_i)*AE248*Ramure*Pc/MaxiM</f>
        <v>4.6768801088029298E-3</v>
      </c>
      <c r="AE248" s="305">
        <f t="shared" si="92"/>
        <v>0.7</v>
      </c>
      <c r="AF248" s="177">
        <f t="shared" si="93"/>
        <v>0.97644895203803683</v>
      </c>
      <c r="AG248" s="921">
        <f t="shared" si="99"/>
        <v>2</v>
      </c>
      <c r="AH248" s="176">
        <f t="shared" si="94"/>
        <v>8</v>
      </c>
      <c r="AI248" s="225">
        <f t="shared" si="95"/>
        <v>2.9764489520380368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42.020975298386873</v>
      </c>
      <c r="C249" s="955"/>
      <c r="D249" s="393">
        <f t="shared" si="77"/>
        <v>45.248905769447049</v>
      </c>
      <c r="E249" s="385">
        <f t="shared" si="100"/>
        <v>48.393676191455818</v>
      </c>
      <c r="F249" s="385">
        <f t="shared" si="78"/>
        <v>48.414986474555008</v>
      </c>
      <c r="G249" s="110">
        <f t="shared" si="101"/>
        <v>0.9315624653736424</v>
      </c>
      <c r="H249" s="414" t="b">
        <f>Wh_hp&gt;='2026'!Maxi_hp</f>
        <v>0</v>
      </c>
      <c r="I249" s="390">
        <f>IF(H249,Wh_hp,'2026'!Maxi_hp)</f>
        <v>51.339633290441888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7.1337205091923761E-2</v>
      </c>
      <c r="M249" s="959"/>
      <c r="N249" s="959"/>
      <c r="O249" s="48">
        <f>IF(t&lt;Tnet,'2026'!Resal+('2026'!Salim-'2026'!Resal)*(1-EXP(('2026'!Tnet-t)/('2026'!Tau_j))),Resal+(Salim-Resal)*(1-EXP((Tnet-t)/(Tau_j))))*Salcycl</f>
        <v>6.498308600419983E-2</v>
      </c>
      <c r="P249" s="169">
        <f>(INDEX(Models!$BJ249:$BT249,,T249)*(1-R249)+INDEX(Models!$BJ249:$BT249,,T249+1)*R249-ERP_i)*Q249*Ramure*Pc/MaxiM</f>
        <v>4.878211067294239E-4</v>
      </c>
      <c r="Q249" s="305">
        <f t="shared" si="80"/>
        <v>0.7</v>
      </c>
      <c r="R249" s="177">
        <f t="shared" si="81"/>
        <v>0.45237416794844432</v>
      </c>
      <c r="S249" s="921">
        <f t="shared" si="82"/>
        <v>-1</v>
      </c>
      <c r="T249" s="176">
        <f t="shared" si="83"/>
        <v>5</v>
      </c>
      <c r="U249" s="251">
        <f t="shared" si="84"/>
        <v>-0.54762583205155568</v>
      </c>
      <c r="V249" s="383">
        <f t="shared" si="85"/>
        <v>45.105908795526418</v>
      </c>
      <c r="W249" s="402">
        <f t="shared" si="86"/>
        <v>42.020975298386873</v>
      </c>
      <c r="X249" s="157">
        <f t="shared" si="87"/>
        <v>46622</v>
      </c>
      <c r="Y249" s="385">
        <f t="shared" si="88"/>
        <v>39.622567120695734</v>
      </c>
      <c r="Z249" s="385">
        <f t="shared" si="89"/>
        <v>42.666258773312627</v>
      </c>
      <c r="AA249" s="386">
        <f t="shared" si="90"/>
        <v>48.212338802934326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0.11503445315712724</v>
      </c>
      <c r="AD249" s="231">
        <f>(INDEX(Models!$BJ249:$BT249,,AH249)*(1-AF249)+INDEX(Models!$BJ249:$BT249,,AH249+1)*AF249-ERP_i)*AE249*Ramure*Pc/MaxiM</f>
        <v>4.6388783755720569E-3</v>
      </c>
      <c r="AE249" s="305">
        <f t="shared" si="92"/>
        <v>0.7</v>
      </c>
      <c r="AF249" s="177">
        <f t="shared" si="93"/>
        <v>0.97736173432242346</v>
      </c>
      <c r="AG249" s="921">
        <f t="shared" si="99"/>
        <v>2</v>
      </c>
      <c r="AH249" s="176">
        <f t="shared" si="94"/>
        <v>8</v>
      </c>
      <c r="AI249" s="225">
        <f t="shared" si="95"/>
        <v>2.9773617343224235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43.379825812651873</v>
      </c>
      <c r="C250" s="955"/>
      <c r="D250" s="393">
        <f t="shared" si="77"/>
        <v>46.713162410337908</v>
      </c>
      <c r="E250" s="385">
        <f t="shared" si="100"/>
        <v>49.96446652850981</v>
      </c>
      <c r="F250" s="385">
        <f t="shared" si="78"/>
        <v>49.985936632816561</v>
      </c>
      <c r="G250" s="110">
        <f t="shared" si="101"/>
        <v>0.96379974842257432</v>
      </c>
      <c r="H250" s="414" t="b">
        <f>Wh_hp&gt;='2026'!Maxi_hp</f>
        <v>0</v>
      </c>
      <c r="I250" s="390">
        <f>IF(H250,Wh_hp,'2026'!Maxi_hp)</f>
        <v>51.228164501997107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7.135754519048243E-2</v>
      </c>
      <c r="M250" s="959"/>
      <c r="N250" s="959"/>
      <c r="O250" s="48">
        <f>IF(t&lt;Tnet,'2026'!Resal+('2026'!Salim-'2026'!Resal)*(1-EXP(('2026'!Tnet-t)/('2026'!Tau_j))),Resal+(Salim-Resal)*(1-EXP((Tnet-t)/(Tau_j))))*Salcycl</f>
        <v>6.5072327277160003E-2</v>
      </c>
      <c r="P250" s="169">
        <f>(INDEX(Models!$BJ250:$BT250,,T250)*(1-R250)+INDEX(Models!$BJ250:$BT250,,T250+1)*R250-ERP_i)*Q250*Ramure*Pc/MaxiM</f>
        <v>4.5293148308732156E-4</v>
      </c>
      <c r="Q250" s="305">
        <f t="shared" si="80"/>
        <v>0.7</v>
      </c>
      <c r="R250" s="177">
        <f t="shared" si="81"/>
        <v>0.45325348949810862</v>
      </c>
      <c r="S250" s="921">
        <f t="shared" si="82"/>
        <v>-1</v>
      </c>
      <c r="T250" s="176">
        <f t="shared" si="83"/>
        <v>5</v>
      </c>
      <c r="U250" s="251">
        <f t="shared" si="84"/>
        <v>-0.54674651050189138</v>
      </c>
      <c r="V250" s="383">
        <f t="shared" si="85"/>
        <v>45.008115002008005</v>
      </c>
      <c r="W250" s="402">
        <f t="shared" si="86"/>
        <v>43.379825812651873</v>
      </c>
      <c r="X250" s="157">
        <f t="shared" si="87"/>
        <v>46623</v>
      </c>
      <c r="Y250" s="385">
        <f t="shared" si="88"/>
        <v>40.897802690467714</v>
      </c>
      <c r="Z250" s="385">
        <f t="shared" si="89"/>
        <v>44.040418870206231</v>
      </c>
      <c r="AA250" s="386">
        <f t="shared" si="90"/>
        <v>49.767370662834338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0.11507442961829864</v>
      </c>
      <c r="AD250" s="231">
        <f>(INDEX(Models!$BJ250:$BT250,,AH250)*(1-AF250)+INDEX(Models!$BJ250:$BT250,,AH250+1)*AF250-ERP_i)*AE250*Ramure*Pc/MaxiM</f>
        <v>4.610848998313404E-3</v>
      </c>
      <c r="AE250" s="305">
        <f t="shared" si="92"/>
        <v>0.7</v>
      </c>
      <c r="AF250" s="177">
        <f t="shared" si="93"/>
        <v>0.97824105587208754</v>
      </c>
      <c r="AG250" s="921">
        <f t="shared" si="99"/>
        <v>2</v>
      </c>
      <c r="AH250" s="176">
        <f t="shared" si="94"/>
        <v>8</v>
      </c>
      <c r="AI250" s="225">
        <f t="shared" si="95"/>
        <v>2.9782410558720875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28.014340719544784</v>
      </c>
      <c r="C251" s="955"/>
      <c r="D251" s="393">
        <f t="shared" si="77"/>
        <v>30.167643288168705</v>
      </c>
      <c r="E251" s="385">
        <f t="shared" si="100"/>
        <v>32.270424033398058</v>
      </c>
      <c r="F251" s="385">
        <f t="shared" si="78"/>
        <v>32.27671524706664</v>
      </c>
      <c r="G251" s="110">
        <f t="shared" si="101"/>
        <v>0.62364141130806683</v>
      </c>
      <c r="H251" s="414" t="b">
        <f>Wh_hp&gt;='2026'!Maxi_hp</f>
        <v>0</v>
      </c>
      <c r="I251" s="390">
        <f>IF(H251,Wh_hp,'2026'!Maxi_hp)</f>
        <v>50.680972332086561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7.1377884843540795E-2</v>
      </c>
      <c r="M251" s="959"/>
      <c r="N251" s="959"/>
      <c r="O251" s="48">
        <f>IF(t&lt;Tnet,'2026'!Resal+('2026'!Salim-'2026'!Resal)*(1-EXP(('2026'!Tnet-t)/('2026'!Tau_j))),Resal+(Salim-Resal)*(1-EXP((Tnet-t)/(Tau_j))))*Salcycl</f>
        <v>6.5161236897695998E-2</v>
      </c>
      <c r="P251" s="169">
        <f>(INDEX(Models!$BJ251:$BT251,,T251)*(1-R251)+INDEX(Models!$BJ251:$BT251,,T251+1)*R251-ERP_i)*Q251*Ramure*Pc/MaxiM</f>
        <v>4.2139510504720035E-4</v>
      </c>
      <c r="Q251" s="305">
        <f t="shared" si="80"/>
        <v>0.7</v>
      </c>
      <c r="R251" s="177">
        <f t="shared" si="81"/>
        <v>0.45410045466607318</v>
      </c>
      <c r="S251" s="921">
        <f t="shared" si="82"/>
        <v>-1</v>
      </c>
      <c r="T251" s="176">
        <f t="shared" si="83"/>
        <v>5</v>
      </c>
      <c r="U251" s="251">
        <f t="shared" si="84"/>
        <v>-0.54589954533392682</v>
      </c>
      <c r="V251" s="383">
        <f t="shared" si="85"/>
        <v>44.910415315543773</v>
      </c>
      <c r="W251" s="402">
        <f t="shared" si="86"/>
        <v>28.014340719544784</v>
      </c>
      <c r="X251" s="157">
        <f t="shared" si="87"/>
        <v>46624</v>
      </c>
      <c r="Y251" s="385">
        <f t="shared" si="88"/>
        <v>26.466230856789704</v>
      </c>
      <c r="Z251" s="385">
        <f t="shared" si="89"/>
        <v>28.500539051162413</v>
      </c>
      <c r="AA251" s="386">
        <f t="shared" si="90"/>
        <v>32.208145750656634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0.11511394441012278</v>
      </c>
      <c r="AD251" s="231">
        <f>(INDEX(Models!$BJ251:$BT251,,AH251)*(1-AF251)+INDEX(Models!$BJ251:$BT251,,AH251+1)*AF251-ERP_i)*AE251*Ramure*Pc/MaxiM</f>
        <v>4.5928896497368435E-3</v>
      </c>
      <c r="AE251" s="305">
        <f t="shared" si="92"/>
        <v>0.7</v>
      </c>
      <c r="AF251" s="177">
        <f t="shared" si="93"/>
        <v>0.97908802104005233</v>
      </c>
      <c r="AG251" s="921">
        <f t="shared" si="99"/>
        <v>2</v>
      </c>
      <c r="AH251" s="176">
        <f t="shared" si="94"/>
        <v>8</v>
      </c>
      <c r="AI251" s="225">
        <f t="shared" si="95"/>
        <v>2.9790880210400523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38.471348855374508</v>
      </c>
      <c r="C252" s="955"/>
      <c r="D252" s="393">
        <f t="shared" si="77"/>
        <v>41.429329398021636</v>
      </c>
      <c r="E252" s="385">
        <f t="shared" si="100"/>
        <v>44.321284560643257</v>
      </c>
      <c r="F252" s="385">
        <f t="shared" si="78"/>
        <v>44.335194685552999</v>
      </c>
      <c r="G252" s="110">
        <f t="shared" si="101"/>
        <v>0.85843004644614729</v>
      </c>
      <c r="H252" s="414" t="b">
        <f>Wh_hp&gt;='2026'!Maxi_hp</f>
        <v>0</v>
      </c>
      <c r="I252" s="390">
        <f>IF(H252,Wh_hp,'2026'!Maxi_hp)</f>
        <v>53.637175533284911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7.1398224051108627E-2</v>
      </c>
      <c r="M252" s="959"/>
      <c r="N252" s="959"/>
      <c r="O252" s="48">
        <f>IF(t&lt;Tnet,'2026'!Resal+('2026'!Salim-'2026'!Resal)*(1-EXP(('2026'!Tnet-t)/('2026'!Tau_j))),Resal+(Salim-Resal)*(1-EXP((Tnet-t)/(Tau_j))))*Salcycl</f>
        <v>6.5249804722258373E-2</v>
      </c>
      <c r="P252" s="169">
        <f>(INDEX(Models!$BJ252:$BT252,,T252)*(1-R252)+INDEX(Models!$BJ252:$BT252,,T252+1)*R252-ERP_i)*Q252*Ramure*Pc/MaxiM</f>
        <v>3.9324081327536117E-4</v>
      </c>
      <c r="Q252" s="305">
        <f t="shared" si="80"/>
        <v>0.7</v>
      </c>
      <c r="R252" s="177">
        <f t="shared" si="81"/>
        <v>0.45491614066747688</v>
      </c>
      <c r="S252" s="921">
        <f t="shared" si="82"/>
        <v>-1</v>
      </c>
      <c r="T252" s="176">
        <f t="shared" si="83"/>
        <v>5</v>
      </c>
      <c r="U252" s="251">
        <f t="shared" si="84"/>
        <v>-0.54508385933252312</v>
      </c>
      <c r="V252" s="383">
        <f t="shared" si="85"/>
        <v>44.812375684211318</v>
      </c>
      <c r="W252" s="402">
        <f t="shared" si="86"/>
        <v>38.471348855374508</v>
      </c>
      <c r="X252" s="157">
        <f t="shared" si="87"/>
        <v>46625</v>
      </c>
      <c r="Y252" s="385">
        <f t="shared" si="88"/>
        <v>36.29565651965747</v>
      </c>
      <c r="Z252" s="385">
        <f t="shared" si="89"/>
        <v>39.086352686078776</v>
      </c>
      <c r="AA252" s="386">
        <f t="shared" si="90"/>
        <v>44.173005995887671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0.11515298076572926</v>
      </c>
      <c r="AD252" s="231">
        <f>(INDEX(Models!$BJ252:$BT252,,AH252)*(1-AF252)+INDEX(Models!$BJ252:$BT252,,AH252+1)*AF252-ERP_i)*AE252*Ramure*Pc/MaxiM</f>
        <v>4.5850927034739109E-3</v>
      </c>
      <c r="AE252" s="305">
        <f t="shared" si="92"/>
        <v>0.7</v>
      </c>
      <c r="AF252" s="177">
        <f t="shared" si="93"/>
        <v>0.9799037070414558</v>
      </c>
      <c r="AG252" s="921">
        <f t="shared" si="99"/>
        <v>2</v>
      </c>
      <c r="AH252" s="176">
        <f t="shared" si="94"/>
        <v>8</v>
      </c>
      <c r="AI252" s="225">
        <f t="shared" si="95"/>
        <v>2.9799037070414558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43.218828216194076</v>
      </c>
      <c r="C253" s="955"/>
      <c r="D253" s="393">
        <f t="shared" si="77"/>
        <v>46.542851801052812</v>
      </c>
      <c r="E253" s="385">
        <f t="shared" si="100"/>
        <v>49.796453486868963</v>
      </c>
      <c r="F253" s="385">
        <f t="shared" si="78"/>
        <v>49.813933090965385</v>
      </c>
      <c r="G253" s="110">
        <f t="shared" si="101"/>
        <v>0.9665538855649024</v>
      </c>
      <c r="H253" s="414" t="b">
        <f>Wh_hp&gt;='2026'!Maxi_hp</f>
        <v>0</v>
      </c>
      <c r="I253" s="390">
        <f>IF(H253,Wh_hp,'2026'!Maxi_hp)</f>
        <v>51.403994258295555</v>
      </c>
      <c r="J253" s="85">
        <f>IF(H253,An,'2026'!An_max)</f>
        <v>2018</v>
      </c>
      <c r="K253" s="197">
        <f t="shared" si="79"/>
        <v>46626</v>
      </c>
      <c r="L253" s="147">
        <f>IF(t&lt;Tvie,1-EXP((T0-t)*PertePVj)+'2026'!Pspv,1-EXP((T0-t)*PertePVj)+Pspv)</f>
        <v>7.1418562813195474E-2</v>
      </c>
      <c r="M253" s="959"/>
      <c r="N253" s="959"/>
      <c r="O253" s="48">
        <f>IF(t&lt;Tnet,'2026'!Resal+('2026'!Salim-'2026'!Resal)*(1-EXP(('2026'!Tnet-t)/('2026'!Tau_j))),Resal+(Salim-Resal)*(1-EXP((Tnet-t)/(Tau_j))))*Salcycl</f>
        <v>6.5338020240218619E-2</v>
      </c>
      <c r="P253" s="169">
        <f>(INDEX(Models!$BJ253:$BT253,,T253)*(1-R253)+INDEX(Models!$BJ253:$BT253,,T253+1)*R253-ERP_i)*Q253*Ramure*Pc/MaxiM</f>
        <v>3.684957200433111E-4</v>
      </c>
      <c r="Q253" s="305">
        <f t="shared" si="80"/>
        <v>0.7</v>
      </c>
      <c r="R253" s="177">
        <f t="shared" si="81"/>
        <v>0.4557015975027241</v>
      </c>
      <c r="S253" s="921">
        <f t="shared" si="82"/>
        <v>-1</v>
      </c>
      <c r="T253" s="176">
        <f t="shared" si="83"/>
        <v>5</v>
      </c>
      <c r="U253" s="251">
        <f t="shared" si="84"/>
        <v>-0.5442984024972759</v>
      </c>
      <c r="V253" s="383">
        <f t="shared" si="85"/>
        <v>44.713562313643038</v>
      </c>
      <c r="W253" s="402">
        <f t="shared" si="86"/>
        <v>43.218828216194076</v>
      </c>
      <c r="X253" s="157">
        <f t="shared" si="87"/>
        <v>46626</v>
      </c>
      <c r="Y253" s="385">
        <f t="shared" si="88"/>
        <v>40.749168315301084</v>
      </c>
      <c r="Z253" s="385">
        <f t="shared" si="89"/>
        <v>43.883246728206451</v>
      </c>
      <c r="AA253" s="386">
        <f t="shared" si="90"/>
        <v>49.596322578672897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0.11519152133515527</v>
      </c>
      <c r="AD253" s="231">
        <f>(INDEX(Models!$BJ253:$BT253,,AH253)*(1-AF253)+INDEX(Models!$BJ253:$BT253,,AH253+1)*AF253-ERP_i)*AE253*Ramure*Pc/MaxiM</f>
        <v>4.5875491214731482E-3</v>
      </c>
      <c r="AE253" s="305">
        <f t="shared" si="92"/>
        <v>0.7</v>
      </c>
      <c r="AF253" s="177">
        <f t="shared" si="93"/>
        <v>0.98068916387670324</v>
      </c>
      <c r="AG253" s="921">
        <f t="shared" si="99"/>
        <v>2</v>
      </c>
      <c r="AH253" s="176">
        <f t="shared" si="94"/>
        <v>8</v>
      </c>
      <c r="AI253" s="225">
        <f t="shared" si="95"/>
        <v>2.9806891638767032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43.323243704891972</v>
      </c>
      <c r="C254" s="955"/>
      <c r="D254" s="393">
        <f t="shared" si="77"/>
        <v>46.656319931563807</v>
      </c>
      <c r="E254" s="385">
        <f t="shared" si="100"/>
        <v>49.922546068760845</v>
      </c>
      <c r="F254" s="385">
        <f t="shared" si="78"/>
        <v>49.939207959272927</v>
      </c>
      <c r="G254" s="110">
        <f t="shared" si="101"/>
        <v>0.97106517904516299</v>
      </c>
      <c r="H254" s="414" t="b">
        <f>Wh_hp&gt;='2026'!Maxi_hp</f>
        <v>0</v>
      </c>
      <c r="I254" s="390">
        <f>IF(H254,Wh_hp,'2026'!Maxi_hp)</f>
        <v>53.343274555388398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7.1438901129811327E-2</v>
      </c>
      <c r="M254" s="959"/>
      <c r="N254" s="959"/>
      <c r="O254" s="48">
        <f>IF(t&lt;Tnet,'2026'!Resal+('2026'!Salim-'2026'!Resal)*(1-EXP(('2026'!Tnet-t)/('2026'!Tau_j))),Resal+(Salim-Resal)*(1-EXP((Tnet-t)/(Tau_j))))*Salcycl</f>
        <v>6.5425872564638429E-2</v>
      </c>
      <c r="P254" s="169">
        <f>(INDEX(Models!$BJ254:$BT254,,T254)*(1-R254)+INDEX(Models!$BJ254:$BT254,,T254+1)*R254-ERP_i)*Q254*Ramure*Pc/MaxiM</f>
        <v>3.4802217965442228E-4</v>
      </c>
      <c r="Q254" s="305">
        <f t="shared" si="80"/>
        <v>0.7</v>
      </c>
      <c r="R254" s="177">
        <f t="shared" si="81"/>
        <v>0.45645784795528388</v>
      </c>
      <c r="S254" s="921">
        <f t="shared" si="82"/>
        <v>-1</v>
      </c>
      <c r="T254" s="176">
        <f t="shared" si="83"/>
        <v>5</v>
      </c>
      <c r="U254" s="251">
        <f t="shared" si="84"/>
        <v>-0.54354215204471612</v>
      </c>
      <c r="V254" s="383">
        <f t="shared" si="85"/>
        <v>44.613504324330563</v>
      </c>
      <c r="W254" s="402">
        <f t="shared" si="86"/>
        <v>43.323243704891972</v>
      </c>
      <c r="X254" s="157">
        <f t="shared" si="87"/>
        <v>46627</v>
      </c>
      <c r="Y254" s="385">
        <f t="shared" si="88"/>
        <v>40.847171546388743</v>
      </c>
      <c r="Z254" s="385">
        <f t="shared" si="89"/>
        <v>43.989751020249358</v>
      </c>
      <c r="AA254" s="386">
        <f t="shared" si="90"/>
        <v>49.718829250402116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0.11522954817176076</v>
      </c>
      <c r="AD254" s="231">
        <f>(INDEX(Models!$BJ254:$BT254,,AH254)*(1-AF254)+INDEX(Models!$BJ254:$BT254,,AH254+1)*AF254-ERP_i)*AE254*Ramure*Pc/MaxiM</f>
        <v>4.6031198293521409E-3</v>
      </c>
      <c r="AE254" s="305">
        <f t="shared" si="92"/>
        <v>0.7</v>
      </c>
      <c r="AF254" s="177">
        <f t="shared" si="93"/>
        <v>0.9814454143292628</v>
      </c>
      <c r="AG254" s="921">
        <f t="shared" si="99"/>
        <v>2</v>
      </c>
      <c r="AH254" s="176">
        <f t="shared" si="94"/>
        <v>8</v>
      </c>
      <c r="AI254" s="225">
        <f t="shared" si="95"/>
        <v>2.9814454143292628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30.444447421776587</v>
      </c>
      <c r="C255" s="955"/>
      <c r="D255" s="393">
        <f t="shared" si="77"/>
        <v>32.787410849924179</v>
      </c>
      <c r="E255" s="385">
        <f t="shared" si="100"/>
        <v>35.086013122356675</v>
      </c>
      <c r="F255" s="385">
        <f t="shared" si="78"/>
        <v>35.092366808257843</v>
      </c>
      <c r="G255" s="110">
        <f t="shared" si="101"/>
        <v>0.68386084867848584</v>
      </c>
      <c r="H255" s="414" t="b">
        <f>Wh_hp&gt;='2026'!Maxi_hp</f>
        <v>0</v>
      </c>
      <c r="I255" s="390">
        <f>IF(H255,Wh_hp,'2026'!Maxi_hp)</f>
        <v>52.809812213553279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7.1459239000965846E-2</v>
      </c>
      <c r="M255" s="959"/>
      <c r="N255" s="959"/>
      <c r="O255" s="48">
        <f>IF(t&lt;Tnet,'2026'!Resal+('2026'!Salim-'2026'!Resal)*(1-EXP(('2026'!Tnet-t)/('2026'!Tau_j))),Resal+(Salim-Resal)*(1-EXP((Tnet-t)/(Tau_j))))*Salcycl</f>
        <v>6.5513350417344449E-2</v>
      </c>
      <c r="P255" s="169">
        <f>(INDEX(Models!$BJ255:$BT255,,T255)*(1-R255)+INDEX(Models!$BJ255:$BT255,,T255+1)*R255-ERP_i)*Q255*Ramure*Pc/MaxiM</f>
        <v>3.3008210202102091E-4</v>
      </c>
      <c r="Q255" s="305">
        <f t="shared" si="80"/>
        <v>0.7</v>
      </c>
      <c r="R255" s="177">
        <f t="shared" si="81"/>
        <v>0.4571858876575785</v>
      </c>
      <c r="S255" s="921">
        <f t="shared" si="82"/>
        <v>-1</v>
      </c>
      <c r="T255" s="176">
        <f t="shared" si="83"/>
        <v>5</v>
      </c>
      <c r="U255" s="251">
        <f t="shared" si="84"/>
        <v>-0.5428141123424215</v>
      </c>
      <c r="V255" s="383">
        <f t="shared" si="85"/>
        <v>44.511847174313552</v>
      </c>
      <c r="W255" s="402">
        <f t="shared" si="86"/>
        <v>30.444447421776587</v>
      </c>
      <c r="X255" s="157">
        <f t="shared" si="87"/>
        <v>46628</v>
      </c>
      <c r="Y255" s="385">
        <f t="shared" si="88"/>
        <v>28.755582288646778</v>
      </c>
      <c r="Z255" s="385">
        <f t="shared" si="89"/>
        <v>30.968572944184071</v>
      </c>
      <c r="AA255" s="386">
        <f t="shared" si="90"/>
        <v>35.003299796807909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0.11526704270869283</v>
      </c>
      <c r="AD255" s="231">
        <f>(INDEX(Models!$BJ255:$BT255,,AH255)*(1-AF255)+INDEX(Models!$BJ255:$BT255,,AH255+1)*AF255-ERP_i)*AE255*Ramure*Pc/MaxiM</f>
        <v>4.6271450646826777E-3</v>
      </c>
      <c r="AE255" s="305">
        <f t="shared" si="92"/>
        <v>0.7</v>
      </c>
      <c r="AF255" s="177">
        <f t="shared" si="93"/>
        <v>0.98217345403155765</v>
      </c>
      <c r="AG255" s="921">
        <f t="shared" si="99"/>
        <v>2</v>
      </c>
      <c r="AH255" s="176">
        <f t="shared" si="94"/>
        <v>8</v>
      </c>
      <c r="AI255" s="225">
        <f t="shared" si="95"/>
        <v>2.9821734540315576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43.034970166610478</v>
      </c>
      <c r="C256" s="955"/>
      <c r="D256" s="393">
        <f t="shared" si="77"/>
        <v>46.347898305773484</v>
      </c>
      <c r="E256" s="385">
        <f t="shared" si="100"/>
        <v>49.601798196883564</v>
      </c>
      <c r="F256" s="385">
        <f t="shared" si="78"/>
        <v>49.61672253168085</v>
      </c>
      <c r="G256" s="110">
        <f t="shared" si="101"/>
        <v>0.96906455666589941</v>
      </c>
      <c r="H256" s="414" t="b">
        <f>Wh_hp&gt;='2026'!Maxi_hp</f>
        <v>0</v>
      </c>
      <c r="I256" s="390">
        <f>IF(H256,Wh_hp,'2026'!Maxi_hp)</f>
        <v>51.020688029577649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7.1479576426668689E-2</v>
      </c>
      <c r="M256" s="959"/>
      <c r="N256" s="959"/>
      <c r="O256" s="48">
        <f>IF(t&lt;Tnet,'2026'!Resal+('2026'!Salim-'2026'!Resal)*(1-EXP(('2026'!Tnet-t)/('2026'!Tau_j))),Resal+(Salim-Resal)*(1-EXP((Tnet-t)/(Tau_j))))*Salcycl</f>
        <v>6.5600442108861332E-2</v>
      </c>
      <c r="P256" s="169">
        <f>(INDEX(Models!$BJ256:$BT256,,T256)*(1-R256)+INDEX(Models!$BJ256:$BT256,,T256+1)*R256-ERP_i)*Q256*Ramure*Pc/MaxiM</f>
        <v>3.1469379430345109E-4</v>
      </c>
      <c r="Q256" s="305">
        <f t="shared" si="80"/>
        <v>0.7</v>
      </c>
      <c r="R256" s="177">
        <f t="shared" si="81"/>
        <v>0.45788668521875331</v>
      </c>
      <c r="S256" s="921">
        <f t="shared" si="82"/>
        <v>-1</v>
      </c>
      <c r="T256" s="176">
        <f t="shared" si="83"/>
        <v>5</v>
      </c>
      <c r="U256" s="251">
        <f t="shared" si="84"/>
        <v>-0.54211331478124669</v>
      </c>
      <c r="V256" s="383">
        <f t="shared" si="85"/>
        <v>44.408157790948579</v>
      </c>
      <c r="W256" s="402">
        <f t="shared" si="86"/>
        <v>43.034970166610478</v>
      </c>
      <c r="X256" s="157">
        <f t="shared" si="87"/>
        <v>46629</v>
      </c>
      <c r="Y256" s="385">
        <f t="shared" si="88"/>
        <v>40.576538375124798</v>
      </c>
      <c r="Z256" s="385">
        <f t="shared" si="89"/>
        <v>43.700210943093168</v>
      </c>
      <c r="AA256" s="386">
        <f t="shared" si="90"/>
        <v>49.395736205476453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0.11530398572644067</v>
      </c>
      <c r="AD256" s="231">
        <f>(INDEX(Models!$BJ256:$BT256,,AH256)*(1-AF256)+INDEX(Models!$BJ256:$BT256,,AH256+1)*AF256-ERP_i)*AE256*Ramure*Pc/MaxiM</f>
        <v>4.6597068765245331E-3</v>
      </c>
      <c r="AE256" s="305">
        <f t="shared" si="92"/>
        <v>0.7</v>
      </c>
      <c r="AF256" s="177">
        <f t="shared" si="93"/>
        <v>0.98287425159273223</v>
      </c>
      <c r="AG256" s="921">
        <f t="shared" si="99"/>
        <v>2</v>
      </c>
      <c r="AH256" s="176">
        <f t="shared" si="94"/>
        <v>8</v>
      </c>
      <c r="AI256" s="225">
        <f t="shared" si="95"/>
        <v>2.9828742515927322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19.567346625989568</v>
      </c>
      <c r="C257" s="955"/>
      <c r="D257" s="393">
        <f t="shared" si="77"/>
        <v>21.074146258604785</v>
      </c>
      <c r="E257" s="385">
        <f t="shared" si="100"/>
        <v>22.555770191813863</v>
      </c>
      <c r="F257" s="385">
        <f t="shared" si="78"/>
        <v>22.557148430811722</v>
      </c>
      <c r="G257" s="110">
        <f t="shared" si="101"/>
        <v>0.44157450071623705</v>
      </c>
      <c r="H257" s="414" t="b">
        <f>Wh_hp&gt;='2026'!Maxi_hp</f>
        <v>0</v>
      </c>
      <c r="I257" s="390">
        <f>IF(H257,Wh_hp,'2026'!Maxi_hp)</f>
        <v>51.639133296774915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7.1499913406929849E-2</v>
      </c>
      <c r="M257" s="959"/>
      <c r="N257" s="959"/>
      <c r="O257" s="48">
        <f>IF(t&lt;Tnet,'2026'!Resal+('2026'!Salim-'2026'!Resal)*(1-EXP(('2026'!Tnet-t)/('2026'!Tau_j))),Resal+(Salim-Resal)*(1-EXP((Tnet-t)/(Tau_j))))*Salcycl</f>
        <v>6.5687135513856354E-2</v>
      </c>
      <c r="P257" s="169">
        <f>(INDEX(Models!$BJ257:$BT257,,T257)*(1-R257)+INDEX(Models!$BJ257:$BT257,,T257+1)*R257-ERP_i)*Q257*Ramure*Pc/MaxiM</f>
        <v>3.0187504589976723E-4</v>
      </c>
      <c r="Q257" s="305">
        <f t="shared" si="80"/>
        <v>0.7</v>
      </c>
      <c r="R257" s="177">
        <f t="shared" si="81"/>
        <v>0.45856118240845345</v>
      </c>
      <c r="S257" s="921">
        <f t="shared" si="82"/>
        <v>-1</v>
      </c>
      <c r="T257" s="176">
        <f t="shared" si="83"/>
        <v>5</v>
      </c>
      <c r="U257" s="251">
        <f t="shared" si="84"/>
        <v>-0.54143881759154655</v>
      </c>
      <c r="V257" s="383">
        <f t="shared" si="85"/>
        <v>44.302003343022577</v>
      </c>
      <c r="W257" s="402">
        <f t="shared" si="86"/>
        <v>19.567346625989568</v>
      </c>
      <c r="X257" s="157">
        <f t="shared" si="87"/>
        <v>46630</v>
      </c>
      <c r="Y257" s="385">
        <f t="shared" si="88"/>
        <v>18.510960261344191</v>
      </c>
      <c r="Z257" s="385">
        <f t="shared" si="89"/>
        <v>19.936411992449187</v>
      </c>
      <c r="AA257" s="386">
        <f t="shared" si="90"/>
        <v>22.535686076838335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0.11534035731268996</v>
      </c>
      <c r="AD257" s="231">
        <f>(INDEX(Models!$BJ257:$BT257,,AH257)*(1-AF257)+INDEX(Models!$BJ257:$BT257,,AH257+1)*AF257-ERP_i)*AE257*Ramure*Pc/MaxiM</f>
        <v>4.7008893964646213E-3</v>
      </c>
      <c r="AE257" s="305">
        <f t="shared" si="92"/>
        <v>0.7</v>
      </c>
      <c r="AF257" s="177">
        <f t="shared" si="93"/>
        <v>0.98354874878243237</v>
      </c>
      <c r="AG257" s="921">
        <f t="shared" si="99"/>
        <v>2</v>
      </c>
      <c r="AH257" s="176">
        <f t="shared" si="94"/>
        <v>8</v>
      </c>
      <c r="AI257" s="225">
        <f t="shared" si="95"/>
        <v>2.9835487487824324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39.770806799296921</v>
      </c>
      <c r="C258" s="955"/>
      <c r="D258" s="393">
        <f t="shared" si="77"/>
        <v>42.834328693546844</v>
      </c>
      <c r="E258" s="385">
        <f t="shared" si="100"/>
        <v>45.85004272069731</v>
      </c>
      <c r="F258" s="385">
        <f t="shared" si="78"/>
        <v>45.861505949383186</v>
      </c>
      <c r="G258" s="110">
        <f t="shared" si="101"/>
        <v>0.89989799762398315</v>
      </c>
      <c r="H258" s="414" t="b">
        <f>Wh_hp&gt;='2026'!Maxi_hp</f>
        <v>0</v>
      </c>
      <c r="I258" s="390">
        <f>IF(H258,Wh_hp,'2026'!Maxi_hp)</f>
        <v>52.083506608695828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7.1520249941758873E-2</v>
      </c>
      <c r="M258" s="959"/>
      <c r="N258" s="959"/>
      <c r="O258" s="48">
        <f>IF(t&lt;Tnet,'2026'!Resal+('2026'!Salim-'2026'!Resal)*(1-EXP(('2026'!Tnet-t)/('2026'!Tau_j))),Resal+(Salim-Resal)*(1-EXP((Tnet-t)/(Tau_j))))*Salcycl</f>
        <v>6.5773418042839274E-2</v>
      </c>
      <c r="P258" s="169">
        <f>(INDEX(Models!$BJ258:$BT258,,T258)*(1-R258)+INDEX(Models!$BJ258:$BT258,,T258+1)*R258-ERP_i)*Q258*Ramure*Pc/MaxiM</f>
        <v>2.9164336820992171E-4</v>
      </c>
      <c r="Q258" s="305">
        <f t="shared" si="80"/>
        <v>0.7</v>
      </c>
      <c r="R258" s="177">
        <f t="shared" si="81"/>
        <v>0.45921029439107497</v>
      </c>
      <c r="S258" s="921">
        <f t="shared" si="82"/>
        <v>-1</v>
      </c>
      <c r="T258" s="176">
        <f t="shared" si="83"/>
        <v>5</v>
      </c>
      <c r="U258" s="251">
        <f t="shared" si="84"/>
        <v>-0.54078970560892503</v>
      </c>
      <c r="V258" s="383">
        <f t="shared" si="85"/>
        <v>44.192951242084739</v>
      </c>
      <c r="W258" s="402">
        <f t="shared" si="86"/>
        <v>39.770806799296921</v>
      </c>
      <c r="X258" s="157">
        <f t="shared" si="87"/>
        <v>46631</v>
      </c>
      <c r="Y258" s="385">
        <f t="shared" si="88"/>
        <v>37.515219292455505</v>
      </c>
      <c r="Z258" s="385">
        <f t="shared" si="89"/>
        <v>40.404994605539081</v>
      </c>
      <c r="AA258" s="386">
        <f t="shared" si="90"/>
        <v>45.674773524764547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0.11537613681583392</v>
      </c>
      <c r="AD258" s="231">
        <f>(INDEX(Models!$BJ258:$BT258,,AH258)*(1-AF258)+INDEX(Models!$BJ258:$BT258,,AH258+1)*AF258-ERP_i)*AE258*Ramure*Pc/MaxiM</f>
        <v>4.7507796243187418E-3</v>
      </c>
      <c r="AE258" s="305">
        <f t="shared" si="92"/>
        <v>0.7</v>
      </c>
      <c r="AF258" s="177">
        <f t="shared" si="93"/>
        <v>0.98419786076505389</v>
      </c>
      <c r="AG258" s="921">
        <f t="shared" si="99"/>
        <v>2</v>
      </c>
      <c r="AH258" s="176">
        <f t="shared" si="94"/>
        <v>8</v>
      </c>
      <c r="AI258" s="225">
        <f t="shared" si="95"/>
        <v>2.9841978607650539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37.090236138340281</v>
      </c>
      <c r="C259" s="955"/>
      <c r="D259" s="393">
        <f t="shared" si="77"/>
        <v>39.948150215627294</v>
      </c>
      <c r="E259" s="385">
        <f t="shared" si="100"/>
        <v>42.764595542624143</v>
      </c>
      <c r="F259" s="385">
        <f t="shared" si="78"/>
        <v>42.773991878811962</v>
      </c>
      <c r="G259" s="110">
        <f t="shared" si="101"/>
        <v>0.84136502479415542</v>
      </c>
      <c r="H259" s="414" t="b">
        <f>Wh_hp&gt;='2026'!Maxi_hp</f>
        <v>0</v>
      </c>
      <c r="I259" s="390">
        <f>IF(H259,Wh_hp,'2026'!Maxi_hp)</f>
        <v>50.502495754224739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7.1540586031165643E-2</v>
      </c>
      <c r="M259" s="959"/>
      <c r="N259" s="959"/>
      <c r="O259" s="48">
        <f>IF(t&lt;Tnet,'2026'!Resal+('2026'!Salim-'2026'!Resal)*(1-EXP(('2026'!Tnet-t)/('2026'!Tau_j))),Resal+(Salim-Resal)*(1-EXP((Tnet-t)/(Tau_j))))*Salcycl</f>
        <v>6.5859276610944428E-2</v>
      </c>
      <c r="P259" s="169">
        <f>(INDEX(Models!$BJ259:$BT259,,T259)*(1-R259)+INDEX(Models!$BJ259:$BT259,,T259+1)*R259-ERP_i)*Q259*Ramure*Pc/MaxiM</f>
        <v>2.8401623833725201E-4</v>
      </c>
      <c r="Q259" s="305">
        <f t="shared" si="80"/>
        <v>0.7</v>
      </c>
      <c r="R259" s="177">
        <f t="shared" si="81"/>
        <v>0.45983491000528154</v>
      </c>
      <c r="S259" s="921">
        <f t="shared" si="82"/>
        <v>-1</v>
      </c>
      <c r="T259" s="176">
        <f t="shared" si="83"/>
        <v>5</v>
      </c>
      <c r="U259" s="251">
        <f t="shared" si="84"/>
        <v>-0.54016508999471846</v>
      </c>
      <c r="V259" s="383">
        <f t="shared" si="85"/>
        <v>44.080569139691967</v>
      </c>
      <c r="W259" s="402">
        <f t="shared" si="86"/>
        <v>37.090236138340281</v>
      </c>
      <c r="X259" s="157">
        <f t="shared" si="87"/>
        <v>46632</v>
      </c>
      <c r="Y259" s="385">
        <f t="shared" si="88"/>
        <v>34.999798420713788</v>
      </c>
      <c r="Z259" s="385">
        <f t="shared" si="89"/>
        <v>37.696637994225377</v>
      </c>
      <c r="AA259" s="386">
        <f t="shared" si="90"/>
        <v>42.614876397670152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0.11541130279363353</v>
      </c>
      <c r="AD259" s="231">
        <f>(INDEX(Models!$BJ259:$BT259,,AH259)*(1-AF259)+INDEX(Models!$BJ259:$BT259,,AH259+1)*AF259-ERP_i)*AE259*Ramure*Pc/MaxiM</f>
        <v>4.8094682344080762E-3</v>
      </c>
      <c r="AE259" s="305">
        <f t="shared" si="92"/>
        <v>0.7</v>
      </c>
      <c r="AF259" s="177">
        <f t="shared" si="93"/>
        <v>0.98482247637926035</v>
      </c>
      <c r="AG259" s="921">
        <f t="shared" si="99"/>
        <v>2</v>
      </c>
      <c r="AH259" s="176">
        <f t="shared" si="94"/>
        <v>8</v>
      </c>
      <c r="AI259" s="225">
        <f t="shared" si="95"/>
        <v>2.9848224763792603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35.251207232649307</v>
      </c>
      <c r="C260" s="955"/>
      <c r="D260" s="393">
        <f t="shared" si="77"/>
        <v>37.968250212229535</v>
      </c>
      <c r="E260" s="385">
        <f t="shared" si="100"/>
        <v>40.648824662590336</v>
      </c>
      <c r="F260" s="385">
        <f t="shared" si="78"/>
        <v>40.656956708264055</v>
      </c>
      <c r="G260" s="110">
        <f t="shared" si="101"/>
        <v>0.80174873330091623</v>
      </c>
      <c r="H260" s="414" t="b">
        <f>Wh_hp&gt;='2026'!Maxi_hp</f>
        <v>0</v>
      </c>
      <c r="I260" s="390">
        <f>IF(H260,Wh_hp,'2026'!Maxi_hp)</f>
        <v>52.236523625300045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7.1560921675159817E-2</v>
      </c>
      <c r="M260" s="959"/>
      <c r="N260" s="959"/>
      <c r="O260" s="48">
        <f>IF(t&lt;Tnet,'2026'!Resal+('2026'!Salim-'2026'!Resal)*(1-EXP(('2026'!Tnet-t)/('2026'!Tau_j))),Resal+(Salim-Resal)*(1-EXP((Tnet-t)/(Tau_j))))*Salcycl</f>
        <v>6.594469760469529E-2</v>
      </c>
      <c r="P260" s="169">
        <f>(INDEX(Models!$BJ260:$BT260,,T260)*(1-R260)+INDEX(Models!$BJ260:$BT260,,T260+1)*R260-ERP_i)*Q260*Ramure*Pc/MaxiM</f>
        <v>2.7901134683400364E-4</v>
      </c>
      <c r="Q260" s="305">
        <f t="shared" si="80"/>
        <v>0.7</v>
      </c>
      <c r="R260" s="177">
        <f t="shared" si="81"/>
        <v>0.46043589208390701</v>
      </c>
      <c r="S260" s="921">
        <f t="shared" si="82"/>
        <v>-1</v>
      </c>
      <c r="T260" s="176">
        <f t="shared" si="83"/>
        <v>5</v>
      </c>
      <c r="U260" s="251">
        <f t="shared" si="84"/>
        <v>-0.53956410791609299</v>
      </c>
      <c r="V260" s="383">
        <f t="shared" si="85"/>
        <v>43.964424929498364</v>
      </c>
      <c r="W260" s="402">
        <f t="shared" si="86"/>
        <v>35.251207232649307</v>
      </c>
      <c r="X260" s="157">
        <f t="shared" si="87"/>
        <v>46633</v>
      </c>
      <c r="Y260" s="385">
        <f t="shared" si="88"/>
        <v>33.272976767579337</v>
      </c>
      <c r="Z260" s="385">
        <f t="shared" si="89"/>
        <v>35.837544481230744</v>
      </c>
      <c r="AA260" s="386">
        <f t="shared" si="90"/>
        <v>40.514810530031518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0.11544583295863528</v>
      </c>
      <c r="AD260" s="231">
        <f>(INDEX(Models!$BJ260:$BT260,,AH260)*(1-AF260)+INDEX(Models!$BJ260:$BT260,,AH260+1)*AF260-ERP_i)*AE260*Ramure*Pc/MaxiM</f>
        <v>4.8770504037039262E-3</v>
      </c>
      <c r="AE260" s="305">
        <f t="shared" si="92"/>
        <v>0.7</v>
      </c>
      <c r="AF260" s="177">
        <f t="shared" si="93"/>
        <v>0.98542345845788581</v>
      </c>
      <c r="AG260" s="921">
        <f t="shared" si="99"/>
        <v>2</v>
      </c>
      <c r="AH260" s="176">
        <f t="shared" si="94"/>
        <v>8</v>
      </c>
      <c r="AI260" s="225">
        <f t="shared" si="95"/>
        <v>2.9854234584578858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42.126970447549084</v>
      </c>
      <c r="C261" s="955"/>
      <c r="D261" s="393">
        <f t="shared" si="77"/>
        <v>45.374967663508862</v>
      </c>
      <c r="E261" s="385">
        <f t="shared" si="100"/>
        <v>48.582878976853316</v>
      </c>
      <c r="F261" s="385">
        <f t="shared" si="78"/>
        <v>48.595569419227644</v>
      </c>
      <c r="G261" s="110">
        <f t="shared" si="101"/>
        <v>0.96078381590425077</v>
      </c>
      <c r="H261" s="414" t="b">
        <f>Wh_hp&gt;='2026'!Maxi_hp</f>
        <v>0</v>
      </c>
      <c r="I261" s="390">
        <f>IF(H261,Wh_hp,'2026'!Maxi_hp)</f>
        <v>51.364733019215166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7.1581256873751165E-2</v>
      </c>
      <c r="M261" s="959"/>
      <c r="N261" s="959"/>
      <c r="O261" s="48">
        <f>IF(t&lt;Tnet,'2026'!Resal+('2026'!Salim-'2026'!Resal)*(1-EXP(('2026'!Tnet-t)/('2026'!Tau_j))),Resal+(Salim-Resal)*(1-EXP((Tnet-t)/(Tau_j))))*Salcycl</f>
        <v>6.6029666847714413E-2</v>
      </c>
      <c r="P261" s="169">
        <f>(INDEX(Models!$BJ261:$BT261,,T261)*(1-R261)+INDEX(Models!$BJ261:$BT261,,T261+1)*R261-ERP_i)*Q261*Ramure*Pc/MaxiM</f>
        <v>2.7663615718320322E-4</v>
      </c>
      <c r="Q261" s="305">
        <f t="shared" si="80"/>
        <v>0.7</v>
      </c>
      <c r="R261" s="177">
        <f t="shared" si="81"/>
        <v>0.46101407780967119</v>
      </c>
      <c r="S261" s="921">
        <f t="shared" si="82"/>
        <v>-1</v>
      </c>
      <c r="T261" s="176">
        <f t="shared" si="83"/>
        <v>5</v>
      </c>
      <c r="U261" s="251">
        <f t="shared" si="84"/>
        <v>-0.53898592219032881</v>
      </c>
      <c r="V261" s="383">
        <f t="shared" si="85"/>
        <v>43.845781894898572</v>
      </c>
      <c r="W261" s="402">
        <f t="shared" si="86"/>
        <v>42.126970447549084</v>
      </c>
      <c r="X261" s="157">
        <f t="shared" si="87"/>
        <v>46634</v>
      </c>
      <c r="Y261" s="385">
        <f t="shared" si="88"/>
        <v>39.720329169310261</v>
      </c>
      <c r="Z261" s="385">
        <f t="shared" si="89"/>
        <v>42.782773897434112</v>
      </c>
      <c r="AA261" s="386">
        <f t="shared" si="90"/>
        <v>48.368334900635787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0.11547970412205071</v>
      </c>
      <c r="AD261" s="231">
        <f>(INDEX(Models!$BJ261:$BT261,,AH261)*(1-AF261)+INDEX(Models!$BJ261:$BT261,,AH261+1)*AF261-ERP_i)*AE261*Ramure*Pc/MaxiM</f>
        <v>4.9534352033134806E-3</v>
      </c>
      <c r="AE261" s="305">
        <f t="shared" si="92"/>
        <v>0.7</v>
      </c>
      <c r="AF261" s="177">
        <f t="shared" si="93"/>
        <v>0.98600164418365033</v>
      </c>
      <c r="AG261" s="921">
        <f t="shared" si="99"/>
        <v>2</v>
      </c>
      <c r="AH261" s="176">
        <f t="shared" si="94"/>
        <v>8</v>
      </c>
      <c r="AI261" s="225">
        <f t="shared" si="95"/>
        <v>2.9860016441836503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38.676345229921608</v>
      </c>
      <c r="C262" s="955"/>
      <c r="D262" s="393">
        <f t="shared" si="77"/>
        <v>41.659211046795143</v>
      </c>
      <c r="E262" s="385">
        <f t="shared" si="100"/>
        <v>44.608462500659812</v>
      </c>
      <c r="F262" s="385">
        <f t="shared" si="78"/>
        <v>44.61879171720809</v>
      </c>
      <c r="G262" s="110">
        <f t="shared" si="101"/>
        <v>0.88447571987531737</v>
      </c>
      <c r="H262" s="414" t="b">
        <f>Wh_hp&gt;='2026'!Maxi_hp</f>
        <v>0</v>
      </c>
      <c r="I262" s="390">
        <f>IF(H262,Wh_hp,'2026'!Maxi_hp)</f>
        <v>50.98450100113412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7.1601591626949568E-2</v>
      </c>
      <c r="M262" s="959"/>
      <c r="N262" s="959"/>
      <c r="O262" s="48">
        <f>IF(t&lt;Tnet,'2026'!Resal+('2026'!Salim-'2026'!Resal)*(1-EXP(('2026'!Tnet-t)/('2026'!Tau_j))),Resal+(Salim-Resal)*(1-EXP((Tnet-t)/(Tau_j))))*Salcycl</f>
        <v>6.6114169566392197E-2</v>
      </c>
      <c r="P262" s="169">
        <f>(INDEX(Models!$BJ262:$BT262,,T262)*(1-R262)+INDEX(Models!$BJ262:$BT262,,T262+1)*R262-ERP_i)*Q262*Ramure*Pc/MaxiM</f>
        <v>2.7723692676120314E-4</v>
      </c>
      <c r="Q262" s="305">
        <f t="shared" si="80"/>
        <v>0.7</v>
      </c>
      <c r="R262" s="177">
        <f t="shared" si="81"/>
        <v>0.46157027910244319</v>
      </c>
      <c r="S262" s="921">
        <f t="shared" si="82"/>
        <v>-1</v>
      </c>
      <c r="T262" s="176">
        <f t="shared" si="83"/>
        <v>5</v>
      </c>
      <c r="U262" s="251">
        <f t="shared" si="84"/>
        <v>-0.53842972089755681</v>
      </c>
      <c r="V262" s="383">
        <f t="shared" si="85"/>
        <v>43.725989289286154</v>
      </c>
      <c r="W262" s="402">
        <f t="shared" si="86"/>
        <v>38.676345229921608</v>
      </c>
      <c r="X262" s="157">
        <f t="shared" si="87"/>
        <v>46635</v>
      </c>
      <c r="Y262" s="385">
        <f t="shared" si="88"/>
        <v>36.484882879986728</v>
      </c>
      <c r="Z262" s="385">
        <f t="shared" si="89"/>
        <v>39.298734843722734</v>
      </c>
      <c r="AA262" s="386">
        <f t="shared" si="90"/>
        <v>44.431099667140401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0.11551289213787737</v>
      </c>
      <c r="AD262" s="231">
        <f>(INDEX(Models!$BJ262:$BT262,,AH262)*(1-AF262)+INDEX(Models!$BJ262:$BT262,,AH262+1)*AF262-ERP_i)*AE262*Ramure*Pc/MaxiM</f>
        <v>5.0376683357434672E-3</v>
      </c>
      <c r="AE262" s="305">
        <f t="shared" si="92"/>
        <v>0.7</v>
      </c>
      <c r="AF262" s="177">
        <f t="shared" si="93"/>
        <v>0.98655784547642211</v>
      </c>
      <c r="AG262" s="921">
        <f t="shared" si="99"/>
        <v>2</v>
      </c>
      <c r="AH262" s="176">
        <f t="shared" si="94"/>
        <v>8</v>
      </c>
      <c r="AI262" s="225">
        <f t="shared" si="95"/>
        <v>2.9865578454764221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41.641812390672484</v>
      </c>
      <c r="C263" s="955"/>
      <c r="D263" s="393">
        <f t="shared" si="77"/>
        <v>44.854368660742836</v>
      </c>
      <c r="E263" s="385">
        <f t="shared" si="100"/>
        <v>48.034141931969693</v>
      </c>
      <c r="F263" s="385">
        <f t="shared" si="78"/>
        <v>48.04668595920834</v>
      </c>
      <c r="G263" s="110">
        <f t="shared" si="101"/>
        <v>0.95496416805209261</v>
      </c>
      <c r="H263" s="414" t="b">
        <f>Wh_hp&gt;='2026'!Maxi_hp</f>
        <v>0</v>
      </c>
      <c r="I263" s="390">
        <f>IF(H263,Wh_hp,'2026'!Maxi_hp)</f>
        <v>50.093779259666192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7.1621925934764685E-2</v>
      </c>
      <c r="M263" s="959"/>
      <c r="N263" s="959"/>
      <c r="O263" s="48">
        <f>IF(t&lt;Tnet,'2026'!Resal+('2026'!Salim-'2026'!Resal)*(1-EXP(('2026'!Tnet-t)/('2026'!Tau_j))),Resal+(Salim-Resal)*(1-EXP((Tnet-t)/(Tau_j))))*Salcycl</f>
        <v>6.619819035656635E-2</v>
      </c>
      <c r="P263" s="169">
        <f>(INDEX(Models!$BJ263:$BT263,,T263)*(1-R263)+INDEX(Models!$BJ263:$BT263,,T263+1)*R263-ERP_i)*Q263*Ramure*Pc/MaxiM</f>
        <v>2.7902472185758657E-4</v>
      </c>
      <c r="Q263" s="305">
        <f t="shared" si="80"/>
        <v>0.7</v>
      </c>
      <c r="R263" s="177">
        <f t="shared" si="81"/>
        <v>0.46210528303407483</v>
      </c>
      <c r="S263" s="921">
        <f t="shared" si="82"/>
        <v>-1</v>
      </c>
      <c r="T263" s="176">
        <f t="shared" si="83"/>
        <v>5</v>
      </c>
      <c r="U263" s="251">
        <f t="shared" si="84"/>
        <v>-0.53789471696592517</v>
      </c>
      <c r="V263" s="383">
        <f t="shared" si="85"/>
        <v>43.604845434566172</v>
      </c>
      <c r="W263" s="402">
        <f t="shared" si="86"/>
        <v>41.641812390672484</v>
      </c>
      <c r="X263" s="157">
        <f t="shared" si="87"/>
        <v>46636</v>
      </c>
      <c r="Y263" s="385">
        <f t="shared" si="88"/>
        <v>39.262378645815076</v>
      </c>
      <c r="Z263" s="385">
        <f t="shared" si="89"/>
        <v>42.291367862546252</v>
      </c>
      <c r="AA263" s="386">
        <f t="shared" si="90"/>
        <v>47.816322642760262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0.11554537184909448</v>
      </c>
      <c r="AD263" s="231">
        <f>(INDEX(Models!$BJ263:$BT263,,AH263)*(1-AF263)+INDEX(Models!$BJ263:$BT263,,AH263+1)*AF263-ERP_i)*AE263*Ramure*Pc/MaxiM</f>
        <v>5.1241167669089909E-3</v>
      </c>
      <c r="AE263" s="305">
        <f t="shared" si="92"/>
        <v>0.7</v>
      </c>
      <c r="AF263" s="177">
        <f t="shared" si="93"/>
        <v>0.98709284940805375</v>
      </c>
      <c r="AG263" s="921">
        <f t="shared" si="99"/>
        <v>2</v>
      </c>
      <c r="AH263" s="176">
        <f t="shared" si="94"/>
        <v>8</v>
      </c>
      <c r="AI263" s="225">
        <f t="shared" si="95"/>
        <v>2.9870928494080538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33.315340901188335</v>
      </c>
      <c r="C264" s="955"/>
      <c r="D264" s="393">
        <f t="shared" si="77"/>
        <v>35.886317804503697</v>
      </c>
      <c r="E264" s="385">
        <f t="shared" si="100"/>
        <v>38.433774201486536</v>
      </c>
      <c r="F264" s="385">
        <f t="shared" si="78"/>
        <v>38.440993874843087</v>
      </c>
      <c r="G264" s="110">
        <f t="shared" si="101"/>
        <v>0.76611353397137105</v>
      </c>
      <c r="H264" s="414" t="b">
        <f>Wh_hp&gt;='2026'!Maxi_hp</f>
        <v>0</v>
      </c>
      <c r="I264" s="390">
        <f>IF(H264,Wh_hp,'2026'!Maxi_hp)</f>
        <v>51.37719632099251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7.1642259797206176E-2</v>
      </c>
      <c r="M264" s="959"/>
      <c r="N264" s="959"/>
      <c r="O264" s="48">
        <f>IF(t&lt;Tnet,'2026'!Resal+('2026'!Salim-'2026'!Resal)*(1-EXP(('2026'!Tnet-t)/('2026'!Tau_j))),Resal+(Salim-Resal)*(1-EXP((Tnet-t)/(Tau_j))))*Salcycl</f>
        <v>6.6281713152290589E-2</v>
      </c>
      <c r="P264" s="169">
        <f>(INDEX(Models!$BJ264:$BT264,,T264)*(1-R264)+INDEX(Models!$BJ264:$BT264,,T264+1)*R264-ERP_i)*Q264*Ramure*Pc/MaxiM</f>
        <v>2.8200838113531253E-4</v>
      </c>
      <c r="Q264" s="305">
        <f t="shared" si="80"/>
        <v>0.7</v>
      </c>
      <c r="R264" s="177">
        <f t="shared" si="81"/>
        <v>0.46261985226711233</v>
      </c>
      <c r="S264" s="921">
        <f t="shared" si="82"/>
        <v>-1</v>
      </c>
      <c r="T264" s="176">
        <f t="shared" si="83"/>
        <v>5</v>
      </c>
      <c r="U264" s="251">
        <f t="shared" si="84"/>
        <v>-0.53738014773288767</v>
      </c>
      <c r="V264" s="383">
        <f t="shared" si="85"/>
        <v>43.482069751135619</v>
      </c>
      <c r="W264" s="402">
        <f t="shared" si="86"/>
        <v>33.315340901188335</v>
      </c>
      <c r="X264" s="157">
        <f t="shared" si="87"/>
        <v>46637</v>
      </c>
      <c r="Y264" s="385">
        <f t="shared" si="88"/>
        <v>31.452821427762316</v>
      </c>
      <c r="Z264" s="385">
        <f t="shared" si="89"/>
        <v>33.880065911759026</v>
      </c>
      <c r="AA264" s="386">
        <f t="shared" si="90"/>
        <v>38.307541069362983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0.11557711703779637</v>
      </c>
      <c r="AD264" s="231">
        <f>(INDEX(Models!$BJ264:$BT264,,AH264)*(1-AF264)+INDEX(Models!$BJ264:$BT264,,AH264+1)*AF264-ERP_i)*AE264*Ramure*Pc/MaxiM</f>
        <v>5.2128133466373249E-3</v>
      </c>
      <c r="AE264" s="305">
        <f t="shared" si="92"/>
        <v>0.7</v>
      </c>
      <c r="AF264" s="177">
        <f t="shared" si="93"/>
        <v>0.98760741864109125</v>
      </c>
      <c r="AG264" s="921">
        <f t="shared" si="99"/>
        <v>2</v>
      </c>
      <c r="AH264" s="176">
        <f t="shared" si="94"/>
        <v>8</v>
      </c>
      <c r="AI264" s="225">
        <f t="shared" si="95"/>
        <v>2.9876074186410913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36.547051233893463</v>
      </c>
      <c r="C265" s="955"/>
      <c r="D265" s="393">
        <f t="shared" si="77"/>
        <v>39.368284598629188</v>
      </c>
      <c r="E265" s="385">
        <f t="shared" si="100"/>
        <v>42.166663463205538</v>
      </c>
      <c r="F265" s="385">
        <f t="shared" si="78"/>
        <v>42.17602555019392</v>
      </c>
      <c r="G265" s="110">
        <f t="shared" si="101"/>
        <v>0.84287155071759134</v>
      </c>
      <c r="H265" s="414" t="b">
        <f>Wh_hp&gt;='2026'!Maxi_hp</f>
        <v>0</v>
      </c>
      <c r="I265" s="390">
        <f>IF(H265,Wh_hp,'2026'!Maxi_hp)</f>
        <v>49.21838095853591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7.1662593214283921E-2</v>
      </c>
      <c r="M265" s="959"/>
      <c r="N265" s="959"/>
      <c r="O265" s="48">
        <f>IF(t&lt;Tnet,'2026'!Resal+('2026'!Salim-'2026'!Resal)*(1-EXP(('2026'!Tnet-t)/('2026'!Tau_j))),Resal+(Salim-Resal)*(1-EXP((Tnet-t)/(Tau_j))))*Salcycl</f>
        <v>6.6364721197782306E-2</v>
      </c>
      <c r="P265" s="169">
        <f>(INDEX(Models!$BJ265:$BT265,,T265)*(1-R265)+INDEX(Models!$BJ265:$BT265,,T265+1)*R265-ERP_i)*Q265*Ramure*Pc/MaxiM</f>
        <v>2.8619672778980987E-4</v>
      </c>
      <c r="Q265" s="305">
        <f t="shared" si="80"/>
        <v>0.7</v>
      </c>
      <c r="R265" s="177">
        <f t="shared" si="81"/>
        <v>0.46311472551395827</v>
      </c>
      <c r="S265" s="921">
        <f t="shared" si="82"/>
        <v>-1</v>
      </c>
      <c r="T265" s="176">
        <f t="shared" si="83"/>
        <v>5</v>
      </c>
      <c r="U265" s="251">
        <f t="shared" si="84"/>
        <v>-0.53688527448604173</v>
      </c>
      <c r="V265" s="383">
        <f t="shared" si="85"/>
        <v>43.357381824205525</v>
      </c>
      <c r="W265" s="402">
        <f t="shared" si="86"/>
        <v>36.547051233893463</v>
      </c>
      <c r="X265" s="157">
        <f t="shared" si="87"/>
        <v>46638</v>
      </c>
      <c r="Y265" s="385">
        <f t="shared" si="88"/>
        <v>34.484666599131671</v>
      </c>
      <c r="Z265" s="385">
        <f t="shared" si="89"/>
        <v>37.146695099286902</v>
      </c>
      <c r="AA265" s="386">
        <f t="shared" si="90"/>
        <v>42.002527516698748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0.11560810038113387</v>
      </c>
      <c r="AD265" s="231">
        <f>(INDEX(Models!$BJ265:$BT265,,AH265)*(1-AF265)+INDEX(Models!$BJ265:$BT265,,AH265+1)*AF265-ERP_i)*AE265*Ramure*Pc/MaxiM</f>
        <v>5.3037927895647754E-3</v>
      </c>
      <c r="AE265" s="305">
        <f t="shared" si="92"/>
        <v>0.7</v>
      </c>
      <c r="AF265" s="177">
        <f t="shared" si="93"/>
        <v>0.98810229188793697</v>
      </c>
      <c r="AG265" s="921">
        <f t="shared" si="99"/>
        <v>2</v>
      </c>
      <c r="AH265" s="176">
        <f t="shared" si="94"/>
        <v>8</v>
      </c>
      <c r="AI265" s="225">
        <f t="shared" si="95"/>
        <v>2.988102291887937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18.91158644876791</v>
      </c>
      <c r="C266" s="955"/>
      <c r="D266" s="393">
        <f t="shared" si="77"/>
        <v>20.371904150237832</v>
      </c>
      <c r="E266" s="385">
        <f t="shared" si="100"/>
        <v>21.821908825390409</v>
      </c>
      <c r="F266" s="385">
        <f t="shared" si="78"/>
        <v>21.823158449202488</v>
      </c>
      <c r="G266" s="110">
        <f t="shared" si="101"/>
        <v>0.43735681736877735</v>
      </c>
      <c r="H266" s="414" t="b">
        <f>Wh_hp&gt;='2026'!Maxi_hp</f>
        <v>0</v>
      </c>
      <c r="I266" s="390">
        <f>IF(H266,Wh_hp,'2026'!Maxi_hp)</f>
        <v>48.849649959056784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7.1682926186007689E-2</v>
      </c>
      <c r="M266" s="959"/>
      <c r="N266" s="959"/>
      <c r="O266" s="48">
        <f>IF(t&lt;Tnet,'2026'!Resal+('2026'!Salim-'2026'!Resal)*(1-EXP(('2026'!Tnet-t)/('2026'!Tau_j))),Resal+(Salim-Resal)*(1-EXP((Tnet-t)/(Tau_j))))*Salcycl</f>
        <v>6.6447197023637869E-2</v>
      </c>
      <c r="P266" s="169">
        <f>(INDEX(Models!$BJ266:$BT266,,T266)*(1-R266)+INDEX(Models!$BJ266:$BT266,,T266+1)*R266-ERP_i)*Q266*Ramure*Pc/MaxiM</f>
        <v>2.9159863308010132E-4</v>
      </c>
      <c r="Q266" s="305">
        <f t="shared" si="80"/>
        <v>0.7</v>
      </c>
      <c r="R266" s="177">
        <f t="shared" si="81"/>
        <v>0.46359061801331336</v>
      </c>
      <c r="S266" s="921">
        <f t="shared" si="82"/>
        <v>-1</v>
      </c>
      <c r="T266" s="176">
        <f t="shared" si="83"/>
        <v>5</v>
      </c>
      <c r="U266" s="251">
        <f t="shared" si="84"/>
        <v>-0.53640938198668664</v>
      </c>
      <c r="V266" s="383">
        <f t="shared" si="85"/>
        <v>43.230501399770056</v>
      </c>
      <c r="W266" s="402">
        <f t="shared" si="86"/>
        <v>18.91158644876791</v>
      </c>
      <c r="X266" s="157">
        <f t="shared" si="87"/>
        <v>46639</v>
      </c>
      <c r="Y266" s="385">
        <f t="shared" si="88"/>
        <v>17.897128280723862</v>
      </c>
      <c r="Z266" s="385">
        <f t="shared" si="89"/>
        <v>19.279111400152836</v>
      </c>
      <c r="AA266" s="386">
        <f t="shared" si="90"/>
        <v>21.800029622040206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0.11563829341491717</v>
      </c>
      <c r="AD266" s="231">
        <f>(INDEX(Models!$BJ266:$BT266,,AH266)*(1-AF266)+INDEX(Models!$BJ266:$BT266,,AH266+1)*AF266-ERP_i)*AE266*Ramure*Pc/MaxiM</f>
        <v>5.3970917647955417E-3</v>
      </c>
      <c r="AE266" s="305">
        <f t="shared" si="92"/>
        <v>0.7</v>
      </c>
      <c r="AF266" s="177">
        <f t="shared" si="93"/>
        <v>0.9885781843872925</v>
      </c>
      <c r="AG266" s="921">
        <f t="shared" si="99"/>
        <v>2</v>
      </c>
      <c r="AH266" s="176">
        <f t="shared" si="94"/>
        <v>8</v>
      </c>
      <c r="AI266" s="225">
        <f t="shared" si="95"/>
        <v>2.9885781843872925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41.286066362173614</v>
      </c>
      <c r="C267" s="955"/>
      <c r="D267" s="393">
        <f t="shared" si="77"/>
        <v>44.475074107129736</v>
      </c>
      <c r="E267" s="385">
        <f t="shared" si="100"/>
        <v>47.644843750058889</v>
      </c>
      <c r="F267" s="385">
        <f t="shared" si="78"/>
        <v>47.658201482079079</v>
      </c>
      <c r="G267" s="110">
        <f t="shared" si="101"/>
        <v>0.95787065955557504</v>
      </c>
      <c r="H267" s="414" t="b">
        <f>Wh_hp&gt;='2026'!Maxi_hp</f>
        <v>0</v>
      </c>
      <c r="I267" s="390">
        <f>IF(H267,Wh_hp,'2026'!Maxi_hp)</f>
        <v>47.658881631126746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7.1703258712387252E-2</v>
      </c>
      <c r="M267" s="959"/>
      <c r="N267" s="959"/>
      <c r="O267" s="48">
        <f>IF(t&lt;Tnet,'2026'!Resal+('2026'!Salim-'2026'!Resal)*(1-EXP(('2026'!Tnet-t)/('2026'!Tau_j))),Resal+(Salim-Resal)*(1-EXP((Tnet-t)/(Tau_j))))*Salcycl</f>
        <v>6.6529122428389445E-2</v>
      </c>
      <c r="P267" s="169">
        <f>(INDEX(Models!$BJ267:$BT267,,T267)*(1-R267)+INDEX(Models!$BJ267:$BT267,,T267+1)*R267-ERP_i)*Q267*Ramure*Pc/MaxiM</f>
        <v>2.9822308032803559E-4</v>
      </c>
      <c r="Q267" s="305">
        <f t="shared" si="80"/>
        <v>0.7</v>
      </c>
      <c r="R267" s="177">
        <f t="shared" si="81"/>
        <v>0.46404822202097828</v>
      </c>
      <c r="S267" s="921">
        <f t="shared" si="82"/>
        <v>-1</v>
      </c>
      <c r="T267" s="176">
        <f t="shared" si="83"/>
        <v>5</v>
      </c>
      <c r="U267" s="251">
        <f t="shared" si="84"/>
        <v>-0.53595177797902172</v>
      </c>
      <c r="V267" s="383">
        <f t="shared" si="85"/>
        <v>43.101148388400773</v>
      </c>
      <c r="W267" s="402">
        <f t="shared" si="86"/>
        <v>41.286066362173614</v>
      </c>
      <c r="X267" s="157">
        <f t="shared" si="87"/>
        <v>46640</v>
      </c>
      <c r="Y267" s="385">
        <f t="shared" si="88"/>
        <v>38.921736856833007</v>
      </c>
      <c r="Z267" s="385">
        <f t="shared" si="89"/>
        <v>41.928119668766506</v>
      </c>
      <c r="AA267" s="386">
        <f t="shared" si="90"/>
        <v>47.412175356227429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0.11566766650669216</v>
      </c>
      <c r="AD267" s="231">
        <f>(INDEX(Models!$BJ267:$BT267,,AH267)*(1-AF267)+INDEX(Models!$BJ267:$BT267,,AH267+1)*AF267-ERP_i)*AE267*Ramure*Pc/MaxiM</f>
        <v>5.4927489922503977E-3</v>
      </c>
      <c r="AE267" s="305">
        <f t="shared" si="92"/>
        <v>0.7</v>
      </c>
      <c r="AF267" s="177">
        <f t="shared" si="93"/>
        <v>0.9890357883949572</v>
      </c>
      <c r="AG267" s="921">
        <f t="shared" si="99"/>
        <v>2</v>
      </c>
      <c r="AH267" s="176">
        <f t="shared" si="94"/>
        <v>8</v>
      </c>
      <c r="AI267" s="225">
        <f t="shared" si="95"/>
        <v>2.9890357883949572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42.058186028176564</v>
      </c>
      <c r="C268" s="955"/>
      <c r="D268" s="393">
        <f t="shared" si="77"/>
        <v>45.307825999936</v>
      </c>
      <c r="E268" s="385">
        <f t="shared" si="100"/>
        <v>48.541177027031033</v>
      </c>
      <c r="F268" s="385">
        <f t="shared" si="78"/>
        <v>48.555600801927653</v>
      </c>
      <c r="G268" s="110">
        <f t="shared" si="101"/>
        <v>0.97879318808699489</v>
      </c>
      <c r="H268" s="414" t="b">
        <f>Wh_hp&gt;='2026'!Maxi_hp</f>
        <v>0</v>
      </c>
      <c r="I268" s="390">
        <f>IF(H268,Wh_hp,'2026'!Maxi_hp)</f>
        <v>48.555958623775929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7.1723590793432157E-2</v>
      </c>
      <c r="M268" s="959"/>
      <c r="N268" s="959"/>
      <c r="O268" s="48">
        <f>IF(t&lt;Tnet,'2026'!Resal+('2026'!Salim-'2026'!Resal)*(1-EXP(('2026'!Tnet-t)/('2026'!Tau_j))),Resal+(Salim-Resal)*(1-EXP((Tnet-t)/(Tau_j))))*Salcycl</f>
        <v>6.6610478466446771E-2</v>
      </c>
      <c r="P268" s="169">
        <f>(INDEX(Models!$BJ268:$BT268,,T268)*(1-R268)+INDEX(Models!$BJ268:$BT268,,T268+1)*R268-ERP_i)*Q268*Ramure*Pc/MaxiM</f>
        <v>3.0633340435817953E-4</v>
      </c>
      <c r="Q268" s="305">
        <f t="shared" si="80"/>
        <v>0.7</v>
      </c>
      <c r="R268" s="177">
        <f t="shared" si="81"/>
        <v>0.46448820731231499</v>
      </c>
      <c r="S268" s="921">
        <f t="shared" si="82"/>
        <v>-1</v>
      </c>
      <c r="T268" s="176">
        <f t="shared" si="83"/>
        <v>5</v>
      </c>
      <c r="U268" s="251">
        <f t="shared" si="84"/>
        <v>-0.53551179268768501</v>
      </c>
      <c r="V268" s="383">
        <f t="shared" si="85"/>
        <v>42.969031936485251</v>
      </c>
      <c r="W268" s="402">
        <f t="shared" si="86"/>
        <v>42.058186028176564</v>
      </c>
      <c r="X268" s="157">
        <f t="shared" si="87"/>
        <v>46641</v>
      </c>
      <c r="Y268" s="385">
        <f t="shared" si="88"/>
        <v>39.642146105015044</v>
      </c>
      <c r="Z268" s="385">
        <f t="shared" si="89"/>
        <v>42.705109934764636</v>
      </c>
      <c r="AA268" s="386">
        <f t="shared" si="90"/>
        <v>48.292350881929771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0.11569618884003824</v>
      </c>
      <c r="AD268" s="231">
        <f>(INDEX(Models!$BJ268:$BT268,,AH268)*(1-AF268)+INDEX(Models!$BJ268:$BT268,,AH268+1)*AF268-ERP_i)*AE268*Ramure*Pc/MaxiM</f>
        <v>5.5909250364748232E-3</v>
      </c>
      <c r="AE268" s="305">
        <f t="shared" si="92"/>
        <v>0.7</v>
      </c>
      <c r="AF268" s="177">
        <f t="shared" si="93"/>
        <v>0.9894757736862938</v>
      </c>
      <c r="AG268" s="921">
        <f t="shared" si="99"/>
        <v>2</v>
      </c>
      <c r="AH268" s="176">
        <f t="shared" si="94"/>
        <v>8</v>
      </c>
      <c r="AI268" s="225">
        <f t="shared" si="95"/>
        <v>2.9894757736862938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29.584924116789676</v>
      </c>
      <c r="C269" s="955"/>
      <c r="D269" s="393">
        <f t="shared" si="77"/>
        <v>31.871511355153672</v>
      </c>
      <c r="E269" s="385">
        <f t="shared" si="100"/>
        <v>34.148947172681559</v>
      </c>
      <c r="F269" s="385">
        <f t="shared" si="78"/>
        <v>34.154953463621077</v>
      </c>
      <c r="G269" s="110">
        <f t="shared" si="101"/>
        <v>0.69059315321878156</v>
      </c>
      <c r="H269" s="414" t="b">
        <f>Wh_hp&gt;='2026'!Maxi_hp</f>
        <v>0</v>
      </c>
      <c r="I269" s="390">
        <f>IF(H269,Wh_hp,'2026'!Maxi_hp)</f>
        <v>49.547587041399964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7.1743922429152396E-2</v>
      </c>
      <c r="M269" s="959"/>
      <c r="N269" s="959"/>
      <c r="O269" s="48">
        <f>IF(t&lt;Tnet,'2026'!Resal+('2026'!Salim-'2026'!Resal)*(1-EXP(('2026'!Tnet-t)/('2026'!Tau_j))),Resal+(Salim-Resal)*(1-EXP((Tnet-t)/(Tau_j))))*Salcycl</f>
        <v>6.669124544342582E-2</v>
      </c>
      <c r="P269" s="169">
        <f>(INDEX(Models!$BJ269:$BT269,,T269)*(1-R269)+INDEX(Models!$BJ269:$BT269,,T269+1)*R269-ERP_i)*Q269*Ramure*Pc/MaxiM</f>
        <v>3.1507878028603196E-4</v>
      </c>
      <c r="Q269" s="305">
        <f t="shared" si="80"/>
        <v>0.7</v>
      </c>
      <c r="R269" s="177">
        <f t="shared" si="81"/>
        <v>0.46491122169390198</v>
      </c>
      <c r="S269" s="921">
        <f t="shared" si="82"/>
        <v>-1</v>
      </c>
      <c r="T269" s="176">
        <f t="shared" si="83"/>
        <v>5</v>
      </c>
      <c r="U269" s="251">
        <f t="shared" si="84"/>
        <v>-0.53508877830609802</v>
      </c>
      <c r="V269" s="383">
        <f t="shared" si="85"/>
        <v>42.833909234226006</v>
      </c>
      <c r="W269" s="402">
        <f t="shared" si="86"/>
        <v>29.584924116789676</v>
      </c>
      <c r="X269" s="157">
        <f t="shared" si="87"/>
        <v>46642</v>
      </c>
      <c r="Y269" s="385">
        <f t="shared" si="88"/>
        <v>27.946556604575424</v>
      </c>
      <c r="Z269" s="385">
        <f t="shared" si="89"/>
        <v>30.106516164923736</v>
      </c>
      <c r="AA269" s="386">
        <f t="shared" si="90"/>
        <v>34.046508469010618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0.11572382841174722</v>
      </c>
      <c r="AD269" s="231">
        <f>(INDEX(Models!$BJ269:$BT269,,AH269)*(1-AF269)+INDEX(Models!$BJ269:$BT269,,AH269+1)*AF269-ERP_i)*AE269*Ramure*Pc/MaxiM</f>
        <v>5.6888214330697746E-3</v>
      </c>
      <c r="AE269" s="305">
        <f t="shared" si="92"/>
        <v>0.7</v>
      </c>
      <c r="AF269" s="177">
        <f t="shared" si="93"/>
        <v>0.9898987880678809</v>
      </c>
      <c r="AG269" s="921">
        <f t="shared" si="99"/>
        <v>2</v>
      </c>
      <c r="AH269" s="176">
        <f t="shared" si="94"/>
        <v>8</v>
      </c>
      <c r="AI269" s="225">
        <f t="shared" si="95"/>
        <v>2.9898987880678809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10.689495326177038</v>
      </c>
      <c r="C270" s="955"/>
      <c r="D270" s="393">
        <f t="shared" si="77"/>
        <v>11.515927250011218</v>
      </c>
      <c r="E270" s="385">
        <f t="shared" si="100"/>
        <v>12.339878231380059</v>
      </c>
      <c r="F270" s="385">
        <f t="shared" si="78"/>
        <v>12.339878231380059</v>
      </c>
      <c r="G270" s="110">
        <f t="shared" si="101"/>
        <v>0.25028461574707744</v>
      </c>
      <c r="H270" s="414" t="b">
        <f>Wh_hp&gt;='2026'!Maxi_hp</f>
        <v>0</v>
      </c>
      <c r="I270" s="390">
        <f>IF(H270,Wh_hp,'2026'!Maxi_hp)</f>
        <v>47.552887947991515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7.1764253619557627E-2</v>
      </c>
      <c r="M270" s="959"/>
      <c r="N270" s="959"/>
      <c r="O270" s="48">
        <f>IF(t&lt;Tnet,'2026'!Resal+('2026'!Salim-'2026'!Resal)*(1-EXP(('2026'!Tnet-t)/('2026'!Tau_j))),Resal+(Salim-Resal)*(1-EXP((Tnet-t)/(Tau_j))))*Salcycl</f>
        <v>6.6771402919807571E-2</v>
      </c>
      <c r="P270" s="169">
        <f>(INDEX(Models!$BJ270:$BT270,,T270)*(1-R270)+INDEX(Models!$BJ270:$BT270,,T270+1)*R270-ERP_i)*Q270*Ramure*Pc/MaxiM</f>
        <v>3.2446547045968268E-4</v>
      </c>
      <c r="Q270" s="305">
        <f t="shared" si="80"/>
        <v>0.7</v>
      </c>
      <c r="R270" s="177">
        <f t="shared" si="81"/>
        <v>0.46531789152211211</v>
      </c>
      <c r="S270" s="921">
        <f t="shared" si="82"/>
        <v>-1</v>
      </c>
      <c r="T270" s="176">
        <f t="shared" si="83"/>
        <v>5</v>
      </c>
      <c r="U270" s="251">
        <f t="shared" si="84"/>
        <v>-0.53468210847788789</v>
      </c>
      <c r="V270" s="383">
        <f t="shared" si="85"/>
        <v>42.695500569023018</v>
      </c>
      <c r="W270" s="402">
        <f t="shared" si="86"/>
        <v>10.689495326177038</v>
      </c>
      <c r="X270" s="157">
        <f t="shared" si="87"/>
        <v>46643</v>
      </c>
      <c r="Y270" s="385">
        <f t="shared" si="88"/>
        <v>10.128472670768494</v>
      </c>
      <c r="Z270" s="385">
        <f t="shared" si="89"/>
        <v>10.911530513949078</v>
      </c>
      <c r="AA270" s="386">
        <f t="shared" si="90"/>
        <v>12.339878231380059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0.11575055204343279</v>
      </c>
      <c r="AD270" s="231">
        <f>(INDEX(Models!$BJ270:$BT270,,AH270)*(1-AF270)+INDEX(Models!$BJ270:$BT270,,AH270+1)*AF270-ERP_i)*AE270*Ramure*Pc/MaxiM</f>
        <v>5.7864688135122423E-3</v>
      </c>
      <c r="AE270" s="305">
        <f t="shared" si="92"/>
        <v>0.7</v>
      </c>
      <c r="AF270" s="177">
        <f t="shared" si="93"/>
        <v>0.99030545789609103</v>
      </c>
      <c r="AG270" s="921">
        <f t="shared" si="99"/>
        <v>2</v>
      </c>
      <c r="AH270" s="176">
        <f t="shared" si="94"/>
        <v>8</v>
      </c>
      <c r="AI270" s="225">
        <f t="shared" si="95"/>
        <v>2.990305457896091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32.31406038565035</v>
      </c>
      <c r="C271" s="955"/>
      <c r="D271" s="393">
        <f t="shared" ref="D271:D334" si="102">Wh/(1-Ppv)</f>
        <v>34.813104632109678</v>
      </c>
      <c r="E271" s="385">
        <f t="shared" si="100"/>
        <v>37.307120310161764</v>
      </c>
      <c r="F271" s="385">
        <f t="shared" ref="F271:F334" si="103">Wh_sa/(1-Pvg*MEDIAN((-Sdif+Wh/Env_an)/Csdif,0,1))</f>
        <v>37.315311593870298</v>
      </c>
      <c r="G271" s="110">
        <f t="shared" si="101"/>
        <v>0.75928710736923899</v>
      </c>
      <c r="H271" s="414" t="b">
        <f>Wh_hp&gt;='2026'!Maxi_hp</f>
        <v>0</v>
      </c>
      <c r="I271" s="390">
        <f>IF(H271,Wh_hp,'2026'!Maxi_hp)</f>
        <v>47.223329847400791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7.1784584364657622E-2</v>
      </c>
      <c r="M271" s="959"/>
      <c r="N271" s="959"/>
      <c r="O271" s="48">
        <f>IF(t&lt;Tnet,'2026'!Resal+('2026'!Salim-'2026'!Resal)*(1-EXP(('2026'!Tnet-t)/('2026'!Tau_j))),Resal+(Salim-Resal)*(1-EXP((Tnet-t)/(Tau_j))))*Salcycl</f>
        <v>6.6850929723803049E-2</v>
      </c>
      <c r="P271" s="169">
        <f>(INDEX(Models!$BJ271:$BT271,,T271)*(1-R271)+INDEX(Models!$BJ271:$BT271,,T271+1)*R271-ERP_i)*Q271*Ramure*Pc/MaxiM</f>
        <v>3.3449998755204728E-4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0.46570882222654764</v>
      </c>
      <c r="S271" s="921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-0.53429117777345236</v>
      </c>
      <c r="V271" s="383">
        <f t="shared" ref="V271:V334" si="110">MaxiM*(1-Ppv)*(1-Pvg)*(1-Psa)</f>
        <v>42.553526374605354</v>
      </c>
      <c r="W271" s="402">
        <f t="shared" ref="W271:W334" si="111">Wh*(A271&gt;Tmaj)</f>
        <v>32.31406038565035</v>
      </c>
      <c r="X271" s="157">
        <f t="shared" ref="X271:X334" si="112">t</f>
        <v>46644</v>
      </c>
      <c r="Y271" s="385">
        <f t="shared" ref="Y271:Y334" si="113">Wh_pvt_s*(1-Ppv)</f>
        <v>30.50828528162814</v>
      </c>
      <c r="Z271" s="385">
        <f t="shared" ref="Z271:Z334" si="114">Wh_sa_s*(1-Psa_s)</f>
        <v>32.867677877064679</v>
      </c>
      <c r="AA271" s="386">
        <f t="shared" ref="AA271:AA334" si="115">Wh_hp*(1-Pvg_s*MEDIAN((-Sdif+Wh/Env_an)/Csdif,0,1))</f>
        <v>37.171225812594614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0.11577632540898802</v>
      </c>
      <c r="AD271" s="231">
        <f>(INDEX(Models!$BJ271:$BT271,,AH271)*(1-AF271)+INDEX(Models!$BJ271:$BT271,,AH271+1)*AF271-ERP_i)*AE271*Ramure*Pc/MaxiM</f>
        <v>5.8838997351448596E-3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0.99069638860052667</v>
      </c>
      <c r="AG271" s="92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2.9906963886005267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37.08556531536275</v>
      </c>
      <c r="C272" s="955"/>
      <c r="D272" s="393">
        <f t="shared" si="102"/>
        <v>39.954494374376594</v>
      </c>
      <c r="E272" s="385">
        <f t="shared" si="100"/>
        <v>42.820459322947343</v>
      </c>
      <c r="F272" s="385">
        <f t="shared" si="103"/>
        <v>42.83259388020619</v>
      </c>
      <c r="G272" s="110">
        <f t="shared" si="101"/>
        <v>0.87444646200582254</v>
      </c>
      <c r="H272" s="414" t="b">
        <f>Wh_hp&gt;='2026'!Maxi_hp</f>
        <v>0</v>
      </c>
      <c r="I272" s="390">
        <f>IF(H272,Wh_hp,'2026'!Maxi_hp)</f>
        <v>48.01660304214726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7.1804914664462149E-2</v>
      </c>
      <c r="M272" s="959"/>
      <c r="N272" s="959"/>
      <c r="O272" s="48">
        <f>IF(t&lt;Tnet,'2026'!Resal+('2026'!Salim-'2026'!Resal)*(1-EXP(('2026'!Tnet-t)/('2026'!Tau_j))),Resal+(Salim-Resal)*(1-EXP((Tnet-t)/(Tau_j))))*Salcycl</f>
        <v>6.6929803974215857E-2</v>
      </c>
      <c r="P272" s="169">
        <f>(INDEX(Models!$BJ272:$BT272,,T272)*(1-R272)+INDEX(Models!$BJ272:$BT272,,T272+1)*R272-ERP_i)*Q272*Ramure*Pc/MaxiM</f>
        <v>3.4518913291341186E-4</v>
      </c>
      <c r="Q272" s="305">
        <f t="shared" si="105"/>
        <v>0.7</v>
      </c>
      <c r="R272" s="177">
        <f t="shared" si="106"/>
        <v>0.46608459883644571</v>
      </c>
      <c r="S272" s="921">
        <f t="shared" si="107"/>
        <v>-1</v>
      </c>
      <c r="T272" s="176">
        <f t="shared" si="108"/>
        <v>5</v>
      </c>
      <c r="U272" s="251">
        <f t="shared" si="109"/>
        <v>-0.53391540116355429</v>
      </c>
      <c r="V272" s="383">
        <f t="shared" si="110"/>
        <v>42.407707223886099</v>
      </c>
      <c r="W272" s="402">
        <f t="shared" si="111"/>
        <v>37.08556531536275</v>
      </c>
      <c r="X272" s="157">
        <f t="shared" si="112"/>
        <v>46645</v>
      </c>
      <c r="Y272" s="385">
        <f t="shared" si="113"/>
        <v>34.980537710963517</v>
      </c>
      <c r="Z272" s="385">
        <f t="shared" si="114"/>
        <v>37.686622417655045</v>
      </c>
      <c r="AA272" s="386">
        <f t="shared" si="115"/>
        <v>42.622336416748759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0.11580111307915507</v>
      </c>
      <c r="AD272" s="231">
        <f>(INDEX(Models!$BJ272:$BT272,,AH272)*(1-AF272)+INDEX(Models!$BJ272:$BT272,,AH272+1)*AF272-ERP_i)*AE272*Ramure*Pc/MaxiM</f>
        <v>5.9811487103536235E-3</v>
      </c>
      <c r="AE272" s="305">
        <f t="shared" si="117"/>
        <v>0.7</v>
      </c>
      <c r="AF272" s="177">
        <f t="shared" si="118"/>
        <v>0.99107216521042485</v>
      </c>
      <c r="AG272" s="921">
        <f t="shared" ref="AG272:AG335" si="124">INDEX(Echel_vg,AH272)</f>
        <v>2</v>
      </c>
      <c r="AH272" s="176">
        <f t="shared" si="119"/>
        <v>8</v>
      </c>
      <c r="AI272" s="225">
        <f t="shared" si="120"/>
        <v>2.9910721652104248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24.69915088667971</v>
      </c>
      <c r="C273" s="955"/>
      <c r="D273" s="393">
        <f t="shared" si="102"/>
        <v>26.610453194107368</v>
      </c>
      <c r="E273" s="385">
        <f t="shared" si="100"/>
        <v>28.521630713793659</v>
      </c>
      <c r="F273" s="385">
        <f t="shared" si="103"/>
        <v>28.525764150805987</v>
      </c>
      <c r="G273" s="110">
        <f t="shared" si="101"/>
        <v>0.58436416429976545</v>
      </c>
      <c r="H273" s="414" t="b">
        <f>Wh_hp&gt;='2026'!Maxi_hp</f>
        <v>0</v>
      </c>
      <c r="I273" s="390">
        <f>IF(H273,Wh_hp,'2026'!Maxi_hp)</f>
        <v>47.259197332077989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7.1825244518980869E-2</v>
      </c>
      <c r="M273" s="959"/>
      <c r="N273" s="959"/>
      <c r="O273" s="48">
        <f>IF(t&lt;Tnet,'2026'!Resal+('2026'!Salim-'2026'!Resal)*(1-EXP(('2026'!Tnet-t)/('2026'!Tau_j))),Resal+(Salim-Resal)*(1-EXP((Tnet-t)/(Tau_j))))*Salcycl</f>
        <v>6.7008003114001624E-2</v>
      </c>
      <c r="P273" s="169">
        <f>(INDEX(Models!$BJ273:$BT273,,T273)*(1-R273)+INDEX(Models!$BJ273:$BT273,,T273+1)*R273-ERP_i)*Q273*Ramure*Pc/MaxiM</f>
        <v>3.5654003649420449E-4</v>
      </c>
      <c r="Q273" s="305">
        <f t="shared" si="105"/>
        <v>0.7</v>
      </c>
      <c r="R273" s="177">
        <f t="shared" si="106"/>
        <v>0.46644578650834134</v>
      </c>
      <c r="S273" s="921">
        <f t="shared" si="107"/>
        <v>-1</v>
      </c>
      <c r="T273" s="176">
        <f t="shared" si="108"/>
        <v>5</v>
      </c>
      <c r="U273" s="251">
        <f t="shared" si="109"/>
        <v>-0.53355421349165866</v>
      </c>
      <c r="V273" s="383">
        <f t="shared" si="110"/>
        <v>42.257763831383699</v>
      </c>
      <c r="W273" s="402">
        <f t="shared" si="111"/>
        <v>24.69915088667971</v>
      </c>
      <c r="X273" s="157">
        <f t="shared" si="112"/>
        <v>46646</v>
      </c>
      <c r="Y273" s="385">
        <f t="shared" si="113"/>
        <v>23.352381567654437</v>
      </c>
      <c r="Z273" s="385">
        <f t="shared" si="114"/>
        <v>25.159466393321861</v>
      </c>
      <c r="AA273" s="386">
        <f t="shared" si="115"/>
        <v>28.455297806884367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0.11582487858430089</v>
      </c>
      <c r="AD273" s="231">
        <f>(INDEX(Models!$BJ273:$BT273,,AH273)*(1-AF273)+INDEX(Models!$BJ273:$BT273,,AH273+1)*AF273-ERP_i)*AE273*Ramure*Pc/MaxiM</f>
        <v>6.0782522531490921E-3</v>
      </c>
      <c r="AE273" s="305">
        <f t="shared" si="117"/>
        <v>0.7</v>
      </c>
      <c r="AF273" s="177">
        <f t="shared" si="118"/>
        <v>0.99143335288232048</v>
      </c>
      <c r="AG273" s="921">
        <f t="shared" si="124"/>
        <v>2</v>
      </c>
      <c r="AH273" s="176">
        <f t="shared" si="119"/>
        <v>8</v>
      </c>
      <c r="AI273" s="225">
        <f t="shared" si="120"/>
        <v>2.9914333528823205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43.563922453345647</v>
      </c>
      <c r="C274" s="955"/>
      <c r="D274" s="393">
        <f t="shared" si="102"/>
        <v>46.936071444189551</v>
      </c>
      <c r="E274" s="385">
        <f t="shared" si="100"/>
        <v>50.311225351493988</v>
      </c>
      <c r="F274" s="385">
        <f t="shared" si="103"/>
        <v>50.329774903342702</v>
      </c>
      <c r="G274" s="110">
        <f t="shared" si="101"/>
        <v>1.0346885244795194</v>
      </c>
      <c r="H274" s="414" t="b">
        <f>Wh_hp&gt;='2026'!Maxi_hp</f>
        <v>1</v>
      </c>
      <c r="I274" s="390">
        <f>IF(H274,Wh_hp,'2026'!Maxi_hp)</f>
        <v>50.329774903342702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7.1845573928223549E-2</v>
      </c>
      <c r="M274" s="959"/>
      <c r="N274" s="959"/>
      <c r="O274" s="48">
        <f>IF(t&lt;Tnet,'2026'!Resal+('2026'!Salim-'2026'!Resal)*(1-EXP(('2026'!Tnet-t)/('2026'!Tau_j))),Resal+(Salim-Resal)*(1-EXP((Tnet-t)/(Tau_j))))*Salcycl</f>
        <v>6.7085503955117046E-2</v>
      </c>
      <c r="P274" s="169">
        <f>(INDEX(Models!$BJ274:$BT274,,T274)*(1-R274)+INDEX(Models!$BJ274:$BT274,,T274+1)*R274-ERP_i)*Q274*Ramure*Pc/MaxiM</f>
        <v>3.6856019889495013E-4</v>
      </c>
      <c r="Q274" s="305">
        <f t="shared" si="105"/>
        <v>0.7</v>
      </c>
      <c r="R274" s="177">
        <f t="shared" si="106"/>
        <v>0.46679293105343966</v>
      </c>
      <c r="S274" s="921">
        <f t="shared" si="107"/>
        <v>-1</v>
      </c>
      <c r="T274" s="176">
        <f t="shared" si="108"/>
        <v>5</v>
      </c>
      <c r="U274" s="251">
        <f t="shared" si="109"/>
        <v>-0.53320706894656034</v>
      </c>
      <c r="V274" s="383">
        <f t="shared" si="110"/>
        <v>42.103417040659323</v>
      </c>
      <c r="W274" s="402">
        <f t="shared" si="111"/>
        <v>43.563922453345647</v>
      </c>
      <c r="X274" s="157">
        <f t="shared" si="112"/>
        <v>46647</v>
      </c>
      <c r="Y274" s="385">
        <f t="shared" si="113"/>
        <v>41.047071174359189</v>
      </c>
      <c r="Z274" s="385">
        <f t="shared" si="114"/>
        <v>44.224398463607521</v>
      </c>
      <c r="AA274" s="386">
        <f t="shared" si="115"/>
        <v>50.018976013782769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0.11584758449630299</v>
      </c>
      <c r="AD274" s="231">
        <f>(INDEX(Models!$BJ274:$BT274,,AH274)*(1-AF274)+INDEX(Models!$BJ274:$BT274,,AH274+1)*AF274-ERP_i)*AE274*Ramure*Pc/MaxiM</f>
        <v>6.175248948695122E-3</v>
      </c>
      <c r="AE274" s="305">
        <f t="shared" si="117"/>
        <v>0.7</v>
      </c>
      <c r="AF274" s="177">
        <f t="shared" si="118"/>
        <v>0.99178049742741869</v>
      </c>
      <c r="AG274" s="921">
        <f t="shared" si="124"/>
        <v>2</v>
      </c>
      <c r="AH274" s="176">
        <f t="shared" si="119"/>
        <v>8</v>
      </c>
      <c r="AI274" s="225">
        <f t="shared" si="120"/>
        <v>2.9917804974274187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42.133731258366943</v>
      </c>
      <c r="C275" s="955"/>
      <c r="D275" s="393">
        <f t="shared" si="102"/>
        <v>45.396167848656503</v>
      </c>
      <c r="E275" s="385">
        <f t="shared" si="100"/>
        <v>48.664593003122647</v>
      </c>
      <c r="F275" s="385">
        <f t="shared" si="103"/>
        <v>48.683153570955014</v>
      </c>
      <c r="G275" s="110">
        <f t="shared" si="101"/>
        <v>1.0045005470226371</v>
      </c>
      <c r="H275" s="414" t="b">
        <f>Wh_hp&gt;='2026'!Maxi_hp</f>
        <v>1</v>
      </c>
      <c r="I275" s="390">
        <f>IF(H275,Wh_hp,'2026'!Maxi_hp)</f>
        <v>48.683153570955014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7.1865902892200073E-2</v>
      </c>
      <c r="M275" s="959"/>
      <c r="N275" s="959"/>
      <c r="O275" s="48">
        <f>IF(t&lt;Tnet,'2026'!Resal+('2026'!Salim-'2026'!Resal)*(1-EXP(('2026'!Tnet-t)/('2026'!Tau_j))),Resal+(Salim-Resal)*(1-EXP((Tnet-t)/(Tau_j))))*Salcycl</f>
        <v>6.7162282735138037E-2</v>
      </c>
      <c r="P275" s="169">
        <f>(INDEX(Models!$BJ275:$BT275,,T275)*(1-R275)+INDEX(Models!$BJ275:$BT275,,T275+1)*R275-ERP_i)*Q275*Ramure*Pc/MaxiM</f>
        <v>3.8125237317072116E-4</v>
      </c>
      <c r="Q275" s="305">
        <f t="shared" si="105"/>
        <v>0.7</v>
      </c>
      <c r="R275" s="177">
        <f t="shared" si="106"/>
        <v>0.46712655946329751</v>
      </c>
      <c r="S275" s="921">
        <f t="shared" si="107"/>
        <v>-1</v>
      </c>
      <c r="T275" s="176">
        <f t="shared" si="108"/>
        <v>5</v>
      </c>
      <c r="U275" s="251">
        <f t="shared" si="109"/>
        <v>-0.53287344053670249</v>
      </c>
      <c r="V275" s="383">
        <f t="shared" si="110"/>
        <v>41.944956011474851</v>
      </c>
      <c r="W275" s="402">
        <f t="shared" si="111"/>
        <v>42.133731258366943</v>
      </c>
      <c r="X275" s="157">
        <f t="shared" si="112"/>
        <v>46648</v>
      </c>
      <c r="Y275" s="385">
        <f t="shared" si="113"/>
        <v>39.698439926534263</v>
      </c>
      <c r="Z275" s="385">
        <f t="shared" si="114"/>
        <v>42.772310650196282</v>
      </c>
      <c r="AA275" s="386">
        <f t="shared" si="115"/>
        <v>48.377808225690032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0.11586919253024498</v>
      </c>
      <c r="AD275" s="231">
        <f>(INDEX(Models!$BJ275:$BT275,,AH275)*(1-AF275)+INDEX(Models!$BJ275:$BT275,,AH275+1)*AF275-ERP_i)*AE275*Ramure*Pc/MaxiM</f>
        <v>6.2720946131796127E-3</v>
      </c>
      <c r="AE275" s="305">
        <f t="shared" si="117"/>
        <v>0.7</v>
      </c>
      <c r="AF275" s="177">
        <f t="shared" si="118"/>
        <v>0.99211412583727654</v>
      </c>
      <c r="AG275" s="921">
        <f t="shared" si="124"/>
        <v>2</v>
      </c>
      <c r="AH275" s="176">
        <f t="shared" si="119"/>
        <v>8</v>
      </c>
      <c r="AI275" s="225">
        <f t="shared" si="120"/>
        <v>2.9921141258372765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41.6127482749866</v>
      </c>
      <c r="C276" s="955"/>
      <c r="D276" s="393">
        <f t="shared" si="102"/>
        <v>44.835826903253867</v>
      </c>
      <c r="E276" s="385">
        <f t="shared" si="100"/>
        <v>48.067826576940206</v>
      </c>
      <c r="F276" s="385">
        <f t="shared" si="103"/>
        <v>48.086730520597129</v>
      </c>
      <c r="G276" s="110">
        <f t="shared" si="101"/>
        <v>0.99592625311363681</v>
      </c>
      <c r="H276" s="414" t="b">
        <f>Wh_hp&gt;='2026'!Maxi_hp</f>
        <v>0</v>
      </c>
      <c r="I276" s="390">
        <f>IF(H276,Wh_hp,'2026'!Maxi_hp)</f>
        <v>48.086817630659098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7.1886231410920098E-2</v>
      </c>
      <c r="M276" s="959"/>
      <c r="N276" s="959"/>
      <c r="O276" s="48">
        <f>IF(t&lt;Tnet,'2026'!Resal+('2026'!Salim-'2026'!Resal)*(1-EXP(('2026'!Tnet-t)/('2026'!Tau_j))),Resal+(Salim-Resal)*(1-EXP((Tnet-t)/(Tau_j))))*Salcycl</f>
        <v>6.7238315186000971E-2</v>
      </c>
      <c r="P276" s="169">
        <f>(INDEX(Models!$BJ276:$BT276,,T276)*(1-R276)+INDEX(Models!$BJ276:$BT276,,T276+1)*R276-ERP_i)*Q276*Ramure*Pc/MaxiM</f>
        <v>3.9542175043442122E-4</v>
      </c>
      <c r="Q276" s="305">
        <f t="shared" si="105"/>
        <v>0.7</v>
      </c>
      <c r="R276" s="177">
        <f t="shared" si="106"/>
        <v>0.46744718043255906</v>
      </c>
      <c r="S276" s="921">
        <f t="shared" si="107"/>
        <v>-1</v>
      </c>
      <c r="T276" s="176">
        <f t="shared" si="108"/>
        <v>5</v>
      </c>
      <c r="U276" s="251">
        <f t="shared" si="109"/>
        <v>-0.53255281956744094</v>
      </c>
      <c r="V276" s="383">
        <f t="shared" si="110"/>
        <v>41.7828653490918</v>
      </c>
      <c r="W276" s="402">
        <f t="shared" si="111"/>
        <v>41.6127482749866</v>
      </c>
      <c r="X276" s="157">
        <f t="shared" si="112"/>
        <v>46649</v>
      </c>
      <c r="Y276" s="385">
        <f t="shared" si="113"/>
        <v>39.207959929025378</v>
      </c>
      <c r="Z276" s="385">
        <f t="shared" si="114"/>
        <v>42.244777802003071</v>
      </c>
      <c r="AA276" s="386">
        <f t="shared" si="115"/>
        <v>47.782246249028297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0.11588966366640491</v>
      </c>
      <c r="AD276" s="231">
        <f>(INDEX(Models!$BJ276:$BT276,,AH276)*(1-AF276)+INDEX(Models!$BJ276:$BT276,,AH276+1)*AF276-ERP_i)*AE276*Ramure*Pc/MaxiM</f>
        <v>6.3690257349755834E-3</v>
      </c>
      <c r="AE276" s="305">
        <f t="shared" si="117"/>
        <v>0.7</v>
      </c>
      <c r="AF276" s="177">
        <f t="shared" si="118"/>
        <v>0.9924347468065382</v>
      </c>
      <c r="AG276" s="921">
        <f t="shared" si="124"/>
        <v>2</v>
      </c>
      <c r="AH276" s="176">
        <f t="shared" si="119"/>
        <v>8</v>
      </c>
      <c r="AI276" s="225">
        <f t="shared" si="120"/>
        <v>2.9924347468065382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42.865703440343076</v>
      </c>
      <c r="C277" s="955"/>
      <c r="D277" s="393">
        <f t="shared" si="102"/>
        <v>46.186840213555257</v>
      </c>
      <c r="E277" s="385">
        <f t="shared" si="100"/>
        <v>49.520223577323897</v>
      </c>
      <c r="F277" s="385">
        <f t="shared" si="103"/>
        <v>49.540571226766815</v>
      </c>
      <c r="G277" s="110">
        <f t="shared" si="101"/>
        <v>1.0299990945648128</v>
      </c>
      <c r="H277" s="414" t="b">
        <f>Wh_hp&gt;='2026'!Maxi_hp</f>
        <v>1</v>
      </c>
      <c r="I277" s="390">
        <f>IF(H277,Wh_hp,'2026'!Maxi_hp)</f>
        <v>49.540571226766815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7.1906559484393395E-2</v>
      </c>
      <c r="M277" s="959"/>
      <c r="N277" s="959"/>
      <c r="O277" s="48">
        <f>IF(t&lt;Tnet,'2026'!Resal+('2026'!Salim-'2026'!Resal)*(1-EXP(('2026'!Tnet-t)/('2026'!Tau_j))),Resal+(Salim-Resal)*(1-EXP((Tnet-t)/(Tau_j))))*Salcycl</f>
        <v>6.7313576615091214E-2</v>
      </c>
      <c r="P277" s="169">
        <f>(INDEX(Models!$BJ277:$BT277,,T277)*(1-R277)+INDEX(Models!$BJ277:$BT277,,T277+1)*R277-ERP_i)*Q277*Ramure*Pc/MaxiM</f>
        <v>4.107269847532422E-4</v>
      </c>
      <c r="Q277" s="305">
        <f t="shared" si="105"/>
        <v>0.7</v>
      </c>
      <c r="R277" s="177">
        <f t="shared" si="106"/>
        <v>0.46775528487761786</v>
      </c>
      <c r="S277" s="921">
        <f t="shared" si="107"/>
        <v>-1</v>
      </c>
      <c r="T277" s="176">
        <f t="shared" si="108"/>
        <v>5</v>
      </c>
      <c r="U277" s="251">
        <f t="shared" si="109"/>
        <v>-0.53224471512238214</v>
      </c>
      <c r="V277" s="383">
        <f t="shared" si="110"/>
        <v>41.617224390332453</v>
      </c>
      <c r="W277" s="402">
        <f t="shared" si="111"/>
        <v>42.865703440343076</v>
      </c>
      <c r="X277" s="157">
        <f t="shared" si="112"/>
        <v>46650</v>
      </c>
      <c r="Y277" s="385">
        <f t="shared" si="113"/>
        <v>40.386111819060076</v>
      </c>
      <c r="Z277" s="385">
        <f t="shared" si="114"/>
        <v>43.515135498235374</v>
      </c>
      <c r="AA277" s="386">
        <f t="shared" si="115"/>
        <v>49.220197293489264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0.11590895829278895</v>
      </c>
      <c r="AD277" s="231">
        <f>(INDEX(Models!$BJ277:$BT277,,AH277)*(1-AF277)+INDEX(Models!$BJ277:$BT277,,AH277+1)*AF277-ERP_i)*AE277*Ramure*Pc/MaxiM</f>
        <v>6.4669002666738543E-3</v>
      </c>
      <c r="AE277" s="305">
        <f t="shared" si="117"/>
        <v>0.7</v>
      </c>
      <c r="AF277" s="177">
        <f t="shared" si="118"/>
        <v>0.992742851251597</v>
      </c>
      <c r="AG277" s="921">
        <f t="shared" si="124"/>
        <v>2</v>
      </c>
      <c r="AH277" s="176">
        <f t="shared" si="119"/>
        <v>8</v>
      </c>
      <c r="AI277" s="225">
        <f t="shared" si="120"/>
        <v>2.992742851251597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41.92274729426947</v>
      </c>
      <c r="C278" s="955"/>
      <c r="D278" s="393">
        <f t="shared" si="102"/>
        <v>45.17181535821215</v>
      </c>
      <c r="E278" s="385">
        <f t="shared" si="100"/>
        <v>48.435809739158742</v>
      </c>
      <c r="F278" s="385">
        <f t="shared" si="103"/>
        <v>48.456509135701566</v>
      </c>
      <c r="G278" s="110">
        <f t="shared" si="101"/>
        <v>1.0114516593581058</v>
      </c>
      <c r="H278" s="414" t="b">
        <f>Wh_hp&gt;='2026'!Maxi_hp</f>
        <v>1</v>
      </c>
      <c r="I278" s="390">
        <f>IF(H278,Wh_hp,'2026'!Maxi_hp)</f>
        <v>48.456509135701566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7.1926887112629734E-2</v>
      </c>
      <c r="M278" s="959"/>
      <c r="N278" s="959"/>
      <c r="O278" s="48">
        <f>IF(t&lt;Tnet,'2026'!Resal+('2026'!Salim-'2026'!Resal)*(1-EXP(('2026'!Tnet-t)/('2026'!Tau_j))),Resal+(Salim-Resal)*(1-EXP((Tnet-t)/(Tau_j))))*Salcycl</f>
        <v>6.7388041998764331E-2</v>
      </c>
      <c r="P278" s="169">
        <f>(INDEX(Models!$BJ278:$BT278,,T278)*(1-R278)+INDEX(Models!$BJ278:$BT278,,T278+1)*R278-ERP_i)*Q278*Ramure*Pc/MaxiM</f>
        <v>4.2717473693483217E-4</v>
      </c>
      <c r="Q278" s="305">
        <f t="shared" si="105"/>
        <v>0.7</v>
      </c>
      <c r="R278" s="177">
        <f t="shared" si="106"/>
        <v>0.46805134645020552</v>
      </c>
      <c r="S278" s="921">
        <f t="shared" si="107"/>
        <v>-1</v>
      </c>
      <c r="T278" s="176">
        <f t="shared" si="108"/>
        <v>5</v>
      </c>
      <c r="U278" s="251">
        <f t="shared" si="109"/>
        <v>-0.53194865354979448</v>
      </c>
      <c r="V278" s="383">
        <f t="shared" si="110"/>
        <v>41.448097797253872</v>
      </c>
      <c r="W278" s="402">
        <f t="shared" si="111"/>
        <v>41.92274729426947</v>
      </c>
      <c r="X278" s="157">
        <f t="shared" si="112"/>
        <v>46651</v>
      </c>
      <c r="Y278" s="385">
        <f t="shared" si="113"/>
        <v>39.496769228279931</v>
      </c>
      <c r="Z278" s="385">
        <f t="shared" si="114"/>
        <v>42.557820800776938</v>
      </c>
      <c r="AA278" s="386">
        <f t="shared" si="115"/>
        <v>48.138357976641778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0.11592703636822617</v>
      </c>
      <c r="AD278" s="231">
        <f>(INDEX(Models!$BJ278:$BT278,,AH278)*(1-AF278)+INDEX(Models!$BJ278:$BT278,,AH278+1)*AF278-ERP_i)*AE278*Ramure*Pc/MaxiM</f>
        <v>6.5657053042928225E-3</v>
      </c>
      <c r="AE278" s="305">
        <f t="shared" si="117"/>
        <v>0.7</v>
      </c>
      <c r="AF278" s="177">
        <f t="shared" si="118"/>
        <v>0.99303891282418455</v>
      </c>
      <c r="AG278" s="921">
        <f t="shared" si="124"/>
        <v>2</v>
      </c>
      <c r="AH278" s="176">
        <f t="shared" si="119"/>
        <v>8</v>
      </c>
      <c r="AI278" s="225">
        <f t="shared" si="120"/>
        <v>2.9930389128241845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40.769061837218885</v>
      </c>
      <c r="C279" s="955"/>
      <c r="D279" s="393">
        <f t="shared" si="102"/>
        <v>43.929679933320308</v>
      </c>
      <c r="E279" s="385">
        <f t="shared" si="100"/>
        <v>47.107640810002422</v>
      </c>
      <c r="F279" s="385">
        <f t="shared" si="103"/>
        <v>47.128234660187587</v>
      </c>
      <c r="G279" s="110">
        <f t="shared" si="101"/>
        <v>0.98772139015283478</v>
      </c>
      <c r="H279" s="414" t="b">
        <f>Wh_hp&gt;='2026'!Maxi_hp</f>
        <v>0</v>
      </c>
      <c r="I279" s="390">
        <f>IF(H279,Wh_hp,'2026'!Maxi_hp)</f>
        <v>47.12852251984188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7.1947214295638884E-2</v>
      </c>
      <c r="M279" s="959"/>
      <c r="N279" s="959"/>
      <c r="O279" s="48">
        <f>IF(t&lt;Tnet,'2026'!Resal+('2026'!Salim-'2026'!Resal)*(1-EXP(('2026'!Tnet-t)/('2026'!Tau_j))),Resal+(Salim-Resal)*(1-EXP((Tnet-t)/(Tau_j))))*Salcycl</f>
        <v>6.7461686088243489E-2</v>
      </c>
      <c r="P279" s="169">
        <f>(INDEX(Models!$BJ279:$BT279,,T279)*(1-R279)+INDEX(Models!$BJ279:$BT279,,T279+1)*R279-ERP_i)*Q279*Ramure*Pc/MaxiM</f>
        <v>4.4477157000868446E-4</v>
      </c>
      <c r="Q279" s="305">
        <f t="shared" si="105"/>
        <v>0.7</v>
      </c>
      <c r="R279" s="177">
        <f t="shared" si="106"/>
        <v>0.46833582204501567</v>
      </c>
      <c r="S279" s="921">
        <f t="shared" si="107"/>
        <v>-1</v>
      </c>
      <c r="T279" s="176">
        <f t="shared" si="108"/>
        <v>5</v>
      </c>
      <c r="U279" s="251">
        <f t="shared" si="109"/>
        <v>-0.53166417795498433</v>
      </c>
      <c r="V279" s="383">
        <f t="shared" si="110"/>
        <v>41.275550207857428</v>
      </c>
      <c r="W279" s="402">
        <f t="shared" si="111"/>
        <v>40.769061837218885</v>
      </c>
      <c r="X279" s="157">
        <f t="shared" si="112"/>
        <v>46652</v>
      </c>
      <c r="Y279" s="385">
        <f t="shared" si="113"/>
        <v>38.413186123946495</v>
      </c>
      <c r="Z279" s="385">
        <f t="shared" si="114"/>
        <v>41.391165153167627</v>
      </c>
      <c r="AA279" s="386">
        <f t="shared" si="115"/>
        <v>46.819611524978392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0.1159438576057957</v>
      </c>
      <c r="AD279" s="231">
        <f>(INDEX(Models!$BJ279:$BT279,,AH279)*(1-AF279)+INDEX(Models!$BJ279:$BT279,,AH279+1)*AF279-ERP_i)*AE279*Ramure*Pc/MaxiM</f>
        <v>6.6654265789931879E-3</v>
      </c>
      <c r="AE279" s="305">
        <f t="shared" si="117"/>
        <v>0.7</v>
      </c>
      <c r="AF279" s="177">
        <f t="shared" si="118"/>
        <v>0.99332338841899448</v>
      </c>
      <c r="AG279" s="921">
        <f t="shared" si="124"/>
        <v>2</v>
      </c>
      <c r="AH279" s="176">
        <f t="shared" si="119"/>
        <v>8</v>
      </c>
      <c r="AI279" s="225">
        <f t="shared" si="120"/>
        <v>2.9933233884189945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26.877350647037879</v>
      </c>
      <c r="C280" s="955"/>
      <c r="D280" s="393">
        <f t="shared" si="102"/>
        <v>28.961649333868916</v>
      </c>
      <c r="E280" s="385">
        <f t="shared" si="100"/>
        <v>31.059217549873829</v>
      </c>
      <c r="F280" s="385">
        <f t="shared" si="103"/>
        <v>31.066498997330601</v>
      </c>
      <c r="G280" s="110">
        <f t="shared" si="101"/>
        <v>0.65380588297305886</v>
      </c>
      <c r="H280" s="414" t="b">
        <f>Wh_hp&gt;='2026'!Maxi_hp</f>
        <v>0</v>
      </c>
      <c r="I280" s="390">
        <f>IF(H280,Wh_hp,'2026'!Maxi_hp)</f>
        <v>46.242324699542912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7.1967541033430504E-2</v>
      </c>
      <c r="M280" s="959"/>
      <c r="N280" s="959"/>
      <c r="O280" s="48">
        <f>IF(t&lt;Tnet,'2026'!Resal+('2026'!Salim-'2026'!Resal)*(1-EXP(('2026'!Tnet-t)/('2026'!Tau_j))),Resal+(Salim-Resal)*(1-EXP((Tnet-t)/(Tau_j))))*Salcycl</f>
        <v>6.7534483527690481E-2</v>
      </c>
      <c r="P280" s="169">
        <f>(INDEX(Models!$BJ280:$BT280,,T280)*(1-R280)+INDEX(Models!$BJ280:$BT280,,T280+1)*R280-ERP_i)*Q280*Ramure*Pc/MaxiM</f>
        <v>4.6352637662922203E-4</v>
      </c>
      <c r="Q280" s="305">
        <f t="shared" si="105"/>
        <v>0.7</v>
      </c>
      <c r="R280" s="177">
        <f t="shared" si="106"/>
        <v>0.46860915230058087</v>
      </c>
      <c r="S280" s="921">
        <f t="shared" si="107"/>
        <v>-1</v>
      </c>
      <c r="T280" s="176">
        <f t="shared" si="108"/>
        <v>5</v>
      </c>
      <c r="U280" s="251">
        <f t="shared" si="109"/>
        <v>-0.53139084769941913</v>
      </c>
      <c r="V280" s="383">
        <f t="shared" si="110"/>
        <v>41.099646127266126</v>
      </c>
      <c r="W280" s="402">
        <f t="shared" si="111"/>
        <v>26.877350647037879</v>
      </c>
      <c r="X280" s="157">
        <f t="shared" si="112"/>
        <v>46653</v>
      </c>
      <c r="Y280" s="385">
        <f t="shared" si="113"/>
        <v>25.400327138609871</v>
      </c>
      <c r="Z280" s="385">
        <f t="shared" si="114"/>
        <v>27.370084842608794</v>
      </c>
      <c r="AA280" s="386">
        <f t="shared" si="115"/>
        <v>30.960211867302547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0.11595938167610952</v>
      </c>
      <c r="AD280" s="231">
        <f>(INDEX(Models!$BJ280:$BT280,,AH280)*(1-AF280)+INDEX(Models!$BJ280:$BT280,,AH280+1)*AF280-ERP_i)*AE280*Ramure*Pc/MaxiM</f>
        <v>6.7660844298760561E-3</v>
      </c>
      <c r="AE280" s="305">
        <f t="shared" si="117"/>
        <v>0.7</v>
      </c>
      <c r="AF280" s="177">
        <f t="shared" si="118"/>
        <v>0.99359671867456001</v>
      </c>
      <c r="AG280" s="921">
        <f t="shared" si="124"/>
        <v>2</v>
      </c>
      <c r="AH280" s="176">
        <f t="shared" si="119"/>
        <v>8</v>
      </c>
      <c r="AI280" s="225">
        <f t="shared" si="120"/>
        <v>2.99359671867456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19.645129883412292</v>
      </c>
      <c r="C281" s="955"/>
      <c r="D281" s="393">
        <f t="shared" si="102"/>
        <v>21.169044230926779</v>
      </c>
      <c r="E281" s="385">
        <f t="shared" si="100"/>
        <v>22.703978700520448</v>
      </c>
      <c r="F281" s="385">
        <f t="shared" si="103"/>
        <v>22.706802765470378</v>
      </c>
      <c r="G281" s="110">
        <f t="shared" si="101"/>
        <v>0.4799085756700105</v>
      </c>
      <c r="H281" s="414" t="b">
        <f>Wh_hp&gt;='2026'!Maxi_hp</f>
        <v>0</v>
      </c>
      <c r="I281" s="390">
        <f>IF(H281,Wh_hp,'2026'!Maxi_hp)</f>
        <v>42.341790799167022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7.1987867326014365E-2</v>
      </c>
      <c r="M281" s="959"/>
      <c r="N281" s="959"/>
      <c r="O281" s="48">
        <f>IF(t&lt;Tnet,'2026'!Resal+('2026'!Salim-'2026'!Resal)*(1-EXP(('2026'!Tnet-t)/('2026'!Tau_j))),Resal+(Salim-Resal)*(1-EXP((Tnet-t)/(Tau_j))))*Salcycl</f>
        <v>6.7606408984099378E-2</v>
      </c>
      <c r="P281" s="169">
        <f>(INDEX(Models!$BJ281:$BT281,,T281)*(1-R281)+INDEX(Models!$BJ281:$BT281,,T281+1)*R281-ERP_i)*Q281*Ramure*Pc/MaxiM</f>
        <v>4.8344701278689434E-4</v>
      </c>
      <c r="Q281" s="305">
        <f t="shared" si="105"/>
        <v>0.7</v>
      </c>
      <c r="R281" s="177">
        <f t="shared" si="106"/>
        <v>0.46887176209271697</v>
      </c>
      <c r="S281" s="921">
        <f t="shared" si="107"/>
        <v>-1</v>
      </c>
      <c r="T281" s="176">
        <f t="shared" si="108"/>
        <v>5</v>
      </c>
      <c r="U281" s="251">
        <f t="shared" si="109"/>
        <v>-0.53112823790728303</v>
      </c>
      <c r="V281" s="383">
        <f t="shared" si="110"/>
        <v>40.920450069506565</v>
      </c>
      <c r="W281" s="402">
        <f t="shared" si="111"/>
        <v>19.645129883412292</v>
      </c>
      <c r="X281" s="157">
        <f t="shared" si="112"/>
        <v>46654</v>
      </c>
      <c r="Y281" s="385">
        <f t="shared" si="113"/>
        <v>18.595459525662804</v>
      </c>
      <c r="Z281" s="385">
        <f t="shared" si="114"/>
        <v>20.037948719572896</v>
      </c>
      <c r="AA281" s="386">
        <f t="shared" si="115"/>
        <v>22.666685071825242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0.11597356842972482</v>
      </c>
      <c r="AD281" s="231">
        <f>(INDEX(Models!$BJ281:$BT281,,AH281)*(1-AF281)+INDEX(Models!$BJ281:$BT281,,AH281+1)*AF281-ERP_i)*AE281*Ramure*Pc/MaxiM</f>
        <v>6.8676816916366503E-3</v>
      </c>
      <c r="AE281" s="305">
        <f t="shared" si="117"/>
        <v>0.7</v>
      </c>
      <c r="AF281" s="177">
        <f t="shared" si="118"/>
        <v>0.99385932846669611</v>
      </c>
      <c r="AG281" s="921">
        <f t="shared" si="124"/>
        <v>2</v>
      </c>
      <c r="AH281" s="176">
        <f t="shared" si="119"/>
        <v>8</v>
      </c>
      <c r="AI281" s="225">
        <f t="shared" si="120"/>
        <v>2.9938593284666961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28.973807967523676</v>
      </c>
      <c r="C282" s="955"/>
      <c r="D282" s="393">
        <f t="shared" si="102"/>
        <v>31.222051481902348</v>
      </c>
      <c r="E282" s="385">
        <f t="shared" si="100"/>
        <v>33.488464969783493</v>
      </c>
      <c r="F282" s="385">
        <f t="shared" si="103"/>
        <v>33.498389363767124</v>
      </c>
      <c r="G282" s="110">
        <f t="shared" si="101"/>
        <v>0.71107449486319496</v>
      </c>
      <c r="H282" s="414" t="b">
        <f>Wh_hp&gt;='2026'!Maxi_hp</f>
        <v>0</v>
      </c>
      <c r="I282" s="390">
        <f>IF(H282,Wh_hp,'2026'!Maxi_hp)</f>
        <v>48.914209724554347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7.2008193173400237E-2</v>
      </c>
      <c r="M282" s="959"/>
      <c r="N282" s="959"/>
      <c r="O282" s="48">
        <f>IF(t&lt;Tnet,'2026'!Resal+('2026'!Salim-'2026'!Resal)*(1-EXP(('2026'!Tnet-t)/('2026'!Tau_j))),Resal+(Salim-Resal)*(1-EXP((Tnet-t)/(Tau_j))))*Salcycl</f>
        <v>6.7677437288514664E-2</v>
      </c>
      <c r="P282" s="169">
        <f>(INDEX(Models!$BJ282:$BT282,,T282)*(1-R282)+INDEX(Models!$BJ282:$BT282,,T282+1)*R282-ERP_i)*Q282*Ramure*Pc/MaxiM</f>
        <v>5.0431424199545065E-4</v>
      </c>
      <c r="Q282" s="305">
        <f t="shared" si="105"/>
        <v>0.7</v>
      </c>
      <c r="R282" s="177">
        <f t="shared" si="106"/>
        <v>0.4691240610199352</v>
      </c>
      <c r="S282" s="921">
        <f t="shared" si="107"/>
        <v>-1</v>
      </c>
      <c r="T282" s="176">
        <f t="shared" si="108"/>
        <v>5</v>
      </c>
      <c r="U282" s="251">
        <f t="shared" si="109"/>
        <v>-0.5308759389800648</v>
      </c>
      <c r="V282" s="383">
        <f t="shared" si="110"/>
        <v>40.738035755899091</v>
      </c>
      <c r="W282" s="402">
        <f t="shared" si="111"/>
        <v>28.973807967523676</v>
      </c>
      <c r="X282" s="157">
        <f t="shared" si="112"/>
        <v>46655</v>
      </c>
      <c r="Y282" s="385">
        <f t="shared" si="113"/>
        <v>27.368209673940452</v>
      </c>
      <c r="Z282" s="385">
        <f t="shared" si="114"/>
        <v>29.491865631367961</v>
      </c>
      <c r="AA282" s="386">
        <f t="shared" si="115"/>
        <v>33.361324873297292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0.1159863781377124</v>
      </c>
      <c r="AD282" s="231">
        <f>(INDEX(Models!$BJ282:$BT282,,AH282)*(1-AF282)+INDEX(Models!$BJ282:$BT282,,AH282+1)*AF282-ERP_i)*AE282*Ramure*Pc/MaxiM</f>
        <v>6.9650171818825667E-3</v>
      </c>
      <c r="AE282" s="305">
        <f t="shared" si="117"/>
        <v>0.7</v>
      </c>
      <c r="AF282" s="177">
        <f t="shared" si="118"/>
        <v>0.99411162739391434</v>
      </c>
      <c r="AG282" s="921">
        <f t="shared" si="124"/>
        <v>2</v>
      </c>
      <c r="AH282" s="176">
        <f t="shared" si="119"/>
        <v>8</v>
      </c>
      <c r="AI282" s="225">
        <f t="shared" si="120"/>
        <v>2.9941116273939143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30.275296420385867</v>
      </c>
      <c r="C283" s="955"/>
      <c r="D283" s="393">
        <f t="shared" si="102"/>
        <v>32.625244445997851</v>
      </c>
      <c r="E283" s="385">
        <f t="shared" si="100"/>
        <v>34.996147472286097</v>
      </c>
      <c r="F283" s="385">
        <f t="shared" si="103"/>
        <v>35.007891981163141</v>
      </c>
      <c r="G283" s="110">
        <f t="shared" si="101"/>
        <v>0.74642862096968199</v>
      </c>
      <c r="H283" s="414" t="b">
        <f>Wh_hp&gt;='2026'!Maxi_hp</f>
        <v>0</v>
      </c>
      <c r="I283" s="390">
        <f>IF(H283,Wh_hp,'2026'!Maxi_hp)</f>
        <v>47.979649608380406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7.2028518575598E-2</v>
      </c>
      <c r="M283" s="959"/>
      <c r="N283" s="959"/>
      <c r="O283" s="48">
        <f>IF(t&lt;Tnet,'2026'!Resal+('2026'!Salim-'2026'!Resal)*(1-EXP(('2026'!Tnet-t)/('2026'!Tau_j))),Resal+(Salim-Resal)*(1-EXP((Tnet-t)/(Tau_j))))*Salcycl</f>
        <v>6.7747543587927617E-2</v>
      </c>
      <c r="P283" s="169">
        <f>(INDEX(Models!$BJ283:$BT283,,T283)*(1-R283)+INDEX(Models!$BJ283:$BT283,,T283+1)*R283-ERP_i)*Q283*Ramure*Pc/MaxiM</f>
        <v>5.258678409011011E-4</v>
      </c>
      <c r="Q283" s="305">
        <f t="shared" si="105"/>
        <v>0.7</v>
      </c>
      <c r="R283" s="177">
        <f t="shared" si="106"/>
        <v>0.46936644388031312</v>
      </c>
      <c r="S283" s="921">
        <f t="shared" si="107"/>
        <v>-1</v>
      </c>
      <c r="T283" s="176">
        <f t="shared" si="108"/>
        <v>5</v>
      </c>
      <c r="U283" s="251">
        <f t="shared" si="109"/>
        <v>-0.53063355611968688</v>
      </c>
      <c r="V283" s="383">
        <f t="shared" si="110"/>
        <v>40.552478348662703</v>
      </c>
      <c r="W283" s="402">
        <f t="shared" si="111"/>
        <v>30.275296420385867</v>
      </c>
      <c r="X283" s="157">
        <f t="shared" si="112"/>
        <v>46656</v>
      </c>
      <c r="Y283" s="385">
        <f t="shared" si="113"/>
        <v>28.588677056319998</v>
      </c>
      <c r="Z283" s="385">
        <f t="shared" si="114"/>
        <v>30.807710827963628</v>
      </c>
      <c r="AA283" s="386">
        <f t="shared" si="115"/>
        <v>34.850263770174486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0.11599777174916388</v>
      </c>
      <c r="AD283" s="231">
        <f>(INDEX(Models!$BJ283:$BT283,,AH283)*(1-AF283)+INDEX(Models!$BJ283:$BT283,,AH283+1)*AF283-ERP_i)*AE283*Ramure*Pc/MaxiM</f>
        <v>7.0579032163478675E-3</v>
      </c>
      <c r="AE283" s="305">
        <f t="shared" si="117"/>
        <v>0.7</v>
      </c>
      <c r="AF283" s="177">
        <f t="shared" si="118"/>
        <v>0.99435401025429204</v>
      </c>
      <c r="AG283" s="921">
        <f t="shared" si="124"/>
        <v>2</v>
      </c>
      <c r="AH283" s="176">
        <f t="shared" si="119"/>
        <v>8</v>
      </c>
      <c r="AI283" s="225">
        <f t="shared" si="120"/>
        <v>2.994354010254292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14.544958554328582</v>
      </c>
      <c r="C284" s="955"/>
      <c r="D284" s="393">
        <f t="shared" si="102"/>
        <v>15.674271703803662</v>
      </c>
      <c r="E284" s="385">
        <f t="shared" si="100"/>
        <v>16.814581169576233</v>
      </c>
      <c r="F284" s="385">
        <f t="shared" si="103"/>
        <v>16.815375727830524</v>
      </c>
      <c r="G284" s="110">
        <f t="shared" si="101"/>
        <v>0.36016574428904363</v>
      </c>
      <c r="H284" s="414" t="b">
        <f>Wh_hp&gt;='2026'!Maxi_hp</f>
        <v>0</v>
      </c>
      <c r="I284" s="390">
        <f>IF(H284,Wh_hp,'2026'!Maxi_hp)</f>
        <v>46.988763169188566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7.2048843532617202E-2</v>
      </c>
      <c r="M284" s="959"/>
      <c r="N284" s="959"/>
      <c r="O284" s="48">
        <f>IF(t&lt;Tnet,'2026'!Resal+('2026'!Salim-'2026'!Resal)*(1-EXP(('2026'!Tnet-t)/('2026'!Tau_j))),Resal+(Salim-Resal)*(1-EXP((Tnet-t)/(Tau_j))))*Salcycl</f>
        <v>6.7816703507061621E-2</v>
      </c>
      <c r="P284" s="169">
        <f>(INDEX(Models!$BJ284:$BT284,,T284)*(1-R284)+INDEX(Models!$BJ284:$BT284,,T284+1)*R284-ERP_i)*Q284*Ramure*Pc/MaxiM</f>
        <v>5.4810912138860584E-4</v>
      </c>
      <c r="Q284" s="305">
        <f t="shared" si="105"/>
        <v>0.7</v>
      </c>
      <c r="R284" s="177">
        <f t="shared" si="106"/>
        <v>0.46959929113938248</v>
      </c>
      <c r="S284" s="921">
        <f t="shared" si="107"/>
        <v>-1</v>
      </c>
      <c r="T284" s="176">
        <f t="shared" si="108"/>
        <v>5</v>
      </c>
      <c r="U284" s="251">
        <f t="shared" si="109"/>
        <v>-0.53040070886061752</v>
      </c>
      <c r="V284" s="383">
        <f t="shared" si="110"/>
        <v>40.363842183502648</v>
      </c>
      <c r="W284" s="402">
        <f t="shared" si="111"/>
        <v>14.544958554328582</v>
      </c>
      <c r="X284" s="157">
        <f t="shared" si="112"/>
        <v>46657</v>
      </c>
      <c r="Y284" s="385">
        <f t="shared" si="113"/>
        <v>13.785182830194506</v>
      </c>
      <c r="Z284" s="385">
        <f t="shared" si="114"/>
        <v>14.855504768886023</v>
      </c>
      <c r="AA284" s="386">
        <f t="shared" si="115"/>
        <v>16.805016238829594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0.1160077111641844</v>
      </c>
      <c r="AD284" s="231">
        <f>(INDEX(Models!$BJ284:$BT284,,AH284)*(1-AF284)+INDEX(Models!$BJ284:$BT284,,AH284+1)*AF284-ERP_i)*AE284*Ramure*Pc/MaxiM</f>
        <v>7.1462732702993487E-3</v>
      </c>
      <c r="AE284" s="305">
        <f t="shared" si="117"/>
        <v>0.7</v>
      </c>
      <c r="AF284" s="177">
        <f t="shared" si="118"/>
        <v>0.99458685751336118</v>
      </c>
      <c r="AG284" s="921">
        <f t="shared" si="124"/>
        <v>2</v>
      </c>
      <c r="AH284" s="176">
        <f t="shared" si="119"/>
        <v>8</v>
      </c>
      <c r="AI284" s="225">
        <f t="shared" si="120"/>
        <v>2.9945868575133612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14.223796531134729</v>
      </c>
      <c r="C285" s="955"/>
      <c r="D285" s="393">
        <f t="shared" si="102"/>
        <v>15.328509454911995</v>
      </c>
      <c r="E285" s="385">
        <f t="shared" si="100"/>
        <v>16.444867533039378</v>
      </c>
      <c r="F285" s="385">
        <f t="shared" si="103"/>
        <v>16.445592936106923</v>
      </c>
      <c r="G285" s="110">
        <f t="shared" si="101"/>
        <v>0.35388413522672074</v>
      </c>
      <c r="H285" s="414" t="b">
        <f>Wh_hp&gt;='2026'!Maxi_hp</f>
        <v>0</v>
      </c>
      <c r="I285" s="390">
        <f>IF(H285,Wh_hp,'2026'!Maxi_hp)</f>
        <v>44.138858996476266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7.2069168044467724E-2</v>
      </c>
      <c r="M285" s="959"/>
      <c r="N285" s="959"/>
      <c r="O285" s="48">
        <f>IF(t&lt;Tnet,'2026'!Resal+('2026'!Salim-'2026'!Resal)*(1-EXP(('2026'!Tnet-t)/('2026'!Tau_j))),Resal+(Salim-Resal)*(1-EXP((Tnet-t)/(Tau_j))))*Salcycl</f>
        <v>6.788489331911661E-2</v>
      </c>
      <c r="P285" s="169">
        <f>(INDEX(Models!$BJ285:$BT285,,T285)*(1-R285)+INDEX(Models!$BJ285:$BT285,,T285+1)*R285-ERP_i)*Q285*Ramure*Pc/MaxiM</f>
        <v>5.7103902383436934E-4</v>
      </c>
      <c r="Q285" s="305">
        <f t="shared" si="105"/>
        <v>0.7</v>
      </c>
      <c r="R285" s="177">
        <f t="shared" si="106"/>
        <v>0.46982296938866908</v>
      </c>
      <c r="S285" s="921">
        <f t="shared" si="107"/>
        <v>-1</v>
      </c>
      <c r="T285" s="176">
        <f t="shared" si="108"/>
        <v>5</v>
      </c>
      <c r="U285" s="251">
        <f t="shared" si="109"/>
        <v>-0.53017703061133092</v>
      </c>
      <c r="V285" s="383">
        <f t="shared" si="110"/>
        <v>40.172191527556976</v>
      </c>
      <c r="W285" s="402">
        <f t="shared" si="111"/>
        <v>14.223796531134729</v>
      </c>
      <c r="X285" s="157">
        <f t="shared" si="112"/>
        <v>46658</v>
      </c>
      <c r="Y285" s="385">
        <f t="shared" si="113"/>
        <v>13.48238907509446</v>
      </c>
      <c r="Z285" s="385">
        <f t="shared" si="114"/>
        <v>14.529519454248025</v>
      </c>
      <c r="AA285" s="386">
        <f t="shared" si="115"/>
        <v>16.436408437477638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0.11601615952068951</v>
      </c>
      <c r="AD285" s="231">
        <f>(INDEX(Models!$BJ285:$BT285,,AH285)*(1-AF285)+INDEX(Models!$BJ285:$BT285,,AH285+1)*AF285-ERP_i)*AE285*Ramure*Pc/MaxiM</f>
        <v>7.2300592130347631E-3</v>
      </c>
      <c r="AE285" s="305">
        <f t="shared" si="117"/>
        <v>0.7</v>
      </c>
      <c r="AF285" s="177">
        <f t="shared" si="118"/>
        <v>0.99481053576264777</v>
      </c>
      <c r="AG285" s="921">
        <f t="shared" si="124"/>
        <v>2</v>
      </c>
      <c r="AH285" s="176">
        <f t="shared" si="119"/>
        <v>8</v>
      </c>
      <c r="AI285" s="225">
        <f t="shared" si="120"/>
        <v>2.9948105357626478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20.495477112030059</v>
      </c>
      <c r="C286" s="955"/>
      <c r="D286" s="393">
        <f t="shared" si="102"/>
        <v>22.087773484385757</v>
      </c>
      <c r="E286" s="385">
        <f t="shared" si="100"/>
        <v>23.698109561056832</v>
      </c>
      <c r="F286" s="385">
        <f t="shared" si="103"/>
        <v>23.702391851976081</v>
      </c>
      <c r="G286" s="110">
        <f t="shared" si="101"/>
        <v>0.51246186637823976</v>
      </c>
      <c r="H286" s="414" t="b">
        <f>Wh_hp&gt;='2026'!Maxi_hp</f>
        <v>0</v>
      </c>
      <c r="I286" s="390">
        <f>IF(H286,Wh_hp,'2026'!Maxi_hp)</f>
        <v>45.467806820564945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7.2089492111159226E-2</v>
      </c>
      <c r="M286" s="959"/>
      <c r="N286" s="959"/>
      <c r="O286" s="48">
        <f>IF(t&lt;Tnet,'2026'!Resal+('2026'!Salim-'2026'!Resal)*(1-EXP(('2026'!Tnet-t)/('2026'!Tau_j))),Resal+(Salim-Resal)*(1-EXP((Tnet-t)/(Tau_j))))*Salcycl</f>
        <v>6.7952090124409961E-2</v>
      </c>
      <c r="P286" s="169">
        <f>(INDEX(Models!$BJ286:$BT286,,T286)*(1-R286)+INDEX(Models!$BJ286:$BT286,,T286+1)*R286-ERP_i)*Q286*Ramure*Pc/MaxiM</f>
        <v>5.9465809656003316E-4</v>
      </c>
      <c r="Q286" s="305">
        <f t="shared" si="105"/>
        <v>0.7</v>
      </c>
      <c r="R286" s="177">
        <f t="shared" si="106"/>
        <v>0.47003783179457925</v>
      </c>
      <c r="S286" s="921">
        <f t="shared" si="107"/>
        <v>-1</v>
      </c>
      <c r="T286" s="176">
        <f t="shared" si="108"/>
        <v>5</v>
      </c>
      <c r="U286" s="251">
        <f t="shared" si="109"/>
        <v>-0.52996216820542075</v>
      </c>
      <c r="V286" s="383">
        <f t="shared" si="110"/>
        <v>39.977590571847649</v>
      </c>
      <c r="W286" s="402">
        <f t="shared" si="111"/>
        <v>20.495477112030059</v>
      </c>
      <c r="X286" s="157">
        <f t="shared" si="112"/>
        <v>46659</v>
      </c>
      <c r="Y286" s="385">
        <f t="shared" si="113"/>
        <v>19.398747502914752</v>
      </c>
      <c r="Z286" s="385">
        <f t="shared" si="114"/>
        <v>20.905838804488059</v>
      </c>
      <c r="AA286" s="386">
        <f t="shared" si="115"/>
        <v>23.649756421015798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0.11602308149311095</v>
      </c>
      <c r="AD286" s="231">
        <f>(INDEX(Models!$BJ286:$BT286,,AH286)*(1-AF286)+INDEX(Models!$BJ286:$BT286,,AH286+1)*AF286-ERP_i)*AE286*Ramure*Pc/MaxiM</f>
        <v>7.3091916865691475E-3</v>
      </c>
      <c r="AE286" s="305">
        <f t="shared" si="117"/>
        <v>0.7</v>
      </c>
      <c r="AF286" s="177">
        <f t="shared" si="118"/>
        <v>0.99502539816855817</v>
      </c>
      <c r="AG286" s="921">
        <f t="shared" si="124"/>
        <v>2</v>
      </c>
      <c r="AH286" s="176">
        <f t="shared" si="119"/>
        <v>8</v>
      </c>
      <c r="AI286" s="225">
        <f t="shared" si="120"/>
        <v>2.9950253981685582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29.54607467412578</v>
      </c>
      <c r="C287" s="955"/>
      <c r="D287" s="393">
        <f t="shared" si="102"/>
        <v>31.842210614024992</v>
      </c>
      <c r="E287" s="385">
        <f t="shared" si="100"/>
        <v>34.166131865672767</v>
      </c>
      <c r="F287" s="385">
        <f t="shared" si="103"/>
        <v>34.179512564625895</v>
      </c>
      <c r="G287" s="110">
        <f t="shared" si="101"/>
        <v>0.74256596269680686</v>
      </c>
      <c r="H287" s="414" t="b">
        <f>Wh_hp&gt;='2026'!Maxi_hp</f>
        <v>0</v>
      </c>
      <c r="I287" s="390">
        <f>IF(H287,Wh_hp,'2026'!Maxi_hp)</f>
        <v>41.385817820684117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7.2109815732701477E-2</v>
      </c>
      <c r="M287" s="959"/>
      <c r="N287" s="959"/>
      <c r="O287" s="48">
        <f>IF(t&lt;Tnet,'2026'!Resal+('2026'!Salim-'2026'!Resal)*(1-EXP(('2026'!Tnet-t)/('2026'!Tau_j))),Resal+(Salim-Resal)*(1-EXP((Tnet-t)/(Tau_j))))*Salcycl</f>
        <v>6.8018272035724706E-2</v>
      </c>
      <c r="P287" s="169">
        <f>(INDEX(Models!$BJ287:$BT287,,T287)*(1-R287)+INDEX(Models!$BJ287:$BT287,,T287+1)*R287-ERP_i)*Q287*Ramure*Pc/MaxiM</f>
        <v>6.1896647894683866E-4</v>
      </c>
      <c r="Q287" s="305">
        <f t="shared" si="105"/>
        <v>0.7</v>
      </c>
      <c r="R287" s="177">
        <f t="shared" si="106"/>
        <v>0.47024421853738829</v>
      </c>
      <c r="S287" s="921">
        <f t="shared" si="107"/>
        <v>-1</v>
      </c>
      <c r="T287" s="176">
        <f t="shared" si="108"/>
        <v>5</v>
      </c>
      <c r="U287" s="251">
        <f t="shared" si="109"/>
        <v>-0.52975578146261171</v>
      </c>
      <c r="V287" s="383">
        <f t="shared" si="110"/>
        <v>39.780103428697203</v>
      </c>
      <c r="W287" s="402">
        <f t="shared" si="111"/>
        <v>29.54607467412578</v>
      </c>
      <c r="X287" s="157">
        <f t="shared" si="112"/>
        <v>46660</v>
      </c>
      <c r="Y287" s="385">
        <f t="shared" si="113"/>
        <v>27.904088725708423</v>
      </c>
      <c r="Z287" s="385">
        <f t="shared" si="114"/>
        <v>30.072619797937271</v>
      </c>
      <c r="AA287" s="386">
        <f t="shared" si="115"/>
        <v>34.019895301201792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0.11602844360091495</v>
      </c>
      <c r="AD287" s="231">
        <f>(INDEX(Models!$BJ287:$BT287,,AH287)*(1-AF287)+INDEX(Models!$BJ287:$BT287,,AH287+1)*AF287-ERP_i)*AE287*Ramure*Pc/MaxiM</f>
        <v>7.3836005029950949E-3</v>
      </c>
      <c r="AE287" s="305">
        <f t="shared" si="117"/>
        <v>0.7</v>
      </c>
      <c r="AF287" s="177">
        <f t="shared" si="118"/>
        <v>0.99523178491136743</v>
      </c>
      <c r="AG287" s="921">
        <f t="shared" si="124"/>
        <v>2</v>
      </c>
      <c r="AH287" s="176">
        <f t="shared" si="119"/>
        <v>8</v>
      </c>
      <c r="AI287" s="225">
        <f t="shared" si="120"/>
        <v>2.9952317849113674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35.767751784635315</v>
      </c>
      <c r="C288" s="955"/>
      <c r="D288" s="393">
        <f t="shared" si="102"/>
        <v>38.548241821954647</v>
      </c>
      <c r="E288" s="385">
        <f t="shared" si="100"/>
        <v>41.364476801659237</v>
      </c>
      <c r="F288" s="385">
        <f t="shared" si="103"/>
        <v>41.387461785707686</v>
      </c>
      <c r="G288" s="110">
        <f t="shared" si="101"/>
        <v>0.90360704731173747</v>
      </c>
      <c r="H288" s="414" t="b">
        <f>Wh_hp&gt;='2026'!Maxi_hp</f>
        <v>0</v>
      </c>
      <c r="I288" s="390">
        <f>IF(H288,Wh_hp,'2026'!Maxi_hp)</f>
        <v>43.981299080889379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7.2130138909104358E-2</v>
      </c>
      <c r="M288" s="959"/>
      <c r="N288" s="959"/>
      <c r="O288" s="48">
        <f>IF(t&lt;Tnet,'2026'!Resal+('2026'!Salim-'2026'!Resal)*(1-EXP(('2026'!Tnet-t)/('2026'!Tau_j))),Resal+(Salim-Resal)*(1-EXP((Tnet-t)/(Tau_j))))*Salcycl</f>
        <v>6.8083418369058776E-2</v>
      </c>
      <c r="P288" s="169">
        <f>(INDEX(Models!$BJ288:$BT288,,T288)*(1-R288)+INDEX(Models!$BJ288:$BT288,,T288+1)*R288-ERP_i)*Q288*Ramure*Pc/MaxiM</f>
        <v>6.4396388881194993E-4</v>
      </c>
      <c r="Q288" s="305">
        <f t="shared" si="105"/>
        <v>0.7</v>
      </c>
      <c r="R288" s="177">
        <f t="shared" si="106"/>
        <v>0.47044245724013656</v>
      </c>
      <c r="S288" s="921">
        <f t="shared" si="107"/>
        <v>-1</v>
      </c>
      <c r="T288" s="176">
        <f t="shared" si="108"/>
        <v>5</v>
      </c>
      <c r="U288" s="251">
        <f t="shared" si="109"/>
        <v>-0.52955754275986344</v>
      </c>
      <c r="V288" s="383">
        <f t="shared" si="110"/>
        <v>39.579794121286881</v>
      </c>
      <c r="W288" s="402">
        <f t="shared" si="111"/>
        <v>35.767751784635315</v>
      </c>
      <c r="X288" s="157">
        <f t="shared" si="112"/>
        <v>46661</v>
      </c>
      <c r="Y288" s="385">
        <f t="shared" si="113"/>
        <v>33.728091072715316</v>
      </c>
      <c r="Z288" s="385">
        <f t="shared" si="114"/>
        <v>36.350023302902883</v>
      </c>
      <c r="AA288" s="386">
        <f t="shared" si="115"/>
        <v>41.121434400865574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0.11603221452465333</v>
      </c>
      <c r="AD288" s="231">
        <f>(INDEX(Models!$BJ288:$BT288,,AH288)*(1-AF288)+INDEX(Models!$BJ288:$BT288,,AH288+1)*AF288-ERP_i)*AE288*Ramure*Pc/MaxiM</f>
        <v>7.4532150604188158E-3</v>
      </c>
      <c r="AE288" s="305">
        <f t="shared" si="117"/>
        <v>0.7</v>
      </c>
      <c r="AF288" s="177">
        <f t="shared" si="118"/>
        <v>0.99543002361411537</v>
      </c>
      <c r="AG288" s="921">
        <f t="shared" si="124"/>
        <v>2</v>
      </c>
      <c r="AH288" s="176">
        <f t="shared" si="119"/>
        <v>8</v>
      </c>
      <c r="AI288" s="225">
        <f t="shared" si="120"/>
        <v>2.9954300236141154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35.222296068528152</v>
      </c>
      <c r="C289" s="955"/>
      <c r="D289" s="393">
        <f t="shared" si="102"/>
        <v>37.961215275052972</v>
      </c>
      <c r="E289" s="385">
        <f t="shared" si="100"/>
        <v>40.737365275987294</v>
      </c>
      <c r="F289" s="385">
        <f t="shared" si="103"/>
        <v>40.760547462082393</v>
      </c>
      <c r="G289" s="110">
        <f t="shared" si="101"/>
        <v>0.89441843390982378</v>
      </c>
      <c r="H289" s="414" t="b">
        <f>Wh_hp&gt;='2026'!Maxi_hp</f>
        <v>0</v>
      </c>
      <c r="I289" s="390">
        <f>IF(H289,Wh_hp,'2026'!Maxi_hp)</f>
        <v>47.647904130278036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7.2150461640377417E-2</v>
      </c>
      <c r="M289" s="959"/>
      <c r="N289" s="959"/>
      <c r="O289" s="48">
        <f>IF(t&lt;Tnet,'2026'!Resal+('2026'!Salim-'2026'!Resal)*(1-EXP(('2026'!Tnet-t)/('2026'!Tau_j))),Resal+(Salim-Resal)*(1-EXP((Tnet-t)/(Tau_j))))*Salcycl</f>
        <v>6.8147509838362735E-2</v>
      </c>
      <c r="P289" s="169">
        <f>(INDEX(Models!$BJ289:$BT289,,T289)*(1-R289)+INDEX(Models!$BJ289:$BT289,,T289+1)*R289-ERP_i)*Q289*Ramure*Pc/MaxiM</f>
        <v>6.6965969769735071E-4</v>
      </c>
      <c r="Q289" s="305">
        <f t="shared" si="105"/>
        <v>0.7</v>
      </c>
      <c r="R289" s="177">
        <f t="shared" si="106"/>
        <v>0.47063286338729293</v>
      </c>
      <c r="S289" s="921">
        <f t="shared" si="107"/>
        <v>-1</v>
      </c>
      <c r="T289" s="176">
        <f t="shared" si="108"/>
        <v>5</v>
      </c>
      <c r="U289" s="251">
        <f t="shared" si="109"/>
        <v>-0.52936713661270707</v>
      </c>
      <c r="V289" s="383">
        <f t="shared" si="110"/>
        <v>39.376133267119258</v>
      </c>
      <c r="W289" s="402">
        <f t="shared" si="111"/>
        <v>35.222296068528152</v>
      </c>
      <c r="X289" s="157">
        <f t="shared" si="112"/>
        <v>46662</v>
      </c>
      <c r="Y289" s="385">
        <f t="shared" si="113"/>
        <v>33.217813748211945</v>
      </c>
      <c r="Z289" s="385">
        <f t="shared" si="114"/>
        <v>35.800862505076921</v>
      </c>
      <c r="AA289" s="386">
        <f t="shared" si="115"/>
        <v>40.500287686381292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0.11603436542710313</v>
      </c>
      <c r="AD289" s="231">
        <f>(INDEX(Models!$BJ289:$BT289,,AH289)*(1-AF289)+INDEX(Models!$BJ289:$BT289,,AH289+1)*AF289-ERP_i)*AE289*Ramure*Pc/MaxiM</f>
        <v>7.5180779760719452E-3</v>
      </c>
      <c r="AE289" s="305">
        <f t="shared" si="117"/>
        <v>0.7</v>
      </c>
      <c r="AF289" s="177">
        <f t="shared" si="118"/>
        <v>0.99562042976127163</v>
      </c>
      <c r="AG289" s="921">
        <f t="shared" si="124"/>
        <v>2</v>
      </c>
      <c r="AH289" s="176">
        <f t="shared" si="119"/>
        <v>8</v>
      </c>
      <c r="AI289" s="225">
        <f t="shared" si="120"/>
        <v>2.9956204297612716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32.929431089589997</v>
      </c>
      <c r="C290" s="955"/>
      <c r="D290" s="393">
        <f t="shared" si="102"/>
        <v>35.49083227724369</v>
      </c>
      <c r="E290" s="385">
        <f t="shared" si="100"/>
        <v>38.088896013965055</v>
      </c>
      <c r="F290" s="385">
        <f t="shared" si="103"/>
        <v>38.109343143074419</v>
      </c>
      <c r="G290" s="110">
        <f t="shared" si="101"/>
        <v>0.84057393189756968</v>
      </c>
      <c r="H290" s="414" t="b">
        <f>Wh_hp&gt;='2026'!Maxi_hp</f>
        <v>0</v>
      </c>
      <c r="I290" s="390">
        <f>IF(H290,Wh_hp,'2026'!Maxi_hp)</f>
        <v>43.351504842538631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7.2170783926530646E-2</v>
      </c>
      <c r="M290" s="959"/>
      <c r="N290" s="959"/>
      <c r="O290" s="48">
        <f>IF(t&lt;Tnet,'2026'!Resal+('2026'!Salim-'2026'!Resal)*(1-EXP(('2026'!Tnet-t)/('2026'!Tau_j))),Resal+(Salim-Resal)*(1-EXP((Tnet-t)/(Tau_j))))*Salcycl</f>
        <v>6.8210528752757835E-2</v>
      </c>
      <c r="P290" s="169">
        <f>(INDEX(Models!$BJ290:$BT290,,T290)*(1-R290)+INDEX(Models!$BJ290:$BT290,,T290+1)*R290-ERP_i)*Q290*Ramure*Pc/MaxiM</f>
        <v>6.9460357246592028E-4</v>
      </c>
      <c r="Q290" s="305">
        <f t="shared" si="105"/>
        <v>0.7</v>
      </c>
      <c r="R290" s="177">
        <f t="shared" si="106"/>
        <v>0.47081574073308108</v>
      </c>
      <c r="S290" s="921">
        <f t="shared" si="107"/>
        <v>-1</v>
      </c>
      <c r="T290" s="176">
        <f t="shared" si="108"/>
        <v>5</v>
      </c>
      <c r="U290" s="251">
        <f t="shared" si="109"/>
        <v>-0.52918425926691892</v>
      </c>
      <c r="V290" s="383">
        <f t="shared" si="110"/>
        <v>39.16874179951396</v>
      </c>
      <c r="W290" s="402">
        <f t="shared" si="111"/>
        <v>32.929431089589997</v>
      </c>
      <c r="X290" s="157">
        <f t="shared" si="112"/>
        <v>46663</v>
      </c>
      <c r="Y290" s="385">
        <f t="shared" si="113"/>
        <v>31.073227254962958</v>
      </c>
      <c r="Z290" s="385">
        <f t="shared" si="114"/>
        <v>33.490244450873654</v>
      </c>
      <c r="AA290" s="386">
        <f t="shared" si="115"/>
        <v>37.886386379703332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0.11603487027690759</v>
      </c>
      <c r="AD290" s="231">
        <f>(INDEX(Models!$BJ290:$BT290,,AH290)*(1-AF290)+INDEX(Models!$BJ290:$BT290,,AH290+1)*AF290-ERP_i)*AE290*Ramure*Pc/MaxiM</f>
        <v>7.5740004141745367E-3</v>
      </c>
      <c r="AE290" s="305">
        <f t="shared" si="117"/>
        <v>0.7</v>
      </c>
      <c r="AF290" s="177">
        <f t="shared" si="118"/>
        <v>0.99580330710705978</v>
      </c>
      <c r="AG290" s="921">
        <f t="shared" si="124"/>
        <v>2</v>
      </c>
      <c r="AH290" s="176">
        <f t="shared" si="119"/>
        <v>8</v>
      </c>
      <c r="AI290" s="225">
        <f t="shared" si="120"/>
        <v>2.9958033071070598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38.566368955060298</v>
      </c>
      <c r="C291" s="955"/>
      <c r="D291" s="393">
        <f t="shared" si="102"/>
        <v>41.567147280869882</v>
      </c>
      <c r="E291" s="385">
        <f t="shared" si="100"/>
        <v>44.61298551487792</v>
      </c>
      <c r="F291" s="385">
        <f t="shared" si="103"/>
        <v>44.644578051073282</v>
      </c>
      <c r="G291" s="110">
        <f t="shared" si="101"/>
        <v>0.98994082413694195</v>
      </c>
      <c r="H291" s="414" t="b">
        <f>Wh_hp&gt;='2026'!Maxi_hp</f>
        <v>0</v>
      </c>
      <c r="I291" s="390">
        <f>IF(H291,Wh_hp,'2026'!Maxi_hp)</f>
        <v>44.844605022343991</v>
      </c>
      <c r="J291" s="85">
        <f>IF(H291,An,'2026'!An_max)</f>
        <v>2018</v>
      </c>
      <c r="K291" s="197">
        <f t="shared" si="104"/>
        <v>46664</v>
      </c>
      <c r="L291" s="147">
        <f>IF(t&lt;Tvie,1-EXP((T0-t)*PertePVj)+'2026'!Pspv,1-EXP((T0-t)*PertePVj)+Pspv)</f>
        <v>7.2191105767573482E-2</v>
      </c>
      <c r="M291" s="959"/>
      <c r="N291" s="959"/>
      <c r="O291" s="48">
        <f>IF(t&lt;Tnet,'2026'!Resal+('2026'!Salim-'2026'!Resal)*(1-EXP(('2026'!Tnet-t)/('2026'!Tau_j))),Resal+(Salim-Resal)*(1-EXP((Tnet-t)/(Tau_j))))*Salcycl</f>
        <v>6.8272459214644796E-2</v>
      </c>
      <c r="P291" s="169">
        <f>(INDEX(Models!$BJ291:$BT291,,T291)*(1-R291)+INDEX(Models!$BJ291:$BT291,,T291+1)*R291-ERP_i)*Q291*Ramure*Pc/MaxiM</f>
        <v>7.1795221370712632E-4</v>
      </c>
      <c r="Q291" s="305">
        <f t="shared" si="105"/>
        <v>0.7</v>
      </c>
      <c r="R291" s="177">
        <f t="shared" si="106"/>
        <v>0.47099138169941146</v>
      </c>
      <c r="S291" s="921">
        <f t="shared" si="107"/>
        <v>-1</v>
      </c>
      <c r="T291" s="176">
        <f t="shared" si="108"/>
        <v>5</v>
      </c>
      <c r="U291" s="251">
        <f t="shared" si="109"/>
        <v>-0.52900861830058854</v>
      </c>
      <c r="V291" s="383">
        <f t="shared" si="110"/>
        <v>38.957855097975028</v>
      </c>
      <c r="W291" s="402">
        <f t="shared" si="111"/>
        <v>38.566368955060298</v>
      </c>
      <c r="X291" s="157">
        <f t="shared" si="112"/>
        <v>46664</v>
      </c>
      <c r="Y291" s="385">
        <f t="shared" si="113"/>
        <v>36.340307749075336</v>
      </c>
      <c r="Z291" s="385">
        <f t="shared" si="114"/>
        <v>39.167880341500243</v>
      </c>
      <c r="AA291" s="386">
        <f t="shared" si="115"/>
        <v>44.309246421472551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0.11603370617200949</v>
      </c>
      <c r="AD291" s="231">
        <f>(INDEX(Models!$BJ291:$BT291,,AH291)*(1-AF291)+INDEX(Models!$BJ291:$BT291,,AH291+1)*AF291-ERP_i)*AE291*Ramure*Pc/MaxiM</f>
        <v>7.6205368353176404E-3</v>
      </c>
      <c r="AE291" s="305">
        <f t="shared" si="117"/>
        <v>0.7</v>
      </c>
      <c r="AF291" s="177">
        <f t="shared" si="118"/>
        <v>0.99597894807339049</v>
      </c>
      <c r="AG291" s="921">
        <f t="shared" si="124"/>
        <v>2</v>
      </c>
      <c r="AH291" s="176">
        <f t="shared" si="119"/>
        <v>8</v>
      </c>
      <c r="AI291" s="225">
        <f t="shared" si="120"/>
        <v>2.9959789480733905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38.516363433312165</v>
      </c>
      <c r="C292" s="955"/>
      <c r="D292" s="393">
        <f t="shared" si="102"/>
        <v>41.514160187981098</v>
      </c>
      <c r="E292" s="385">
        <f t="shared" si="100"/>
        <v>44.559024834569037</v>
      </c>
      <c r="F292" s="385">
        <f t="shared" si="103"/>
        <v>44.591732369670005</v>
      </c>
      <c r="G292" s="110">
        <f t="shared" si="101"/>
        <v>0.99412675513590409</v>
      </c>
      <c r="H292" s="414" t="b">
        <f>Wh_hp&gt;='2026'!Maxi_hp</f>
        <v>0</v>
      </c>
      <c r="I292" s="390">
        <f>IF(H292,Wh_hp,'2026'!Maxi_hp)</f>
        <v>44.683643039833356</v>
      </c>
      <c r="J292" s="85">
        <f>IF(H292,An,'2026'!An_max)</f>
        <v>2018</v>
      </c>
      <c r="K292" s="197">
        <f t="shared" si="104"/>
        <v>46665</v>
      </c>
      <c r="L292" s="147">
        <f>IF(t&lt;Tvie,1-EXP((T0-t)*PertePVj)+'2026'!Pspv,1-EXP((T0-t)*PertePVj)+Pspv)</f>
        <v>7.2211427163516029E-2</v>
      </c>
      <c r="M292" s="959"/>
      <c r="N292" s="959"/>
      <c r="O292" s="48">
        <f>IF(t&lt;Tnet,'2026'!Resal+('2026'!Salim-'2026'!Resal)*(1-EXP(('2026'!Tnet-t)/('2026'!Tau_j))),Resal+(Salim-Resal)*(1-EXP((Tnet-t)/(Tau_j))))*Salcycl</f>
        <v>6.8333287317044841E-2</v>
      </c>
      <c r="P292" s="169">
        <f>(INDEX(Models!$BJ292:$BT292,,T292)*(1-R292)+INDEX(Models!$BJ292:$BT292,,T292+1)*R292-ERP_i)*Q292*Ramure*Pc/MaxiM</f>
        <v>7.3968850157161753E-4</v>
      </c>
      <c r="Q292" s="305">
        <f t="shared" si="105"/>
        <v>0.7</v>
      </c>
      <c r="R292" s="177">
        <f t="shared" si="106"/>
        <v>0.47116006776339314</v>
      </c>
      <c r="S292" s="921">
        <f t="shared" si="107"/>
        <v>-1</v>
      </c>
      <c r="T292" s="176">
        <f t="shared" si="108"/>
        <v>5</v>
      </c>
      <c r="U292" s="251">
        <f t="shared" si="109"/>
        <v>-0.52883993223660686</v>
      </c>
      <c r="V292" s="383">
        <f t="shared" si="110"/>
        <v>38.743675560570431</v>
      </c>
      <c r="W292" s="402">
        <f t="shared" si="111"/>
        <v>38.516363433312165</v>
      </c>
      <c r="X292" s="157">
        <f t="shared" si="112"/>
        <v>46665</v>
      </c>
      <c r="Y292" s="385">
        <f t="shared" si="113"/>
        <v>36.293606019534607</v>
      </c>
      <c r="Z292" s="385">
        <f t="shared" si="114"/>
        <v>39.1184016295608</v>
      </c>
      <c r="AA292" s="386">
        <f t="shared" si="115"/>
        <v>44.253130091169531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0.11603085366007446</v>
      </c>
      <c r="AD292" s="231">
        <f>(INDEX(Models!$BJ292:$BT292,,AH292)*(1-AF292)+INDEX(Models!$BJ292:$BT292,,AH292+1)*AF292-ERP_i)*AE292*Ramure*Pc/MaxiM</f>
        <v>7.6575691576747885E-3</v>
      </c>
      <c r="AE292" s="305">
        <f t="shared" si="117"/>
        <v>0.7</v>
      </c>
      <c r="AF292" s="177">
        <f t="shared" si="118"/>
        <v>0.99614763413737206</v>
      </c>
      <c r="AG292" s="921">
        <f t="shared" si="124"/>
        <v>2</v>
      </c>
      <c r="AH292" s="176">
        <f t="shared" si="119"/>
        <v>8</v>
      </c>
      <c r="AI292" s="225">
        <f t="shared" si="120"/>
        <v>2.9961476341373721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14.281872060599667</v>
      </c>
      <c r="C293" s="955"/>
      <c r="D293" s="393">
        <f t="shared" si="102"/>
        <v>15.393792611002409</v>
      </c>
      <c r="E293" s="385">
        <f t="shared" si="100"/>
        <v>16.523912586658362</v>
      </c>
      <c r="F293" s="385">
        <f t="shared" si="103"/>
        <v>16.525180779448885</v>
      </c>
      <c r="G293" s="110">
        <f t="shared" si="101"/>
        <v>0.3704502387036106</v>
      </c>
      <c r="H293" s="414" t="b">
        <f>Wh_hp&gt;='2026'!Maxi_hp</f>
        <v>0</v>
      </c>
      <c r="I293" s="390">
        <f>IF(H293,Wh_hp,'2026'!Maxi_hp)</f>
        <v>42.282942542755286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7.2231748114367722E-2</v>
      </c>
      <c r="M293" s="959"/>
      <c r="N293" s="959"/>
      <c r="O293" s="48">
        <f>IF(t&lt;Tnet,'2026'!Resal+('2026'!Salim-'2026'!Resal)*(1-EXP(('2026'!Tnet-t)/('2026'!Tau_j))),Resal+(Salim-Resal)*(1-EXP((Tnet-t)/(Tau_j))))*Salcycl</f>
        <v>6.8393001338461865E-2</v>
      </c>
      <c r="P293" s="169">
        <f>(INDEX(Models!$BJ293:$BT293,,T293)*(1-R293)+INDEX(Models!$BJ293:$BT293,,T293+1)*R293-ERP_i)*Q293*Ramure*Pc/MaxiM</f>
        <v>7.5979491970151985E-4</v>
      </c>
      <c r="Q293" s="305">
        <f t="shared" si="105"/>
        <v>0.7</v>
      </c>
      <c r="R293" s="177">
        <f t="shared" si="106"/>
        <v>0.47132206983443226</v>
      </c>
      <c r="S293" s="921">
        <f t="shared" si="107"/>
        <v>-1</v>
      </c>
      <c r="T293" s="176">
        <f t="shared" si="108"/>
        <v>5</v>
      </c>
      <c r="U293" s="251">
        <f t="shared" si="109"/>
        <v>-0.52867793016556774</v>
      </c>
      <c r="V293" s="383">
        <f t="shared" si="110"/>
        <v>38.526405334327244</v>
      </c>
      <c r="W293" s="402">
        <f t="shared" si="111"/>
        <v>14.281872060599667</v>
      </c>
      <c r="X293" s="157">
        <f t="shared" si="112"/>
        <v>46666</v>
      </c>
      <c r="Y293" s="385">
        <f t="shared" si="113"/>
        <v>13.54215661912891</v>
      </c>
      <c r="Z293" s="385">
        <f t="shared" si="114"/>
        <v>14.59648634409003</v>
      </c>
      <c r="AA293" s="386">
        <f t="shared" si="115"/>
        <v>16.512353586343799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0.11602629705302868</v>
      </c>
      <c r="AD293" s="231">
        <f>(INDEX(Models!$BJ293:$BT293,,AH293)*(1-AF293)+INDEX(Models!$BJ293:$BT293,,AH293+1)*AF293-ERP_i)*AE293*Ramure*Pc/MaxiM</f>
        <v>7.6849799400473644E-3</v>
      </c>
      <c r="AE293" s="305">
        <f t="shared" si="117"/>
        <v>0.7</v>
      </c>
      <c r="AF293" s="177">
        <f t="shared" si="118"/>
        <v>0.9963096362084114</v>
      </c>
      <c r="AG293" s="921">
        <f t="shared" si="124"/>
        <v>2</v>
      </c>
      <c r="AH293" s="176">
        <f t="shared" si="119"/>
        <v>8</v>
      </c>
      <c r="AI293" s="225">
        <f t="shared" si="120"/>
        <v>2.9963096362084114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28.478051198621181</v>
      </c>
      <c r="C294" s="955"/>
      <c r="D294" s="393">
        <f t="shared" si="102"/>
        <v>30.695892963366781</v>
      </c>
      <c r="E294" s="385">
        <f t="shared" si="100"/>
        <v>32.951473801644944</v>
      </c>
      <c r="F294" s="385">
        <f t="shared" si="103"/>
        <v>32.96772697684986</v>
      </c>
      <c r="G294" s="110">
        <f t="shared" si="101"/>
        <v>0.74321883598725424</v>
      </c>
      <c r="H294" s="414" t="b">
        <f>Wh_hp&gt;='2026'!Maxi_hp</f>
        <v>0</v>
      </c>
      <c r="I294" s="390">
        <f>IF(H294,Wh_hp,'2026'!Maxi_hp)</f>
        <v>44.5855001708373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7.2252068620138443E-2</v>
      </c>
      <c r="M294" s="959"/>
      <c r="N294" s="959"/>
      <c r="O294" s="48">
        <f>IF(t&lt;Tnet,'2026'!Resal+('2026'!Salim-'2026'!Resal)*(1-EXP(('2026'!Tnet-t)/('2026'!Tau_j))),Resal+(Salim-Resal)*(1-EXP((Tnet-t)/(Tau_j))))*Salcycl</f>
        <v>6.8451591933516562E-2</v>
      </c>
      <c r="P294" s="169">
        <f>(INDEX(Models!$BJ294:$BT294,,T294)*(1-R294)+INDEX(Models!$BJ294:$BT294,,T294+1)*R294-ERP_i)*Q294*Ramure*Pc/MaxiM</f>
        <v>7.7825370334064659E-4</v>
      </c>
      <c r="Q294" s="305">
        <f t="shared" si="105"/>
        <v>0.7</v>
      </c>
      <c r="R294" s="177">
        <f t="shared" si="106"/>
        <v>0.47147764862095509</v>
      </c>
      <c r="S294" s="921">
        <f t="shared" si="107"/>
        <v>-1</v>
      </c>
      <c r="T294" s="176">
        <f t="shared" si="108"/>
        <v>5</v>
      </c>
      <c r="U294" s="251">
        <f t="shared" si="109"/>
        <v>-0.52852235137904491</v>
      </c>
      <c r="V294" s="383">
        <f t="shared" si="110"/>
        <v>38.306246313744715</v>
      </c>
      <c r="W294" s="402">
        <f t="shared" si="111"/>
        <v>28.478051198621181</v>
      </c>
      <c r="X294" s="157">
        <f t="shared" si="112"/>
        <v>46667</v>
      </c>
      <c r="Y294" s="385">
        <f t="shared" si="113"/>
        <v>26.905256318687112</v>
      </c>
      <c r="Z294" s="385">
        <f t="shared" si="114"/>
        <v>29.000610412216478</v>
      </c>
      <c r="AA294" s="386">
        <f t="shared" si="115"/>
        <v>32.806863530421417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0.1160200247327955</v>
      </c>
      <c r="AD294" s="231">
        <f>(INDEX(Models!$BJ294:$BT294,,AH294)*(1-AF294)+INDEX(Models!$BJ294:$BT294,,AH294+1)*AF294-ERP_i)*AE294*Ramure*Pc/MaxiM</f>
        <v>7.7026532561582069E-3</v>
      </c>
      <c r="AE294" s="305">
        <f t="shared" si="117"/>
        <v>0.7</v>
      </c>
      <c r="AF294" s="177">
        <f t="shared" si="118"/>
        <v>0.99646521499493401</v>
      </c>
      <c r="AG294" s="921">
        <f t="shared" si="124"/>
        <v>2</v>
      </c>
      <c r="AH294" s="176">
        <f t="shared" si="119"/>
        <v>8</v>
      </c>
      <c r="AI294" s="225">
        <f t="shared" si="120"/>
        <v>2.996465214994934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16.472492627551166</v>
      </c>
      <c r="C295" s="955"/>
      <c r="D295" s="393">
        <f t="shared" si="102"/>
        <v>17.755742554787677</v>
      </c>
      <c r="E295" s="385">
        <f t="shared" si="100"/>
        <v>19.061637259024995</v>
      </c>
      <c r="F295" s="385">
        <f t="shared" si="103"/>
        <v>19.064507105017796</v>
      </c>
      <c r="G295" s="110">
        <f t="shared" si="101"/>
        <v>0.43225852281499627</v>
      </c>
      <c r="H295" s="414" t="b">
        <f>Wh_hp&gt;='2026'!Maxi_hp</f>
        <v>0</v>
      </c>
      <c r="I295" s="390">
        <f>IF(H295,Wh_hp,'2026'!Maxi_hp)</f>
        <v>41.761638375375632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7.2272388680837962E-2</v>
      </c>
      <c r="M295" s="959"/>
      <c r="N295" s="959"/>
      <c r="O295" s="48">
        <f>IF(t&lt;Tnet,'2026'!Resal+('2026'!Salim-'2026'!Resal)*(1-EXP(('2026'!Tnet-t)/('2026'!Tau_j))),Resal+(Salim-Resal)*(1-EXP((Tnet-t)/(Tau_j))))*Salcycl</f>
        <v>6.8509052317582239E-2</v>
      </c>
      <c r="P295" s="169">
        <f>(INDEX(Models!$BJ295:$BT295,,T295)*(1-R295)+INDEX(Models!$BJ295:$BT295,,T295+1)*R295-ERP_i)*Q295*Ramure*Pc/MaxiM</f>
        <v>7.9504698811090299E-4</v>
      </c>
      <c r="Q295" s="305">
        <f t="shared" si="105"/>
        <v>0.7</v>
      </c>
      <c r="R295" s="177">
        <f t="shared" si="106"/>
        <v>0.47162705498681634</v>
      </c>
      <c r="S295" s="921">
        <f t="shared" si="107"/>
        <v>-1</v>
      </c>
      <c r="T295" s="176">
        <f t="shared" si="108"/>
        <v>5</v>
      </c>
      <c r="U295" s="251">
        <f t="shared" si="109"/>
        <v>-0.52837294501318366</v>
      </c>
      <c r="V295" s="383">
        <f t="shared" si="110"/>
        <v>38.083400131468238</v>
      </c>
      <c r="W295" s="402">
        <f t="shared" si="111"/>
        <v>16.472492627551166</v>
      </c>
      <c r="X295" s="157">
        <f t="shared" si="112"/>
        <v>46668</v>
      </c>
      <c r="Y295" s="385">
        <f t="shared" si="113"/>
        <v>15.61197804048534</v>
      </c>
      <c r="Z295" s="385">
        <f t="shared" si="114"/>
        <v>16.828191648070309</v>
      </c>
      <c r="AA295" s="386">
        <f t="shared" si="115"/>
        <v>19.03667494197984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0.11601202944529794</v>
      </c>
      <c r="AD295" s="231">
        <f>(INDEX(Models!$BJ295:$BT295,,AH295)*(1-AF295)+INDEX(Models!$BJ295:$BT295,,AH295+1)*AF295-ERP_i)*AE295*Ramure*Pc/MaxiM</f>
        <v>7.7104755626038026E-3</v>
      </c>
      <c r="AE295" s="305">
        <f t="shared" si="117"/>
        <v>0.7</v>
      </c>
      <c r="AF295" s="177">
        <f t="shared" si="118"/>
        <v>0.99661462136079537</v>
      </c>
      <c r="AG295" s="921">
        <f t="shared" si="124"/>
        <v>2</v>
      </c>
      <c r="AH295" s="176">
        <f t="shared" si="119"/>
        <v>8</v>
      </c>
      <c r="AI295" s="225">
        <f t="shared" si="120"/>
        <v>2.9966146213607954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35.933467850463984</v>
      </c>
      <c r="C296" s="955"/>
      <c r="D296" s="393">
        <f t="shared" si="102"/>
        <v>38.733626621043719</v>
      </c>
      <c r="E296" s="385">
        <f t="shared" si="100"/>
        <v>41.584911838818009</v>
      </c>
      <c r="F296" s="385">
        <f t="shared" si="103"/>
        <v>41.616156758125904</v>
      </c>
      <c r="G296" s="110">
        <f t="shared" si="101"/>
        <v>0.94910635100760621</v>
      </c>
      <c r="H296" s="414" t="b">
        <f>Wh_hp&gt;='2026'!Maxi_hp</f>
        <v>0</v>
      </c>
      <c r="I296" s="390">
        <f>IF(H296,Wh_hp,'2026'!Maxi_hp)</f>
        <v>41.617974437855892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7.2292708296476049E-2</v>
      </c>
      <c r="M296" s="959"/>
      <c r="N296" s="959"/>
      <c r="O296" s="48">
        <f>IF(t&lt;Tnet,'2026'!Resal+('2026'!Salim-'2026'!Resal)*(1-EXP(('2026'!Tnet-t)/('2026'!Tau_j))),Resal+(Salim-Resal)*(1-EXP((Tnet-t)/(Tau_j))))*Salcycl</f>
        <v>6.8565378443647934E-2</v>
      </c>
      <c r="P296" s="169">
        <f>(INDEX(Models!$BJ296:$BT296,,T296)*(1-R296)+INDEX(Models!$BJ296:$BT296,,T296+1)*R296-ERP_i)*Q296*Ramure*Pc/MaxiM</f>
        <v>8.0958462742452685E-4</v>
      </c>
      <c r="Q296" s="305">
        <f t="shared" si="105"/>
        <v>0.7</v>
      </c>
      <c r="R296" s="177">
        <f t="shared" si="106"/>
        <v>0.47177053029747884</v>
      </c>
      <c r="S296" s="921">
        <f t="shared" si="107"/>
        <v>-1</v>
      </c>
      <c r="T296" s="176">
        <f t="shared" si="108"/>
        <v>5</v>
      </c>
      <c r="U296" s="251">
        <f t="shared" si="109"/>
        <v>-0.52822946970252116</v>
      </c>
      <c r="V296" s="383">
        <f t="shared" si="110"/>
        <v>37.858089839201739</v>
      </c>
      <c r="W296" s="402">
        <f t="shared" si="111"/>
        <v>35.933467850463984</v>
      </c>
      <c r="X296" s="157">
        <f t="shared" si="112"/>
        <v>46669</v>
      </c>
      <c r="Y296" s="385">
        <f t="shared" si="113"/>
        <v>33.88488649626111</v>
      </c>
      <c r="Z296" s="385">
        <f t="shared" si="114"/>
        <v>36.52540709692947</v>
      </c>
      <c r="AA296" s="386">
        <f t="shared" si="115"/>
        <v>41.318441723811972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0.11600230857980923</v>
      </c>
      <c r="AD296" s="231">
        <f>(INDEX(Models!$BJ296:$BT296,,AH296)*(1-AF296)+INDEX(Models!$BJ296:$BT296,,AH296+1)*AF296-ERP_i)*AE296*Ramure*Pc/MaxiM</f>
        <v>7.7140706544513923E-3</v>
      </c>
      <c r="AE296" s="305">
        <f t="shared" si="117"/>
        <v>0.7</v>
      </c>
      <c r="AF296" s="177">
        <f t="shared" si="118"/>
        <v>0.99675809667145776</v>
      </c>
      <c r="AG296" s="921">
        <f t="shared" si="124"/>
        <v>2</v>
      </c>
      <c r="AH296" s="176">
        <f t="shared" si="119"/>
        <v>8</v>
      </c>
      <c r="AI296" s="225">
        <f t="shared" si="120"/>
        <v>2.9967580966714578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29.332314949995695</v>
      </c>
      <c r="C297" s="955"/>
      <c r="D297" s="393">
        <f t="shared" si="102"/>
        <v>31.618763460596341</v>
      </c>
      <c r="E297" s="385">
        <f t="shared" ref="E297:E360" si="125">Wh_pvt/(1-Psa)</f>
        <v>33.948316243582106</v>
      </c>
      <c r="F297" s="385">
        <f t="shared" si="103"/>
        <v>33.96744343456708</v>
      </c>
      <c r="G297" s="110">
        <f t="shared" ref="G297:G360" si="126">+Wh_hp/MaxiM</f>
        <v>0.77928033091015059</v>
      </c>
      <c r="H297" s="414" t="b">
        <f>Wh_hp&gt;='2026'!Maxi_hp</f>
        <v>0</v>
      </c>
      <c r="I297" s="390">
        <f>IF(H297,Wh_hp,'2026'!Maxi_hp)</f>
        <v>33.973967275175724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7.2313027467062252E-2</v>
      </c>
      <c r="M297" s="959"/>
      <c r="N297" s="959"/>
      <c r="O297" s="48">
        <f>IF(t&lt;Tnet,'2026'!Resal+('2026'!Salim-'2026'!Resal)*(1-EXP(('2026'!Tnet-t)/('2026'!Tau_j))),Resal+(Salim-Resal)*(1-EXP((Tnet-t)/(Tau_j))))*Salcycl</f>
        <v>6.8620569169646706E-2</v>
      </c>
      <c r="P297" s="169">
        <f>(INDEX(Models!$BJ297:$BT297,,T297)*(1-R297)+INDEX(Models!$BJ297:$BT297,,T297+1)*R297-ERP_i)*Q297*Ramure*Pc/MaxiM</f>
        <v>8.2207943288056112E-4</v>
      </c>
      <c r="Q297" s="305">
        <f t="shared" si="105"/>
        <v>0.7</v>
      </c>
      <c r="R297" s="177">
        <f t="shared" si="106"/>
        <v>0.47190830675606998</v>
      </c>
      <c r="S297" s="921">
        <f t="shared" si="107"/>
        <v>-1</v>
      </c>
      <c r="T297" s="176">
        <f t="shared" si="108"/>
        <v>5</v>
      </c>
      <c r="U297" s="251">
        <f t="shared" si="109"/>
        <v>-0.52809169324393002</v>
      </c>
      <c r="V297" s="383">
        <f t="shared" si="110"/>
        <v>37.630507466074782</v>
      </c>
      <c r="W297" s="402">
        <f t="shared" si="111"/>
        <v>29.332314949995695</v>
      </c>
      <c r="X297" s="157">
        <f t="shared" si="112"/>
        <v>46670</v>
      </c>
      <c r="Y297" s="385">
        <f t="shared" si="113"/>
        <v>27.708869718412117</v>
      </c>
      <c r="Z297" s="385">
        <f t="shared" si="114"/>
        <v>29.868770974282821</v>
      </c>
      <c r="AA297" s="386">
        <f t="shared" si="115"/>
        <v>33.787853283948145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0.11599086443077435</v>
      </c>
      <c r="AD297" s="231">
        <f>(INDEX(Models!$BJ297:$BT297,,AH297)*(1-AF297)+INDEX(Models!$BJ297:$BT297,,AH297+1)*AF297-ERP_i)*AE297*Ramure*Pc/MaxiM</f>
        <v>7.7187167361763651E-3</v>
      </c>
      <c r="AE297" s="305">
        <f t="shared" si="117"/>
        <v>0.7</v>
      </c>
      <c r="AF297" s="177">
        <f t="shared" si="118"/>
        <v>0.99689587313004902</v>
      </c>
      <c r="AG297" s="921">
        <f t="shared" si="124"/>
        <v>2</v>
      </c>
      <c r="AH297" s="176">
        <f t="shared" si="119"/>
        <v>8</v>
      </c>
      <c r="AI297" s="225">
        <f t="shared" si="120"/>
        <v>2.996895873130049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20.917072455473502</v>
      </c>
      <c r="C298" s="955"/>
      <c r="D298" s="393">
        <f t="shared" si="102"/>
        <v>22.548048234378388</v>
      </c>
      <c r="E298" s="385">
        <f t="shared" si="125"/>
        <v>24.210709676652872</v>
      </c>
      <c r="F298" s="385">
        <f t="shared" si="103"/>
        <v>24.21817728962715</v>
      </c>
      <c r="G298" s="110">
        <f t="shared" si="126"/>
        <v>0.55897400805294828</v>
      </c>
      <c r="H298" s="414" t="b">
        <f>Wh_hp&gt;='2026'!Maxi_hp</f>
        <v>0</v>
      </c>
      <c r="I298" s="390">
        <f>IF(H298,Wh_hp,'2026'!Maxi_hp)</f>
        <v>43.516621662814977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7.2333346192606673E-2</v>
      </c>
      <c r="M298" s="959"/>
      <c r="N298" s="959"/>
      <c r="O298" s="48">
        <f>IF(t&lt;Tnet,'2026'!Resal+('2026'!Salim-'2026'!Resal)*(1-EXP(('2026'!Tnet-t)/('2026'!Tau_j))),Resal+(Salim-Resal)*(1-EXP((Tnet-t)/(Tau_j))))*Salcycl</f>
        <v>6.8674626414517742E-2</v>
      </c>
      <c r="P298" s="169">
        <f>(INDEX(Models!$BJ298:$BT298,,T298)*(1-R298)+INDEX(Models!$BJ298:$BT298,,T298+1)*R298-ERP_i)*Q298*Ramure*Pc/MaxiM</f>
        <v>8.3251243970903826E-4</v>
      </c>
      <c r="Q298" s="305">
        <f t="shared" si="105"/>
        <v>0.7</v>
      </c>
      <c r="R298" s="177">
        <f t="shared" si="106"/>
        <v>0.47204060772943635</v>
      </c>
      <c r="S298" s="921">
        <f t="shared" si="107"/>
        <v>-1</v>
      </c>
      <c r="T298" s="176">
        <f t="shared" si="108"/>
        <v>5</v>
      </c>
      <c r="U298" s="251">
        <f t="shared" si="109"/>
        <v>-0.52795939227056365</v>
      </c>
      <c r="V298" s="383">
        <f t="shared" si="110"/>
        <v>37.400853662693379</v>
      </c>
      <c r="W298" s="402">
        <f t="shared" si="111"/>
        <v>20.917072455473502</v>
      </c>
      <c r="X298" s="157">
        <f t="shared" si="112"/>
        <v>46671</v>
      </c>
      <c r="Y298" s="385">
        <f t="shared" si="113"/>
        <v>19.803973400040121</v>
      </c>
      <c r="Z298" s="385">
        <f t="shared" si="114"/>
        <v>21.348157033304247</v>
      </c>
      <c r="AA298" s="386">
        <f t="shared" si="115"/>
        <v>24.148889841928597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0.11597770443929757</v>
      </c>
      <c r="AD298" s="231">
        <f>(INDEX(Models!$BJ298:$BT298,,AH298)*(1-AF298)+INDEX(Models!$BJ298:$BT298,,AH298+1)*AF298-ERP_i)*AE298*Ramure*Pc/MaxiM</f>
        <v>7.7243775652850221E-3</v>
      </c>
      <c r="AE298" s="305">
        <f t="shared" si="117"/>
        <v>0.7</v>
      </c>
      <c r="AF298" s="177">
        <f t="shared" si="118"/>
        <v>0.99702817410341504</v>
      </c>
      <c r="AG298" s="921">
        <f t="shared" si="124"/>
        <v>2</v>
      </c>
      <c r="AH298" s="176">
        <f t="shared" si="119"/>
        <v>8</v>
      </c>
      <c r="AI298" s="225">
        <f t="shared" si="120"/>
        <v>2.997028174103415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29.248243115860056</v>
      </c>
      <c r="C299" s="955"/>
      <c r="D299" s="393">
        <f t="shared" si="102"/>
        <v>31.52951938224145</v>
      </c>
      <c r="E299" s="385">
        <f t="shared" si="125"/>
        <v>33.856386025083111</v>
      </c>
      <c r="F299" s="385">
        <f t="shared" si="103"/>
        <v>33.87619926947653</v>
      </c>
      <c r="G299" s="110">
        <f t="shared" si="126"/>
        <v>0.7866903259066379</v>
      </c>
      <c r="H299" s="414" t="b">
        <f>Wh_hp&gt;='2026'!Maxi_hp</f>
        <v>0</v>
      </c>
      <c r="I299" s="390">
        <f>IF(H299,Wh_hp,'2026'!Maxi_hp)</f>
        <v>42.807452061099632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7.2353664473118751E-2</v>
      </c>
      <c r="M299" s="959"/>
      <c r="N299" s="959"/>
      <c r="O299" s="48">
        <f>IF(t&lt;Tnet,'2026'!Resal+('2026'!Salim-'2026'!Resal)*(1-EXP(('2026'!Tnet-t)/('2026'!Tau_j))),Resal+(Salim-Resal)*(1-EXP((Tnet-t)/(Tau_j))))*Salcycl</f>
        <v>6.8727555301317814E-2</v>
      </c>
      <c r="P299" s="169">
        <f>(INDEX(Models!$BJ299:$BT299,,T299)*(1-R299)+INDEX(Models!$BJ299:$BT299,,T299+1)*R299-ERP_i)*Q299*Ramure*Pc/MaxiM</f>
        <v>8.4086528578008459E-4</v>
      </c>
      <c r="Q299" s="305">
        <f t="shared" si="105"/>
        <v>0.7</v>
      </c>
      <c r="R299" s="177">
        <f t="shared" si="106"/>
        <v>0.47216764806433775</v>
      </c>
      <c r="S299" s="921">
        <f t="shared" si="107"/>
        <v>-1</v>
      </c>
      <c r="T299" s="176">
        <f t="shared" si="108"/>
        <v>5</v>
      </c>
      <c r="U299" s="251">
        <f t="shared" si="109"/>
        <v>-0.52783235193566225</v>
      </c>
      <c r="V299" s="383">
        <f t="shared" si="110"/>
        <v>37.169328795328092</v>
      </c>
      <c r="W299" s="402">
        <f t="shared" si="111"/>
        <v>29.248243115860056</v>
      </c>
      <c r="X299" s="157">
        <f t="shared" si="112"/>
        <v>46672</v>
      </c>
      <c r="Y299" s="385">
        <f t="shared" si="113"/>
        <v>27.63159543072711</v>
      </c>
      <c r="Z299" s="385">
        <f t="shared" si="114"/>
        <v>29.786777969680671</v>
      </c>
      <c r="AA299" s="386">
        <f t="shared" si="115"/>
        <v>33.694033876633434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0.11596284141158945</v>
      </c>
      <c r="AD299" s="231">
        <f>(INDEX(Models!$BJ299:$BT299,,AH299)*(1-AF299)+INDEX(Models!$BJ299:$BT299,,AH299+1)*AF299-ERP_i)*AE299*Ramure*Pc/MaxiM</f>
        <v>7.7310183062776075E-3</v>
      </c>
      <c r="AE299" s="305">
        <f t="shared" si="117"/>
        <v>0.7</v>
      </c>
      <c r="AF299" s="177">
        <f t="shared" si="118"/>
        <v>0.99715521443831667</v>
      </c>
      <c r="AG299" s="921">
        <f t="shared" si="124"/>
        <v>2</v>
      </c>
      <c r="AH299" s="176">
        <f t="shared" si="119"/>
        <v>8</v>
      </c>
      <c r="AI299" s="225">
        <f t="shared" si="120"/>
        <v>2.9971552144383167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21.16749734420295</v>
      </c>
      <c r="C300" s="955"/>
      <c r="D300" s="393">
        <f t="shared" si="102"/>
        <v>22.818999187714766</v>
      </c>
      <c r="E300" s="385">
        <f t="shared" si="125"/>
        <v>24.504395964349317</v>
      </c>
      <c r="F300" s="385">
        <f t="shared" si="103"/>
        <v>24.512496812321313</v>
      </c>
      <c r="G300" s="110">
        <f t="shared" si="126"/>
        <v>0.57278756655539242</v>
      </c>
      <c r="H300" s="414" t="b">
        <f>Wh_hp&gt;='2026'!Maxi_hp</f>
        <v>0</v>
      </c>
      <c r="I300" s="390">
        <f>IF(H300,Wh_hp,'2026'!Maxi_hp)</f>
        <v>41.038729599738197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7.2373982308608364E-2</v>
      </c>
      <c r="M300" s="959"/>
      <c r="N300" s="959"/>
      <c r="O300" s="48">
        <f>IF(t&lt;Tnet,'2026'!Resal+('2026'!Salim-'2026'!Resal)*(1-EXP(('2026'!Tnet-t)/('2026'!Tau_j))),Resal+(Salim-Resal)*(1-EXP((Tnet-t)/(Tau_j))))*Salcycl</f>
        <v>6.877936428576259E-2</v>
      </c>
      <c r="P300" s="169">
        <f>(INDEX(Models!$BJ300:$BT300,,T300)*(1-R300)+INDEX(Models!$BJ300:$BT300,,T300+1)*R300-ERP_i)*Q300*Ramure*Pc/MaxiM</f>
        <v>8.471203678339659E-4</v>
      </c>
      <c r="Q300" s="305">
        <f t="shared" si="105"/>
        <v>0.7</v>
      </c>
      <c r="R300" s="177">
        <f t="shared" si="106"/>
        <v>0.4722896343939319</v>
      </c>
      <c r="S300" s="921">
        <f t="shared" si="107"/>
        <v>-1</v>
      </c>
      <c r="T300" s="176">
        <f t="shared" si="108"/>
        <v>5</v>
      </c>
      <c r="U300" s="251">
        <f t="shared" si="109"/>
        <v>-0.5277103656060681</v>
      </c>
      <c r="V300" s="383">
        <f t="shared" si="110"/>
        <v>36.936132947614155</v>
      </c>
      <c r="W300" s="402">
        <f t="shared" si="111"/>
        <v>21.16749734420295</v>
      </c>
      <c r="X300" s="157">
        <f t="shared" si="112"/>
        <v>46673</v>
      </c>
      <c r="Y300" s="385">
        <f t="shared" si="113"/>
        <v>20.041305586047329</v>
      </c>
      <c r="Z300" s="385">
        <f t="shared" si="114"/>
        <v>21.604941219657334</v>
      </c>
      <c r="AA300" s="386">
        <f t="shared" si="115"/>
        <v>24.438494025852812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0.11594629371179498</v>
      </c>
      <c r="AD300" s="231">
        <f>(INDEX(Models!$BJ300:$BT300,,AH300)*(1-AF300)+INDEX(Models!$BJ300:$BT300,,AH300+1)*AF300-ERP_i)*AE300*Ramure*Pc/MaxiM</f>
        <v>7.7386056263052333E-3</v>
      </c>
      <c r="AE300" s="305">
        <f t="shared" si="117"/>
        <v>0.7</v>
      </c>
      <c r="AF300" s="177">
        <f t="shared" si="118"/>
        <v>0.99727720076791071</v>
      </c>
      <c r="AG300" s="921">
        <f t="shared" si="124"/>
        <v>2</v>
      </c>
      <c r="AH300" s="176">
        <f t="shared" si="119"/>
        <v>8</v>
      </c>
      <c r="AI300" s="225">
        <f t="shared" si="120"/>
        <v>2.9972772007679107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15.812495973539269</v>
      </c>
      <c r="C301" s="955"/>
      <c r="D301" s="393">
        <f t="shared" si="102"/>
        <v>17.046570507716481</v>
      </c>
      <c r="E301" s="385">
        <f t="shared" si="125"/>
        <v>18.306616087894557</v>
      </c>
      <c r="F301" s="385">
        <f t="shared" si="103"/>
        <v>18.309529391195209</v>
      </c>
      <c r="G301" s="110">
        <f t="shared" si="126"/>
        <v>0.43054273892952111</v>
      </c>
      <c r="H301" s="414" t="b">
        <f>Wh_hp&gt;='2026'!Maxi_hp</f>
        <v>0</v>
      </c>
      <c r="I301" s="390">
        <f>IF(H301,Wh_hp,'2026'!Maxi_hp)</f>
        <v>44.446308487241133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7.2394299699085174E-2</v>
      </c>
      <c r="M301" s="959"/>
      <c r="N301" s="959"/>
      <c r="O301" s="48">
        <f>IF(t&lt;Tnet,'2026'!Resal+('2026'!Salim-'2026'!Resal)*(1-EXP(('2026'!Tnet-t)/('2026'!Tau_j))),Resal+(Salim-Resal)*(1-EXP((Tnet-t)/(Tau_j))))*Salcycl</f>
        <v>6.8830065268659563E-2</v>
      </c>
      <c r="P301" s="169">
        <f>(INDEX(Models!$BJ301:$BT301,,T301)*(1-R301)+INDEX(Models!$BJ301:$BT301,,T301+1)*R301-ERP_i)*Q301*Ramure*Pc/MaxiM</f>
        <v>8.5126099047355707E-4</v>
      </c>
      <c r="Q301" s="305">
        <f t="shared" si="105"/>
        <v>0.7</v>
      </c>
      <c r="R301" s="177">
        <f t="shared" si="106"/>
        <v>0.47240676543471272</v>
      </c>
      <c r="S301" s="921">
        <f t="shared" si="107"/>
        <v>-1</v>
      </c>
      <c r="T301" s="176">
        <f t="shared" si="108"/>
        <v>5</v>
      </c>
      <c r="U301" s="251">
        <f t="shared" si="109"/>
        <v>-0.52759323456528728</v>
      </c>
      <c r="V301" s="383">
        <f t="shared" si="110"/>
        <v>36.701465922620784</v>
      </c>
      <c r="W301" s="402">
        <f t="shared" si="111"/>
        <v>15.812495973539269</v>
      </c>
      <c r="X301" s="157">
        <f t="shared" si="112"/>
        <v>46674</v>
      </c>
      <c r="Y301" s="385">
        <f t="shared" si="113"/>
        <v>14.993355762447294</v>
      </c>
      <c r="Z301" s="385">
        <f t="shared" si="114"/>
        <v>16.163501105678261</v>
      </c>
      <c r="AA301" s="386">
        <f t="shared" si="115"/>
        <v>18.283016165580893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0.11592808542677845</v>
      </c>
      <c r="AD301" s="231">
        <f>(INDEX(Models!$BJ301:$BT301,,AH301)*(1-AF301)+INDEX(Models!$BJ301:$BT301,,AH301+1)*AF301-ERP_i)*AE301*Ramure*Pc/MaxiM</f>
        <v>7.7471077906836388E-3</v>
      </c>
      <c r="AE301" s="305">
        <f t="shared" si="117"/>
        <v>0.7</v>
      </c>
      <c r="AF301" s="177">
        <f t="shared" si="118"/>
        <v>0.99739433180869153</v>
      </c>
      <c r="AG301" s="921">
        <f t="shared" si="124"/>
        <v>2</v>
      </c>
      <c r="AH301" s="176">
        <f t="shared" si="119"/>
        <v>8</v>
      </c>
      <c r="AI301" s="225">
        <f t="shared" si="120"/>
        <v>2.9973943318086915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35.312853103994982</v>
      </c>
      <c r="C302" s="955"/>
      <c r="D302" s="393">
        <f t="shared" si="102"/>
        <v>38.069652387421748</v>
      </c>
      <c r="E302" s="385">
        <f t="shared" si="125"/>
        <v>40.885856866988341</v>
      </c>
      <c r="F302" s="385">
        <f t="shared" si="103"/>
        <v>40.919195382161448</v>
      </c>
      <c r="G302" s="110">
        <f t="shared" si="126"/>
        <v>0.9683526885102075</v>
      </c>
      <c r="H302" s="414" t="b">
        <f>Wh_hp&gt;='2026'!Maxi_hp</f>
        <v>0</v>
      </c>
      <c r="I302" s="390">
        <f>IF(H302,Wh_hp,'2026'!Maxi_hp)</f>
        <v>40.920361761975578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7.241461664455906E-2</v>
      </c>
      <c r="M302" s="959"/>
      <c r="N302" s="959"/>
      <c r="O302" s="48">
        <f>IF(t&lt;Tnet,'2026'!Resal+('2026'!Salim-'2026'!Resal)*(1-EXP(('2026'!Tnet-t)/('2026'!Tau_j))),Resal+(Salim-Resal)*(1-EXP((Tnet-t)/(Tau_j))))*Salcycl</f>
        <v>6.8879673690792134E-2</v>
      </c>
      <c r="P302" s="169">
        <f>(INDEX(Models!$BJ302:$BT302,,T302)*(1-R302)+INDEX(Models!$BJ302:$BT302,,T302+1)*R302-ERP_i)*Q302*Ramure*Pc/MaxiM</f>
        <v>8.5327150664840515E-4</v>
      </c>
      <c r="Q302" s="305">
        <f t="shared" si="105"/>
        <v>0.7</v>
      </c>
      <c r="R302" s="177">
        <f t="shared" si="106"/>
        <v>0.47251923227407877</v>
      </c>
      <c r="S302" s="921">
        <f t="shared" si="107"/>
        <v>-1</v>
      </c>
      <c r="T302" s="176">
        <f t="shared" si="108"/>
        <v>5</v>
      </c>
      <c r="U302" s="251">
        <f t="shared" si="109"/>
        <v>-0.52748076772592123</v>
      </c>
      <c r="V302" s="383">
        <f t="shared" si="110"/>
        <v>36.465527245011174</v>
      </c>
      <c r="W302" s="402">
        <f t="shared" si="111"/>
        <v>35.312853103994982</v>
      </c>
      <c r="X302" s="157">
        <f t="shared" si="112"/>
        <v>46675</v>
      </c>
      <c r="Y302" s="385">
        <f t="shared" si="113"/>
        <v>33.308100378371336</v>
      </c>
      <c r="Z302" s="385">
        <f t="shared" si="114"/>
        <v>35.90839288334066</v>
      </c>
      <c r="AA302" s="386">
        <f t="shared" si="115"/>
        <v>40.616138247200496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0.11590824650062151</v>
      </c>
      <c r="AD302" s="231">
        <f>(INDEX(Models!$BJ302:$BT302,,AH302)*(1-AF302)+INDEX(Models!$BJ302:$BT302,,AH302+1)*AF302-ERP_i)*AE302*Ramure*Pc/MaxiM</f>
        <v>7.7564947570691895E-3</v>
      </c>
      <c r="AE302" s="305">
        <f t="shared" si="117"/>
        <v>0.7</v>
      </c>
      <c r="AF302" s="177">
        <f t="shared" si="118"/>
        <v>0.99750679864805747</v>
      </c>
      <c r="AG302" s="921">
        <f t="shared" si="124"/>
        <v>2</v>
      </c>
      <c r="AH302" s="176">
        <f t="shared" si="119"/>
        <v>8</v>
      </c>
      <c r="AI302" s="225">
        <f t="shared" si="120"/>
        <v>2.9975067986480575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31.883086468332447</v>
      </c>
      <c r="C303" s="955"/>
      <c r="D303" s="393">
        <f t="shared" si="102"/>
        <v>34.372884024660969</v>
      </c>
      <c r="E303" s="385">
        <f t="shared" si="125"/>
        <v>36.917544213541227</v>
      </c>
      <c r="F303" s="385">
        <f t="shared" si="103"/>
        <v>36.943662170737682</v>
      </c>
      <c r="G303" s="110">
        <f t="shared" si="126"/>
        <v>0.87993360555029687</v>
      </c>
      <c r="H303" s="414" t="b">
        <f>Wh_hp&gt;='2026'!Maxi_hp</f>
        <v>0</v>
      </c>
      <c r="I303" s="390">
        <f>IF(H303,Wh_hp,'2026'!Maxi_hp)</f>
        <v>39.359495276629886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7.2434933145039682E-2</v>
      </c>
      <c r="M303" s="959"/>
      <c r="N303" s="959"/>
      <c r="O303" s="48">
        <f>IF(t&lt;Tnet,'2026'!Resal+('2026'!Salim-'2026'!Resal)*(1-EXP(('2026'!Tnet-t)/('2026'!Tau_j))),Resal+(Salim-Resal)*(1-EXP((Tnet-t)/(Tau_j))))*Salcycl</f>
        <v>6.8928208608927052E-2</v>
      </c>
      <c r="P303" s="169">
        <f>(INDEX(Models!$BJ303:$BT303,,T303)*(1-R303)+INDEX(Models!$BJ303:$BT303,,T303+1)*R303-ERP_i)*Q303*Ramure*Pc/MaxiM</f>
        <v>8.5314456820075242E-4</v>
      </c>
      <c r="Q303" s="305">
        <f t="shared" si="105"/>
        <v>0.7</v>
      </c>
      <c r="R303" s="177">
        <f t="shared" si="106"/>
        <v>0.47262721864871171</v>
      </c>
      <c r="S303" s="921">
        <f t="shared" si="107"/>
        <v>-1</v>
      </c>
      <c r="T303" s="176">
        <f t="shared" si="108"/>
        <v>5</v>
      </c>
      <c r="U303" s="251">
        <f t="shared" si="109"/>
        <v>-0.52737278135128829</v>
      </c>
      <c r="V303" s="383">
        <f t="shared" si="110"/>
        <v>36.228213565426792</v>
      </c>
      <c r="W303" s="402">
        <f t="shared" si="111"/>
        <v>31.883086468332447</v>
      </c>
      <c r="X303" s="157">
        <f t="shared" si="112"/>
        <v>46676</v>
      </c>
      <c r="Y303" s="385">
        <f t="shared" si="113"/>
        <v>30.101492220921301</v>
      </c>
      <c r="Z303" s="385">
        <f t="shared" si="114"/>
        <v>32.452162437493079</v>
      </c>
      <c r="AA303" s="386">
        <f t="shared" si="115"/>
        <v>36.705891178504167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0.11588681283679535</v>
      </c>
      <c r="AD303" s="231">
        <f>(INDEX(Models!$BJ303:$BT303,,AH303)*(1-AF303)+INDEX(Models!$BJ303:$BT303,,AH303+1)*AF303-ERP_i)*AE303*Ramure*Pc/MaxiM</f>
        <v>7.7668030839433523E-3</v>
      </c>
      <c r="AE303" s="305">
        <f t="shared" si="117"/>
        <v>0.7</v>
      </c>
      <c r="AF303" s="177">
        <f t="shared" si="118"/>
        <v>0.99761478502269085</v>
      </c>
      <c r="AG303" s="921">
        <f t="shared" si="124"/>
        <v>2</v>
      </c>
      <c r="AH303" s="176">
        <f t="shared" si="119"/>
        <v>8</v>
      </c>
      <c r="AI303" s="225">
        <f t="shared" si="120"/>
        <v>2.9976147850226909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21.472884883921989</v>
      </c>
      <c r="C304" s="955"/>
      <c r="D304" s="393">
        <f t="shared" si="102"/>
        <v>23.150241393112541</v>
      </c>
      <c r="E304" s="385">
        <f t="shared" si="125"/>
        <v>24.86534584852641</v>
      </c>
      <c r="F304" s="385">
        <f t="shared" si="103"/>
        <v>24.874315475346084</v>
      </c>
      <c r="G304" s="110">
        <f t="shared" si="126"/>
        <v>0.59635497502296697</v>
      </c>
      <c r="H304" s="414" t="b">
        <f>Wh_hp&gt;='2026'!Maxi_hp</f>
        <v>0</v>
      </c>
      <c r="I304" s="390">
        <f>IF(H304,Wh_hp,'2026'!Maxi_hp)</f>
        <v>39.909622414686694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7.2455249200536809E-2</v>
      </c>
      <c r="M304" s="959"/>
      <c r="N304" s="959"/>
      <c r="O304" s="48">
        <f>IF(t&lt;Tnet,'2026'!Resal+('2026'!Salim-'2026'!Resal)*(1-EXP(('2026'!Tnet-t)/('2026'!Tau_j))),Resal+(Salim-Resal)*(1-EXP((Tnet-t)/(Tau_j))))*Salcycl</f>
        <v>6.8975692751746268E-2</v>
      </c>
      <c r="P304" s="169">
        <f>(INDEX(Models!$BJ304:$BT304,,T304)*(1-R304)+INDEX(Models!$BJ304:$BT304,,T304+1)*R304-ERP_i)*Q304*Ramure*Pc/MaxiM</f>
        <v>8.5090369149048994E-4</v>
      </c>
      <c r="Q304" s="305">
        <f t="shared" si="105"/>
        <v>0.7</v>
      </c>
      <c r="R304" s="177">
        <f t="shared" si="106"/>
        <v>0.47273090121395656</v>
      </c>
      <c r="S304" s="921">
        <f t="shared" si="107"/>
        <v>-1</v>
      </c>
      <c r="T304" s="176">
        <f t="shared" si="108"/>
        <v>5</v>
      </c>
      <c r="U304" s="251">
        <f t="shared" si="109"/>
        <v>-0.52726909878604344</v>
      </c>
      <c r="V304" s="383">
        <f t="shared" si="110"/>
        <v>35.98922404597117</v>
      </c>
      <c r="W304" s="402">
        <f t="shared" si="111"/>
        <v>21.472884883921989</v>
      </c>
      <c r="X304" s="157">
        <f t="shared" si="112"/>
        <v>46677</v>
      </c>
      <c r="Y304" s="385">
        <f t="shared" si="113"/>
        <v>20.331455172995415</v>
      </c>
      <c r="Z304" s="385">
        <f t="shared" si="114"/>
        <v>21.919648788343057</v>
      </c>
      <c r="AA304" s="386">
        <f t="shared" si="115"/>
        <v>24.792163743570416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0.11586382636619667</v>
      </c>
      <c r="AD304" s="231">
        <f>(INDEX(Models!$BJ304:$BT304,,AH304)*(1-AF304)+INDEX(Models!$BJ304:$BT304,,AH304+1)*AF304-ERP_i)*AE304*Ramure*Pc/MaxiM</f>
        <v>7.7933244309493655E-3</v>
      </c>
      <c r="AE304" s="305">
        <f t="shared" si="117"/>
        <v>0.7</v>
      </c>
      <c r="AF304" s="177">
        <f t="shared" si="118"/>
        <v>0.99771846758793536</v>
      </c>
      <c r="AG304" s="921">
        <f t="shared" si="124"/>
        <v>2</v>
      </c>
      <c r="AH304" s="176">
        <f t="shared" si="119"/>
        <v>8</v>
      </c>
      <c r="AI304" s="225">
        <f t="shared" si="120"/>
        <v>2.9977184675879354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32.863050192519147</v>
      </c>
      <c r="C305" s="955"/>
      <c r="D305" s="393">
        <f t="shared" si="102"/>
        <v>35.430926610386095</v>
      </c>
      <c r="E305" s="385">
        <f t="shared" si="125"/>
        <v>38.057754765712339</v>
      </c>
      <c r="F305" s="385">
        <f t="shared" si="103"/>
        <v>38.086329498921458</v>
      </c>
      <c r="G305" s="110">
        <f t="shared" si="126"/>
        <v>0.91919710516352182</v>
      </c>
      <c r="H305" s="414" t="b">
        <f>Wh_hp&gt;='2026'!Maxi_hp</f>
        <v>0</v>
      </c>
      <c r="I305" s="390">
        <f>IF(H305,Wh_hp,'2026'!Maxi_hp)</f>
        <v>40.636688636439388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7.24755648110601E-2</v>
      </c>
      <c r="M305" s="959"/>
      <c r="N305" s="959"/>
      <c r="O305" s="48">
        <f>IF(t&lt;Tnet,'2026'!Resal+('2026'!Salim-'2026'!Resal)*(1-EXP(('2026'!Tnet-t)/('2026'!Tau_j))),Resal+(Salim-Resal)*(1-EXP((Tnet-t)/(Tau_j))))*Salcycl</f>
        <v>6.9022152554644445E-2</v>
      </c>
      <c r="P305" s="169">
        <f>(INDEX(Models!$BJ305:$BT305,,T305)*(1-R305)+INDEX(Models!$BJ305:$BT305,,T305+1)*R305-ERP_i)*Q305*Ramure*Pc/MaxiM</f>
        <v>8.4804538670866679E-4</v>
      </c>
      <c r="Q305" s="305">
        <f t="shared" si="105"/>
        <v>0.7</v>
      </c>
      <c r="R305" s="177">
        <f t="shared" si="106"/>
        <v>0.47283044980439703</v>
      </c>
      <c r="S305" s="921">
        <f t="shared" si="107"/>
        <v>-1</v>
      </c>
      <c r="T305" s="176">
        <f t="shared" si="108"/>
        <v>5</v>
      </c>
      <c r="U305" s="251">
        <f t="shared" si="109"/>
        <v>-0.52716955019560297</v>
      </c>
      <c r="V305" s="383">
        <f t="shared" si="110"/>
        <v>35.74840928162795</v>
      </c>
      <c r="W305" s="402">
        <f t="shared" si="111"/>
        <v>32.863050192519147</v>
      </c>
      <c r="X305" s="157">
        <f t="shared" si="112"/>
        <v>46678</v>
      </c>
      <c r="Y305" s="385">
        <f t="shared" si="113"/>
        <v>31.017208176213025</v>
      </c>
      <c r="Z305" s="385">
        <f t="shared" si="114"/>
        <v>33.440852876177559</v>
      </c>
      <c r="AA305" s="386">
        <f t="shared" si="115"/>
        <v>37.822145004815219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0.11583933507948492</v>
      </c>
      <c r="AD305" s="231">
        <f>(INDEX(Models!$BJ305:$BT305,,AH305)*(1-AF305)+INDEX(Models!$BJ305:$BT305,,AH305+1)*AF305-ERP_i)*AE305*Ramure*Pc/MaxiM</f>
        <v>7.8405085999274336E-3</v>
      </c>
      <c r="AE305" s="305">
        <f t="shared" si="117"/>
        <v>0.7</v>
      </c>
      <c r="AF305" s="177">
        <f t="shared" si="118"/>
        <v>0.99781801617837607</v>
      </c>
      <c r="AG305" s="921">
        <f t="shared" si="124"/>
        <v>2</v>
      </c>
      <c r="AH305" s="176">
        <f t="shared" si="119"/>
        <v>8</v>
      </c>
      <c r="AI305" s="225">
        <f t="shared" si="120"/>
        <v>2.9978180161783761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13.991491365675378</v>
      </c>
      <c r="C306" s="955"/>
      <c r="D306" s="393">
        <f t="shared" si="102"/>
        <v>15.085098883790058</v>
      </c>
      <c r="E306" s="385">
        <f t="shared" si="125"/>
        <v>16.204290642652836</v>
      </c>
      <c r="F306" s="385">
        <f t="shared" si="103"/>
        <v>16.206129886963428</v>
      </c>
      <c r="G306" s="110">
        <f t="shared" si="126"/>
        <v>0.39377540532969874</v>
      </c>
      <c r="H306" s="414" t="b">
        <f>Wh_hp&gt;='2026'!Maxi_hp</f>
        <v>0</v>
      </c>
      <c r="I306" s="390">
        <f>IF(H306,Wh_hp,'2026'!Maxi_hp)</f>
        <v>39.555235344496339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7.2495879976619437E-2</v>
      </c>
      <c r="M306" s="959"/>
      <c r="N306" s="959"/>
      <c r="O306" s="48">
        <f>IF(t&lt;Tnet,'2026'!Resal+('2026'!Salim-'2026'!Resal)*(1-EXP(('2026'!Tnet-t)/('2026'!Tau_j))),Resal+(Salim-Resal)*(1-EXP((Tnet-t)/(Tau_j))))*Salcycl</f>
        <v>6.906761817248866E-2</v>
      </c>
      <c r="P306" s="169">
        <f>(INDEX(Models!$BJ306:$BT306,,T306)*(1-R306)+INDEX(Models!$BJ306:$BT306,,T306+1)*R306-ERP_i)*Q306*Ramure*Pc/MaxiM</f>
        <v>8.4457237112314223E-4</v>
      </c>
      <c r="Q306" s="305">
        <f t="shared" si="105"/>
        <v>0.7</v>
      </c>
      <c r="R306" s="177">
        <f t="shared" si="106"/>
        <v>0.47292602768582714</v>
      </c>
      <c r="S306" s="921">
        <f t="shared" si="107"/>
        <v>-1</v>
      </c>
      <c r="T306" s="176">
        <f t="shared" si="108"/>
        <v>5</v>
      </c>
      <c r="U306" s="251">
        <f t="shared" si="109"/>
        <v>-0.52707397231417286</v>
      </c>
      <c r="V306" s="383">
        <f t="shared" si="110"/>
        <v>35.505674280099228</v>
      </c>
      <c r="W306" s="402">
        <f t="shared" si="111"/>
        <v>13.991491365675378</v>
      </c>
      <c r="X306" s="157">
        <f t="shared" si="112"/>
        <v>46679</v>
      </c>
      <c r="Y306" s="385">
        <f t="shared" si="113"/>
        <v>13.27630798497831</v>
      </c>
      <c r="Z306" s="385">
        <f t="shared" si="114"/>
        <v>14.314015106093157</v>
      </c>
      <c r="AA306" s="386">
        <f t="shared" si="115"/>
        <v>16.188907401598129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0.11581339302242763</v>
      </c>
      <c r="AD306" s="231">
        <f>(INDEX(Models!$BJ306:$BT306,,AH306)*(1-AF306)+INDEX(Models!$BJ306:$BT306,,AH306+1)*AF306-ERP_i)*AE306*Ramure*Pc/MaxiM</f>
        <v>7.9084845976383662E-3</v>
      </c>
      <c r="AE306" s="305">
        <f t="shared" si="117"/>
        <v>0.7</v>
      </c>
      <c r="AF306" s="177">
        <f t="shared" si="118"/>
        <v>0.99791359405980629</v>
      </c>
      <c r="AG306" s="921">
        <f t="shared" si="124"/>
        <v>2</v>
      </c>
      <c r="AH306" s="176">
        <f t="shared" si="119"/>
        <v>8</v>
      </c>
      <c r="AI306" s="225">
        <f t="shared" si="120"/>
        <v>2.9979135940598063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8.0252515475303863</v>
      </c>
      <c r="C307" s="955"/>
      <c r="D307" s="393">
        <f t="shared" si="102"/>
        <v>8.6527133968776493</v>
      </c>
      <c r="E307" s="385">
        <f t="shared" si="125"/>
        <v>9.2951187946801959</v>
      </c>
      <c r="F307" s="385">
        <f t="shared" si="103"/>
        <v>9.2951187946801959</v>
      </c>
      <c r="G307" s="110">
        <f t="shared" si="126"/>
        <v>0.22740488697626993</v>
      </c>
      <c r="H307" s="414" t="b">
        <f>Wh_hp&gt;='2026'!Maxi_hp</f>
        <v>0</v>
      </c>
      <c r="I307" s="390">
        <f>IF(H307,Wh_hp,'2026'!Maxi_hp)</f>
        <v>32.753589060137877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7.251619469722459E-2</v>
      </c>
      <c r="M307" s="959"/>
      <c r="N307" s="959"/>
      <c r="O307" s="48">
        <f>IF(t&lt;Tnet,'2026'!Resal+('2026'!Salim-'2026'!Resal)*(1-EXP(('2026'!Tnet-t)/('2026'!Tau_j))),Resal+(Salim-Resal)*(1-EXP((Tnet-t)/(Tau_j))))*Salcycl</f>
        <v>6.9112123469601064E-2</v>
      </c>
      <c r="P307" s="169">
        <f>(INDEX(Models!$BJ307:$BT307,,T307)*(1-R307)+INDEX(Models!$BJ307:$BT307,,T307+1)*R307-ERP_i)*Q307*Ramure*Pc/MaxiM</f>
        <v>8.4048801357348882E-4</v>
      </c>
      <c r="Q307" s="305">
        <f t="shared" si="105"/>
        <v>0.7</v>
      </c>
      <c r="R307" s="177">
        <f t="shared" si="106"/>
        <v>0.47301779179882053</v>
      </c>
      <c r="S307" s="921">
        <f t="shared" si="107"/>
        <v>-1</v>
      </c>
      <c r="T307" s="176">
        <f t="shared" si="108"/>
        <v>5</v>
      </c>
      <c r="U307" s="251">
        <f t="shared" si="109"/>
        <v>-0.52698220820117947</v>
      </c>
      <c r="V307" s="383">
        <f t="shared" si="110"/>
        <v>35.260923924803429</v>
      </c>
      <c r="W307" s="402">
        <f t="shared" si="111"/>
        <v>8.0252515475303863</v>
      </c>
      <c r="X307" s="157">
        <f t="shared" si="112"/>
        <v>46680</v>
      </c>
      <c r="Y307" s="385">
        <f t="shared" si="113"/>
        <v>7.6228721709739373</v>
      </c>
      <c r="Z307" s="385">
        <f t="shared" si="114"/>
        <v>8.2188736098583028</v>
      </c>
      <c r="AA307" s="386">
        <f t="shared" si="115"/>
        <v>9.2951187946801959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0.11578606025324302</v>
      </c>
      <c r="AD307" s="231">
        <f>(INDEX(Models!$BJ307:$BT307,,AH307)*(1-AF307)+INDEX(Models!$BJ307:$BT307,,AH307+1)*AF307-ERP_i)*AE307*Ramure*Pc/MaxiM</f>
        <v>7.9973809713091201E-3</v>
      </c>
      <c r="AE307" s="305">
        <f t="shared" si="117"/>
        <v>0.7</v>
      </c>
      <c r="AF307" s="177">
        <f t="shared" si="118"/>
        <v>0.99800535817279945</v>
      </c>
      <c r="AG307" s="921">
        <f t="shared" si="124"/>
        <v>2</v>
      </c>
      <c r="AH307" s="176">
        <f t="shared" si="119"/>
        <v>8</v>
      </c>
      <c r="AI307" s="225">
        <f t="shared" si="120"/>
        <v>2.9980053581727995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14.668609195892937</v>
      </c>
      <c r="C308" s="955"/>
      <c r="D308" s="393">
        <f t="shared" si="102"/>
        <v>15.815834626167611</v>
      </c>
      <c r="E308" s="385">
        <f t="shared" si="125"/>
        <v>16.990848768028812</v>
      </c>
      <c r="F308" s="385">
        <f t="shared" si="103"/>
        <v>16.993261938901551</v>
      </c>
      <c r="G308" s="110">
        <f t="shared" si="126"/>
        <v>0.41864409855106505</v>
      </c>
      <c r="H308" s="414" t="b">
        <f>Wh_hp&gt;='2026'!Maxi_hp</f>
        <v>0</v>
      </c>
      <c r="I308" s="390">
        <f>IF(H308,Wh_hp,'2026'!Maxi_hp)</f>
        <v>25.301063614108177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7.2536508972885105E-2</v>
      </c>
      <c r="M308" s="959"/>
      <c r="N308" s="959"/>
      <c r="O308" s="48">
        <f>IF(t&lt;Tnet,'2026'!Resal+('2026'!Salim-'2026'!Resal)*(1-EXP(('2026'!Tnet-t)/('2026'!Tau_j))),Resal+(Salim-Resal)*(1-EXP((Tnet-t)/(Tau_j))))*Salcycl</f>
        <v>6.9155705986400876E-2</v>
      </c>
      <c r="P308" s="169">
        <f>(INDEX(Models!$BJ308:$BT308,,T308)*(1-R308)+INDEX(Models!$BJ308:$BT308,,T308+1)*R308-ERP_i)*Q308*Ramure*Pc/MaxiM</f>
        <v>8.3579630182336587E-4</v>
      </c>
      <c r="Q308" s="305">
        <f t="shared" si="105"/>
        <v>0.7</v>
      </c>
      <c r="R308" s="177">
        <f t="shared" si="106"/>
        <v>0.47310589299410588</v>
      </c>
      <c r="S308" s="921">
        <f t="shared" si="107"/>
        <v>-1</v>
      </c>
      <c r="T308" s="176">
        <f t="shared" si="108"/>
        <v>5</v>
      </c>
      <c r="U308" s="251">
        <f t="shared" si="109"/>
        <v>-0.52689410700589412</v>
      </c>
      <c r="V308" s="383">
        <f t="shared" si="110"/>
        <v>35.014062982424662</v>
      </c>
      <c r="W308" s="402">
        <f t="shared" si="111"/>
        <v>14.668609195892937</v>
      </c>
      <c r="X308" s="157">
        <f t="shared" si="112"/>
        <v>46681</v>
      </c>
      <c r="Y308" s="385">
        <f t="shared" si="113"/>
        <v>13.917023431977196</v>
      </c>
      <c r="Z308" s="385">
        <f t="shared" si="114"/>
        <v>15.005467672441593</v>
      </c>
      <c r="AA308" s="386">
        <f t="shared" si="115"/>
        <v>16.969853883198184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0.11575740276122973</v>
      </c>
      <c r="AD308" s="231">
        <f>(INDEX(Models!$BJ308:$BT308,,AH308)*(1-AF308)+INDEX(Models!$BJ308:$BT308,,AH308+1)*AF308-ERP_i)*AE308*Ramure*Pc/MaxiM</f>
        <v>8.1073274216761654E-3</v>
      </c>
      <c r="AE308" s="305">
        <f t="shared" si="117"/>
        <v>0.7</v>
      </c>
      <c r="AF308" s="177">
        <f t="shared" si="118"/>
        <v>0.9980934593680848</v>
      </c>
      <c r="AG308" s="921">
        <f t="shared" si="124"/>
        <v>2</v>
      </c>
      <c r="AH308" s="176">
        <f t="shared" si="119"/>
        <v>8</v>
      </c>
      <c r="AI308" s="225">
        <f t="shared" si="120"/>
        <v>2.9980934593680848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31.644424750693894</v>
      </c>
      <c r="C309" s="955"/>
      <c r="D309" s="393">
        <f t="shared" si="102"/>
        <v>34.120068516060783</v>
      </c>
      <c r="E309" s="385">
        <f t="shared" si="125"/>
        <v>36.65665031983589</v>
      </c>
      <c r="F309" s="385">
        <f t="shared" si="103"/>
        <v>36.683209165530783</v>
      </c>
      <c r="G309" s="110">
        <f t="shared" si="126"/>
        <v>0.91014111420478294</v>
      </c>
      <c r="H309" s="414" t="b">
        <f>Wh_hp&gt;='2026'!Maxi_hp</f>
        <v>0</v>
      </c>
      <c r="I309" s="390">
        <f>IF(H309,Wh_hp,'2026'!Maxi_hp)</f>
        <v>36.686115319069664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7.2556822803610976E-2</v>
      </c>
      <c r="M309" s="959"/>
      <c r="N309" s="959"/>
      <c r="O309" s="48">
        <f>IF(t&lt;Tnet,'2026'!Resal+('2026'!Salim-'2026'!Resal)*(1-EXP(('2026'!Tnet-t)/('2026'!Tau_j))),Resal+(Salim-Resal)*(1-EXP((Tnet-t)/(Tau_j))))*Salcycl</f>
        <v>6.9198406882324828E-2</v>
      </c>
      <c r="P309" s="169">
        <f>(INDEX(Models!$BJ309:$BT309,,T309)*(1-R309)+INDEX(Models!$BJ309:$BT309,,T309+1)*R309-ERP_i)*Q309*Ramure*Pc/MaxiM</f>
        <v>8.3050180213004477E-4</v>
      </c>
      <c r="Q309" s="305">
        <f t="shared" si="105"/>
        <v>0.7</v>
      </c>
      <c r="R309" s="177">
        <f t="shared" si="106"/>
        <v>0.4731904762599517</v>
      </c>
      <c r="S309" s="921">
        <f t="shared" si="107"/>
        <v>-1</v>
      </c>
      <c r="T309" s="176">
        <f t="shared" si="108"/>
        <v>5</v>
      </c>
      <c r="U309" s="251">
        <f t="shared" si="109"/>
        <v>-0.5268095237400483</v>
      </c>
      <c r="V309" s="383">
        <f t="shared" si="110"/>
        <v>34.764996110385383</v>
      </c>
      <c r="W309" s="402">
        <f t="shared" si="111"/>
        <v>31.644424750693894</v>
      </c>
      <c r="X309" s="157">
        <f t="shared" si="112"/>
        <v>46682</v>
      </c>
      <c r="Y309" s="385">
        <f t="shared" si="113"/>
        <v>29.868291788490243</v>
      </c>
      <c r="Z309" s="385">
        <f t="shared" si="114"/>
        <v>32.204983036028672</v>
      </c>
      <c r="AA309" s="386">
        <f t="shared" si="115"/>
        <v>36.419749293664751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0.11572749234628139</v>
      </c>
      <c r="AD309" s="231">
        <f>(INDEX(Models!$BJ309:$BT309,,AH309)*(1-AF309)+INDEX(Models!$BJ309:$BT309,,AH309+1)*AF309-ERP_i)*AE309*Ramure*Pc/MaxiM</f>
        <v>8.2384566290004003E-3</v>
      </c>
      <c r="AE309" s="305">
        <f t="shared" si="117"/>
        <v>0.7</v>
      </c>
      <c r="AF309" s="177">
        <f t="shared" si="118"/>
        <v>0.99817804263393084</v>
      </c>
      <c r="AG309" s="921">
        <f t="shared" si="124"/>
        <v>2</v>
      </c>
      <c r="AH309" s="176">
        <f t="shared" si="119"/>
        <v>8</v>
      </c>
      <c r="AI309" s="225">
        <f t="shared" si="120"/>
        <v>2.9981780426339308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18.024894516073182</v>
      </c>
      <c r="C310" s="955"/>
      <c r="D310" s="393">
        <f t="shared" si="102"/>
        <v>19.435464898948716</v>
      </c>
      <c r="E310" s="385">
        <f t="shared" si="125"/>
        <v>20.881291154268979</v>
      </c>
      <c r="F310" s="385">
        <f t="shared" si="103"/>
        <v>20.88676041193472</v>
      </c>
      <c r="G310" s="110">
        <f t="shared" si="126"/>
        <v>0.52196043536951431</v>
      </c>
      <c r="H310" s="414" t="b">
        <f>Wh_hp&gt;='2026'!Maxi_hp</f>
        <v>0</v>
      </c>
      <c r="I310" s="390">
        <f>IF(H310,Wh_hp,'2026'!Maxi_hp)</f>
        <v>40.417600881584974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7.2577136189411751E-2</v>
      </c>
      <c r="M310" s="959"/>
      <c r="N310" s="959"/>
      <c r="O310" s="48">
        <f>IF(t&lt;Tnet,'2026'!Resal+('2026'!Salim-'2026'!Resal)*(1-EXP(('2026'!Tnet-t)/('2026'!Tau_j))),Resal+(Salim-Resal)*(1-EXP((Tnet-t)/(Tau_j))))*Salcycl</f>
        <v>6.9240270854835362E-2</v>
      </c>
      <c r="P310" s="169">
        <f>(INDEX(Models!$BJ310:$BT310,,T310)*(1-R310)+INDEX(Models!$BJ310:$BT310,,T310+1)*R310-ERP_i)*Q310*Ramure*Pc/MaxiM</f>
        <v>8.2471678523144938E-4</v>
      </c>
      <c r="Q310" s="305">
        <f t="shared" si="105"/>
        <v>0.7</v>
      </c>
      <c r="R310" s="177">
        <f t="shared" si="106"/>
        <v>0.47327168094177352</v>
      </c>
      <c r="S310" s="921">
        <f t="shared" si="107"/>
        <v>-1</v>
      </c>
      <c r="T310" s="176">
        <f t="shared" si="108"/>
        <v>5</v>
      </c>
      <c r="U310" s="251">
        <f t="shared" si="109"/>
        <v>-0.52672831905822648</v>
      </c>
      <c r="V310" s="383">
        <f t="shared" si="110"/>
        <v>34.513624165507835</v>
      </c>
      <c r="W310" s="402">
        <f t="shared" si="111"/>
        <v>18.024894516073182</v>
      </c>
      <c r="X310" s="157">
        <f t="shared" si="112"/>
        <v>46683</v>
      </c>
      <c r="Y310" s="385">
        <f t="shared" si="113"/>
        <v>17.08398575471811</v>
      </c>
      <c r="Z310" s="385">
        <f t="shared" si="114"/>
        <v>18.42092363835366</v>
      </c>
      <c r="AA310" s="386">
        <f t="shared" si="115"/>
        <v>20.830994890109338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0.11569640645920327</v>
      </c>
      <c r="AD310" s="231">
        <f>(INDEX(Models!$BJ310:$BT310,,AH310)*(1-AF310)+INDEX(Models!$BJ310:$BT310,,AH310+1)*AF310-ERP_i)*AE310*Ramure*Pc/MaxiM</f>
        <v>8.4089587101856024E-3</v>
      </c>
      <c r="AE310" s="305">
        <f t="shared" si="117"/>
        <v>0.7</v>
      </c>
      <c r="AF310" s="177">
        <f t="shared" si="118"/>
        <v>0.99825924731575233</v>
      </c>
      <c r="AG310" s="921">
        <f t="shared" si="124"/>
        <v>2</v>
      </c>
      <c r="AH310" s="176">
        <f t="shared" si="119"/>
        <v>8</v>
      </c>
      <c r="AI310" s="225">
        <f t="shared" si="120"/>
        <v>2.9982592473157523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24.046921014125843</v>
      </c>
      <c r="C311" s="955"/>
      <c r="D311" s="393">
        <f t="shared" si="102"/>
        <v>25.929323778088637</v>
      </c>
      <c r="E311" s="385">
        <f t="shared" si="125"/>
        <v>27.859465014064654</v>
      </c>
      <c r="F311" s="385">
        <f t="shared" si="103"/>
        <v>27.872571972593665</v>
      </c>
      <c r="G311" s="110">
        <f t="shared" si="126"/>
        <v>0.70165347247094922</v>
      </c>
      <c r="H311" s="414" t="b">
        <f>Wh_hp&gt;='2026'!Maxi_hp</f>
        <v>0</v>
      </c>
      <c r="I311" s="390">
        <f>IF(H311,Wh_hp,'2026'!Maxi_hp)</f>
        <v>41.588960428568228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7.2597449130297198E-2</v>
      </c>
      <c r="M311" s="959"/>
      <c r="N311" s="959"/>
      <c r="O311" s="48">
        <f>IF(t&lt;Tnet,'2026'!Resal+('2026'!Salim-'2026'!Resal)*(1-EXP(('2026'!Tnet-t)/('2026'!Tau_j))),Resal+(Salim-Resal)*(1-EXP((Tnet-t)/(Tau_j))))*Salcycl</f>
        <v>6.9281346034519964E-2</v>
      </c>
      <c r="P311" s="169">
        <f>(INDEX(Models!$BJ311:$BT311,,T311)*(1-R311)+INDEX(Models!$BJ311:$BT311,,T311+1)*R311-ERP_i)*Q311*Ramure*Pc/MaxiM</f>
        <v>8.190428701680166E-4</v>
      </c>
      <c r="Q311" s="305">
        <f t="shared" si="105"/>
        <v>0.7</v>
      </c>
      <c r="R311" s="177">
        <f t="shared" si="106"/>
        <v>0.47334964095416621</v>
      </c>
      <c r="S311" s="921">
        <f t="shared" si="107"/>
        <v>-1</v>
      </c>
      <c r="T311" s="176">
        <f t="shared" si="108"/>
        <v>5</v>
      </c>
      <c r="U311" s="251">
        <f t="shared" si="109"/>
        <v>-0.52665035904583379</v>
      </c>
      <c r="V311" s="383">
        <f t="shared" si="110"/>
        <v>34.259831262072325</v>
      </c>
      <c r="W311" s="402">
        <f t="shared" si="111"/>
        <v>24.046921014125843</v>
      </c>
      <c r="X311" s="157">
        <f t="shared" si="112"/>
        <v>46684</v>
      </c>
      <c r="Y311" s="385">
        <f t="shared" si="113"/>
        <v>22.74623443180419</v>
      </c>
      <c r="Z311" s="385">
        <f t="shared" si="114"/>
        <v>24.526818920729887</v>
      </c>
      <c r="AA311" s="386">
        <f t="shared" si="115"/>
        <v>27.73473571621513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0.11566422800307172</v>
      </c>
      <c r="AD311" s="231">
        <f>(INDEX(Models!$BJ311:$BT311,,AH311)*(1-AF311)+INDEX(Models!$BJ311:$BT311,,AH311+1)*AF311-ERP_i)*AE311*Ramure*Pc/MaxiM</f>
        <v>8.6132723154351849E-3</v>
      </c>
      <c r="AE311" s="305">
        <f t="shared" si="117"/>
        <v>0.7</v>
      </c>
      <c r="AF311" s="177">
        <f t="shared" si="118"/>
        <v>0.99833720732814513</v>
      </c>
      <c r="AG311" s="921">
        <f t="shared" si="124"/>
        <v>2</v>
      </c>
      <c r="AH311" s="176">
        <f t="shared" si="119"/>
        <v>8</v>
      </c>
      <c r="AI311" s="225">
        <f t="shared" si="120"/>
        <v>2.9983372073281451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21.238102326705551</v>
      </c>
      <c r="C312" s="955"/>
      <c r="D312" s="393">
        <f t="shared" si="102"/>
        <v>22.901131214189672</v>
      </c>
      <c r="E312" s="385">
        <f t="shared" si="125"/>
        <v>24.606924666608631</v>
      </c>
      <c r="F312" s="385">
        <f t="shared" si="103"/>
        <v>24.616210204838161</v>
      </c>
      <c r="G312" s="110">
        <f t="shared" si="126"/>
        <v>0.62431276952402659</v>
      </c>
      <c r="H312" s="414" t="b">
        <f>Wh_hp&gt;='2026'!Maxi_hp</f>
        <v>0</v>
      </c>
      <c r="I312" s="390">
        <f>IF(H312,Wh_hp,'2026'!Maxi_hp)</f>
        <v>39.380465592356508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7.26177616262772E-2</v>
      </c>
      <c r="M312" s="959"/>
      <c r="N312" s="959"/>
      <c r="O312" s="48">
        <f>IF(t&lt;Tnet,'2026'!Resal+('2026'!Salim-'2026'!Resal)*(1-EXP(('2026'!Tnet-t)/('2026'!Tau_j))),Resal+(Salim-Resal)*(1-EXP((Tnet-t)/(Tau_j))))*Salcycl</f>
        <v>6.9321683856483976E-2</v>
      </c>
      <c r="P312" s="169">
        <f>(INDEX(Models!$BJ312:$BT312,,T312)*(1-R312)+INDEX(Models!$BJ312:$BT312,,T312+1)*R312-ERP_i)*Q312*Ramure*Pc/MaxiM</f>
        <v>8.1349519467282584E-4</v>
      </c>
      <c r="Q312" s="305">
        <f t="shared" si="105"/>
        <v>0.7</v>
      </c>
      <c r="R312" s="177">
        <f t="shared" si="106"/>
        <v>0.47342448498557443</v>
      </c>
      <c r="S312" s="921">
        <f t="shared" si="107"/>
        <v>-1</v>
      </c>
      <c r="T312" s="176">
        <f t="shared" si="108"/>
        <v>5</v>
      </c>
      <c r="U312" s="251">
        <f t="shared" si="109"/>
        <v>-0.52657551501442557</v>
      </c>
      <c r="V312" s="383">
        <f t="shared" si="110"/>
        <v>34.003522027041598</v>
      </c>
      <c r="W312" s="402">
        <f t="shared" si="111"/>
        <v>21.238102326705551</v>
      </c>
      <c r="X312" s="157">
        <f t="shared" si="112"/>
        <v>46685</v>
      </c>
      <c r="Y312" s="385">
        <f t="shared" si="113"/>
        <v>20.106072295724527</v>
      </c>
      <c r="Z312" s="385">
        <f t="shared" si="114"/>
        <v>21.68045867579151</v>
      </c>
      <c r="AA312" s="386">
        <f t="shared" si="115"/>
        <v>24.515173848622908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0.11563104509620402</v>
      </c>
      <c r="AD312" s="231">
        <f>(INDEX(Models!$BJ312:$BT312,,AH312)*(1-AF312)+INDEX(Models!$BJ312:$BT312,,AH312+1)*AF312-ERP_i)*AE312*Ramure*Pc/MaxiM</f>
        <v>8.8516775481011448E-3</v>
      </c>
      <c r="AE312" s="305">
        <f t="shared" si="117"/>
        <v>0.7</v>
      </c>
      <c r="AF312" s="177">
        <f t="shared" si="118"/>
        <v>0.99841205135955313</v>
      </c>
      <c r="AG312" s="921">
        <f t="shared" si="124"/>
        <v>2</v>
      </c>
      <c r="AH312" s="176">
        <f t="shared" si="119"/>
        <v>8</v>
      </c>
      <c r="AI312" s="225">
        <f t="shared" si="120"/>
        <v>2.9984120513595531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11.872347357084983</v>
      </c>
      <c r="C313" s="955"/>
      <c r="D313" s="393">
        <f t="shared" si="102"/>
        <v>12.802280339633517</v>
      </c>
      <c r="E313" s="385">
        <f t="shared" si="125"/>
        <v>13.7564458418453</v>
      </c>
      <c r="F313" s="385">
        <f t="shared" si="103"/>
        <v>13.757268969403089</v>
      </c>
      <c r="G313" s="110">
        <f t="shared" si="126"/>
        <v>0.35156626220654985</v>
      </c>
      <c r="H313" s="414" t="b">
        <f>Wh_hp&gt;='2026'!Maxi_hp</f>
        <v>0</v>
      </c>
      <c r="I313" s="390">
        <f>IF(H313,Wh_hp,'2026'!Maxi_hp)</f>
        <v>38.95254653773808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7.2638073677361303E-2</v>
      </c>
      <c r="M313" s="959"/>
      <c r="N313" s="959"/>
      <c r="O313" s="48">
        <f>IF(t&lt;Tnet,'2026'!Resal+('2026'!Salim-'2026'!Resal)*(1-EXP(('2026'!Tnet-t)/('2026'!Tau_j))),Resal+(Salim-Resal)*(1-EXP((Tnet-t)/(Tau_j))))*Salcycl</f>
        <v>6.9361338908436404E-2</v>
      </c>
      <c r="P313" s="169">
        <f>(INDEX(Models!$BJ313:$BT313,,T313)*(1-R313)+INDEX(Models!$BJ313:$BT313,,T313+1)*R313-ERP_i)*Q313*Ramure*Pc/MaxiM</f>
        <v>8.0808239531702825E-4</v>
      </c>
      <c r="Q313" s="305">
        <f t="shared" si="105"/>
        <v>0.7</v>
      </c>
      <c r="R313" s="177">
        <f t="shared" si="106"/>
        <v>0.47349633669580393</v>
      </c>
      <c r="S313" s="921">
        <f t="shared" si="107"/>
        <v>-1</v>
      </c>
      <c r="T313" s="176">
        <f t="shared" si="108"/>
        <v>5</v>
      </c>
      <c r="U313" s="251">
        <f t="shared" si="109"/>
        <v>-0.52650366330419607</v>
      </c>
      <c r="V313" s="383">
        <f t="shared" si="110"/>
        <v>33.744601273032522</v>
      </c>
      <c r="W313" s="402">
        <f t="shared" si="111"/>
        <v>11.872347357084983</v>
      </c>
      <c r="X313" s="157">
        <f t="shared" si="112"/>
        <v>46686</v>
      </c>
      <c r="Y313" s="385">
        <f t="shared" si="113"/>
        <v>11.275562499139687</v>
      </c>
      <c r="Z313" s="385">
        <f t="shared" si="114"/>
        <v>12.158750730528485</v>
      </c>
      <c r="AA313" s="386">
        <f t="shared" si="115"/>
        <v>13.747974683595128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0.11559695079763239</v>
      </c>
      <c r="AD313" s="231">
        <f>(INDEX(Models!$BJ313:$BT313,,AH313)*(1-AF313)+INDEX(Models!$BJ313:$BT313,,AH313+1)*AF313-ERP_i)*AE313*Ramure*Pc/MaxiM</f>
        <v>9.1244044345083087E-3</v>
      </c>
      <c r="AE313" s="305">
        <f t="shared" si="117"/>
        <v>0.7</v>
      </c>
      <c r="AF313" s="177">
        <f t="shared" si="118"/>
        <v>0.99848390306978274</v>
      </c>
      <c r="AG313" s="921">
        <f t="shared" si="124"/>
        <v>2</v>
      </c>
      <c r="AH313" s="176">
        <f t="shared" si="119"/>
        <v>8</v>
      </c>
      <c r="AI313" s="225">
        <f t="shared" si="120"/>
        <v>2.9984839030697827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13.0083719531751</v>
      </c>
      <c r="C314" s="955"/>
      <c r="D314" s="393">
        <f t="shared" si="102"/>
        <v>14.027594304772741</v>
      </c>
      <c r="E314" s="385">
        <f t="shared" si="125"/>
        <v>15.073715735328715</v>
      </c>
      <c r="F314" s="385">
        <f t="shared" si="103"/>
        <v>15.075245973296946</v>
      </c>
      <c r="G314" s="110">
        <f t="shared" si="126"/>
        <v>0.38823457717961962</v>
      </c>
      <c r="H314" s="414" t="b">
        <f>Wh_hp&gt;='2026'!Maxi_hp</f>
        <v>0</v>
      </c>
      <c r="I314" s="390">
        <f>IF(H314,Wh_hp,'2026'!Maxi_hp)</f>
        <v>33.191570367929572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7.265838528355939E-2</v>
      </c>
      <c r="M314" s="959"/>
      <c r="N314" s="959"/>
      <c r="O314" s="48">
        <f>IF(t&lt;Tnet,'2026'!Resal+('2026'!Salim-'2026'!Resal)*(1-EXP(('2026'!Tnet-t)/('2026'!Tau_j))),Resal+(Salim-Resal)*(1-EXP((Tnet-t)/(Tau_j))))*Salcycl</f>
        <v>6.9400368756069114E-2</v>
      </c>
      <c r="P314" s="169">
        <f>(INDEX(Models!$BJ314:$BT314,,T314)*(1-R314)+INDEX(Models!$BJ314:$BT314,,T314+1)*R314-ERP_i)*Q314*Ramure*Pc/MaxiM</f>
        <v>8.0281347799878323E-4</v>
      </c>
      <c r="Q314" s="305">
        <f t="shared" si="105"/>
        <v>0.7</v>
      </c>
      <c r="R314" s="177">
        <f t="shared" si="106"/>
        <v>0.47356531490658127</v>
      </c>
      <c r="S314" s="921">
        <f t="shared" si="107"/>
        <v>-1</v>
      </c>
      <c r="T314" s="176">
        <f t="shared" si="108"/>
        <v>5</v>
      </c>
      <c r="U314" s="251">
        <f t="shared" si="109"/>
        <v>-0.52643468509341873</v>
      </c>
      <c r="V314" s="383">
        <f t="shared" si="110"/>
        <v>33.482973777425684</v>
      </c>
      <c r="W314" s="402">
        <f t="shared" si="111"/>
        <v>13.0083719531751</v>
      </c>
      <c r="X314" s="157">
        <f t="shared" si="112"/>
        <v>46687</v>
      </c>
      <c r="Y314" s="385">
        <f t="shared" si="113"/>
        <v>12.349611906212317</v>
      </c>
      <c r="Z314" s="385">
        <f t="shared" si="114"/>
        <v>13.317219577155006</v>
      </c>
      <c r="AA314" s="386">
        <f t="shared" si="115"/>
        <v>15.057268255717595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0.11556204279629889</v>
      </c>
      <c r="AD314" s="231">
        <f>(INDEX(Models!$BJ314:$BT314,,AH314)*(1-AF314)+INDEX(Models!$BJ314:$BT314,,AH314+1)*AF314-ERP_i)*AE314*Ramure*Pc/MaxiM</f>
        <v>9.4317055752133842E-3</v>
      </c>
      <c r="AE314" s="305">
        <f t="shared" si="117"/>
        <v>0.7</v>
      </c>
      <c r="AF314" s="177">
        <f t="shared" si="118"/>
        <v>0.99855288128056019</v>
      </c>
      <c r="AG314" s="921">
        <f t="shared" si="124"/>
        <v>2</v>
      </c>
      <c r="AH314" s="176">
        <f t="shared" si="119"/>
        <v>8</v>
      </c>
      <c r="AI314" s="225">
        <f t="shared" si="120"/>
        <v>2.9985528812805602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16.387321069296291</v>
      </c>
      <c r="C315" s="955"/>
      <c r="D315" s="393">
        <f t="shared" si="102"/>
        <v>17.671675401472378</v>
      </c>
      <c r="E315" s="385">
        <f t="shared" si="125"/>
        <v>18.990342647351326</v>
      </c>
      <c r="F315" s="385">
        <f t="shared" si="103"/>
        <v>18.994527133872687</v>
      </c>
      <c r="G315" s="110">
        <f t="shared" si="126"/>
        <v>0.49303355471297056</v>
      </c>
      <c r="H315" s="414" t="b">
        <f>Wh_hp&gt;='2026'!Maxi_hp</f>
        <v>0</v>
      </c>
      <c r="I315" s="390">
        <f>IF(H315,Wh_hp,'2026'!Maxi_hp)</f>
        <v>38.41572407667438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7.267869644488123E-2</v>
      </c>
      <c r="M315" s="959"/>
      <c r="N315" s="959"/>
      <c r="O315" s="48">
        <f>IF(t&lt;Tnet,'2026'!Resal+('2026'!Salim-'2026'!Resal)*(1-EXP(('2026'!Tnet-t)/('2026'!Tau_j))),Resal+(Salim-Resal)*(1-EXP((Tnet-t)/(Tau_j))))*Salcycl</f>
        <v>6.9438833746523723E-2</v>
      </c>
      <c r="P315" s="169">
        <f>(INDEX(Models!$BJ315:$BT315,,T315)*(1-R315)+INDEX(Models!$BJ315:$BT315,,T315+1)*R315-ERP_i)*Q315*Ramure*Pc/MaxiM</f>
        <v>7.9769781619206987E-4</v>
      </c>
      <c r="Q315" s="305">
        <f t="shared" si="105"/>
        <v>0.7</v>
      </c>
      <c r="R315" s="177">
        <f t="shared" si="106"/>
        <v>0.47363153378536338</v>
      </c>
      <c r="S315" s="921">
        <f t="shared" si="107"/>
        <v>-1</v>
      </c>
      <c r="T315" s="176">
        <f t="shared" si="108"/>
        <v>5</v>
      </c>
      <c r="U315" s="251">
        <f t="shared" si="109"/>
        <v>-0.52636846621463662</v>
      </c>
      <c r="V315" s="383">
        <f t="shared" si="110"/>
        <v>33.218544291090588</v>
      </c>
      <c r="W315" s="402">
        <f t="shared" si="111"/>
        <v>16.387321069296291</v>
      </c>
      <c r="X315" s="157">
        <f t="shared" si="112"/>
        <v>46688</v>
      </c>
      <c r="Y315" s="385">
        <f t="shared" si="113"/>
        <v>15.537091977011791</v>
      </c>
      <c r="Z315" s="385">
        <f t="shared" si="114"/>
        <v>16.754809705596596</v>
      </c>
      <c r="AA315" s="386">
        <f t="shared" si="115"/>
        <v>18.943256353307046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0.11552642306550419</v>
      </c>
      <c r="AD315" s="231">
        <f>(INDEX(Models!$BJ315:$BT315,,AH315)*(1-AF315)+INDEX(Models!$BJ315:$BT315,,AH315+1)*AF315-ERP_i)*AE315*Ramure*Pc/MaxiM</f>
        <v>9.7738610180445832E-3</v>
      </c>
      <c r="AE315" s="305">
        <f t="shared" si="117"/>
        <v>0.7</v>
      </c>
      <c r="AF315" s="177">
        <f t="shared" si="118"/>
        <v>0.9986191001593423</v>
      </c>
      <c r="AG315" s="921">
        <f t="shared" si="124"/>
        <v>2</v>
      </c>
      <c r="AH315" s="176">
        <f t="shared" si="119"/>
        <v>8</v>
      </c>
      <c r="AI315" s="225">
        <f t="shared" si="120"/>
        <v>2.9986191001593423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24.474753309542155</v>
      </c>
      <c r="C316" s="955"/>
      <c r="D316" s="393">
        <f t="shared" si="102"/>
        <v>26.39353726411937</v>
      </c>
      <c r="E316" s="385">
        <f t="shared" si="125"/>
        <v>28.364190353445032</v>
      </c>
      <c r="F316" s="385">
        <f t="shared" si="103"/>
        <v>28.37841984466878</v>
      </c>
      <c r="G316" s="110">
        <f t="shared" si="126"/>
        <v>0.74254068359204461</v>
      </c>
      <c r="H316" s="414" t="b">
        <f>Wh_hp&gt;='2026'!Maxi_hp</f>
        <v>0</v>
      </c>
      <c r="I316" s="390">
        <f>IF(H316,Wh_hp,'2026'!Maxi_hp)</f>
        <v>30.720187323726929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7.2699007161336482E-2</v>
      </c>
      <c r="M316" s="959"/>
      <c r="N316" s="959"/>
      <c r="O316" s="48">
        <f>IF(t&lt;Tnet,'2026'!Resal+('2026'!Salim-'2026'!Resal)*(1-EXP(('2026'!Tnet-t)/('2026'!Tau_j))),Resal+(Salim-Resal)*(1-EXP((Tnet-t)/(Tau_j))))*Salcycl</f>
        <v>6.9476796790933631E-2</v>
      </c>
      <c r="P316" s="169">
        <f>(INDEX(Models!$BJ316:$BT316,,T316)*(1-R316)+INDEX(Models!$BJ316:$BT316,,T316+1)*R316-ERP_i)*Q316*Ramure*Pc/MaxiM</f>
        <v>7.9274514944722941E-4</v>
      </c>
      <c r="Q316" s="305">
        <f t="shared" si="105"/>
        <v>0.7</v>
      </c>
      <c r="R316" s="177">
        <f t="shared" si="106"/>
        <v>0.47369510302259954</v>
      </c>
      <c r="S316" s="921">
        <f t="shared" si="107"/>
        <v>-1</v>
      </c>
      <c r="T316" s="176">
        <f t="shared" si="108"/>
        <v>5</v>
      </c>
      <c r="U316" s="251">
        <f t="shared" si="109"/>
        <v>-0.52630489697740046</v>
      </c>
      <c r="V316" s="383">
        <f t="shared" si="110"/>
        <v>32.951217553752336</v>
      </c>
      <c r="W316" s="402">
        <f t="shared" si="111"/>
        <v>24.474753309542155</v>
      </c>
      <c r="X316" s="157">
        <f t="shared" si="112"/>
        <v>46689</v>
      </c>
      <c r="Y316" s="385">
        <f t="shared" si="113"/>
        <v>23.126723471533268</v>
      </c>
      <c r="Z316" s="385">
        <f t="shared" si="114"/>
        <v>24.939823908456628</v>
      </c>
      <c r="AA316" s="386">
        <f t="shared" si="115"/>
        <v>28.196209739595478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0.11549019748444987</v>
      </c>
      <c r="AD316" s="231">
        <f>(INDEX(Models!$BJ316:$BT316,,AH316)*(1-AF316)+INDEX(Models!$BJ316:$BT316,,AH316+1)*AF316-ERP_i)*AE316*Ramure*Pc/MaxiM</f>
        <v>1.0151183531849595E-2</v>
      </c>
      <c r="AE316" s="305">
        <f t="shared" si="117"/>
        <v>0.7</v>
      </c>
      <c r="AF316" s="177">
        <f t="shared" si="118"/>
        <v>0.99868266939657824</v>
      </c>
      <c r="AG316" s="921">
        <f t="shared" si="124"/>
        <v>2</v>
      </c>
      <c r="AH316" s="176">
        <f t="shared" si="119"/>
        <v>8</v>
      </c>
      <c r="AI316" s="225">
        <f t="shared" si="120"/>
        <v>2.9986826693965782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20.042740906061759</v>
      </c>
      <c r="C317" s="955"/>
      <c r="D317" s="393">
        <f t="shared" si="102"/>
        <v>21.614535148705826</v>
      </c>
      <c r="E317" s="385">
        <f t="shared" si="125"/>
        <v>23.229304529811603</v>
      </c>
      <c r="F317" s="385">
        <f t="shared" si="103"/>
        <v>23.237501274185419</v>
      </c>
      <c r="G317" s="110">
        <f t="shared" si="126"/>
        <v>0.61306757043378357</v>
      </c>
      <c r="H317" s="414" t="b">
        <f>Wh_hp&gt;='2026'!Maxi_hp</f>
        <v>0</v>
      </c>
      <c r="I317" s="390">
        <f>IF(H317,Wh_hp,'2026'!Maxi_hp)</f>
        <v>35.207799824990232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7.2719317432934916E-2</v>
      </c>
      <c r="M317" s="959"/>
      <c r="N317" s="959"/>
      <c r="O317" s="48">
        <f>IF(t&lt;Tnet,'2026'!Resal+('2026'!Salim-'2026'!Resal)*(1-EXP(('2026'!Tnet-t)/('2026'!Tau_j))),Resal+(Salim-Resal)*(1-EXP((Tnet-t)/(Tau_j))))*Salcycl</f>
        <v>6.9514323127213909E-2</v>
      </c>
      <c r="P317" s="169">
        <f>(INDEX(Models!$BJ317:$BT317,,T317)*(1-R317)+INDEX(Models!$BJ317:$BT317,,T317+1)*R317-ERP_i)*Q317*Ramure*Pc/MaxiM</f>
        <v>7.8802789354592514E-4</v>
      </c>
      <c r="Q317" s="305">
        <f t="shared" si="105"/>
        <v>0.7</v>
      </c>
      <c r="R317" s="177">
        <f t="shared" si="106"/>
        <v>0.47375612800264211</v>
      </c>
      <c r="S317" s="921">
        <f t="shared" si="107"/>
        <v>-1</v>
      </c>
      <c r="T317" s="176">
        <f t="shared" si="108"/>
        <v>5</v>
      </c>
      <c r="U317" s="251">
        <f t="shared" si="109"/>
        <v>-0.52624387199735789</v>
      </c>
      <c r="V317" s="383">
        <f t="shared" si="110"/>
        <v>32.678312125043938</v>
      </c>
      <c r="W317" s="402">
        <f t="shared" si="111"/>
        <v>20.042740906061759</v>
      </c>
      <c r="X317" s="157">
        <f t="shared" si="112"/>
        <v>46690</v>
      </c>
      <c r="Y317" s="385">
        <f t="shared" si="113"/>
        <v>18.96979539401055</v>
      </c>
      <c r="Z317" s="385">
        <f t="shared" si="114"/>
        <v>20.457446974410114</v>
      </c>
      <c r="AA317" s="386">
        <f t="shared" si="115"/>
        <v>23.127609917784788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0.11545347542900918</v>
      </c>
      <c r="AD317" s="231">
        <f>(INDEX(Models!$BJ317:$BT317,,AH317)*(1-AF317)+INDEX(Models!$BJ317:$BT317,,AH317+1)*AF317-ERP_i)*AE317*Ramure*Pc/MaxiM</f>
        <v>1.0564859675251099E-2</v>
      </c>
      <c r="AE317" s="305">
        <f t="shared" si="117"/>
        <v>0.7</v>
      </c>
      <c r="AF317" s="177">
        <f t="shared" si="118"/>
        <v>0.99874369437662125</v>
      </c>
      <c r="AG317" s="921">
        <f t="shared" si="124"/>
        <v>2</v>
      </c>
      <c r="AH317" s="176">
        <f t="shared" si="119"/>
        <v>8</v>
      </c>
      <c r="AI317" s="225">
        <f t="shared" si="120"/>
        <v>2.9987436943766212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20.722664621727439</v>
      </c>
      <c r="C318" s="955"/>
      <c r="D318" s="393">
        <f t="shared" si="102"/>
        <v>22.348269408392994</v>
      </c>
      <c r="E318" s="385">
        <f t="shared" si="125"/>
        <v>24.018813431979012</v>
      </c>
      <c r="F318" s="385">
        <f t="shared" si="103"/>
        <v>24.027951275471409</v>
      </c>
      <c r="G318" s="110">
        <f t="shared" si="126"/>
        <v>0.63936833324990539</v>
      </c>
      <c r="H318" s="414" t="b">
        <f>Wh_hp&gt;='2026'!Maxi_hp</f>
        <v>0</v>
      </c>
      <c r="I318" s="390">
        <f>IF(H318,Wh_hp,'2026'!Maxi_hp)</f>
        <v>35.869115091380415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7.2739627259686301E-2</v>
      </c>
      <c r="M318" s="959"/>
      <c r="N318" s="959"/>
      <c r="O318" s="48">
        <f>IF(t&lt;Tnet,'2026'!Resal+('2026'!Salim-'2026'!Resal)*(1-EXP(('2026'!Tnet-t)/('2026'!Tau_j))),Resal+(Salim-Resal)*(1-EXP((Tnet-t)/(Tau_j))))*Salcycl</f>
        <v>6.9551480064449445E-2</v>
      </c>
      <c r="P318" s="169">
        <f>(INDEX(Models!$BJ318:$BT318,,T318)*(1-R318)+INDEX(Models!$BJ318:$BT318,,T318+1)*R318-ERP_i)*Q318*Ramure*Pc/MaxiM</f>
        <v>7.8383272349068082E-4</v>
      </c>
      <c r="Q318" s="305">
        <f t="shared" si="105"/>
        <v>0.7</v>
      </c>
      <c r="R318" s="177">
        <f t="shared" si="106"/>
        <v>0.47381470996850306</v>
      </c>
      <c r="S318" s="921">
        <f t="shared" si="107"/>
        <v>-1</v>
      </c>
      <c r="T318" s="176">
        <f t="shared" si="108"/>
        <v>5</v>
      </c>
      <c r="U318" s="251">
        <f t="shared" si="109"/>
        <v>-0.52618529003149694</v>
      </c>
      <c r="V318" s="383">
        <f t="shared" si="110"/>
        <v>32.398068689936125</v>
      </c>
      <c r="W318" s="402">
        <f t="shared" si="111"/>
        <v>20.722664621727439</v>
      </c>
      <c r="X318" s="157">
        <f t="shared" si="112"/>
        <v>46691</v>
      </c>
      <c r="Y318" s="385">
        <f t="shared" si="113"/>
        <v>19.603301507356743</v>
      </c>
      <c r="Z318" s="385">
        <f t="shared" si="114"/>
        <v>21.141097024801681</v>
      </c>
      <c r="AA318" s="386">
        <f t="shared" si="115"/>
        <v>23.899489309889152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0.11541636933413886</v>
      </c>
      <c r="AD318" s="231">
        <f>(INDEX(Models!$BJ318:$BT318,,AH318)*(1-AF318)+INDEX(Models!$BJ318:$BT318,,AH318+1)*AF318-ERP_i)*AE318*Ramure*Pc/MaxiM</f>
        <v>1.1019305860415229E-2</v>
      </c>
      <c r="AE318" s="305">
        <f t="shared" si="117"/>
        <v>0.7</v>
      </c>
      <c r="AF318" s="177">
        <f t="shared" si="118"/>
        <v>0.99880227634248175</v>
      </c>
      <c r="AG318" s="921">
        <f t="shared" si="124"/>
        <v>2</v>
      </c>
      <c r="AH318" s="176">
        <f t="shared" si="119"/>
        <v>8</v>
      </c>
      <c r="AI318" s="225">
        <f t="shared" si="120"/>
        <v>2.9988022763424818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22.330007008296338</v>
      </c>
      <c r="C319" s="955"/>
      <c r="D319" s="393">
        <f t="shared" si="102"/>
        <v>24.082228422506454</v>
      </c>
      <c r="E319" s="385">
        <f t="shared" si="125"/>
        <v>25.883412012872217</v>
      </c>
      <c r="F319" s="385">
        <f t="shared" si="103"/>
        <v>25.894822168845998</v>
      </c>
      <c r="G319" s="110">
        <f t="shared" si="126"/>
        <v>0.69514732498520493</v>
      </c>
      <c r="H319" s="414" t="b">
        <f>Wh_hp&gt;='2026'!Maxi_hp</f>
        <v>0</v>
      </c>
      <c r="I319" s="390">
        <f>IF(H319,Wh_hp,'2026'!Maxi_hp)</f>
        <v>32.156200585342432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7.2759936641600298E-2</v>
      </c>
      <c r="M319" s="959"/>
      <c r="N319" s="959"/>
      <c r="O319" s="48">
        <f>IF(t&lt;Tnet,'2026'!Resal+('2026'!Salim-'2026'!Resal)*(1-EXP(('2026'!Tnet-t)/('2026'!Tau_j))),Resal+(Salim-Resal)*(1-EXP((Tnet-t)/(Tau_j))))*Salcycl</f>
        <v>6.9588336710399989E-2</v>
      </c>
      <c r="P319" s="169">
        <f>(INDEX(Models!$BJ319:$BT319,,T319)*(1-R319)+INDEX(Models!$BJ319:$BT319,,T319+1)*R319-ERP_i)*Q319*Ramure*Pc/MaxiM</f>
        <v>7.8011413949079396E-4</v>
      </c>
      <c r="Q319" s="305">
        <f t="shared" si="105"/>
        <v>0.7</v>
      </c>
      <c r="R319" s="177">
        <f t="shared" si="106"/>
        <v>0.47387094618064474</v>
      </c>
      <c r="S319" s="921">
        <f t="shared" si="107"/>
        <v>-1</v>
      </c>
      <c r="T319" s="176">
        <f t="shared" si="108"/>
        <v>5</v>
      </c>
      <c r="U319" s="251">
        <f t="shared" si="109"/>
        <v>-0.52612905381935526</v>
      </c>
      <c r="V319" s="383">
        <f t="shared" si="110"/>
        <v>32.111787364950857</v>
      </c>
      <c r="W319" s="402">
        <f t="shared" si="111"/>
        <v>22.330007008296338</v>
      </c>
      <c r="X319" s="157">
        <f t="shared" si="112"/>
        <v>46692</v>
      </c>
      <c r="Y319" s="385">
        <f t="shared" si="113"/>
        <v>21.102425208481854</v>
      </c>
      <c r="Z319" s="385">
        <f t="shared" si="114"/>
        <v>22.758319061463244</v>
      </c>
      <c r="AA319" s="386">
        <f t="shared" si="115"/>
        <v>25.726631984811803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0.11537899423060735</v>
      </c>
      <c r="AD319" s="231">
        <f>(INDEX(Models!$BJ319:$BT319,,AH319)*(1-AF319)+INDEX(Models!$BJ319:$BT319,,AH319+1)*AF319-ERP_i)*AE319*Ramure*Pc/MaxiM</f>
        <v>1.1499189054920773E-2</v>
      </c>
      <c r="AE319" s="305">
        <f t="shared" si="117"/>
        <v>0.7</v>
      </c>
      <c r="AF319" s="177">
        <f t="shared" si="118"/>
        <v>0.99885851255462388</v>
      </c>
      <c r="AG319" s="921">
        <f t="shared" si="124"/>
        <v>2</v>
      </c>
      <c r="AH319" s="176">
        <f t="shared" si="119"/>
        <v>8</v>
      </c>
      <c r="AI319" s="225">
        <f t="shared" si="120"/>
        <v>2.9988585125546239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27.984636979413388</v>
      </c>
      <c r="C320" s="955"/>
      <c r="D320" s="393">
        <f t="shared" si="102"/>
        <v>30.181234649038366</v>
      </c>
      <c r="E320" s="385">
        <f t="shared" si="125"/>
        <v>32.439858627914447</v>
      </c>
      <c r="F320" s="385">
        <f t="shared" si="103"/>
        <v>32.460732898306347</v>
      </c>
      <c r="G320" s="110">
        <f t="shared" si="126"/>
        <v>0.87932796789824175</v>
      </c>
      <c r="H320" s="414" t="b">
        <f>Wh_hp&gt;='2026'!Maxi_hp</f>
        <v>0</v>
      </c>
      <c r="I320" s="390">
        <f>IF(H320,Wh_hp,'2026'!Maxi_hp)</f>
        <v>32.463976390778633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7.2780245578686675E-2</v>
      </c>
      <c r="M320" s="959"/>
      <c r="N320" s="959"/>
      <c r="O320" s="48">
        <f>IF(t&lt;Tnet,'2026'!Resal+('2026'!Salim-'2026'!Resal)*(1-EXP(('2026'!Tnet-t)/('2026'!Tau_j))),Resal+(Salim-Resal)*(1-EXP((Tnet-t)/(Tau_j))))*Salcycl</f>
        <v>6.9624963683797864E-2</v>
      </c>
      <c r="P320" s="169">
        <f>(INDEX(Models!$BJ320:$BT320,,T320)*(1-R320)+INDEX(Models!$BJ320:$BT320,,T320+1)*R320-ERP_i)*Q320*Ramure*Pc/MaxiM</f>
        <v>7.7685197815846986E-4</v>
      </c>
      <c r="Q320" s="305">
        <f t="shared" si="105"/>
        <v>0.7</v>
      </c>
      <c r="R320" s="177">
        <f t="shared" si="106"/>
        <v>0.47392493006999881</v>
      </c>
      <c r="S320" s="921">
        <f t="shared" si="107"/>
        <v>-1</v>
      </c>
      <c r="T320" s="176">
        <f t="shared" si="108"/>
        <v>5</v>
      </c>
      <c r="U320" s="251">
        <f t="shared" si="109"/>
        <v>-0.52607506993000119</v>
      </c>
      <c r="V320" s="383">
        <f t="shared" si="110"/>
        <v>31.820767146503428</v>
      </c>
      <c r="W320" s="402">
        <f t="shared" si="111"/>
        <v>27.984636979413388</v>
      </c>
      <c r="X320" s="157">
        <f t="shared" si="112"/>
        <v>46693</v>
      </c>
      <c r="Y320" s="385">
        <f t="shared" si="113"/>
        <v>26.362064852841115</v>
      </c>
      <c r="Z320" s="385">
        <f t="shared" si="114"/>
        <v>28.431301994093008</v>
      </c>
      <c r="AA320" s="386">
        <f t="shared" si="115"/>
        <v>32.13816511326786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0.11534146725895435</v>
      </c>
      <c r="AD320" s="231">
        <f>(INDEX(Models!$BJ320:$BT320,,AH320)*(1-AF320)+INDEX(Models!$BJ320:$BT320,,AH320+1)*AF320-ERP_i)*AE320*Ramure*Pc/MaxiM</f>
        <v>1.200460745179408E-2</v>
      </c>
      <c r="AE320" s="305">
        <f t="shared" si="117"/>
        <v>0.7</v>
      </c>
      <c r="AF320" s="177">
        <f t="shared" si="118"/>
        <v>0.99891249644397773</v>
      </c>
      <c r="AG320" s="921">
        <f t="shared" si="124"/>
        <v>2</v>
      </c>
      <c r="AH320" s="176">
        <f t="shared" si="119"/>
        <v>8</v>
      </c>
      <c r="AI320" s="225">
        <f t="shared" si="120"/>
        <v>2.9989124964439777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9.7330334942436831</v>
      </c>
      <c r="C321" s="955"/>
      <c r="D321" s="393">
        <f t="shared" si="102"/>
        <v>10.497238255455686</v>
      </c>
      <c r="E321" s="385">
        <f t="shared" si="125"/>
        <v>11.283245289076168</v>
      </c>
      <c r="F321" s="385">
        <f t="shared" si="103"/>
        <v>11.283354176773852</v>
      </c>
      <c r="G321" s="110">
        <f t="shared" si="126"/>
        <v>0.30849137522906833</v>
      </c>
      <c r="H321" s="414" t="b">
        <f>Wh_hp&gt;='2026'!Maxi_hp</f>
        <v>0</v>
      </c>
      <c r="I321" s="390">
        <f>IF(H321,Wh_hp,'2026'!Maxi_hp)</f>
        <v>31.18806335046073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7.2800554070955315E-2</v>
      </c>
      <c r="M321" s="959"/>
      <c r="N321" s="959"/>
      <c r="O321" s="48">
        <f>IF(t&lt;Tnet,'2026'!Resal+('2026'!Salim-'2026'!Resal)*(1-EXP(('2026'!Tnet-t)/('2026'!Tau_j))),Resal+(Salim-Resal)*(1-EXP((Tnet-t)/(Tau_j))))*Salcycl</f>
        <v>6.9661432813257457E-2</v>
      </c>
      <c r="P321" s="169">
        <f>(INDEX(Models!$BJ321:$BT321,,T321)*(1-R321)+INDEX(Models!$BJ321:$BT321,,T321+1)*R321-ERP_i)*Q321*Ramure*Pc/MaxiM</f>
        <v>7.7402623411127261E-4</v>
      </c>
      <c r="Q321" s="305">
        <f t="shared" si="105"/>
        <v>0.7</v>
      </c>
      <c r="R321" s="177">
        <f t="shared" si="106"/>
        <v>0.47397675138539208</v>
      </c>
      <c r="S321" s="921">
        <f t="shared" si="107"/>
        <v>-1</v>
      </c>
      <c r="T321" s="176">
        <f t="shared" si="108"/>
        <v>5</v>
      </c>
      <c r="U321" s="251">
        <f t="shared" si="109"/>
        <v>-0.52602324861460792</v>
      </c>
      <c r="V321" s="383">
        <f t="shared" si="110"/>
        <v>31.526306752043197</v>
      </c>
      <c r="W321" s="402">
        <f t="shared" si="111"/>
        <v>9.7330334942436831</v>
      </c>
      <c r="X321" s="157">
        <f t="shared" si="112"/>
        <v>46694</v>
      </c>
      <c r="Y321" s="385">
        <f t="shared" si="113"/>
        <v>9.2541729586400656</v>
      </c>
      <c r="Z321" s="385">
        <f t="shared" si="114"/>
        <v>9.9807792155952768</v>
      </c>
      <c r="AA321" s="386">
        <f t="shared" si="115"/>
        <v>11.28159070263167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0.11530390716381433</v>
      </c>
      <c r="AD321" s="231">
        <f>(INDEX(Models!$BJ321:$BT321,,AH321)*(1-AF321)+INDEX(Models!$BJ321:$BT321,,AH321+1)*AF321-ERP_i)*AE321*Ramure*Pc/MaxiM</f>
        <v>1.2535624117900226E-2</v>
      </c>
      <c r="AE321" s="305">
        <f t="shared" si="117"/>
        <v>0.7</v>
      </c>
      <c r="AF321" s="177">
        <f t="shared" si="118"/>
        <v>0.99896431775937078</v>
      </c>
      <c r="AG321" s="921">
        <f t="shared" si="124"/>
        <v>2</v>
      </c>
      <c r="AH321" s="176">
        <f t="shared" si="119"/>
        <v>8</v>
      </c>
      <c r="AI321" s="225">
        <f t="shared" si="120"/>
        <v>2.9989643177593708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11.363743836512217</v>
      </c>
      <c r="C322" s="955"/>
      <c r="D322" s="393">
        <f t="shared" si="102"/>
        <v>12.256254883469511</v>
      </c>
      <c r="E322" s="385">
        <f t="shared" si="125"/>
        <v>13.174487929972575</v>
      </c>
      <c r="F322" s="385">
        <f t="shared" si="103"/>
        <v>13.175415627785057</v>
      </c>
      <c r="G322" s="110">
        <f t="shared" si="126"/>
        <v>0.36362095272023687</v>
      </c>
      <c r="H322" s="414" t="b">
        <f>Wh_hp&gt;='2026'!Maxi_hp</f>
        <v>0</v>
      </c>
      <c r="I322" s="390">
        <f>IF(H322,Wh_hp,'2026'!Maxi_hp)</f>
        <v>29.822160701304174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7.2820862118415763E-2</v>
      </c>
      <c r="M322" s="959"/>
      <c r="N322" s="959"/>
      <c r="O322" s="48">
        <f>IF(t&lt;Tnet,'2026'!Resal+('2026'!Salim-'2026'!Resal)*(1-EXP(('2026'!Tnet-t)/('2026'!Tau_j))),Resal+(Salim-Resal)*(1-EXP((Tnet-t)/(Tau_j))))*Salcycl</f>
        <v>6.969781682474667E-2</v>
      </c>
      <c r="P322" s="169">
        <f>(INDEX(Models!$BJ322:$BT322,,T322)*(1-R322)+INDEX(Models!$BJ322:$BT322,,T322+1)*R322-ERP_i)*Q322*Ramure*Pc/MaxiM</f>
        <v>7.7161684876090231E-4</v>
      </c>
      <c r="Q322" s="305">
        <f t="shared" si="105"/>
        <v>0.7</v>
      </c>
      <c r="R322" s="177">
        <f t="shared" si="106"/>
        <v>0.47402649633556448</v>
      </c>
      <c r="S322" s="921">
        <f t="shared" si="107"/>
        <v>-1</v>
      </c>
      <c r="T322" s="176">
        <f t="shared" si="108"/>
        <v>5</v>
      </c>
      <c r="U322" s="251">
        <f t="shared" si="109"/>
        <v>-0.52597350366443552</v>
      </c>
      <c r="V322" s="383">
        <f t="shared" si="110"/>
        <v>31.22970464145012</v>
      </c>
      <c r="W322" s="402">
        <f t="shared" si="111"/>
        <v>11.363743836512217</v>
      </c>
      <c r="X322" s="157">
        <f t="shared" si="112"/>
        <v>46695</v>
      </c>
      <c r="Y322" s="385">
        <f t="shared" si="113"/>
        <v>10.794967089085729</v>
      </c>
      <c r="Z322" s="385">
        <f t="shared" si="114"/>
        <v>11.642806279863063</v>
      </c>
      <c r="AA322" s="386">
        <f t="shared" si="115"/>
        <v>13.159675098007691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0.11526643377193073</v>
      </c>
      <c r="AD322" s="231">
        <f>(INDEX(Models!$BJ322:$BT322,,AH322)*(1-AF322)+INDEX(Models!$BJ322:$BT322,,AH322+1)*AF322-ERP_i)*AE322*Ramure*Pc/MaxiM</f>
        <v>1.3092256790094157E-2</v>
      </c>
      <c r="AE322" s="305">
        <f t="shared" si="117"/>
        <v>0.7</v>
      </c>
      <c r="AF322" s="177">
        <f t="shared" si="118"/>
        <v>0.99901406270954318</v>
      </c>
      <c r="AG322" s="921">
        <f t="shared" si="124"/>
        <v>2</v>
      </c>
      <c r="AH322" s="176">
        <f t="shared" si="119"/>
        <v>8</v>
      </c>
      <c r="AI322" s="225">
        <f t="shared" si="120"/>
        <v>2.9990140627095432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29.85899695007458</v>
      </c>
      <c r="C323" s="955"/>
      <c r="D323" s="393">
        <f t="shared" si="102"/>
        <v>32.204834786604941</v>
      </c>
      <c r="E323" s="385">
        <f t="shared" si="125"/>
        <v>34.618959878432364</v>
      </c>
      <c r="F323" s="385">
        <f t="shared" si="103"/>
        <v>34.644300669137507</v>
      </c>
      <c r="G323" s="110">
        <f t="shared" si="126"/>
        <v>0.96526597194026398</v>
      </c>
      <c r="H323" s="414" t="b">
        <f>Wh_hp&gt;='2026'!Maxi_hp</f>
        <v>0</v>
      </c>
      <c r="I323" s="390">
        <f>IF(H323,Wh_hp,'2026'!Maxi_hp)</f>
        <v>34.645287346673015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7.2841169721077903E-2</v>
      </c>
      <c r="M323" s="959"/>
      <c r="N323" s="959"/>
      <c r="O323" s="48">
        <f>IF(t&lt;Tnet,'2026'!Resal+('2026'!Salim-'2026'!Resal)*(1-EXP(('2026'!Tnet-t)/('2026'!Tau_j))),Resal+(Salim-Resal)*(1-EXP((Tnet-t)/(Tau_j))))*Salcycl</f>
        <v>6.9734189019683007E-2</v>
      </c>
      <c r="P323" s="169">
        <f>(INDEX(Models!$BJ323:$BT323,,T323)*(1-R323)+INDEX(Models!$BJ323:$BT323,,T323+1)*R323-ERP_i)*Q323*Ramure*Pc/MaxiM</f>
        <v>7.6960350509049785E-4</v>
      </c>
      <c r="Q323" s="305">
        <f t="shared" si="105"/>
        <v>0.7</v>
      </c>
      <c r="R323" s="177">
        <f t="shared" si="106"/>
        <v>0.47407424772595386</v>
      </c>
      <c r="S323" s="921">
        <f t="shared" si="107"/>
        <v>-1</v>
      </c>
      <c r="T323" s="176">
        <f t="shared" si="108"/>
        <v>5</v>
      </c>
      <c r="U323" s="251">
        <f t="shared" si="109"/>
        <v>-0.52592575227404614</v>
      </c>
      <c r="V323" s="383">
        <f t="shared" si="110"/>
        <v>30.932259031061609</v>
      </c>
      <c r="W323" s="402">
        <f t="shared" si="111"/>
        <v>29.85899695007458</v>
      </c>
      <c r="X323" s="157">
        <f t="shared" si="112"/>
        <v>46696</v>
      </c>
      <c r="Y323" s="385">
        <f t="shared" si="113"/>
        <v>28.050160969668479</v>
      </c>
      <c r="Z323" s="385">
        <f t="shared" si="114"/>
        <v>30.253889682774201</v>
      </c>
      <c r="AA323" s="386">
        <f t="shared" si="115"/>
        <v>34.194040501799471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0.11522916745735032</v>
      </c>
      <c r="AD323" s="231">
        <f>(INDEX(Models!$BJ323:$BT323,,AH323)*(1-AF323)+INDEX(Models!$BJ323:$BT323,,AH323+1)*AF323-ERP_i)*AE323*Ramure*Pc/MaxiM</f>
        <v>1.3674466871139176E-2</v>
      </c>
      <c r="AE323" s="305">
        <f t="shared" si="117"/>
        <v>0.7</v>
      </c>
      <c r="AF323" s="177">
        <f t="shared" si="118"/>
        <v>0.99906181409993255</v>
      </c>
      <c r="AG323" s="921">
        <f t="shared" si="124"/>
        <v>2</v>
      </c>
      <c r="AH323" s="176">
        <f t="shared" si="119"/>
        <v>8</v>
      </c>
      <c r="AI323" s="225">
        <f t="shared" si="120"/>
        <v>2.9990618140999326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29.513652310233777</v>
      </c>
      <c r="C324" s="955"/>
      <c r="D324" s="393">
        <f t="shared" si="102"/>
        <v>31.833055766986433</v>
      </c>
      <c r="E324" s="385">
        <f t="shared" si="125"/>
        <v>34.220651972736228</v>
      </c>
      <c r="F324" s="385">
        <f t="shared" si="103"/>
        <v>34.245596981362418</v>
      </c>
      <c r="G324" s="110">
        <f t="shared" si="126"/>
        <v>0.96334996223438774</v>
      </c>
      <c r="H324" s="414" t="b">
        <f>Wh_hp&gt;='2026'!Maxi_hp</f>
        <v>0</v>
      </c>
      <c r="I324" s="390">
        <f>IF(H324,Wh_hp,'2026'!Maxi_hp)</f>
        <v>34.246624560288446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7.2861476878951503E-2</v>
      </c>
      <c r="M324" s="959"/>
      <c r="N324" s="959"/>
      <c r="O324" s="48">
        <f>IF(t&lt;Tnet,'2026'!Resal+('2026'!Salim-'2026'!Resal)*(1-EXP(('2026'!Tnet-t)/('2026'!Tau_j))),Resal+(Salim-Resal)*(1-EXP((Tnet-t)/(Tau_j))))*Salcycl</f>
        <v>6.9770622945816541E-2</v>
      </c>
      <c r="P324" s="169">
        <f>(INDEX(Models!$BJ324:$BT324,,T324)*(1-R324)+INDEX(Models!$BJ324:$BT324,,T324+1)*R324-ERP_i)*Q324*Ramure*Pc/MaxiM</f>
        <v>7.6861503459300451E-4</v>
      </c>
      <c r="Q324" s="305">
        <f t="shared" si="105"/>
        <v>0.7</v>
      </c>
      <c r="R324" s="177">
        <f t="shared" si="106"/>
        <v>0.47412008509042303</v>
      </c>
      <c r="S324" s="921">
        <f t="shared" si="107"/>
        <v>-1</v>
      </c>
      <c r="T324" s="176">
        <f t="shared" si="108"/>
        <v>5</v>
      </c>
      <c r="U324" s="251">
        <f t="shared" si="109"/>
        <v>-0.52587991490957697</v>
      </c>
      <c r="V324" s="383">
        <f t="shared" si="110"/>
        <v>30.635247993255767</v>
      </c>
      <c r="W324" s="402">
        <f t="shared" si="111"/>
        <v>29.513652310233777</v>
      </c>
      <c r="X324" s="157">
        <f t="shared" si="112"/>
        <v>46697</v>
      </c>
      <c r="Y324" s="385">
        <f t="shared" si="113"/>
        <v>27.713381066900684</v>
      </c>
      <c r="Z324" s="385">
        <f t="shared" si="114"/>
        <v>29.891305749661303</v>
      </c>
      <c r="AA324" s="386">
        <f t="shared" si="115"/>
        <v>33.78282460412666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0.11519222859742752</v>
      </c>
      <c r="AD324" s="231">
        <f>(INDEX(Models!$BJ324:$BT324,,AH324)*(1-AF324)+INDEX(Models!$BJ324:$BT324,,AH324+1)*AF324-ERP_i)*AE324*Ramure*Pc/MaxiM</f>
        <v>1.4259117407730374E-2</v>
      </c>
      <c r="AE324" s="305">
        <f t="shared" si="117"/>
        <v>0.7</v>
      </c>
      <c r="AF324" s="177">
        <f t="shared" si="118"/>
        <v>0.99910765146440195</v>
      </c>
      <c r="AG324" s="921">
        <f t="shared" si="124"/>
        <v>2</v>
      </c>
      <c r="AH324" s="176">
        <f t="shared" si="119"/>
        <v>8</v>
      </c>
      <c r="AI324" s="225">
        <f t="shared" si="120"/>
        <v>2.9991076514644019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28.215021321735687</v>
      </c>
      <c r="C325" s="955"/>
      <c r="D325" s="393">
        <f t="shared" si="102"/>
        <v>30.433035207799662</v>
      </c>
      <c r="E325" s="385">
        <f t="shared" si="125"/>
        <v>32.716910890011306</v>
      </c>
      <c r="F325" s="385">
        <f t="shared" si="103"/>
        <v>32.739554571885286</v>
      </c>
      <c r="G325" s="110">
        <f t="shared" si="126"/>
        <v>0.92989041843201325</v>
      </c>
      <c r="H325" s="414" t="b">
        <f>Wh_hp&gt;='2026'!Maxi_hp</f>
        <v>0</v>
      </c>
      <c r="I325" s="390">
        <f>IF(H325,Wh_hp,'2026'!Maxi_hp)</f>
        <v>32.741433165464031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7.2881783592046112E-2</v>
      </c>
      <c r="M325" s="959"/>
      <c r="N325" s="959"/>
      <c r="O325" s="48">
        <f>IF(t&lt;Tnet,'2026'!Resal+('2026'!Salim-'2026'!Resal)*(1-EXP(('2026'!Tnet-t)/('2026'!Tau_j))),Resal+(Salim-Resal)*(1-EXP((Tnet-t)/(Tau_j))))*Salcycl</f>
        <v>6.9807192063139623E-2</v>
      </c>
      <c r="P325" s="169">
        <f>(INDEX(Models!$BJ325:$BT325,,T325)*(1-R325)+INDEX(Models!$BJ325:$BT325,,T325+1)*R325-ERP_i)*Q325*Ramure*Pc/MaxiM</f>
        <v>7.6852496761120994E-4</v>
      </c>
      <c r="Q325" s="305">
        <f t="shared" si="105"/>
        <v>0.7</v>
      </c>
      <c r="R325" s="177">
        <f t="shared" si="106"/>
        <v>0.47416408481809413</v>
      </c>
      <c r="S325" s="921">
        <f t="shared" si="107"/>
        <v>-1</v>
      </c>
      <c r="T325" s="176">
        <f t="shared" si="108"/>
        <v>5</v>
      </c>
      <c r="U325" s="251">
        <f t="shared" si="109"/>
        <v>-0.52583591518190587</v>
      </c>
      <c r="V325" s="383">
        <f t="shared" si="110"/>
        <v>30.339973063750747</v>
      </c>
      <c r="W325" s="402">
        <f t="shared" si="111"/>
        <v>28.215021321735687</v>
      </c>
      <c r="X325" s="157">
        <f t="shared" si="112"/>
        <v>46698</v>
      </c>
      <c r="Y325" s="385">
        <f t="shared" si="113"/>
        <v>26.499677483672134</v>
      </c>
      <c r="Z325" s="385">
        <f t="shared" si="114"/>
        <v>28.582846302322736</v>
      </c>
      <c r="AA325" s="386">
        <f t="shared" si="115"/>
        <v>32.302685905618766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0.11515573702337237</v>
      </c>
      <c r="AD325" s="231">
        <f>(INDEX(Models!$BJ325:$BT325,,AH325)*(1-AF325)+INDEX(Models!$BJ325:$BT325,,AH325+1)*AF325-ERP_i)*AE325*Ramure*Pc/MaxiM</f>
        <v>1.4827291756763923E-2</v>
      </c>
      <c r="AE325" s="305">
        <f t="shared" si="117"/>
        <v>0.7</v>
      </c>
      <c r="AF325" s="177">
        <f t="shared" si="118"/>
        <v>0.99915165119207305</v>
      </c>
      <c r="AG325" s="921">
        <f t="shared" si="124"/>
        <v>2</v>
      </c>
      <c r="AH325" s="176">
        <f t="shared" si="119"/>
        <v>8</v>
      </c>
      <c r="AI325" s="225">
        <f t="shared" si="120"/>
        <v>2.9991516511920731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19.304293054124845</v>
      </c>
      <c r="C326" s="955"/>
      <c r="D326" s="393">
        <f t="shared" si="102"/>
        <v>20.822280843257928</v>
      </c>
      <c r="E326" s="385">
        <f t="shared" si="125"/>
        <v>22.385793521099867</v>
      </c>
      <c r="F326" s="385">
        <f t="shared" si="103"/>
        <v>22.394221914815528</v>
      </c>
      <c r="G326" s="110">
        <f t="shared" si="126"/>
        <v>0.64220169660017701</v>
      </c>
      <c r="H326" s="414" t="b">
        <f>Wh_hp&gt;='2026'!Maxi_hp</f>
        <v>0</v>
      </c>
      <c r="I326" s="390">
        <f>IF(H326,Wh_hp,'2026'!Maxi_hp)</f>
        <v>27.419796880522092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7.2902089860371611E-2</v>
      </c>
      <c r="M326" s="959"/>
      <c r="N326" s="959"/>
      <c r="O326" s="48">
        <f>IF(t&lt;Tnet,'2026'!Resal+('2026'!Salim-'2026'!Resal)*(1-EXP(('2026'!Tnet-t)/('2026'!Tau_j))),Resal+(Salim-Resal)*(1-EXP((Tnet-t)/(Tau_j))))*Salcycl</f>
        <v>6.9843969407126033E-2</v>
      </c>
      <c r="P326" s="169">
        <f>(INDEX(Models!$BJ326:$BT326,,T326)*(1-R326)+INDEX(Models!$BJ326:$BT326,,T326+1)*R326-ERP_i)*Q326*Ramure*Pc/MaxiM</f>
        <v>7.6931521879156095E-4</v>
      </c>
      <c r="Q326" s="305">
        <f t="shared" si="105"/>
        <v>0.7</v>
      </c>
      <c r="R326" s="177">
        <f t="shared" si="106"/>
        <v>0.47420632027546017</v>
      </c>
      <c r="S326" s="921">
        <f t="shared" si="107"/>
        <v>-1</v>
      </c>
      <c r="T326" s="176">
        <f t="shared" si="108"/>
        <v>5</v>
      </c>
      <c r="U326" s="251">
        <f t="shared" si="109"/>
        <v>-0.52579367972453983</v>
      </c>
      <c r="V326" s="383">
        <f t="shared" si="110"/>
        <v>30.047732149415086</v>
      </c>
      <c r="W326" s="402">
        <f t="shared" si="111"/>
        <v>19.304293054124845</v>
      </c>
      <c r="X326" s="157">
        <f t="shared" si="112"/>
        <v>46699</v>
      </c>
      <c r="Y326" s="385">
        <f t="shared" si="113"/>
        <v>18.233343692112889</v>
      </c>
      <c r="Z326" s="385">
        <f t="shared" si="114"/>
        <v>19.667117671926153</v>
      </c>
      <c r="AA326" s="386">
        <f t="shared" si="115"/>
        <v>22.225740757716768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0.11511981146915264</v>
      </c>
      <c r="AD326" s="231">
        <f>(INDEX(Models!$BJ326:$BT326,,AH326)*(1-AF326)+INDEX(Models!$BJ326:$BT326,,AH326+1)*AF326-ERP_i)*AE326*Ramure*Pc/MaxiM</f>
        <v>1.5378389122334489E-2</v>
      </c>
      <c r="AE326" s="305">
        <f t="shared" si="117"/>
        <v>0.7</v>
      </c>
      <c r="AF326" s="177">
        <f t="shared" si="118"/>
        <v>0.9991938866494392</v>
      </c>
      <c r="AG326" s="921">
        <f t="shared" si="124"/>
        <v>2</v>
      </c>
      <c r="AH326" s="176">
        <f t="shared" si="119"/>
        <v>8</v>
      </c>
      <c r="AI326" s="225">
        <f t="shared" si="120"/>
        <v>2.9991938866494392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10.212415260269891</v>
      </c>
      <c r="C327" s="955"/>
      <c r="D327" s="393">
        <f t="shared" si="102"/>
        <v>11.015707005244668</v>
      </c>
      <c r="E327" s="385">
        <f t="shared" si="125"/>
        <v>11.84333115224493</v>
      </c>
      <c r="F327" s="385">
        <f t="shared" si="103"/>
        <v>11.843894173836366</v>
      </c>
      <c r="G327" s="110">
        <f t="shared" si="126"/>
        <v>0.34291289174296352</v>
      </c>
      <c r="H327" s="414" t="b">
        <f>Wh_hp&gt;='2026'!Maxi_hp</f>
        <v>0</v>
      </c>
      <c r="I327" s="390">
        <f>IF(H327,Wh_hp,'2026'!Maxi_hp)</f>
        <v>26.175340990445164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7.2922395683937768E-2</v>
      </c>
      <c r="M327" s="959"/>
      <c r="N327" s="959"/>
      <c r="O327" s="48">
        <f>IF(t&lt;Tnet,'2026'!Resal+('2026'!Salim-'2026'!Resal)*(1-EXP(('2026'!Tnet-t)/('2026'!Tau_j))),Resal+(Salim-Resal)*(1-EXP((Tnet-t)/(Tau_j))))*Salcycl</f>
        <v>6.9881027251643218E-2</v>
      </c>
      <c r="P327" s="169">
        <f>(INDEX(Models!$BJ327:$BT327,,T327)*(1-R327)+INDEX(Models!$BJ327:$BT327,,T327+1)*R327-ERP_i)*Q327*Ramure*Pc/MaxiM</f>
        <v>7.709664845379499E-4</v>
      </c>
      <c r="Q327" s="305">
        <f t="shared" si="105"/>
        <v>0.7</v>
      </c>
      <c r="R327" s="177">
        <f t="shared" si="106"/>
        <v>0.47424686192392973</v>
      </c>
      <c r="S327" s="921">
        <f t="shared" si="107"/>
        <v>-1</v>
      </c>
      <c r="T327" s="176">
        <f t="shared" si="108"/>
        <v>5</v>
      </c>
      <c r="U327" s="251">
        <f t="shared" si="109"/>
        <v>-0.52575313807607027</v>
      </c>
      <c r="V327" s="383">
        <f t="shared" si="110"/>
        <v>29.759822949466727</v>
      </c>
      <c r="W327" s="402">
        <f t="shared" si="111"/>
        <v>10.212415260269891</v>
      </c>
      <c r="X327" s="157">
        <f t="shared" si="112"/>
        <v>46700</v>
      </c>
      <c r="Y327" s="385">
        <f t="shared" si="113"/>
        <v>9.7070235272125167</v>
      </c>
      <c r="Z327" s="385">
        <f t="shared" si="114"/>
        <v>10.47056199181268</v>
      </c>
      <c r="AA327" s="386">
        <f t="shared" si="115"/>
        <v>11.832274164603351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0.11508456902260418</v>
      </c>
      <c r="AD327" s="231">
        <f>(INDEX(Models!$BJ327:$BT327,,AH327)*(1-AF327)+INDEX(Models!$BJ327:$BT327,,AH327+1)*AF327-ERP_i)*AE327*Ramure*Pc/MaxiM</f>
        <v>1.5911712454606805E-2</v>
      </c>
      <c r="AE327" s="305">
        <f t="shared" si="117"/>
        <v>0.7</v>
      </c>
      <c r="AF327" s="177">
        <f t="shared" si="118"/>
        <v>0.99923442829790865</v>
      </c>
      <c r="AG327" s="921">
        <f t="shared" si="124"/>
        <v>2</v>
      </c>
      <c r="AH327" s="176">
        <f t="shared" si="119"/>
        <v>8</v>
      </c>
      <c r="AI327" s="225">
        <f t="shared" si="120"/>
        <v>2.9992344282979087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22.780499295235433</v>
      </c>
      <c r="C328" s="955"/>
      <c r="D328" s="393">
        <f t="shared" si="102"/>
        <v>24.572914016588189</v>
      </c>
      <c r="E328" s="385">
        <f t="shared" si="125"/>
        <v>26.420171077635558</v>
      </c>
      <c r="F328" s="385">
        <f t="shared" si="103"/>
        <v>26.433980852054006</v>
      </c>
      <c r="G328" s="110">
        <f t="shared" si="126"/>
        <v>0.77261451846283991</v>
      </c>
      <c r="H328" s="414" t="b">
        <f>Wh_hp&gt;='2026'!Maxi_hp</f>
        <v>0</v>
      </c>
      <c r="I328" s="390">
        <f>IF(H328,Wh_hp,'2026'!Maxi_hp)</f>
        <v>26.438927206460463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7.2942701062754245E-2</v>
      </c>
      <c r="M328" s="959"/>
      <c r="N328" s="959"/>
      <c r="O328" s="48">
        <f>IF(t&lt;Tnet,'2026'!Resal+('2026'!Salim-'2026'!Resal)*(1-EXP(('2026'!Tnet-t)/('2026'!Tau_j))),Resal+(Salim-Resal)*(1-EXP((Tnet-t)/(Tau_j))))*Salcycl</f>
        <v>6.9918436773903192E-2</v>
      </c>
      <c r="P328" s="169">
        <f>(INDEX(Models!$BJ328:$BT328,,T328)*(1-R328)+INDEX(Models!$BJ328:$BT328,,T328+1)*R328-ERP_i)*Q328*Ramure*Pc/MaxiM</f>
        <v>7.7345787831793083E-4</v>
      </c>
      <c r="Q328" s="305">
        <f t="shared" si="105"/>
        <v>0.7</v>
      </c>
      <c r="R328" s="177">
        <f t="shared" si="106"/>
        <v>0.47428577743296485</v>
      </c>
      <c r="S328" s="921">
        <f t="shared" si="107"/>
        <v>-1</v>
      </c>
      <c r="T328" s="176">
        <f t="shared" si="108"/>
        <v>5</v>
      </c>
      <c r="U328" s="251">
        <f t="shared" si="109"/>
        <v>-0.52571422256703515</v>
      </c>
      <c r="V328" s="383">
        <f t="shared" si="110"/>
        <v>29.477542952221125</v>
      </c>
      <c r="W328" s="402">
        <f t="shared" si="111"/>
        <v>22.780499295235433</v>
      </c>
      <c r="X328" s="157">
        <f t="shared" si="112"/>
        <v>46701</v>
      </c>
      <c r="Y328" s="385">
        <f t="shared" si="113"/>
        <v>21.445804668891299</v>
      </c>
      <c r="Z328" s="385">
        <f t="shared" si="114"/>
        <v>23.133202978366288</v>
      </c>
      <c r="AA328" s="386">
        <f t="shared" si="115"/>
        <v>26.14069296010182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0.11505012458261228</v>
      </c>
      <c r="AD328" s="231">
        <f>(INDEX(Models!$BJ328:$BT328,,AH328)*(1-AF328)+INDEX(Models!$BJ328:$BT328,,AH328+1)*AF328-ERP_i)*AE328*Ramure*Pc/MaxiM</f>
        <v>1.6426468946708669E-2</v>
      </c>
      <c r="AE328" s="305">
        <f t="shared" si="117"/>
        <v>0.7</v>
      </c>
      <c r="AF328" s="177">
        <f t="shared" si="118"/>
        <v>0.99927334380694388</v>
      </c>
      <c r="AG328" s="921">
        <f t="shared" si="124"/>
        <v>2</v>
      </c>
      <c r="AH328" s="176">
        <f t="shared" si="119"/>
        <v>8</v>
      </c>
      <c r="AI328" s="225">
        <f t="shared" si="120"/>
        <v>2.9992733438069439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28.398635347061624</v>
      </c>
      <c r="C329" s="955"/>
      <c r="D329" s="393">
        <f t="shared" si="102"/>
        <v>30.633767078085494</v>
      </c>
      <c r="E329" s="385">
        <f t="shared" si="125"/>
        <v>32.937985618281324</v>
      </c>
      <c r="F329" s="385">
        <f t="shared" si="103"/>
        <v>32.962583351705014</v>
      </c>
      <c r="G329" s="110">
        <f t="shared" si="126"/>
        <v>0.97245337091438866</v>
      </c>
      <c r="H329" s="414" t="b">
        <f>Wh_hp&gt;='2026'!Maxi_hp</f>
        <v>0</v>
      </c>
      <c r="I329" s="390">
        <f>IF(H329,Wh_hp,'2026'!Maxi_hp)</f>
        <v>32.963333319719538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7.296300599683081E-2</v>
      </c>
      <c r="M329" s="959"/>
      <c r="N329" s="959"/>
      <c r="O329" s="48">
        <f>IF(t&lt;Tnet,'2026'!Resal+('2026'!Salim-'2026'!Resal)*(1-EXP(('2026'!Tnet-t)/('2026'!Tau_j))),Resal+(Salim-Resal)*(1-EXP((Tnet-t)/(Tau_j))))*Salcycl</f>
        <v>6.9956267723820284E-2</v>
      </c>
      <c r="P329" s="169">
        <f>(INDEX(Models!$BJ329:$BT329,,T329)*(1-R329)+INDEX(Models!$BJ329:$BT329,,T329+1)*R329-ERP_i)*Q329*Ramure*Pc/MaxiM</f>
        <v>7.7676656392312729E-4</v>
      </c>
      <c r="Q329" s="305">
        <f t="shared" si="105"/>
        <v>0.7</v>
      </c>
      <c r="R329" s="177">
        <f t="shared" si="106"/>
        <v>0.47432313178896202</v>
      </c>
      <c r="S329" s="921">
        <f t="shared" si="107"/>
        <v>-1</v>
      </c>
      <c r="T329" s="176">
        <f t="shared" si="108"/>
        <v>5</v>
      </c>
      <c r="U329" s="251">
        <f t="shared" si="109"/>
        <v>-0.52567686821103798</v>
      </c>
      <c r="V329" s="383">
        <f t="shared" si="110"/>
        <v>29.202189439597113</v>
      </c>
      <c r="W329" s="402">
        <f t="shared" si="111"/>
        <v>28.398635347061624</v>
      </c>
      <c r="X329" s="157">
        <f t="shared" si="112"/>
        <v>46702</v>
      </c>
      <c r="Y329" s="385">
        <f t="shared" si="113"/>
        <v>26.603285588803853</v>
      </c>
      <c r="Z329" s="385">
        <f t="shared" si="114"/>
        <v>28.697113233771237</v>
      </c>
      <c r="AA329" s="386">
        <f t="shared" si="115"/>
        <v>32.426724523964879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0.11501659032620719</v>
      </c>
      <c r="AD329" s="231">
        <f>(INDEX(Models!$BJ329:$BT329,,AH329)*(1-AF329)+INDEX(Models!$BJ329:$BT329,,AH329+1)*AF329-ERP_i)*AE329*Ramure*Pc/MaxiM</f>
        <v>1.6921771335676961E-2</v>
      </c>
      <c r="AE329" s="305">
        <f t="shared" si="117"/>
        <v>0.7</v>
      </c>
      <c r="AF329" s="177">
        <f t="shared" si="118"/>
        <v>0.99931069816294071</v>
      </c>
      <c r="AG329" s="921">
        <f t="shared" si="124"/>
        <v>2</v>
      </c>
      <c r="AH329" s="176">
        <f t="shared" si="119"/>
        <v>8</v>
      </c>
      <c r="AI329" s="225">
        <f t="shared" si="120"/>
        <v>2.9993106981629407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27.120983903737521</v>
      </c>
      <c r="C330" s="955"/>
      <c r="D330" s="393">
        <f t="shared" si="102"/>
        <v>29.256198092788619</v>
      </c>
      <c r="E330" s="385">
        <f t="shared" si="125"/>
        <v>31.458094456700159</v>
      </c>
      <c r="F330" s="385">
        <f t="shared" si="103"/>
        <v>31.480474866542348</v>
      </c>
      <c r="G330" s="110">
        <f t="shared" si="126"/>
        <v>0.93723967630100091</v>
      </c>
      <c r="H330" s="414" t="b">
        <f>Wh_hp&gt;='2026'!Maxi_hp</f>
        <v>0</v>
      </c>
      <c r="I330" s="390">
        <f>IF(H330,Wh_hp,'2026'!Maxi_hp)</f>
        <v>32.840746587016881</v>
      </c>
      <c r="J330" s="85">
        <f>IF(H330,An,'2026'!An_max)</f>
        <v>2020</v>
      </c>
      <c r="K330" s="197">
        <f t="shared" si="104"/>
        <v>46703</v>
      </c>
      <c r="L330" s="147">
        <f>IF(t&lt;Tvie,1-EXP((T0-t)*PertePVj)+'2026'!Pspv,1-EXP((T0-t)*PertePVj)+Pspv)</f>
        <v>7.2983310486177233E-2</v>
      </c>
      <c r="M330" s="959"/>
      <c r="N330" s="959"/>
      <c r="O330" s="48">
        <f>IF(t&lt;Tnet,'2026'!Resal+('2026'!Salim-'2026'!Resal)*(1-EXP(('2026'!Tnet-t)/('2026'!Tau_j))),Resal+(Salim-Resal)*(1-EXP((Tnet-t)/(Tau_j))))*Salcycl</f>
        <v>6.9994588100124558E-2</v>
      </c>
      <c r="P330" s="169">
        <f>(INDEX(Models!$BJ330:$BT330,,T330)*(1-R330)+INDEX(Models!$BJ330:$BT330,,T330+1)*R330-ERP_i)*Q330*Ramure*Pc/MaxiM</f>
        <v>7.8086739048823287E-4</v>
      </c>
      <c r="Q330" s="305">
        <f t="shared" si="105"/>
        <v>0.7</v>
      </c>
      <c r="R330" s="177">
        <f t="shared" si="106"/>
        <v>0.47435898740002513</v>
      </c>
      <c r="S330" s="921">
        <f t="shared" si="107"/>
        <v>-1</v>
      </c>
      <c r="T330" s="176">
        <f t="shared" si="108"/>
        <v>5</v>
      </c>
      <c r="U330" s="251">
        <f t="shared" si="109"/>
        <v>-0.52564101259997487</v>
      </c>
      <c r="V330" s="383">
        <f t="shared" si="110"/>
        <v>28.935059479037751</v>
      </c>
      <c r="W330" s="402">
        <f t="shared" si="111"/>
        <v>27.120983903737521</v>
      </c>
      <c r="X330" s="157">
        <f t="shared" si="112"/>
        <v>46703</v>
      </c>
      <c r="Y330" s="385">
        <f t="shared" si="113"/>
        <v>25.418286579235371</v>
      </c>
      <c r="Z330" s="385">
        <f t="shared" si="114"/>
        <v>27.419448718410973</v>
      </c>
      <c r="AA330" s="386">
        <f t="shared" si="115"/>
        <v>30.981870438407817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0.11498407518935842</v>
      </c>
      <c r="AD330" s="231">
        <f>(INDEX(Models!$BJ330:$BT330,,AH330)*(1-AF330)+INDEX(Models!$BJ330:$BT330,,AH330+1)*AF330-ERP_i)*AE330*Ramure*Pc/MaxiM</f>
        <v>1.7396640250499244E-2</v>
      </c>
      <c r="AE330" s="305">
        <f t="shared" si="117"/>
        <v>0.7</v>
      </c>
      <c r="AF330" s="177">
        <f t="shared" si="118"/>
        <v>0.99934655377400405</v>
      </c>
      <c r="AG330" s="921">
        <f t="shared" si="124"/>
        <v>2</v>
      </c>
      <c r="AH330" s="176">
        <f t="shared" si="119"/>
        <v>8</v>
      </c>
      <c r="AI330" s="225">
        <f t="shared" si="120"/>
        <v>2.9993465537740041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27.303877177077609</v>
      </c>
      <c r="C331" s="955"/>
      <c r="D331" s="393">
        <f t="shared" si="102"/>
        <v>29.454135533935034</v>
      </c>
      <c r="E331" s="385">
        <f t="shared" si="125"/>
        <v>31.672253127962311</v>
      </c>
      <c r="F331" s="385">
        <f t="shared" si="103"/>
        <v>31.695461290125131</v>
      </c>
      <c r="G331" s="110">
        <f t="shared" si="126"/>
        <v>0.95218620117900776</v>
      </c>
      <c r="H331" s="414" t="b">
        <f>Wh_hp&gt;='2026'!Maxi_hp</f>
        <v>0</v>
      </c>
      <c r="I331" s="390">
        <f>IF(H331,Wh_hp,'2026'!Maxi_hp)</f>
        <v>31.696726394945223</v>
      </c>
      <c r="J331" s="85">
        <f>IF(H331,An,'2026'!An_max)</f>
        <v>2025</v>
      </c>
      <c r="K331" s="197">
        <f t="shared" si="104"/>
        <v>46704</v>
      </c>
      <c r="L331" s="147">
        <f>IF(t&lt;Tvie,1-EXP((T0-t)*PertePVj)+'2026'!Pspv,1-EXP((T0-t)*PertePVj)+Pspv)</f>
        <v>7.3003614530803174E-2</v>
      </c>
      <c r="M331" s="959"/>
      <c r="N331" s="959"/>
      <c r="O331" s="48">
        <f>IF(t&lt;Tnet,'2026'!Resal+('2026'!Salim-'2026'!Resal)*(1-EXP(('2026'!Tnet-t)/('2026'!Tau_j))),Resal+(Salim-Resal)*(1-EXP((Tnet-t)/(Tau_j))))*Salcycl</f>
        <v>7.003346383554189E-2</v>
      </c>
      <c r="P331" s="169">
        <f>(INDEX(Models!$BJ331:$BT331,,T331)*(1-R331)+INDEX(Models!$BJ331:$BT331,,T331+1)*R331-ERP_i)*Q331*Ramure*Pc/MaxiM</f>
        <v>7.8584353323391616E-4</v>
      </c>
      <c r="Q331" s="305">
        <f t="shared" si="105"/>
        <v>0.7</v>
      </c>
      <c r="R331" s="177">
        <f t="shared" si="106"/>
        <v>0.47439340419677589</v>
      </c>
      <c r="S331" s="921">
        <f t="shared" si="107"/>
        <v>-1</v>
      </c>
      <c r="T331" s="176">
        <f t="shared" si="108"/>
        <v>5</v>
      </c>
      <c r="U331" s="251">
        <f t="shared" si="109"/>
        <v>-0.52560659580322411</v>
      </c>
      <c r="V331" s="383">
        <f t="shared" si="110"/>
        <v>28.673396060737687</v>
      </c>
      <c r="W331" s="402">
        <f t="shared" si="111"/>
        <v>27.303877177077609</v>
      </c>
      <c r="X331" s="157">
        <f t="shared" si="112"/>
        <v>46704</v>
      </c>
      <c r="Y331" s="385">
        <f t="shared" si="113"/>
        <v>25.571524194759409</v>
      </c>
      <c r="Z331" s="385">
        <f t="shared" si="114"/>
        <v>27.585354803531889</v>
      </c>
      <c r="AA331" s="386">
        <f t="shared" si="115"/>
        <v>31.168226055513518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0.11495268436516731</v>
      </c>
      <c r="AD331" s="231">
        <f>(INDEX(Models!$BJ331:$BT331,,AH331)*(1-AF331)+INDEX(Models!$BJ331:$BT331,,AH331+1)*AF331-ERP_i)*AE331*Ramure*Pc/MaxiM</f>
        <v>1.7852529498280367E-2</v>
      </c>
      <c r="AE331" s="305">
        <f t="shared" si="117"/>
        <v>0.7</v>
      </c>
      <c r="AF331" s="177">
        <f t="shared" si="118"/>
        <v>0.99938097057075481</v>
      </c>
      <c r="AG331" s="921">
        <f t="shared" si="124"/>
        <v>2</v>
      </c>
      <c r="AH331" s="176">
        <f t="shared" si="119"/>
        <v>8</v>
      </c>
      <c r="AI331" s="225">
        <f t="shared" si="120"/>
        <v>2.9993809705707548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10.207246015210153</v>
      </c>
      <c r="C332" s="955"/>
      <c r="D332" s="393">
        <f t="shared" si="102"/>
        <v>11.011336985768676</v>
      </c>
      <c r="E332" s="385">
        <f t="shared" si="125"/>
        <v>11.841076228870218</v>
      </c>
      <c r="F332" s="385">
        <f t="shared" si="103"/>
        <v>11.841872277105432</v>
      </c>
      <c r="G332" s="110">
        <f t="shared" si="126"/>
        <v>0.35897489706840735</v>
      </c>
      <c r="H332" s="414" t="b">
        <f>Wh_hp&gt;='2026'!Maxi_hp</f>
        <v>0</v>
      </c>
      <c r="I332" s="390">
        <f>IF(H332,Wh_hp,'2026'!Maxi_hp)</f>
        <v>20.754830581758107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7.3023918130718402E-2</v>
      </c>
      <c r="M332" s="959"/>
      <c r="N332" s="959"/>
      <c r="O332" s="48">
        <f>IF(t&lt;Tnet,'2026'!Resal+('2026'!Salim-'2026'!Resal)*(1-EXP(('2026'!Tnet-t)/('2026'!Tau_j))),Resal+(Salim-Resal)*(1-EXP((Tnet-t)/(Tau_j))))*Salcycl</f>
        <v>7.0072958493293105E-2</v>
      </c>
      <c r="P332" s="169">
        <f>(INDEX(Models!$BJ332:$BT332,,T332)*(1-R332)+INDEX(Models!$BJ332:$BT332,,T332+1)*R332-ERP_i)*Q332*Ramure*Pc/MaxiM</f>
        <v>7.9438369705767207E-4</v>
      </c>
      <c r="Q332" s="305">
        <f t="shared" si="105"/>
        <v>0.7</v>
      </c>
      <c r="R332" s="177">
        <f t="shared" si="106"/>
        <v>0.47442643972933762</v>
      </c>
      <c r="S332" s="921">
        <f t="shared" si="107"/>
        <v>-1</v>
      </c>
      <c r="T332" s="176">
        <f t="shared" si="108"/>
        <v>5</v>
      </c>
      <c r="U332" s="251">
        <f t="shared" si="109"/>
        <v>-0.52557356027066238</v>
      </c>
      <c r="V332" s="383">
        <f t="shared" si="110"/>
        <v>28.41375063595574</v>
      </c>
      <c r="W332" s="402">
        <f t="shared" si="111"/>
        <v>10.207246015210153</v>
      </c>
      <c r="X332" s="157">
        <f t="shared" si="112"/>
        <v>46705</v>
      </c>
      <c r="Y332" s="385">
        <f t="shared" si="113"/>
        <v>9.700592672704154</v>
      </c>
      <c r="Z332" s="385">
        <f t="shared" si="114"/>
        <v>10.464771273431943</v>
      </c>
      <c r="AA332" s="386">
        <f t="shared" si="115"/>
        <v>11.823565163488315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0.11492251882303541</v>
      </c>
      <c r="AD332" s="231">
        <f>(INDEX(Models!$BJ332:$BT332,,AH332)*(1-AF332)+INDEX(Models!$BJ332:$BT332,,AH332+1)*AF332-ERP_i)*AE332*Ramure*Pc/MaxiM</f>
        <v>1.8268833412725088E-2</v>
      </c>
      <c r="AE332" s="305">
        <f t="shared" si="117"/>
        <v>0.7</v>
      </c>
      <c r="AF332" s="177">
        <f t="shared" si="118"/>
        <v>0.99941400610331632</v>
      </c>
      <c r="AG332" s="921">
        <f t="shared" si="124"/>
        <v>2</v>
      </c>
      <c r="AH332" s="176">
        <f t="shared" si="119"/>
        <v>8</v>
      </c>
      <c r="AI332" s="225">
        <f t="shared" si="120"/>
        <v>2.9994140061033163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12.191874241418169</v>
      </c>
      <c r="C333" s="955"/>
      <c r="D333" s="393">
        <f t="shared" si="102"/>
        <v>13.152595324807752</v>
      </c>
      <c r="E333" s="385">
        <f t="shared" si="125"/>
        <v>14.144296248549603</v>
      </c>
      <c r="F333" s="385">
        <f t="shared" si="103"/>
        <v>14.146463417575951</v>
      </c>
      <c r="G333" s="110">
        <f t="shared" si="126"/>
        <v>0.43272104984646914</v>
      </c>
      <c r="H333" s="414" t="b">
        <f>Wh_hp&gt;='2026'!Maxi_hp</f>
        <v>0</v>
      </c>
      <c r="I333" s="390">
        <f>IF(H333,Wh_hp,'2026'!Maxi_hp)</f>
        <v>29.501536808911666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7.3044221285932798E-2</v>
      </c>
      <c r="M333" s="959"/>
      <c r="N333" s="959"/>
      <c r="O333" s="48">
        <f>IF(t&lt;Tnet,'2026'!Resal+('2026'!Salim-'2026'!Resal)*(1-EXP(('2026'!Tnet-t)/('2026'!Tau_j))),Resal+(Salim-Resal)*(1-EXP((Tnet-t)/(Tau_j))))*Salcycl</f>
        <v>7.0113132977085518E-2</v>
      </c>
      <c r="P333" s="169">
        <f>(INDEX(Models!$BJ333:$BT333,,T333)*(1-R333)+INDEX(Models!$BJ333:$BT333,,T333+1)*R333-ERP_i)*Q333*Ramure*Pc/MaxiM</f>
        <v>8.0626656048266986E-4</v>
      </c>
      <c r="Q333" s="305">
        <f t="shared" si="105"/>
        <v>0.7</v>
      </c>
      <c r="R333" s="177">
        <f t="shared" si="106"/>
        <v>0.47445814926063268</v>
      </c>
      <c r="S333" s="921">
        <f t="shared" si="107"/>
        <v>-1</v>
      </c>
      <c r="T333" s="176">
        <f t="shared" si="108"/>
        <v>5</v>
      </c>
      <c r="U333" s="251">
        <f t="shared" si="109"/>
        <v>-0.52554185073936732</v>
      </c>
      <c r="V333" s="383">
        <f t="shared" si="110"/>
        <v>28.156501424648738</v>
      </c>
      <c r="W333" s="402">
        <f t="shared" si="111"/>
        <v>12.191874241418169</v>
      </c>
      <c r="X333" s="157">
        <f t="shared" si="112"/>
        <v>46706</v>
      </c>
      <c r="Y333" s="385">
        <f t="shared" si="113"/>
        <v>11.565417469767246</v>
      </c>
      <c r="Z333" s="385">
        <f t="shared" si="114"/>
        <v>12.476773687965501</v>
      </c>
      <c r="AA333" s="386">
        <f t="shared" si="115"/>
        <v>14.096355808871413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0.11489367485223675</v>
      </c>
      <c r="AD333" s="231">
        <f>(INDEX(Models!$BJ333:$BT333,,AH333)*(1-AF333)+INDEX(Models!$BJ333:$BT333,,AH333+1)*AF333-ERP_i)*AE333*Ramure*Pc/MaxiM</f>
        <v>1.8641872799507974E-2</v>
      </c>
      <c r="AE333" s="305">
        <f t="shared" si="117"/>
        <v>0.7</v>
      </c>
      <c r="AF333" s="177">
        <f t="shared" si="118"/>
        <v>0.99944571563461171</v>
      </c>
      <c r="AG333" s="921">
        <f t="shared" si="124"/>
        <v>2</v>
      </c>
      <c r="AH333" s="176">
        <f t="shared" si="119"/>
        <v>8</v>
      </c>
      <c r="AI333" s="225">
        <f t="shared" si="120"/>
        <v>2.9994457156346117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27.017735138694491</v>
      </c>
      <c r="C334" s="955"/>
      <c r="D334" s="393">
        <f t="shared" si="102"/>
        <v>29.147374157239817</v>
      </c>
      <c r="E334" s="385">
        <f t="shared" si="125"/>
        <v>31.346454763343754</v>
      </c>
      <c r="F334" s="385">
        <f t="shared" si="103"/>
        <v>31.371059712712722</v>
      </c>
      <c r="G334" s="110">
        <f t="shared" si="126"/>
        <v>0.96827146666483221</v>
      </c>
      <c r="H334" s="414" t="b">
        <f>Wh_hp&gt;='2026'!Maxi_hp</f>
        <v>0</v>
      </c>
      <c r="I334" s="390">
        <f>IF(H334,Wh_hp,'2026'!Maxi_hp)</f>
        <v>31.371932883653656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7.306452399645591E-2</v>
      </c>
      <c r="M334" s="959"/>
      <c r="N334" s="959"/>
      <c r="O334" s="48">
        <f>IF(t&lt;Tnet,'2026'!Resal+('2026'!Salim-'2026'!Resal)*(1-EXP(('2026'!Tnet-t)/('2026'!Tau_j))),Resal+(Salim-Resal)*(1-EXP((Tnet-t)/(Tau_j))))*Salcycl</f>
        <v>7.0154045256675068E-2</v>
      </c>
      <c r="P334" s="169">
        <f>(INDEX(Models!$BJ334:$BT334,,T334)*(1-R334)+INDEX(Models!$BJ334:$BT334,,T334+1)*R334-ERP_i)*Q334*Ramure*Pc/MaxiM</f>
        <v>8.2151402983764816E-4</v>
      </c>
      <c r="Q334" s="305">
        <f t="shared" si="105"/>
        <v>0.7</v>
      </c>
      <c r="R334" s="177">
        <f t="shared" si="106"/>
        <v>0.4744885858561223</v>
      </c>
      <c r="S334" s="921">
        <f t="shared" si="107"/>
        <v>-1</v>
      </c>
      <c r="T334" s="176">
        <f t="shared" si="108"/>
        <v>5</v>
      </c>
      <c r="U334" s="251">
        <f t="shared" si="109"/>
        <v>-0.5255114141438777</v>
      </c>
      <c r="V334" s="383">
        <f t="shared" si="110"/>
        <v>27.902019610642395</v>
      </c>
      <c r="W334" s="402">
        <f t="shared" si="111"/>
        <v>27.017735138694491</v>
      </c>
      <c r="X334" s="157">
        <f t="shared" si="112"/>
        <v>46707</v>
      </c>
      <c r="Y334" s="385">
        <f t="shared" si="113"/>
        <v>25.272567432383671</v>
      </c>
      <c r="Z334" s="385">
        <f t="shared" si="114"/>
        <v>27.264645799668415</v>
      </c>
      <c r="AA334" s="386">
        <f t="shared" si="115"/>
        <v>30.802853922981686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0.11486624363314114</v>
      </c>
      <c r="AD334" s="231">
        <f>(INDEX(Models!$BJ334:$BT334,,AH334)*(1-AF334)+INDEX(Models!$BJ334:$BT334,,AH334+1)*AF334-ERP_i)*AE334*Ramure*Pc/MaxiM</f>
        <v>1.8971346825357338E-2</v>
      </c>
      <c r="AE334" s="305">
        <f t="shared" si="117"/>
        <v>0.7</v>
      </c>
      <c r="AF334" s="177">
        <f t="shared" si="118"/>
        <v>0.999476152230101</v>
      </c>
      <c r="AG334" s="921">
        <f t="shared" si="124"/>
        <v>2</v>
      </c>
      <c r="AH334" s="176">
        <f t="shared" si="119"/>
        <v>8</v>
      </c>
      <c r="AI334" s="225">
        <f t="shared" si="120"/>
        <v>2.999476152230101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14.43844375863423</v>
      </c>
      <c r="C335" s="955"/>
      <c r="D335" s="393">
        <f t="shared" ref="D335:D379" si="127">Wh/(1-Ppv)</f>
        <v>15.576877116395128</v>
      </c>
      <c r="E335" s="385">
        <f t="shared" si="125"/>
        <v>16.752856440755163</v>
      </c>
      <c r="F335" s="385">
        <f t="shared" ref="F335:F379" si="128">Wh_sa/(1-Pvg*MEDIAN((-Sdif+Wh/Env_an)/Csdif,0,1))</f>
        <v>16.757324865979278</v>
      </c>
      <c r="G335" s="110">
        <f t="shared" si="126"/>
        <v>0.52187371522163484</v>
      </c>
      <c r="H335" s="414" t="b">
        <f>Wh_hp&gt;='2026'!Maxi_hp</f>
        <v>0</v>
      </c>
      <c r="I335" s="390">
        <f>IF(H335,Wh_hp,'2026'!Maxi_hp)</f>
        <v>31.482813740825435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7.308482626229762E-2</v>
      </c>
      <c r="M335" s="959"/>
      <c r="N335" s="959"/>
      <c r="O335" s="48">
        <f>IF(t&lt;Tnet,'2026'!Resal+('2026'!Salim-'2026'!Resal)*(1-EXP(('2026'!Tnet-t)/('2026'!Tau_j))),Resal+(Salim-Resal)*(1-EXP((Tnet-t)/(Tau_j))))*Salcycl</f>
        <v>7.0195750110959909E-2</v>
      </c>
      <c r="P335" s="169">
        <f>(INDEX(Models!$BJ335:$BT335,,T335)*(1-R335)+INDEX(Models!$BJ335:$BT335,,T335+1)*R335-ERP_i)*Q335*Ramure*Pc/MaxiM</f>
        <v>8.4014851053790468E-4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0.47451780047011649</v>
      </c>
      <c r="S335" s="921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-0.52548219952988351</v>
      </c>
      <c r="V335" s="383">
        <f t="shared" ref="V335:V379" si="135">MaxiM*(1-Ppv)*(1-Pvg)*(1-Psa)</f>
        <v>27.650676353335207</v>
      </c>
      <c r="W335" s="402">
        <f t="shared" ref="W335:W379" si="136">Wh*(A335&gt;Tmaj)</f>
        <v>14.43844375863423</v>
      </c>
      <c r="X335" s="157">
        <f t="shared" ref="X335:X379" si="137">t</f>
        <v>46708</v>
      </c>
      <c r="Y335" s="385">
        <f t="shared" ref="Y335:Y379" si="138">Wh_pvt_s*(1-Ppv)</f>
        <v>13.664815532011229</v>
      </c>
      <c r="Z335" s="385">
        <f t="shared" ref="Z335:Z379" si="139">Wh_sa_s*(1-Psa_s)</f>
        <v>14.74225033657512</v>
      </c>
      <c r="AA335" s="386">
        <f t="shared" ref="AA335:AA379" si="140">Wh_hp*(1-Pvg_s*MEDIAN((-Sdif+Wh/Env_an)/Csdif,0,1))</f>
        <v>16.654904778312595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0.1148403108391267</v>
      </c>
      <c r="AD335" s="231">
        <f>(INDEX(Models!$BJ335:$BT335,,AH335)*(1-AF335)+INDEX(Models!$BJ335:$BT335,,AH335+1)*AF335-ERP_i)*AE335*Ramure*Pc/MaxiM</f>
        <v>1.925691486073779E-2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0.99950536684409563</v>
      </c>
      <c r="AG335" s="92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2.9995053668440956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13.185112795616964</v>
      </c>
      <c r="C336" s="955"/>
      <c r="D336" s="393">
        <f t="shared" si="127"/>
        <v>14.225035864481827</v>
      </c>
      <c r="E336" s="385">
        <f t="shared" si="125"/>
        <v>15.299657802107665</v>
      </c>
      <c r="F336" s="385">
        <f t="shared" si="128"/>
        <v>15.303072433316215</v>
      </c>
      <c r="G336" s="110">
        <f t="shared" si="126"/>
        <v>0.48085101801563435</v>
      </c>
      <c r="H336" s="414" t="b">
        <f>Wh_hp&gt;='2026'!Maxi_hp</f>
        <v>0</v>
      </c>
      <c r="I336" s="390">
        <f>IF(H336,Wh_hp,'2026'!Maxi_hp)</f>
        <v>29.94043779612808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7.3105128083467474E-2</v>
      </c>
      <c r="M336" s="959"/>
      <c r="N336" s="959"/>
      <c r="O336" s="48">
        <f>IF(t&lt;Tnet,'2026'!Resal+('2026'!Salim-'2026'!Resal)*(1-EXP(('2026'!Tnet-t)/('2026'!Tau_j))),Resal+(Salim-Resal)*(1-EXP((Tnet-t)/(Tau_j))))*Salcycl</f>
        <v>7.023829889043659E-2</v>
      </c>
      <c r="P336" s="169">
        <f>(INDEX(Models!$BJ336:$BT336,,T336)*(1-R336)+INDEX(Models!$BJ336:$BT336,,T336+1)*R336-ERP_i)*Q336*Ramure*Pc/MaxiM</f>
        <v>8.621926470754592E-4</v>
      </c>
      <c r="Q336" s="305">
        <f t="shared" si="130"/>
        <v>0.7</v>
      </c>
      <c r="R336" s="177">
        <f t="shared" si="131"/>
        <v>0.47454584202877981</v>
      </c>
      <c r="S336" s="921">
        <f t="shared" si="132"/>
        <v>-1</v>
      </c>
      <c r="T336" s="176">
        <f t="shared" si="133"/>
        <v>5</v>
      </c>
      <c r="U336" s="251">
        <f t="shared" si="134"/>
        <v>-0.52545415797122019</v>
      </c>
      <c r="V336" s="383">
        <f t="shared" si="135"/>
        <v>27.402842787285191</v>
      </c>
      <c r="W336" s="402">
        <f t="shared" si="136"/>
        <v>13.185112795616964</v>
      </c>
      <c r="X336" s="157">
        <f t="shared" si="137"/>
        <v>46709</v>
      </c>
      <c r="Y336" s="385">
        <f t="shared" si="138"/>
        <v>12.492393384111539</v>
      </c>
      <c r="Z336" s="385">
        <f t="shared" si="139"/>
        <v>13.477680978298137</v>
      </c>
      <c r="AA336" s="386">
        <f t="shared" si="140"/>
        <v>15.225851701456294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0.11481595627198646</v>
      </c>
      <c r="AD336" s="231">
        <f>(INDEX(Models!$BJ336:$BT336,,AH336)*(1-AF336)+INDEX(Models!$BJ336:$BT336,,AH336+1)*AF336-ERP_i)*AE336*Ramure*Pc/MaxiM</f>
        <v>1.9498195601538485E-2</v>
      </c>
      <c r="AE336" s="305">
        <f t="shared" si="142"/>
        <v>0.7</v>
      </c>
      <c r="AF336" s="177">
        <f t="shared" si="143"/>
        <v>0.99953340840275873</v>
      </c>
      <c r="AG336" s="921">
        <f t="shared" ref="AG336:AG379" si="149">INDEX(Echel_vg,AH336)</f>
        <v>2</v>
      </c>
      <c r="AH336" s="176">
        <f t="shared" si="144"/>
        <v>8</v>
      </c>
      <c r="AI336" s="225">
        <f t="shared" si="145"/>
        <v>2.9995334084027587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5.687426841828688</v>
      </c>
      <c r="C337" s="955"/>
      <c r="D337" s="393">
        <f t="shared" si="127"/>
        <v>6.1361342975619939</v>
      </c>
      <c r="E337" s="385">
        <f t="shared" si="125"/>
        <v>6.5999933065169811</v>
      </c>
      <c r="F337" s="385">
        <f t="shared" si="128"/>
        <v>6.5999933065169811</v>
      </c>
      <c r="G337" s="110">
        <f t="shared" si="126"/>
        <v>0.2092271918444327</v>
      </c>
      <c r="H337" s="414" t="b">
        <f>Wh_hp&gt;='2026'!Maxi_hp</f>
        <v>0</v>
      </c>
      <c r="I337" s="390">
        <f>IF(H337,Wh_hp,'2026'!Maxi_hp)</f>
        <v>31.549585507891482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7.3125429459975466E-2</v>
      </c>
      <c r="M337" s="959"/>
      <c r="N337" s="959"/>
      <c r="O337" s="48">
        <f>IF(t&lt;Tnet,'2026'!Resal+('2026'!Salim-'2026'!Resal)*(1-EXP(('2026'!Tnet-t)/('2026'!Tau_j))),Resal+(Salim-Resal)*(1-EXP((Tnet-t)/(Tau_j))))*Salcycl</f>
        <v>7.028173930069935E-2</v>
      </c>
      <c r="P337" s="169">
        <f>(INDEX(Models!$BJ337:$BT337,,T337)*(1-R337)+INDEX(Models!$BJ337:$BT337,,T337+1)*R337-ERP_i)*Q337*Ramure*Pc/MaxiM</f>
        <v>8.876690128628719E-4</v>
      </c>
      <c r="Q337" s="305">
        <f t="shared" si="130"/>
        <v>0.7</v>
      </c>
      <c r="R337" s="177">
        <f t="shared" si="131"/>
        <v>0.47457275750995032</v>
      </c>
      <c r="S337" s="921">
        <f t="shared" si="132"/>
        <v>-1</v>
      </c>
      <c r="T337" s="176">
        <f t="shared" si="133"/>
        <v>5</v>
      </c>
      <c r="U337" s="251">
        <f t="shared" si="134"/>
        <v>-0.52542724249004968</v>
      </c>
      <c r="V337" s="383">
        <f t="shared" si="135"/>
        <v>27.158890004523446</v>
      </c>
      <c r="W337" s="402">
        <f t="shared" si="136"/>
        <v>5.687426841828688</v>
      </c>
      <c r="X337" s="157">
        <f t="shared" si="137"/>
        <v>46710</v>
      </c>
      <c r="Y337" s="385">
        <f t="shared" si="138"/>
        <v>5.4151336197649078</v>
      </c>
      <c r="Z337" s="385">
        <f t="shared" si="139"/>
        <v>5.8423586015634141</v>
      </c>
      <c r="AA337" s="386">
        <f t="shared" si="140"/>
        <v>6.5999933065169811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0.11479325353337273</v>
      </c>
      <c r="AD337" s="231">
        <f>(INDEX(Models!$BJ337:$BT337,,AH337)*(1-AF337)+INDEX(Models!$BJ337:$BT337,,AH337+1)*AF337-ERP_i)*AE337*Ramure*Pc/MaxiM</f>
        <v>1.9694766748082623E-2</v>
      </c>
      <c r="AE337" s="305">
        <f t="shared" si="142"/>
        <v>0.7</v>
      </c>
      <c r="AF337" s="177">
        <f t="shared" si="143"/>
        <v>0.99956032388392924</v>
      </c>
      <c r="AG337" s="921">
        <f t="shared" si="149"/>
        <v>2</v>
      </c>
      <c r="AH337" s="176">
        <f t="shared" si="144"/>
        <v>8</v>
      </c>
      <c r="AI337" s="225">
        <f t="shared" si="145"/>
        <v>2.9995603238839292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16.846913509385271</v>
      </c>
      <c r="C338" s="955"/>
      <c r="D338" s="393">
        <f t="shared" si="127"/>
        <v>18.176442685544693</v>
      </c>
      <c r="E338" s="385">
        <f t="shared" si="125"/>
        <v>19.551417957299307</v>
      </c>
      <c r="F338" s="385">
        <f t="shared" si="128"/>
        <v>19.559770285310137</v>
      </c>
      <c r="G338" s="110">
        <f t="shared" si="126"/>
        <v>0.62552634739672319</v>
      </c>
      <c r="H338" s="414" t="b">
        <f>Wh_hp&gt;='2026'!Maxi_hp</f>
        <v>0</v>
      </c>
      <c r="I338" s="390">
        <f>IF(H338,Wh_hp,'2026'!Maxi_hp)</f>
        <v>31.724603682982458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7.3145730391831143E-2</v>
      </c>
      <c r="M338" s="959"/>
      <c r="N338" s="959"/>
      <c r="O338" s="48">
        <f>IF(t&lt;Tnet,'2026'!Resal+('2026'!Salim-'2026'!Resal)*(1-EXP(('2026'!Tnet-t)/('2026'!Tau_j))),Resal+(Salim-Resal)*(1-EXP((Tnet-t)/(Tau_j))))*Salcycl</f>
        <v>7.0326115208502377E-2</v>
      </c>
      <c r="P338" s="169">
        <f>(INDEX(Models!$BJ338:$BT338,,T338)*(1-R338)+INDEX(Models!$BJ338:$BT338,,T338+1)*R338-ERP_i)*Q338*Ramure*Pc/MaxiM</f>
        <v>9.1737369601233671E-4</v>
      </c>
      <c r="Q338" s="305">
        <f t="shared" si="130"/>
        <v>0.7</v>
      </c>
      <c r="R338" s="177">
        <f t="shared" si="131"/>
        <v>0.47459859201988941</v>
      </c>
      <c r="S338" s="921">
        <f t="shared" si="132"/>
        <v>-1</v>
      </c>
      <c r="T338" s="176">
        <f t="shared" si="133"/>
        <v>5</v>
      </c>
      <c r="U338" s="251">
        <f t="shared" si="134"/>
        <v>-0.52540140798011059</v>
      </c>
      <c r="V338" s="383">
        <f t="shared" si="135"/>
        <v>26.919168202541854</v>
      </c>
      <c r="W338" s="402">
        <f t="shared" si="136"/>
        <v>16.846913509385271</v>
      </c>
      <c r="X338" s="157">
        <f t="shared" si="137"/>
        <v>46711</v>
      </c>
      <c r="Y338" s="385">
        <f t="shared" si="138"/>
        <v>15.900159980032049</v>
      </c>
      <c r="Z338" s="385">
        <f t="shared" si="139"/>
        <v>17.154973010755942</v>
      </c>
      <c r="AA338" s="386">
        <f t="shared" si="140"/>
        <v>19.37916360303311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0.11477226973454374</v>
      </c>
      <c r="AD338" s="231">
        <f>(INDEX(Models!$BJ338:$BT338,,AH338)*(1-AF338)+INDEX(Models!$BJ338:$BT338,,AH338+1)*AF338-ERP_i)*AE338*Ramure*Pc/MaxiM</f>
        <v>1.9836843025104564E-2</v>
      </c>
      <c r="AE338" s="305">
        <f t="shared" si="142"/>
        <v>0.7</v>
      </c>
      <c r="AF338" s="177">
        <f t="shared" si="143"/>
        <v>0.99958615839386855</v>
      </c>
      <c r="AG338" s="921">
        <f t="shared" si="149"/>
        <v>2</v>
      </c>
      <c r="AH338" s="176">
        <f t="shared" si="144"/>
        <v>8</v>
      </c>
      <c r="AI338" s="225">
        <f t="shared" si="145"/>
        <v>2.9995861583938686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3.3629263995086203</v>
      </c>
      <c r="C339" s="955"/>
      <c r="D339" s="393">
        <f t="shared" si="127"/>
        <v>3.6284021858824906</v>
      </c>
      <c r="E339" s="385">
        <f t="shared" si="125"/>
        <v>3.9030667143051287</v>
      </c>
      <c r="F339" s="385">
        <f t="shared" si="128"/>
        <v>3.9030667143051287</v>
      </c>
      <c r="G339" s="110">
        <f t="shared" si="126"/>
        <v>0.12590769727870407</v>
      </c>
      <c r="H339" s="414" t="b">
        <f>Wh_hp&gt;='2026'!Maxi_hp</f>
        <v>0</v>
      </c>
      <c r="I339" s="390">
        <f>IF(H339,Wh_hp,'2026'!Maxi_hp)</f>
        <v>30.885830486283265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7.3166030879044386E-2</v>
      </c>
      <c r="M339" s="959"/>
      <c r="N339" s="959"/>
      <c r="O339" s="48">
        <f>IF(t&lt;Tnet,'2026'!Resal+('2026'!Salim-'2026'!Resal)*(1-EXP(('2026'!Tnet-t)/('2026'!Tau_j))),Resal+(Salim-Resal)*(1-EXP((Tnet-t)/(Tau_j))))*Salcycl</f>
        <v>7.037146647172729E-2</v>
      </c>
      <c r="P339" s="169">
        <f>(INDEX(Models!$BJ339:$BT339,,T339)*(1-R339)+INDEX(Models!$BJ339:$BT339,,T339+1)*R339-ERP_i)*Q339*Ramure*Pc/MaxiM</f>
        <v>9.5066072647826847E-4</v>
      </c>
      <c r="Q339" s="305">
        <f t="shared" si="130"/>
        <v>0.7</v>
      </c>
      <c r="R339" s="177">
        <f t="shared" si="131"/>
        <v>0.47462338886707456</v>
      </c>
      <c r="S339" s="921">
        <f t="shared" si="132"/>
        <v>-1</v>
      </c>
      <c r="T339" s="176">
        <f t="shared" si="133"/>
        <v>5</v>
      </c>
      <c r="U339" s="251">
        <f t="shared" si="134"/>
        <v>-0.52537661113292544</v>
      </c>
      <c r="V339" s="383">
        <f t="shared" si="135"/>
        <v>26.68406674150836</v>
      </c>
      <c r="W339" s="402">
        <f t="shared" si="136"/>
        <v>3.3629263995086203</v>
      </c>
      <c r="X339" s="157">
        <f t="shared" si="137"/>
        <v>46712</v>
      </c>
      <c r="Y339" s="385">
        <f t="shared" si="138"/>
        <v>3.2023761960793005</v>
      </c>
      <c r="Z339" s="385">
        <f t="shared" si="139"/>
        <v>3.4551778449775155</v>
      </c>
      <c r="AA339" s="386">
        <f t="shared" si="140"/>
        <v>3.9030667143051287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0.11475306524637567</v>
      </c>
      <c r="AD339" s="231">
        <f>(INDEX(Models!$BJ339:$BT339,,AH339)*(1-AF339)+INDEX(Models!$BJ339:$BT339,,AH339+1)*AF339-ERP_i)*AE339*Ramure*Pc/MaxiM</f>
        <v>1.9947721292969366E-2</v>
      </c>
      <c r="AE339" s="305">
        <f t="shared" si="142"/>
        <v>0.7</v>
      </c>
      <c r="AF339" s="177">
        <f t="shared" si="143"/>
        <v>0.99961095524105348</v>
      </c>
      <c r="AG339" s="921">
        <f t="shared" si="149"/>
        <v>2</v>
      </c>
      <c r="AH339" s="176">
        <f t="shared" si="144"/>
        <v>8</v>
      </c>
      <c r="AI339" s="225">
        <f t="shared" si="145"/>
        <v>2.9996109552410535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7.4504149626563647</v>
      </c>
      <c r="C340" s="955"/>
      <c r="D340" s="393">
        <f t="shared" si="127"/>
        <v>8.0387409154906688</v>
      </c>
      <c r="E340" s="385">
        <f t="shared" si="125"/>
        <v>8.6476926564384335</v>
      </c>
      <c r="F340" s="385">
        <f t="shared" si="128"/>
        <v>8.6476926564384335</v>
      </c>
      <c r="G340" s="110">
        <f t="shared" si="126"/>
        <v>0.28135894428185892</v>
      </c>
      <c r="H340" s="414" t="b">
        <f>Wh_hp&gt;='2026'!Maxi_hp</f>
        <v>0</v>
      </c>
      <c r="I340" s="390">
        <f>IF(H340,Wh_hp,'2026'!Maxi_hp)</f>
        <v>31.571381737013635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7.3186330921624743E-2</v>
      </c>
      <c r="M340" s="959"/>
      <c r="N340" s="959"/>
      <c r="O340" s="48">
        <f>IF(t&lt;Tnet,'2026'!Resal+('2026'!Salim-'2026'!Resal)*(1-EXP(('2026'!Tnet-t)/('2026'!Tau_j))),Resal+(Salim-Resal)*(1-EXP((Tnet-t)/(Tau_j))))*Salcycl</f>
        <v>7.0417828794410831E-2</v>
      </c>
      <c r="P340" s="169">
        <f>(INDEX(Models!$BJ340:$BT340,,T340)*(1-R340)+INDEX(Models!$BJ340:$BT340,,T340+1)*R340-ERP_i)*Q340*Ramure*Pc/MaxiM</f>
        <v>9.8755100010232302E-4</v>
      </c>
      <c r="Q340" s="305">
        <f t="shared" si="130"/>
        <v>0.7</v>
      </c>
      <c r="R340" s="177">
        <f t="shared" si="131"/>
        <v>0.47464718963314312</v>
      </c>
      <c r="S340" s="921">
        <f t="shared" si="132"/>
        <v>-1</v>
      </c>
      <c r="T340" s="176">
        <f t="shared" si="133"/>
        <v>5</v>
      </c>
      <c r="U340" s="251">
        <f t="shared" si="134"/>
        <v>-0.52535281036685688</v>
      </c>
      <c r="V340" s="383">
        <f t="shared" si="135"/>
        <v>26.45395658882104</v>
      </c>
      <c r="W340" s="402">
        <f t="shared" si="136"/>
        <v>7.4504149626563647</v>
      </c>
      <c r="X340" s="157">
        <f t="shared" si="137"/>
        <v>46713</v>
      </c>
      <c r="Y340" s="385">
        <f t="shared" si="138"/>
        <v>7.0952161513212042</v>
      </c>
      <c r="Z340" s="385">
        <f t="shared" si="139"/>
        <v>7.6554936424024653</v>
      </c>
      <c r="AA340" s="386">
        <f t="shared" si="140"/>
        <v>8.6476926564384335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0.11473569349128648</v>
      </c>
      <c r="AD340" s="231">
        <f>(INDEX(Models!$BJ340:$BT340,,AH340)*(1-AF340)+INDEX(Models!$BJ340:$BT340,,AH340+1)*AF340-ERP_i)*AE340*Ramure*Pc/MaxiM</f>
        <v>2.0026972309999985E-2</v>
      </c>
      <c r="AE340" s="305">
        <f t="shared" si="142"/>
        <v>0.7</v>
      </c>
      <c r="AF340" s="177">
        <f t="shared" si="143"/>
        <v>0.99963475600712215</v>
      </c>
      <c r="AG340" s="921">
        <f t="shared" si="149"/>
        <v>2</v>
      </c>
      <c r="AH340" s="176">
        <f t="shared" si="144"/>
        <v>8</v>
      </c>
      <c r="AI340" s="225">
        <f t="shared" si="145"/>
        <v>2.9996347560071221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11.561249753643795</v>
      </c>
      <c r="C341" s="955"/>
      <c r="D341" s="393">
        <f t="shared" si="127"/>
        <v>12.474463169849072</v>
      </c>
      <c r="E341" s="385">
        <f t="shared" si="125"/>
        <v>13.420114686259698</v>
      </c>
      <c r="F341" s="385">
        <f t="shared" si="128"/>
        <v>13.422889916467549</v>
      </c>
      <c r="G341" s="110">
        <f t="shared" si="126"/>
        <v>0.44041559084354598</v>
      </c>
      <c r="H341" s="414" t="b">
        <f>Wh_hp&gt;='2026'!Maxi_hp</f>
        <v>0</v>
      </c>
      <c r="I341" s="390">
        <f>IF(H341,Wh_hp,'2026'!Maxi_hp)</f>
        <v>31.553325364511156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7.3206630519582205E-2</v>
      </c>
      <c r="M341" s="959"/>
      <c r="N341" s="959"/>
      <c r="O341" s="48">
        <f>IF(t&lt;Tnet,'2026'!Resal+('2026'!Salim-'2026'!Resal)*(1-EXP(('2026'!Tnet-t)/('2026'!Tau_j))),Resal+(Salim-Resal)*(1-EXP((Tnet-t)/(Tau_j))))*Salcycl</f>
        <v>7.0465233607790237E-2</v>
      </c>
      <c r="P341" s="169">
        <f>(INDEX(Models!$BJ341:$BT341,,T341)*(1-R341)+INDEX(Models!$BJ341:$BT341,,T341+1)*R341-ERP_i)*Q341*Ramure*Pc/MaxiM</f>
        <v>1.0280570794391859E-3</v>
      </c>
      <c r="Q341" s="305">
        <f t="shared" si="130"/>
        <v>0.7</v>
      </c>
      <c r="R341" s="177">
        <f t="shared" si="131"/>
        <v>0.47467003424109278</v>
      </c>
      <c r="S341" s="921">
        <f t="shared" si="132"/>
        <v>-1</v>
      </c>
      <c r="T341" s="176">
        <f t="shared" si="133"/>
        <v>5</v>
      </c>
      <c r="U341" s="251">
        <f t="shared" si="134"/>
        <v>-0.52532996575890722</v>
      </c>
      <c r="V341" s="383">
        <f t="shared" si="135"/>
        <v>26.229208808788993</v>
      </c>
      <c r="W341" s="402">
        <f t="shared" si="136"/>
        <v>11.561249753643795</v>
      </c>
      <c r="X341" s="157">
        <f t="shared" si="137"/>
        <v>46714</v>
      </c>
      <c r="Y341" s="385">
        <f t="shared" si="138"/>
        <v>10.968636911319138</v>
      </c>
      <c r="Z341" s="385">
        <f t="shared" si="139"/>
        <v>11.83504033641114</v>
      </c>
      <c r="AA341" s="386">
        <f t="shared" si="140"/>
        <v>13.368700321431879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0.11472020077838598</v>
      </c>
      <c r="AD341" s="231">
        <f>(INDEX(Models!$BJ341:$BT341,,AH341)*(1-AF341)+INDEX(Models!$BJ341:$BT341,,AH341+1)*AF341-ERP_i)*AE341*Ramure*Pc/MaxiM</f>
        <v>2.0074009230212839E-2</v>
      </c>
      <c r="AE341" s="305">
        <f t="shared" si="142"/>
        <v>0.7</v>
      </c>
      <c r="AF341" s="177">
        <f t="shared" si="143"/>
        <v>0.99965760061507192</v>
      </c>
      <c r="AG341" s="921">
        <f t="shared" si="149"/>
        <v>2</v>
      </c>
      <c r="AH341" s="176">
        <f t="shared" si="144"/>
        <v>8</v>
      </c>
      <c r="AI341" s="225">
        <f t="shared" si="145"/>
        <v>2.9996576006150719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13.657640064530877</v>
      </c>
      <c r="C342" s="955"/>
      <c r="D342" s="393">
        <f t="shared" si="127"/>
        <v>14.736768365216815</v>
      </c>
      <c r="E342" s="385">
        <f t="shared" si="125"/>
        <v>15.854745241223918</v>
      </c>
      <c r="F342" s="385">
        <f t="shared" si="128"/>
        <v>15.860213334958102</v>
      </c>
      <c r="G342" s="110">
        <f t="shared" si="126"/>
        <v>0.52470587450890871</v>
      </c>
      <c r="H342" s="414" t="b">
        <f>Wh_hp&gt;='2026'!Maxi_hp</f>
        <v>0</v>
      </c>
      <c r="I342" s="390">
        <f>IF(H342,Wh_hp,'2026'!Maxi_hp)</f>
        <v>29.21125181785667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7.3226929672926322E-2</v>
      </c>
      <c r="M342" s="959"/>
      <c r="N342" s="959"/>
      <c r="O342" s="48">
        <f>IF(t&lt;Tnet,'2026'!Resal+('2026'!Salim-'2026'!Resal)*(1-EXP(('2026'!Tnet-t)/('2026'!Tau_j))),Resal+(Salim-Resal)*(1-EXP((Tnet-t)/(Tau_j))))*Salcycl</f>
        <v>7.0513707978117124E-2</v>
      </c>
      <c r="P342" s="169">
        <f>(INDEX(Models!$BJ342:$BT342,,T342)*(1-R342)+INDEX(Models!$BJ342:$BT342,,T342+1)*R342-ERP_i)*Q342*Ramure*Pc/MaxiM</f>
        <v>1.0721923034776207E-3</v>
      </c>
      <c r="Q342" s="305">
        <f t="shared" si="130"/>
        <v>0.7</v>
      </c>
      <c r="R342" s="177">
        <f t="shared" si="131"/>
        <v>0.47469196102084088</v>
      </c>
      <c r="S342" s="921">
        <f t="shared" si="132"/>
        <v>-1</v>
      </c>
      <c r="T342" s="176">
        <f t="shared" si="133"/>
        <v>5</v>
      </c>
      <c r="U342" s="251">
        <f t="shared" si="134"/>
        <v>-0.52530803897915912</v>
      </c>
      <c r="V342" s="383">
        <f t="shared" si="135"/>
        <v>26.010194285171526</v>
      </c>
      <c r="W342" s="402">
        <f t="shared" si="136"/>
        <v>13.657640064530877</v>
      </c>
      <c r="X342" s="157">
        <f t="shared" si="137"/>
        <v>46715</v>
      </c>
      <c r="Y342" s="385">
        <f t="shared" si="138"/>
        <v>12.92871104581234</v>
      </c>
      <c r="Z342" s="385">
        <f t="shared" si="139"/>
        <v>13.95024462811547</v>
      </c>
      <c r="AA342" s="386">
        <f t="shared" si="140"/>
        <v>15.757764646950127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0.11470662618282577</v>
      </c>
      <c r="AD342" s="231">
        <f>(INDEX(Models!$BJ342:$BT342,,AH342)*(1-AF342)+INDEX(Models!$BJ342:$BT342,,AH342+1)*AF342-ERP_i)*AE342*Ramure*Pc/MaxiM</f>
        <v>2.0088297699954519E-2</v>
      </c>
      <c r="AE342" s="305">
        <f t="shared" si="142"/>
        <v>0.7</v>
      </c>
      <c r="AF342" s="177">
        <f t="shared" si="143"/>
        <v>0.9996795273948198</v>
      </c>
      <c r="AG342" s="921">
        <f t="shared" si="149"/>
        <v>2</v>
      </c>
      <c r="AH342" s="176">
        <f t="shared" si="144"/>
        <v>8</v>
      </c>
      <c r="AI342" s="225">
        <f t="shared" si="145"/>
        <v>2.9996795273948198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4.2011300565634899</v>
      </c>
      <c r="C343" s="955"/>
      <c r="D343" s="393">
        <f t="shared" si="127"/>
        <v>4.5331723683192306</v>
      </c>
      <c r="E343" s="385">
        <f t="shared" si="125"/>
        <v>4.8773329524764932</v>
      </c>
      <c r="F343" s="385">
        <f t="shared" si="128"/>
        <v>4.8773329524764932</v>
      </c>
      <c r="G343" s="110">
        <f t="shared" si="126"/>
        <v>0.16266925468213916</v>
      </c>
      <c r="H343" s="414" t="b">
        <f>Wh_hp&gt;='2026'!Maxi_hp</f>
        <v>0</v>
      </c>
      <c r="I343" s="390">
        <f>IF(H343,Wh_hp,'2026'!Maxi_hp)</f>
        <v>27.276647569608237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7.3247228381666862E-2</v>
      </c>
      <c r="M343" s="959"/>
      <c r="N343" s="959"/>
      <c r="O343" s="48">
        <f>IF(t&lt;Tnet,'2026'!Resal+('2026'!Salim-'2026'!Resal)*(1-EXP(('2026'!Tnet-t)/('2026'!Tau_j))),Resal+(Salim-Resal)*(1-EXP((Tnet-t)/(Tau_j))))*Salcycl</f>
        <v>7.0563274541778645E-2</v>
      </c>
      <c r="P343" s="169">
        <f>(INDEX(Models!$BJ343:$BT343,,T343)*(1-R343)+INDEX(Models!$BJ343:$BT343,,T343+1)*R343-ERP_i)*Q343*Ramure*Pc/MaxiM</f>
        <v>1.119971944825905E-3</v>
      </c>
      <c r="Q343" s="305">
        <f t="shared" si="130"/>
        <v>0.7</v>
      </c>
      <c r="R343" s="177">
        <f t="shared" si="131"/>
        <v>0.47471300677223816</v>
      </c>
      <c r="S343" s="921">
        <f t="shared" si="132"/>
        <v>-1</v>
      </c>
      <c r="T343" s="176">
        <f t="shared" si="133"/>
        <v>5</v>
      </c>
      <c r="U343" s="251">
        <f t="shared" si="134"/>
        <v>-0.52528699322776184</v>
      </c>
      <c r="V343" s="383">
        <f t="shared" si="135"/>
        <v>25.797283678243438</v>
      </c>
      <c r="W343" s="402">
        <f t="shared" si="136"/>
        <v>4.2011300565634899</v>
      </c>
      <c r="X343" s="157">
        <f t="shared" si="137"/>
        <v>46716</v>
      </c>
      <c r="Y343" s="385">
        <f t="shared" si="138"/>
        <v>4.0016510394688316</v>
      </c>
      <c r="Z343" s="385">
        <f t="shared" si="139"/>
        <v>4.3179272423226607</v>
      </c>
      <c r="AA343" s="386">
        <f t="shared" si="140"/>
        <v>4.8773329524764932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0.11469500146997168</v>
      </c>
      <c r="AD343" s="231">
        <f>(INDEX(Models!$BJ343:$BT343,,AH343)*(1-AF343)+INDEX(Models!$BJ343:$BT343,,AH343+1)*AF343-ERP_i)*AE343*Ramure*Pc/MaxiM</f>
        <v>2.0069380244115531E-2</v>
      </c>
      <c r="AE343" s="305">
        <f t="shared" si="142"/>
        <v>0.7</v>
      </c>
      <c r="AF343" s="177">
        <f t="shared" si="143"/>
        <v>0.99970057314621696</v>
      </c>
      <c r="AG343" s="921">
        <f t="shared" si="149"/>
        <v>2</v>
      </c>
      <c r="AH343" s="176">
        <f t="shared" si="144"/>
        <v>8</v>
      </c>
      <c r="AI343" s="225">
        <f t="shared" si="145"/>
        <v>2.999700573146217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13.032938003071548</v>
      </c>
      <c r="C344" s="955"/>
      <c r="D344" s="393">
        <f t="shared" si="127"/>
        <v>14.063322887456982</v>
      </c>
      <c r="E344" s="385">
        <f t="shared" si="125"/>
        <v>15.131842047415335</v>
      </c>
      <c r="F344" s="385">
        <f t="shared" si="128"/>
        <v>15.137143369651749</v>
      </c>
      <c r="G344" s="110">
        <f t="shared" si="126"/>
        <v>0.50886285575323709</v>
      </c>
      <c r="H344" s="414" t="b">
        <f>Wh_hp&gt;='2026'!Maxi_hp</f>
        <v>0</v>
      </c>
      <c r="I344" s="390">
        <f>IF(H344,Wh_hp,'2026'!Maxi_hp)</f>
        <v>27.777098112719983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7.3267526645813597E-2</v>
      </c>
      <c r="M344" s="959"/>
      <c r="N344" s="959"/>
      <c r="O344" s="48">
        <f>IF(t&lt;Tnet,'2026'!Resal+('2026'!Salim-'2026'!Resal)*(1-EXP(('2026'!Tnet-t)/('2026'!Tau_j))),Resal+(Salim-Resal)*(1-EXP((Tnet-t)/(Tau_j))))*Salcycl</f>
        <v>7.0613951468047803E-2</v>
      </c>
      <c r="P344" s="169">
        <f>(INDEX(Models!$BJ344:$BT344,,T344)*(1-R344)+INDEX(Models!$BJ344:$BT344,,T344+1)*R344-ERP_i)*Q344*Ramure*Pc/MaxiM</f>
        <v>1.1714076738111481E-3</v>
      </c>
      <c r="Q344" s="305">
        <f t="shared" si="130"/>
        <v>0.7</v>
      </c>
      <c r="R344" s="177">
        <f t="shared" si="131"/>
        <v>0.47473320682563647</v>
      </c>
      <c r="S344" s="921">
        <f t="shared" si="132"/>
        <v>-1</v>
      </c>
      <c r="T344" s="176">
        <f t="shared" si="133"/>
        <v>5</v>
      </c>
      <c r="U344" s="251">
        <f t="shared" si="134"/>
        <v>-0.52526679317436353</v>
      </c>
      <c r="V344" s="383">
        <f t="shared" si="135"/>
        <v>25.590847536380235</v>
      </c>
      <c r="W344" s="402">
        <f t="shared" si="136"/>
        <v>13.032938003071548</v>
      </c>
      <c r="X344" s="157">
        <f t="shared" si="137"/>
        <v>46717</v>
      </c>
      <c r="Y344" s="385">
        <f t="shared" si="138"/>
        <v>12.344943925476606</v>
      </c>
      <c r="Z344" s="385">
        <f t="shared" si="139"/>
        <v>13.320935955546808</v>
      </c>
      <c r="AA344" s="386">
        <f t="shared" si="140"/>
        <v>15.046555449597928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0.11468535106466722</v>
      </c>
      <c r="AD344" s="231">
        <f>(INDEX(Models!$BJ344:$BT344,,AH344)*(1-AF344)+INDEX(Models!$BJ344:$BT344,,AH344+1)*AF344-ERP_i)*AE344*Ramure*Pc/MaxiM</f>
        <v>2.0016776942314071E-2</v>
      </c>
      <c r="AE344" s="305">
        <f t="shared" si="142"/>
        <v>0.7</v>
      </c>
      <c r="AF344" s="177">
        <f t="shared" si="143"/>
        <v>0.99972077319961539</v>
      </c>
      <c r="AG344" s="921">
        <f t="shared" si="149"/>
        <v>2</v>
      </c>
      <c r="AH344" s="176">
        <f t="shared" si="144"/>
        <v>8</v>
      </c>
      <c r="AI344" s="225">
        <f t="shared" si="145"/>
        <v>2.9997207731996154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13.883033627080826</v>
      </c>
      <c r="C345" s="955"/>
      <c r="D345" s="393">
        <f t="shared" si="127"/>
        <v>14.980955245431678</v>
      </c>
      <c r="E345" s="385">
        <f t="shared" si="125"/>
        <v>16.120093803622208</v>
      </c>
      <c r="F345" s="385">
        <f t="shared" si="128"/>
        <v>16.12707048106012</v>
      </c>
      <c r="G345" s="110">
        <f t="shared" si="126"/>
        <v>0.54642344048509617</v>
      </c>
      <c r="H345" s="414" t="b">
        <f>Wh_hp&gt;='2026'!Maxi_hp</f>
        <v>0</v>
      </c>
      <c r="I345" s="390">
        <f>IF(H345,Wh_hp,'2026'!Maxi_hp)</f>
        <v>27.662208875171967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7.3287824465376183E-2</v>
      </c>
      <c r="M345" s="959"/>
      <c r="N345" s="959"/>
      <c r="O345" s="48">
        <f>IF(t&lt;Tnet,'2026'!Resal+('2026'!Salim-'2026'!Resal)*(1-EXP(('2026'!Tnet-t)/('2026'!Tau_j))),Resal+(Salim-Resal)*(1-EXP((Tnet-t)/(Tau_j))))*Salcycl</f>
        <v>7.0665752449564689E-2</v>
      </c>
      <c r="P345" s="169">
        <f>(INDEX(Models!$BJ345:$BT345,,T345)*(1-R345)+INDEX(Models!$BJ345:$BT345,,T345+1)*R345-ERP_i)*Q345*Ramure*Pc/MaxiM</f>
        <v>1.2267164275826118E-3</v>
      </c>
      <c r="Q345" s="305">
        <f t="shared" si="130"/>
        <v>0.7</v>
      </c>
      <c r="R345" s="177">
        <f t="shared" si="131"/>
        <v>0.47475259510009704</v>
      </c>
      <c r="S345" s="921">
        <f t="shared" si="132"/>
        <v>-1</v>
      </c>
      <c r="T345" s="176">
        <f t="shared" si="133"/>
        <v>5</v>
      </c>
      <c r="U345" s="251">
        <f t="shared" si="134"/>
        <v>-0.52524740489990296</v>
      </c>
      <c r="V345" s="383">
        <f t="shared" si="135"/>
        <v>25.386912739669171</v>
      </c>
      <c r="W345" s="402">
        <f t="shared" si="136"/>
        <v>13.883033627080826</v>
      </c>
      <c r="X345" s="157">
        <f t="shared" si="137"/>
        <v>46718</v>
      </c>
      <c r="Y345" s="385">
        <f t="shared" si="138"/>
        <v>13.138266458710048</v>
      </c>
      <c r="Z345" s="385">
        <f t="shared" si="139"/>
        <v>14.177289136328151</v>
      </c>
      <c r="AA345" s="386">
        <f t="shared" si="140"/>
        <v>16.013703720404891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0.11467769206549981</v>
      </c>
      <c r="AD345" s="231">
        <f>(INDEX(Models!$BJ345:$BT345,,AH345)*(1-AF345)+INDEX(Models!$BJ345:$BT345,,AH345+1)*AF345-ERP_i)*AE345*Ramure*Pc/MaxiM</f>
        <v>1.9933395068813229E-2</v>
      </c>
      <c r="AE345" s="305">
        <f t="shared" si="142"/>
        <v>0.7</v>
      </c>
      <c r="AF345" s="177">
        <f t="shared" si="143"/>
        <v>0.99974016147407596</v>
      </c>
      <c r="AG345" s="921">
        <f t="shared" si="149"/>
        <v>2</v>
      </c>
      <c r="AH345" s="176">
        <f t="shared" si="144"/>
        <v>8</v>
      </c>
      <c r="AI345" s="225">
        <f t="shared" si="145"/>
        <v>2.999740161474076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8.9629557640035813</v>
      </c>
      <c r="C346" s="955"/>
      <c r="D346" s="393">
        <f t="shared" si="127"/>
        <v>9.6719912791332217</v>
      </c>
      <c r="E346" s="385">
        <f t="shared" si="125"/>
        <v>10.408033757828788</v>
      </c>
      <c r="F346" s="385">
        <f t="shared" si="128"/>
        <v>10.409100432894419</v>
      </c>
      <c r="G346" s="110">
        <f t="shared" si="126"/>
        <v>0.35550135601480926</v>
      </c>
      <c r="H346" s="414" t="b">
        <f>Wh_hp&gt;='2026'!Maxi_hp</f>
        <v>0</v>
      </c>
      <c r="I346" s="390">
        <f>IF(H346,Wh_hp,'2026'!Maxi_hp)</f>
        <v>20.343286490073936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7.3308121840364504E-2</v>
      </c>
      <c r="M346" s="959"/>
      <c r="N346" s="959"/>
      <c r="O346" s="48">
        <f>IF(t&lt;Tnet,'2026'!Resal+('2026'!Salim-'2026'!Resal)*(1-EXP(('2026'!Tnet-t)/('2026'!Tau_j))),Resal+(Salim-Resal)*(1-EXP((Tnet-t)/(Tau_j))))*Salcycl</f>
        <v>7.0718686720431245E-2</v>
      </c>
      <c r="P346" s="169">
        <f>(INDEX(Models!$BJ346:$BT346,,T346)*(1-R346)+INDEX(Models!$BJ346:$BT346,,T346+1)*R346-ERP_i)*Q346*Ramure*Pc/MaxiM</f>
        <v>1.2827390768290446E-3</v>
      </c>
      <c r="Q346" s="305">
        <f t="shared" si="130"/>
        <v>0.7</v>
      </c>
      <c r="R346" s="177">
        <f t="shared" si="131"/>
        <v>0.47477120415933183</v>
      </c>
      <c r="S346" s="921">
        <f t="shared" si="132"/>
        <v>-1</v>
      </c>
      <c r="T346" s="176">
        <f t="shared" si="133"/>
        <v>5</v>
      </c>
      <c r="U346" s="251">
        <f t="shared" si="134"/>
        <v>-0.52522879584066817</v>
      </c>
      <c r="V346" s="383">
        <f t="shared" si="135"/>
        <v>25.182396285742268</v>
      </c>
      <c r="W346" s="402">
        <f t="shared" si="136"/>
        <v>8.9629557640035813</v>
      </c>
      <c r="X346" s="157">
        <f t="shared" si="137"/>
        <v>46719</v>
      </c>
      <c r="Y346" s="385">
        <f t="shared" si="138"/>
        <v>8.5263785448422755</v>
      </c>
      <c r="Z346" s="385">
        <f t="shared" si="139"/>
        <v>9.2008776010589894</v>
      </c>
      <c r="AA346" s="386">
        <f t="shared" si="140"/>
        <v>10.392620540142834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0.11467203430362773</v>
      </c>
      <c r="AD346" s="231">
        <f>(INDEX(Models!$BJ346:$BT346,,AH346)*(1-AF346)+INDEX(Models!$BJ346:$BT346,,AH346+1)*AF346-ERP_i)*AE346*Ramure*Pc/MaxiM</f>
        <v>1.9818033715729145E-2</v>
      </c>
      <c r="AE346" s="305">
        <f t="shared" si="142"/>
        <v>0.7</v>
      </c>
      <c r="AF346" s="177">
        <f t="shared" si="143"/>
        <v>0.99975877053331086</v>
      </c>
      <c r="AG346" s="921">
        <f t="shared" si="149"/>
        <v>2</v>
      </c>
      <c r="AH346" s="176">
        <f t="shared" si="144"/>
        <v>8</v>
      </c>
      <c r="AI346" s="225">
        <f t="shared" si="145"/>
        <v>2.9997587705333109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12.61178612961718</v>
      </c>
      <c r="C347" s="955"/>
      <c r="D347" s="393">
        <f t="shared" si="127"/>
        <v>13.609768967866579</v>
      </c>
      <c r="E347" s="385">
        <f t="shared" si="125"/>
        <v>14.646330164307351</v>
      </c>
      <c r="F347" s="385">
        <f t="shared" si="128"/>
        <v>14.652063255525819</v>
      </c>
      <c r="G347" s="110">
        <f t="shared" si="126"/>
        <v>0.50441918067000802</v>
      </c>
      <c r="H347" s="414" t="b">
        <f>Wh_hp&gt;='2026'!Maxi_hp</f>
        <v>0</v>
      </c>
      <c r="I347" s="390">
        <f>IF(H347,Wh_hp,'2026'!Maxi_hp)</f>
        <v>29.549892661364552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7.3328418770788217E-2</v>
      </c>
      <c r="M347" s="959"/>
      <c r="N347" s="959"/>
      <c r="O347" s="48">
        <f>IF(t&lt;Tnet,'2026'!Resal+('2026'!Salim-'2026'!Resal)*(1-EXP(('2026'!Tnet-t)/('2026'!Tau_j))),Resal+(Salim-Resal)*(1-EXP((Tnet-t)/(Tau_j))))*Salcycl</f>
        <v>7.0772759101582941E-2</v>
      </c>
      <c r="P347" s="169">
        <f>(INDEX(Models!$BJ347:$BT347,,T347)*(1-R347)+INDEX(Models!$BJ347:$BT347,,T347+1)*R347-ERP_i)*Q347*Ramure*Pc/MaxiM</f>
        <v>1.336758848656844E-3</v>
      </c>
      <c r="Q347" s="305">
        <f t="shared" si="130"/>
        <v>0.7</v>
      </c>
      <c r="R347" s="177">
        <f t="shared" si="131"/>
        <v>0.47478906526546094</v>
      </c>
      <c r="S347" s="921">
        <f t="shared" si="132"/>
        <v>-1</v>
      </c>
      <c r="T347" s="176">
        <f t="shared" si="133"/>
        <v>5</v>
      </c>
      <c r="U347" s="251">
        <f t="shared" si="134"/>
        <v>-0.52521093473453906</v>
      </c>
      <c r="V347" s="383">
        <f t="shared" si="135"/>
        <v>24.978941712293629</v>
      </c>
      <c r="W347" s="402">
        <f t="shared" si="136"/>
        <v>12.61178612961718</v>
      </c>
      <c r="X347" s="157">
        <f t="shared" si="137"/>
        <v>46720</v>
      </c>
      <c r="Y347" s="385">
        <f t="shared" si="138"/>
        <v>11.951432778175365</v>
      </c>
      <c r="Z347" s="385">
        <f t="shared" si="139"/>
        <v>12.897161216838033</v>
      </c>
      <c r="AA347" s="386">
        <f t="shared" si="140"/>
        <v>14.567604874799434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0.11466838044537507</v>
      </c>
      <c r="AD347" s="231">
        <f>(INDEX(Models!$BJ347:$BT347,,AH347)*(1-AF347)+INDEX(Models!$BJ347:$BT347,,AH347+1)*AF347-ERP_i)*AE347*Ramure*Pc/MaxiM</f>
        <v>1.9692777155811636E-2</v>
      </c>
      <c r="AE347" s="305">
        <f t="shared" si="142"/>
        <v>0.7</v>
      </c>
      <c r="AF347" s="177">
        <f t="shared" si="143"/>
        <v>0.99977663163944008</v>
      </c>
      <c r="AG347" s="921">
        <f t="shared" si="149"/>
        <v>2</v>
      </c>
      <c r="AH347" s="176">
        <f t="shared" si="144"/>
        <v>8</v>
      </c>
      <c r="AI347" s="225">
        <f t="shared" si="145"/>
        <v>2.9997766316394401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4.1023622675486129</v>
      </c>
      <c r="C348" s="955"/>
      <c r="D348" s="393">
        <f t="shared" si="127"/>
        <v>4.4270831272681557</v>
      </c>
      <c r="E348" s="385">
        <f t="shared" si="125"/>
        <v>4.7645462677298003</v>
      </c>
      <c r="F348" s="385">
        <f t="shared" si="128"/>
        <v>4.7645462677298003</v>
      </c>
      <c r="G348" s="110">
        <f t="shared" si="126"/>
        <v>0.16533395752157357</v>
      </c>
      <c r="H348" s="414" t="b">
        <f>Wh_hp&gt;='2026'!Maxi_hp</f>
        <v>0</v>
      </c>
      <c r="I348" s="390">
        <f>IF(H348,Wh_hp,'2026'!Maxi_hp)</f>
        <v>27.333508248606524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7.3348715256657093E-2</v>
      </c>
      <c r="M348" s="959"/>
      <c r="N348" s="959"/>
      <c r="O348" s="48">
        <f>IF(t&lt;Tnet,'2026'!Resal+('2026'!Salim-'2026'!Resal)*(1-EXP(('2026'!Tnet-t)/('2026'!Tau_j))),Resal+(Salim-Resal)*(1-EXP((Tnet-t)/(Tau_j))))*Salcycl</f>
        <v>7.082797007288541E-2</v>
      </c>
      <c r="P348" s="169">
        <f>(INDEX(Models!$BJ348:$BT348,,T348)*(1-R348)+INDEX(Models!$BJ348:$BT348,,T348+1)*R348-ERP_i)*Q348*Ramure*Pc/MaxiM</f>
        <v>1.388703616232773E-3</v>
      </c>
      <c r="Q348" s="305">
        <f t="shared" si="130"/>
        <v>0.7</v>
      </c>
      <c r="R348" s="177">
        <f t="shared" si="131"/>
        <v>0.47480620843067012</v>
      </c>
      <c r="S348" s="921">
        <f t="shared" si="132"/>
        <v>-1</v>
      </c>
      <c r="T348" s="176">
        <f t="shared" si="133"/>
        <v>5</v>
      </c>
      <c r="U348" s="251">
        <f t="shared" si="134"/>
        <v>-0.52519379156932988</v>
      </c>
      <c r="V348" s="383">
        <f t="shared" si="135"/>
        <v>24.778124008179134</v>
      </c>
      <c r="W348" s="402">
        <f t="shared" si="136"/>
        <v>4.1023622675486129</v>
      </c>
      <c r="X348" s="157">
        <f t="shared" si="137"/>
        <v>46721</v>
      </c>
      <c r="Y348" s="385">
        <f t="shared" si="138"/>
        <v>3.9088109627921721</v>
      </c>
      <c r="Z348" s="385">
        <f t="shared" si="139"/>
        <v>4.218211345678764</v>
      </c>
      <c r="AA348" s="386">
        <f t="shared" si="140"/>
        <v>4.7645462677298003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0.11466672613746122</v>
      </c>
      <c r="AD348" s="231">
        <f>(INDEX(Models!$BJ348:$BT348,,AH348)*(1-AF348)+INDEX(Models!$BJ348:$BT348,,AH348+1)*AF348-ERP_i)*AE348*Ramure*Pc/MaxiM</f>
        <v>1.9556269001955284E-2</v>
      </c>
      <c r="AE348" s="305">
        <f t="shared" si="142"/>
        <v>0.7</v>
      </c>
      <c r="AF348" s="177">
        <f t="shared" si="143"/>
        <v>0.99979377480464882</v>
      </c>
      <c r="AG348" s="921">
        <f t="shared" si="149"/>
        <v>2</v>
      </c>
      <c r="AH348" s="176">
        <f t="shared" si="144"/>
        <v>8</v>
      </c>
      <c r="AI348" s="225">
        <f t="shared" si="145"/>
        <v>2.9997937748046488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3.3180691702105705</v>
      </c>
      <c r="C349" s="955"/>
      <c r="D349" s="393">
        <f t="shared" si="127"/>
        <v>3.5807880490359647</v>
      </c>
      <c r="E349" s="385">
        <f t="shared" si="125"/>
        <v>3.853974386831633</v>
      </c>
      <c r="F349" s="385">
        <f t="shared" si="128"/>
        <v>3.853974386831633</v>
      </c>
      <c r="G349" s="110">
        <f t="shared" si="126"/>
        <v>0.13478810401075517</v>
      </c>
      <c r="H349" s="414" t="b">
        <f>Wh_hp&gt;='2026'!Maxi_hp</f>
        <v>0</v>
      </c>
      <c r="I349" s="390">
        <f>IF(H349,Wh_hp,'2026'!Maxi_hp)</f>
        <v>28.263329653266126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7.3369011297980791E-2</v>
      </c>
      <c r="M349" s="959"/>
      <c r="N349" s="959"/>
      <c r="O349" s="48">
        <f>IF(t&lt;Tnet,'2026'!Resal+('2026'!Salim-'2026'!Resal)*(1-EXP(('2026'!Tnet-t)/('2026'!Tau_j))),Resal+(Salim-Resal)*(1-EXP((Tnet-t)/(Tau_j))))*Salcycl</f>
        <v>7.0884315871194883E-2</v>
      </c>
      <c r="P349" s="169">
        <f>(INDEX(Models!$BJ349:$BT349,,T349)*(1-R349)+INDEX(Models!$BJ349:$BT349,,T349+1)*R349-ERP_i)*Q349*Ramure*Pc/MaxiM</f>
        <v>1.4384826083561077E-3</v>
      </c>
      <c r="Q349" s="305">
        <f t="shared" si="130"/>
        <v>0.7</v>
      </c>
      <c r="R349" s="177">
        <f t="shared" si="131"/>
        <v>0.47482266246684557</v>
      </c>
      <c r="S349" s="921">
        <f t="shared" si="132"/>
        <v>-1</v>
      </c>
      <c r="T349" s="176">
        <f t="shared" si="133"/>
        <v>5</v>
      </c>
      <c r="U349" s="251">
        <f t="shared" si="134"/>
        <v>-0.52517733753315443</v>
      </c>
      <c r="V349" s="383">
        <f t="shared" si="135"/>
        <v>24.58151785525169</v>
      </c>
      <c r="W349" s="402">
        <f t="shared" si="136"/>
        <v>3.3180691702105705</v>
      </c>
      <c r="X349" s="157">
        <f t="shared" si="137"/>
        <v>46722</v>
      </c>
      <c r="Y349" s="385">
        <f t="shared" si="138"/>
        <v>3.1617117040690577</v>
      </c>
      <c r="Z349" s="385">
        <f t="shared" si="139"/>
        <v>3.4120504738329913</v>
      </c>
      <c r="AA349" s="386">
        <f t="shared" si="140"/>
        <v>3.853974386831633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0.11466706019339923</v>
      </c>
      <c r="AD349" s="231">
        <f>(INDEX(Models!$BJ349:$BT349,,AH349)*(1-AF349)+INDEX(Models!$BJ349:$BT349,,AH349+1)*AF349-ERP_i)*AE349*Ramure*Pc/MaxiM</f>
        <v>1.9407116222513794E-2</v>
      </c>
      <c r="AE349" s="305">
        <f t="shared" si="142"/>
        <v>0.7</v>
      </c>
      <c r="AF349" s="177">
        <f t="shared" si="143"/>
        <v>0.9998102288408246</v>
      </c>
      <c r="AG349" s="921">
        <f t="shared" si="149"/>
        <v>2</v>
      </c>
      <c r="AH349" s="176">
        <f t="shared" si="144"/>
        <v>8</v>
      </c>
      <c r="AI349" s="225">
        <f t="shared" si="145"/>
        <v>2.9998102288408246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6.2668547302049298</v>
      </c>
      <c r="C350" s="955"/>
      <c r="D350" s="393">
        <f t="shared" si="127"/>
        <v>6.7632013928132295</v>
      </c>
      <c r="E350" s="385">
        <f t="shared" si="125"/>
        <v>7.2796314697218172</v>
      </c>
      <c r="F350" s="385">
        <f t="shared" si="128"/>
        <v>7.2796314697218172</v>
      </c>
      <c r="G350" s="110">
        <f t="shared" si="126"/>
        <v>0.25655446062370918</v>
      </c>
      <c r="H350" s="414" t="b">
        <f>Wh_hp&gt;='2026'!Maxi_hp</f>
        <v>0</v>
      </c>
      <c r="I350" s="390">
        <f>IF(H350,Wh_hp,'2026'!Maxi_hp)</f>
        <v>11.458603807529059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7.338930689476908E-2</v>
      </c>
      <c r="M350" s="959"/>
      <c r="N350" s="959"/>
      <c r="O350" s="48">
        <f>IF(t&lt;Tnet,'2026'!Resal+('2026'!Salim-'2026'!Resal)*(1-EXP(('2026'!Tnet-t)/('2026'!Tau_j))),Resal+(Salim-Resal)*(1-EXP((Tnet-t)/(Tau_j))))*Salcycl</f>
        <v>7.0941788613417586E-2</v>
      </c>
      <c r="P350" s="169">
        <f>(INDEX(Models!$BJ350:$BT350,,T350)*(1-R350)+INDEX(Models!$BJ350:$BT350,,T350+1)*R350-ERP_i)*Q350*Ramure*Pc/MaxiM</f>
        <v>1.4859869784740614E-3</v>
      </c>
      <c r="Q350" s="305">
        <f t="shared" si="130"/>
        <v>0.7</v>
      </c>
      <c r="R350" s="177">
        <f t="shared" si="131"/>
        <v>0.47483845503326749</v>
      </c>
      <c r="S350" s="921">
        <f t="shared" si="132"/>
        <v>-1</v>
      </c>
      <c r="T350" s="176">
        <f t="shared" si="133"/>
        <v>5</v>
      </c>
      <c r="U350" s="251">
        <f t="shared" si="134"/>
        <v>-0.52516154496673251</v>
      </c>
      <c r="V350" s="383">
        <f t="shared" si="135"/>
        <v>24.390697594838752</v>
      </c>
      <c r="W350" s="402">
        <f t="shared" si="136"/>
        <v>6.2668547302049298</v>
      </c>
      <c r="X350" s="157">
        <f t="shared" si="137"/>
        <v>46723</v>
      </c>
      <c r="Y350" s="385">
        <f t="shared" si="138"/>
        <v>5.9718954214904274</v>
      </c>
      <c r="Z350" s="385">
        <f t="shared" si="139"/>
        <v>6.4448807529703593</v>
      </c>
      <c r="AA350" s="386">
        <f t="shared" si="140"/>
        <v>7.2796314697218172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0.11466936481928214</v>
      </c>
      <c r="AD350" s="231">
        <f>(INDEX(Models!$BJ350:$BT350,,AH350)*(1-AF350)+INDEX(Models!$BJ350:$BT350,,AH350+1)*AF350-ERP_i)*AE350*Ramure*Pc/MaxiM</f>
        <v>1.9243898598174658E-2</v>
      </c>
      <c r="AE350" s="305">
        <f t="shared" si="142"/>
        <v>0.7</v>
      </c>
      <c r="AF350" s="177">
        <f t="shared" si="143"/>
        <v>0.9998260214072463</v>
      </c>
      <c r="AG350" s="921">
        <f t="shared" si="149"/>
        <v>2</v>
      </c>
      <c r="AH350" s="176">
        <f t="shared" si="144"/>
        <v>8</v>
      </c>
      <c r="AI350" s="225">
        <f t="shared" si="145"/>
        <v>2.9998260214072463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7.0536837771112753</v>
      </c>
      <c r="C351" s="955"/>
      <c r="D351" s="393">
        <f t="shared" si="127"/>
        <v>7.6125155113784215</v>
      </c>
      <c r="E351" s="385">
        <f t="shared" si="125"/>
        <v>8.194314958099346</v>
      </c>
      <c r="F351" s="385">
        <f t="shared" si="128"/>
        <v>8.194314958099346</v>
      </c>
      <c r="G351" s="110">
        <f t="shared" si="126"/>
        <v>0.29094125395213533</v>
      </c>
      <c r="H351" s="414" t="b">
        <f>Wh_hp&gt;='2026'!Maxi_hp</f>
        <v>0</v>
      </c>
      <c r="I351" s="390">
        <f>IF(H351,Wh_hp,'2026'!Maxi_hp)</f>
        <v>16.674095051480148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7.340960204703173E-2</v>
      </c>
      <c r="M351" s="959"/>
      <c r="N351" s="959"/>
      <c r="O351" s="48">
        <f>IF(t&lt;Tnet,'2026'!Resal+('2026'!Salim-'2026'!Resal)*(1-EXP(('2026'!Tnet-t)/('2026'!Tau_j))),Resal+(Salim-Resal)*(1-EXP((Tnet-t)/(Tau_j))))*Salcycl</f>
        <v>7.1000376443410743E-2</v>
      </c>
      <c r="P351" s="169">
        <f>(INDEX(Models!$BJ351:$BT351,,T351)*(1-R351)+INDEX(Models!$BJ351:$BT351,,T351+1)*R351-ERP_i)*Q351*Ramure*Pc/MaxiM</f>
        <v>1.5310906222791387E-3</v>
      </c>
      <c r="Q351" s="305">
        <f t="shared" si="130"/>
        <v>0.7</v>
      </c>
      <c r="R351" s="177">
        <f t="shared" si="131"/>
        <v>0.47485361268243009</v>
      </c>
      <c r="S351" s="921">
        <f t="shared" si="132"/>
        <v>-1</v>
      </c>
      <c r="T351" s="176">
        <f t="shared" si="133"/>
        <v>5</v>
      </c>
      <c r="U351" s="251">
        <f t="shared" si="134"/>
        <v>-0.52514638731756991</v>
      </c>
      <c r="V351" s="383">
        <f t="shared" si="135"/>
        <v>24.207237208052618</v>
      </c>
      <c r="W351" s="402">
        <f t="shared" si="136"/>
        <v>7.0536837771112753</v>
      </c>
      <c r="X351" s="157">
        <f t="shared" si="137"/>
        <v>46724</v>
      </c>
      <c r="Y351" s="385">
        <f t="shared" si="138"/>
        <v>6.7220827595496582</v>
      </c>
      <c r="Z351" s="385">
        <f t="shared" si="139"/>
        <v>7.25464323222013</v>
      </c>
      <c r="AA351" s="386">
        <f t="shared" si="140"/>
        <v>8.194314958099346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0.11467361587687507</v>
      </c>
      <c r="AD351" s="231">
        <f>(INDEX(Models!$BJ351:$BT351,,AH351)*(1-AF351)+INDEX(Models!$BJ351:$BT351,,AH351+1)*AF351-ERP_i)*AE351*Ramure*Pc/MaxiM</f>
        <v>1.9065180712742217E-2</v>
      </c>
      <c r="AE351" s="305">
        <f t="shared" si="142"/>
        <v>0.7</v>
      </c>
      <c r="AF351" s="177">
        <f t="shared" si="143"/>
        <v>0.99984117905640879</v>
      </c>
      <c r="AG351" s="921">
        <f t="shared" si="149"/>
        <v>2</v>
      </c>
      <c r="AH351" s="176">
        <f t="shared" si="144"/>
        <v>8</v>
      </c>
      <c r="AI351" s="225">
        <f t="shared" si="145"/>
        <v>2.9998411790564088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19.550451524642629</v>
      </c>
      <c r="C352" s="955"/>
      <c r="D352" s="393">
        <f t="shared" si="127"/>
        <v>21.099808267252609</v>
      </c>
      <c r="E352" s="385">
        <f t="shared" si="125"/>
        <v>22.713856346111349</v>
      </c>
      <c r="F352" s="385">
        <f t="shared" si="128"/>
        <v>22.740080828252207</v>
      </c>
      <c r="G352" s="110">
        <f t="shared" si="126"/>
        <v>0.81315100643185156</v>
      </c>
      <c r="H352" s="414" t="b">
        <f>Wh_hp&gt;='2026'!Maxi_hp</f>
        <v>0</v>
      </c>
      <c r="I352" s="390">
        <f>IF(H352,Wh_hp,'2026'!Maxi_hp)</f>
        <v>22.748252890780346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7.3429896754778512E-2</v>
      </c>
      <c r="M352" s="959"/>
      <c r="N352" s="959"/>
      <c r="O352" s="48">
        <f>IF(t&lt;Tnet,'2026'!Resal+('2026'!Salim-'2026'!Resal)*(1-EXP(('2026'!Tnet-t)/('2026'!Tau_j))),Resal+(Salim-Resal)*(1-EXP((Tnet-t)/(Tau_j))))*Salcycl</f>
        <v>7.1060063701383319E-2</v>
      </c>
      <c r="P352" s="169">
        <f>(INDEX(Models!$BJ352:$BT352,,T352)*(1-R352)+INDEX(Models!$BJ352:$BT352,,T352+1)*R352-ERP_i)*Q352*Ramure*Pc/MaxiM</f>
        <v>1.5720963200112539E-3</v>
      </c>
      <c r="Q352" s="305">
        <f t="shared" si="130"/>
        <v>0.7</v>
      </c>
      <c r="R352" s="177">
        <f t="shared" si="131"/>
        <v>0.47486816090406503</v>
      </c>
      <c r="S352" s="921">
        <f t="shared" si="132"/>
        <v>-1</v>
      </c>
      <c r="T352" s="176">
        <f t="shared" si="133"/>
        <v>5</v>
      </c>
      <c r="U352" s="251">
        <f t="shared" si="134"/>
        <v>-0.52513183909593497</v>
      </c>
      <c r="V352" s="383">
        <f t="shared" si="135"/>
        <v>24.032747714670815</v>
      </c>
      <c r="W352" s="402">
        <f t="shared" si="136"/>
        <v>19.550451524642629</v>
      </c>
      <c r="X352" s="157">
        <f t="shared" si="137"/>
        <v>46725</v>
      </c>
      <c r="Y352" s="385">
        <f t="shared" si="138"/>
        <v>18.395629498924777</v>
      </c>
      <c r="Z352" s="385">
        <f t="shared" si="139"/>
        <v>19.853467573037246</v>
      </c>
      <c r="AA352" s="386">
        <f t="shared" si="140"/>
        <v>22.425182658074096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0.11467978318165056</v>
      </c>
      <c r="AD352" s="231">
        <f>(INDEX(Models!$BJ352:$BT352,,AH352)*(1-AF352)+INDEX(Models!$BJ352:$BT352,,AH352+1)*AF352-ERP_i)*AE352*Ramure*Pc/MaxiM</f>
        <v>1.887740821177189E-2</v>
      </c>
      <c r="AE352" s="305">
        <f t="shared" si="142"/>
        <v>0.7</v>
      </c>
      <c r="AF352" s="177">
        <f t="shared" si="143"/>
        <v>0.99985572727804417</v>
      </c>
      <c r="AG352" s="921">
        <f t="shared" si="149"/>
        <v>2</v>
      </c>
      <c r="AH352" s="176">
        <f t="shared" si="144"/>
        <v>8</v>
      </c>
      <c r="AI352" s="225">
        <f t="shared" si="145"/>
        <v>2.9998557272780442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24.824852343487951</v>
      </c>
      <c r="C353" s="955"/>
      <c r="D353" s="393">
        <f t="shared" si="127"/>
        <v>26.792787719381778</v>
      </c>
      <c r="E353" s="385">
        <f t="shared" si="125"/>
        <v>28.844212053460613</v>
      </c>
      <c r="F353" s="385">
        <f t="shared" si="128"/>
        <v>28.890668936148142</v>
      </c>
      <c r="G353" s="110">
        <f t="shared" si="126"/>
        <v>1.0400535542439433</v>
      </c>
      <c r="H353" s="414" t="b">
        <f>Wh_hp&gt;='2026'!Maxi_hp</f>
        <v>1</v>
      </c>
      <c r="I353" s="390">
        <f>IF(H353,Wh_hp,'2026'!Maxi_hp)</f>
        <v>28.890668936148142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7.3450191018019084E-2</v>
      </c>
      <c r="M353" s="959"/>
      <c r="N353" s="959"/>
      <c r="O353" s="48">
        <f>IF(t&lt;Tnet,'2026'!Resal+('2026'!Salim-'2026'!Resal)*(1-EXP(('2026'!Tnet-t)/('2026'!Tau_j))),Resal+(Salim-Resal)*(1-EXP((Tnet-t)/(Tau_j))))*Salcycl</f>
        <v>7.1120831114286312E-2</v>
      </c>
      <c r="P353" s="169">
        <f>(INDEX(Models!$BJ353:$BT353,,T353)*(1-R353)+INDEX(Models!$BJ353:$BT353,,T353+1)*R353-ERP_i)*Q353*Ramure*Pc/MaxiM</f>
        <v>1.6080237806264097E-3</v>
      </c>
      <c r="Q353" s="305">
        <f t="shared" si="130"/>
        <v>0.7</v>
      </c>
      <c r="R353" s="177">
        <f t="shared" si="131"/>
        <v>0.47488212416743403</v>
      </c>
      <c r="S353" s="921">
        <f t="shared" si="132"/>
        <v>-1</v>
      </c>
      <c r="T353" s="176">
        <f t="shared" si="133"/>
        <v>5</v>
      </c>
      <c r="U353" s="251">
        <f t="shared" si="134"/>
        <v>-0.52511787583256597</v>
      </c>
      <c r="V353" s="383">
        <f t="shared" si="135"/>
        <v>23.868821218090186</v>
      </c>
      <c r="W353" s="402">
        <f t="shared" si="136"/>
        <v>24.824852343487951</v>
      </c>
      <c r="X353" s="157">
        <f t="shared" si="137"/>
        <v>46726</v>
      </c>
      <c r="Y353" s="385">
        <f t="shared" si="138"/>
        <v>23.255703543021699</v>
      </c>
      <c r="Z353" s="385">
        <f t="shared" si="139"/>
        <v>25.099248111197834</v>
      </c>
      <c r="AA353" s="386">
        <f t="shared" si="140"/>
        <v>28.350732075464563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0.11468783083314613</v>
      </c>
      <c r="AD353" s="231">
        <f>(INDEX(Models!$BJ353:$BT353,,AH353)*(1-AF353)+INDEX(Models!$BJ353:$BT353,,AH353+1)*AF353-ERP_i)*AE353*Ramure*Pc/MaxiM</f>
        <v>1.8688970541904205E-2</v>
      </c>
      <c r="AE353" s="305">
        <f t="shared" si="142"/>
        <v>0.7</v>
      </c>
      <c r="AF353" s="177">
        <f t="shared" si="143"/>
        <v>0.99986969054141284</v>
      </c>
      <c r="AG353" s="921">
        <f t="shared" si="149"/>
        <v>2</v>
      </c>
      <c r="AH353" s="176">
        <f t="shared" si="144"/>
        <v>8</v>
      </c>
      <c r="AI353" s="225">
        <f t="shared" si="145"/>
        <v>2.9998696905414128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10.832608518952281</v>
      </c>
      <c r="C354" s="955"/>
      <c r="D354" s="393">
        <f t="shared" si="127"/>
        <v>11.691595725413865</v>
      </c>
      <c r="E354" s="385">
        <f t="shared" si="125"/>
        <v>12.587615639403253</v>
      </c>
      <c r="F354" s="385">
        <f t="shared" si="128"/>
        <v>12.592236159466617</v>
      </c>
      <c r="G354" s="110">
        <f t="shared" si="126"/>
        <v>0.45616281362283417</v>
      </c>
      <c r="H354" s="414" t="b">
        <f>Wh_hp&gt;='2026'!Maxi_hp</f>
        <v>0</v>
      </c>
      <c r="I354" s="390">
        <f>IF(H354,Wh_hp,'2026'!Maxi_hp)</f>
        <v>23.022498392650729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7.3470484836763217E-2</v>
      </c>
      <c r="M354" s="959"/>
      <c r="N354" s="959"/>
      <c r="O354" s="48">
        <f>IF(t&lt;Tnet,'2026'!Resal+('2026'!Salim-'2026'!Resal)*(1-EXP(('2026'!Tnet-t)/('2026'!Tau_j))),Resal+(Salim-Resal)*(1-EXP((Tnet-t)/(Tau_j))))*Salcycl</f>
        <v>7.1182656005523426E-2</v>
      </c>
      <c r="P354" s="169">
        <f>(INDEX(Models!$BJ354:$BT354,,T354)*(1-R354)+INDEX(Models!$BJ354:$BT354,,T354+1)*R354-ERP_i)*Q354*Ramure*Pc/MaxiM</f>
        <v>1.6386847660475553E-3</v>
      </c>
      <c r="Q354" s="305">
        <f t="shared" si="130"/>
        <v>0.7</v>
      </c>
      <c r="R354" s="177">
        <f t="shared" si="131"/>
        <v>0.47489552596195694</v>
      </c>
      <c r="S354" s="921">
        <f t="shared" si="132"/>
        <v>-1</v>
      </c>
      <c r="T354" s="176">
        <f t="shared" si="133"/>
        <v>5</v>
      </c>
      <c r="U354" s="251">
        <f t="shared" si="134"/>
        <v>-0.52510447403804306</v>
      </c>
      <c r="V354" s="383">
        <f t="shared" si="135"/>
        <v>23.717029887603001</v>
      </c>
      <c r="W354" s="402">
        <f t="shared" si="136"/>
        <v>10.832608518952281</v>
      </c>
      <c r="X354" s="157">
        <f t="shared" si="137"/>
        <v>46727</v>
      </c>
      <c r="Y354" s="385">
        <f t="shared" si="138"/>
        <v>10.286106765973834</v>
      </c>
      <c r="Z354" s="385">
        <f t="shared" si="139"/>
        <v>11.101758333258944</v>
      </c>
      <c r="AA354" s="386">
        <f t="shared" si="140"/>
        <v>12.540076484211237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0.11469771757478744</v>
      </c>
      <c r="AD354" s="231">
        <f>(INDEX(Models!$BJ354:$BT354,,AH354)*(1-AF354)+INDEX(Models!$BJ354:$BT354,,AH354+1)*AF354-ERP_i)*AE354*Ramure*Pc/MaxiM</f>
        <v>1.8498624412582286E-2</v>
      </c>
      <c r="AE354" s="305">
        <f t="shared" si="142"/>
        <v>0.7</v>
      </c>
      <c r="AF354" s="177">
        <f t="shared" si="143"/>
        <v>0.99988309233593586</v>
      </c>
      <c r="AG354" s="921">
        <f t="shared" si="149"/>
        <v>2</v>
      </c>
      <c r="AH354" s="176">
        <f t="shared" si="144"/>
        <v>8</v>
      </c>
      <c r="AI354" s="225">
        <f t="shared" si="145"/>
        <v>2.9998830923359359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19.460989426604737</v>
      </c>
      <c r="C355" s="955"/>
      <c r="D355" s="393">
        <f t="shared" si="127"/>
        <v>21.004636509745552</v>
      </c>
      <c r="E355" s="385">
        <f t="shared" si="125"/>
        <v>22.615919269242845</v>
      </c>
      <c r="F355" s="385">
        <f t="shared" si="128"/>
        <v>22.644196369419593</v>
      </c>
      <c r="G355" s="110">
        <f t="shared" si="126"/>
        <v>0.82501147151929954</v>
      </c>
      <c r="H355" s="414" t="b">
        <f>Wh_hp&gt;='2026'!Maxi_hp</f>
        <v>0</v>
      </c>
      <c r="I355" s="390">
        <f>IF(H355,Wh_hp,'2026'!Maxi_hp)</f>
        <v>23.615013833101326</v>
      </c>
      <c r="J355" s="85">
        <f>IF(H355,An,'2026'!An_max)</f>
        <v>2018</v>
      </c>
      <c r="K355" s="197">
        <f t="shared" si="129"/>
        <v>46728</v>
      </c>
      <c r="L355" s="147">
        <f>IF(t&lt;Tvie,1-EXP((T0-t)*PertePVj)+'2026'!Pspv,1-EXP((T0-t)*PertePVj)+Pspv)</f>
        <v>7.3490778211020569E-2</v>
      </c>
      <c r="M355" s="959"/>
      <c r="N355" s="959"/>
      <c r="O355" s="48">
        <f>IF(t&lt;Tnet,'2026'!Resal+('2026'!Salim-'2026'!Resal)*(1-EXP(('2026'!Tnet-t)/('2026'!Tau_j))),Resal+(Salim-Resal)*(1-EXP((Tnet-t)/(Tau_j))))*Salcycl</f>
        <v>7.1245512522172927E-2</v>
      </c>
      <c r="P355" s="169">
        <f>(INDEX(Models!$BJ355:$BT355,,T355)*(1-R355)+INDEX(Models!$BJ355:$BT355,,T355+1)*R355-ERP_i)*Q355*Ramure*Pc/MaxiM</f>
        <v>1.663885809985057E-3</v>
      </c>
      <c r="Q355" s="305">
        <f t="shared" si="130"/>
        <v>0.7</v>
      </c>
      <c r="R355" s="177">
        <f t="shared" si="131"/>
        <v>0.47490838883624198</v>
      </c>
      <c r="S355" s="921">
        <f t="shared" si="132"/>
        <v>-1</v>
      </c>
      <c r="T355" s="176">
        <f t="shared" si="133"/>
        <v>5</v>
      </c>
      <c r="U355" s="251">
        <f t="shared" si="134"/>
        <v>-0.52509161116375802</v>
      </c>
      <c r="V355" s="383">
        <f t="shared" si="135"/>
        <v>23.578945482484027</v>
      </c>
      <c r="W355" s="402">
        <f t="shared" si="136"/>
        <v>19.460989426604737</v>
      </c>
      <c r="X355" s="157">
        <f t="shared" si="137"/>
        <v>46728</v>
      </c>
      <c r="Y355" s="385">
        <f t="shared" si="138"/>
        <v>18.318282629890053</v>
      </c>
      <c r="Z355" s="385">
        <f t="shared" si="139"/>
        <v>19.771290127603503</v>
      </c>
      <c r="AA355" s="386">
        <f t="shared" si="140"/>
        <v>22.333107416510071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0.11470939718011244</v>
      </c>
      <c r="AD355" s="231">
        <f>(INDEX(Models!$BJ355:$BT355,,AH355)*(1-AF355)+INDEX(Models!$BJ355:$BT355,,AH355+1)*AF355-ERP_i)*AE355*Ramure*Pc/MaxiM</f>
        <v>1.8305147669097906E-2</v>
      </c>
      <c r="AE355" s="305">
        <f t="shared" si="142"/>
        <v>0.7</v>
      </c>
      <c r="AF355" s="177">
        <f t="shared" si="143"/>
        <v>0.99989595521022112</v>
      </c>
      <c r="AG355" s="921">
        <f t="shared" si="149"/>
        <v>2</v>
      </c>
      <c r="AH355" s="176">
        <f t="shared" si="144"/>
        <v>8</v>
      </c>
      <c r="AI355" s="225">
        <f t="shared" si="145"/>
        <v>2.9998959552102211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4.4635015200729811</v>
      </c>
      <c r="C356" s="955"/>
      <c r="D356" s="393">
        <f t="shared" si="127"/>
        <v>4.817652301111643</v>
      </c>
      <c r="E356" s="385">
        <f t="shared" si="125"/>
        <v>5.1875750171537787</v>
      </c>
      <c r="F356" s="385">
        <f t="shared" si="128"/>
        <v>5.1875750171537787</v>
      </c>
      <c r="G356" s="110">
        <f t="shared" si="126"/>
        <v>0.18997105397125688</v>
      </c>
      <c r="H356" s="414" t="b">
        <f>Wh_hp&gt;='2026'!Maxi_hp</f>
        <v>0</v>
      </c>
      <c r="I356" s="390">
        <f>IF(H356,Wh_hp,'2026'!Maxi_hp)</f>
        <v>18.625313050324355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7.3511071140801021E-2</v>
      </c>
      <c r="M356" s="959"/>
      <c r="N356" s="959"/>
      <c r="O356" s="48">
        <f>IF(t&lt;Tnet,'2026'!Resal+('2026'!Salim-'2026'!Resal)*(1-EXP(('2026'!Tnet-t)/('2026'!Tau_j))),Resal+(Salim-Resal)*(1-EXP((Tnet-t)/(Tau_j))))*Salcycl</f>
        <v>7.1309371877786812E-2</v>
      </c>
      <c r="P356" s="169">
        <f>(INDEX(Models!$BJ356:$BT356,,T356)*(1-R356)+INDEX(Models!$BJ356:$BT356,,T356+1)*R356-ERP_i)*Q356*Ramure*Pc/MaxiM</f>
        <v>1.6834328705407477E-3</v>
      </c>
      <c r="Q356" s="305">
        <f t="shared" si="130"/>
        <v>0.7</v>
      </c>
      <c r="R356" s="177">
        <f t="shared" si="131"/>
        <v>0.47492073443557614</v>
      </c>
      <c r="S356" s="921">
        <f t="shared" si="132"/>
        <v>-1</v>
      </c>
      <c r="T356" s="176">
        <f t="shared" si="133"/>
        <v>5</v>
      </c>
      <c r="U356" s="251">
        <f t="shared" si="134"/>
        <v>-0.52507926556442386</v>
      </c>
      <c r="V356" s="383">
        <f t="shared" si="135"/>
        <v>23.456139352527806</v>
      </c>
      <c r="W356" s="402">
        <f t="shared" si="136"/>
        <v>4.4635015200729811</v>
      </c>
      <c r="X356" s="157">
        <f t="shared" si="137"/>
        <v>46729</v>
      </c>
      <c r="Y356" s="385">
        <f t="shared" si="138"/>
        <v>4.2548464731300335</v>
      </c>
      <c r="Z356" s="385">
        <f t="shared" si="139"/>
        <v>4.5924417881270267</v>
      </c>
      <c r="AA356" s="386">
        <f t="shared" si="140"/>
        <v>5.1875750171537787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0.11472281886215087</v>
      </c>
      <c r="AD356" s="231">
        <f>(INDEX(Models!$BJ356:$BT356,,AH356)*(1-AF356)+INDEX(Models!$BJ356:$BT356,,AH356+1)*AF356-ERP_i)*AE356*Ramure*Pc/MaxiM</f>
        <v>1.8107349783193574E-2</v>
      </c>
      <c r="AE356" s="305">
        <f t="shared" si="142"/>
        <v>0.7</v>
      </c>
      <c r="AF356" s="177">
        <f t="shared" si="143"/>
        <v>0.99990830080955506</v>
      </c>
      <c r="AG356" s="921">
        <f t="shared" si="149"/>
        <v>2</v>
      </c>
      <c r="AH356" s="176">
        <f t="shared" si="144"/>
        <v>8</v>
      </c>
      <c r="AI356" s="225">
        <f t="shared" si="145"/>
        <v>2.9999083008095551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5.4350711793507527</v>
      </c>
      <c r="C357" s="955"/>
      <c r="D357" s="393">
        <f t="shared" si="127"/>
        <v>5.8664383940973197</v>
      </c>
      <c r="E357" s="385">
        <f t="shared" si="125"/>
        <v>6.3173329995542904</v>
      </c>
      <c r="F357" s="385">
        <f t="shared" si="128"/>
        <v>6.3173329995542904</v>
      </c>
      <c r="G357" s="110">
        <f t="shared" si="126"/>
        <v>0.23236851120371257</v>
      </c>
      <c r="H357" s="414" t="b">
        <f>Wh_hp&gt;='2026'!Maxi_hp</f>
        <v>0</v>
      </c>
      <c r="I357" s="390">
        <f>IF(H357,Wh_hp,'2026'!Maxi_hp)</f>
        <v>9.4747658981708156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7.3531363626114121E-2</v>
      </c>
      <c r="M357" s="959"/>
      <c r="N357" s="959"/>
      <c r="O357" s="48">
        <f>IF(t&lt;Tnet,'2026'!Resal+('2026'!Salim-'2026'!Resal)*(1-EXP(('2026'!Tnet-t)/('2026'!Tau_j))),Resal+(Salim-Resal)*(1-EXP((Tnet-t)/(Tau_j))))*Salcycl</f>
        <v>7.1374202608724777E-2</v>
      </c>
      <c r="P357" s="169">
        <f>(INDEX(Models!$BJ357:$BT357,,T357)*(1-R357)+INDEX(Models!$BJ357:$BT357,,T357+1)*R357-ERP_i)*Q357*Ramure*Pc/MaxiM</f>
        <v>1.6971364699666282E-3</v>
      </c>
      <c r="Q357" s="305">
        <f t="shared" si="130"/>
        <v>0.7</v>
      </c>
      <c r="R357" s="177">
        <f t="shared" si="131"/>
        <v>0.4749325835379361</v>
      </c>
      <c r="S357" s="921">
        <f t="shared" si="132"/>
        <v>-1</v>
      </c>
      <c r="T357" s="176">
        <f t="shared" si="133"/>
        <v>5</v>
      </c>
      <c r="U357" s="251">
        <f t="shared" si="134"/>
        <v>-0.5250674164620639</v>
      </c>
      <c r="V357" s="383">
        <f t="shared" si="135"/>
        <v>23.350182405217058</v>
      </c>
      <c r="W357" s="402">
        <f t="shared" si="136"/>
        <v>5.4350711793507527</v>
      </c>
      <c r="X357" s="157">
        <f t="shared" si="137"/>
        <v>46730</v>
      </c>
      <c r="Y357" s="385">
        <f t="shared" si="138"/>
        <v>5.181271496907196</v>
      </c>
      <c r="Z357" s="385">
        <f t="shared" si="139"/>
        <v>5.592495302578425</v>
      </c>
      <c r="AA357" s="386">
        <f t="shared" si="140"/>
        <v>6.3173329995542904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0.11473792770256146</v>
      </c>
      <c r="AD357" s="231">
        <f>(INDEX(Models!$BJ357:$BT357,,AH357)*(1-AF357)+INDEX(Models!$BJ357:$BT357,,AH357+1)*AF357-ERP_i)*AE357*Ramure*Pc/MaxiM</f>
        <v>1.7904084021442689E-2</v>
      </c>
      <c r="AE357" s="305">
        <f t="shared" si="142"/>
        <v>0.7</v>
      </c>
      <c r="AF357" s="177">
        <f t="shared" si="143"/>
        <v>0.99992014991191525</v>
      </c>
      <c r="AG357" s="921">
        <f t="shared" si="149"/>
        <v>2</v>
      </c>
      <c r="AH357" s="176">
        <f t="shared" si="144"/>
        <v>8</v>
      </c>
      <c r="AI357" s="225">
        <f t="shared" si="145"/>
        <v>2.9999201499119152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13.542445509765056</v>
      </c>
      <c r="C358" s="955"/>
      <c r="D358" s="393">
        <f t="shared" si="127"/>
        <v>14.617593730511279</v>
      </c>
      <c r="E358" s="385">
        <f t="shared" si="125"/>
        <v>15.742217273518152</v>
      </c>
      <c r="F358" s="385">
        <f t="shared" si="128"/>
        <v>15.753042342849263</v>
      </c>
      <c r="G358" s="110">
        <f t="shared" si="126"/>
        <v>0.58156132322470744</v>
      </c>
      <c r="H358" s="414" t="b">
        <f>Wh_hp&gt;='2026'!Maxi_hp</f>
        <v>0</v>
      </c>
      <c r="I358" s="390">
        <f>IF(H358,Wh_hp,'2026'!Maxi_hp)</f>
        <v>22.134135091685113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7.3551655666969862E-2</v>
      </c>
      <c r="M358" s="959"/>
      <c r="N358" s="959"/>
      <c r="O358" s="48">
        <f>IF(t&lt;Tnet,'2026'!Resal+('2026'!Salim-'2026'!Resal)*(1-EXP(('2026'!Tnet-t)/('2026'!Tau_j))),Resal+(Salim-Resal)*(1-EXP((Tnet-t)/(Tau_j))))*Salcycl</f>
        <v>7.1439970841892408E-2</v>
      </c>
      <c r="P358" s="169">
        <f>(INDEX(Models!$BJ358:$BT358,,T358)*(1-R358)+INDEX(Models!$BJ358:$BT358,,T358+1)*R358-ERP_i)*Q358*Ramure*Pc/MaxiM</f>
        <v>1.7048172620146671E-3</v>
      </c>
      <c r="Q358" s="305">
        <f t="shared" si="130"/>
        <v>0.7</v>
      </c>
      <c r="R358" s="177">
        <f t="shared" si="131"/>
        <v>0.47494395608858064</v>
      </c>
      <c r="S358" s="921">
        <f t="shared" si="132"/>
        <v>-1</v>
      </c>
      <c r="T358" s="176">
        <f t="shared" si="133"/>
        <v>5</v>
      </c>
      <c r="U358" s="251">
        <f t="shared" si="134"/>
        <v>-0.52505604391141936</v>
      </c>
      <c r="V358" s="383">
        <f t="shared" si="135"/>
        <v>23.262645062911425</v>
      </c>
      <c r="W358" s="402">
        <f t="shared" si="136"/>
        <v>13.542445509765056</v>
      </c>
      <c r="X358" s="157">
        <f t="shared" si="137"/>
        <v>46731</v>
      </c>
      <c r="Y358" s="385">
        <f t="shared" si="138"/>
        <v>12.827462154712812</v>
      </c>
      <c r="Z358" s="385">
        <f t="shared" si="139"/>
        <v>13.845847135651772</v>
      </c>
      <c r="AA358" s="386">
        <f t="shared" si="140"/>
        <v>15.64068918495804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0.11475466509700877</v>
      </c>
      <c r="AD358" s="231">
        <f>(INDEX(Models!$BJ358:$BT358,,AH358)*(1-AF358)+INDEX(Models!$BJ358:$BT358,,AH358+1)*AF358-ERP_i)*AE358*Ramure*Pc/MaxiM</f>
        <v>1.7694261085641944E-2</v>
      </c>
      <c r="AE358" s="305">
        <f t="shared" si="142"/>
        <v>0.7</v>
      </c>
      <c r="AF358" s="177">
        <f t="shared" si="143"/>
        <v>0.99993152246255956</v>
      </c>
      <c r="AG358" s="921">
        <f t="shared" si="149"/>
        <v>2</v>
      </c>
      <c r="AH358" s="176">
        <f t="shared" si="144"/>
        <v>8</v>
      </c>
      <c r="AI358" s="225">
        <f t="shared" si="145"/>
        <v>2.9999315224625596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16.510968418235688</v>
      </c>
      <c r="C359" s="955"/>
      <c r="D359" s="393">
        <f t="shared" si="127"/>
        <v>17.822180977209303</v>
      </c>
      <c r="E359" s="385">
        <f t="shared" si="125"/>
        <v>19.194731762198728</v>
      </c>
      <c r="F359" s="385">
        <f t="shared" si="128"/>
        <v>19.214026936633157</v>
      </c>
      <c r="G359" s="110">
        <f t="shared" si="126"/>
        <v>0.71142089001351982</v>
      </c>
      <c r="H359" s="414" t="b">
        <f>Wh_hp&gt;='2026'!Maxi_hp</f>
        <v>0</v>
      </c>
      <c r="I359" s="390">
        <f>IF(H359,Wh_hp,'2026'!Maxi_hp)</f>
        <v>23.016717284204159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7.3571947263377679E-2</v>
      </c>
      <c r="M359" s="959"/>
      <c r="N359" s="959"/>
      <c r="O359" s="48">
        <f>IF(t&lt;Tnet,'2026'!Resal+('2026'!Salim-'2026'!Resal)*(1-EXP(('2026'!Tnet-t)/('2026'!Tau_j))),Resal+(Salim-Resal)*(1-EXP((Tnet-t)/(Tau_j))))*Salcycl</f>
        <v>7.1506640571683669E-2</v>
      </c>
      <c r="P359" s="169">
        <f>(INDEX(Models!$BJ359:$BT359,,T359)*(1-R359)+INDEX(Models!$BJ359:$BT359,,T359+1)*R359-ERP_i)*Q359*Ramure*Pc/MaxiM</f>
        <v>1.7065303643919796E-3</v>
      </c>
      <c r="Q359" s="305">
        <f t="shared" si="130"/>
        <v>0.7</v>
      </c>
      <c r="R359" s="177">
        <f t="shared" si="131"/>
        <v>0.47495487123327207</v>
      </c>
      <c r="S359" s="921">
        <f t="shared" si="132"/>
        <v>-1</v>
      </c>
      <c r="T359" s="176">
        <f t="shared" si="133"/>
        <v>5</v>
      </c>
      <c r="U359" s="251">
        <f t="shared" si="134"/>
        <v>-0.52504512876672793</v>
      </c>
      <c r="V359" s="383">
        <f t="shared" si="135"/>
        <v>23.192123290737161</v>
      </c>
      <c r="W359" s="402">
        <f t="shared" si="136"/>
        <v>16.510968418235688</v>
      </c>
      <c r="X359" s="157">
        <f t="shared" si="137"/>
        <v>46732</v>
      </c>
      <c r="Y359" s="385">
        <f t="shared" si="138"/>
        <v>15.595330705347976</v>
      </c>
      <c r="Z359" s="385">
        <f t="shared" si="139"/>
        <v>16.833828227977495</v>
      </c>
      <c r="AA359" s="386">
        <f t="shared" si="140"/>
        <v>19.016396520353492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0.11477296921317173</v>
      </c>
      <c r="AD359" s="231">
        <f>(INDEX(Models!$BJ359:$BT359,,AH359)*(1-AF359)+INDEX(Models!$BJ359:$BT359,,AH359+1)*AF359-ERP_i)*AE359*Ramure*Pc/MaxiM</f>
        <v>1.7479101184331127E-2</v>
      </c>
      <c r="AE359" s="305">
        <f t="shared" si="142"/>
        <v>0.7</v>
      </c>
      <c r="AF359" s="177">
        <f t="shared" si="143"/>
        <v>0.99994243760725077</v>
      </c>
      <c r="AG359" s="921">
        <f t="shared" si="149"/>
        <v>2</v>
      </c>
      <c r="AH359" s="176">
        <f t="shared" si="144"/>
        <v>8</v>
      </c>
      <c r="AI359" s="225">
        <f t="shared" si="145"/>
        <v>2.9999424376072508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4.8758881189339363</v>
      </c>
      <c r="C360" s="955"/>
      <c r="D360" s="393">
        <f t="shared" si="127"/>
        <v>5.2632202806608195</v>
      </c>
      <c r="E360" s="385">
        <f t="shared" si="125"/>
        <v>5.6689722893842207</v>
      </c>
      <c r="F360" s="385">
        <f t="shared" si="128"/>
        <v>5.6689722893842207</v>
      </c>
      <c r="G360" s="110">
        <f t="shared" si="126"/>
        <v>0.21039138129115392</v>
      </c>
      <c r="H360" s="414" t="b">
        <f>Wh_hp&gt;='2026'!Maxi_hp</f>
        <v>0</v>
      </c>
      <c r="I360" s="390">
        <f>IF(H360,Wh_hp,'2026'!Maxi_hp)</f>
        <v>26.632515874966092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7.3592238415347566E-2</v>
      </c>
      <c r="M360" s="959"/>
      <c r="N360" s="959"/>
      <c r="O360" s="48">
        <f>IF(t&lt;Tnet,'2026'!Resal+('2026'!Salim-'2026'!Resal)*(1-EXP(('2026'!Tnet-t)/('2026'!Tau_j))),Resal+(Salim-Resal)*(1-EXP((Tnet-t)/(Tau_j))))*Salcycl</f>
        <v>7.1574173943876288E-2</v>
      </c>
      <c r="P360" s="169">
        <f>(INDEX(Models!$BJ360:$BT360,,T360)*(1-R360)+INDEX(Models!$BJ360:$BT360,,T360+1)*R360-ERP_i)*Q360*Ramure*Pc/MaxiM</f>
        <v>1.7024514339822863E-3</v>
      </c>
      <c r="Q360" s="305">
        <f t="shared" si="130"/>
        <v>0.7</v>
      </c>
      <c r="R360" s="177">
        <f t="shared" si="131"/>
        <v>0.4749653473501867</v>
      </c>
      <c r="S360" s="921">
        <f t="shared" si="132"/>
        <v>-1</v>
      </c>
      <c r="T360" s="176">
        <f t="shared" si="133"/>
        <v>5</v>
      </c>
      <c r="U360" s="251">
        <f t="shared" si="134"/>
        <v>-0.5250346526498133</v>
      </c>
      <c r="V360" s="383">
        <f t="shared" si="135"/>
        <v>23.135867668827277</v>
      </c>
      <c r="W360" s="402">
        <f t="shared" si="136"/>
        <v>4.8758881189339363</v>
      </c>
      <c r="X360" s="157">
        <f t="shared" si="137"/>
        <v>46733</v>
      </c>
      <c r="Y360" s="385">
        <f t="shared" si="138"/>
        <v>4.6489135349400375</v>
      </c>
      <c r="Z360" s="385">
        <f t="shared" si="139"/>
        <v>5.0182152262929129</v>
      </c>
      <c r="AA360" s="386">
        <f t="shared" si="140"/>
        <v>5.6689722893842207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0.11479277545771789</v>
      </c>
      <c r="AD360" s="231">
        <f>(INDEX(Models!$BJ360:$BT360,,AH360)*(1-AF360)+INDEX(Models!$BJ360:$BT360,,AH360+1)*AF360-ERP_i)*AE360*Ramure*Pc/MaxiM</f>
        <v>1.726081934833355E-2</v>
      </c>
      <c r="AE360" s="305">
        <f t="shared" si="142"/>
        <v>0.7</v>
      </c>
      <c r="AF360" s="177">
        <f t="shared" si="143"/>
        <v>0.99995291372416562</v>
      </c>
      <c r="AG360" s="921">
        <f t="shared" si="149"/>
        <v>2</v>
      </c>
      <c r="AH360" s="176">
        <f t="shared" si="144"/>
        <v>8</v>
      </c>
      <c r="AI360" s="225">
        <f t="shared" si="145"/>
        <v>2.9999529137241656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5.34599273253232</v>
      </c>
      <c r="C361" s="955"/>
      <c r="D361" s="393">
        <f t="shared" si="127"/>
        <v>5.7707955910399908</v>
      </c>
      <c r="E361" s="385">
        <f t="shared" ref="E361:E379" si="150">Wh_pvt/(1-Psa)</f>
        <v>6.2161352572936668</v>
      </c>
      <c r="F361" s="385">
        <f t="shared" si="128"/>
        <v>6.2161352572936668</v>
      </c>
      <c r="G361" s="110">
        <f t="shared" ref="G361:G379" si="151">+Wh_hp/MaxiM</f>
        <v>0.2311022658419066</v>
      </c>
      <c r="H361" s="414" t="b">
        <f>Wh_hp&gt;='2026'!Maxi_hp</f>
        <v>0</v>
      </c>
      <c r="I361" s="390">
        <f>IF(H361,Wh_hp,'2026'!Maxi_hp)</f>
        <v>27.848923412804474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7.361252912288907E-2</v>
      </c>
      <c r="M361" s="959"/>
      <c r="N361" s="959"/>
      <c r="O361" s="48">
        <f>IF(t&lt;Tnet,'2026'!Resal+('2026'!Salim-'2026'!Resal)*(1-EXP(('2026'!Tnet-t)/('2026'!Tau_j))),Resal+(Salim-Resal)*(1-EXP((Tnet-t)/(Tau_j))))*Salcycl</f>
        <v>7.1642531544200069E-2</v>
      </c>
      <c r="P361" s="169">
        <f>(INDEX(Models!$BJ361:$BT361,,T361)*(1-R361)+INDEX(Models!$BJ361:$BT361,,T361+1)*R361-ERP_i)*Q361*Ramure*Pc/MaxiM</f>
        <v>1.6969865289828137E-3</v>
      </c>
      <c r="Q361" s="305">
        <f t="shared" si="130"/>
        <v>0.7</v>
      </c>
      <c r="R361" s="177">
        <f t="shared" si="131"/>
        <v>0.47497540208056266</v>
      </c>
      <c r="S361" s="921">
        <f t="shared" si="132"/>
        <v>-1</v>
      </c>
      <c r="T361" s="176">
        <f t="shared" si="133"/>
        <v>5</v>
      </c>
      <c r="U361" s="251">
        <f t="shared" si="134"/>
        <v>-0.52502459791943734</v>
      </c>
      <c r="V361" s="383">
        <f t="shared" si="135"/>
        <v>23.093328987661572</v>
      </c>
      <c r="W361" s="402">
        <f t="shared" si="136"/>
        <v>5.34599273253232</v>
      </c>
      <c r="X361" s="157">
        <f t="shared" si="137"/>
        <v>46734</v>
      </c>
      <c r="Y361" s="385">
        <f t="shared" si="138"/>
        <v>5.0973875830437336</v>
      </c>
      <c r="Z361" s="385">
        <f t="shared" si="139"/>
        <v>5.502435798508249</v>
      </c>
      <c r="AA361" s="386">
        <f t="shared" si="140"/>
        <v>6.2161352572936668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0.11481401694855375</v>
      </c>
      <c r="AD361" s="231">
        <f>(INDEX(Models!$BJ361:$BT361,,AH361)*(1-AF361)+INDEX(Models!$BJ361:$BT361,,AH361+1)*AF361-ERP_i)*AE361*Ramure*Pc/MaxiM</f>
        <v>1.7054735884141012E-2</v>
      </c>
      <c r="AE361" s="305">
        <f t="shared" si="142"/>
        <v>0.7</v>
      </c>
      <c r="AF361" s="177">
        <f t="shared" si="143"/>
        <v>0.99996296845454147</v>
      </c>
      <c r="AG361" s="921">
        <f t="shared" si="149"/>
        <v>2</v>
      </c>
      <c r="AH361" s="176">
        <f t="shared" si="144"/>
        <v>8</v>
      </c>
      <c r="AI361" s="225">
        <f t="shared" si="145"/>
        <v>2.9999629684545415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16.425294187902765</v>
      </c>
      <c r="C362" s="955"/>
      <c r="D362" s="393">
        <f t="shared" si="127"/>
        <v>17.730867988022013</v>
      </c>
      <c r="E362" s="385">
        <f t="shared" si="150"/>
        <v>19.100604269568947</v>
      </c>
      <c r="F362" s="385">
        <f t="shared" si="128"/>
        <v>19.119631497316192</v>
      </c>
      <c r="G362" s="110">
        <f t="shared" si="151"/>
        <v>0.71166425506431441</v>
      </c>
      <c r="H362" s="414" t="b">
        <f>Wh_hp&gt;='2026'!Maxi_hp</f>
        <v>0</v>
      </c>
      <c r="I362" s="390">
        <f>IF(H362,Wh_hp,'2026'!Maxi_hp)</f>
        <v>27.918333223458241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7.3632819386012072E-2</v>
      </c>
      <c r="M362" s="959"/>
      <c r="N362" s="959"/>
      <c r="O362" s="48">
        <f>IF(t&lt;Tnet,'2026'!Resal+('2026'!Salim-'2026'!Resal)*(1-EXP(('2026'!Tnet-t)/('2026'!Tau_j))),Resal+(Salim-Resal)*(1-EXP((Tnet-t)/(Tau_j))))*Salcycl</f>
        <v>7.1711672689287465E-2</v>
      </c>
      <c r="P362" s="169">
        <f>(INDEX(Models!$BJ362:$BT362,,T362)*(1-R362)+INDEX(Models!$BJ362:$BT362,,T362+1)*R362-ERP_i)*Q362*Ramure*Pc/MaxiM</f>
        <v>1.6901627186778933E-3</v>
      </c>
      <c r="Q362" s="305">
        <f t="shared" si="130"/>
        <v>0.7</v>
      </c>
      <c r="R362" s="177">
        <f t="shared" si="131"/>
        <v>0.47498505235813204</v>
      </c>
      <c r="S362" s="921">
        <f t="shared" si="132"/>
        <v>-1</v>
      </c>
      <c r="T362" s="176">
        <f t="shared" si="133"/>
        <v>5</v>
      </c>
      <c r="U362" s="251">
        <f t="shared" si="134"/>
        <v>-0.52501494764186796</v>
      </c>
      <c r="V362" s="383">
        <f t="shared" si="135"/>
        <v>23.064060322734729</v>
      </c>
      <c r="W362" s="402">
        <f t="shared" si="136"/>
        <v>16.425294187902765</v>
      </c>
      <c r="X362" s="157">
        <f t="shared" si="137"/>
        <v>46735</v>
      </c>
      <c r="Y362" s="385">
        <f t="shared" si="138"/>
        <v>15.522187761527595</v>
      </c>
      <c r="Z362" s="385">
        <f t="shared" si="139"/>
        <v>16.755977636469837</v>
      </c>
      <c r="AA362" s="386">
        <f t="shared" si="140"/>
        <v>18.929813534428366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0.11483662498866627</v>
      </c>
      <c r="AD362" s="231">
        <f>(INDEX(Models!$BJ362:$BT362,,AH362)*(1-AF362)+INDEX(Models!$BJ362:$BT362,,AH362+1)*AF362-ERP_i)*AE362*Ramure*Pc/MaxiM</f>
        <v>1.6861271041171647E-2</v>
      </c>
      <c r="AE362" s="305">
        <f t="shared" si="142"/>
        <v>0.7</v>
      </c>
      <c r="AF362" s="177">
        <f t="shared" si="143"/>
        <v>0.99997261873211096</v>
      </c>
      <c r="AG362" s="921">
        <f t="shared" si="149"/>
        <v>2</v>
      </c>
      <c r="AH362" s="176">
        <f t="shared" si="144"/>
        <v>8</v>
      </c>
      <c r="AI362" s="225">
        <f t="shared" si="145"/>
        <v>2.999972618732111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6.8794444124481329</v>
      </c>
      <c r="C363" s="955"/>
      <c r="D363" s="393">
        <f t="shared" si="127"/>
        <v>7.4264236009278264</v>
      </c>
      <c r="E363" s="385">
        <f t="shared" si="150"/>
        <v>8.0007283271236442</v>
      </c>
      <c r="F363" s="385">
        <f t="shared" si="128"/>
        <v>8.0007283271236442</v>
      </c>
      <c r="G363" s="110">
        <f t="shared" si="151"/>
        <v>0.29798628392830051</v>
      </c>
      <c r="H363" s="414" t="b">
        <f>Wh_hp&gt;='2026'!Maxi_hp</f>
        <v>0</v>
      </c>
      <c r="I363" s="390">
        <f>IF(H363,Wh_hp,'2026'!Maxi_hp)</f>
        <v>27.64680505166011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7.365310920472623E-2</v>
      </c>
      <c r="M363" s="959"/>
      <c r="N363" s="959"/>
      <c r="O363" s="48">
        <f>IF(t&lt;Tnet,'2026'!Resal+('2026'!Salim-'2026'!Resal)*(1-EXP(('2026'!Tnet-t)/('2026'!Tau_j))),Resal+(Salim-Resal)*(1-EXP((Tnet-t)/(Tau_j))))*Salcycl</f>
        <v>7.1781555717726389E-2</v>
      </c>
      <c r="P363" s="169">
        <f>(INDEX(Models!$BJ363:$BT363,,T363)*(1-R363)+INDEX(Models!$BJ363:$BT363,,T363+1)*R363-ERP_i)*Q363*Ramure*Pc/MaxiM</f>
        <v>1.6820106082346233E-3</v>
      </c>
      <c r="Q363" s="305">
        <f t="shared" si="130"/>
        <v>0.7</v>
      </c>
      <c r="R363" s="177">
        <f t="shared" si="131"/>
        <v>0.47499431443738849</v>
      </c>
      <c r="S363" s="921">
        <f t="shared" si="132"/>
        <v>-1</v>
      </c>
      <c r="T363" s="176">
        <f t="shared" si="133"/>
        <v>5</v>
      </c>
      <c r="U363" s="251">
        <f t="shared" si="134"/>
        <v>-0.52500568556261151</v>
      </c>
      <c r="V363" s="383">
        <f t="shared" si="135"/>
        <v>23.047614888274985</v>
      </c>
      <c r="W363" s="402">
        <f t="shared" si="136"/>
        <v>6.8794444124481329</v>
      </c>
      <c r="X363" s="157">
        <f t="shared" si="137"/>
        <v>46736</v>
      </c>
      <c r="Y363" s="385">
        <f t="shared" si="138"/>
        <v>6.5601667601165898</v>
      </c>
      <c r="Z363" s="385">
        <f t="shared" si="139"/>
        <v>7.0817604347812422</v>
      </c>
      <c r="AA363" s="386">
        <f t="shared" si="140"/>
        <v>8.0007283271236442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0.11486052953791295</v>
      </c>
      <c r="AD363" s="231">
        <f>(INDEX(Models!$BJ363:$BT363,,AH363)*(1-AF363)+INDEX(Models!$BJ363:$BT363,,AH363+1)*AF363-ERP_i)*AE363*Ramure*Pc/MaxiM</f>
        <v>1.6680810533061363E-2</v>
      </c>
      <c r="AE363" s="305">
        <f t="shared" si="142"/>
        <v>0.7</v>
      </c>
      <c r="AF363" s="177">
        <f t="shared" si="143"/>
        <v>0.99998188081136741</v>
      </c>
      <c r="AG363" s="921">
        <f t="shared" si="149"/>
        <v>2</v>
      </c>
      <c r="AH363" s="176">
        <f t="shared" si="144"/>
        <v>8</v>
      </c>
      <c r="AI363" s="225">
        <f t="shared" si="145"/>
        <v>2.9999818808113674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4.6733241083931354</v>
      </c>
      <c r="C364" s="955"/>
      <c r="D364" s="393">
        <f t="shared" si="127"/>
        <v>5.0450069135706448</v>
      </c>
      <c r="E364" s="385">
        <f t="shared" si="150"/>
        <v>5.4355637949925919</v>
      </c>
      <c r="F364" s="385">
        <f t="shared" si="128"/>
        <v>5.4355637949925919</v>
      </c>
      <c r="G364" s="110">
        <f t="shared" si="151"/>
        <v>0.20246483193525933</v>
      </c>
      <c r="H364" s="414" t="b">
        <f>Wh_hp&gt;='2026'!Maxi_hp</f>
        <v>0</v>
      </c>
      <c r="I364" s="390">
        <f>IF(H364,Wh_hp,'2026'!Maxi_hp)</f>
        <v>27.611155388131891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7.3673398579041316E-2</v>
      </c>
      <c r="M364" s="959"/>
      <c r="N364" s="959"/>
      <c r="O364" s="48">
        <f>IF(t&lt;Tnet,'2026'!Resal+('2026'!Salim-'2026'!Resal)*(1-EXP(('2026'!Tnet-t)/('2026'!Tau_j))),Resal+(Salim-Resal)*(1-EXP((Tnet-t)/(Tau_j))))*Salcycl</f>
        <v>7.1852138278965597E-2</v>
      </c>
      <c r="P364" s="169">
        <f>(INDEX(Models!$BJ364:$BT364,,T364)*(1-R364)+INDEX(Models!$BJ364:$BT364,,T364+1)*R364-ERP_i)*Q364*Ramure*Pc/MaxiM</f>
        <v>1.6725640663480883E-3</v>
      </c>
      <c r="Q364" s="305">
        <f t="shared" si="130"/>
        <v>0.7</v>
      </c>
      <c r="R364" s="177">
        <f t="shared" si="131"/>
        <v>0.4750032039207337</v>
      </c>
      <c r="S364" s="921">
        <f t="shared" si="132"/>
        <v>-1</v>
      </c>
      <c r="T364" s="176">
        <f t="shared" si="133"/>
        <v>5</v>
      </c>
      <c r="U364" s="251">
        <f t="shared" si="134"/>
        <v>-0.5249967960792663</v>
      </c>
      <c r="V364" s="383">
        <f t="shared" si="135"/>
        <v>23.043546031297392</v>
      </c>
      <c r="W364" s="402">
        <f t="shared" si="136"/>
        <v>4.6733241083931354</v>
      </c>
      <c r="X364" s="157">
        <f t="shared" si="137"/>
        <v>46737</v>
      </c>
      <c r="Y364" s="385">
        <f t="shared" si="138"/>
        <v>4.4566457090529834</v>
      </c>
      <c r="Z364" s="385">
        <f t="shared" si="139"/>
        <v>4.8110954626765716</v>
      </c>
      <c r="AA364" s="386">
        <f t="shared" si="140"/>
        <v>5.4355637949925919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0.11488565967918538</v>
      </c>
      <c r="AD364" s="231">
        <f>(INDEX(Models!$BJ364:$BT364,,AH364)*(1-AF364)+INDEX(Models!$BJ364:$BT364,,AH364+1)*AF364-ERP_i)*AE364*Ramure*Pc/MaxiM</f>
        <v>1.651370549763876E-2</v>
      </c>
      <c r="AE364" s="305">
        <f t="shared" si="142"/>
        <v>0.7</v>
      </c>
      <c r="AF364" s="177">
        <f t="shared" si="143"/>
        <v>0.99999077029471284</v>
      </c>
      <c r="AG364" s="921">
        <f t="shared" si="149"/>
        <v>2</v>
      </c>
      <c r="AH364" s="176">
        <f t="shared" si="144"/>
        <v>8</v>
      </c>
      <c r="AI364" s="225">
        <f t="shared" si="145"/>
        <v>2.9999907702947128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2.613995481151735</v>
      </c>
      <c r="C365" s="955"/>
      <c r="D365" s="393">
        <f t="shared" si="127"/>
        <v>2.8219558108398828</v>
      </c>
      <c r="E365" s="385">
        <f t="shared" si="150"/>
        <v>3.0406496002416996</v>
      </c>
      <c r="F365" s="385">
        <f t="shared" si="128"/>
        <v>3.0406496002416996</v>
      </c>
      <c r="G365" s="110">
        <f t="shared" si="151"/>
        <v>0.11321006823222522</v>
      </c>
      <c r="H365" s="414" t="b">
        <f>Wh_hp&gt;='2026'!Maxi_hp</f>
        <v>0</v>
      </c>
      <c r="I365" s="390">
        <f>IF(H365,Wh_hp,'2026'!Maxi_hp)</f>
        <v>27.969819213232515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7.3693687508966987E-2</v>
      </c>
      <c r="M365" s="959"/>
      <c r="N365" s="959"/>
      <c r="O365" s="48">
        <f>IF(t&lt;Tnet,'2026'!Resal+('2026'!Salim-'2026'!Resal)*(1-EXP(('2026'!Tnet-t)/('2026'!Tau_j))),Resal+(Salim-Resal)*(1-EXP((Tnet-t)/(Tau_j))))*Salcycl</f>
        <v>7.1923377617872528E-2</v>
      </c>
      <c r="P365" s="169">
        <f>(INDEX(Models!$BJ365:$BT365,,T365)*(1-R365)+INDEX(Models!$BJ365:$BT365,,T365+1)*R365-ERP_i)*Q365*Ramure*Pc/MaxiM</f>
        <v>1.6618599320075342E-3</v>
      </c>
      <c r="Q365" s="305">
        <f t="shared" si="130"/>
        <v>0.7</v>
      </c>
      <c r="R365" s="177">
        <f t="shared" si="131"/>
        <v>0.47501173578454614</v>
      </c>
      <c r="S365" s="921">
        <f t="shared" si="132"/>
        <v>-1</v>
      </c>
      <c r="T365" s="176">
        <f t="shared" si="133"/>
        <v>5</v>
      </c>
      <c r="U365" s="251">
        <f t="shared" si="134"/>
        <v>-0.52498826421545386</v>
      </c>
      <c r="V365" s="383">
        <f t="shared" si="135"/>
        <v>23.051407242737827</v>
      </c>
      <c r="W365" s="402">
        <f t="shared" si="136"/>
        <v>2.613995481151735</v>
      </c>
      <c r="X365" s="157">
        <f t="shared" si="137"/>
        <v>46738</v>
      </c>
      <c r="Y365" s="385">
        <f t="shared" si="138"/>
        <v>2.4929150490501959</v>
      </c>
      <c r="Z365" s="385">
        <f t="shared" si="139"/>
        <v>2.6912426434256091</v>
      </c>
      <c r="AA365" s="386">
        <f t="shared" si="140"/>
        <v>3.0406496002416996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0.11491194407547518</v>
      </c>
      <c r="AD365" s="231">
        <f>(INDEX(Models!$BJ365:$BT365,,AH365)*(1-AF365)+INDEX(Models!$BJ365:$BT365,,AH365+1)*AF365-ERP_i)*AE365*Ramure*Pc/MaxiM</f>
        <v>1.6360272767405953E-2</v>
      </c>
      <c r="AE365" s="305">
        <f t="shared" si="142"/>
        <v>0.7</v>
      </c>
      <c r="AF365" s="177">
        <f t="shared" si="143"/>
        <v>0.99999930215852517</v>
      </c>
      <c r="AG365" s="921">
        <f t="shared" si="149"/>
        <v>2</v>
      </c>
      <c r="AH365" s="176">
        <f t="shared" si="144"/>
        <v>8</v>
      </c>
      <c r="AI365" s="225">
        <f t="shared" si="145"/>
        <v>2.9999993021585252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20.608230627552796</v>
      </c>
      <c r="C366" s="955"/>
      <c r="D366" s="393">
        <f t="shared" si="127"/>
        <v>22.248236606699272</v>
      </c>
      <c r="E366" s="385">
        <f t="shared" si="150"/>
        <v>23.974269687369002</v>
      </c>
      <c r="F366" s="385">
        <f t="shared" si="128"/>
        <v>24.007859192256365</v>
      </c>
      <c r="G366" s="110">
        <f t="shared" si="151"/>
        <v>0.89303781776108249</v>
      </c>
      <c r="H366" s="414" t="b">
        <f>Wh_hp&gt;='2026'!Maxi_hp</f>
        <v>0</v>
      </c>
      <c r="I366" s="390">
        <f>IF(H366,Wh_hp,'2026'!Maxi_hp)</f>
        <v>28.032685021410803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7.3713975994513015E-2</v>
      </c>
      <c r="M366" s="959"/>
      <c r="N366" s="959"/>
      <c r="O366" s="48">
        <f>IF(t&lt;Tnet,'2026'!Resal+('2026'!Salim-'2026'!Resal)*(1-EXP(('2026'!Tnet-t)/('2026'!Tau_j))),Resal+(Salim-Resal)*(1-EXP((Tnet-t)/(Tau_j))))*Salcycl</f>
        <v>7.1995230852813175E-2</v>
      </c>
      <c r="P366" s="169">
        <f>(INDEX(Models!$BJ366:$BT366,,T366)*(1-R366)+INDEX(Models!$BJ366:$BT366,,T366+1)*R366-ERP_i)*Q366*Ramure*Pc/MaxiM</f>
        <v>1.6508246855533796E-3</v>
      </c>
      <c r="Q366" s="305">
        <f t="shared" si="130"/>
        <v>0.7</v>
      </c>
      <c r="R366" s="177">
        <f t="shared" si="131"/>
        <v>0.47501992440421548</v>
      </c>
      <c r="S366" s="921">
        <f t="shared" si="132"/>
        <v>-1</v>
      </c>
      <c r="T366" s="176">
        <f t="shared" si="133"/>
        <v>5</v>
      </c>
      <c r="U366" s="251">
        <f t="shared" si="134"/>
        <v>-0.52498007559578452</v>
      </c>
      <c r="V366" s="383">
        <f t="shared" si="135"/>
        <v>23.070731656630567</v>
      </c>
      <c r="W366" s="402">
        <f t="shared" si="136"/>
        <v>20.608230627552796</v>
      </c>
      <c r="X366" s="157">
        <f t="shared" si="137"/>
        <v>46739</v>
      </c>
      <c r="Y366" s="385">
        <f t="shared" si="138"/>
        <v>19.411342885189367</v>
      </c>
      <c r="Z366" s="385">
        <f t="shared" si="139"/>
        <v>20.956100364388508</v>
      </c>
      <c r="AA366" s="386">
        <f t="shared" si="140"/>
        <v>23.677585768587758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0.11493931141450028</v>
      </c>
      <c r="AD366" s="231">
        <f>(INDEX(Models!$BJ366:$BT366,,AH366)*(1-AF366)+INDEX(Models!$BJ366:$BT366,,AH366+1)*AF366-ERP_i)*AE366*Ramure*Pc/MaxiM</f>
        <v>1.6231960625877569E-2</v>
      </c>
      <c r="AE366" s="305">
        <f t="shared" si="142"/>
        <v>0.7</v>
      </c>
      <c r="AF366" s="177">
        <f t="shared" si="143"/>
        <v>7.4907781941746521E-6</v>
      </c>
      <c r="AG366" s="921">
        <f t="shared" si="149"/>
        <v>3</v>
      </c>
      <c r="AH366" s="176">
        <f t="shared" si="144"/>
        <v>9</v>
      </c>
      <c r="AI366" s="225">
        <f t="shared" si="145"/>
        <v>3.0000074907781942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17.444788787580183</v>
      </c>
      <c r="C367" s="955"/>
      <c r="D367" s="393">
        <f t="shared" si="127"/>
        <v>18.833460107880246</v>
      </c>
      <c r="E367" s="385">
        <f t="shared" si="150"/>
        <v>20.2961565186706</v>
      </c>
      <c r="F367" s="385">
        <f t="shared" si="128"/>
        <v>20.31783643330424</v>
      </c>
      <c r="G367" s="110">
        <f t="shared" si="151"/>
        <v>0.75471782968194423</v>
      </c>
      <c r="H367" s="414" t="b">
        <f>Wh_hp&gt;='2026'!Maxi_hp</f>
        <v>0</v>
      </c>
      <c r="I367" s="390">
        <f>IF(H367,Wh_hp,'2026'!Maxi_hp)</f>
        <v>27.478360183893841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7.3734264035689168E-2</v>
      </c>
      <c r="M367" s="959"/>
      <c r="N367" s="959"/>
      <c r="O367" s="48">
        <f>IF(t&lt;Tnet,'2026'!Resal+('2026'!Salim-'2026'!Resal)*(1-EXP(('2026'!Tnet-t)/('2026'!Tau_j))),Resal+(Salim-Resal)*(1-EXP((Tnet-t)/(Tau_j))))*Salcycl</f>
        <v>7.2067655245208959E-2</v>
      </c>
      <c r="P367" s="169">
        <f>(INDEX(Models!$BJ367:$BT367,,T367)*(1-R367)+INDEX(Models!$BJ367:$BT367,,T367+1)*R367-ERP_i)*Q367*Ramure*Pc/MaxiM</f>
        <v>1.6410504131641167E-3</v>
      </c>
      <c r="Q367" s="305">
        <f t="shared" si="130"/>
        <v>0.7</v>
      </c>
      <c r="R367" s="177">
        <f t="shared" si="131"/>
        <v>0.47502778357818165</v>
      </c>
      <c r="S367" s="921">
        <f t="shared" si="132"/>
        <v>-1</v>
      </c>
      <c r="T367" s="176">
        <f t="shared" si="133"/>
        <v>5</v>
      </c>
      <c r="U367" s="251">
        <f t="shared" si="134"/>
        <v>-0.52497221642181835</v>
      </c>
      <c r="V367" s="383">
        <f t="shared" si="135"/>
        <v>23.101037089467511</v>
      </c>
      <c r="W367" s="402">
        <f t="shared" si="136"/>
        <v>17.444788787580183</v>
      </c>
      <c r="X367" s="157">
        <f t="shared" si="137"/>
        <v>46740</v>
      </c>
      <c r="Y367" s="385">
        <f t="shared" si="138"/>
        <v>16.481464814449453</v>
      </c>
      <c r="Z367" s="385">
        <f t="shared" si="139"/>
        <v>17.793451894548419</v>
      </c>
      <c r="AA367" s="386">
        <f t="shared" si="140"/>
        <v>20.104861382281552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0.11496769083770868</v>
      </c>
      <c r="AD367" s="231">
        <f>(INDEX(Models!$BJ367:$BT367,,AH367)*(1-AF367)+INDEX(Models!$BJ367:$BT367,,AH367+1)*AF367-ERP_i)*AE367*Ramure*Pc/MaxiM</f>
        <v>1.6121041128644174E-2</v>
      </c>
      <c r="AE367" s="305">
        <f t="shared" si="142"/>
        <v>0.7</v>
      </c>
      <c r="AF367" s="177">
        <f t="shared" si="143"/>
        <v>1.5349952160459424E-5</v>
      </c>
      <c r="AG367" s="921">
        <f t="shared" si="149"/>
        <v>3</v>
      </c>
      <c r="AH367" s="176">
        <f t="shared" si="144"/>
        <v>9</v>
      </c>
      <c r="AI367" s="225">
        <f t="shared" si="145"/>
        <v>3.0000153499521605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4.2502123310226159</v>
      </c>
      <c r="C368" s="955"/>
      <c r="D368" s="393">
        <f t="shared" si="127"/>
        <v>4.5886458481535364</v>
      </c>
      <c r="E368" s="385">
        <f t="shared" si="150"/>
        <v>4.9454107917481274</v>
      </c>
      <c r="F368" s="385">
        <f t="shared" si="128"/>
        <v>4.9454107917481274</v>
      </c>
      <c r="G368" s="110">
        <f t="shared" si="151"/>
        <v>0.18335908944241552</v>
      </c>
      <c r="H368" s="414" t="b">
        <f>Wh_hp&gt;='2026'!Maxi_hp</f>
        <v>0</v>
      </c>
      <c r="I368" s="390">
        <f>IF(H368,Wh_hp,'2026'!Maxi_hp)</f>
        <v>28.081044157306998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7.3754551632505105E-2</v>
      </c>
      <c r="M368" s="959"/>
      <c r="N368" s="959"/>
      <c r="O368" s="48">
        <f>IF(t&lt;Tnet,'2026'!Resal+('2026'!Salim-'2026'!Resal)*(1-EXP(('2026'!Tnet-t)/('2026'!Tau_j))),Resal+(Salim-Resal)*(1-EXP((Tnet-t)/(Tau_j))))*Salcycl</f>
        <v>7.2140608458631184E-2</v>
      </c>
      <c r="P368" s="169">
        <f>(INDEX(Models!$BJ368:$BT368,,T368)*(1-R368)+INDEX(Models!$BJ368:$BT368,,T368+1)*R368-ERP_i)*Q368*Ramure*Pc/MaxiM</f>
        <v>1.6325580381913798E-3</v>
      </c>
      <c r="Q368" s="305">
        <f t="shared" si="130"/>
        <v>0.7</v>
      </c>
      <c r="R368" s="177">
        <f t="shared" si="131"/>
        <v>0.47503532655101999</v>
      </c>
      <c r="S368" s="921">
        <f t="shared" si="132"/>
        <v>-1</v>
      </c>
      <c r="T368" s="176">
        <f t="shared" si="133"/>
        <v>5</v>
      </c>
      <c r="U368" s="251">
        <f t="shared" si="134"/>
        <v>-0.52496467344898001</v>
      </c>
      <c r="V368" s="383">
        <f t="shared" si="135"/>
        <v>23.141877643596164</v>
      </c>
      <c r="W368" s="402">
        <f t="shared" si="136"/>
        <v>4.2502123310226159</v>
      </c>
      <c r="X368" s="157">
        <f t="shared" si="137"/>
        <v>46741</v>
      </c>
      <c r="Y368" s="385">
        <f t="shared" si="138"/>
        <v>4.0539015344237859</v>
      </c>
      <c r="Z368" s="385">
        <f t="shared" si="139"/>
        <v>4.3767033258503742</v>
      </c>
      <c r="AA368" s="386">
        <f t="shared" si="140"/>
        <v>4.9454107917481274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0.11499701235066133</v>
      </c>
      <c r="AD368" s="231">
        <f>(INDEX(Models!$BJ368:$BT368,,AH368)*(1-AF368)+INDEX(Models!$BJ368:$BT368,,AH368+1)*AF368-ERP_i)*AE368*Ramure*Pc/MaxiM</f>
        <v>1.6027693293912543E-2</v>
      </c>
      <c r="AE368" s="305">
        <f t="shared" si="142"/>
        <v>0.7</v>
      </c>
      <c r="AF368" s="177">
        <f t="shared" si="143"/>
        <v>2.289292499879636E-5</v>
      </c>
      <c r="AG368" s="921">
        <f t="shared" si="149"/>
        <v>3</v>
      </c>
      <c r="AH368" s="176">
        <f t="shared" si="144"/>
        <v>9</v>
      </c>
      <c r="AI368" s="225">
        <f t="shared" si="145"/>
        <v>3.0000228929249988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21.480276267722878</v>
      </c>
      <c r="C369" s="955"/>
      <c r="D369" s="393">
        <f t="shared" si="127"/>
        <v>23.191203572514574</v>
      </c>
      <c r="E369" s="385">
        <f t="shared" si="150"/>
        <v>24.996286635575103</v>
      </c>
      <c r="F369" s="385">
        <f t="shared" si="128"/>
        <v>25.032682042930038</v>
      </c>
      <c r="G369" s="110">
        <f t="shared" si="151"/>
        <v>0.92600208438319032</v>
      </c>
      <c r="H369" s="414" t="b">
        <f>Wh_hp&gt;='2026'!Maxi_hp</f>
        <v>0</v>
      </c>
      <c r="I369" s="390">
        <f>IF(H369,Wh_hp,'2026'!Maxi_hp)</f>
        <v>25.036368779792387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7.3774838784970598E-2</v>
      </c>
      <c r="M369" s="959"/>
      <c r="N369" s="959"/>
      <c r="O369" s="48">
        <f>IF(t&lt;Tnet,'2026'!Resal+('2026'!Salim-'2026'!Resal)*(1-EXP(('2026'!Tnet-t)/('2026'!Tau_j))),Resal+(Salim-Resal)*(1-EXP((Tnet-t)/(Tau_j))))*Salcycl</f>
        <v>7.2214048805613676E-2</v>
      </c>
      <c r="P369" s="169">
        <f>(INDEX(Models!$BJ369:$BT369,,T369)*(1-R369)+INDEX(Models!$BJ369:$BT369,,T369+1)*R369-ERP_i)*Q369*Ramure*Pc/MaxiM</f>
        <v>1.6253659349675308E-3</v>
      </c>
      <c r="Q369" s="305">
        <f t="shared" si="130"/>
        <v>0.7</v>
      </c>
      <c r="R369" s="177">
        <f t="shared" si="131"/>
        <v>0.47504256603560691</v>
      </c>
      <c r="S369" s="921">
        <f t="shared" si="132"/>
        <v>-1</v>
      </c>
      <c r="T369" s="176">
        <f t="shared" si="133"/>
        <v>5</v>
      </c>
      <c r="U369" s="251">
        <f t="shared" si="134"/>
        <v>-0.52495743396439309</v>
      </c>
      <c r="V369" s="383">
        <f t="shared" si="135"/>
        <v>23.192807518951728</v>
      </c>
      <c r="W369" s="402">
        <f t="shared" si="136"/>
        <v>21.480276267722878</v>
      </c>
      <c r="X369" s="157">
        <f t="shared" si="137"/>
        <v>46742</v>
      </c>
      <c r="Y369" s="385">
        <f t="shared" si="138"/>
        <v>20.226098971602863</v>
      </c>
      <c r="Z369" s="385">
        <f t="shared" si="139"/>
        <v>21.837129694328436</v>
      </c>
      <c r="AA369" s="386">
        <f t="shared" si="140"/>
        <v>24.675481407211791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0.11502720721200613</v>
      </c>
      <c r="AD369" s="231">
        <f>(INDEX(Models!$BJ369:$BT369,,AH369)*(1-AF369)+INDEX(Models!$BJ369:$BT369,,AH369+1)*AF369-ERP_i)*AE369*Ramure*Pc/MaxiM</f>
        <v>1.5952060642795876E-2</v>
      </c>
      <c r="AE369" s="305">
        <f t="shared" si="142"/>
        <v>0.7</v>
      </c>
      <c r="AF369" s="177">
        <f t="shared" si="143"/>
        <v>3.0132409585714726E-5</v>
      </c>
      <c r="AG369" s="921">
        <f t="shared" si="149"/>
        <v>3</v>
      </c>
      <c r="AH369" s="176">
        <f t="shared" si="144"/>
        <v>9</v>
      </c>
      <c r="AI369" s="225">
        <f t="shared" si="145"/>
        <v>3.0000301324095857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16.610953825931695</v>
      </c>
      <c r="C370" s="955"/>
      <c r="D370" s="393">
        <f t="shared" si="127"/>
        <v>17.93442712636886</v>
      </c>
      <c r="E370" s="385">
        <f t="shared" si="150"/>
        <v>19.331889507826777</v>
      </c>
      <c r="F370" s="385">
        <f t="shared" si="128"/>
        <v>19.350439082721543</v>
      </c>
      <c r="G370" s="110">
        <f t="shared" si="151"/>
        <v>0.71387319897832813</v>
      </c>
      <c r="H370" s="414" t="b">
        <f>Wh_hp&gt;='2026'!Maxi_hp</f>
        <v>0</v>
      </c>
      <c r="I370" s="390">
        <f>IF(H370,Wh_hp,'2026'!Maxi_hp)</f>
        <v>27.058641236912877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7.3795125493095415E-2</v>
      </c>
      <c r="M370" s="959"/>
      <c r="N370" s="959"/>
      <c r="O370" s="48">
        <f>IF(t&lt;Tnet,'2026'!Resal+('2026'!Salim-'2026'!Resal)*(1-EXP(('2026'!Tnet-t)/('2026'!Tau_j))),Resal+(Salim-Resal)*(1-EXP((Tnet-t)/(Tau_j))))*Salcycl</f>
        <v>7.2287935480498958E-2</v>
      </c>
      <c r="P370" s="169">
        <f>(INDEX(Models!$BJ370:$BT370,,T370)*(1-R370)+INDEX(Models!$BJ370:$BT370,,T370+1)*R370-ERP_i)*Q370*Ramure*Pc/MaxiM</f>
        <v>1.6194900785329327E-3</v>
      </c>
      <c r="Q370" s="305">
        <f t="shared" si="130"/>
        <v>0.7</v>
      </c>
      <c r="R370" s="177">
        <f t="shared" si="131"/>
        <v>0.47504951423440422</v>
      </c>
      <c r="S370" s="921">
        <f t="shared" si="132"/>
        <v>-1</v>
      </c>
      <c r="T370" s="176">
        <f t="shared" si="133"/>
        <v>5</v>
      </c>
      <c r="U370" s="251">
        <f t="shared" si="134"/>
        <v>-0.52495048576559578</v>
      </c>
      <c r="V370" s="383">
        <f t="shared" si="135"/>
        <v>23.253381007997383</v>
      </c>
      <c r="W370" s="402">
        <f t="shared" si="136"/>
        <v>16.610953825931695</v>
      </c>
      <c r="X370" s="157">
        <f t="shared" si="137"/>
        <v>46743</v>
      </c>
      <c r="Y370" s="385">
        <f t="shared" si="138"/>
        <v>15.711126846838658</v>
      </c>
      <c r="Z370" s="385">
        <f t="shared" si="139"/>
        <v>16.962906673540225</v>
      </c>
      <c r="AA370" s="386">
        <f t="shared" si="140"/>
        <v>19.168386929636259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0.11505820829848444</v>
      </c>
      <c r="AD370" s="231">
        <f>(INDEX(Models!$BJ370:$BT370,,AH370)*(1-AF370)+INDEX(Models!$BJ370:$BT370,,AH370+1)*AF370-ERP_i)*AE370*Ramure*Pc/MaxiM</f>
        <v>1.5894254039231743E-2</v>
      </c>
      <c r="AE370" s="305">
        <f t="shared" si="142"/>
        <v>0.7</v>
      </c>
      <c r="AF370" s="177">
        <f t="shared" si="143"/>
        <v>3.7080608382922264E-5</v>
      </c>
      <c r="AG370" s="921">
        <f t="shared" si="149"/>
        <v>3</v>
      </c>
      <c r="AH370" s="176">
        <f t="shared" si="144"/>
        <v>9</v>
      </c>
      <c r="AI370" s="225">
        <f t="shared" si="145"/>
        <v>3.0000370806083829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17.135223137893558</v>
      </c>
      <c r="C371" s="955"/>
      <c r="D371" s="393">
        <f t="shared" si="127"/>
        <v>18.500872672042128</v>
      </c>
      <c r="E371" s="385">
        <f t="shared" si="150"/>
        <v>19.944070030316027</v>
      </c>
      <c r="F371" s="385">
        <f t="shared" si="128"/>
        <v>19.964090854831397</v>
      </c>
      <c r="G371" s="110">
        <f t="shared" si="151"/>
        <v>0.7342371106210831</v>
      </c>
      <c r="H371" s="414" t="b">
        <f>Wh_hp&gt;='2026'!Maxi_hp</f>
        <v>0</v>
      </c>
      <c r="I371" s="390">
        <f>IF(H371,Wh_hp,'2026'!Maxi_hp)</f>
        <v>22.375250435644084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7.3815411756889326E-2</v>
      </c>
      <c r="M371" s="959"/>
      <c r="N371" s="959"/>
      <c r="O371" s="48">
        <f>IF(t&lt;Tnet,'2026'!Resal+('2026'!Salim-'2026'!Resal)*(1-EXP(('2026'!Tnet-t)/('2026'!Tau_j))),Resal+(Salim-Resal)*(1-EXP((Tnet-t)/(Tau_j))))*Salcycl</f>
        <v>7.2362228776782403E-2</v>
      </c>
      <c r="P371" s="169">
        <f>(INDEX(Models!$BJ371:$BT371,,T371)*(1-R371)+INDEX(Models!$BJ371:$BT371,,T371+1)*R371-ERP_i)*Q371*Ramure*Pc/MaxiM</f>
        <v>1.6149294500236251E-3</v>
      </c>
      <c r="Q371" s="305">
        <f t="shared" si="130"/>
        <v>0.7</v>
      </c>
      <c r="R371" s="177">
        <f t="shared" si="131"/>
        <v>0.47504951423440422</v>
      </c>
      <c r="S371" s="921">
        <f t="shared" si="132"/>
        <v>-1</v>
      </c>
      <c r="T371" s="176">
        <f t="shared" si="133"/>
        <v>5</v>
      </c>
      <c r="U371" s="251">
        <f t="shared" si="134"/>
        <v>-0.52495048576559578</v>
      </c>
      <c r="V371" s="383">
        <f t="shared" si="135"/>
        <v>23.323152838285232</v>
      </c>
      <c r="W371" s="402">
        <f t="shared" si="136"/>
        <v>17.135223137893558</v>
      </c>
      <c r="X371" s="157">
        <f t="shared" si="137"/>
        <v>46744</v>
      </c>
      <c r="Y371" s="385">
        <f t="shared" si="138"/>
        <v>16.201278468376842</v>
      </c>
      <c r="Z371" s="385">
        <f t="shared" si="139"/>
        <v>17.492494124858219</v>
      </c>
      <c r="AA371" s="386">
        <f t="shared" si="140"/>
        <v>19.767539235912587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0.11508995044366427</v>
      </c>
      <c r="AD371" s="231">
        <f>(INDEX(Models!$BJ371:$BT371,,AH371)*(1-AF371)+INDEX(Models!$BJ371:$BT371,,AH371+1)*AF371-ERP_i)*AE371*Ramure*Pc/MaxiM</f>
        <v>1.5854341942717239E-2</v>
      </c>
      <c r="AE371" s="305">
        <f t="shared" si="142"/>
        <v>0.7</v>
      </c>
      <c r="AF371" s="177">
        <f t="shared" si="143"/>
        <v>3.7080608382922264E-5</v>
      </c>
      <c r="AG371" s="921">
        <f t="shared" si="149"/>
        <v>3</v>
      </c>
      <c r="AH371" s="176">
        <f t="shared" si="144"/>
        <v>9</v>
      </c>
      <c r="AI371" s="225">
        <f t="shared" si="145"/>
        <v>3.0000370806083829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22.460035759102947</v>
      </c>
      <c r="C372" s="955"/>
      <c r="D372" s="393">
        <f t="shared" si="127"/>
        <v>24.250595386075968</v>
      </c>
      <c r="E372" s="385">
        <f t="shared" si="150"/>
        <v>26.144415546662447</v>
      </c>
      <c r="F372" s="385">
        <f t="shared" si="128"/>
        <v>26.184190971666503</v>
      </c>
      <c r="G372" s="110">
        <f t="shared" si="151"/>
        <v>0.95967274356432797</v>
      </c>
      <c r="H372" s="414" t="b">
        <f>Wh_hp&gt;='2026'!Maxi_hp</f>
        <v>0</v>
      </c>
      <c r="I372" s="390">
        <f>IF(H372,Wh_hp,'2026'!Maxi_hp)</f>
        <v>26.186276848895975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7.3835697576361881E-2</v>
      </c>
      <c r="M372" s="959"/>
      <c r="N372" s="959"/>
      <c r="O372" s="48">
        <f>IF(t&lt;Tnet,'2026'!Resal+('2026'!Salim-'2026'!Resal)*(1-EXP(('2026'!Tnet-t)/('2026'!Tau_j))),Resal+(Salim-Resal)*(1-EXP((Tnet-t)/(Tau_j))))*Salcycl</f>
        <v>7.2436890287579547E-2</v>
      </c>
      <c r="P372" s="169">
        <f>(INDEX(Models!$BJ372:$BT372,,T372)*(1-R372)+INDEX(Models!$BJ372:$BT372,,T372+1)*R372-ERP_i)*Q372*Ramure*Pc/MaxiM</f>
        <v>1.6117086790004779E-3</v>
      </c>
      <c r="Q372" s="305">
        <f t="shared" si="130"/>
        <v>0.7</v>
      </c>
      <c r="R372" s="177">
        <f t="shared" si="131"/>
        <v>0.47504951423440422</v>
      </c>
      <c r="S372" s="921">
        <f t="shared" si="132"/>
        <v>-1</v>
      </c>
      <c r="T372" s="176">
        <f t="shared" si="133"/>
        <v>5</v>
      </c>
      <c r="U372" s="251">
        <f t="shared" si="134"/>
        <v>-0.52495048576559578</v>
      </c>
      <c r="V372" s="383">
        <f t="shared" si="135"/>
        <v>23.401677196265521</v>
      </c>
      <c r="W372" s="402">
        <f t="shared" si="136"/>
        <v>22.460035759102947</v>
      </c>
      <c r="X372" s="157">
        <f t="shared" si="137"/>
        <v>46745</v>
      </c>
      <c r="Y372" s="385">
        <f t="shared" si="138"/>
        <v>21.138828391313321</v>
      </c>
      <c r="Z372" s="385">
        <f t="shared" si="139"/>
        <v>22.824058685911414</v>
      </c>
      <c r="AA372" s="386">
        <f t="shared" si="140"/>
        <v>25.793463334827734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0.1151223707483621</v>
      </c>
      <c r="AD372" s="231">
        <f>(INDEX(Models!$BJ372:$BT372,,AH372)*(1-AF372)+INDEX(Models!$BJ372:$BT372,,AH372+1)*AF372-ERP_i)*AE372*Ramure*Pc/MaxiM</f>
        <v>1.5832366928931231E-2</v>
      </c>
      <c r="AE372" s="305">
        <f t="shared" si="142"/>
        <v>0.7</v>
      </c>
      <c r="AF372" s="177">
        <f t="shared" si="143"/>
        <v>3.7080608382922264E-5</v>
      </c>
      <c r="AG372" s="921">
        <f t="shared" si="149"/>
        <v>3</v>
      </c>
      <c r="AH372" s="176">
        <f t="shared" si="144"/>
        <v>9</v>
      </c>
      <c r="AI372" s="225">
        <f t="shared" si="145"/>
        <v>3.0000370806083829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13.156788505554758</v>
      </c>
      <c r="C373" s="955"/>
      <c r="D373" s="393">
        <f t="shared" si="127"/>
        <v>14.205985530721291</v>
      </c>
      <c r="E373" s="385">
        <f t="shared" si="150"/>
        <v>15.316622684093485</v>
      </c>
      <c r="F373" s="385">
        <f t="shared" si="128"/>
        <v>15.325786150119731</v>
      </c>
      <c r="G373" s="110">
        <f t="shared" si="151"/>
        <v>0.55946907855318184</v>
      </c>
      <c r="H373" s="414" t="b">
        <f>Wh_hp&gt;='2026'!Maxi_hp</f>
        <v>0</v>
      </c>
      <c r="I373" s="390">
        <f>IF(H373,Wh_hp,'2026'!Maxi_hp)</f>
        <v>18.791308820692279</v>
      </c>
      <c r="J373" s="85">
        <f>IF(H373,An,'2026'!An_max)</f>
        <v>2019</v>
      </c>
      <c r="K373" s="197">
        <f t="shared" si="129"/>
        <v>46746</v>
      </c>
      <c r="L373" s="147">
        <f>IF(t&lt;Tvie,1-EXP((T0-t)*PertePVj)+'2026'!Pspv,1-EXP((T0-t)*PertePVj)+Pspv)</f>
        <v>7.3855982951522958E-2</v>
      </c>
      <c r="M373" s="959"/>
      <c r="N373" s="959"/>
      <c r="O373" s="48">
        <f>IF(t&lt;Tnet,'2026'!Resal+('2026'!Salim-'2026'!Resal)*(1-EXP(('2026'!Tnet-t)/('2026'!Tau_j))),Resal+(Salim-Resal)*(1-EXP((Tnet-t)/(Tau_j))))*Salcycl</f>
        <v>7.2511883088012971E-2</v>
      </c>
      <c r="P373" s="169">
        <f>(INDEX(Models!$BJ373:$BT373,,T373)*(1-R373)+INDEX(Models!$BJ373:$BT373,,T373+1)*R373-ERP_i)*Q373*Ramure*Pc/MaxiM</f>
        <v>1.6095394788083839E-3</v>
      </c>
      <c r="Q373" s="305">
        <f t="shared" si="130"/>
        <v>0.7</v>
      </c>
      <c r="R373" s="177">
        <f t="shared" si="131"/>
        <v>0.47504951423440422</v>
      </c>
      <c r="S373" s="921">
        <f t="shared" si="132"/>
        <v>-1</v>
      </c>
      <c r="T373" s="176">
        <f t="shared" si="133"/>
        <v>5</v>
      </c>
      <c r="U373" s="251">
        <f t="shared" si="134"/>
        <v>-0.52495048576559578</v>
      </c>
      <c r="V373" s="383">
        <f t="shared" si="135"/>
        <v>23.492756388386749</v>
      </c>
      <c r="W373" s="402">
        <f t="shared" si="136"/>
        <v>13.156788505554758</v>
      </c>
      <c r="X373" s="157">
        <f t="shared" si="137"/>
        <v>46746</v>
      </c>
      <c r="Y373" s="385">
        <f t="shared" si="138"/>
        <v>12.48554803838284</v>
      </c>
      <c r="Z373" s="385">
        <f t="shared" si="139"/>
        <v>13.481216537113697</v>
      </c>
      <c r="AA373" s="386">
        <f t="shared" si="140"/>
        <v>15.235688472435847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0.11515540886099829</v>
      </c>
      <c r="AD373" s="231">
        <f>(INDEX(Models!$BJ373:$BT373,,AH373)*(1-AF373)+INDEX(Models!$BJ373:$BT373,,AH373+1)*AF373-ERP_i)*AE373*Ramure*Pc/MaxiM</f>
        <v>1.5825427711066025E-2</v>
      </c>
      <c r="AE373" s="305">
        <f t="shared" si="142"/>
        <v>0.7</v>
      </c>
      <c r="AF373" s="177">
        <f t="shared" si="143"/>
        <v>3.7080608382922264E-5</v>
      </c>
      <c r="AG373" s="921">
        <f t="shared" si="149"/>
        <v>3</v>
      </c>
      <c r="AH373" s="176">
        <f t="shared" si="144"/>
        <v>9</v>
      </c>
      <c r="AI373" s="225">
        <f t="shared" si="145"/>
        <v>3.0000370806083829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21.721689626917449</v>
      </c>
      <c r="C374" s="955"/>
      <c r="D374" s="393">
        <f t="shared" si="127"/>
        <v>23.454414214448395</v>
      </c>
      <c r="E374" s="385">
        <f t="shared" si="150"/>
        <v>25.290155046120741</v>
      </c>
      <c r="F374" s="385">
        <f t="shared" si="128"/>
        <v>25.326254246160993</v>
      </c>
      <c r="G374" s="110">
        <f t="shared" si="151"/>
        <v>0.9202580460875206</v>
      </c>
      <c r="H374" s="414" t="b">
        <f>Wh_hp&gt;='2026'!Maxi_hp</f>
        <v>0</v>
      </c>
      <c r="I374" s="390">
        <f>IF(H374,Wh_hp,'2026'!Maxi_hp)</f>
        <v>26.329619230701343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7.3876267882382329E-2</v>
      </c>
      <c r="M374" s="959"/>
      <c r="N374" s="959"/>
      <c r="O374" s="48">
        <f>IF(t&lt;Tnet,'2026'!Resal+('2026'!Salim-'2026'!Resal)*(1-EXP(('2026'!Tnet-t)/('2026'!Tau_j))),Resal+(Salim-Resal)*(1-EXP((Tnet-t)/(Tau_j))))*Salcycl</f>
        <v>7.2587171898494632E-2</v>
      </c>
      <c r="P374" s="169">
        <f>(INDEX(Models!$BJ374:$BT374,,T374)*(1-R374)+INDEX(Models!$BJ374:$BT374,,T374+1)*R374-ERP_i)*Q374*Ramure*Pc/MaxiM</f>
        <v>1.6081786067057811E-3</v>
      </c>
      <c r="Q374" s="305">
        <f t="shared" si="130"/>
        <v>0.7</v>
      </c>
      <c r="R374" s="177">
        <f t="shared" si="131"/>
        <v>0.47504951423440422</v>
      </c>
      <c r="S374" s="921">
        <f t="shared" si="132"/>
        <v>-1</v>
      </c>
      <c r="T374" s="176">
        <f t="shared" si="133"/>
        <v>5</v>
      </c>
      <c r="U374" s="251">
        <f t="shared" si="134"/>
        <v>-0.52495048576559578</v>
      </c>
      <c r="V374" s="383">
        <f t="shared" si="135"/>
        <v>23.599590428014075</v>
      </c>
      <c r="W374" s="402">
        <f t="shared" si="136"/>
        <v>21.721689626917449</v>
      </c>
      <c r="X374" s="157">
        <f t="shared" si="137"/>
        <v>46747</v>
      </c>
      <c r="Y374" s="385">
        <f t="shared" si="138"/>
        <v>20.462257973954216</v>
      </c>
      <c r="Z374" s="385">
        <f t="shared" si="139"/>
        <v>22.094518544694317</v>
      </c>
      <c r="AA374" s="386">
        <f t="shared" si="140"/>
        <v>24.970890647996704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0.11518900722642608</v>
      </c>
      <c r="AD374" s="231">
        <f>(INDEX(Models!$BJ374:$BT374,,AH374)*(1-AF374)+INDEX(Models!$BJ374:$BT374,,AH374+1)*AF374-ERP_i)*AE374*Ramure*Pc/MaxiM</f>
        <v>1.5831047101669889E-2</v>
      </c>
      <c r="AE374" s="305">
        <f t="shared" si="142"/>
        <v>0.7</v>
      </c>
      <c r="AF374" s="177">
        <f t="shared" si="143"/>
        <v>3.7080608382922264E-5</v>
      </c>
      <c r="AG374" s="921">
        <f t="shared" si="149"/>
        <v>3</v>
      </c>
      <c r="AH374" s="176">
        <f t="shared" si="144"/>
        <v>9</v>
      </c>
      <c r="AI374" s="225">
        <f t="shared" si="145"/>
        <v>3.0000370806083829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5.8995700206879489</v>
      </c>
      <c r="C375" s="955"/>
      <c r="D375" s="393">
        <f t="shared" si="127"/>
        <v>6.370314283764845</v>
      </c>
      <c r="E375" s="385">
        <f t="shared" si="150"/>
        <v>6.8694685777540938</v>
      </c>
      <c r="F375" s="385">
        <f t="shared" si="128"/>
        <v>6.8694685777540938</v>
      </c>
      <c r="G375" s="110">
        <f t="shared" si="151"/>
        <v>0.24830855767731935</v>
      </c>
      <c r="H375" s="414" t="b">
        <f>Wh_hp&gt;='2026'!Maxi_hp</f>
        <v>0</v>
      </c>
      <c r="I375" s="390">
        <f>IF(H375,Wh_hp,'2026'!Maxi_hp)</f>
        <v>27.615988001355355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7.3896552368949542E-2</v>
      </c>
      <c r="M375" s="959"/>
      <c r="N375" s="959"/>
      <c r="O375" s="48">
        <f>IF(t&lt;Tnet,'2026'!Resal+('2026'!Salim-'2026'!Resal)*(1-EXP(('2026'!Tnet-t)/('2026'!Tau_j))),Resal+(Salim-Resal)*(1-EXP((Tnet-t)/(Tau_j))))*Salcycl</f>
        <v>7.2662723228067022E-2</v>
      </c>
      <c r="P375" s="169">
        <f>(INDEX(Models!$BJ375:$BT375,,T375)*(1-R375)+INDEX(Models!$BJ375:$BT375,,T375+1)*R375-ERP_i)*Q375*Ramure*Pc/MaxiM</f>
        <v>1.6061874198794665E-3</v>
      </c>
      <c r="Q375" s="305">
        <f t="shared" si="130"/>
        <v>0.7</v>
      </c>
      <c r="R375" s="177">
        <f t="shared" si="131"/>
        <v>0.47504951423440422</v>
      </c>
      <c r="S375" s="921">
        <f t="shared" si="132"/>
        <v>-1</v>
      </c>
      <c r="T375" s="176">
        <f t="shared" si="133"/>
        <v>5</v>
      </c>
      <c r="U375" s="251">
        <f t="shared" si="134"/>
        <v>-0.52495048576559578</v>
      </c>
      <c r="V375" s="383">
        <f t="shared" si="135"/>
        <v>23.720866733849288</v>
      </c>
      <c r="W375" s="402">
        <f t="shared" si="136"/>
        <v>5.8995700206879489</v>
      </c>
      <c r="X375" s="157">
        <f t="shared" si="137"/>
        <v>46748</v>
      </c>
      <c r="Y375" s="385">
        <f t="shared" si="138"/>
        <v>5.6288077038485804</v>
      </c>
      <c r="Z375" s="385">
        <f t="shared" si="139"/>
        <v>6.0779470352334073</v>
      </c>
      <c r="AA375" s="386">
        <f t="shared" si="140"/>
        <v>6.8694685777540938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0.11522311130207782</v>
      </c>
      <c r="AD375" s="231">
        <f>(INDEX(Models!$BJ375:$BT375,,AH375)*(1-AF375)+INDEX(Models!$BJ375:$BT375,,AH375+1)*AF375-ERP_i)*AE375*Ramure*Pc/MaxiM</f>
        <v>1.5857421753210366E-2</v>
      </c>
      <c r="AE375" s="305">
        <f t="shared" si="142"/>
        <v>0.7</v>
      </c>
      <c r="AF375" s="177">
        <f t="shared" si="143"/>
        <v>3.7080608382922264E-5</v>
      </c>
      <c r="AG375" s="921">
        <f t="shared" si="149"/>
        <v>3</v>
      </c>
      <c r="AH375" s="176">
        <f t="shared" si="144"/>
        <v>9</v>
      </c>
      <c r="AI375" s="225">
        <f t="shared" si="145"/>
        <v>3.0000370806083829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23.000027965629982</v>
      </c>
      <c r="C376" s="955"/>
      <c r="D376" s="393">
        <f t="shared" si="127"/>
        <v>24.8358126677307</v>
      </c>
      <c r="E376" s="385">
        <f t="shared" si="150"/>
        <v>26.784043999418518</v>
      </c>
      <c r="F376" s="385">
        <f t="shared" si="128"/>
        <v>26.8248370309704</v>
      </c>
      <c r="G376" s="110">
        <f t="shared" si="151"/>
        <v>0.96406994899104848</v>
      </c>
      <c r="H376" s="414" t="b">
        <f>Wh_hp&gt;='2026'!Maxi_hp</f>
        <v>0</v>
      </c>
      <c r="I376" s="390">
        <f>IF(H376,Wh_hp,'2026'!Maxi_hp)</f>
        <v>26.826739809313775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7.3916836411234588E-2</v>
      </c>
      <c r="M376" s="959"/>
      <c r="N376" s="959"/>
      <c r="O376" s="48">
        <f>IF(t&lt;Tnet,'2026'!Resal+('2026'!Salim-'2026'!Resal)*(1-EXP(('2026'!Tnet-t)/('2026'!Tau_j))),Resal+(Salim-Resal)*(1-EXP((Tnet-t)/(Tau_j))))*Salcycl</f>
        <v>7.273850549715781E-2</v>
      </c>
      <c r="P376" s="169">
        <f>(INDEX(Models!$BJ376:$BT376,,T376)*(1-R376)+INDEX(Models!$BJ376:$BT376,,T376+1)*R376-ERP_i)*Q376*Ramure*Pc/MaxiM</f>
        <v>1.6028071291345131E-3</v>
      </c>
      <c r="Q376" s="305">
        <f t="shared" si="130"/>
        <v>0.7</v>
      </c>
      <c r="R376" s="177">
        <f t="shared" si="131"/>
        <v>0.47504951423440422</v>
      </c>
      <c r="S376" s="921">
        <f t="shared" si="132"/>
        <v>-1</v>
      </c>
      <c r="T376" s="176">
        <f t="shared" si="133"/>
        <v>5</v>
      </c>
      <c r="U376" s="251">
        <f t="shared" si="134"/>
        <v>-0.52495048576559578</v>
      </c>
      <c r="V376" s="383">
        <f t="shared" si="135"/>
        <v>23.855257679390071</v>
      </c>
      <c r="W376" s="402">
        <f t="shared" si="136"/>
        <v>23.000027965629982</v>
      </c>
      <c r="X376" s="157">
        <f t="shared" si="137"/>
        <v>46749</v>
      </c>
      <c r="Y376" s="385">
        <f t="shared" si="138"/>
        <v>21.647350893111231</v>
      </c>
      <c r="Z376" s="385">
        <f t="shared" si="139"/>
        <v>23.375169470982748</v>
      </c>
      <c r="AA376" s="386">
        <f t="shared" si="140"/>
        <v>26.420313204782303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0.1152576697405827</v>
      </c>
      <c r="AD376" s="231">
        <f>(INDEX(Models!$BJ376:$BT376,,AH376)*(1-AF376)+INDEX(Models!$BJ376:$BT376,,AH376+1)*AF376-ERP_i)*AE376*Ramure*Pc/MaxiM</f>
        <v>1.5894226240439967E-2</v>
      </c>
      <c r="AE376" s="305">
        <f t="shared" si="142"/>
        <v>0.7</v>
      </c>
      <c r="AF376" s="177">
        <f t="shared" si="143"/>
        <v>3.7080608382922264E-5</v>
      </c>
      <c r="AG376" s="921">
        <f t="shared" si="149"/>
        <v>3</v>
      </c>
      <c r="AH376" s="176">
        <f t="shared" si="144"/>
        <v>9</v>
      </c>
      <c r="AI376" s="225">
        <f t="shared" si="145"/>
        <v>3.0000370806083829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10.015304181878417</v>
      </c>
      <c r="C377" s="955"/>
      <c r="D377" s="393">
        <f t="shared" si="127"/>
        <v>10.814928876080662</v>
      </c>
      <c r="E377" s="385">
        <f t="shared" si="150"/>
        <v>11.664255695757385</v>
      </c>
      <c r="F377" s="385">
        <f t="shared" si="128"/>
        <v>11.667379721187064</v>
      </c>
      <c r="G377" s="110">
        <f t="shared" si="151"/>
        <v>0.41672443239519247</v>
      </c>
      <c r="H377" s="414" t="b">
        <f>Wh_hp&gt;='2026'!Maxi_hp</f>
        <v>0</v>
      </c>
      <c r="I377" s="390">
        <f>IF(H377,Wh_hp,'2026'!Maxi_hp)</f>
        <v>27.222037432287717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7.3937120009246904E-2</v>
      </c>
      <c r="M377" s="959"/>
      <c r="N377" s="959"/>
      <c r="O377" s="48">
        <f>IF(t&lt;Tnet,'2026'!Resal+('2026'!Salim-'2026'!Resal)*(1-EXP(('2026'!Tnet-t)/('2026'!Tau_j))),Resal+(Salim-Resal)*(1-EXP((Tnet-t)/(Tau_j))))*Salcycl</f>
        <v>7.2814489139298055E-2</v>
      </c>
      <c r="P377" s="169">
        <f>(INDEX(Models!$BJ377:$BT377,,T377)*(1-R377)+INDEX(Models!$BJ377:$BT377,,T377+1)*R377-ERP_i)*Q377*Ramure*Pc/MaxiM</f>
        <v>1.598145544937766E-3</v>
      </c>
      <c r="Q377" s="305">
        <f t="shared" si="130"/>
        <v>0.7</v>
      </c>
      <c r="R377" s="177">
        <f t="shared" si="131"/>
        <v>0.47504951423440422</v>
      </c>
      <c r="S377" s="921">
        <f t="shared" si="132"/>
        <v>-1</v>
      </c>
      <c r="T377" s="176">
        <f t="shared" si="133"/>
        <v>5</v>
      </c>
      <c r="U377" s="251">
        <f t="shared" si="134"/>
        <v>-0.52495048576559578</v>
      </c>
      <c r="V377" s="383">
        <f t="shared" si="135"/>
        <v>24.001415785127833</v>
      </c>
      <c r="W377" s="402">
        <f t="shared" si="136"/>
        <v>10.015304181878417</v>
      </c>
      <c r="X377" s="157">
        <f t="shared" si="137"/>
        <v>46750</v>
      </c>
      <c r="Y377" s="385">
        <f t="shared" si="138"/>
        <v>9.5334900158579661</v>
      </c>
      <c r="Z377" s="385">
        <f t="shared" si="139"/>
        <v>10.294646531943014</v>
      </c>
      <c r="AA377" s="386">
        <f t="shared" si="140"/>
        <v>11.636216599791531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0.11529263453832164</v>
      </c>
      <c r="AD377" s="231">
        <f>(INDEX(Models!$BJ377:$BT377,,AH377)*(1-AF377)+INDEX(Models!$BJ377:$BT377,,AH377+1)*AF377-ERP_i)*AE377*Ramure*Pc/MaxiM</f>
        <v>1.5941996870923923E-2</v>
      </c>
      <c r="AE377" s="305">
        <f t="shared" si="142"/>
        <v>0.7</v>
      </c>
      <c r="AF377" s="177">
        <f t="shared" si="143"/>
        <v>3.7080608382922264E-5</v>
      </c>
      <c r="AG377" s="921">
        <f t="shared" si="149"/>
        <v>3</v>
      </c>
      <c r="AH377" s="176">
        <f t="shared" si="144"/>
        <v>9</v>
      </c>
      <c r="AI377" s="225">
        <f t="shared" si="145"/>
        <v>3.0000370806083829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14.384924617361472</v>
      </c>
      <c r="C378" s="955"/>
      <c r="D378" s="393">
        <f t="shared" si="127"/>
        <v>15.533761261625227</v>
      </c>
      <c r="E378" s="385">
        <f t="shared" si="150"/>
        <v>16.755047509794242</v>
      </c>
      <c r="F378" s="385">
        <f t="shared" si="128"/>
        <v>16.766315704629946</v>
      </c>
      <c r="G378" s="110">
        <f t="shared" si="151"/>
        <v>0.59490362157387444</v>
      </c>
      <c r="H378" s="414" t="b">
        <f>Wh_hp&gt;='2026'!Maxi_hp</f>
        <v>0</v>
      </c>
      <c r="I378" s="390">
        <f>IF(H378,Wh_hp,'2026'!Maxi_hp)</f>
        <v>27.784365944966957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7.3957403162996482E-2</v>
      </c>
      <c r="M378" s="959"/>
      <c r="N378" s="959"/>
      <c r="O378" s="48">
        <f>IF(t&lt;Tnet,'2026'!Resal+('2026'!Salim-'2026'!Resal)*(1-EXP(('2026'!Tnet-t)/('2026'!Tau_j))),Resal+(Salim-Resal)*(1-EXP((Tnet-t)/(Tau_j))))*Salcycl</f>
        <v>7.2890646681551069E-2</v>
      </c>
      <c r="P378" s="169">
        <f>(INDEX(Models!$BJ378:$BT378,,T378)*(1-R378)+INDEX(Models!$BJ378:$BT378,,T378+1)*R378-ERP_i)*Q378*Ramure*Pc/MaxiM</f>
        <v>1.5923109854742868E-3</v>
      </c>
      <c r="Q378" s="305">
        <f t="shared" si="130"/>
        <v>0.7</v>
      </c>
      <c r="R378" s="177">
        <f t="shared" si="131"/>
        <v>0.47504951423440422</v>
      </c>
      <c r="S378" s="921">
        <f t="shared" si="132"/>
        <v>-1</v>
      </c>
      <c r="T378" s="176">
        <f t="shared" si="133"/>
        <v>5</v>
      </c>
      <c r="U378" s="251">
        <f t="shared" si="134"/>
        <v>-0.52495048576559578</v>
      </c>
      <c r="V378" s="383">
        <f t="shared" si="135"/>
        <v>24.157994077234097</v>
      </c>
      <c r="W378" s="402">
        <f t="shared" si="136"/>
        <v>14.384924617361472</v>
      </c>
      <c r="X378" s="157">
        <f t="shared" si="137"/>
        <v>46751</v>
      </c>
      <c r="Y378" s="385">
        <f t="shared" si="138"/>
        <v>13.642936420320694</v>
      </c>
      <c r="Z378" s="385">
        <f t="shared" si="139"/>
        <v>14.732514969526875</v>
      </c>
      <c r="AA378" s="386">
        <f t="shared" si="140"/>
        <v>16.65308082831795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0.11532796114970054</v>
      </c>
      <c r="AD378" s="231">
        <f>(INDEX(Models!$BJ378:$BT378,,AH378)*(1-AF378)+INDEX(Models!$BJ378:$BT378,,AH378+1)*AF378-ERP_i)*AE378*Ramure*Pc/MaxiM</f>
        <v>1.600124422051372E-2</v>
      </c>
      <c r="AE378" s="305">
        <f t="shared" si="142"/>
        <v>0.7</v>
      </c>
      <c r="AF378" s="177">
        <f t="shared" si="143"/>
        <v>3.7080608382922264E-5</v>
      </c>
      <c r="AG378" s="921">
        <f t="shared" si="149"/>
        <v>3</v>
      </c>
      <c r="AH378" s="176">
        <f t="shared" si="144"/>
        <v>9</v>
      </c>
      <c r="AI378" s="225">
        <f t="shared" si="145"/>
        <v>3.0000370806083829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10.878838325930985</v>
      </c>
      <c r="C379" s="955"/>
      <c r="D379" s="393">
        <f t="shared" si="127"/>
        <v>11.747922441999645</v>
      </c>
      <c r="E379" s="385">
        <f t="shared" si="150"/>
        <v>12.672603719498985</v>
      </c>
      <c r="F379" s="385">
        <f t="shared" si="128"/>
        <v>12.676831578733404</v>
      </c>
      <c r="G379" s="110">
        <f t="shared" si="151"/>
        <v>0.44669349829338345</v>
      </c>
      <c r="H379" s="414" t="b">
        <f>Wh_hp&gt;='2026'!Maxi_hp</f>
        <v>0</v>
      </c>
      <c r="I379" s="390">
        <f>IF(H379,Wh_hp,'2026'!Maxi_hp)</f>
        <v>28.039920073924794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7.3977685872492871E-2</v>
      </c>
      <c r="M379" s="959"/>
      <c r="N379" s="959"/>
      <c r="O379" s="48">
        <f>IF(t&lt;Tnet,'2026'!Resal+('2026'!Salim-'2026'!Resal)*(1-EXP(('2026'!Tnet-t)/('2026'!Tau_j))),Resal+(Salim-Resal)*(1-EXP((Tnet-t)/(Tau_j))))*Salcycl</f>
        <v>7.2966952803594651E-2</v>
      </c>
      <c r="P379" s="169">
        <f>(INDEX(Models!$BJ379:$BT379,,T379)*(1-R379)+INDEX(Models!$BJ379:$BT379,,T379+1)*R379-ERP_i)*Q379*Ramure*Pc/MaxiM</f>
        <v>1.5854111621755771E-3</v>
      </c>
      <c r="Q379" s="306">
        <f t="shared" si="130"/>
        <v>0.7</v>
      </c>
      <c r="R379" s="177">
        <f t="shared" si="131"/>
        <v>0.47504951423440422</v>
      </c>
      <c r="S379" s="921">
        <f t="shared" si="132"/>
        <v>-1</v>
      </c>
      <c r="T379" s="176">
        <f t="shared" si="133"/>
        <v>5</v>
      </c>
      <c r="U379" s="307">
        <f t="shared" si="134"/>
        <v>-0.52495048576559578</v>
      </c>
      <c r="V379" s="383">
        <f t="shared" si="135"/>
        <v>24.323646082304091</v>
      </c>
      <c r="W379" s="402">
        <f t="shared" si="136"/>
        <v>10.878838325930985</v>
      </c>
      <c r="X379" s="157">
        <f t="shared" si="137"/>
        <v>46752</v>
      </c>
      <c r="Y379" s="385">
        <f t="shared" si="138"/>
        <v>10.349660860043789</v>
      </c>
      <c r="Z379" s="385">
        <f t="shared" si="139"/>
        <v>11.176470266588748</v>
      </c>
      <c r="AA379" s="386">
        <f t="shared" si="140"/>
        <v>12.633970719299914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0.11536360856723046</v>
      </c>
      <c r="AD379" s="231">
        <f>(INDEX(Models!$BJ379:$BT379,,AH379)*(1-AF379)+INDEX(Models!$BJ379:$BT379,,AH379+1)*AF379-ERP_i)*AE379*Ramure*Pc/MaxiM</f>
        <v>1.6072456815286455E-2</v>
      </c>
      <c r="AE379" s="306">
        <f t="shared" si="142"/>
        <v>0.7</v>
      </c>
      <c r="AF379" s="177">
        <f t="shared" si="143"/>
        <v>3.7080608382922264E-5</v>
      </c>
      <c r="AG379" s="921">
        <f t="shared" si="149"/>
        <v>3</v>
      </c>
      <c r="AH379" s="176">
        <f t="shared" si="144"/>
        <v>9</v>
      </c>
      <c r="AI379" s="222">
        <f t="shared" si="145"/>
        <v>3.0000370806083829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10"/>
      <c r="B380" s="914"/>
      <c r="C380" s="956"/>
      <c r="D380" s="611"/>
      <c r="E380" s="387"/>
      <c r="F380" s="387"/>
      <c r="G380" s="612"/>
      <c r="H380" s="605" t="b">
        <f>Wh_hp&gt;='2026'!Maxi_hp</f>
        <v>0</v>
      </c>
      <c r="I380" s="606">
        <f>IF(H380,Wh_hp,'2026'!Maxi_hp)</f>
        <v>18.17506801901466</v>
      </c>
      <c r="J380" s="151">
        <f>IF(H380,An,'2026'!An_max)</f>
        <v>2024</v>
      </c>
      <c r="K380" s="234"/>
      <c r="L380" s="613"/>
      <c r="M380" s="960"/>
      <c r="N380" s="960"/>
      <c r="O380" s="614"/>
      <c r="P380" s="322"/>
      <c r="Q380" s="229"/>
      <c r="R380" s="229"/>
      <c r="S380" s="229"/>
      <c r="T380" s="229"/>
      <c r="U380" s="323"/>
      <c r="V380" s="397">
        <f>(V379+V15)/2</f>
        <v>24.982032465051475</v>
      </c>
      <c r="W380" s="913"/>
      <c r="X380" s="615"/>
      <c r="Y380" s="387"/>
      <c r="Z380" s="387"/>
      <c r="AA380" s="388"/>
      <c r="AB380" s="234"/>
      <c r="AC380" s="616"/>
      <c r="AD380" s="322"/>
      <c r="AE380" s="229"/>
      <c r="AF380" s="229"/>
      <c r="AG380" s="229"/>
      <c r="AH380" s="229"/>
      <c r="AI380" s="617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6.6565351864263378E-2</v>
      </c>
      <c r="M381" s="961"/>
      <c r="N381" s="961"/>
      <c r="O381" s="47">
        <f t="shared" si="152"/>
        <v>3.8606042148348764E-2</v>
      </c>
      <c r="P381" s="168">
        <f t="shared" si="152"/>
        <v>7.4920628179779347E-5</v>
      </c>
      <c r="Q381" s="310">
        <f t="shared" si="152"/>
        <v>0.7</v>
      </c>
      <c r="R381" s="311">
        <f t="shared" si="152"/>
        <v>3.7700911916238589E-5</v>
      </c>
      <c r="S381" s="921">
        <f t="shared" si="152"/>
        <v>-2</v>
      </c>
      <c r="T381" s="176">
        <f t="shared" si="152"/>
        <v>4</v>
      </c>
      <c r="U381" s="252">
        <f>MIN(U15:U380)</f>
        <v>-1.0249492127294249</v>
      </c>
      <c r="V381" s="57">
        <f>MIN(V15:V380)</f>
        <v>23.043546031297392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9.7718818334359442E-2</v>
      </c>
      <c r="AD381" s="168">
        <f t="shared" si="153"/>
        <v>2.2321929740953548E-3</v>
      </c>
      <c r="AE381" s="310">
        <f t="shared" si="153"/>
        <v>0.7</v>
      </c>
      <c r="AF381" s="311">
        <f t="shared" si="153"/>
        <v>7.4907781941746521E-6</v>
      </c>
      <c r="AG381" s="921">
        <f t="shared" si="153"/>
        <v>2</v>
      </c>
      <c r="AH381" s="176">
        <f t="shared" si="153"/>
        <v>8</v>
      </c>
      <c r="AI381" s="226">
        <f>MIN(AI15:AI380)</f>
        <v>2.5000383536445541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28.549249279137712</v>
      </c>
      <c r="C382" s="375"/>
      <c r="D382" s="375">
        <f>AVERAGE(D15:D380)</f>
        <v>30.703780710542297</v>
      </c>
      <c r="E382" s="375">
        <f>AVERAGE(E15:E380)</f>
        <v>32.596572319546041</v>
      </c>
      <c r="F382" s="376">
        <f>AVERAGE(F15:F380)</f>
        <v>32.628682631561837</v>
      </c>
      <c r="G382" s="126">
        <f>AVERAGE(G15:G380)</f>
        <v>0.67914944387320197</v>
      </c>
      <c r="H382" s="94"/>
      <c r="I382" s="376">
        <f>AVERAGE(I15:I380)</f>
        <v>43.99075124489169</v>
      </c>
      <c r="J382" s="59">
        <f>AVERAGE(J15:J380)</f>
        <v>2020.9398907103825</v>
      </c>
      <c r="K382" s="200" t="s">
        <v>8</v>
      </c>
      <c r="L382" s="147">
        <f t="shared" ref="L382:V382" si="154">AVERAGE(L15:L380)</f>
        <v>7.0276429978384167E-2</v>
      </c>
      <c r="M382" s="959"/>
      <c r="N382" s="959"/>
      <c r="O382" s="48">
        <f t="shared" si="154"/>
        <v>5.8029179957483849E-2</v>
      </c>
      <c r="P382" s="169">
        <f t="shared" si="154"/>
        <v>1.0987442416207096E-3</v>
      </c>
      <c r="Q382" s="312">
        <f t="shared" si="154"/>
        <v>0.69999999999999529</v>
      </c>
      <c r="R382" s="177">
        <f t="shared" si="154"/>
        <v>0.49877000070807537</v>
      </c>
      <c r="S382" s="921">
        <f t="shared" si="154"/>
        <v>-1.2438356164383562</v>
      </c>
      <c r="T382" s="176">
        <f t="shared" si="154"/>
        <v>4.7561643835616438</v>
      </c>
      <c r="U382" s="251">
        <f>AVERAGE(U15:U380)</f>
        <v>-0.74506561573028107</v>
      </c>
      <c r="V382" s="59">
        <f t="shared" si="154"/>
        <v>40.833811274192747</v>
      </c>
      <c r="X382" s="112" t="s">
        <v>8</v>
      </c>
      <c r="Y382" s="375">
        <f>AVERAGE(Y15:Y380)</f>
        <v>26.857861152870534</v>
      </c>
      <c r="Z382" s="375">
        <f>AVERAGE(Z15:Z380)</f>
        <v>28.884895879226988</v>
      </c>
      <c r="AA382" s="375">
        <f>AVERAGE(AA15:AA380)</f>
        <v>32.447201653857704</v>
      </c>
      <c r="AB382" s="200" t="s">
        <v>8</v>
      </c>
      <c r="AC382" s="48">
        <f t="shared" ref="AC382:AH382" si="155">AVERAGE(AC15:AC380)</f>
        <v>0.10935587230158791</v>
      </c>
      <c r="AD382" s="169">
        <f t="shared" si="155"/>
        <v>8.7317462757788063E-3</v>
      </c>
      <c r="AE382" s="312">
        <f t="shared" si="155"/>
        <v>0.69999999999999529</v>
      </c>
      <c r="AF382" s="177">
        <f t="shared" si="155"/>
        <v>0.7415657862601357</v>
      </c>
      <c r="AG382" s="921">
        <f t="shared" si="155"/>
        <v>2.0383561643835617</v>
      </c>
      <c r="AH382" s="176">
        <f t="shared" si="155"/>
        <v>8.0383561643835613</v>
      </c>
      <c r="AI382" s="225">
        <f>AVERAGE(AI15:AI380)</f>
        <v>2.7799219506436996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52.832861096991586</v>
      </c>
      <c r="C383" s="377"/>
      <c r="D383" s="377">
        <f>MAX(D15:D380)</f>
        <v>56.784267544922969</v>
      </c>
      <c r="E383" s="377">
        <f>MAX(E15:E380)</f>
        <v>60.124463890138941</v>
      </c>
      <c r="F383" s="378">
        <f>MAX(F15:F380)</f>
        <v>60.251561411651245</v>
      </c>
      <c r="G383" s="127">
        <f>+MAX(G15:G380)</f>
        <v>1.0462551840388283</v>
      </c>
      <c r="H383" s="94"/>
      <c r="I383" s="378">
        <f>MAX(I15:I380)</f>
        <v>61.987907498178245</v>
      </c>
      <c r="J383" s="60">
        <f>MAX(J15:J380)</f>
        <v>2027</v>
      </c>
      <c r="K383" s="200" t="s">
        <v>9</v>
      </c>
      <c r="L383" s="148">
        <f t="shared" ref="L383:T383" si="156">MAX(L15:L380)</f>
        <v>7.3977685872492871E-2</v>
      </c>
      <c r="M383" s="962"/>
      <c r="N383" s="962"/>
      <c r="O383" s="49">
        <f t="shared" si="156"/>
        <v>7.2966952803594651E-2</v>
      </c>
      <c r="P383" s="170">
        <f t="shared" si="156"/>
        <v>3.6898509356329428E-3</v>
      </c>
      <c r="Q383" s="313">
        <f t="shared" si="156"/>
        <v>0.7</v>
      </c>
      <c r="R383" s="314">
        <f t="shared" si="156"/>
        <v>0.99905457642825191</v>
      </c>
      <c r="S383" s="922">
        <f t="shared" si="156"/>
        <v>-1</v>
      </c>
      <c r="T383" s="233">
        <f t="shared" si="156"/>
        <v>5</v>
      </c>
      <c r="U383" s="253">
        <f>MAX(U15:U380)</f>
        <v>-0.52495048576559578</v>
      </c>
      <c r="V383" s="60">
        <f>MAX(V15:V380)</f>
        <v>52.534048880722409</v>
      </c>
      <c r="X383" s="112" t="s">
        <v>9</v>
      </c>
      <c r="Y383" s="377">
        <f>MAX(Y15:Y380)</f>
        <v>49.584030689192417</v>
      </c>
      <c r="Z383" s="377">
        <f>MAX(Z15:Z380)</f>
        <v>53.292454850057311</v>
      </c>
      <c r="AA383" s="377">
        <f>MAX(AA15:AA380)</f>
        <v>59.792880364468559</v>
      </c>
      <c r="AB383" s="200" t="s">
        <v>9</v>
      </c>
      <c r="AC383" s="49">
        <f t="shared" ref="AC383:AH383" si="157">MAX(AC15:AC380)</f>
        <v>0.11603487027690759</v>
      </c>
      <c r="AD383" s="170">
        <f t="shared" si="157"/>
        <v>2.0088297699954519E-2</v>
      </c>
      <c r="AE383" s="313">
        <f t="shared" si="157"/>
        <v>0.7</v>
      </c>
      <c r="AF383" s="314">
        <f t="shared" si="157"/>
        <v>0.99999930215852517</v>
      </c>
      <c r="AG383" s="922">
        <f t="shared" si="157"/>
        <v>3</v>
      </c>
      <c r="AH383" s="233">
        <f t="shared" si="157"/>
        <v>9</v>
      </c>
      <c r="AI383" s="227">
        <f>MAX(AI15:AI380)</f>
        <v>3.0000370806083829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5"/>
  <sheetViews>
    <sheetView topLeftCell="A18" zoomScaleNormal="100" workbookViewId="0">
      <selection activeCell="D7" sqref="D7"/>
    </sheetView>
  </sheetViews>
  <sheetFormatPr baseColWidth="10" defaultRowHeight="15" x14ac:dyDescent="0.25"/>
  <cols>
    <col min="1" max="1" width="23.7109375" style="15" customWidth="1"/>
    <col min="2" max="5" width="8.85546875" style="15" customWidth="1"/>
    <col min="6" max="6" width="8.85546875" style="3" customWidth="1"/>
    <col min="7" max="7" width="8.85546875" style="21" customWidth="1"/>
    <col min="8" max="8" width="8.85546875" style="20" customWidth="1"/>
    <col min="9" max="9" width="8.85546875" style="15" customWidth="1"/>
    <col min="10" max="10" width="9" style="15" customWidth="1"/>
    <col min="11" max="11" width="9" style="3" customWidth="1"/>
    <col min="12" max="12" width="9" style="15" customWidth="1"/>
    <col min="13" max="13" width="9" style="648" customWidth="1"/>
    <col min="14" max="14" width="8.140625" style="648" customWidth="1"/>
    <col min="15" max="16" width="8.140625" style="15" customWidth="1"/>
    <col min="17" max="17" width="8.140625" style="21" customWidth="1"/>
    <col min="18" max="18" width="8.140625" style="342" customWidth="1"/>
    <col min="19" max="19" width="8.140625" style="21" customWidth="1"/>
    <col min="20" max="20" width="8.140625" style="15" customWidth="1"/>
    <col min="21" max="21" width="8.140625" style="21" customWidth="1"/>
    <col min="22" max="22" width="8.140625" style="15" customWidth="1"/>
    <col min="23" max="23" width="7.5703125" style="21" customWidth="1"/>
    <col min="24" max="24" width="7.5703125" style="755" customWidth="1"/>
    <col min="25" max="25" width="7.5703125" style="21" customWidth="1"/>
    <col min="26" max="26" width="7.28515625" style="15" bestFit="1" customWidth="1"/>
    <col min="27" max="27" width="8.5703125" style="21" customWidth="1"/>
    <col min="28" max="28" width="6.7109375" style="15" bestFit="1" customWidth="1"/>
    <col min="29" max="16384" width="11.42578125" style="15"/>
  </cols>
  <sheetData>
    <row r="1" spans="1:29" ht="21.75" thickBot="1" x14ac:dyDescent="0.4">
      <c r="A1" s="689" t="str">
        <f>"Calcul Masques  "&amp;Station</f>
        <v>Calcul Masques  Aureville</v>
      </c>
      <c r="B1" s="1165" t="str">
        <f>Station</f>
        <v>Aureville</v>
      </c>
      <c r="C1" s="1166"/>
      <c r="D1" s="1166"/>
      <c r="E1" s="1166"/>
      <c r="F1" s="1167"/>
      <c r="H1" s="1172">
        <v>44547</v>
      </c>
      <c r="I1" s="1173"/>
      <c r="K1" s="877" t="s">
        <v>177</v>
      </c>
      <c r="L1" s="691"/>
      <c r="M1" s="691"/>
      <c r="N1" s="692"/>
      <c r="O1" s="692"/>
      <c r="P1" s="691"/>
      <c r="Q1" s="691"/>
      <c r="R1" s="693"/>
      <c r="S1" s="694"/>
      <c r="T1" s="693"/>
      <c r="U1" s="691"/>
      <c r="V1" s="693"/>
      <c r="W1" s="691"/>
      <c r="X1" s="15"/>
      <c r="Y1" s="15"/>
      <c r="AA1" s="15"/>
    </row>
    <row r="2" spans="1:29" s="6" customFormat="1" ht="15.75" customHeight="1" x14ac:dyDescent="0.2">
      <c r="A2" s="1071"/>
      <c r="C2" s="695"/>
      <c r="D2" s="696"/>
      <c r="E2" s="1174" t="s">
        <v>200</v>
      </c>
      <c r="F2" s="1174"/>
      <c r="G2" s="26"/>
      <c r="H2" s="25"/>
      <c r="K2" s="8"/>
      <c r="M2" s="18"/>
      <c r="N2" s="62"/>
      <c r="Q2" s="26"/>
      <c r="R2" s="697"/>
      <c r="S2" s="26"/>
      <c r="U2" s="26"/>
    </row>
    <row r="3" spans="1:29" ht="15.75" x14ac:dyDescent="0.25">
      <c r="A3" s="698" t="s">
        <v>142</v>
      </c>
      <c r="B3" s="699"/>
      <c r="C3" s="699"/>
      <c r="E3" s="1175"/>
      <c r="F3" s="1175"/>
      <c r="G3" s="20"/>
      <c r="N3" s="700"/>
      <c r="W3" s="15"/>
      <c r="X3" s="15"/>
      <c r="Y3" s="15"/>
      <c r="AA3" s="15"/>
    </row>
    <row r="4" spans="1:29" s="25" customFormat="1" ht="12" thickBot="1" x14ac:dyDescent="0.25">
      <c r="A4" s="701" t="s">
        <v>143</v>
      </c>
      <c r="B4" s="701" t="s">
        <v>144</v>
      </c>
      <c r="C4" s="701" t="s">
        <v>145</v>
      </c>
      <c r="D4" s="701" t="s">
        <v>146</v>
      </c>
      <c r="E4" s="702" t="s">
        <v>175</v>
      </c>
      <c r="F4" s="702" t="s">
        <v>199</v>
      </c>
      <c r="M4" s="18"/>
      <c r="N4" s="703"/>
      <c r="O4" s="6"/>
      <c r="P4" s="6"/>
      <c r="R4" s="697"/>
      <c r="S4" s="26"/>
      <c r="T4" s="6"/>
      <c r="U4" s="26"/>
      <c r="V4" s="6"/>
    </row>
    <row r="5" spans="1:29" ht="16.5" thickBot="1" x14ac:dyDescent="0.3">
      <c r="A5" s="704" t="s">
        <v>147</v>
      </c>
      <c r="B5" s="650">
        <v>2</v>
      </c>
      <c r="C5" s="646">
        <v>15</v>
      </c>
      <c r="D5" s="652">
        <f>+C5*B5</f>
        <v>30</v>
      </c>
      <c r="E5" s="651">
        <v>0.3</v>
      </c>
      <c r="F5" s="705">
        <f>+D5*E5</f>
        <v>9</v>
      </c>
      <c r="G5" s="648"/>
      <c r="H5" s="706" t="s">
        <v>16</v>
      </c>
      <c r="I5" s="628">
        <v>0.33</v>
      </c>
      <c r="J5" s="649">
        <f>DEGREES(ATAN(I5))</f>
        <v>18.262889942194128</v>
      </c>
      <c r="K5" s="934" t="s">
        <v>88</v>
      </c>
      <c r="N5" s="700"/>
      <c r="W5" s="15"/>
      <c r="X5" s="15"/>
      <c r="Y5" s="15"/>
      <c r="AA5" s="15"/>
    </row>
    <row r="6" spans="1:29" s="6" customFormat="1" ht="12" thickBot="1" x14ac:dyDescent="0.25">
      <c r="A6" s="563" t="s">
        <v>141</v>
      </c>
      <c r="B6" s="8">
        <f>1.776+0.002+0.01</f>
        <v>1.788</v>
      </c>
      <c r="C6" s="8">
        <f>1.052+0.002+0.01</f>
        <v>1.0640000000000001</v>
      </c>
      <c r="E6" s="647"/>
      <c r="F6" s="602"/>
      <c r="G6" s="25"/>
      <c r="H6" s="25"/>
      <c r="J6" s="8"/>
      <c r="M6" s="18"/>
      <c r="N6" s="62"/>
      <c r="Q6" s="26"/>
      <c r="R6" s="697"/>
      <c r="S6" s="26"/>
      <c r="U6" s="26"/>
    </row>
    <row r="7" spans="1:29" s="6" customFormat="1" ht="19.5" thickBot="1" x14ac:dyDescent="0.35">
      <c r="A7" s="16" t="s">
        <v>170</v>
      </c>
      <c r="D7" s="707"/>
      <c r="F7" s="8"/>
      <c r="G7" s="26"/>
      <c r="H7" s="708" t="s">
        <v>15</v>
      </c>
      <c r="I7" s="629">
        <v>20</v>
      </c>
      <c r="J7" s="931">
        <f>90-J5</f>
        <v>71.737110057805864</v>
      </c>
      <c r="K7" s="934" t="s">
        <v>88</v>
      </c>
      <c r="L7" s="709" t="s">
        <v>148</v>
      </c>
      <c r="M7" s="26"/>
      <c r="N7" s="18"/>
      <c r="O7" s="18"/>
      <c r="R7" s="709" t="s">
        <v>148</v>
      </c>
      <c r="T7" s="26"/>
      <c r="U7" s="26"/>
      <c r="X7" s="710"/>
      <c r="Y7" s="697"/>
    </row>
    <row r="8" spans="1:29" s="19" customFormat="1" ht="15.75" x14ac:dyDescent="0.25">
      <c r="A8" s="698" t="s">
        <v>178</v>
      </c>
      <c r="D8" s="105"/>
      <c r="F8" s="136" t="s">
        <v>249</v>
      </c>
      <c r="G8" s="878">
        <v>1.54</v>
      </c>
      <c r="H8" s="29"/>
      <c r="I8" s="31"/>
      <c r="K8" s="711" t="s">
        <v>179</v>
      </c>
      <c r="L8" s="29"/>
      <c r="N8" s="29"/>
      <c r="O8" s="34"/>
      <c r="Q8" s="711" t="s">
        <v>180</v>
      </c>
      <c r="R8" s="29"/>
      <c r="T8" s="29"/>
      <c r="U8" s="29"/>
      <c r="X8" s="711" t="s">
        <v>181</v>
      </c>
      <c r="Y8" s="712"/>
    </row>
    <row r="9" spans="1:29" s="19" customFormat="1" x14ac:dyDescent="0.25">
      <c r="A9" s="713" t="s">
        <v>182</v>
      </c>
      <c r="B9" s="713" t="s">
        <v>183</v>
      </c>
      <c r="C9" s="713" t="s">
        <v>184</v>
      </c>
      <c r="D9" s="713" t="s">
        <v>185</v>
      </c>
      <c r="E9" s="713" t="s">
        <v>186</v>
      </c>
      <c r="F9" s="713" t="s">
        <v>187</v>
      </c>
      <c r="G9" s="713" t="s">
        <v>188</v>
      </c>
      <c r="H9" s="714" t="s">
        <v>151</v>
      </c>
      <c r="I9" s="715" t="s">
        <v>189</v>
      </c>
      <c r="K9" s="716" t="s">
        <v>153</v>
      </c>
      <c r="L9" s="717" t="s">
        <v>154</v>
      </c>
      <c r="M9" s="717" t="s">
        <v>155</v>
      </c>
      <c r="N9" s="717" t="s">
        <v>156</v>
      </c>
      <c r="O9" s="34"/>
      <c r="Q9" s="716" t="s">
        <v>153</v>
      </c>
      <c r="R9" s="717" t="s">
        <v>154</v>
      </c>
      <c r="S9" s="717" t="s">
        <v>155</v>
      </c>
      <c r="T9" s="717" t="s">
        <v>156</v>
      </c>
      <c r="U9" s="561"/>
      <c r="V9" s="883" t="s">
        <v>264</v>
      </c>
    </row>
    <row r="10" spans="1:29" s="19" customFormat="1" x14ac:dyDescent="0.25">
      <c r="A10" s="879" t="s">
        <v>296</v>
      </c>
      <c r="B10" s="639">
        <v>-1.07</v>
      </c>
      <c r="C10" s="640">
        <v>-2.0499999999999998</v>
      </c>
      <c r="D10" s="630">
        <f>DEGREES(ATAN2(H10,F10))</f>
        <v>-1.6264944714107099</v>
      </c>
      <c r="E10" s="630">
        <f>DEGREES(ATAN2(H10,G10))</f>
        <v>-3.1139487391877281</v>
      </c>
      <c r="F10" s="640">
        <f>-Hobs1+Hrm</f>
        <v>-1.6814285714285719</v>
      </c>
      <c r="G10" s="640">
        <f>-Hobs1</f>
        <v>-3.221428571428572</v>
      </c>
      <c r="H10" s="557">
        <f>SQRT(POWER(M10-S$10,2)+POWER(L10-R$10,2))</f>
        <v>59.215006543950047</v>
      </c>
      <c r="I10" s="718">
        <f>(D10-E10)/(B10-C10)</f>
        <v>1.5178104773234884</v>
      </c>
      <c r="J10" s="43"/>
      <c r="K10" s="880" t="str">
        <f>A10</f>
        <v>Poteau vert de cloture ouest</v>
      </c>
      <c r="L10" s="631">
        <v>4861.67</v>
      </c>
      <c r="M10" s="638">
        <v>5370.05</v>
      </c>
      <c r="N10" s="632">
        <v>204.9</v>
      </c>
      <c r="O10" s="935"/>
      <c r="P10" s="935"/>
      <c r="Q10" s="881" t="s">
        <v>297</v>
      </c>
      <c r="R10" s="631">
        <v>4878.1000000000004</v>
      </c>
      <c r="S10" s="638">
        <v>5313.16</v>
      </c>
      <c r="T10" s="632">
        <v>208.9</v>
      </c>
      <c r="U10" s="719" t="s">
        <v>190</v>
      </c>
      <c r="V10" s="1003">
        <f>Hrm*C10/(C10-B10)</f>
        <v>3.221428571428572</v>
      </c>
      <c r="W10" s="43" t="s">
        <v>87</v>
      </c>
      <c r="X10" s="633" t="s">
        <v>300</v>
      </c>
      <c r="Y10" s="637"/>
      <c r="Z10" s="561"/>
      <c r="AA10" s="561"/>
      <c r="AC10" s="19">
        <v>1</v>
      </c>
    </row>
    <row r="11" spans="1:29" s="19" customFormat="1" x14ac:dyDescent="0.25">
      <c r="A11" s="879" t="s">
        <v>296</v>
      </c>
      <c r="B11" s="639">
        <v>15.42</v>
      </c>
      <c r="C11" s="640">
        <v>-5.29</v>
      </c>
      <c r="D11" s="630">
        <f>DEGREES(ATAN2(H11,F11))</f>
        <v>6.5904409726816313</v>
      </c>
      <c r="E11" s="630">
        <f>DEGREES(ATAN2(H11,G11))</f>
        <v>-2.172470965280497</v>
      </c>
      <c r="F11" s="640">
        <f>1+0.2*(0.7967)</f>
        <v>1.15934</v>
      </c>
      <c r="G11" s="640">
        <f>F11-+Hrm</f>
        <v>-0.38066</v>
      </c>
      <c r="H11" s="557">
        <f>SQRT(POWER(M11-S$11,2)+POWER(L11-R$11,2))</f>
        <v>10.034545331005114</v>
      </c>
      <c r="I11" s="718">
        <f>(D11-E11)/(B11-C11)</f>
        <v>0.42312467107494584</v>
      </c>
      <c r="J11" s="117"/>
      <c r="K11" s="880" t="str">
        <f>A11</f>
        <v>Poteau vert de cloture ouest</v>
      </c>
      <c r="L11" s="631">
        <v>4861.67</v>
      </c>
      <c r="M11" s="638">
        <v>5370.05</v>
      </c>
      <c r="N11" s="632">
        <v>204.9</v>
      </c>
      <c r="O11" s="936"/>
      <c r="P11" s="936"/>
      <c r="Q11" s="882" t="s">
        <v>298</v>
      </c>
      <c r="R11" s="631">
        <v>4870.03</v>
      </c>
      <c r="S11" s="638">
        <v>5364.5</v>
      </c>
      <c r="T11" s="632">
        <v>205.27</v>
      </c>
      <c r="U11" s="720" t="s">
        <v>191</v>
      </c>
      <c r="V11" s="634">
        <f>-G11</f>
        <v>0.38066</v>
      </c>
      <c r="W11" s="117" t="s">
        <v>87</v>
      </c>
      <c r="X11" s="635" t="s">
        <v>301</v>
      </c>
      <c r="Y11" s="637"/>
      <c r="Z11" s="561"/>
      <c r="AA11" s="561"/>
      <c r="AC11" s="19">
        <v>2</v>
      </c>
    </row>
    <row r="12" spans="1:29" s="19" customFormat="1" x14ac:dyDescent="0.25">
      <c r="A12" s="879" t="s">
        <v>296</v>
      </c>
      <c r="B12" s="639">
        <v>0.69</v>
      </c>
      <c r="C12" s="640">
        <v>-1.24</v>
      </c>
      <c r="D12" s="630">
        <f>DEGREES(ATAN2(H12,F12))</f>
        <v>1.2688352779644818</v>
      </c>
      <c r="E12" s="630">
        <f>DEGREES(ATAN2(H12,G12))</f>
        <v>-2.2793952615902566</v>
      </c>
      <c r="F12" s="640">
        <f>Hrm*B12/(B12-C12)</f>
        <v>0.55056994818652849</v>
      </c>
      <c r="G12" s="640">
        <f>F12-Hrm</f>
        <v>-0.98943005181347154</v>
      </c>
      <c r="H12" s="557">
        <f>SQRT(POWER(M12-S$12,2)+POWER(L12-R$12,2))</f>
        <v>24.857582344226568</v>
      </c>
      <c r="I12" s="718">
        <f>(D12-E12)/(B12-C12)</f>
        <v>1.8384614194584137</v>
      </c>
      <c r="J12" s="117"/>
      <c r="K12" s="880" t="str">
        <f>A12</f>
        <v>Poteau vert de cloture ouest</v>
      </c>
      <c r="L12" s="631">
        <v>4861.67</v>
      </c>
      <c r="M12" s="638">
        <v>5370.05</v>
      </c>
      <c r="N12" s="632">
        <v>204.9</v>
      </c>
      <c r="O12" s="936"/>
      <c r="P12" s="936"/>
      <c r="Q12" s="882" t="s">
        <v>299</v>
      </c>
      <c r="R12" s="631">
        <v>4881.3</v>
      </c>
      <c r="S12" s="638">
        <v>5354.8</v>
      </c>
      <c r="T12" s="632">
        <v>205.7</v>
      </c>
      <c r="U12" s="720" t="s">
        <v>250</v>
      </c>
      <c r="V12" s="634">
        <f>-G12</f>
        <v>0.98943005181347154</v>
      </c>
      <c r="W12" s="117" t="s">
        <v>87</v>
      </c>
      <c r="X12" s="635" t="s">
        <v>302</v>
      </c>
      <c r="Y12" s="637"/>
      <c r="Z12" s="561"/>
      <c r="AA12" s="561"/>
      <c r="AC12" s="19">
        <v>3</v>
      </c>
    </row>
    <row r="13" spans="1:29" s="6" customFormat="1" ht="12" thickBot="1" x14ac:dyDescent="0.25">
      <c r="A13" s="563"/>
      <c r="B13" s="1072" t="s">
        <v>312</v>
      </c>
      <c r="C13" s="897"/>
      <c r="D13" s="566"/>
      <c r="E13" s="897"/>
      <c r="F13" s="566"/>
      <c r="G13" s="897"/>
      <c r="H13" s="74"/>
      <c r="I13" s="898"/>
      <c r="N13" s="18"/>
      <c r="O13" s="18"/>
      <c r="T13" s="899"/>
      <c r="U13" s="26"/>
      <c r="X13" s="26"/>
      <c r="Y13" s="697"/>
      <c r="Z13" s="900"/>
      <c r="AA13" s="901"/>
      <c r="AB13" s="902"/>
      <c r="AC13" s="901"/>
    </row>
    <row r="14" spans="1:29" s="19" customFormat="1" ht="16.5" thickBot="1" x14ac:dyDescent="0.3">
      <c r="A14" s="698" t="s">
        <v>168</v>
      </c>
      <c r="B14" s="723"/>
      <c r="C14" s="28"/>
      <c r="D14" s="28"/>
      <c r="E14" s="28"/>
      <c r="F14" s="28"/>
      <c r="H14" s="571" t="s">
        <v>76</v>
      </c>
      <c r="I14" s="679">
        <f>+(1.65+F16)/2</f>
        <v>1.7409340182666828</v>
      </c>
      <c r="K14" s="6"/>
      <c r="L14" s="709" t="s">
        <v>148</v>
      </c>
      <c r="M14" s="71"/>
      <c r="N14" s="712"/>
      <c r="P14" s="417"/>
      <c r="V14" s="29"/>
      <c r="Y14" s="29"/>
    </row>
    <row r="15" spans="1:29" s="19" customFormat="1" ht="12.75" x14ac:dyDescent="0.2">
      <c r="A15" s="724" t="s">
        <v>153</v>
      </c>
      <c r="B15" s="725" t="s">
        <v>192</v>
      </c>
      <c r="C15" s="724" t="s">
        <v>149</v>
      </c>
      <c r="D15" s="724" t="s">
        <v>150</v>
      </c>
      <c r="E15" s="724" t="s">
        <v>151</v>
      </c>
      <c r="F15" s="724" t="s">
        <v>152</v>
      </c>
      <c r="G15" s="724" t="s">
        <v>158</v>
      </c>
      <c r="H15" s="724" t="s">
        <v>157</v>
      </c>
      <c r="I15" s="724" t="s">
        <v>159</v>
      </c>
      <c r="J15" s="726" t="s">
        <v>193</v>
      </c>
      <c r="K15" s="727" t="s">
        <v>153</v>
      </c>
      <c r="L15" s="724" t="s">
        <v>154</v>
      </c>
      <c r="M15" s="724" t="s">
        <v>155</v>
      </c>
      <c r="N15" s="724" t="s">
        <v>156</v>
      </c>
      <c r="O15" s="29"/>
      <c r="P15" s="247"/>
    </row>
    <row r="16" spans="1:29" s="19" customFormat="1" ht="12.75" x14ac:dyDescent="0.2">
      <c r="A16" s="1004" t="s">
        <v>160</v>
      </c>
      <c r="B16" s="680">
        <f>1</f>
        <v>1</v>
      </c>
      <c r="C16" s="640">
        <v>-0.92</v>
      </c>
      <c r="D16" s="1005">
        <f>C16*CHOOSE(B16,Rata1,Rata2,Rata3)</f>
        <v>-1.3963856391376095</v>
      </c>
      <c r="E16" s="1006">
        <f>SQRT(+POWER(L16-CHOOSE(B16,$R$10,$R$11,$R$12),2)+POWER(M16-CHOOSE(B16,$S$10,$S$11,$S$12),2))</f>
        <v>57.00444631780929</v>
      </c>
      <c r="F16" s="1005">
        <f>E16*TAN(RADIANS(D16))+CHOOSE(B16,Hobs1,Hobs2,Hobs3)</f>
        <v>1.8318680365333657</v>
      </c>
      <c r="G16" s="1019"/>
      <c r="H16" s="1020"/>
      <c r="I16" s="1021"/>
      <c r="J16" s="726" t="s">
        <v>194</v>
      </c>
      <c r="K16" s="1026" t="s">
        <v>160</v>
      </c>
      <c r="L16" s="631">
        <v>4872.72</v>
      </c>
      <c r="M16" s="632">
        <v>5369.91</v>
      </c>
      <c r="N16" s="632">
        <v>202.8</v>
      </c>
      <c r="O16" s="29"/>
      <c r="P16" s="728"/>
      <c r="V16" s="29"/>
    </row>
    <row r="17" spans="1:16" s="39" customFormat="1" ht="12.75" x14ac:dyDescent="0.2">
      <c r="A17" s="1007" t="s">
        <v>169</v>
      </c>
      <c r="B17" s="681"/>
      <c r="C17" s="640"/>
      <c r="D17" s="1012"/>
      <c r="E17" s="1013"/>
      <c r="F17" s="1012"/>
      <c r="G17" s="1017"/>
      <c r="H17" s="683">
        <f>-180+Azi_pv</f>
        <v>-160</v>
      </c>
      <c r="I17" s="684">
        <f>+$J$5</f>
        <v>18.262889942194128</v>
      </c>
      <c r="J17" s="1025">
        <f t="shared" ref="J17:J33" si="0">H18-H17</f>
        <v>82.709518625889586</v>
      </c>
      <c r="K17" s="1027" t="str">
        <f>A17</f>
        <v>Arrière PV</v>
      </c>
      <c r="L17" s="638"/>
      <c r="M17" s="638"/>
      <c r="N17" s="632"/>
      <c r="O17" s="730"/>
      <c r="P17" s="731"/>
    </row>
    <row r="18" spans="1:16" s="19" customFormat="1" ht="12.75" x14ac:dyDescent="0.2">
      <c r="A18" s="1011" t="s">
        <v>303</v>
      </c>
      <c r="B18" s="685">
        <v>1</v>
      </c>
      <c r="C18" s="640">
        <v>0.87</v>
      </c>
      <c r="D18" s="1012">
        <f t="shared" ref="D18:D33" si="1">C18*CHOOSE(B18,Rata1,Rata2,Rata3)</f>
        <v>1.3204951152714348</v>
      </c>
      <c r="E18" s="1013">
        <f t="shared" ref="E18:E33" si="2">SQRT(+POWER(L18-CHOOSE(B18,$R$10,$R$11,$R$12),2)+POWER(M18-CHOOSE(B18,$S$10,$S$11,$S$12),2))</f>
        <v>54.178109970724968</v>
      </c>
      <c r="F18" s="1012">
        <f t="shared" ref="F18:F33" si="3">E18*TAN(RADIANS(D18))+CHOOSE(B18,Hobs1,Hobs2,Hobs3)</f>
        <v>4.4702919204338967</v>
      </c>
      <c r="G18" s="1014">
        <f t="shared" ref="G18:G33" si="4">SQRT(POWER($M18-$M$16,2)+POWER($L18-$L$16,2))</f>
        <v>18.226587722335541</v>
      </c>
      <c r="H18" s="1015">
        <f>-90-DEGREES(ATAN2($L18-$L$16,$M18-$M$16))</f>
        <v>-77.290481374110414</v>
      </c>
      <c r="I18" s="890">
        <f>DEGREES(ATAN2(G18,$F18-I$14))</f>
        <v>8.5165300307350549</v>
      </c>
      <c r="J18" s="1025">
        <f t="shared" si="0"/>
        <v>28.290481374110414</v>
      </c>
      <c r="K18" s="1027" t="str">
        <f>A18</f>
        <v>Arbre 0</v>
      </c>
      <c r="L18" s="638">
        <v>4890.5</v>
      </c>
      <c r="M18" s="638">
        <v>5365.9</v>
      </c>
      <c r="N18" s="632">
        <v>204.5</v>
      </c>
      <c r="O18" s="29"/>
      <c r="P18" s="728"/>
    </row>
    <row r="19" spans="1:16" s="34" customFormat="1" ht="12.75" x14ac:dyDescent="0.2">
      <c r="A19" s="1022" t="s">
        <v>162</v>
      </c>
      <c r="B19" s="685">
        <f>2</f>
        <v>2</v>
      </c>
      <c r="C19" s="640">
        <v>24.62</v>
      </c>
      <c r="D19" s="1012">
        <f t="shared" si="1"/>
        <v>10.417329401865167</v>
      </c>
      <c r="E19" s="1013">
        <f t="shared" si="2"/>
        <v>30.781502562415838</v>
      </c>
      <c r="F19" s="1012">
        <f t="shared" si="3"/>
        <v>6.0397470625788072</v>
      </c>
      <c r="G19" s="1014">
        <f t="shared" si="4"/>
        <v>32.317588090697328</v>
      </c>
      <c r="H19" s="1023">
        <v>-49</v>
      </c>
      <c r="I19" s="890">
        <f>DEGREES(ATAN2(G19,$F19-I$14))</f>
        <v>7.5768772100888402</v>
      </c>
      <c r="J19" s="1025">
        <f t="shared" si="0"/>
        <v>8.2048937322280509</v>
      </c>
      <c r="K19" s="1028" t="str">
        <f>A19</f>
        <v>Arbre 2</v>
      </c>
      <c r="L19" s="638">
        <v>4895</v>
      </c>
      <c r="M19" s="638">
        <v>5346.5</v>
      </c>
      <c r="N19" s="632">
        <v>205.9</v>
      </c>
      <c r="O19" s="735"/>
      <c r="P19" s="728"/>
    </row>
    <row r="20" spans="1:16" s="34" customFormat="1" ht="12.75" x14ac:dyDescent="0.2">
      <c r="A20" s="1022" t="s">
        <v>161</v>
      </c>
      <c r="B20" s="685">
        <v>1</v>
      </c>
      <c r="C20" s="640">
        <v>0.38</v>
      </c>
      <c r="D20" s="1012">
        <f t="shared" si="1"/>
        <v>0.57676798138292562</v>
      </c>
      <c r="E20" s="1013">
        <f t="shared" si="2"/>
        <v>47.135566189449733</v>
      </c>
      <c r="F20" s="1012">
        <f t="shared" si="3"/>
        <v>3.6959347904367914</v>
      </c>
      <c r="G20" s="1014">
        <f t="shared" si="4"/>
        <v>12.826086698599948</v>
      </c>
      <c r="H20" s="1015">
        <f t="shared" ref="H20:H30" si="5">-90-DEGREES(ATAN2(($L20-$L$16),($M20-$M$16)))</f>
        <v>-40.795106267771949</v>
      </c>
      <c r="I20" s="890">
        <f>DEGREES(ATAN2(G20,$F20-I$14))</f>
        <v>8.6665342510555572</v>
      </c>
      <c r="J20" s="1025">
        <f t="shared" si="0"/>
        <v>12.276794212043619</v>
      </c>
      <c r="K20" s="1028" t="str">
        <f>A20</f>
        <v>Arbre 1</v>
      </c>
      <c r="L20" s="638">
        <v>4881.1000000000004</v>
      </c>
      <c r="M20" s="638">
        <v>5360.2</v>
      </c>
      <c r="N20" s="632">
        <v>205.21</v>
      </c>
      <c r="O20" s="735"/>
      <c r="P20" s="728"/>
    </row>
    <row r="21" spans="1:16" s="34" customFormat="1" ht="12.75" x14ac:dyDescent="0.2">
      <c r="A21" s="1011" t="s">
        <v>163</v>
      </c>
      <c r="B21" s="685">
        <f>2</f>
        <v>2</v>
      </c>
      <c r="C21" s="640">
        <v>22.05</v>
      </c>
      <c r="D21" s="1012">
        <f t="shared" si="1"/>
        <v>9.3298989972025552</v>
      </c>
      <c r="E21" s="1013">
        <f t="shared" si="2"/>
        <v>35.582705068614779</v>
      </c>
      <c r="F21" s="1012">
        <f t="shared" si="3"/>
        <v>6.2266193138683672</v>
      </c>
      <c r="G21" s="1014">
        <f t="shared" si="4"/>
        <v>38.70646586812078</v>
      </c>
      <c r="H21" s="1015">
        <f t="shared" si="5"/>
        <v>-28.51831205572833</v>
      </c>
      <c r="I21" s="890">
        <f>DEGREES(ATAN2(G21,$F21-I$14))</f>
        <v>6.610508690823294</v>
      </c>
      <c r="J21" s="1025">
        <f t="shared" si="0"/>
        <v>8.6797490353349929</v>
      </c>
      <c r="K21" s="1028" t="str">
        <f t="shared" ref="K21:K35" si="6">A21</f>
        <v>Arbre 3</v>
      </c>
      <c r="L21" s="638">
        <v>4891.2</v>
      </c>
      <c r="M21" s="638">
        <v>5335.9</v>
      </c>
      <c r="N21" s="632">
        <v>206.5</v>
      </c>
      <c r="O21" s="735"/>
      <c r="P21" s="728"/>
    </row>
    <row r="22" spans="1:16" s="34" customFormat="1" ht="12.75" x14ac:dyDescent="0.2">
      <c r="A22" s="1011" t="s">
        <v>164</v>
      </c>
      <c r="B22" s="685">
        <f>2</f>
        <v>2</v>
      </c>
      <c r="C22" s="640">
        <v>27.59</v>
      </c>
      <c r="D22" s="1012">
        <f t="shared" si="1"/>
        <v>11.674009674957755</v>
      </c>
      <c r="E22" s="1013">
        <f t="shared" si="2"/>
        <v>45.478466332980489</v>
      </c>
      <c r="F22" s="1012">
        <f t="shared" si="3"/>
        <v>9.777285103663985</v>
      </c>
      <c r="G22" s="1014">
        <f t="shared" si="4"/>
        <v>49.444398064897221</v>
      </c>
      <c r="H22" s="1015">
        <f t="shared" si="5"/>
        <v>-19.838563020393337</v>
      </c>
      <c r="I22" s="890">
        <f>DEGREES(ATAN2(G22,$F22-I$14))</f>
        <v>9.2317336967595711</v>
      </c>
      <c r="J22" s="1025">
        <f t="shared" si="0"/>
        <v>10.967018793138877</v>
      </c>
      <c r="K22" s="1028" t="str">
        <f t="shared" si="6"/>
        <v>Arbre 4</v>
      </c>
      <c r="L22" s="638">
        <v>4889.5</v>
      </c>
      <c r="M22" s="638">
        <v>5323.4</v>
      </c>
      <c r="N22" s="632">
        <v>207.4</v>
      </c>
      <c r="O22" s="735"/>
      <c r="P22" s="728"/>
    </row>
    <row r="23" spans="1:16" s="34" customFormat="1" ht="12.75" x14ac:dyDescent="0.2">
      <c r="A23" s="1011" t="s">
        <v>165</v>
      </c>
      <c r="B23" s="685">
        <f>2</f>
        <v>2</v>
      </c>
      <c r="C23" s="640">
        <v>23.99</v>
      </c>
      <c r="D23" s="1012">
        <f t="shared" si="1"/>
        <v>10.150760859087949</v>
      </c>
      <c r="E23" s="1013">
        <f t="shared" si="2"/>
        <v>51.471515423581415</v>
      </c>
      <c r="F23" s="1012">
        <f t="shared" si="3"/>
        <v>9.5961885356225132</v>
      </c>
      <c r="G23" s="1014">
        <f t="shared" si="4"/>
        <v>56.283341229887483</v>
      </c>
      <c r="H23" s="1015">
        <f t="shared" si="5"/>
        <v>-8.8715442272544607</v>
      </c>
      <c r="I23" s="890">
        <f t="shared" ref="I23:I33" si="7">DEGREES(ATAN2(G23,$F23-I$14))</f>
        <v>7.9452342810500545</v>
      </c>
      <c r="J23" s="1025">
        <f t="shared" si="0"/>
        <v>7.8715442272544607</v>
      </c>
      <c r="K23" s="1028" t="str">
        <f t="shared" si="6"/>
        <v>Arbre 5</v>
      </c>
      <c r="L23" s="638">
        <v>4881.3999999999996</v>
      </c>
      <c r="M23" s="638">
        <v>5314.3</v>
      </c>
      <c r="N23" s="632">
        <v>208.2</v>
      </c>
      <c r="O23" s="735"/>
      <c r="P23" s="728"/>
    </row>
    <row r="24" spans="1:16" s="34" customFormat="1" ht="12.75" x14ac:dyDescent="0.2">
      <c r="A24" s="1011" t="s">
        <v>304</v>
      </c>
      <c r="B24" s="685">
        <v>2</v>
      </c>
      <c r="C24" s="640">
        <v>12.52</v>
      </c>
      <c r="D24" s="1012">
        <f t="shared" si="1"/>
        <v>5.2975208818583219</v>
      </c>
      <c r="E24" s="1013">
        <f t="shared" si="2"/>
        <v>189.70958568295907</v>
      </c>
      <c r="F24" s="1012">
        <f t="shared" si="3"/>
        <v>17.97120705892646</v>
      </c>
      <c r="G24" s="1014">
        <f t="shared" si="4"/>
        <v>194.67835139018388</v>
      </c>
      <c r="H24" s="1023">
        <v>-1</v>
      </c>
      <c r="I24" s="890">
        <f t="shared" si="7"/>
        <v>4.7657101785319922</v>
      </c>
      <c r="J24" s="1025">
        <f t="shared" si="0"/>
        <v>18.03207550221515</v>
      </c>
      <c r="K24" s="1028" t="str">
        <f t="shared" si="6"/>
        <v>Creux 2 -10,4°</v>
      </c>
      <c r="L24" s="638">
        <v>4898.8999999999996</v>
      </c>
      <c r="M24" s="638">
        <v>5177</v>
      </c>
      <c r="N24" s="632">
        <v>218.4</v>
      </c>
      <c r="O24" s="735"/>
      <c r="P24" s="728"/>
    </row>
    <row r="25" spans="1:16" s="34" customFormat="1" ht="12.75" x14ac:dyDescent="0.2">
      <c r="A25" s="1011" t="s">
        <v>166</v>
      </c>
      <c r="B25" s="685">
        <v>2</v>
      </c>
      <c r="C25" s="640">
        <v>24.8</v>
      </c>
      <c r="D25" s="1012">
        <f t="shared" si="1"/>
        <v>10.493491842658656</v>
      </c>
      <c r="E25" s="1013">
        <f t="shared" si="2"/>
        <v>264.12691135134259</v>
      </c>
      <c r="F25" s="1012">
        <f t="shared" si="3"/>
        <v>49.302657711270733</v>
      </c>
      <c r="G25" s="1014">
        <f t="shared" si="4"/>
        <v>270.08570806319977</v>
      </c>
      <c r="H25" s="1015">
        <f t="shared" si="5"/>
        <v>17.03207550221515</v>
      </c>
      <c r="I25" s="890">
        <f t="shared" si="7"/>
        <v>9.9873105966891735</v>
      </c>
      <c r="J25" s="1025">
        <f t="shared" si="0"/>
        <v>9.9679244977848498</v>
      </c>
      <c r="K25" s="1028" t="str">
        <f t="shared" si="6"/>
        <v>Arbre 6</v>
      </c>
      <c r="L25" s="638">
        <v>4793.6099999999997</v>
      </c>
      <c r="M25" s="638">
        <v>5111.67</v>
      </c>
      <c r="N25" s="632">
        <v>234.77</v>
      </c>
      <c r="O25" s="735"/>
      <c r="P25" s="728"/>
    </row>
    <row r="26" spans="1:16" s="34" customFormat="1" ht="12.75" x14ac:dyDescent="0.2">
      <c r="A26" s="1011" t="s">
        <v>305</v>
      </c>
      <c r="B26" s="685">
        <v>2</v>
      </c>
      <c r="C26" s="640">
        <v>23</v>
      </c>
      <c r="D26" s="1012">
        <f t="shared" si="1"/>
        <v>9.731867434723755</v>
      </c>
      <c r="E26" s="1013">
        <f t="shared" si="2"/>
        <v>221.74440466446981</v>
      </c>
      <c r="F26" s="1012">
        <f t="shared" si="3"/>
        <v>38.411073239343217</v>
      </c>
      <c r="G26" s="1014">
        <f t="shared" si="4"/>
        <v>227.78117218067035</v>
      </c>
      <c r="H26" s="1023">
        <v>27</v>
      </c>
      <c r="I26" s="890">
        <f t="shared" si="7"/>
        <v>9.1454890980882055</v>
      </c>
      <c r="J26" s="1025">
        <f t="shared" si="0"/>
        <v>7.759981957521461</v>
      </c>
      <c r="K26" s="1028" t="str">
        <f t="shared" si="6"/>
        <v>Arbre 7</v>
      </c>
      <c r="L26" s="638">
        <v>4763.12</v>
      </c>
      <c r="M26" s="638">
        <v>5170.2299999999996</v>
      </c>
      <c r="N26" s="632">
        <v>234.34</v>
      </c>
      <c r="O26" s="735"/>
      <c r="P26" s="728"/>
    </row>
    <row r="27" spans="1:16" s="34" customFormat="1" ht="12.75" x14ac:dyDescent="0.2">
      <c r="A27" s="1011" t="s">
        <v>306</v>
      </c>
      <c r="B27" s="685">
        <v>2</v>
      </c>
      <c r="C27" s="640">
        <v>19.12</v>
      </c>
      <c r="D27" s="1012">
        <f t="shared" si="1"/>
        <v>8.0901437109529653</v>
      </c>
      <c r="E27" s="1013">
        <f t="shared" si="2"/>
        <v>215.93396884232885</v>
      </c>
      <c r="F27" s="1012">
        <f t="shared" si="3"/>
        <v>31.0747172761311</v>
      </c>
      <c r="G27" s="1014">
        <f t="shared" si="4"/>
        <v>221.91044702762403</v>
      </c>
      <c r="H27" s="1015">
        <f t="shared" si="5"/>
        <v>34.759981957521461</v>
      </c>
      <c r="I27" s="890">
        <f t="shared" si="7"/>
        <v>7.5301280426944439</v>
      </c>
      <c r="J27" s="1025">
        <f t="shared" si="0"/>
        <v>10.738124869316295</v>
      </c>
      <c r="K27" s="1028" t="str">
        <f t="shared" si="6"/>
        <v>Creux 3</v>
      </c>
      <c r="L27" s="638">
        <v>4746.2</v>
      </c>
      <c r="M27" s="638">
        <v>5187.6000000000004</v>
      </c>
      <c r="N27" s="632">
        <v>233.5</v>
      </c>
      <c r="O27" s="735"/>
      <c r="P27" s="728"/>
    </row>
    <row r="28" spans="1:16" s="34" customFormat="1" ht="12.75" x14ac:dyDescent="0.2">
      <c r="A28" s="1011" t="s">
        <v>167</v>
      </c>
      <c r="B28" s="685">
        <v>2</v>
      </c>
      <c r="C28" s="640">
        <v>23.39</v>
      </c>
      <c r="D28" s="1012">
        <f t="shared" si="1"/>
        <v>9.8968860564429839</v>
      </c>
      <c r="E28" s="1013">
        <f t="shared" si="2"/>
        <v>196.01620545250768</v>
      </c>
      <c r="F28" s="1012">
        <f t="shared" si="3"/>
        <v>34.579986735117373</v>
      </c>
      <c r="G28" s="1014">
        <f t="shared" si="4"/>
        <v>201.71690310928284</v>
      </c>
      <c r="H28" s="1015">
        <f t="shared" si="5"/>
        <v>45.498106826837756</v>
      </c>
      <c r="I28" s="890">
        <f t="shared" si="7"/>
        <v>9.2465049302300404</v>
      </c>
      <c r="J28" s="1025">
        <f t="shared" si="0"/>
        <v>7.5018931731622445</v>
      </c>
      <c r="K28" s="1028" t="str">
        <f t="shared" si="6"/>
        <v>Arbre 8</v>
      </c>
      <c r="L28" s="638">
        <v>4728.8500000000004</v>
      </c>
      <c r="M28" s="638">
        <v>5228.5200000000004</v>
      </c>
      <c r="N28" s="632">
        <v>229.3</v>
      </c>
      <c r="O28" s="735"/>
      <c r="P28" s="728"/>
    </row>
    <row r="29" spans="1:16" s="34" customFormat="1" ht="12.75" x14ac:dyDescent="0.2">
      <c r="A29" s="1011" t="s">
        <v>307</v>
      </c>
      <c r="B29" s="685">
        <v>2</v>
      </c>
      <c r="C29" s="640">
        <v>19.440000000000001</v>
      </c>
      <c r="D29" s="1012">
        <f t="shared" si="1"/>
        <v>8.2255436056969469</v>
      </c>
      <c r="E29" s="1013">
        <f t="shared" si="2"/>
        <v>122.40331245517784</v>
      </c>
      <c r="F29" s="1012">
        <f t="shared" si="3"/>
        <v>18.074953372915854</v>
      </c>
      <c r="G29" s="1014">
        <f t="shared" si="4"/>
        <v>127.89430988124518</v>
      </c>
      <c r="H29" s="1023">
        <v>53</v>
      </c>
      <c r="I29" s="890">
        <f t="shared" si="7"/>
        <v>7.2781285896789738</v>
      </c>
      <c r="J29" s="1025">
        <f t="shared" si="0"/>
        <v>17.962212947360769</v>
      </c>
      <c r="K29" s="1027" t="str">
        <f t="shared" si="6"/>
        <v>Creux 4</v>
      </c>
      <c r="L29" s="638">
        <v>4774</v>
      </c>
      <c r="M29" s="638">
        <v>5288.6</v>
      </c>
      <c r="N29" s="632">
        <v>220.6</v>
      </c>
      <c r="O29" s="735"/>
      <c r="P29" s="728"/>
    </row>
    <row r="30" spans="1:16" s="34" customFormat="1" ht="12.75" x14ac:dyDescent="0.2">
      <c r="A30" s="1011" t="s">
        <v>308</v>
      </c>
      <c r="B30" s="1024">
        <v>2</v>
      </c>
      <c r="C30" s="640">
        <v>25.68</v>
      </c>
      <c r="D30" s="1012">
        <f t="shared" si="1"/>
        <v>10.865841553204609</v>
      </c>
      <c r="E30" s="1013">
        <f t="shared" si="2"/>
        <v>86.264818437182171</v>
      </c>
      <c r="F30" s="1012">
        <f t="shared" si="3"/>
        <v>16.939315497020761</v>
      </c>
      <c r="G30" s="1014">
        <f t="shared" si="4"/>
        <v>90.468284497939322</v>
      </c>
      <c r="H30" s="1015">
        <f t="shared" si="5"/>
        <v>70.962212947360769</v>
      </c>
      <c r="I30" s="890">
        <f t="shared" si="7"/>
        <v>9.5364569405200825</v>
      </c>
      <c r="J30" s="1025">
        <f t="shared" si="0"/>
        <v>24.037787052639231</v>
      </c>
      <c r="K30" s="1028" t="str">
        <f t="shared" si="6"/>
        <v>Arbre 9</v>
      </c>
      <c r="L30" s="638">
        <v>4787.2</v>
      </c>
      <c r="M30" s="638">
        <v>5340.4</v>
      </c>
      <c r="N30" s="632">
        <v>211.6</v>
      </c>
      <c r="O30" s="735"/>
      <c r="P30" s="728"/>
    </row>
    <row r="31" spans="1:16" s="34" customFormat="1" ht="12.75" x14ac:dyDescent="0.2">
      <c r="A31" s="1018" t="s">
        <v>309</v>
      </c>
      <c r="B31" s="1024">
        <v>2</v>
      </c>
      <c r="C31" s="640">
        <v>13.34</v>
      </c>
      <c r="D31" s="1012">
        <f t="shared" si="1"/>
        <v>5.6444831121397776</v>
      </c>
      <c r="E31" s="1013">
        <f t="shared" si="2"/>
        <v>141.91438581060021</v>
      </c>
      <c r="F31" s="1012">
        <f t="shared" si="3"/>
        <v>14.406733970600733</v>
      </c>
      <c r="G31" s="1014">
        <f t="shared" si="4"/>
        <v>143.85672907445112</v>
      </c>
      <c r="H31" s="1023">
        <v>95</v>
      </c>
      <c r="I31" s="890">
        <f t="shared" si="7"/>
        <v>5.0316060795292854</v>
      </c>
      <c r="J31" s="1029">
        <f t="shared" si="0"/>
        <v>8.4180788604651866</v>
      </c>
      <c r="K31" s="1027" t="str">
        <f t="shared" si="6"/>
        <v>Creux 5</v>
      </c>
      <c r="L31" s="638">
        <v>4729.8</v>
      </c>
      <c r="M31" s="638">
        <v>5386.3</v>
      </c>
      <c r="N31" s="632">
        <v>209.8</v>
      </c>
      <c r="O31" s="735"/>
      <c r="P31" s="728"/>
    </row>
    <row r="32" spans="1:16" s="34" customFormat="1" ht="12.75" x14ac:dyDescent="0.2">
      <c r="A32" s="1018" t="s">
        <v>310</v>
      </c>
      <c r="B32" s="685">
        <v>1</v>
      </c>
      <c r="C32" s="640">
        <v>2.66</v>
      </c>
      <c r="D32" s="1012">
        <f t="shared" si="1"/>
        <v>4.0373758696804796</v>
      </c>
      <c r="E32" s="1013">
        <f t="shared" si="2"/>
        <v>62.672676662162857</v>
      </c>
      <c r="F32" s="1012">
        <f t="shared" si="3"/>
        <v>7.6450142279424842</v>
      </c>
      <c r="G32" s="1014">
        <f t="shared" si="4"/>
        <v>13.488191131504543</v>
      </c>
      <c r="H32" s="1015">
        <f>-90-DEGREES(ATAN2(($L32-$L$16),($M32-$M$16)))+360</f>
        <v>103.41807886046519</v>
      </c>
      <c r="I32" s="890">
        <f t="shared" si="7"/>
        <v>23.640060919050594</v>
      </c>
      <c r="J32" s="1029">
        <f t="shared" si="0"/>
        <v>14.668703429260233</v>
      </c>
      <c r="K32" s="1027" t="str">
        <f t="shared" si="6"/>
        <v xml:space="preserve">Arbre 10 </v>
      </c>
      <c r="L32" s="638">
        <v>4859.6000000000004</v>
      </c>
      <c r="M32" s="638">
        <v>5373.04</v>
      </c>
      <c r="N32" s="632">
        <v>204.4</v>
      </c>
      <c r="O32" s="735"/>
      <c r="P32" s="728"/>
    </row>
    <row r="33" spans="1:30" s="34" customFormat="1" ht="12.75" x14ac:dyDescent="0.2">
      <c r="A33" s="1018" t="s">
        <v>311</v>
      </c>
      <c r="B33" s="685">
        <v>1</v>
      </c>
      <c r="C33" s="640">
        <v>5.32</v>
      </c>
      <c r="D33" s="1012">
        <f t="shared" si="1"/>
        <v>8.0747517393609591</v>
      </c>
      <c r="E33" s="1013">
        <f t="shared" si="2"/>
        <v>70.957998844386736</v>
      </c>
      <c r="F33" s="1012">
        <f t="shared" si="3"/>
        <v>13.288347211867476</v>
      </c>
      <c r="G33" s="1014">
        <f t="shared" si="4"/>
        <v>21.218824189855695</v>
      </c>
      <c r="H33" s="1015">
        <f>-90-DEGREES(ATAN2(($L33-$L$16),($M33-$M$16)))+360</f>
        <v>118.08678228972542</v>
      </c>
      <c r="I33" s="890">
        <f t="shared" si="7"/>
        <v>28.555301252061604</v>
      </c>
      <c r="J33" s="1029">
        <f t="shared" si="0"/>
        <v>81.91321771027458</v>
      </c>
      <c r="K33" s="737" t="str">
        <f t="shared" si="6"/>
        <v>Arbre 11</v>
      </c>
      <c r="L33" s="631">
        <v>4854</v>
      </c>
      <c r="M33" s="638">
        <v>5379.9</v>
      </c>
      <c r="N33" s="632">
        <v>204.12</v>
      </c>
      <c r="O33" s="735"/>
      <c r="P33" s="728"/>
    </row>
    <row r="34" spans="1:30" s="34" customFormat="1" ht="12.75" x14ac:dyDescent="0.2">
      <c r="A34" s="1016" t="s">
        <v>169</v>
      </c>
      <c r="B34" s="685"/>
      <c r="C34" s="640"/>
      <c r="D34" s="1012"/>
      <c r="E34" s="1013"/>
      <c r="F34" s="1012"/>
      <c r="G34" s="1014"/>
      <c r="H34" s="683">
        <f>+H$17+360</f>
        <v>200</v>
      </c>
      <c r="I34" s="684">
        <f>+$J$5</f>
        <v>18.262889942194128</v>
      </c>
      <c r="J34" s="1029"/>
      <c r="K34" s="739" t="str">
        <f t="shared" si="6"/>
        <v>Arrière PV</v>
      </c>
      <c r="L34" s="631"/>
      <c r="M34" s="638"/>
      <c r="N34" s="632"/>
      <c r="O34" s="735"/>
      <c r="P34" s="728"/>
    </row>
    <row r="35" spans="1:30" s="34" customFormat="1" ht="12.75" x14ac:dyDescent="0.2">
      <c r="A35" s="1018"/>
      <c r="B35" s="685"/>
      <c r="C35" s="640"/>
      <c r="D35" s="1012"/>
      <c r="E35" s="1013"/>
      <c r="F35" s="1012"/>
      <c r="G35" s="1014"/>
      <c r="H35" s="683">
        <f t="shared" ref="H35:I38" si="8">H34</f>
        <v>200</v>
      </c>
      <c r="I35" s="684">
        <f t="shared" si="8"/>
        <v>18.262889942194128</v>
      </c>
      <c r="J35" s="1029"/>
      <c r="K35" s="739">
        <f t="shared" si="6"/>
        <v>0</v>
      </c>
      <c r="L35" s="631"/>
      <c r="M35" s="638"/>
      <c r="N35" s="632"/>
      <c r="O35" s="735"/>
      <c r="P35" s="728"/>
    </row>
    <row r="36" spans="1:30" s="34" customFormat="1" ht="12.75" x14ac:dyDescent="0.2">
      <c r="A36" s="1018"/>
      <c r="B36" s="685"/>
      <c r="C36" s="640"/>
      <c r="D36" s="1012"/>
      <c r="E36" s="1013"/>
      <c r="F36" s="1012"/>
      <c r="G36" s="1014"/>
      <c r="H36" s="683">
        <f t="shared" si="8"/>
        <v>200</v>
      </c>
      <c r="I36" s="684">
        <f t="shared" si="8"/>
        <v>18.262889942194128</v>
      </c>
      <c r="J36" s="1029"/>
      <c r="K36" s="739">
        <f>A36</f>
        <v>0</v>
      </c>
      <c r="L36" s="631"/>
      <c r="M36" s="638"/>
      <c r="N36" s="632"/>
      <c r="O36" s="735"/>
      <c r="P36" s="728"/>
    </row>
    <row r="37" spans="1:30" s="19" customFormat="1" ht="12.75" x14ac:dyDescent="0.2">
      <c r="A37" s="1016"/>
      <c r="B37" s="682"/>
      <c r="C37" s="640"/>
      <c r="D37" s="1012"/>
      <c r="E37" s="1013"/>
      <c r="F37" s="1012"/>
      <c r="G37" s="1017"/>
      <c r="H37" s="683">
        <f t="shared" si="8"/>
        <v>200</v>
      </c>
      <c r="I37" s="684">
        <f t="shared" si="8"/>
        <v>18.262889942194128</v>
      </c>
      <c r="J37" s="1029"/>
      <c r="K37" s="82">
        <f>A37</f>
        <v>0</v>
      </c>
      <c r="L37" s="631"/>
      <c r="M37" s="638"/>
      <c r="N37" s="632"/>
      <c r="O37" s="29"/>
      <c r="P37" s="728"/>
    </row>
    <row r="38" spans="1:30" s="19" customFormat="1" ht="12.75" x14ac:dyDescent="0.2">
      <c r="A38" s="1008"/>
      <c r="B38" s="686"/>
      <c r="C38" s="640"/>
      <c r="D38" s="1009"/>
      <c r="E38" s="1010"/>
      <c r="F38" s="1009"/>
      <c r="G38" s="935"/>
      <c r="H38" s="683">
        <f t="shared" si="8"/>
        <v>200</v>
      </c>
      <c r="I38" s="684">
        <f t="shared" si="8"/>
        <v>18.262889942194128</v>
      </c>
      <c r="J38" s="1029"/>
      <c r="K38" s="937">
        <f>A38</f>
        <v>0</v>
      </c>
      <c r="L38" s="631"/>
      <c r="M38" s="638"/>
      <c r="N38" s="632"/>
      <c r="O38" s="29"/>
      <c r="P38" s="728"/>
    </row>
    <row r="39" spans="1:30" s="19" customFormat="1" ht="12.75" x14ac:dyDescent="0.2">
      <c r="A39" s="737"/>
      <c r="B39" s="82"/>
      <c r="C39" s="738"/>
      <c r="D39" s="741"/>
      <c r="E39" s="742" t="s">
        <v>195</v>
      </c>
      <c r="F39" s="743">
        <f>AVERAGE(F16:F38)</f>
        <v>16.666584768486704</v>
      </c>
      <c r="G39" s="743">
        <f>AVERAGE(G16:G38)</f>
        <v>107.55646176378093</v>
      </c>
      <c r="H39" s="721">
        <f>AVERAGE(H16:H38)</f>
        <v>53.611055974493972</v>
      </c>
      <c r="I39" s="744">
        <f>AVERAGE(I16:I38)</f>
        <v>12.401884292761435</v>
      </c>
      <c r="J39" s="54"/>
      <c r="K39" s="82"/>
      <c r="L39" s="683"/>
      <c r="M39" s="687"/>
      <c r="N39" s="684"/>
      <c r="O39" s="29"/>
      <c r="P39" s="728"/>
    </row>
    <row r="40" spans="1:30" s="39" customFormat="1" ht="12.75" x14ac:dyDescent="0.2">
      <c r="A40" s="41" t="s">
        <v>196</v>
      </c>
      <c r="B40" s="41"/>
      <c r="C40" s="746"/>
      <c r="D40" s="746"/>
      <c r="E40" s="747"/>
      <c r="F40" s="41"/>
      <c r="G40" s="41"/>
      <c r="H40" s="265"/>
      <c r="I40" s="265"/>
      <c r="J40" s="41"/>
      <c r="K40" s="748"/>
      <c r="L40" s="636"/>
      <c r="M40" s="636"/>
      <c r="N40" s="688"/>
      <c r="O40" s="730"/>
      <c r="P40" s="731"/>
    </row>
    <row r="41" spans="1:30" s="39" customFormat="1" ht="12.75" x14ac:dyDescent="0.2">
      <c r="A41" s="1030"/>
      <c r="B41" s="1031"/>
      <c r="C41" s="1031"/>
      <c r="D41" s="1032"/>
      <c r="E41" s="636"/>
      <c r="F41" s="1032"/>
      <c r="G41" s="636"/>
      <c r="H41" s="1033"/>
      <c r="I41" s="1034"/>
      <c r="J41" s="1035"/>
      <c r="K41" s="1031"/>
      <c r="L41" s="631"/>
      <c r="M41" s="638"/>
      <c r="N41" s="632"/>
      <c r="O41" s="730"/>
      <c r="P41" s="731"/>
    </row>
    <row r="42" spans="1:30" s="39" customFormat="1" ht="12.75" x14ac:dyDescent="0.2">
      <c r="A42" s="1030"/>
      <c r="B42" s="1031"/>
      <c r="C42" s="1031"/>
      <c r="D42" s="1032"/>
      <c r="E42" s="636"/>
      <c r="F42" s="1032"/>
      <c r="G42" s="636"/>
      <c r="H42" s="1033"/>
      <c r="I42" s="1034"/>
      <c r="J42" s="1035"/>
      <c r="K42" s="1031"/>
      <c r="L42" s="631"/>
      <c r="M42" s="638"/>
      <c r="N42" s="632"/>
      <c r="O42" s="730"/>
      <c r="P42" s="731"/>
    </row>
    <row r="43" spans="1:30" s="39" customFormat="1" ht="12.75" x14ac:dyDescent="0.2">
      <c r="A43" s="1030"/>
      <c r="B43" s="1031"/>
      <c r="C43" s="1032"/>
      <c r="D43" s="1032"/>
      <c r="E43" s="636"/>
      <c r="F43" s="1032"/>
      <c r="G43" s="636"/>
      <c r="H43" s="1033"/>
      <c r="I43" s="1034"/>
      <c r="J43" s="1035"/>
      <c r="K43" s="1031"/>
      <c r="L43" s="631"/>
      <c r="M43" s="638"/>
      <c r="N43" s="632"/>
      <c r="O43" s="730"/>
      <c r="P43" s="731"/>
    </row>
    <row r="44" spans="1:30" s="34" customFormat="1" ht="12.75" x14ac:dyDescent="0.2">
      <c r="A44" s="1036"/>
      <c r="B44" s="1037"/>
      <c r="C44" s="1032"/>
      <c r="D44" s="1038"/>
      <c r="E44" s="1039"/>
      <c r="F44" s="1038"/>
      <c r="G44" s="1040"/>
      <c r="H44" s="1041"/>
      <c r="I44" s="1042"/>
      <c r="J44" s="1035"/>
      <c r="K44" s="1031"/>
      <c r="L44" s="631"/>
      <c r="M44" s="638"/>
      <c r="N44" s="632"/>
      <c r="O44" s="736"/>
      <c r="P44" s="732"/>
      <c r="Q44" s="750"/>
      <c r="R44" s="736"/>
      <c r="S44" s="732"/>
      <c r="T44" s="751"/>
      <c r="U44" s="752"/>
      <c r="V44" s="753"/>
      <c r="W44" s="753"/>
      <c r="X44" s="753"/>
      <c r="Y44" s="735"/>
    </row>
    <row r="45" spans="1:30" ht="21" x14ac:dyDescent="0.35">
      <c r="A45" s="689" t="s">
        <v>176</v>
      </c>
      <c r="F45" s="15"/>
      <c r="K45" s="15"/>
      <c r="M45" s="754"/>
      <c r="N45" s="10"/>
      <c r="O45" s="21"/>
      <c r="P45" s="21"/>
      <c r="R45" s="21"/>
      <c r="S45" s="342"/>
    </row>
    <row r="46" spans="1:30" s="36" customFormat="1" ht="15.75" x14ac:dyDescent="0.25">
      <c r="A46" s="739"/>
      <c r="B46" s="756"/>
      <c r="D46" s="739" t="s">
        <v>209</v>
      </c>
      <c r="E46" s="918">
        <v>1</v>
      </c>
      <c r="G46" s="735"/>
      <c r="I46" s="739" t="s">
        <v>197</v>
      </c>
      <c r="J46" s="757">
        <f>H1</f>
        <v>44547</v>
      </c>
      <c r="Q46" s="735"/>
      <c r="U46" s="735"/>
      <c r="W46" s="735"/>
      <c r="X46" s="758"/>
      <c r="Y46" s="735"/>
      <c r="AA46" s="735"/>
    </row>
    <row r="47" spans="1:30" s="4" customFormat="1" x14ac:dyDescent="0.25">
      <c r="A47" s="792" t="str">
        <f>Station</f>
        <v>Aureville</v>
      </c>
      <c r="B47" s="1176" t="s">
        <v>152</v>
      </c>
      <c r="C47" s="1177"/>
      <c r="D47" s="1177"/>
      <c r="E47" s="1178"/>
      <c r="F47" s="1177"/>
      <c r="G47" s="1177"/>
      <c r="H47" s="1177"/>
      <c r="I47" s="1177"/>
      <c r="J47" s="1177"/>
      <c r="K47" s="1177"/>
      <c r="L47" s="1179"/>
      <c r="P47" s="1176" t="s">
        <v>159</v>
      </c>
      <c r="Q47" s="1177"/>
      <c r="R47" s="1177"/>
      <c r="S47" s="1177"/>
      <c r="T47" s="1177"/>
      <c r="U47" s="1177"/>
      <c r="V47" s="1177"/>
      <c r="W47" s="1177"/>
      <c r="X47" s="1177"/>
      <c r="Y47" s="1177"/>
      <c r="Z47" s="1179"/>
    </row>
    <row r="48" spans="1:30" s="19" customFormat="1" ht="12.75" x14ac:dyDescent="0.2">
      <c r="A48" s="793" t="s">
        <v>208</v>
      </c>
      <c r="B48" s="759">
        <f>+C$48-$E$46</f>
        <v>-5</v>
      </c>
      <c r="C48" s="759">
        <f>+D$48-$E$46</f>
        <v>-4</v>
      </c>
      <c r="D48" s="759">
        <f>+E$48-$E$46</f>
        <v>-3</v>
      </c>
      <c r="E48" s="759">
        <f>+F$48-$E$46</f>
        <v>-2</v>
      </c>
      <c r="F48" s="759">
        <f>+G$48-$E$46</f>
        <v>-1</v>
      </c>
      <c r="G48" s="760">
        <v>0</v>
      </c>
      <c r="H48" s="759">
        <f>$E$46+G$48</f>
        <v>1</v>
      </c>
      <c r="I48" s="759">
        <f>$E$46+H$48</f>
        <v>2</v>
      </c>
      <c r="J48" s="759">
        <f>$E$46+I$48</f>
        <v>3</v>
      </c>
      <c r="K48" s="759">
        <f>$E$46+J$48</f>
        <v>4</v>
      </c>
      <c r="L48" s="759">
        <f>$E$46+K$48</f>
        <v>5</v>
      </c>
      <c r="M48" s="717" t="s">
        <v>158</v>
      </c>
      <c r="N48" s="794" t="str">
        <f>A47</f>
        <v>Aureville</v>
      </c>
      <c r="O48" s="761" t="s">
        <v>157</v>
      </c>
      <c r="P48" s="759">
        <f t="shared" ref="P48:Z48" si="9">B48</f>
        <v>-5</v>
      </c>
      <c r="Q48" s="759">
        <f t="shared" si="9"/>
        <v>-4</v>
      </c>
      <c r="R48" s="759">
        <f t="shared" si="9"/>
        <v>-3</v>
      </c>
      <c r="S48" s="759">
        <f t="shared" si="9"/>
        <v>-2</v>
      </c>
      <c r="T48" s="759">
        <f t="shared" si="9"/>
        <v>-1</v>
      </c>
      <c r="U48" s="760">
        <f t="shared" si="9"/>
        <v>0</v>
      </c>
      <c r="V48" s="759">
        <f t="shared" si="9"/>
        <v>1</v>
      </c>
      <c r="W48" s="759">
        <f t="shared" si="9"/>
        <v>2</v>
      </c>
      <c r="X48" s="759">
        <f t="shared" si="9"/>
        <v>3</v>
      </c>
      <c r="Y48" s="759">
        <f t="shared" si="9"/>
        <v>4</v>
      </c>
      <c r="Z48" s="759">
        <f t="shared" si="9"/>
        <v>5</v>
      </c>
      <c r="AA48" s="797" t="s">
        <v>208</v>
      </c>
      <c r="AD48" s="29"/>
    </row>
    <row r="49" spans="1:30" s="28" customFormat="1" ht="12.75" x14ac:dyDescent="0.2">
      <c r="A49" s="1043" t="str">
        <f t="shared" ref="A49:A70" si="10">A17</f>
        <v>Arrière PV</v>
      </c>
      <c r="B49" s="1044"/>
      <c r="C49" s="1045"/>
      <c r="D49" s="1045"/>
      <c r="E49" s="1045"/>
      <c r="F49" s="1046"/>
      <c r="G49" s="1047"/>
      <c r="H49" s="1048"/>
      <c r="I49" s="1049"/>
      <c r="J49" s="1049"/>
      <c r="K49" s="1049"/>
      <c r="L49" s="1050"/>
      <c r="M49" s="745">
        <f t="shared" ref="M49:M70" si="11">$G17</f>
        <v>0</v>
      </c>
      <c r="N49" s="762" t="str">
        <f t="shared" ref="N49:N70" si="12">K17</f>
        <v>Arrière PV</v>
      </c>
      <c r="O49" s="788">
        <f>H17</f>
        <v>-160</v>
      </c>
      <c r="P49" s="884">
        <f t="shared" ref="P49:Z49" si="13">$I17</f>
        <v>18.262889942194128</v>
      </c>
      <c r="Q49" s="885">
        <f t="shared" si="13"/>
        <v>18.262889942194128</v>
      </c>
      <c r="R49" s="885">
        <f t="shared" si="13"/>
        <v>18.262889942194128</v>
      </c>
      <c r="S49" s="885">
        <f t="shared" si="13"/>
        <v>18.262889942194128</v>
      </c>
      <c r="T49" s="886">
        <f t="shared" si="13"/>
        <v>18.262889942194128</v>
      </c>
      <c r="U49" s="887">
        <f t="shared" si="13"/>
        <v>18.262889942194128</v>
      </c>
      <c r="V49" s="884">
        <f t="shared" si="13"/>
        <v>18.262889942194128</v>
      </c>
      <c r="W49" s="885">
        <f t="shared" si="13"/>
        <v>18.262889942194128</v>
      </c>
      <c r="X49" s="885">
        <f t="shared" si="13"/>
        <v>18.262889942194128</v>
      </c>
      <c r="Y49" s="885">
        <f t="shared" si="13"/>
        <v>18.262889942194128</v>
      </c>
      <c r="Z49" s="886">
        <f t="shared" si="13"/>
        <v>18.262889942194128</v>
      </c>
      <c r="AD49" s="70"/>
    </row>
    <row r="50" spans="1:30" s="28" customFormat="1" ht="12.75" x14ac:dyDescent="0.2">
      <c r="A50" s="1054" t="str">
        <f t="shared" si="10"/>
        <v>Arbre 0</v>
      </c>
      <c r="B50" s="1055">
        <f t="shared" ref="B50:L50" si="14">MAX($F18+B$48,1)</f>
        <v>1</v>
      </c>
      <c r="C50" s="1056">
        <f t="shared" si="14"/>
        <v>1</v>
      </c>
      <c r="D50" s="1056">
        <f t="shared" si="14"/>
        <v>1.4702919204338967</v>
      </c>
      <c r="E50" s="1056">
        <f t="shared" si="14"/>
        <v>2.4702919204338967</v>
      </c>
      <c r="F50" s="1057">
        <f t="shared" si="14"/>
        <v>3.4702919204338967</v>
      </c>
      <c r="G50" s="1058">
        <f t="shared" si="14"/>
        <v>4.4702919204338967</v>
      </c>
      <c r="H50" s="1055">
        <f t="shared" si="14"/>
        <v>5.4702919204338967</v>
      </c>
      <c r="I50" s="1056">
        <f t="shared" si="14"/>
        <v>6.4702919204338967</v>
      </c>
      <c r="J50" s="1056">
        <f t="shared" si="14"/>
        <v>7.4702919204338967</v>
      </c>
      <c r="K50" s="1056">
        <f t="shared" si="14"/>
        <v>8.4702919204338976</v>
      </c>
      <c r="L50" s="1057">
        <f t="shared" si="14"/>
        <v>9.4702919204338976</v>
      </c>
      <c r="M50" s="753">
        <f t="shared" si="11"/>
        <v>18.226587722335541</v>
      </c>
      <c r="N50" s="763" t="str">
        <f>K18</f>
        <v>Arbre 0</v>
      </c>
      <c r="O50" s="722">
        <f t="shared" ref="O50:O70" si="15">$H18</f>
        <v>-77.290481374110414</v>
      </c>
      <c r="P50" s="888">
        <f t="shared" ref="P50:Z50" si="16">DEGREES(ATAN2($M50,B50-H_pv))</f>
        <v>-2.3278647318645218</v>
      </c>
      <c r="Q50" s="889">
        <f t="shared" si="16"/>
        <v>-2.3278647318645218</v>
      </c>
      <c r="R50" s="889">
        <f t="shared" si="16"/>
        <v>-0.85070835461390082</v>
      </c>
      <c r="S50" s="889">
        <f t="shared" si="16"/>
        <v>2.2915339970628024</v>
      </c>
      <c r="T50" s="890">
        <f t="shared" si="16"/>
        <v>5.4200584256745525</v>
      </c>
      <c r="U50" s="891">
        <f t="shared" si="16"/>
        <v>8.5165300307350549</v>
      </c>
      <c r="V50" s="888">
        <f t="shared" si="16"/>
        <v>11.563728053983908</v>
      </c>
      <c r="W50" s="889">
        <f t="shared" si="16"/>
        <v>14.546078373684997</v>
      </c>
      <c r="X50" s="889">
        <f t="shared" si="16"/>
        <v>17.450054352917732</v>
      </c>
      <c r="Y50" s="889">
        <f t="shared" si="16"/>
        <v>20.264427405920163</v>
      </c>
      <c r="Z50" s="890">
        <f t="shared" si="16"/>
        <v>22.980367536275452</v>
      </c>
      <c r="AD50" s="70"/>
    </row>
    <row r="51" spans="1:30" s="19" customFormat="1" ht="12.75" x14ac:dyDescent="0.2">
      <c r="A51" s="1054" t="str">
        <f t="shared" si="10"/>
        <v>Arbre 2</v>
      </c>
      <c r="B51" s="1055">
        <f t="shared" ref="B51:L51" si="17">MAX($F19+B$48,1)</f>
        <v>1.0397470625788072</v>
      </c>
      <c r="C51" s="1056">
        <f t="shared" si="17"/>
        <v>2.0397470625788072</v>
      </c>
      <c r="D51" s="1056">
        <f t="shared" si="17"/>
        <v>3.0397470625788072</v>
      </c>
      <c r="E51" s="1056">
        <f t="shared" si="17"/>
        <v>4.0397470625788072</v>
      </c>
      <c r="F51" s="1057">
        <f t="shared" si="17"/>
        <v>5.0397470625788072</v>
      </c>
      <c r="G51" s="1058">
        <f t="shared" si="17"/>
        <v>6.0397470625788072</v>
      </c>
      <c r="H51" s="1055">
        <f t="shared" si="17"/>
        <v>7.0397470625788072</v>
      </c>
      <c r="I51" s="1056">
        <f t="shared" si="17"/>
        <v>8.0397470625788081</v>
      </c>
      <c r="J51" s="1056">
        <f t="shared" si="17"/>
        <v>9.0397470625788081</v>
      </c>
      <c r="K51" s="1056">
        <f t="shared" si="17"/>
        <v>10.039747062578808</v>
      </c>
      <c r="L51" s="1057">
        <f t="shared" si="17"/>
        <v>11.039747062578808</v>
      </c>
      <c r="M51" s="753">
        <f t="shared" si="11"/>
        <v>32.317588090697328</v>
      </c>
      <c r="N51" s="763" t="str">
        <f t="shared" si="12"/>
        <v>Arbre 2</v>
      </c>
      <c r="O51" s="722">
        <f t="shared" si="15"/>
        <v>-49</v>
      </c>
      <c r="P51" s="888">
        <f t="shared" ref="P51:Z55" si="18">DEGREES(ATAN2($M51,B51-H_pv))</f>
        <v>-1.2429377696884656</v>
      </c>
      <c r="Q51" s="889">
        <f t="shared" si="18"/>
        <v>0.5297498807539196</v>
      </c>
      <c r="R51" s="889">
        <f t="shared" si="18"/>
        <v>2.3014242135928979</v>
      </c>
      <c r="S51" s="889">
        <f t="shared" si="18"/>
        <v>4.0687075098763392</v>
      </c>
      <c r="T51" s="890">
        <f t="shared" si="18"/>
        <v>5.8282720678036588</v>
      </c>
      <c r="U51" s="891">
        <f t="shared" si="18"/>
        <v>7.5768772100888402</v>
      </c>
      <c r="V51" s="888">
        <f t="shared" si="18"/>
        <v>9.3114038662676393</v>
      </c>
      <c r="W51" s="889">
        <f t="shared" si="18"/>
        <v>11.028885843968789</v>
      </c>
      <c r="X51" s="889">
        <f t="shared" si="18"/>
        <v>12.726537067985547</v>
      </c>
      <c r="Y51" s="889">
        <f t="shared" si="18"/>
        <v>14.401774258249144</v>
      </c>
      <c r="Z51" s="890">
        <f t="shared" si="18"/>
        <v>16.052234723306679</v>
      </c>
      <c r="AD51" s="29"/>
    </row>
    <row r="52" spans="1:30" s="19" customFormat="1" ht="12.75" x14ac:dyDescent="0.2">
      <c r="A52" s="1054" t="str">
        <f t="shared" si="10"/>
        <v>Arbre 1</v>
      </c>
      <c r="B52" s="1055">
        <f t="shared" ref="B52:L52" si="19">MAX($F20+B$48,1)</f>
        <v>1</v>
      </c>
      <c r="C52" s="1056">
        <f t="shared" si="19"/>
        <v>1</v>
      </c>
      <c r="D52" s="1056">
        <f t="shared" si="19"/>
        <v>1</v>
      </c>
      <c r="E52" s="1056">
        <f t="shared" si="19"/>
        <v>1.6959347904367914</v>
      </c>
      <c r="F52" s="1057">
        <f t="shared" si="19"/>
        <v>2.6959347904367914</v>
      </c>
      <c r="G52" s="1058">
        <f t="shared" si="19"/>
        <v>3.6959347904367914</v>
      </c>
      <c r="H52" s="1055">
        <f t="shared" si="19"/>
        <v>4.695934790436791</v>
      </c>
      <c r="I52" s="1056">
        <f t="shared" si="19"/>
        <v>5.695934790436791</v>
      </c>
      <c r="J52" s="1056">
        <f t="shared" si="19"/>
        <v>6.695934790436791</v>
      </c>
      <c r="K52" s="1056">
        <f t="shared" si="19"/>
        <v>7.695934790436791</v>
      </c>
      <c r="L52" s="1057">
        <f t="shared" si="19"/>
        <v>8.695934790436791</v>
      </c>
      <c r="M52" s="753">
        <f t="shared" si="11"/>
        <v>12.826086698599948</v>
      </c>
      <c r="N52" s="763" t="str">
        <f t="shared" si="12"/>
        <v>Arbre 1</v>
      </c>
      <c r="O52" s="722">
        <f t="shared" si="15"/>
        <v>-40.795106267771949</v>
      </c>
      <c r="P52" s="888">
        <f t="shared" si="18"/>
        <v>-3.306173167150432</v>
      </c>
      <c r="Q52" s="889">
        <f t="shared" si="18"/>
        <v>-3.306173167150432</v>
      </c>
      <c r="R52" s="889">
        <f t="shared" si="18"/>
        <v>-3.306173167150432</v>
      </c>
      <c r="S52" s="889">
        <f t="shared" si="18"/>
        <v>-0.20101651564224909</v>
      </c>
      <c r="T52" s="890">
        <f t="shared" si="18"/>
        <v>4.258253743357332</v>
      </c>
      <c r="U52" s="891">
        <f t="shared" si="18"/>
        <v>8.6665342510555572</v>
      </c>
      <c r="V52" s="888">
        <f t="shared" si="18"/>
        <v>12.973979684979001</v>
      </c>
      <c r="W52" s="889">
        <f t="shared" si="18"/>
        <v>17.137460379281482</v>
      </c>
      <c r="X52" s="889">
        <f t="shared" si="18"/>
        <v>21.122648466238154</v>
      </c>
      <c r="Y52" s="889">
        <f t="shared" si="18"/>
        <v>24.904886214676072</v>
      </c>
      <c r="Z52" s="890">
        <f t="shared" si="18"/>
        <v>28.468953854249847</v>
      </c>
      <c r="AD52" s="29"/>
    </row>
    <row r="53" spans="1:30" s="19" customFormat="1" ht="12.75" x14ac:dyDescent="0.2">
      <c r="A53" s="1054" t="str">
        <f t="shared" si="10"/>
        <v>Arbre 3</v>
      </c>
      <c r="B53" s="1055">
        <f t="shared" ref="B53:L53" si="20">MAX($F21+B$48,1)</f>
        <v>1.2266193138683672</v>
      </c>
      <c r="C53" s="1056">
        <f t="shared" si="20"/>
        <v>2.2266193138683672</v>
      </c>
      <c r="D53" s="1056">
        <f t="shared" si="20"/>
        <v>3.2266193138683672</v>
      </c>
      <c r="E53" s="1056">
        <f t="shared" si="20"/>
        <v>4.2266193138683672</v>
      </c>
      <c r="F53" s="1057">
        <f t="shared" si="20"/>
        <v>5.2266193138683672</v>
      </c>
      <c r="G53" s="1058">
        <f t="shared" si="20"/>
        <v>6.2266193138683672</v>
      </c>
      <c r="H53" s="1055">
        <f t="shared" si="20"/>
        <v>7.2266193138683672</v>
      </c>
      <c r="I53" s="1056">
        <f t="shared" si="20"/>
        <v>8.2266193138683672</v>
      </c>
      <c r="J53" s="1056">
        <f t="shared" si="20"/>
        <v>9.2266193138683672</v>
      </c>
      <c r="K53" s="1056">
        <f t="shared" si="20"/>
        <v>10.226619313868367</v>
      </c>
      <c r="L53" s="1057">
        <f t="shared" si="20"/>
        <v>11.226619313868367</v>
      </c>
      <c r="M53" s="753">
        <f t="shared" si="11"/>
        <v>38.70646586812078</v>
      </c>
      <c r="N53" s="763" t="str">
        <f t="shared" si="12"/>
        <v>Arbre 3</v>
      </c>
      <c r="O53" s="722">
        <f t="shared" si="15"/>
        <v>-28.51831205572833</v>
      </c>
      <c r="P53" s="888">
        <f>DEGREES(ATAN2($M53,B53-H_pv))</f>
        <v>-0.76127662752435143</v>
      </c>
      <c r="Q53" s="889">
        <f t="shared" si="18"/>
        <v>0.71890462307338099</v>
      </c>
      <c r="R53" s="889">
        <f t="shared" si="18"/>
        <v>2.1981270679199549</v>
      </c>
      <c r="S53" s="889">
        <f t="shared" si="18"/>
        <v>3.6744242717650737</v>
      </c>
      <c r="T53" s="890">
        <f t="shared" si="18"/>
        <v>5.1458530645571781</v>
      </c>
      <c r="U53" s="891">
        <f t="shared" si="18"/>
        <v>6.610508690823294</v>
      </c>
      <c r="V53" s="888">
        <f t="shared" si="18"/>
        <v>8.0665392078872653</v>
      </c>
      <c r="W53" s="889">
        <f t="shared" si="18"/>
        <v>9.5121588690676244</v>
      </c>
      <c r="X53" s="889">
        <f t="shared" si="18"/>
        <v>10.945660263845165</v>
      </c>
      <c r="Y53" s="889">
        <f t="shared" si="18"/>
        <v>12.36542502954523</v>
      </c>
      <c r="Z53" s="890">
        <f t="shared" si="18"/>
        <v>13.769932996059271</v>
      </c>
      <c r="AD53" s="29"/>
    </row>
    <row r="54" spans="1:30" s="19" customFormat="1" ht="12.75" x14ac:dyDescent="0.2">
      <c r="A54" s="1054" t="str">
        <f t="shared" si="10"/>
        <v>Arbre 4</v>
      </c>
      <c r="B54" s="1055">
        <f t="shared" ref="B54:L54" si="21">MAX($F22+B$48,1)</f>
        <v>4.777285103663985</v>
      </c>
      <c r="C54" s="1056">
        <f t="shared" si="21"/>
        <v>5.777285103663985</v>
      </c>
      <c r="D54" s="1056">
        <f t="shared" si="21"/>
        <v>6.777285103663985</v>
      </c>
      <c r="E54" s="1056">
        <f t="shared" si="21"/>
        <v>7.777285103663985</v>
      </c>
      <c r="F54" s="1057">
        <f t="shared" si="21"/>
        <v>8.777285103663985</v>
      </c>
      <c r="G54" s="1058">
        <f t="shared" si="21"/>
        <v>9.777285103663985</v>
      </c>
      <c r="H54" s="1055">
        <f t="shared" si="21"/>
        <v>10.777285103663985</v>
      </c>
      <c r="I54" s="1056">
        <f t="shared" si="21"/>
        <v>11.777285103663985</v>
      </c>
      <c r="J54" s="1056">
        <f t="shared" si="21"/>
        <v>12.777285103663985</v>
      </c>
      <c r="K54" s="1056">
        <f t="shared" si="21"/>
        <v>13.777285103663985</v>
      </c>
      <c r="L54" s="1057">
        <f t="shared" si="21"/>
        <v>14.777285103663985</v>
      </c>
      <c r="M54" s="753">
        <f t="shared" si="11"/>
        <v>49.444398064897221</v>
      </c>
      <c r="N54" s="763" t="str">
        <f t="shared" si="12"/>
        <v>Arbre 4</v>
      </c>
      <c r="O54" s="722">
        <f t="shared" si="15"/>
        <v>-19.838563020393337</v>
      </c>
      <c r="P54" s="888">
        <f t="shared" si="18"/>
        <v>3.5140868431875494</v>
      </c>
      <c r="Q54" s="889">
        <f t="shared" si="18"/>
        <v>4.6669432002478732</v>
      </c>
      <c r="R54" s="889">
        <f t="shared" si="18"/>
        <v>5.8160251654012596</v>
      </c>
      <c r="S54" s="889">
        <f t="shared" si="18"/>
        <v>6.9604321502625579</v>
      </c>
      <c r="T54" s="890">
        <f t="shared" si="18"/>
        <v>8.0992857768196558</v>
      </c>
      <c r="U54" s="891">
        <f t="shared" si="18"/>
        <v>9.2317336967595711</v>
      </c>
      <c r="V54" s="888">
        <f t="shared" si="18"/>
        <v>10.356953112563019</v>
      </c>
      <c r="W54" s="889">
        <f t="shared" si="18"/>
        <v>11.474153967945229</v>
      </c>
      <c r="X54" s="889">
        <f t="shared" si="18"/>
        <v>12.582581781900826</v>
      </c>
      <c r="Y54" s="889">
        <f t="shared" si="18"/>
        <v>13.68152010753743</v>
      </c>
      <c r="Z54" s="890">
        <f t="shared" si="18"/>
        <v>14.770292603850663</v>
      </c>
      <c r="AD54" s="29"/>
    </row>
    <row r="55" spans="1:30" s="19" customFormat="1" ht="12.75" x14ac:dyDescent="0.2">
      <c r="A55" s="1054" t="str">
        <f t="shared" si="10"/>
        <v>Arbre 5</v>
      </c>
      <c r="B55" s="1055">
        <f t="shared" ref="B55:L55" si="22">MAX($F23+B$48,1)</f>
        <v>4.5961885356225132</v>
      </c>
      <c r="C55" s="1056">
        <f t="shared" si="22"/>
        <v>5.5961885356225132</v>
      </c>
      <c r="D55" s="1056">
        <f t="shared" si="22"/>
        <v>6.5961885356225132</v>
      </c>
      <c r="E55" s="1056">
        <f t="shared" si="22"/>
        <v>7.5961885356225132</v>
      </c>
      <c r="F55" s="1057">
        <f t="shared" si="22"/>
        <v>8.5961885356225132</v>
      </c>
      <c r="G55" s="1058">
        <f t="shared" si="22"/>
        <v>9.5961885356225132</v>
      </c>
      <c r="H55" s="1055">
        <f t="shared" si="22"/>
        <v>10.596188535622513</v>
      </c>
      <c r="I55" s="1056">
        <f t="shared" si="22"/>
        <v>11.596188535622513</v>
      </c>
      <c r="J55" s="1056">
        <f t="shared" si="22"/>
        <v>12.596188535622513</v>
      </c>
      <c r="K55" s="1056">
        <f t="shared" si="22"/>
        <v>13.596188535622513</v>
      </c>
      <c r="L55" s="1057">
        <f t="shared" si="22"/>
        <v>14.596188535622513</v>
      </c>
      <c r="M55" s="753">
        <f t="shared" si="11"/>
        <v>56.283341229887483</v>
      </c>
      <c r="N55" s="763" t="str">
        <f t="shared" si="12"/>
        <v>Arbre 5</v>
      </c>
      <c r="O55" s="722">
        <f t="shared" si="15"/>
        <v>-8.8715442272544607</v>
      </c>
      <c r="P55" s="888">
        <f t="shared" si="18"/>
        <v>2.9041259410057814</v>
      </c>
      <c r="Q55" s="889">
        <f t="shared" si="18"/>
        <v>3.9184830686205552</v>
      </c>
      <c r="R55" s="889">
        <f t="shared" si="18"/>
        <v>4.9303862495148376</v>
      </c>
      <c r="S55" s="889">
        <f t="shared" si="18"/>
        <v>5.9392158029090885</v>
      </c>
      <c r="T55" s="890">
        <f t="shared" si="18"/>
        <v>6.9443634206264671</v>
      </c>
      <c r="U55" s="891">
        <f t="shared" si="18"/>
        <v>7.9452342810500545</v>
      </c>
      <c r="V55" s="888">
        <f t="shared" si="18"/>
        <v>8.9412490415770165</v>
      </c>
      <c r="W55" s="889">
        <f t="shared" si="18"/>
        <v>9.931845694058886</v>
      </c>
      <c r="X55" s="889">
        <f t="shared" si="18"/>
        <v>10.916481269927862</v>
      </c>
      <c r="Y55" s="889">
        <f t="shared" si="18"/>
        <v>11.894633384066815</v>
      </c>
      <c r="Z55" s="890">
        <f t="shared" si="18"/>
        <v>12.86580160892783</v>
      </c>
      <c r="AD55" s="29"/>
    </row>
    <row r="56" spans="1:30" s="19" customFormat="1" ht="12.75" x14ac:dyDescent="0.2">
      <c r="A56" s="1054" t="str">
        <f t="shared" si="10"/>
        <v>Creux 2 -10,4°</v>
      </c>
      <c r="B56" s="1055">
        <f t="shared" ref="B56:L56" si="23">MAX($F24+B$48,1)</f>
        <v>12.97120705892646</v>
      </c>
      <c r="C56" s="1056">
        <f t="shared" si="23"/>
        <v>13.97120705892646</v>
      </c>
      <c r="D56" s="1056">
        <f t="shared" si="23"/>
        <v>14.97120705892646</v>
      </c>
      <c r="E56" s="1056">
        <f t="shared" si="23"/>
        <v>15.97120705892646</v>
      </c>
      <c r="F56" s="1057">
        <f t="shared" si="23"/>
        <v>16.97120705892646</v>
      </c>
      <c r="G56" s="1058">
        <f t="shared" si="23"/>
        <v>17.97120705892646</v>
      </c>
      <c r="H56" s="1055">
        <f t="shared" si="23"/>
        <v>18.97120705892646</v>
      </c>
      <c r="I56" s="1056">
        <f t="shared" si="23"/>
        <v>19.97120705892646</v>
      </c>
      <c r="J56" s="1056">
        <f t="shared" si="23"/>
        <v>20.97120705892646</v>
      </c>
      <c r="K56" s="1056">
        <f t="shared" si="23"/>
        <v>21.97120705892646</v>
      </c>
      <c r="L56" s="1057">
        <f t="shared" si="23"/>
        <v>22.97120705892646</v>
      </c>
      <c r="M56" s="753">
        <f t="shared" si="11"/>
        <v>194.67835139018388</v>
      </c>
      <c r="N56" s="763" t="str">
        <f t="shared" ref="N56:N65" si="24">K24</f>
        <v>Creux 2 -10,4°</v>
      </c>
      <c r="O56" s="722">
        <f t="shared" si="15"/>
        <v>-1</v>
      </c>
      <c r="P56" s="888">
        <f t="shared" ref="P56:Z65" si="25">DEGREES(ATAN2($M56,B56-H_pv))</f>
        <v>3.3015223833880096</v>
      </c>
      <c r="Q56" s="889">
        <f t="shared" si="25"/>
        <v>3.5947670563958378</v>
      </c>
      <c r="R56" s="889">
        <f t="shared" si="25"/>
        <v>3.8878232763662468</v>
      </c>
      <c r="S56" s="889">
        <f t="shared" si="25"/>
        <v>4.1806759071069806</v>
      </c>
      <c r="T56" s="890">
        <f t="shared" si="25"/>
        <v>4.473309875994441</v>
      </c>
      <c r="U56" s="891">
        <f t="shared" si="25"/>
        <v>4.7657101785319922</v>
      </c>
      <c r="V56" s="888">
        <f t="shared" si="25"/>
        <v>5.0578618828555637</v>
      </c>
      <c r="W56" s="889">
        <f t="shared" si="25"/>
        <v>5.3497501341833118</v>
      </c>
      <c r="X56" s="889">
        <f t="shared" si="25"/>
        <v>5.641360159206072</v>
      </c>
      <c r="Y56" s="889">
        <f t="shared" si="25"/>
        <v>5.9326772704155246</v>
      </c>
      <c r="Z56" s="890">
        <f t="shared" si="25"/>
        <v>6.2236868703669792</v>
      </c>
      <c r="AD56" s="29"/>
    </row>
    <row r="57" spans="1:30" s="19" customFormat="1" ht="12.75" x14ac:dyDescent="0.2">
      <c r="A57" s="1054" t="str">
        <f t="shared" si="10"/>
        <v>Arbre 6</v>
      </c>
      <c r="B57" s="1055">
        <f t="shared" ref="B57:L57" si="26">MAX($F25+B$48,1)</f>
        <v>44.302657711270733</v>
      </c>
      <c r="C57" s="1056">
        <f t="shared" si="26"/>
        <v>45.302657711270733</v>
      </c>
      <c r="D57" s="1056">
        <f t="shared" si="26"/>
        <v>46.302657711270733</v>
      </c>
      <c r="E57" s="1056">
        <f t="shared" si="26"/>
        <v>47.302657711270733</v>
      </c>
      <c r="F57" s="1057">
        <f t="shared" si="26"/>
        <v>48.302657711270733</v>
      </c>
      <c r="G57" s="1058">
        <f t="shared" si="26"/>
        <v>49.302657711270733</v>
      </c>
      <c r="H57" s="1055">
        <f t="shared" si="26"/>
        <v>50.302657711270733</v>
      </c>
      <c r="I57" s="1056">
        <f t="shared" si="26"/>
        <v>51.302657711270733</v>
      </c>
      <c r="J57" s="1056">
        <f t="shared" si="26"/>
        <v>52.302657711270733</v>
      </c>
      <c r="K57" s="1056">
        <f t="shared" si="26"/>
        <v>53.302657711270733</v>
      </c>
      <c r="L57" s="1057">
        <f t="shared" si="26"/>
        <v>54.302657711270733</v>
      </c>
      <c r="M57" s="753">
        <f t="shared" si="11"/>
        <v>270.08570806319977</v>
      </c>
      <c r="N57" s="763" t="str">
        <f t="shared" si="24"/>
        <v>Arbre 6</v>
      </c>
      <c r="O57" s="722">
        <f t="shared" si="15"/>
        <v>17.03207550221515</v>
      </c>
      <c r="P57" s="888">
        <f t="shared" si="25"/>
        <v>8.9553661987281092</v>
      </c>
      <c r="Q57" s="889">
        <f t="shared" si="25"/>
        <v>9.1622462944338121</v>
      </c>
      <c r="R57" s="889">
        <f t="shared" si="25"/>
        <v>9.3688857096959328</v>
      </c>
      <c r="S57" s="889">
        <f t="shared" si="25"/>
        <v>9.5752794982161635</v>
      </c>
      <c r="T57" s="890">
        <f t="shared" si="25"/>
        <v>9.7814227509454632</v>
      </c>
      <c r="U57" s="891">
        <f t="shared" si="25"/>
        <v>9.9873105966891735</v>
      </c>
      <c r="V57" s="888">
        <f t="shared" si="25"/>
        <v>10.192938202698388</v>
      </c>
      <c r="W57" s="889">
        <f t="shared" si="25"/>
        <v>10.398300775247481</v>
      </c>
      <c r="X57" s="889">
        <f t="shared" si="25"/>
        <v>10.603393560197643</v>
      </c>
      <c r="Y57" s="889">
        <f t="shared" si="25"/>
        <v>10.808211843546305</v>
      </c>
      <c r="Z57" s="890">
        <f t="shared" si="25"/>
        <v>11.012750951962373</v>
      </c>
      <c r="AD57" s="29"/>
    </row>
    <row r="58" spans="1:30" s="19" customFormat="1" ht="12.75" x14ac:dyDescent="0.2">
      <c r="A58" s="1054" t="str">
        <f t="shared" si="10"/>
        <v>Arbre 7</v>
      </c>
      <c r="B58" s="1055">
        <f t="shared" ref="B58:L58" si="27">MAX($F26+B$48,1)</f>
        <v>33.411073239343217</v>
      </c>
      <c r="C58" s="1056">
        <f t="shared" si="27"/>
        <v>34.411073239343217</v>
      </c>
      <c r="D58" s="1056">
        <f t="shared" si="27"/>
        <v>35.411073239343217</v>
      </c>
      <c r="E58" s="1056">
        <f t="shared" si="27"/>
        <v>36.411073239343217</v>
      </c>
      <c r="F58" s="1057">
        <f t="shared" si="27"/>
        <v>37.411073239343217</v>
      </c>
      <c r="G58" s="1058">
        <f t="shared" si="27"/>
        <v>38.411073239343217</v>
      </c>
      <c r="H58" s="1055">
        <f t="shared" si="27"/>
        <v>39.411073239343217</v>
      </c>
      <c r="I58" s="1056">
        <f t="shared" si="27"/>
        <v>40.411073239343217</v>
      </c>
      <c r="J58" s="1056">
        <f t="shared" si="27"/>
        <v>41.411073239343217</v>
      </c>
      <c r="K58" s="1056">
        <f t="shared" si="27"/>
        <v>42.411073239343217</v>
      </c>
      <c r="L58" s="1057">
        <f t="shared" si="27"/>
        <v>43.411073239343217</v>
      </c>
      <c r="M58" s="753">
        <f t="shared" si="11"/>
        <v>227.78117218067035</v>
      </c>
      <c r="N58" s="763" t="str">
        <f t="shared" si="24"/>
        <v>Arbre 7</v>
      </c>
      <c r="O58" s="722">
        <f t="shared" si="15"/>
        <v>27</v>
      </c>
      <c r="P58" s="888">
        <f t="shared" si="25"/>
        <v>7.9155197569860212</v>
      </c>
      <c r="Q58" s="889">
        <f t="shared" si="25"/>
        <v>8.1621388620267652</v>
      </c>
      <c r="R58" s="889">
        <f t="shared" si="25"/>
        <v>8.408453839782835</v>
      </c>
      <c r="S58" s="889">
        <f t="shared" si="25"/>
        <v>8.6544561651056533</v>
      </c>
      <c r="T58" s="890">
        <f t="shared" si="25"/>
        <v>8.9001373805808655</v>
      </c>
      <c r="U58" s="891">
        <f t="shared" si="25"/>
        <v>9.1454890980882055</v>
      </c>
      <c r="V58" s="888">
        <f t="shared" si="25"/>
        <v>9.3905030003251593</v>
      </c>
      <c r="W58" s="889">
        <f t="shared" si="25"/>
        <v>9.6351708422938955</v>
      </c>
      <c r="X58" s="889">
        <f t="shared" si="25"/>
        <v>9.8794844527509227</v>
      </c>
      <c r="Y58" s="889">
        <f t="shared" si="25"/>
        <v>10.123435735618976</v>
      </c>
      <c r="Z58" s="890">
        <f t="shared" si="25"/>
        <v>10.367016671360629</v>
      </c>
      <c r="AD58" s="29"/>
    </row>
    <row r="59" spans="1:30" s="19" customFormat="1" ht="12.75" x14ac:dyDescent="0.2">
      <c r="A59" s="1054" t="str">
        <f t="shared" si="10"/>
        <v>Creux 3</v>
      </c>
      <c r="B59" s="1055">
        <f t="shared" ref="B59:L59" si="28">MAX($F27+B$48,1)</f>
        <v>26.0747172761311</v>
      </c>
      <c r="C59" s="1056">
        <f t="shared" si="28"/>
        <v>27.0747172761311</v>
      </c>
      <c r="D59" s="1056">
        <f t="shared" si="28"/>
        <v>28.0747172761311</v>
      </c>
      <c r="E59" s="1056">
        <f t="shared" si="28"/>
        <v>29.0747172761311</v>
      </c>
      <c r="F59" s="1057">
        <f t="shared" si="28"/>
        <v>30.0747172761311</v>
      </c>
      <c r="G59" s="1058">
        <f t="shared" si="28"/>
        <v>31.0747172761311</v>
      </c>
      <c r="H59" s="1055">
        <f t="shared" si="28"/>
        <v>32.074717276131096</v>
      </c>
      <c r="I59" s="1056">
        <f t="shared" si="28"/>
        <v>33.074717276131096</v>
      </c>
      <c r="J59" s="1056">
        <f t="shared" si="28"/>
        <v>34.074717276131096</v>
      </c>
      <c r="K59" s="1056">
        <f t="shared" si="28"/>
        <v>35.074717276131096</v>
      </c>
      <c r="L59" s="1057">
        <f t="shared" si="28"/>
        <v>36.074717276131096</v>
      </c>
      <c r="M59" s="753">
        <f t="shared" si="11"/>
        <v>221.91044702762403</v>
      </c>
      <c r="N59" s="763" t="str">
        <f t="shared" si="24"/>
        <v>Creux 3</v>
      </c>
      <c r="O59" s="722">
        <f t="shared" si="15"/>
        <v>34.759981957521461</v>
      </c>
      <c r="P59" s="888">
        <f t="shared" si="25"/>
        <v>6.2578163232642741</v>
      </c>
      <c r="Q59" s="889">
        <f t="shared" si="25"/>
        <v>6.5128156455153032</v>
      </c>
      <c r="R59" s="889">
        <f t="shared" si="25"/>
        <v>6.7675561084731672</v>
      </c>
      <c r="S59" s="889">
        <f t="shared" si="25"/>
        <v>7.0220280506811514</v>
      </c>
      <c r="T59" s="890">
        <f t="shared" si="25"/>
        <v>7.2762218734110498</v>
      </c>
      <c r="U59" s="891">
        <f t="shared" si="25"/>
        <v>7.5301280426944439</v>
      </c>
      <c r="V59" s="888">
        <f t="shared" si="25"/>
        <v>7.78373709131706</v>
      </c>
      <c r="W59" s="889">
        <f t="shared" si="25"/>
        <v>8.0370396207752961</v>
      </c>
      <c r="X59" s="889">
        <f t="shared" si="25"/>
        <v>8.2900263031939652</v>
      </c>
      <c r="Y59" s="889">
        <f t="shared" si="25"/>
        <v>8.5426878832044153</v>
      </c>
      <c r="Z59" s="890">
        <f t="shared" si="25"/>
        <v>8.7950151797821938</v>
      </c>
      <c r="AD59" s="29"/>
    </row>
    <row r="60" spans="1:30" s="19" customFormat="1" ht="12.75" x14ac:dyDescent="0.2">
      <c r="A60" s="1054" t="str">
        <f t="shared" si="10"/>
        <v>Arbre 8</v>
      </c>
      <c r="B60" s="1055">
        <f t="shared" ref="B60:L60" si="29">MAX($F28+B$48,1)</f>
        <v>29.579986735117373</v>
      </c>
      <c r="C60" s="1056">
        <f t="shared" si="29"/>
        <v>30.579986735117373</v>
      </c>
      <c r="D60" s="1056">
        <f t="shared" si="29"/>
        <v>31.579986735117373</v>
      </c>
      <c r="E60" s="1056">
        <f t="shared" si="29"/>
        <v>32.579986735117373</v>
      </c>
      <c r="F60" s="1057">
        <f t="shared" si="29"/>
        <v>33.579986735117373</v>
      </c>
      <c r="G60" s="1058">
        <f t="shared" si="29"/>
        <v>34.579986735117373</v>
      </c>
      <c r="H60" s="1055">
        <f t="shared" si="29"/>
        <v>35.579986735117373</v>
      </c>
      <c r="I60" s="1056">
        <f t="shared" si="29"/>
        <v>36.579986735117373</v>
      </c>
      <c r="J60" s="1056">
        <f t="shared" si="29"/>
        <v>37.579986735117373</v>
      </c>
      <c r="K60" s="1056">
        <f t="shared" si="29"/>
        <v>38.579986735117373</v>
      </c>
      <c r="L60" s="1057">
        <f t="shared" si="29"/>
        <v>39.579986735117373</v>
      </c>
      <c r="M60" s="753">
        <f t="shared" si="11"/>
        <v>201.71690310928284</v>
      </c>
      <c r="N60" s="763" t="str">
        <f t="shared" si="24"/>
        <v>Arbre 8</v>
      </c>
      <c r="O60" s="722">
        <f t="shared" si="15"/>
        <v>45.498106826837756</v>
      </c>
      <c r="P60" s="888">
        <f t="shared" si="25"/>
        <v>7.8577818627086105</v>
      </c>
      <c r="Q60" s="889">
        <f t="shared" si="25"/>
        <v>8.1363242303306205</v>
      </c>
      <c r="R60" s="889">
        <f t="shared" si="25"/>
        <v>8.4144799444983125</v>
      </c>
      <c r="S60" s="889">
        <f t="shared" si="25"/>
        <v>8.6922367262256799</v>
      </c>
      <c r="T60" s="890">
        <f t="shared" si="25"/>
        <v>8.9695824067180503</v>
      </c>
      <c r="U60" s="891">
        <f t="shared" si="25"/>
        <v>9.2465049302300404</v>
      </c>
      <c r="V60" s="888">
        <f t="shared" si="25"/>
        <v>9.5229923568483699</v>
      </c>
      <c r="W60" s="889">
        <f t="shared" si="25"/>
        <v>9.799032865198166</v>
      </c>
      <c r="X60" s="889">
        <f t="shared" si="25"/>
        <v>10.074614755071547</v>
      </c>
      <c r="Y60" s="889">
        <f t="shared" si="25"/>
        <v>10.34972644997737</v>
      </c>
      <c r="Z60" s="890">
        <f t="shared" si="25"/>
        <v>10.624356499611052</v>
      </c>
      <c r="AD60" s="29"/>
    </row>
    <row r="61" spans="1:30" s="19" customFormat="1" ht="12.75" x14ac:dyDescent="0.2">
      <c r="A61" s="1054" t="str">
        <f t="shared" si="10"/>
        <v>Creux 4</v>
      </c>
      <c r="B61" s="1055">
        <f t="shared" ref="B61:L61" si="30">MAX($F29+B$48,1)</f>
        <v>13.074953372915854</v>
      </c>
      <c r="C61" s="1056">
        <f t="shared" si="30"/>
        <v>14.074953372915854</v>
      </c>
      <c r="D61" s="1056">
        <f t="shared" si="30"/>
        <v>15.074953372915854</v>
      </c>
      <c r="E61" s="1056">
        <f t="shared" si="30"/>
        <v>16.074953372915854</v>
      </c>
      <c r="F61" s="1057">
        <f t="shared" si="30"/>
        <v>17.074953372915854</v>
      </c>
      <c r="G61" s="1058">
        <f t="shared" si="30"/>
        <v>18.074953372915854</v>
      </c>
      <c r="H61" s="1055">
        <f t="shared" si="30"/>
        <v>19.074953372915854</v>
      </c>
      <c r="I61" s="1056">
        <f t="shared" si="30"/>
        <v>20.074953372915854</v>
      </c>
      <c r="J61" s="1056">
        <f t="shared" si="30"/>
        <v>21.074953372915854</v>
      </c>
      <c r="K61" s="1056">
        <f t="shared" si="30"/>
        <v>22.074953372915854</v>
      </c>
      <c r="L61" s="1057">
        <f t="shared" si="30"/>
        <v>23.074953372915854</v>
      </c>
      <c r="M61" s="745">
        <f t="shared" si="11"/>
        <v>127.89430988124518</v>
      </c>
      <c r="N61" s="938" t="str">
        <f t="shared" si="24"/>
        <v>Creux 4</v>
      </c>
      <c r="O61" s="939">
        <f t="shared" si="15"/>
        <v>53</v>
      </c>
      <c r="P61" s="888">
        <f t="shared" si="25"/>
        <v>5.0643334581523254</v>
      </c>
      <c r="Q61" s="889">
        <f t="shared" si="25"/>
        <v>5.5085214366535569</v>
      </c>
      <c r="R61" s="889">
        <f t="shared" si="25"/>
        <v>5.952046226973164</v>
      </c>
      <c r="S61" s="889">
        <f t="shared" si="25"/>
        <v>6.3948562841252219</v>
      </c>
      <c r="T61" s="890">
        <f t="shared" si="25"/>
        <v>6.8369005705640733</v>
      </c>
      <c r="U61" s="891">
        <f t="shared" si="25"/>
        <v>7.2781285896789738</v>
      </c>
      <c r="V61" s="888">
        <f t="shared" si="25"/>
        <v>7.7184904183501182</v>
      </c>
      <c r="W61" s="889">
        <f t="shared" si="25"/>
        <v>8.1579367385175114</v>
      </c>
      <c r="X61" s="889">
        <f t="shared" si="25"/>
        <v>8.5964188677172331</v>
      </c>
      <c r="Y61" s="889">
        <f t="shared" si="25"/>
        <v>9.0338887885428516</v>
      </c>
      <c r="Z61" s="890">
        <f t="shared" si="25"/>
        <v>9.4702991769930662</v>
      </c>
      <c r="AD61" s="29"/>
    </row>
    <row r="62" spans="1:30" s="19" customFormat="1" ht="12.75" x14ac:dyDescent="0.2">
      <c r="A62" s="1054" t="str">
        <f t="shared" si="10"/>
        <v>Arbre 9</v>
      </c>
      <c r="B62" s="1055">
        <f t="shared" ref="B62:L62" si="31">MAX($F30+B$48,1)</f>
        <v>11.939315497020761</v>
      </c>
      <c r="C62" s="1056">
        <f t="shared" si="31"/>
        <v>12.939315497020761</v>
      </c>
      <c r="D62" s="1056">
        <f t="shared" si="31"/>
        <v>13.939315497020761</v>
      </c>
      <c r="E62" s="1056">
        <f t="shared" si="31"/>
        <v>14.939315497020761</v>
      </c>
      <c r="F62" s="1057">
        <f t="shared" si="31"/>
        <v>15.939315497020761</v>
      </c>
      <c r="G62" s="1058">
        <f t="shared" si="31"/>
        <v>16.939315497020761</v>
      </c>
      <c r="H62" s="1055">
        <f t="shared" si="31"/>
        <v>17.939315497020761</v>
      </c>
      <c r="I62" s="1056">
        <f t="shared" si="31"/>
        <v>18.939315497020761</v>
      </c>
      <c r="J62" s="1056">
        <f t="shared" si="31"/>
        <v>19.939315497020761</v>
      </c>
      <c r="K62" s="1056">
        <f t="shared" si="31"/>
        <v>20.939315497020761</v>
      </c>
      <c r="L62" s="1057">
        <f t="shared" si="31"/>
        <v>21.939315497020761</v>
      </c>
      <c r="M62" s="753">
        <f t="shared" si="11"/>
        <v>90.468284497939322</v>
      </c>
      <c r="N62" s="763" t="str">
        <f t="shared" si="24"/>
        <v>Arbre 9</v>
      </c>
      <c r="O62" s="722">
        <f t="shared" si="15"/>
        <v>70.962212947360769</v>
      </c>
      <c r="P62" s="888">
        <f t="shared" si="25"/>
        <v>6.43173204058417</v>
      </c>
      <c r="Q62" s="889">
        <f t="shared" si="25"/>
        <v>7.0563160897321611</v>
      </c>
      <c r="R62" s="889">
        <f t="shared" si="25"/>
        <v>7.6792191668987844</v>
      </c>
      <c r="S62" s="889">
        <f t="shared" si="25"/>
        <v>8.3003014293219071</v>
      </c>
      <c r="T62" s="890">
        <f t="shared" si="25"/>
        <v>8.919425561449934</v>
      </c>
      <c r="U62" s="891">
        <f t="shared" si="25"/>
        <v>9.5364569405200825</v>
      </c>
      <c r="V62" s="888">
        <f t="shared" si="25"/>
        <v>10.151263793157824</v>
      </c>
      <c r="W62" s="889">
        <f t="shared" si="25"/>
        <v>10.763717342616772</v>
      </c>
      <c r="X62" s="889">
        <f t="shared" si="25"/>
        <v>11.373691946333544</v>
      </c>
      <c r="Y62" s="889">
        <f t="shared" si="25"/>
        <v>11.981065223527819</v>
      </c>
      <c r="Z62" s="890">
        <f t="shared" si="25"/>
        <v>12.585718172633785</v>
      </c>
      <c r="AD62" s="29"/>
    </row>
    <row r="63" spans="1:30" s="28" customFormat="1" ht="12.75" x14ac:dyDescent="0.2">
      <c r="A63" s="1054" t="str">
        <f t="shared" si="10"/>
        <v>Creux 5</v>
      </c>
      <c r="B63" s="1055">
        <f t="shared" ref="B63:L63" si="32">MAX($F31+B$48,1)</f>
        <v>9.4067339706007331</v>
      </c>
      <c r="C63" s="1056">
        <f t="shared" si="32"/>
        <v>10.406733970600733</v>
      </c>
      <c r="D63" s="1056">
        <f t="shared" si="32"/>
        <v>11.406733970600733</v>
      </c>
      <c r="E63" s="1056">
        <f t="shared" si="32"/>
        <v>12.406733970600733</v>
      </c>
      <c r="F63" s="1057">
        <f t="shared" si="32"/>
        <v>13.406733970600733</v>
      </c>
      <c r="G63" s="1058">
        <f t="shared" si="32"/>
        <v>14.406733970600733</v>
      </c>
      <c r="H63" s="1055">
        <f t="shared" si="32"/>
        <v>15.406733970600733</v>
      </c>
      <c r="I63" s="1056">
        <f t="shared" si="32"/>
        <v>16.406733970600733</v>
      </c>
      <c r="J63" s="1056">
        <f t="shared" si="32"/>
        <v>17.406733970600733</v>
      </c>
      <c r="K63" s="1056">
        <f t="shared" si="32"/>
        <v>18.406733970600733</v>
      </c>
      <c r="L63" s="1057">
        <f t="shared" si="32"/>
        <v>19.406733970600733</v>
      </c>
      <c r="M63" s="745">
        <f t="shared" si="11"/>
        <v>143.85672907445112</v>
      </c>
      <c r="N63" s="938" t="str">
        <f t="shared" si="24"/>
        <v>Creux 5</v>
      </c>
      <c r="O63" s="939">
        <f t="shared" si="15"/>
        <v>95</v>
      </c>
      <c r="P63" s="888">
        <f t="shared" si="25"/>
        <v>3.0502776029197713</v>
      </c>
      <c r="Q63" s="889">
        <f t="shared" si="25"/>
        <v>3.4472804723209003</v>
      </c>
      <c r="R63" s="889">
        <f t="shared" si="25"/>
        <v>3.843952207704354</v>
      </c>
      <c r="S63" s="889">
        <f t="shared" si="25"/>
        <v>4.2402552485420104</v>
      </c>
      <c r="T63" s="890">
        <f t="shared" si="25"/>
        <v>4.6361522451820907</v>
      </c>
      <c r="U63" s="891">
        <f t="shared" si="25"/>
        <v>5.0316060795292854</v>
      </c>
      <c r="V63" s="888">
        <f t="shared" si="25"/>
        <v>5.4265798853972802</v>
      </c>
      <c r="W63" s="889">
        <f t="shared" si="25"/>
        <v>5.8210370685065502</v>
      </c>
      <c r="X63" s="889">
        <f t="shared" si="25"/>
        <v>6.2149413261012443</v>
      </c>
      <c r="Y63" s="889">
        <f t="shared" si="25"/>
        <v>6.6082566661599413</v>
      </c>
      <c r="Z63" s="890">
        <f t="shared" si="25"/>
        <v>7.0009474261761024</v>
      </c>
      <c r="AD63" s="70"/>
    </row>
    <row r="64" spans="1:30" s="28" customFormat="1" ht="12.75" x14ac:dyDescent="0.2">
      <c r="A64" s="1054" t="str">
        <f t="shared" si="10"/>
        <v xml:space="preserve">Arbre 10 </v>
      </c>
      <c r="B64" s="1055">
        <f t="shared" ref="B64:L64" si="33">MAX($F32+B$48,1)</f>
        <v>2.6450142279424842</v>
      </c>
      <c r="C64" s="1056">
        <f t="shared" si="33"/>
        <v>3.6450142279424842</v>
      </c>
      <c r="D64" s="1056">
        <f t="shared" si="33"/>
        <v>4.6450142279424842</v>
      </c>
      <c r="E64" s="1056">
        <f t="shared" si="33"/>
        <v>5.6450142279424842</v>
      </c>
      <c r="F64" s="1057">
        <f t="shared" si="33"/>
        <v>6.6450142279424842</v>
      </c>
      <c r="G64" s="1058">
        <f t="shared" si="33"/>
        <v>7.6450142279424842</v>
      </c>
      <c r="H64" s="1055">
        <f t="shared" si="33"/>
        <v>8.6450142279424842</v>
      </c>
      <c r="I64" s="1056">
        <f t="shared" si="33"/>
        <v>9.6450142279424842</v>
      </c>
      <c r="J64" s="1056">
        <f t="shared" si="33"/>
        <v>10.645014227942484</v>
      </c>
      <c r="K64" s="1056">
        <f t="shared" si="33"/>
        <v>11.645014227942484</v>
      </c>
      <c r="L64" s="1057">
        <f t="shared" si="33"/>
        <v>12.645014227942484</v>
      </c>
      <c r="M64" s="745">
        <f t="shared" si="11"/>
        <v>13.488191131504543</v>
      </c>
      <c r="N64" s="938" t="str">
        <f t="shared" si="24"/>
        <v xml:space="preserve">Arbre 10 </v>
      </c>
      <c r="O64" s="939">
        <f t="shared" si="15"/>
        <v>103.41807886046519</v>
      </c>
      <c r="P64" s="888">
        <f t="shared" si="25"/>
        <v>3.8346591126693546</v>
      </c>
      <c r="Q64" s="889">
        <f t="shared" si="25"/>
        <v>8.0351484194693761</v>
      </c>
      <c r="R64" s="889">
        <f t="shared" si="25"/>
        <v>12.150603418462989</v>
      </c>
      <c r="S64" s="889">
        <f t="shared" si="25"/>
        <v>16.142786009649384</v>
      </c>
      <c r="T64" s="890">
        <f t="shared" si="25"/>
        <v>19.980418102763387</v>
      </c>
      <c r="U64" s="891">
        <f t="shared" si="25"/>
        <v>23.640060919050594</v>
      </c>
      <c r="V64" s="888">
        <f t="shared" si="25"/>
        <v>27.106140153427113</v>
      </c>
      <c r="W64" s="889">
        <f t="shared" si="25"/>
        <v>30.370303332353703</v>
      </c>
      <c r="X64" s="889">
        <f t="shared" si="25"/>
        <v>33.430356059247728</v>
      </c>
      <c r="Y64" s="889">
        <f t="shared" si="25"/>
        <v>36.289014083663488</v>
      </c>
      <c r="Z64" s="890">
        <f t="shared" si="25"/>
        <v>38.952656186642685</v>
      </c>
      <c r="AD64" s="70"/>
    </row>
    <row r="65" spans="1:30" s="28" customFormat="1" ht="12.75" x14ac:dyDescent="0.2">
      <c r="A65" s="1054" t="str">
        <f t="shared" si="10"/>
        <v>Arbre 11</v>
      </c>
      <c r="B65" s="1055">
        <f t="shared" ref="B65:L65" si="34">MAX($F33+B$48,1)</f>
        <v>8.2883472118674764</v>
      </c>
      <c r="C65" s="1056">
        <f t="shared" si="34"/>
        <v>9.2883472118674764</v>
      </c>
      <c r="D65" s="1056">
        <f t="shared" si="34"/>
        <v>10.288347211867476</v>
      </c>
      <c r="E65" s="1056">
        <f t="shared" si="34"/>
        <v>11.288347211867476</v>
      </c>
      <c r="F65" s="1057">
        <f t="shared" si="34"/>
        <v>12.288347211867476</v>
      </c>
      <c r="G65" s="1058">
        <f t="shared" si="34"/>
        <v>13.288347211867476</v>
      </c>
      <c r="H65" s="1055">
        <f t="shared" si="34"/>
        <v>14.288347211867476</v>
      </c>
      <c r="I65" s="1056">
        <f t="shared" si="34"/>
        <v>15.288347211867476</v>
      </c>
      <c r="J65" s="1056">
        <f t="shared" si="34"/>
        <v>16.288347211867475</v>
      </c>
      <c r="K65" s="1056">
        <f t="shared" si="34"/>
        <v>17.288347211867475</v>
      </c>
      <c r="L65" s="1057">
        <f t="shared" si="34"/>
        <v>18.288347211867475</v>
      </c>
      <c r="M65" s="745">
        <f t="shared" si="11"/>
        <v>21.218824189855695</v>
      </c>
      <c r="N65" s="938" t="str">
        <f t="shared" si="24"/>
        <v>Arbre 11</v>
      </c>
      <c r="O65" s="939">
        <f t="shared" si="15"/>
        <v>118.08678228972542</v>
      </c>
      <c r="P65" s="888">
        <f t="shared" si="25"/>
        <v>17.148460729111125</v>
      </c>
      <c r="Q65" s="889">
        <f t="shared" si="25"/>
        <v>19.580178920202783</v>
      </c>
      <c r="R65" s="889">
        <f t="shared" si="25"/>
        <v>21.940669791028864</v>
      </c>
      <c r="S65" s="889">
        <f t="shared" si="25"/>
        <v>24.225370209281802</v>
      </c>
      <c r="T65" s="890">
        <f t="shared" si="25"/>
        <v>26.430965501225863</v>
      </c>
      <c r="U65" s="891">
        <f t="shared" si="25"/>
        <v>28.555301252061604</v>
      </c>
      <c r="V65" s="888">
        <f t="shared" si="25"/>
        <v>30.597270283857156</v>
      </c>
      <c r="W65" s="889">
        <f t="shared" si="25"/>
        <v>32.556685084238531</v>
      </c>
      <c r="X65" s="889">
        <f t="shared" si="25"/>
        <v>34.434144564197112</v>
      </c>
      <c r="Y65" s="889">
        <f t="shared" si="25"/>
        <v>36.230902258032792</v>
      </c>
      <c r="Z65" s="890">
        <f t="shared" si="25"/>
        <v>37.9487412305728</v>
      </c>
      <c r="AD65" s="70"/>
    </row>
    <row r="66" spans="1:30" s="28" customFormat="1" ht="12.75" x14ac:dyDescent="0.2">
      <c r="A66" s="1059" t="str">
        <f t="shared" si="10"/>
        <v>Arrière PV</v>
      </c>
      <c r="B66" s="1060"/>
      <c r="C66" s="1061"/>
      <c r="D66" s="1061"/>
      <c r="E66" s="1061"/>
      <c r="F66" s="981"/>
      <c r="G66" s="1047"/>
      <c r="H66" s="1051"/>
      <c r="I66" s="1062"/>
      <c r="J66" s="1052"/>
      <c r="K66" s="1062"/>
      <c r="L66" s="1053"/>
      <c r="M66" s="745">
        <f t="shared" si="11"/>
        <v>0</v>
      </c>
      <c r="N66" s="726" t="str">
        <f t="shared" si="12"/>
        <v>Arrière PV</v>
      </c>
      <c r="O66" s="745">
        <f t="shared" si="15"/>
        <v>200</v>
      </c>
      <c r="P66" s="683">
        <f t="shared" ref="P66:Z66" si="35">$I34</f>
        <v>18.262889942194128</v>
      </c>
      <c r="Q66" s="687">
        <f t="shared" si="35"/>
        <v>18.262889942194128</v>
      </c>
      <c r="R66" s="687">
        <f t="shared" si="35"/>
        <v>18.262889942194128</v>
      </c>
      <c r="S66" s="687">
        <f t="shared" si="35"/>
        <v>18.262889942194128</v>
      </c>
      <c r="T66" s="684">
        <f t="shared" si="35"/>
        <v>18.262889942194128</v>
      </c>
      <c r="U66" s="892">
        <f t="shared" si="35"/>
        <v>18.262889942194128</v>
      </c>
      <c r="V66" s="683">
        <f t="shared" si="35"/>
        <v>18.262889942194128</v>
      </c>
      <c r="W66" s="687">
        <f t="shared" si="35"/>
        <v>18.262889942194128</v>
      </c>
      <c r="X66" s="687">
        <f t="shared" si="35"/>
        <v>18.262889942194128</v>
      </c>
      <c r="Y66" s="687">
        <f t="shared" si="35"/>
        <v>18.262889942194128</v>
      </c>
      <c r="Z66" s="684">
        <f t="shared" si="35"/>
        <v>18.262889942194128</v>
      </c>
      <c r="AD66" s="70"/>
    </row>
    <row r="67" spans="1:30" s="28" customFormat="1" ht="12.75" x14ac:dyDescent="0.2">
      <c r="A67" s="1059">
        <f t="shared" si="10"/>
        <v>0</v>
      </c>
      <c r="B67" s="1060"/>
      <c r="C67" s="1061"/>
      <c r="D67" s="1061"/>
      <c r="E67" s="1061"/>
      <c r="F67" s="981"/>
      <c r="G67" s="1047"/>
      <c r="H67" s="1051"/>
      <c r="I67" s="1062"/>
      <c r="J67" s="1052"/>
      <c r="K67" s="1062"/>
      <c r="L67" s="1053"/>
      <c r="M67" s="745">
        <f t="shared" si="11"/>
        <v>0</v>
      </c>
      <c r="N67" s="726">
        <f t="shared" si="12"/>
        <v>0</v>
      </c>
      <c r="O67" s="745">
        <f t="shared" si="15"/>
        <v>200</v>
      </c>
      <c r="P67" s="683">
        <f t="shared" ref="P67:Z70" si="36">P66</f>
        <v>18.262889942194128</v>
      </c>
      <c r="Q67" s="687">
        <f t="shared" si="36"/>
        <v>18.262889942194128</v>
      </c>
      <c r="R67" s="687">
        <f t="shared" si="36"/>
        <v>18.262889942194128</v>
      </c>
      <c r="S67" s="687">
        <f t="shared" si="36"/>
        <v>18.262889942194128</v>
      </c>
      <c r="T67" s="684">
        <f t="shared" si="36"/>
        <v>18.262889942194128</v>
      </c>
      <c r="U67" s="892">
        <f t="shared" si="36"/>
        <v>18.262889942194128</v>
      </c>
      <c r="V67" s="683">
        <f t="shared" si="36"/>
        <v>18.262889942194128</v>
      </c>
      <c r="W67" s="687">
        <f t="shared" si="36"/>
        <v>18.262889942194128</v>
      </c>
      <c r="X67" s="687">
        <f t="shared" si="36"/>
        <v>18.262889942194128</v>
      </c>
      <c r="Y67" s="687">
        <f t="shared" si="36"/>
        <v>18.262889942194128</v>
      </c>
      <c r="Z67" s="684">
        <f t="shared" si="36"/>
        <v>18.262889942194128</v>
      </c>
      <c r="AD67" s="70"/>
    </row>
    <row r="68" spans="1:30" s="28" customFormat="1" ht="12.75" x14ac:dyDescent="0.2">
      <c r="A68" s="1059">
        <f t="shared" si="10"/>
        <v>0</v>
      </c>
      <c r="B68" s="1060"/>
      <c r="C68" s="1061"/>
      <c r="D68" s="1061"/>
      <c r="E68" s="1061"/>
      <c r="F68" s="981"/>
      <c r="G68" s="1047"/>
      <c r="H68" s="1051"/>
      <c r="I68" s="1062"/>
      <c r="J68" s="1052"/>
      <c r="K68" s="1062"/>
      <c r="L68" s="1053"/>
      <c r="M68" s="745">
        <f t="shared" si="11"/>
        <v>0</v>
      </c>
      <c r="N68" s="726">
        <f t="shared" si="12"/>
        <v>0</v>
      </c>
      <c r="O68" s="745">
        <f t="shared" si="15"/>
        <v>200</v>
      </c>
      <c r="P68" s="683">
        <f t="shared" si="36"/>
        <v>18.262889942194128</v>
      </c>
      <c r="Q68" s="687">
        <f t="shared" si="36"/>
        <v>18.262889942194128</v>
      </c>
      <c r="R68" s="687">
        <f t="shared" si="36"/>
        <v>18.262889942194128</v>
      </c>
      <c r="S68" s="687">
        <f t="shared" si="36"/>
        <v>18.262889942194128</v>
      </c>
      <c r="T68" s="684">
        <f t="shared" si="36"/>
        <v>18.262889942194128</v>
      </c>
      <c r="U68" s="892">
        <f t="shared" si="36"/>
        <v>18.262889942194128</v>
      </c>
      <c r="V68" s="683">
        <f t="shared" si="36"/>
        <v>18.262889942194128</v>
      </c>
      <c r="W68" s="687">
        <f t="shared" si="36"/>
        <v>18.262889942194128</v>
      </c>
      <c r="X68" s="687">
        <f t="shared" si="36"/>
        <v>18.262889942194128</v>
      </c>
      <c r="Y68" s="687">
        <f t="shared" si="36"/>
        <v>18.262889942194128</v>
      </c>
      <c r="Z68" s="684">
        <f t="shared" si="36"/>
        <v>18.262889942194128</v>
      </c>
      <c r="AD68" s="70"/>
    </row>
    <row r="69" spans="1:30" s="28" customFormat="1" ht="12.75" x14ac:dyDescent="0.2">
      <c r="A69" s="1059">
        <f t="shared" si="10"/>
        <v>0</v>
      </c>
      <c r="B69" s="1060"/>
      <c r="C69" s="1061"/>
      <c r="D69" s="1061"/>
      <c r="E69" s="1061"/>
      <c r="F69" s="981"/>
      <c r="G69" s="1047"/>
      <c r="H69" s="1051"/>
      <c r="I69" s="1062"/>
      <c r="J69" s="1052"/>
      <c r="K69" s="1062"/>
      <c r="L69" s="1053"/>
      <c r="M69" s="745">
        <f t="shared" si="11"/>
        <v>0</v>
      </c>
      <c r="N69" s="726">
        <f t="shared" si="12"/>
        <v>0</v>
      </c>
      <c r="O69" s="745">
        <f t="shared" si="15"/>
        <v>200</v>
      </c>
      <c r="P69" s="683">
        <f t="shared" si="36"/>
        <v>18.262889942194128</v>
      </c>
      <c r="Q69" s="687">
        <f t="shared" si="36"/>
        <v>18.262889942194128</v>
      </c>
      <c r="R69" s="687">
        <f t="shared" si="36"/>
        <v>18.262889942194128</v>
      </c>
      <c r="S69" s="687">
        <f t="shared" si="36"/>
        <v>18.262889942194128</v>
      </c>
      <c r="T69" s="684">
        <f t="shared" si="36"/>
        <v>18.262889942194128</v>
      </c>
      <c r="U69" s="892">
        <f t="shared" si="36"/>
        <v>18.262889942194128</v>
      </c>
      <c r="V69" s="683">
        <f t="shared" si="36"/>
        <v>18.262889942194128</v>
      </c>
      <c r="W69" s="687">
        <f t="shared" si="36"/>
        <v>18.262889942194128</v>
      </c>
      <c r="X69" s="687">
        <f t="shared" si="36"/>
        <v>18.262889942194128</v>
      </c>
      <c r="Y69" s="687">
        <f t="shared" si="36"/>
        <v>18.262889942194128</v>
      </c>
      <c r="Z69" s="684">
        <f t="shared" si="36"/>
        <v>18.262889942194128</v>
      </c>
      <c r="AD69" s="70"/>
    </row>
    <row r="70" spans="1:30" s="28" customFormat="1" ht="12.75" x14ac:dyDescent="0.2">
      <c r="A70" s="1063">
        <f t="shared" si="10"/>
        <v>0</v>
      </c>
      <c r="B70" s="1064"/>
      <c r="C70" s="1065"/>
      <c r="D70" s="1065"/>
      <c r="E70" s="1065"/>
      <c r="F70" s="983"/>
      <c r="G70" s="1066"/>
      <c r="H70" s="1067"/>
      <c r="I70" s="1068"/>
      <c r="J70" s="1069"/>
      <c r="K70" s="1068"/>
      <c r="L70" s="1070"/>
      <c r="M70" s="765">
        <f t="shared" si="11"/>
        <v>0</v>
      </c>
      <c r="N70" s="764">
        <f t="shared" si="12"/>
        <v>0</v>
      </c>
      <c r="O70" s="765">
        <f t="shared" si="15"/>
        <v>200</v>
      </c>
      <c r="P70" s="893">
        <f t="shared" si="36"/>
        <v>18.262889942194128</v>
      </c>
      <c r="Q70" s="894">
        <f t="shared" si="36"/>
        <v>18.262889942194128</v>
      </c>
      <c r="R70" s="894">
        <f t="shared" si="36"/>
        <v>18.262889942194128</v>
      </c>
      <c r="S70" s="894">
        <f t="shared" si="36"/>
        <v>18.262889942194128</v>
      </c>
      <c r="T70" s="895">
        <f t="shared" si="36"/>
        <v>18.262889942194128</v>
      </c>
      <c r="U70" s="896">
        <f t="shared" si="36"/>
        <v>18.262889942194128</v>
      </c>
      <c r="V70" s="893">
        <f t="shared" si="36"/>
        <v>18.262889942194128</v>
      </c>
      <c r="W70" s="894">
        <f t="shared" si="36"/>
        <v>18.262889942194128</v>
      </c>
      <c r="X70" s="894">
        <f t="shared" si="36"/>
        <v>18.262889942194128</v>
      </c>
      <c r="Y70" s="894">
        <f t="shared" si="36"/>
        <v>18.262889942194128</v>
      </c>
      <c r="Z70" s="895">
        <f t="shared" si="36"/>
        <v>18.262889942194128</v>
      </c>
      <c r="AD70" s="70"/>
    </row>
    <row r="71" spans="1:30" s="19" customFormat="1" ht="12.75" x14ac:dyDescent="0.2">
      <c r="G71" s="31"/>
      <c r="H71" s="31"/>
      <c r="U71" s="29"/>
      <c r="W71" s="29"/>
      <c r="X71" s="766"/>
      <c r="Y71" s="29"/>
      <c r="AA71" s="29"/>
    </row>
    <row r="72" spans="1:30" s="19" customFormat="1" ht="15.75" x14ac:dyDescent="0.25">
      <c r="A72" s="690" t="s">
        <v>206</v>
      </c>
      <c r="F72" s="30"/>
      <c r="G72" s="29"/>
      <c r="H72" s="31"/>
      <c r="K72" s="30"/>
      <c r="Q72" s="29"/>
      <c r="R72" s="712"/>
      <c r="S72" s="29"/>
      <c r="U72" s="29"/>
      <c r="W72" s="29"/>
      <c r="X72" s="766"/>
      <c r="Y72" s="29"/>
      <c r="AA72" s="29"/>
    </row>
    <row r="73" spans="1:30" s="19" customFormat="1" ht="12.75" x14ac:dyDescent="0.2">
      <c r="A73" s="767" t="str">
        <f t="array" ref="A73:W85">+TRANSPOSE(N48:Z70)</f>
        <v>Aureville</v>
      </c>
      <c r="B73" s="787" t="str">
        <v>Arrière PV</v>
      </c>
      <c r="C73" s="768" t="str">
        <v>Arbre 0</v>
      </c>
      <c r="D73" s="768" t="str">
        <v>Arbre 2</v>
      </c>
      <c r="E73" s="768" t="str">
        <v>Arbre 1</v>
      </c>
      <c r="F73" s="768" t="str">
        <v>Arbre 3</v>
      </c>
      <c r="G73" s="768" t="str">
        <v>Arbre 4</v>
      </c>
      <c r="H73" s="768" t="str">
        <v>Arbre 5</v>
      </c>
      <c r="I73" s="768" t="str">
        <v>Creux 2 -10,4°</v>
      </c>
      <c r="J73" s="768" t="str">
        <v>Arbre 6</v>
      </c>
      <c r="K73" s="768" t="str">
        <v>Arbre 7</v>
      </c>
      <c r="L73" s="768" t="str">
        <v>Creux 3</v>
      </c>
      <c r="M73" s="768" t="str">
        <v>Arbre 8</v>
      </c>
      <c r="N73" s="768" t="str">
        <v>Creux 4</v>
      </c>
      <c r="O73" s="768" t="str">
        <v>Arbre 9</v>
      </c>
      <c r="P73" s="768" t="str">
        <v>Creux 5</v>
      </c>
      <c r="Q73" s="768" t="str">
        <v xml:space="preserve">Arbre 10 </v>
      </c>
      <c r="R73" s="768" t="str">
        <v>Arbre 11</v>
      </c>
      <c r="S73" s="787" t="str">
        <v>Arrière PV</v>
      </c>
      <c r="T73" s="787">
        <v>0</v>
      </c>
      <c r="U73" s="787">
        <v>0</v>
      </c>
      <c r="V73" s="787">
        <v>0</v>
      </c>
      <c r="W73" s="787">
        <v>0</v>
      </c>
      <c r="Y73" s="29"/>
    </row>
    <row r="74" spans="1:30" s="19" customFormat="1" ht="12.75" x14ac:dyDescent="0.2">
      <c r="A74" s="769" t="str">
        <v>Azi.S / PV</v>
      </c>
      <c r="B74" s="791">
        <v>-160</v>
      </c>
      <c r="C74" s="770">
        <v>-77.290481374110414</v>
      </c>
      <c r="D74" s="771">
        <v>-49</v>
      </c>
      <c r="E74" s="771">
        <v>-40.795106267771949</v>
      </c>
      <c r="F74" s="770">
        <v>-28.51831205572833</v>
      </c>
      <c r="G74" s="770">
        <v>-19.838563020393337</v>
      </c>
      <c r="H74" s="770">
        <v>-8.8715442272544607</v>
      </c>
      <c r="I74" s="771">
        <v>-1</v>
      </c>
      <c r="J74" s="770">
        <v>17.03207550221515</v>
      </c>
      <c r="K74" s="770">
        <v>27</v>
      </c>
      <c r="L74" s="770">
        <v>34.759981957521461</v>
      </c>
      <c r="M74" s="770">
        <v>45.498106826837756</v>
      </c>
      <c r="N74" s="770">
        <v>53</v>
      </c>
      <c r="O74" s="771">
        <v>70.962212947360769</v>
      </c>
      <c r="P74" s="771">
        <v>95</v>
      </c>
      <c r="Q74" s="771">
        <v>103.41807886046519</v>
      </c>
      <c r="R74" s="771">
        <v>118.08678228972542</v>
      </c>
      <c r="S74" s="788">
        <v>200</v>
      </c>
      <c r="T74" s="788">
        <v>200</v>
      </c>
      <c r="U74" s="788">
        <v>200</v>
      </c>
      <c r="V74" s="788">
        <v>200</v>
      </c>
      <c r="W74" s="789">
        <v>200</v>
      </c>
      <c r="Y74" s="29"/>
    </row>
    <row r="75" spans="1:30" s="19" customFormat="1" ht="12.75" x14ac:dyDescent="0.2">
      <c r="A75" s="759">
        <v>-5</v>
      </c>
      <c r="B75" s="903">
        <v>18.262889942194128</v>
      </c>
      <c r="C75" s="772">
        <v>-2.3278647318645218</v>
      </c>
      <c r="D75" s="773">
        <v>-1.2429377696884656</v>
      </c>
      <c r="E75" s="773">
        <v>-3.306173167150432</v>
      </c>
      <c r="F75" s="772">
        <v>-0.76127662752435143</v>
      </c>
      <c r="G75" s="772">
        <v>3.5140868431875494</v>
      </c>
      <c r="H75" s="772">
        <v>2.9041259410057814</v>
      </c>
      <c r="I75" s="773">
        <v>3.3015223833880096</v>
      </c>
      <c r="J75" s="772">
        <v>8.9553661987281092</v>
      </c>
      <c r="K75" s="772">
        <v>7.9155197569860212</v>
      </c>
      <c r="L75" s="772">
        <v>6.2578163232642741</v>
      </c>
      <c r="M75" s="772">
        <v>7.8577818627086105</v>
      </c>
      <c r="N75" s="772">
        <v>5.0643334581523254</v>
      </c>
      <c r="O75" s="773">
        <v>6.43173204058417</v>
      </c>
      <c r="P75" s="773">
        <v>3.0502776029197713</v>
      </c>
      <c r="Q75" s="773">
        <v>3.8346591126693546</v>
      </c>
      <c r="R75" s="773">
        <v>17.148460729111125</v>
      </c>
      <c r="S75" s="790">
        <v>18.262889942194128</v>
      </c>
      <c r="T75" s="790">
        <v>18.262889942194128</v>
      </c>
      <c r="U75" s="790">
        <v>18.262889942194128</v>
      </c>
      <c r="V75" s="790">
        <v>18.262889942194128</v>
      </c>
      <c r="W75" s="729">
        <v>18.262889942194128</v>
      </c>
      <c r="Y75" s="29"/>
    </row>
    <row r="76" spans="1:30" s="19" customFormat="1" ht="12.75" x14ac:dyDescent="0.2">
      <c r="A76" s="759">
        <v>-4</v>
      </c>
      <c r="B76" s="733">
        <v>18.262889942194128</v>
      </c>
      <c r="C76" s="774">
        <v>-2.3278647318645218</v>
      </c>
      <c r="D76" s="753">
        <v>0.5297498807539196</v>
      </c>
      <c r="E76" s="753">
        <v>-3.306173167150432</v>
      </c>
      <c r="F76" s="774">
        <v>0.71890462307338099</v>
      </c>
      <c r="G76" s="774">
        <v>4.6669432002478732</v>
      </c>
      <c r="H76" s="774">
        <v>3.9184830686205552</v>
      </c>
      <c r="I76" s="753">
        <v>3.5947670563958378</v>
      </c>
      <c r="J76" s="774">
        <v>9.1622462944338121</v>
      </c>
      <c r="K76" s="774">
        <v>8.1621388620267652</v>
      </c>
      <c r="L76" s="774">
        <v>6.5128156455153032</v>
      </c>
      <c r="M76" s="774">
        <v>8.1363242303306205</v>
      </c>
      <c r="N76" s="774">
        <v>5.5085214366535569</v>
      </c>
      <c r="O76" s="753">
        <v>7.0563160897321611</v>
      </c>
      <c r="P76" s="753">
        <v>3.4472804723209003</v>
      </c>
      <c r="Q76" s="753">
        <v>8.0351484194693761</v>
      </c>
      <c r="R76" s="753">
        <v>19.580178920202783</v>
      </c>
      <c r="S76" s="745">
        <v>18.262889942194128</v>
      </c>
      <c r="T76" s="745">
        <v>18.262889942194128</v>
      </c>
      <c r="U76" s="745">
        <v>18.262889942194128</v>
      </c>
      <c r="V76" s="745">
        <v>18.262889942194128</v>
      </c>
      <c r="W76" s="734">
        <v>18.262889942194128</v>
      </c>
      <c r="Y76" s="29"/>
    </row>
    <row r="77" spans="1:30" s="19" customFormat="1" ht="12.75" x14ac:dyDescent="0.2">
      <c r="A77" s="759">
        <v>-3</v>
      </c>
      <c r="B77" s="733">
        <v>18.262889942194128</v>
      </c>
      <c r="C77" s="774">
        <v>-0.85070835461390082</v>
      </c>
      <c r="D77" s="753">
        <v>2.3014242135928979</v>
      </c>
      <c r="E77" s="753">
        <v>-3.306173167150432</v>
      </c>
      <c r="F77" s="774">
        <v>2.1981270679199549</v>
      </c>
      <c r="G77" s="774">
        <v>5.8160251654012596</v>
      </c>
      <c r="H77" s="774">
        <v>4.9303862495148376</v>
      </c>
      <c r="I77" s="753">
        <v>3.8878232763662468</v>
      </c>
      <c r="J77" s="774">
        <v>9.3688857096959328</v>
      </c>
      <c r="K77" s="774">
        <v>8.408453839782835</v>
      </c>
      <c r="L77" s="774">
        <v>6.7675561084731672</v>
      </c>
      <c r="M77" s="774">
        <v>8.4144799444983125</v>
      </c>
      <c r="N77" s="774">
        <v>5.952046226973164</v>
      </c>
      <c r="O77" s="753">
        <v>7.6792191668987844</v>
      </c>
      <c r="P77" s="753">
        <v>3.843952207704354</v>
      </c>
      <c r="Q77" s="753">
        <v>12.150603418462989</v>
      </c>
      <c r="R77" s="753">
        <v>21.940669791028864</v>
      </c>
      <c r="S77" s="745">
        <v>18.262889942194128</v>
      </c>
      <c r="T77" s="745">
        <v>18.262889942194128</v>
      </c>
      <c r="U77" s="745">
        <v>18.262889942194128</v>
      </c>
      <c r="V77" s="745">
        <v>18.262889942194128</v>
      </c>
      <c r="W77" s="734">
        <v>18.262889942194128</v>
      </c>
      <c r="Y77" s="29"/>
    </row>
    <row r="78" spans="1:30" s="19" customFormat="1" ht="12.75" x14ac:dyDescent="0.2">
      <c r="A78" s="759">
        <v>-2</v>
      </c>
      <c r="B78" s="733">
        <v>18.262889942194128</v>
      </c>
      <c r="C78" s="774">
        <v>2.2915339970628024</v>
      </c>
      <c r="D78" s="753">
        <v>4.0687075098763392</v>
      </c>
      <c r="E78" s="753">
        <v>-0.20101651564224909</v>
      </c>
      <c r="F78" s="774">
        <v>3.6744242717650737</v>
      </c>
      <c r="G78" s="774">
        <v>6.9604321502625579</v>
      </c>
      <c r="H78" s="774">
        <v>5.9392158029090885</v>
      </c>
      <c r="I78" s="753">
        <v>4.1806759071069806</v>
      </c>
      <c r="J78" s="774">
        <v>9.5752794982161635</v>
      </c>
      <c r="K78" s="774">
        <v>8.6544561651056533</v>
      </c>
      <c r="L78" s="774">
        <v>7.0220280506811514</v>
      </c>
      <c r="M78" s="774">
        <v>8.6922367262256799</v>
      </c>
      <c r="N78" s="774">
        <v>6.3948562841252219</v>
      </c>
      <c r="O78" s="753">
        <v>8.3003014293219071</v>
      </c>
      <c r="P78" s="753">
        <v>4.2402552485420104</v>
      </c>
      <c r="Q78" s="753">
        <v>16.142786009649384</v>
      </c>
      <c r="R78" s="753">
        <v>24.225370209281802</v>
      </c>
      <c r="S78" s="745">
        <v>18.262889942194128</v>
      </c>
      <c r="T78" s="745">
        <v>18.262889942194128</v>
      </c>
      <c r="U78" s="745">
        <v>18.262889942194128</v>
      </c>
      <c r="V78" s="745">
        <v>18.262889942194128</v>
      </c>
      <c r="W78" s="734">
        <v>18.262889942194128</v>
      </c>
      <c r="Y78" s="29"/>
    </row>
    <row r="79" spans="1:30" s="19" customFormat="1" ht="12.75" x14ac:dyDescent="0.2">
      <c r="A79" s="809">
        <v>-1</v>
      </c>
      <c r="B79" s="733">
        <v>18.262889942194128</v>
      </c>
      <c r="C79" s="774">
        <v>5.4200584256745525</v>
      </c>
      <c r="D79" s="753">
        <v>5.8282720678036588</v>
      </c>
      <c r="E79" s="753">
        <v>4.258253743357332</v>
      </c>
      <c r="F79" s="774">
        <v>5.1458530645571781</v>
      </c>
      <c r="G79" s="774">
        <v>8.0992857768196558</v>
      </c>
      <c r="H79" s="774">
        <v>6.9443634206264671</v>
      </c>
      <c r="I79" s="753">
        <v>4.473309875994441</v>
      </c>
      <c r="J79" s="774">
        <v>9.7814227509454632</v>
      </c>
      <c r="K79" s="774">
        <v>8.9001373805808655</v>
      </c>
      <c r="L79" s="774">
        <v>7.2762218734110498</v>
      </c>
      <c r="M79" s="774">
        <v>8.9695824067180503</v>
      </c>
      <c r="N79" s="774">
        <v>6.8369005705640733</v>
      </c>
      <c r="O79" s="753">
        <v>8.919425561449934</v>
      </c>
      <c r="P79" s="753">
        <v>4.6361522451820907</v>
      </c>
      <c r="Q79" s="753">
        <v>19.980418102763387</v>
      </c>
      <c r="R79" s="753">
        <v>26.430965501225863</v>
      </c>
      <c r="S79" s="745">
        <v>18.262889942194128</v>
      </c>
      <c r="T79" s="745">
        <v>18.262889942194128</v>
      </c>
      <c r="U79" s="745">
        <v>18.262889942194128</v>
      </c>
      <c r="V79" s="745">
        <v>18.262889942194128</v>
      </c>
      <c r="W79" s="734">
        <v>18.262889942194128</v>
      </c>
      <c r="Y79" s="29"/>
    </row>
    <row r="80" spans="1:30" s="19" customFormat="1" ht="12.75" x14ac:dyDescent="0.2">
      <c r="A80" s="759">
        <v>0</v>
      </c>
      <c r="B80" s="904">
        <v>18.262889942194128</v>
      </c>
      <c r="C80" s="812">
        <v>8.5165300307350549</v>
      </c>
      <c r="D80" s="721">
        <v>7.5768772100888402</v>
      </c>
      <c r="E80" s="721">
        <v>8.6665342510555572</v>
      </c>
      <c r="F80" s="812">
        <v>6.610508690823294</v>
      </c>
      <c r="G80" s="812">
        <v>9.2317336967595711</v>
      </c>
      <c r="H80" s="812">
        <v>7.9452342810500545</v>
      </c>
      <c r="I80" s="721">
        <v>4.7657101785319922</v>
      </c>
      <c r="J80" s="812">
        <v>9.9873105966891735</v>
      </c>
      <c r="K80" s="812">
        <v>9.1454890980882055</v>
      </c>
      <c r="L80" s="812">
        <v>7.5301280426944439</v>
      </c>
      <c r="M80" s="812">
        <v>9.2465049302300404</v>
      </c>
      <c r="N80" s="812">
        <v>7.2781285896789738</v>
      </c>
      <c r="O80" s="721">
        <v>9.5364569405200825</v>
      </c>
      <c r="P80" s="721">
        <v>5.0316060795292854</v>
      </c>
      <c r="Q80" s="721">
        <v>23.640060919050594</v>
      </c>
      <c r="R80" s="721">
        <v>28.555301252061604</v>
      </c>
      <c r="S80" s="811">
        <v>18.262889942194128</v>
      </c>
      <c r="T80" s="811">
        <v>18.262889942194128</v>
      </c>
      <c r="U80" s="811">
        <v>18.262889942194128</v>
      </c>
      <c r="V80" s="811">
        <v>18.262889942194128</v>
      </c>
      <c r="W80" s="813">
        <v>18.262889942194128</v>
      </c>
      <c r="Y80" s="29"/>
    </row>
    <row r="81" spans="1:25" s="19" customFormat="1" ht="12.75" x14ac:dyDescent="0.2">
      <c r="A81" s="810">
        <v>1</v>
      </c>
      <c r="B81" s="733">
        <v>18.262889942194128</v>
      </c>
      <c r="C81" s="774">
        <v>11.563728053983908</v>
      </c>
      <c r="D81" s="753">
        <v>9.3114038662676393</v>
      </c>
      <c r="E81" s="753">
        <v>12.973979684979001</v>
      </c>
      <c r="F81" s="774">
        <v>8.0665392078872653</v>
      </c>
      <c r="G81" s="774">
        <v>10.356953112563019</v>
      </c>
      <c r="H81" s="774">
        <v>8.9412490415770165</v>
      </c>
      <c r="I81" s="753">
        <v>5.0578618828555637</v>
      </c>
      <c r="J81" s="774">
        <v>10.192938202698388</v>
      </c>
      <c r="K81" s="774">
        <v>9.3905030003251593</v>
      </c>
      <c r="L81" s="774">
        <v>7.78373709131706</v>
      </c>
      <c r="M81" s="774">
        <v>9.5229923568483699</v>
      </c>
      <c r="N81" s="774">
        <v>7.7184904183501182</v>
      </c>
      <c r="O81" s="753">
        <v>10.151263793157824</v>
      </c>
      <c r="P81" s="753">
        <v>5.4265798853972802</v>
      </c>
      <c r="Q81" s="753">
        <v>27.106140153427113</v>
      </c>
      <c r="R81" s="753">
        <v>30.597270283857156</v>
      </c>
      <c r="S81" s="745">
        <v>18.262889942194128</v>
      </c>
      <c r="T81" s="745">
        <v>18.262889942194128</v>
      </c>
      <c r="U81" s="745">
        <v>18.262889942194128</v>
      </c>
      <c r="V81" s="745">
        <v>18.262889942194128</v>
      </c>
      <c r="W81" s="734">
        <v>18.262889942194128</v>
      </c>
      <c r="Y81" s="29"/>
    </row>
    <row r="82" spans="1:25" s="19" customFormat="1" ht="12.75" x14ac:dyDescent="0.2">
      <c r="A82" s="759">
        <v>2</v>
      </c>
      <c r="B82" s="733">
        <v>18.262889942194128</v>
      </c>
      <c r="C82" s="774">
        <v>14.546078373684997</v>
      </c>
      <c r="D82" s="753">
        <v>11.028885843968789</v>
      </c>
      <c r="E82" s="753">
        <v>17.137460379281482</v>
      </c>
      <c r="F82" s="774">
        <v>9.5121588690676244</v>
      </c>
      <c r="G82" s="774">
        <v>11.474153967945229</v>
      </c>
      <c r="H82" s="774">
        <v>9.931845694058886</v>
      </c>
      <c r="I82" s="753">
        <v>5.3497501341833118</v>
      </c>
      <c r="J82" s="774">
        <v>10.398300775247481</v>
      </c>
      <c r="K82" s="774">
        <v>9.6351708422938955</v>
      </c>
      <c r="L82" s="774">
        <v>8.0370396207752961</v>
      </c>
      <c r="M82" s="774">
        <v>9.799032865198166</v>
      </c>
      <c r="N82" s="774">
        <v>8.1579367385175114</v>
      </c>
      <c r="O82" s="753">
        <v>10.763717342616772</v>
      </c>
      <c r="P82" s="753">
        <v>5.8210370685065502</v>
      </c>
      <c r="Q82" s="753">
        <v>30.370303332353703</v>
      </c>
      <c r="R82" s="753">
        <v>32.556685084238531</v>
      </c>
      <c r="S82" s="745">
        <v>18.262889942194128</v>
      </c>
      <c r="T82" s="745">
        <v>18.262889942194128</v>
      </c>
      <c r="U82" s="745">
        <v>18.262889942194128</v>
      </c>
      <c r="V82" s="745">
        <v>18.262889942194128</v>
      </c>
      <c r="W82" s="734">
        <v>18.262889942194128</v>
      </c>
      <c r="Y82" s="29"/>
    </row>
    <row r="83" spans="1:25" s="19" customFormat="1" ht="12.75" x14ac:dyDescent="0.2">
      <c r="A83" s="759">
        <v>3</v>
      </c>
      <c r="B83" s="733">
        <v>18.262889942194128</v>
      </c>
      <c r="C83" s="774">
        <v>17.450054352917732</v>
      </c>
      <c r="D83" s="753">
        <v>12.726537067985547</v>
      </c>
      <c r="E83" s="753">
        <v>21.122648466238154</v>
      </c>
      <c r="F83" s="774">
        <v>10.945660263845165</v>
      </c>
      <c r="G83" s="774">
        <v>12.582581781900826</v>
      </c>
      <c r="H83" s="774">
        <v>10.916481269927862</v>
      </c>
      <c r="I83" s="753">
        <v>5.641360159206072</v>
      </c>
      <c r="J83" s="774">
        <v>10.603393560197643</v>
      </c>
      <c r="K83" s="774">
        <v>9.8794844527509227</v>
      </c>
      <c r="L83" s="774">
        <v>8.2900263031939652</v>
      </c>
      <c r="M83" s="774">
        <v>10.074614755071547</v>
      </c>
      <c r="N83" s="774">
        <v>8.5964188677172331</v>
      </c>
      <c r="O83" s="753">
        <v>11.373691946333544</v>
      </c>
      <c r="P83" s="753">
        <v>6.2149413261012443</v>
      </c>
      <c r="Q83" s="753">
        <v>33.430356059247728</v>
      </c>
      <c r="R83" s="753">
        <v>34.434144564197112</v>
      </c>
      <c r="S83" s="745">
        <v>18.262889942194128</v>
      </c>
      <c r="T83" s="745">
        <v>18.262889942194128</v>
      </c>
      <c r="U83" s="745">
        <v>18.262889942194128</v>
      </c>
      <c r="V83" s="745">
        <v>18.262889942194128</v>
      </c>
      <c r="W83" s="734">
        <v>18.262889942194128</v>
      </c>
      <c r="Y83" s="29"/>
    </row>
    <row r="84" spans="1:25" s="19" customFormat="1" ht="12.75" x14ac:dyDescent="0.2">
      <c r="A84" s="759">
        <v>4</v>
      </c>
      <c r="B84" s="733">
        <v>18.262889942194128</v>
      </c>
      <c r="C84" s="774">
        <v>20.264427405920163</v>
      </c>
      <c r="D84" s="753">
        <v>14.401774258249144</v>
      </c>
      <c r="E84" s="753">
        <v>24.904886214676072</v>
      </c>
      <c r="F84" s="774">
        <v>12.36542502954523</v>
      </c>
      <c r="G84" s="774">
        <v>13.68152010753743</v>
      </c>
      <c r="H84" s="774">
        <v>11.894633384066815</v>
      </c>
      <c r="I84" s="753">
        <v>5.9326772704155246</v>
      </c>
      <c r="J84" s="774">
        <v>10.808211843546305</v>
      </c>
      <c r="K84" s="774">
        <v>10.123435735618976</v>
      </c>
      <c r="L84" s="774">
        <v>8.5426878832044153</v>
      </c>
      <c r="M84" s="774">
        <v>10.34972644997737</v>
      </c>
      <c r="N84" s="774">
        <v>9.0338887885428516</v>
      </c>
      <c r="O84" s="753">
        <v>11.981065223527819</v>
      </c>
      <c r="P84" s="753">
        <v>6.6082566661599413</v>
      </c>
      <c r="Q84" s="753">
        <v>36.289014083663488</v>
      </c>
      <c r="R84" s="753">
        <v>36.230902258032792</v>
      </c>
      <c r="S84" s="745">
        <v>18.262889942194128</v>
      </c>
      <c r="T84" s="745">
        <v>18.262889942194128</v>
      </c>
      <c r="U84" s="745">
        <v>18.262889942194128</v>
      </c>
      <c r="V84" s="745">
        <v>18.262889942194128</v>
      </c>
      <c r="W84" s="734">
        <v>18.262889942194128</v>
      </c>
      <c r="Y84" s="29"/>
    </row>
    <row r="85" spans="1:25" s="19" customFormat="1" ht="12.75" x14ac:dyDescent="0.2">
      <c r="A85" s="759">
        <v>5</v>
      </c>
      <c r="B85" s="905">
        <v>18.262889942194128</v>
      </c>
      <c r="C85" s="775">
        <v>22.980367536275452</v>
      </c>
      <c r="D85" s="776">
        <v>16.052234723306679</v>
      </c>
      <c r="E85" s="776">
        <v>28.468953854249847</v>
      </c>
      <c r="F85" s="775">
        <v>13.769932996059271</v>
      </c>
      <c r="G85" s="775">
        <v>14.770292603850663</v>
      </c>
      <c r="H85" s="775">
        <v>12.86580160892783</v>
      </c>
      <c r="I85" s="776">
        <v>6.2236868703669792</v>
      </c>
      <c r="J85" s="775">
        <v>11.012750951962373</v>
      </c>
      <c r="K85" s="775">
        <v>10.367016671360629</v>
      </c>
      <c r="L85" s="775">
        <v>8.7950151797821938</v>
      </c>
      <c r="M85" s="775">
        <v>10.624356499611052</v>
      </c>
      <c r="N85" s="775">
        <v>9.4702991769930662</v>
      </c>
      <c r="O85" s="776">
        <v>12.585718172633785</v>
      </c>
      <c r="P85" s="776">
        <v>7.0009474261761024</v>
      </c>
      <c r="Q85" s="776">
        <v>38.952656186642685</v>
      </c>
      <c r="R85" s="776">
        <v>37.9487412305728</v>
      </c>
      <c r="S85" s="765">
        <v>18.262889942194128</v>
      </c>
      <c r="T85" s="765">
        <v>18.262889942194128</v>
      </c>
      <c r="U85" s="765">
        <v>18.262889942194128</v>
      </c>
      <c r="V85" s="765">
        <v>18.262889942194128</v>
      </c>
      <c r="W85" s="740">
        <v>18.262889942194128</v>
      </c>
      <c r="Y85" s="29"/>
    </row>
  </sheetData>
  <sheetProtection sheet="1" formatCells="0" formatColumns="0" formatRows="0"/>
  <mergeCells count="5">
    <mergeCell ref="B1:F1"/>
    <mergeCell ref="H1:I1"/>
    <mergeCell ref="E2:F3"/>
    <mergeCell ref="B47:L47"/>
    <mergeCell ref="P47:Z47"/>
  </mergeCells>
  <conditionalFormatting sqref="J17:J38">
    <cfRule type="cellIs" dxfId="38" priority="1" stopIfTrue="1" operator="lessThanOrEqual">
      <formula>8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J2" sqref="J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6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.7109375" style="6" customWidth="1"/>
    <col min="62" max="64" width="10.140625" style="6" customWidth="1"/>
    <col min="65" max="65" width="10.140625" style="575" customWidth="1"/>
    <col min="66" max="69" width="10.140625" style="6" customWidth="1"/>
    <col min="70" max="70" width="10.140625" style="575" customWidth="1"/>
    <col min="71" max="71" width="10.140625" style="570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76" t="s">
        <v>205</v>
      </c>
      <c r="B1" s="90"/>
      <c r="K1" s="4"/>
      <c r="L1" s="4"/>
      <c r="M1" s="4"/>
      <c r="N1" s="273" t="s">
        <v>254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906">
        <v>0.98499999999999999</v>
      </c>
      <c r="Z1" s="712" t="s">
        <v>239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70" t="s">
        <v>77</v>
      </c>
      <c r="AN1" s="4"/>
      <c r="AO1" s="4"/>
      <c r="AT1" s="851"/>
      <c r="AY1" s="851"/>
      <c r="BC1" s="1189" t="s">
        <v>220</v>
      </c>
      <c r="BD1" s="1189"/>
      <c r="BE1" s="1189"/>
      <c r="BF1" s="919"/>
      <c r="BH1" s="818" t="s">
        <v>211</v>
      </c>
      <c r="BJ1" s="795"/>
      <c r="BK1" s="795"/>
      <c r="BL1" s="795"/>
      <c r="BM1" s="795"/>
      <c r="BN1" s="795"/>
      <c r="BO1" s="795"/>
      <c r="BP1" s="795"/>
      <c r="BQ1" s="795"/>
      <c r="BR1" s="576"/>
      <c r="BS1" s="577"/>
      <c r="BT1" s="463"/>
    </row>
    <row r="2" spans="1:84" s="4" customFormat="1" ht="12.75" customHeight="1" thickBot="1" x14ac:dyDescent="0.3">
      <c r="A2" s="1180" t="str">
        <f>'Réglage perte'!B2</f>
        <v>Aureville</v>
      </c>
      <c r="B2" s="1181"/>
      <c r="C2" s="1181"/>
      <c r="D2" s="1182"/>
      <c r="I2" s="1142" t="s">
        <v>327</v>
      </c>
      <c r="J2" s="1143">
        <f>AVERAGEIF($BW$15:$CF$380,"&gt;0,97")</f>
        <v>0.99827948526546983</v>
      </c>
      <c r="L2" s="175">
        <v>43079</v>
      </c>
      <c r="M2" s="175">
        <v>43093</v>
      </c>
      <c r="N2" s="848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816"/>
      <c r="BC2" s="1189"/>
      <c r="BD2" s="1189"/>
      <c r="BE2" s="1189"/>
      <c r="BF2" s="919"/>
      <c r="BH2" s="28"/>
      <c r="BI2" s="567"/>
      <c r="BJ2" s="568"/>
      <c r="BK2" s="282"/>
      <c r="BL2" s="568"/>
      <c r="BM2" s="569"/>
      <c r="BN2" s="282"/>
      <c r="BP2" s="6"/>
      <c r="BQ2" s="282"/>
      <c r="BR2" s="569"/>
      <c r="BS2" s="570"/>
      <c r="BT2" s="6"/>
    </row>
    <row r="3" spans="1:84" s="4" customFormat="1" ht="12.75" customHeight="1" thickBot="1" x14ac:dyDescent="0.3">
      <c r="A3" s="1183"/>
      <c r="B3" s="1184"/>
      <c r="C3" s="1184"/>
      <c r="D3" s="1185"/>
      <c r="E3" s="3"/>
      <c r="L3" s="843">
        <f>AL3</f>
        <v>275</v>
      </c>
      <c r="M3" s="847">
        <f>+AM3</f>
        <v>277</v>
      </c>
      <c r="N3" s="171">
        <v>306</v>
      </c>
      <c r="O3" s="171">
        <v>342</v>
      </c>
      <c r="P3" s="171">
        <v>390</v>
      </c>
      <c r="Q3" s="171">
        <v>439</v>
      </c>
      <c r="R3" s="171">
        <v>484</v>
      </c>
      <c r="S3" s="171">
        <v>526</v>
      </c>
      <c r="T3" s="171">
        <v>562</v>
      </c>
      <c r="U3" s="171">
        <v>585</v>
      </c>
      <c r="V3" s="171">
        <v>600</v>
      </c>
      <c r="W3" s="171">
        <v>606</v>
      </c>
      <c r="X3" s="171">
        <v>606</v>
      </c>
      <c r="Y3" s="171">
        <v>601</v>
      </c>
      <c r="Z3" s="171">
        <v>590</v>
      </c>
      <c r="AA3" s="171">
        <v>577</v>
      </c>
      <c r="AB3" s="171">
        <v>562</v>
      </c>
      <c r="AC3" s="171">
        <v>547</v>
      </c>
      <c r="AD3" s="171">
        <v>531</v>
      </c>
      <c r="AE3" s="171">
        <v>514.82586085186654</v>
      </c>
      <c r="AF3" s="171">
        <v>493.83188240669574</v>
      </c>
      <c r="AG3" s="171">
        <v>465</v>
      </c>
      <c r="AH3" s="171">
        <v>429</v>
      </c>
      <c r="AI3" s="171">
        <v>388</v>
      </c>
      <c r="AJ3" s="171">
        <v>341</v>
      </c>
      <c r="AK3" s="171">
        <v>302</v>
      </c>
      <c r="AL3" s="171">
        <v>275</v>
      </c>
      <c r="AM3" s="171">
        <v>277</v>
      </c>
      <c r="AN3" s="843">
        <f>+N3</f>
        <v>306</v>
      </c>
      <c r="AO3" s="844">
        <f>+O3</f>
        <v>342</v>
      </c>
      <c r="BC3" s="1189"/>
      <c r="BD3" s="1189"/>
      <c r="BE3" s="1189"/>
      <c r="BF3" s="919"/>
      <c r="BH3" s="28"/>
      <c r="BI3" s="6"/>
      <c r="BJ3" s="6"/>
      <c r="BK3" s="6"/>
      <c r="BL3" s="6"/>
      <c r="BM3" s="6"/>
      <c r="BN3" s="6"/>
      <c r="BO3" s="907" t="s">
        <v>251</v>
      </c>
      <c r="BP3" s="908">
        <v>0.3</v>
      </c>
      <c r="BQ3" s="909" t="s">
        <v>252</v>
      </c>
      <c r="BR3" s="910" t="s">
        <v>257</v>
      </c>
      <c r="BS3" s="568"/>
    </row>
    <row r="4" spans="1:84" s="4" customFormat="1" ht="12.75" customHeight="1" x14ac:dyDescent="0.25">
      <c r="A4" s="2"/>
      <c r="B4" s="419"/>
      <c r="E4" s="33"/>
      <c r="F4" s="572"/>
      <c r="K4" s="2"/>
      <c r="M4" s="654" t="s">
        <v>202</v>
      </c>
      <c r="N4" s="849">
        <f>MAX($BA15:$BA28)-1</f>
        <v>4.3275230256337061E-2</v>
      </c>
      <c r="O4" s="671">
        <f>MAX($BA29:$BA42)-1</f>
        <v>5.1223192451279598E-3</v>
      </c>
      <c r="P4" s="671">
        <f>MAX($BA43:$BA56)-1</f>
        <v>2.5548809449648324E-2</v>
      </c>
      <c r="Q4" s="671">
        <f>MAX(BA57:BA70)-1</f>
        <v>4.2120241415534609E-2</v>
      </c>
      <c r="R4" s="671">
        <f>MAX(BA71:BA84)-1</f>
        <v>4.9240409767168369E-3</v>
      </c>
      <c r="S4" s="671">
        <f>MAX(BA85:BA98)-1</f>
        <v>2.5637938110121494E-2</v>
      </c>
      <c r="T4" s="671">
        <f>MAX(BA99:BA112)-1</f>
        <v>4.4335716487160948E-2</v>
      </c>
      <c r="U4" s="671">
        <f>MAX(BA113:BA126)-1</f>
        <v>2.9767069580088901E-2</v>
      </c>
      <c r="V4" s="671">
        <f>MAX(BA127:BA140)-1</f>
        <v>3.9374943200989554E-2</v>
      </c>
      <c r="W4" s="671">
        <f>MAX(BA141:BA154)-1</f>
        <v>3.8861368577936872E-2</v>
      </c>
      <c r="X4" s="671">
        <f>MAX(BA155:BA168)-1</f>
        <v>1.4173658109653431E-2</v>
      </c>
      <c r="Y4" s="671">
        <f>MAX(BA169:BA182)-1</f>
        <v>4.8208038888630789E-2</v>
      </c>
      <c r="Z4" s="671">
        <f>MAX(BA183:BA196)-1</f>
        <v>2.0103908868800202E-2</v>
      </c>
      <c r="AA4" s="671">
        <f>MAX(BA197:BA210)-1</f>
        <v>4.6965153328257347E-2</v>
      </c>
      <c r="AB4" s="671">
        <f>MAX(BA211:BA224)-1</f>
        <v>4.6255184038828556E-2</v>
      </c>
      <c r="AC4" s="671">
        <f>MAX(BA225:BA238)-1</f>
        <v>1.7867168160538904E-2</v>
      </c>
      <c r="AD4" s="671">
        <f>MAX(BA239:BA252)-1</f>
        <v>3.8537518800648707E-2</v>
      </c>
      <c r="AE4" s="671">
        <f>MAX(BA253:BA266)-1</f>
        <v>3.7257068618868905E-2</v>
      </c>
      <c r="AF4" s="671">
        <f>MAX(BA267:BA280)-1</f>
        <v>3.4688524479519645E-2</v>
      </c>
      <c r="AG4" s="671">
        <f>MAX(BA281:BA294)-1</f>
        <v>4.55493472194759E-2</v>
      </c>
      <c r="AH4" s="671">
        <f>MAX(BA295:BA308)-1</f>
        <v>4.5140756081118338E-2</v>
      </c>
      <c r="AI4" s="671">
        <f>MAX(BA309:BA322)-1</f>
        <v>4.6944592334525526E-2</v>
      </c>
      <c r="AJ4" s="671">
        <f>MAX(BA323:BA336)-1</f>
        <v>-1.9530079892907115E-2</v>
      </c>
      <c r="AK4" s="671">
        <f>MAX(BA337:BA350)-1</f>
        <v>3.5289458527194562E-2</v>
      </c>
      <c r="AL4" s="671">
        <f>MAX(BA351:BA364)-1</f>
        <v>4.0053554243943523E-2</v>
      </c>
      <c r="AM4" s="671">
        <f>MAX(BA365:BA380)-1</f>
        <v>4.275219448051315E-2</v>
      </c>
      <c r="AN4" s="659"/>
      <c r="AP4" s="572"/>
      <c r="AU4" s="572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253</v>
      </c>
      <c r="BP4" s="91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186" t="s">
        <v>201</v>
      </c>
      <c r="B5" s="1187"/>
      <c r="C5" s="1187"/>
      <c r="D5" s="1187"/>
      <c r="E5" s="1187"/>
      <c r="F5" s="1187"/>
      <c r="G5" s="1187"/>
      <c r="H5" s="1187"/>
      <c r="I5" s="1187"/>
      <c r="J5" s="1188"/>
      <c r="K5" s="89"/>
      <c r="N5" s="88"/>
      <c r="O5" s="88"/>
      <c r="P5" s="19"/>
      <c r="Q5" s="70"/>
      <c r="R5" s="70"/>
      <c r="S5" s="70"/>
      <c r="T5" s="70"/>
      <c r="U5" s="70"/>
      <c r="V5" s="655"/>
      <c r="W5" s="70"/>
      <c r="X5" s="70"/>
      <c r="Y5" s="70"/>
      <c r="Z5" s="70"/>
      <c r="AA5" s="70"/>
      <c r="AB5" s="70"/>
      <c r="AC5" s="70"/>
      <c r="AD5" s="70"/>
      <c r="AE5" s="656"/>
      <c r="AF5" s="19"/>
      <c r="AG5" s="19"/>
      <c r="AH5" s="71"/>
      <c r="AI5" s="670"/>
      <c r="AJ5" s="670"/>
      <c r="AK5" s="670"/>
      <c r="AL5" s="670"/>
      <c r="AM5" s="88"/>
      <c r="AN5" s="669"/>
      <c r="AP5" s="845"/>
      <c r="AQ5" s="845"/>
      <c r="AR5" s="845"/>
      <c r="AS5" s="845"/>
      <c r="AT5" s="852"/>
      <c r="AU5" s="845"/>
      <c r="AV5" s="845"/>
      <c r="AW5" s="845"/>
      <c r="AX5" s="845"/>
      <c r="AY5" s="852"/>
      <c r="AZ5" s="845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4.55493472194759E-2</v>
      </c>
      <c r="B7" s="269">
        <f>'2019'!Dépas_env</f>
        <v>4.8208038888630789E-2</v>
      </c>
      <c r="C7" s="269">
        <f>'2020'!Dépas_env</f>
        <v>4.6965153328257347E-2</v>
      </c>
      <c r="D7" s="269">
        <f>'2021'!Dépas_env</f>
        <v>4.6944592334525526E-2</v>
      </c>
      <c r="E7" s="269">
        <f>'2022'!Dépas_env</f>
        <v>4.6255184038828556E-2</v>
      </c>
      <c r="F7" s="603">
        <f>'2023'!Dépas_env</f>
        <v>4.6255184038828778E-2</v>
      </c>
      <c r="G7" s="603">
        <f>'2024'!Dépas_env</f>
        <v>4.6255184038828556E-2</v>
      </c>
      <c r="H7" s="603">
        <f>'2025'!Dépas_env</f>
        <v>4.6255184038828556E-2</v>
      </c>
      <c r="I7" s="603">
        <f>'2026'!Dépas_env</f>
        <v>4.6255184038828556E-2</v>
      </c>
      <c r="J7" s="603">
        <f>'2027'!Dépas_env</f>
        <v>4.6255184038828334E-2</v>
      </c>
      <c r="K7" s="2"/>
      <c r="BA7" s="66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60"/>
      <c r="BC8" s="6"/>
      <c r="BD8" s="282"/>
      <c r="BE8" s="282"/>
      <c r="BF8" s="282"/>
      <c r="BJ8" s="6"/>
      <c r="BK8" s="6"/>
      <c r="BL8" s="6"/>
      <c r="BM8" s="6"/>
      <c r="BN8" s="6"/>
      <c r="BO8" s="573"/>
      <c r="BP8" s="573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60"/>
      <c r="BB9" s="19"/>
      <c r="BC9" s="19"/>
      <c r="BD9" s="283"/>
      <c r="BE9" s="283"/>
      <c r="BF9" s="283"/>
      <c r="BH9" s="1074">
        <f>PousHci*($A$6-BP13-INDEX(Croivg,MIN(MAX(BO13-DATE(BP13,1,1)+1,0),366)))</f>
        <v>-1.9999621440122004</v>
      </c>
      <c r="BI9" s="1073" t="s">
        <v>313</v>
      </c>
      <c r="BJ9" s="6"/>
      <c r="BK9" s="6"/>
      <c r="BL9" s="6"/>
      <c r="BM9" s="6"/>
      <c r="BN9" s="6"/>
      <c r="BO9" s="573"/>
      <c r="BP9" s="573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69"/>
      <c r="BD10" s="282"/>
      <c r="BE10" s="282"/>
      <c r="BF10" s="282"/>
      <c r="BH10" s="1075">
        <f>MIN(MATCH(H_i,Echel_vg),10)</f>
        <v>4</v>
      </c>
      <c r="BI10" s="563"/>
      <c r="BO10" s="817"/>
      <c r="BP10" s="817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A11" s="6" t="s">
        <v>237</v>
      </c>
      <c r="B11" s="420">
        <f>B13/Pc</f>
        <v>6.8875452775753603</v>
      </c>
      <c r="C11" s="8" t="s">
        <v>94</v>
      </c>
      <c r="D11" s="1085">
        <v>0.97</v>
      </c>
      <c r="E11" s="8"/>
      <c r="J11" s="9"/>
      <c r="K11" s="7"/>
      <c r="L11" s="846" t="s">
        <v>240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723" t="s">
        <v>243</v>
      </c>
      <c r="AT11" s="27"/>
      <c r="AU11" s="723" t="s">
        <v>244</v>
      </c>
      <c r="AY11" s="27"/>
      <c r="AZ11" s="857" t="s">
        <v>247</v>
      </c>
      <c r="BA11" s="660"/>
      <c r="BB11" s="19"/>
      <c r="BC11" s="15"/>
      <c r="BD11" s="1190" t="s">
        <v>263</v>
      </c>
      <c r="BE11" s="1191"/>
      <c r="BF11" s="1194" t="s">
        <v>258</v>
      </c>
      <c r="BH11" s="1076">
        <f>INDEX(Echel_vg,$BH$10)</f>
        <v>-2</v>
      </c>
      <c r="BI11" s="563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9.4747658981708156</v>
      </c>
      <c r="C12" s="12">
        <f>+MIN(C15:C379)</f>
        <v>2018</v>
      </c>
      <c r="D12" s="1086">
        <f>+MIN(D15:D379)</f>
        <v>0.97063702618472369</v>
      </c>
      <c r="E12" s="12">
        <f t="shared" ref="E12:J12" si="1">+MIN(E15:E379)</f>
        <v>27.087499999999999</v>
      </c>
      <c r="F12" s="418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26.84695284132447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8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26.952252605043611</v>
      </c>
      <c r="AU12" s="418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27.133904655118073</v>
      </c>
      <c r="AZ12" s="391">
        <f t="shared" si="3"/>
        <v>27.084946199554238</v>
      </c>
      <c r="BA12" s="658"/>
      <c r="BC12" s="15"/>
      <c r="BD12" s="1192"/>
      <c r="BE12" s="1193"/>
      <c r="BF12" s="1195"/>
      <c r="BH12" s="1077">
        <f>(H_i-BH11)/(INDEX(Echel_vg,$BH$10+1)-BH$11)</f>
        <v>3.7855987799595425E-5</v>
      </c>
      <c r="BJ12" s="6"/>
      <c r="BK12" s="6"/>
      <c r="BL12" s="6"/>
      <c r="BN12" s="356" t="str">
        <f>Masques!D46</f>
        <v>Pas de calcul pousse en hauteur:</v>
      </c>
      <c r="BO12" s="798">
        <f>Masques!E46</f>
        <v>1</v>
      </c>
      <c r="BP12" s="573"/>
      <c r="BQ12" s="573"/>
      <c r="BR12" s="574"/>
      <c r="BS12" s="570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61.987907498178245</v>
      </c>
      <c r="C13" s="12">
        <f>+MAX(C15:C379)</f>
        <v>2022</v>
      </c>
      <c r="D13" s="1086">
        <f>+MAX(D15:D379)</f>
        <v>1.0482080388886308</v>
      </c>
      <c r="E13" s="12">
        <f t="shared" ref="E13:J13" si="4">+MAX(E15:E379)</f>
        <v>59.690999999999995</v>
      </c>
      <c r="F13" s="418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59.758718750439584</v>
      </c>
      <c r="K13" s="6"/>
      <c r="L13" s="860">
        <f>AL13</f>
        <v>270.875</v>
      </c>
      <c r="M13" s="860">
        <f>+AM13</f>
        <v>272.84499999999997</v>
      </c>
      <c r="N13" s="859">
        <f t="shared" ref="N13:AM13" si="5">Ajust_M*N3</f>
        <v>301.40999999999997</v>
      </c>
      <c r="O13" s="850">
        <f t="shared" si="5"/>
        <v>336.87</v>
      </c>
      <c r="P13" s="850">
        <f t="shared" si="5"/>
        <v>384.15</v>
      </c>
      <c r="Q13" s="850">
        <f t="shared" si="5"/>
        <v>432.41500000000002</v>
      </c>
      <c r="R13" s="850">
        <f t="shared" si="5"/>
        <v>476.74</v>
      </c>
      <c r="S13" s="850">
        <f t="shared" si="5"/>
        <v>518.11</v>
      </c>
      <c r="T13" s="850">
        <f t="shared" si="5"/>
        <v>553.56999999999994</v>
      </c>
      <c r="U13" s="850">
        <f t="shared" si="5"/>
        <v>576.22500000000002</v>
      </c>
      <c r="V13" s="850">
        <f t="shared" si="5"/>
        <v>591</v>
      </c>
      <c r="W13" s="850">
        <f t="shared" si="5"/>
        <v>596.91</v>
      </c>
      <c r="X13" s="850">
        <f t="shared" si="5"/>
        <v>596.91</v>
      </c>
      <c r="Y13" s="850">
        <f t="shared" si="5"/>
        <v>591.98500000000001</v>
      </c>
      <c r="Z13" s="850">
        <f t="shared" si="5"/>
        <v>581.15</v>
      </c>
      <c r="AA13" s="850">
        <f t="shared" si="5"/>
        <v>568.34500000000003</v>
      </c>
      <c r="AB13" s="850">
        <f t="shared" si="5"/>
        <v>553.56999999999994</v>
      </c>
      <c r="AC13" s="850">
        <f t="shared" si="5"/>
        <v>538.79499999999996</v>
      </c>
      <c r="AD13" s="850">
        <f t="shared" si="5"/>
        <v>523.03499999999997</v>
      </c>
      <c r="AE13" s="850">
        <f t="shared" si="5"/>
        <v>507.10347293908853</v>
      </c>
      <c r="AF13" s="850">
        <f t="shared" si="5"/>
        <v>486.42440417059532</v>
      </c>
      <c r="AG13" s="850">
        <f t="shared" si="5"/>
        <v>458.02499999999998</v>
      </c>
      <c r="AH13" s="850">
        <f t="shared" si="5"/>
        <v>422.565</v>
      </c>
      <c r="AI13" s="850">
        <f t="shared" si="5"/>
        <v>382.18</v>
      </c>
      <c r="AJ13" s="850">
        <f t="shared" si="5"/>
        <v>335.88499999999999</v>
      </c>
      <c r="AK13" s="850">
        <f t="shared" si="5"/>
        <v>297.46999999999997</v>
      </c>
      <c r="AL13" s="850">
        <f t="shared" si="5"/>
        <v>270.875</v>
      </c>
      <c r="AM13" s="850">
        <f t="shared" si="5"/>
        <v>272.84499999999997</v>
      </c>
      <c r="AN13" s="860">
        <f>+N13</f>
        <v>301.40999999999997</v>
      </c>
      <c r="AO13" s="860">
        <f>+O13</f>
        <v>336.87</v>
      </c>
      <c r="AP13" s="418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59.771982507620542</v>
      </c>
      <c r="AU13" s="418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59.791808593366298</v>
      </c>
      <c r="AZ13" s="391">
        <f t="shared" si="6"/>
        <v>59.780650390638044</v>
      </c>
      <c r="BA13" s="658"/>
      <c r="BC13" s="37"/>
      <c r="BD13" s="285" t="s">
        <v>50</v>
      </c>
      <c r="BE13" s="285" t="s">
        <v>49</v>
      </c>
      <c r="BF13" s="285" t="s">
        <v>261</v>
      </c>
      <c r="BH13" s="1078" t="s">
        <v>91</v>
      </c>
      <c r="BJ13" s="6"/>
      <c r="BN13" s="33" t="s">
        <v>218</v>
      </c>
      <c r="BO13" s="814">
        <f>Masques!H1</f>
        <v>44547</v>
      </c>
      <c r="BP13" s="910">
        <f>YEAR(BO13)</f>
        <v>2021</v>
      </c>
      <c r="BW13" s="711" t="s">
        <v>326</v>
      </c>
    </row>
    <row r="14" spans="1:84" ht="37.5" customHeight="1" thickBot="1" x14ac:dyDescent="0.3">
      <c r="A14" s="356" t="s">
        <v>117</v>
      </c>
      <c r="B14" s="79" t="s">
        <v>3</v>
      </c>
      <c r="C14" s="79" t="s">
        <v>13</v>
      </c>
      <c r="D14" s="1087" t="s">
        <v>314</v>
      </c>
      <c r="E14" s="174" t="s">
        <v>236</v>
      </c>
      <c r="F14" s="174" t="s">
        <v>232</v>
      </c>
      <c r="G14" s="174" t="s">
        <v>233</v>
      </c>
      <c r="H14" s="174" t="s">
        <v>234</v>
      </c>
      <c r="I14" s="827" t="s">
        <v>235</v>
      </c>
      <c r="J14" s="78" t="s">
        <v>0</v>
      </c>
      <c r="L14" s="2"/>
      <c r="M14" s="4" t="s">
        <v>238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232</v>
      </c>
      <c r="AQ14" s="174" t="s">
        <v>233</v>
      </c>
      <c r="AR14" s="174" t="s">
        <v>234</v>
      </c>
      <c r="AS14" s="827" t="s">
        <v>235</v>
      </c>
      <c r="AT14" s="853" t="s">
        <v>245</v>
      </c>
      <c r="AU14" s="174" t="s">
        <v>232</v>
      </c>
      <c r="AV14" s="174" t="s">
        <v>233</v>
      </c>
      <c r="AW14" s="174" t="s">
        <v>234</v>
      </c>
      <c r="AX14" s="827" t="s">
        <v>235</v>
      </c>
      <c r="AY14" s="853" t="s">
        <v>246</v>
      </c>
      <c r="AZ14" s="78" t="s">
        <v>248</v>
      </c>
      <c r="BA14" s="661" t="s">
        <v>203</v>
      </c>
      <c r="BB14" s="72"/>
      <c r="BC14" s="356" t="s">
        <v>117</v>
      </c>
      <c r="BD14" s="286" t="s">
        <v>20</v>
      </c>
      <c r="BE14" s="287" t="s">
        <v>22</v>
      </c>
      <c r="BF14" s="924" t="s">
        <v>262</v>
      </c>
      <c r="BH14" s="1079" t="s">
        <v>92</v>
      </c>
      <c r="BI14" s="1083" t="s">
        <v>210</v>
      </c>
      <c r="BJ14" s="796">
        <f>Masques!B48</f>
        <v>-5</v>
      </c>
      <c r="BK14" s="796">
        <f>Masques!C48</f>
        <v>-4</v>
      </c>
      <c r="BL14" s="796">
        <f>Masques!D48</f>
        <v>-3</v>
      </c>
      <c r="BM14" s="799">
        <f>Masques!E48</f>
        <v>-2</v>
      </c>
      <c r="BN14" s="799">
        <f>Masques!F48</f>
        <v>-1</v>
      </c>
      <c r="BO14" s="800">
        <f>Masques!G48</f>
        <v>0</v>
      </c>
      <c r="BP14" s="796">
        <f>Masques!H48</f>
        <v>1</v>
      </c>
      <c r="BQ14" s="796">
        <f>Masques!I48</f>
        <v>2</v>
      </c>
      <c r="BR14" s="796">
        <f>Masques!J48</f>
        <v>3</v>
      </c>
      <c r="BS14" s="796">
        <f>Masques!K48</f>
        <v>4</v>
      </c>
      <c r="BT14" s="796">
        <f>Masques!L48</f>
        <v>5</v>
      </c>
      <c r="BU14" s="1083" t="s">
        <v>210</v>
      </c>
      <c r="BW14" s="1134">
        <v>2018</v>
      </c>
      <c r="BX14" s="1134">
        <v>2019</v>
      </c>
      <c r="BY14" s="1134">
        <v>2020</v>
      </c>
      <c r="BZ14" s="1134">
        <v>2021</v>
      </c>
      <c r="CA14" s="1134">
        <v>2022</v>
      </c>
      <c r="CB14" s="1134">
        <v>2023</v>
      </c>
      <c r="CC14" s="1134">
        <v>2024</v>
      </c>
      <c r="CD14" s="1134">
        <v>2025</v>
      </c>
      <c r="CE14" s="1134">
        <v>2026</v>
      </c>
      <c r="CF14" s="1134">
        <v>2027</v>
      </c>
    </row>
    <row r="15" spans="1:84" s="6" customFormat="1" ht="11.25" x14ac:dyDescent="0.2">
      <c r="A15" s="11">
        <v>43101</v>
      </c>
      <c r="B15" s="379">
        <f>'2022'!Maxi_hp</f>
        <v>28.078120973122783</v>
      </c>
      <c r="C15" s="84">
        <f>'2022'!An_max</f>
        <v>2022</v>
      </c>
      <c r="D15" s="1088">
        <f t="shared" ref="D15:D78" si="7">IF($BA15&gt;$D$11,BA15,"")</f>
        <v>0.98229145359971426</v>
      </c>
      <c r="E15" s="833"/>
      <c r="F15" s="834">
        <f>INT(MATCH($A15,x.2m)/2)*2+1</f>
        <v>1</v>
      </c>
      <c r="G15" s="834">
        <f>INT((MATCH($A15,x.2m)+1)/2)*2</f>
        <v>2</v>
      </c>
      <c r="H15" s="835">
        <f t="shared" ref="H15:H78" si="8">INDEX(x.2m,F15)</f>
        <v>43093</v>
      </c>
      <c r="I15" s="836">
        <f t="shared" ref="I15:I78" si="9">($A15-H15)/(INDEX(x.2m,G15)-H15)</f>
        <v>0.53333333333333333</v>
      </c>
      <c r="J15" s="828">
        <f>((1-I15)*(INDEX(a.m,F15)*$A15*$A15+INDEX(b.m,F15)*$A15+INDEX(c.m,F15))+I15*(INDEX(a.m,G15)*$A15*$A15+INDEX(b.m,G15)*$A15+INDEX(c.m,G15)))/10</f>
        <v>28.584307508965331</v>
      </c>
      <c r="L15" s="840" t="s">
        <v>221</v>
      </c>
      <c r="M15" s="870">
        <f t="shared" ref="M15:AN15" si="10">L12</f>
        <v>43079</v>
      </c>
      <c r="N15" s="871">
        <f t="shared" si="10"/>
        <v>43093</v>
      </c>
      <c r="O15" s="861">
        <f t="shared" si="10"/>
        <v>43108</v>
      </c>
      <c r="P15" s="861">
        <f t="shared" si="10"/>
        <v>43122</v>
      </c>
      <c r="Q15" s="861">
        <f t="shared" si="10"/>
        <v>43136</v>
      </c>
      <c r="R15" s="861">
        <f t="shared" si="10"/>
        <v>43150</v>
      </c>
      <c r="S15" s="861">
        <f t="shared" si="10"/>
        <v>43164</v>
      </c>
      <c r="T15" s="861">
        <f t="shared" si="10"/>
        <v>43178</v>
      </c>
      <c r="U15" s="861">
        <f t="shared" si="10"/>
        <v>43192</v>
      </c>
      <c r="V15" s="861">
        <f t="shared" si="10"/>
        <v>43206</v>
      </c>
      <c r="W15" s="861">
        <f t="shared" si="10"/>
        <v>43220</v>
      </c>
      <c r="X15" s="861">
        <f t="shared" si="10"/>
        <v>43234</v>
      </c>
      <c r="Y15" s="861">
        <f t="shared" si="10"/>
        <v>43248</v>
      </c>
      <c r="Z15" s="861">
        <f t="shared" si="10"/>
        <v>43262</v>
      </c>
      <c r="AA15" s="861">
        <f t="shared" si="10"/>
        <v>43276</v>
      </c>
      <c r="AB15" s="861">
        <f t="shared" si="10"/>
        <v>43290</v>
      </c>
      <c r="AC15" s="861">
        <f t="shared" si="10"/>
        <v>43304</v>
      </c>
      <c r="AD15" s="861">
        <f t="shared" si="10"/>
        <v>43318</v>
      </c>
      <c r="AE15" s="861">
        <f t="shared" si="10"/>
        <v>43332</v>
      </c>
      <c r="AF15" s="861">
        <f t="shared" si="10"/>
        <v>43346</v>
      </c>
      <c r="AG15" s="861">
        <f t="shared" si="10"/>
        <v>43360</v>
      </c>
      <c r="AH15" s="861">
        <f t="shared" si="10"/>
        <v>43374</v>
      </c>
      <c r="AI15" s="861">
        <f t="shared" si="10"/>
        <v>43388</v>
      </c>
      <c r="AJ15" s="861">
        <f t="shared" si="10"/>
        <v>43402</v>
      </c>
      <c r="AK15" s="861">
        <f t="shared" si="10"/>
        <v>43416</v>
      </c>
      <c r="AL15" s="861">
        <f t="shared" si="10"/>
        <v>43430</v>
      </c>
      <c r="AM15" s="861">
        <f t="shared" si="10"/>
        <v>43444</v>
      </c>
      <c r="AN15" s="863">
        <f t="shared" si="10"/>
        <v>43458</v>
      </c>
      <c r="AP15" s="834">
        <f t="shared" ref="AP15:AP78" si="11">INT(MATCH($A15,x.2lg)/2)*2+1</f>
        <v>1</v>
      </c>
      <c r="AQ15" s="834">
        <f t="shared" ref="AQ15:AQ78" si="12">INT((MATCH($A15,x.2lg)+1)/2)*2</f>
        <v>2</v>
      </c>
      <c r="AR15" s="835">
        <f t="shared" ref="AR15:AR78" si="13">INDEX(x.2lg,AP15)</f>
        <v>43079</v>
      </c>
      <c r="AS15" s="836">
        <f t="shared" ref="AS15:AS78" si="14">($A15-AR15)/(INDEX(x.2lg,AQ15)-AR15)</f>
        <v>0.75862068965517238</v>
      </c>
      <c r="AT15" s="854">
        <f t="shared" ref="AT15:AT78" si="15">((1-AS15)*(INDEX(a.lg,AP15)*$A15*$A15+INDEX(b.lg,AP15)*$A15+INDEX(c.lg,AP15))+AS15*(INDEX(a.lg,AQ15)*$A15*$A15+INDEX(b.lg,AQ15)*$A15+INDEX(c.lg,AQ15)))/10</f>
        <v>28.794017586934153</v>
      </c>
      <c r="AU15" s="834">
        <f t="shared" ref="AU15:AU78" si="16">INT(MATCH($A15,x.2ld)/2)*2+1</f>
        <v>1</v>
      </c>
      <c r="AV15" s="834">
        <f t="shared" ref="AV15:AV78" si="17">INT((MATCH($A15,x.2ld)+1)/2)*2</f>
        <v>2</v>
      </c>
      <c r="AW15" s="835">
        <f t="shared" ref="AW15:AW78" si="18">INDEX(x.2ld,AU15)</f>
        <v>43093</v>
      </c>
      <c r="AX15" s="836">
        <f t="shared" ref="AX15:AX78" si="19">($A15-AW15)/(INDEX(x.2ld,AV15)-AW15)</f>
        <v>0.27586206896551724</v>
      </c>
      <c r="AY15" s="854">
        <f t="shared" ref="AY15:AY78" si="20">((1-AX15)*(INDEX(a.ld,AU15)*$A15*$A15+INDEX(b.ld,AU15)*$A15+INDEX(c.ld,AU15))+AX15*(INDEX(a.ld,AV15)*$A15*$A15+INDEX(b.ld,AV15)*$A15+INDEX(c.ld,AV15)))/10</f>
        <v>28.293861475073061</v>
      </c>
      <c r="AZ15" s="828">
        <f>(AY15+AT15)/2</f>
        <v>28.543939531003609</v>
      </c>
      <c r="BA15" s="662">
        <f t="shared" ref="BA15:BA78" si="21">+B15/J15</f>
        <v>0.98229145359971426</v>
      </c>
      <c r="BB15" s="657">
        <v>43101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925">
        <f>1+[2]!Salcycl*Ksac</f>
        <v>1.0005722874285767</v>
      </c>
      <c r="BH15" s="1081">
        <f t="shared" ref="BH15:BH78" si="22">INDEX($BJ15:$BT15,,$BH$10)*(1-Ratini)+INDEX($BJ15:$BT15,,$BH$10+1)*Ratini</f>
        <v>1.3472260360404432E-2</v>
      </c>
      <c r="BI15" s="11">
        <v>44197</v>
      </c>
      <c r="BJ15" s="932">
        <v>8.8791016788630356E-3</v>
      </c>
      <c r="BK15" s="801">
        <v>1.0027081438078282E-2</v>
      </c>
      <c r="BL15" s="801">
        <v>1.1379781819019974E-2</v>
      </c>
      <c r="BM15" s="801">
        <v>1.3472134343648646E-2</v>
      </c>
      <c r="BN15" s="801">
        <v>1.6800980402347638E-2</v>
      </c>
      <c r="BO15" s="802">
        <v>3.4715680900661836E-2</v>
      </c>
      <c r="BP15" s="801">
        <v>6.4399420629365725E-2</v>
      </c>
      <c r="BQ15" s="801">
        <v>0.10282395007787799</v>
      </c>
      <c r="BR15" s="801">
        <v>0.13471835728104828</v>
      </c>
      <c r="BS15" s="801">
        <v>0.16093887786559072</v>
      </c>
      <c r="BT15" s="801">
        <v>0.18397248513498288</v>
      </c>
      <c r="BW15" s="1135">
        <f>'2018'!R\Max</f>
        <v>0</v>
      </c>
      <c r="BX15" s="1136">
        <f>'2019'!R\Max</f>
        <v>7.2282143501937804E-2</v>
      </c>
      <c r="BY15" s="1136">
        <f>'2020'!R\Max</f>
        <v>0.45659462845878868</v>
      </c>
      <c r="BZ15" s="1136">
        <f>'2021'!R\Max</f>
        <v>0.45858768910712217</v>
      </c>
      <c r="CA15" s="1136">
        <f>'2022'!R\Max</f>
        <v>0.98229145359971426</v>
      </c>
      <c r="CB15" s="1136">
        <f>'2023'!R\Max</f>
        <v>0.98224213347306444</v>
      </c>
      <c r="CC15" s="1136">
        <f>'2024'!R\Max</f>
        <v>0.98219262079031577</v>
      </c>
      <c r="CD15" s="1136">
        <f>'2025'!R\Max</f>
        <v>0.98212824376004526</v>
      </c>
      <c r="CE15" s="1136">
        <f>'2026'!R\Max</f>
        <v>0.98235650270621278</v>
      </c>
      <c r="CF15" s="1137">
        <f>'2027'!R\Max</f>
        <v>0.98235100943477449</v>
      </c>
    </row>
    <row r="16" spans="1:84" s="6" customFormat="1" ht="11.25" x14ac:dyDescent="0.2">
      <c r="A16" s="11">
        <v>43102</v>
      </c>
      <c r="B16" s="380">
        <f>'2022'!Maxi_hp</f>
        <v>25.967841110496515</v>
      </c>
      <c r="C16" s="85">
        <f>'2022'!An_max</f>
        <v>2020</v>
      </c>
      <c r="D16" s="1089" t="str">
        <f t="shared" si="7"/>
        <v/>
      </c>
      <c r="E16" s="837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838">
        <f t="shared" si="9"/>
        <v>0.6</v>
      </c>
      <c r="J16" s="829">
        <f>((1-I16)*(INDEX(a.m,F16)*$A16*$A16+INDEX(b.m,F16)*$A16+INDEX(c.m,F16))+I16*(INDEX(a.m,G16)*$A16*$A16+INDEX(b.m,G16)*$A16+INDEX(c.m,G16)))/10</f>
        <v>28.796819506734607</v>
      </c>
      <c r="L16" s="841" t="s">
        <v>222</v>
      </c>
      <c r="M16" s="824">
        <f t="shared" ref="M16:AN16" si="25">L13</f>
        <v>270.875</v>
      </c>
      <c r="N16" s="866">
        <f t="shared" si="25"/>
        <v>272.84499999999997</v>
      </c>
      <c r="O16" s="825">
        <f t="shared" si="25"/>
        <v>301.40999999999997</v>
      </c>
      <c r="P16" s="825">
        <f t="shared" si="25"/>
        <v>336.87</v>
      </c>
      <c r="Q16" s="825">
        <f t="shared" si="25"/>
        <v>384.15</v>
      </c>
      <c r="R16" s="825">
        <f t="shared" si="25"/>
        <v>432.41500000000002</v>
      </c>
      <c r="S16" s="825">
        <f t="shared" si="25"/>
        <v>476.74</v>
      </c>
      <c r="T16" s="825">
        <f t="shared" si="25"/>
        <v>518.11</v>
      </c>
      <c r="U16" s="825">
        <f t="shared" si="25"/>
        <v>553.56999999999994</v>
      </c>
      <c r="V16" s="825">
        <f t="shared" si="25"/>
        <v>576.22500000000002</v>
      </c>
      <c r="W16" s="825">
        <f t="shared" si="25"/>
        <v>591</v>
      </c>
      <c r="X16" s="825">
        <f t="shared" si="25"/>
        <v>596.91</v>
      </c>
      <c r="Y16" s="825">
        <f t="shared" si="25"/>
        <v>596.91</v>
      </c>
      <c r="Z16" s="825">
        <f t="shared" si="25"/>
        <v>591.98500000000001</v>
      </c>
      <c r="AA16" s="825">
        <f t="shared" si="25"/>
        <v>581.15</v>
      </c>
      <c r="AB16" s="825">
        <f t="shared" si="25"/>
        <v>568.34500000000003</v>
      </c>
      <c r="AC16" s="825">
        <f t="shared" si="25"/>
        <v>553.56999999999994</v>
      </c>
      <c r="AD16" s="825">
        <f t="shared" si="25"/>
        <v>538.79499999999996</v>
      </c>
      <c r="AE16" s="825">
        <f t="shared" si="25"/>
        <v>523.03499999999997</v>
      </c>
      <c r="AF16" s="825">
        <f t="shared" si="25"/>
        <v>507.10347293908853</v>
      </c>
      <c r="AG16" s="825">
        <f t="shared" si="25"/>
        <v>486.42440417059532</v>
      </c>
      <c r="AH16" s="825">
        <f t="shared" si="25"/>
        <v>458.02499999999998</v>
      </c>
      <c r="AI16" s="825">
        <f t="shared" si="25"/>
        <v>422.565</v>
      </c>
      <c r="AJ16" s="825">
        <f t="shared" si="25"/>
        <v>382.18</v>
      </c>
      <c r="AK16" s="825">
        <f t="shared" si="25"/>
        <v>335.88499999999999</v>
      </c>
      <c r="AL16" s="825">
        <f t="shared" si="25"/>
        <v>297.46999999999997</v>
      </c>
      <c r="AM16" s="825">
        <f t="shared" si="25"/>
        <v>270.875</v>
      </c>
      <c r="AN16" s="864">
        <f t="shared" si="25"/>
        <v>272.84499999999997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838">
        <f t="shared" si="14"/>
        <v>0.7931034482758621</v>
      </c>
      <c r="AT16" s="855">
        <f t="shared" si="15"/>
        <v>28.974974450751624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838">
        <f t="shared" si="19"/>
        <v>0.31034482758620691</v>
      </c>
      <c r="AY16" s="855">
        <f t="shared" si="20"/>
        <v>28.481077785455977</v>
      </c>
      <c r="AZ16" s="829">
        <f t="shared" ref="AZ16:AZ79" si="26">(AY16+AT16)/2</f>
        <v>28.728026118103799</v>
      </c>
      <c r="BA16" s="662">
        <f t="shared" si="21"/>
        <v>0.90176073452915562</v>
      </c>
      <c r="BB16" s="657">
        <v>43102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926">
        <f>1+[2]!Salcycl*Ksac</f>
        <v>1.00053228158138</v>
      </c>
      <c r="BH16" s="1082">
        <f t="shared" si="22"/>
        <v>1.2922103942942643E-2</v>
      </c>
      <c r="BI16" s="11">
        <v>44198</v>
      </c>
      <c r="BJ16" s="803">
        <v>8.4111513235046245E-3</v>
      </c>
      <c r="BK16" s="803">
        <v>9.5272079119239905E-3</v>
      </c>
      <c r="BL16" s="803">
        <v>1.0846271542251687E-2</v>
      </c>
      <c r="BM16" s="803">
        <v>1.2921978259700035E-2</v>
      </c>
      <c r="BN16" s="803">
        <v>1.6242014267559796E-2</v>
      </c>
      <c r="BO16" s="804">
        <v>3.4171012836370994E-2</v>
      </c>
      <c r="BP16" s="803">
        <v>6.4273599255061528E-2</v>
      </c>
      <c r="BQ16" s="803">
        <v>0.10324112619074118</v>
      </c>
      <c r="BR16" s="803">
        <v>0.13576140356133229</v>
      </c>
      <c r="BS16" s="803">
        <v>0.16227666536105659</v>
      </c>
      <c r="BT16" s="803">
        <v>0.18556273552766922</v>
      </c>
      <c r="BW16" s="1138">
        <f>'2018'!R\Max</f>
        <v>0</v>
      </c>
      <c r="BX16" s="1136">
        <f>'2019'!R\Max</f>
        <v>0.19012440406471373</v>
      </c>
      <c r="BY16" s="1136">
        <f>'2020'!R\Max</f>
        <v>0.90176073452915562</v>
      </c>
      <c r="BZ16" s="1136">
        <f>'2021'!R\Max</f>
        <v>0.16960102495253082</v>
      </c>
      <c r="CA16" s="1136">
        <f>'2022'!R\Max</f>
        <v>0.68064400754318932</v>
      </c>
      <c r="CB16" s="1136">
        <f>'2023'!R\Max</f>
        <v>0.68002448006229632</v>
      </c>
      <c r="CC16" s="1136">
        <f>'2024'!R\Max</f>
        <v>0.67940357908343718</v>
      </c>
      <c r="CD16" s="1136">
        <f>'2025'!R\Max</f>
        <v>0.67859785030824937</v>
      </c>
      <c r="CE16" s="1136">
        <f>'2026'!R\Max</f>
        <v>0.68145177611784236</v>
      </c>
      <c r="CF16" s="1137">
        <f>'2027'!R\Max</f>
        <v>0.68138370743803878</v>
      </c>
    </row>
    <row r="17" spans="1:84" s="6" customFormat="1" ht="11.25" x14ac:dyDescent="0.2">
      <c r="A17" s="11">
        <v>43103</v>
      </c>
      <c r="B17" s="380">
        <f>'2022'!Maxi_hp</f>
        <v>30.270872638205173</v>
      </c>
      <c r="C17" s="85">
        <f>'2022'!An_max</f>
        <v>2019</v>
      </c>
      <c r="D17" s="1089">
        <f t="shared" si="7"/>
        <v>1.0432752302563371</v>
      </c>
      <c r="E17" s="837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838">
        <f t="shared" si="9"/>
        <v>0.66666666666666663</v>
      </c>
      <c r="J17" s="829">
        <f t="shared" ref="J17:J78" si="27">((1-I17)*(INDEX(a.m,F17)*$A17*$A17+INDEX(b.m,F17)*$A17+INDEX(c.m,F17))+I17*(INDEX(a.m,G17)*$A17*$A17+INDEX(b.m,G17)*$A17+INDEX(c.m,G17)))/10</f>
        <v>29.015231801072758</v>
      </c>
      <c r="L17" s="841" t="s">
        <v>223</v>
      </c>
      <c r="M17" s="867">
        <f t="shared" ref="M17:AN17" si="28">M12</f>
        <v>43093</v>
      </c>
      <c r="N17" s="820">
        <f t="shared" si="28"/>
        <v>43108</v>
      </c>
      <c r="O17" s="820">
        <f t="shared" si="28"/>
        <v>43122</v>
      </c>
      <c r="P17" s="820">
        <f t="shared" si="28"/>
        <v>43136</v>
      </c>
      <c r="Q17" s="820">
        <f t="shared" si="28"/>
        <v>43150</v>
      </c>
      <c r="R17" s="820">
        <f t="shared" si="28"/>
        <v>43164</v>
      </c>
      <c r="S17" s="820">
        <f t="shared" si="28"/>
        <v>43178</v>
      </c>
      <c r="T17" s="820">
        <f t="shared" si="28"/>
        <v>43192</v>
      </c>
      <c r="U17" s="820">
        <f t="shared" si="28"/>
        <v>43206</v>
      </c>
      <c r="V17" s="820">
        <f t="shared" si="28"/>
        <v>43220</v>
      </c>
      <c r="W17" s="820">
        <f t="shared" si="28"/>
        <v>43234</v>
      </c>
      <c r="X17" s="820">
        <f t="shared" si="28"/>
        <v>43248</v>
      </c>
      <c r="Y17" s="820">
        <f t="shared" si="28"/>
        <v>43262</v>
      </c>
      <c r="Z17" s="820">
        <f t="shared" si="28"/>
        <v>43276</v>
      </c>
      <c r="AA17" s="820">
        <f t="shared" si="28"/>
        <v>43290</v>
      </c>
      <c r="AB17" s="820">
        <f t="shared" si="28"/>
        <v>43304</v>
      </c>
      <c r="AC17" s="820">
        <f t="shared" si="28"/>
        <v>43318</v>
      </c>
      <c r="AD17" s="820">
        <f t="shared" si="28"/>
        <v>43332</v>
      </c>
      <c r="AE17" s="820">
        <f t="shared" si="28"/>
        <v>43346</v>
      </c>
      <c r="AF17" s="820">
        <f t="shared" si="28"/>
        <v>43360</v>
      </c>
      <c r="AG17" s="820">
        <f t="shared" si="28"/>
        <v>43374</v>
      </c>
      <c r="AH17" s="820">
        <f t="shared" si="28"/>
        <v>43388</v>
      </c>
      <c r="AI17" s="820">
        <f t="shared" si="28"/>
        <v>43402</v>
      </c>
      <c r="AJ17" s="820">
        <f t="shared" si="28"/>
        <v>43416</v>
      </c>
      <c r="AK17" s="820">
        <f t="shared" si="28"/>
        <v>43430</v>
      </c>
      <c r="AL17" s="820">
        <f t="shared" si="28"/>
        <v>43444</v>
      </c>
      <c r="AM17" s="865">
        <f t="shared" si="28"/>
        <v>43458</v>
      </c>
      <c r="AN17" s="872">
        <f t="shared" si="28"/>
        <v>43473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838">
        <f t="shared" si="14"/>
        <v>0.82758620689655171</v>
      </c>
      <c r="AT17" s="855">
        <f t="shared" si="15"/>
        <v>29.160645271940478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838">
        <f t="shared" si="19"/>
        <v>0.34482758620689657</v>
      </c>
      <c r="AY17" s="855">
        <f t="shared" si="20"/>
        <v>28.679582030660118</v>
      </c>
      <c r="AZ17" s="829">
        <f t="shared" si="26"/>
        <v>28.920113651300298</v>
      </c>
      <c r="BA17" s="662">
        <f t="shared" si="21"/>
        <v>1.0432752302563371</v>
      </c>
      <c r="BB17" s="657">
        <v>43103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926">
        <f>1+[2]!Salcycl*Ksac</f>
        <v>1.0004945268230359</v>
      </c>
      <c r="BH17" s="1082">
        <f t="shared" si="22"/>
        <v>1.2371414250094574E-2</v>
      </c>
      <c r="BI17" s="11">
        <v>44199</v>
      </c>
      <c r="BJ17" s="803">
        <v>7.9394884766269616E-3</v>
      </c>
      <c r="BK17" s="803">
        <v>9.0245353854112691E-3</v>
      </c>
      <c r="BL17" s="803">
        <v>1.0310903684875387E-2</v>
      </c>
      <c r="BM17" s="803">
        <v>1.2371288750774492E-2</v>
      </c>
      <c r="BN17" s="803">
        <v>1.5686466279495326E-2</v>
      </c>
      <c r="BO17" s="804">
        <v>3.3547535787732848E-2</v>
      </c>
      <c r="BP17" s="803">
        <v>6.4069731745978645E-2</v>
      </c>
      <c r="BQ17" s="803">
        <v>0.10358802662396177</v>
      </c>
      <c r="BR17" s="803">
        <v>0.13683654304092155</v>
      </c>
      <c r="BS17" s="803">
        <v>0.16367243553296787</v>
      </c>
      <c r="BT17" s="803">
        <v>0.18723399364670607</v>
      </c>
      <c r="BW17" s="1138">
        <f>'2018'!R\Max</f>
        <v>0</v>
      </c>
      <c r="BX17" s="1136">
        <f>'2019'!R\Max</f>
        <v>1.0432752302563371</v>
      </c>
      <c r="BY17" s="1136">
        <f>'2020'!R\Max</f>
        <v>0.32783697361463199</v>
      </c>
      <c r="BZ17" s="1136">
        <f>'2021'!R\Max</f>
        <v>0.98174830566591575</v>
      </c>
      <c r="CA17" s="1136">
        <f>'2022'!R\Max</f>
        <v>0.71574454524888775</v>
      </c>
      <c r="CB17" s="1136">
        <f>'2023'!R\Max</f>
        <v>0.71516125584551815</v>
      </c>
      <c r="CC17" s="1136">
        <f>'2024'!R\Max</f>
        <v>0.71457653763263074</v>
      </c>
      <c r="CD17" s="1136">
        <f>'2025'!R\Max</f>
        <v>0.71381744323120444</v>
      </c>
      <c r="CE17" s="1136">
        <f>'2026'!R\Max</f>
        <v>0.71649179122138418</v>
      </c>
      <c r="CF17" s="1137">
        <f>'2027'!R\Max</f>
        <v>0.71642869796312492</v>
      </c>
    </row>
    <row r="18" spans="1:84" s="6" customFormat="1" ht="11.25" x14ac:dyDescent="0.2">
      <c r="A18" s="11">
        <v>43104</v>
      </c>
      <c r="B18" s="380">
        <f>'2022'!Maxi_hp</f>
        <v>25.910930416910517</v>
      </c>
      <c r="C18" s="85">
        <f>'2022'!An_max</f>
        <v>2019</v>
      </c>
      <c r="D18" s="1089" t="str">
        <f t="shared" si="7"/>
        <v/>
      </c>
      <c r="E18" s="837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838">
        <f t="shared" si="9"/>
        <v>0.73333333333333328</v>
      </c>
      <c r="J18" s="829">
        <f t="shared" si="27"/>
        <v>29.237978740930554</v>
      </c>
      <c r="L18" s="841" t="s">
        <v>224</v>
      </c>
      <c r="M18" s="866">
        <f t="shared" ref="M18:AN18" si="29">M13</f>
        <v>272.84499999999997</v>
      </c>
      <c r="N18" s="826">
        <f t="shared" si="29"/>
        <v>301.40999999999997</v>
      </c>
      <c r="O18" s="826">
        <f t="shared" si="29"/>
        <v>336.87</v>
      </c>
      <c r="P18" s="826">
        <f t="shared" si="29"/>
        <v>384.15</v>
      </c>
      <c r="Q18" s="826">
        <f t="shared" si="29"/>
        <v>432.41500000000002</v>
      </c>
      <c r="R18" s="826">
        <f t="shared" si="29"/>
        <v>476.74</v>
      </c>
      <c r="S18" s="826">
        <f t="shared" si="29"/>
        <v>518.11</v>
      </c>
      <c r="T18" s="826">
        <f t="shared" si="29"/>
        <v>553.56999999999994</v>
      </c>
      <c r="U18" s="826">
        <f t="shared" si="29"/>
        <v>576.22500000000002</v>
      </c>
      <c r="V18" s="826">
        <f t="shared" si="29"/>
        <v>591</v>
      </c>
      <c r="W18" s="826">
        <f t="shared" si="29"/>
        <v>596.91</v>
      </c>
      <c r="X18" s="826">
        <f t="shared" si="29"/>
        <v>596.91</v>
      </c>
      <c r="Y18" s="826">
        <f t="shared" si="29"/>
        <v>591.98500000000001</v>
      </c>
      <c r="Z18" s="826">
        <f t="shared" si="29"/>
        <v>581.15</v>
      </c>
      <c r="AA18" s="826">
        <f t="shared" si="29"/>
        <v>568.34500000000003</v>
      </c>
      <c r="AB18" s="826">
        <f t="shared" si="29"/>
        <v>553.56999999999994</v>
      </c>
      <c r="AC18" s="826">
        <f t="shared" si="29"/>
        <v>538.79499999999996</v>
      </c>
      <c r="AD18" s="826">
        <f t="shared" si="29"/>
        <v>523.03499999999997</v>
      </c>
      <c r="AE18" s="826">
        <f t="shared" si="29"/>
        <v>507.10347293908853</v>
      </c>
      <c r="AF18" s="826">
        <f t="shared" si="29"/>
        <v>486.42440417059532</v>
      </c>
      <c r="AG18" s="826">
        <f t="shared" si="29"/>
        <v>458.02499999999998</v>
      </c>
      <c r="AH18" s="826">
        <f t="shared" si="29"/>
        <v>422.565</v>
      </c>
      <c r="AI18" s="826">
        <f t="shared" si="29"/>
        <v>382.18</v>
      </c>
      <c r="AJ18" s="826">
        <f t="shared" si="29"/>
        <v>335.88499999999999</v>
      </c>
      <c r="AK18" s="826">
        <f t="shared" si="29"/>
        <v>297.46999999999997</v>
      </c>
      <c r="AL18" s="826">
        <f t="shared" si="29"/>
        <v>270.875</v>
      </c>
      <c r="AM18" s="864">
        <f t="shared" si="29"/>
        <v>272.84499999999997</v>
      </c>
      <c r="AN18" s="862">
        <f t="shared" si="29"/>
        <v>301.40999999999997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838">
        <f t="shared" si="14"/>
        <v>0.86206896551724133</v>
      </c>
      <c r="AT18" s="855">
        <f t="shared" si="15"/>
        <v>29.350495516919882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838">
        <f t="shared" si="19"/>
        <v>0.37931034482758619</v>
      </c>
      <c r="AY18" s="855">
        <f t="shared" si="20"/>
        <v>28.888690852065544</v>
      </c>
      <c r="AZ18" s="829">
        <f t="shared" si="26"/>
        <v>29.119593184492714</v>
      </c>
      <c r="BA18" s="662">
        <f t="shared" si="21"/>
        <v>0.88620799154756658</v>
      </c>
      <c r="BB18" s="657">
        <v>43104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926">
        <f>1+[2]!Salcycl*Ksac</f>
        <v>1.0004587890252081</v>
      </c>
      <c r="BH18" s="1082">
        <f t="shared" si="22"/>
        <v>1.1820150993504881E-2</v>
      </c>
      <c r="BI18" s="11">
        <v>44200</v>
      </c>
      <c r="BJ18" s="803">
        <v>7.4640807895244073E-3</v>
      </c>
      <c r="BK18" s="803">
        <v>8.5190295947924766E-3</v>
      </c>
      <c r="BL18" s="803">
        <v>9.7736415675955517E-3</v>
      </c>
      <c r="BM18" s="803">
        <v>1.1820025528627256E-2</v>
      </c>
      <c r="BN18" s="803">
        <v>1.5134293228881325E-2</v>
      </c>
      <c r="BO18" s="804">
        <v>3.284504205660696E-2</v>
      </c>
      <c r="BP18" s="803">
        <v>6.3787539085871134E-2</v>
      </c>
      <c r="BQ18" s="803">
        <v>0.10386428983661078</v>
      </c>
      <c r="BR18" s="803">
        <v>0.1379434856478311</v>
      </c>
      <c r="BS18" s="803">
        <v>0.16512587101792206</v>
      </c>
      <c r="BT18" s="803">
        <v>0.18898591850359334</v>
      </c>
      <c r="BW18" s="1138">
        <f>'2018'!R\Max</f>
        <v>0</v>
      </c>
      <c r="BX18" s="1136">
        <f>'2019'!R\Max</f>
        <v>0.88620799154756658</v>
      </c>
      <c r="BY18" s="1136">
        <f>'2020'!R\Max</f>
        <v>0.23797506835281279</v>
      </c>
      <c r="BZ18" s="1136">
        <f>'2021'!R\Max</f>
        <v>0.71939601992641411</v>
      </c>
      <c r="CA18" s="1136">
        <f>'2022'!R\Max</f>
        <v>0.74277545809921386</v>
      </c>
      <c r="CB18" s="1136">
        <f>'2023'!R\Max</f>
        <v>0.74222461736717227</v>
      </c>
      <c r="CC18" s="1136">
        <f>'2024'!R\Max</f>
        <v>0.74167232344359735</v>
      </c>
      <c r="CD18" s="1136">
        <f>'2025'!R\Max</f>
        <v>0.74095494085840985</v>
      </c>
      <c r="CE18" s="1136">
        <f>'2026'!R\Max</f>
        <v>0.74346611789369987</v>
      </c>
      <c r="CF18" s="1137">
        <f>'2027'!R\Max</f>
        <v>0.74340737320822547</v>
      </c>
    </row>
    <row r="19" spans="1:84" s="6" customFormat="1" ht="11.25" x14ac:dyDescent="0.2">
      <c r="A19" s="11">
        <v>43105</v>
      </c>
      <c r="B19" s="380">
        <f>'2022'!Maxi_hp</f>
        <v>29.868700088933423</v>
      </c>
      <c r="C19" s="85">
        <f>'2022'!An_max</f>
        <v>2019</v>
      </c>
      <c r="D19" s="1089">
        <f t="shared" si="7"/>
        <v>1.0137527952270253</v>
      </c>
      <c r="E19" s="837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838">
        <f t="shared" si="9"/>
        <v>0.8</v>
      </c>
      <c r="J19" s="829">
        <f t="shared" si="27"/>
        <v>29.463494679927827</v>
      </c>
      <c r="L19" s="841" t="s">
        <v>225</v>
      </c>
      <c r="M19" s="868">
        <f t="shared" ref="M19:AN19" si="30">N12</f>
        <v>43108</v>
      </c>
      <c r="N19" s="821">
        <f t="shared" si="30"/>
        <v>43122</v>
      </c>
      <c r="O19" s="821">
        <f t="shared" si="30"/>
        <v>43136</v>
      </c>
      <c r="P19" s="821">
        <f t="shared" si="30"/>
        <v>43150</v>
      </c>
      <c r="Q19" s="821">
        <f t="shared" si="30"/>
        <v>43164</v>
      </c>
      <c r="R19" s="821">
        <f t="shared" si="30"/>
        <v>43178</v>
      </c>
      <c r="S19" s="821">
        <f t="shared" si="30"/>
        <v>43192</v>
      </c>
      <c r="T19" s="821">
        <f t="shared" si="30"/>
        <v>43206</v>
      </c>
      <c r="U19" s="821">
        <f t="shared" si="30"/>
        <v>43220</v>
      </c>
      <c r="V19" s="821">
        <f t="shared" si="30"/>
        <v>43234</v>
      </c>
      <c r="W19" s="821">
        <f t="shared" si="30"/>
        <v>43248</v>
      </c>
      <c r="X19" s="821">
        <f t="shared" si="30"/>
        <v>43262</v>
      </c>
      <c r="Y19" s="821">
        <f t="shared" si="30"/>
        <v>43276</v>
      </c>
      <c r="Z19" s="821">
        <f t="shared" si="30"/>
        <v>43290</v>
      </c>
      <c r="AA19" s="821">
        <f t="shared" si="30"/>
        <v>43304</v>
      </c>
      <c r="AB19" s="821">
        <f t="shared" si="30"/>
        <v>43318</v>
      </c>
      <c r="AC19" s="821">
        <f t="shared" si="30"/>
        <v>43332</v>
      </c>
      <c r="AD19" s="821">
        <f t="shared" si="30"/>
        <v>43346</v>
      </c>
      <c r="AE19" s="821">
        <f t="shared" si="30"/>
        <v>43360</v>
      </c>
      <c r="AF19" s="821">
        <f t="shared" si="30"/>
        <v>43374</v>
      </c>
      <c r="AG19" s="821">
        <f t="shared" si="30"/>
        <v>43388</v>
      </c>
      <c r="AH19" s="821">
        <f t="shared" si="30"/>
        <v>43402</v>
      </c>
      <c r="AI19" s="821">
        <f t="shared" si="30"/>
        <v>43416</v>
      </c>
      <c r="AJ19" s="821">
        <f t="shared" si="30"/>
        <v>43430</v>
      </c>
      <c r="AK19" s="821">
        <f t="shared" si="30"/>
        <v>43444</v>
      </c>
      <c r="AL19" s="865">
        <f t="shared" si="30"/>
        <v>43458</v>
      </c>
      <c r="AM19" s="822">
        <f t="shared" si="30"/>
        <v>43473</v>
      </c>
      <c r="AN19" s="822">
        <f t="shared" si="30"/>
        <v>43487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838">
        <f t="shared" si="14"/>
        <v>0.89655172413793105</v>
      </c>
      <c r="AT19" s="855">
        <f t="shared" si="15"/>
        <v>29.54399064959123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838">
        <f t="shared" si="19"/>
        <v>0.41379310344827586</v>
      </c>
      <c r="AY19" s="855">
        <f t="shared" si="20"/>
        <v>29.10772088283095</v>
      </c>
      <c r="AZ19" s="829">
        <f t="shared" si="26"/>
        <v>29.325855766211092</v>
      </c>
      <c r="BA19" s="662">
        <f t="shared" si="21"/>
        <v>1.0137527952270253</v>
      </c>
      <c r="BB19" s="657">
        <v>43105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926">
        <f>1+[2]!Salcycl*Ksac</f>
        <v>1.0004248642610547</v>
      </c>
      <c r="BH19" s="1082">
        <f t="shared" si="22"/>
        <v>1.1268279566017468E-2</v>
      </c>
      <c r="BI19" s="11">
        <v>44201</v>
      </c>
      <c r="BJ19" s="803">
        <v>6.9849007158065959E-3</v>
      </c>
      <c r="BK19" s="803">
        <v>8.0106614151529299E-3</v>
      </c>
      <c r="BL19" s="803">
        <v>9.2344540051018578E-3</v>
      </c>
      <c r="BM19" s="803">
        <v>1.1268153986207985E-2</v>
      </c>
      <c r="BN19" s="803">
        <v>1.458545771494328E-2</v>
      </c>
      <c r="BO19" s="804">
        <v>3.2063329248231902E-2</v>
      </c>
      <c r="BP19" s="803">
        <v>6.3426743429782037E-2</v>
      </c>
      <c r="BQ19" s="803">
        <v>0.10406955013857093</v>
      </c>
      <c r="BR19" s="803">
        <v>0.13908193147440395</v>
      </c>
      <c r="BS19" s="803">
        <v>0.16663664187178467</v>
      </c>
      <c r="BT19" s="803">
        <v>0.19081815418513931</v>
      </c>
      <c r="BW19" s="1138">
        <f>'2018'!R\Max</f>
        <v>0</v>
      </c>
      <c r="BX19" s="1136">
        <f>'2019'!R\Max</f>
        <v>1.0137527952270253</v>
      </c>
      <c r="BY19" s="1136">
        <f>'2020'!R\Max</f>
        <v>0.51818065097548172</v>
      </c>
      <c r="BZ19" s="1136">
        <f>'2021'!R\Max</f>
        <v>0.11457606509077038</v>
      </c>
      <c r="CA19" s="1136">
        <f>'2022'!R\Max</f>
        <v>0.5202553595828272</v>
      </c>
      <c r="CB19" s="1136">
        <f>'2023'!R\Max</f>
        <v>0.51953237572149913</v>
      </c>
      <c r="CC19" s="1136">
        <f>'2024'!R\Max</f>
        <v>0.5188083954906384</v>
      </c>
      <c r="CD19" s="1136">
        <f>'2025'!R\Max</f>
        <v>0.51786892281051444</v>
      </c>
      <c r="CE19" s="1136">
        <f>'2026'!R\Max</f>
        <v>0.52114039432111303</v>
      </c>
      <c r="CF19" s="1137">
        <f>'2027'!R\Max</f>
        <v>0.52106408796017201</v>
      </c>
    </row>
    <row r="20" spans="1:84" s="6" customFormat="1" ht="11.25" x14ac:dyDescent="0.2">
      <c r="A20" s="11">
        <v>43106</v>
      </c>
      <c r="B20" s="380">
        <f>'2022'!Maxi_hp</f>
        <v>28.521480989437787</v>
      </c>
      <c r="C20" s="85">
        <f>'2022'!An_max</f>
        <v>2020</v>
      </c>
      <c r="D20" s="1089" t="str">
        <f t="shared" si="7"/>
        <v/>
      </c>
      <c r="E20" s="837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838">
        <f t="shared" si="9"/>
        <v>0.8666666666666667</v>
      </c>
      <c r="J20" s="829">
        <f t="shared" si="27"/>
        <v>29.690213968406123</v>
      </c>
      <c r="L20" s="841" t="s">
        <v>226</v>
      </c>
      <c r="M20" s="869">
        <f>N13</f>
        <v>301.40999999999997</v>
      </c>
      <c r="N20" s="826">
        <f t="shared" ref="N20:AN20" si="31">O13</f>
        <v>336.87</v>
      </c>
      <c r="O20" s="826">
        <f t="shared" si="31"/>
        <v>384.15</v>
      </c>
      <c r="P20" s="826">
        <f t="shared" si="31"/>
        <v>432.41500000000002</v>
      </c>
      <c r="Q20" s="826">
        <f t="shared" si="31"/>
        <v>476.74</v>
      </c>
      <c r="R20" s="826">
        <f t="shared" si="31"/>
        <v>518.11</v>
      </c>
      <c r="S20" s="826">
        <f t="shared" si="31"/>
        <v>553.56999999999994</v>
      </c>
      <c r="T20" s="826">
        <f t="shared" si="31"/>
        <v>576.22500000000002</v>
      </c>
      <c r="U20" s="826">
        <f t="shared" si="31"/>
        <v>591</v>
      </c>
      <c r="V20" s="826">
        <f t="shared" si="31"/>
        <v>596.91</v>
      </c>
      <c r="W20" s="826">
        <f t="shared" si="31"/>
        <v>596.91</v>
      </c>
      <c r="X20" s="826">
        <f t="shared" si="31"/>
        <v>591.98500000000001</v>
      </c>
      <c r="Y20" s="826">
        <f t="shared" si="31"/>
        <v>581.15</v>
      </c>
      <c r="Z20" s="826">
        <f t="shared" si="31"/>
        <v>568.34500000000003</v>
      </c>
      <c r="AA20" s="826">
        <f t="shared" si="31"/>
        <v>553.56999999999994</v>
      </c>
      <c r="AB20" s="826">
        <f t="shared" si="31"/>
        <v>538.79499999999996</v>
      </c>
      <c r="AC20" s="826">
        <f t="shared" si="31"/>
        <v>523.03499999999997</v>
      </c>
      <c r="AD20" s="826">
        <f t="shared" si="31"/>
        <v>507.10347293908853</v>
      </c>
      <c r="AE20" s="826">
        <f t="shared" si="31"/>
        <v>486.42440417059532</v>
      </c>
      <c r="AF20" s="826">
        <f t="shared" si="31"/>
        <v>458.02499999999998</v>
      </c>
      <c r="AG20" s="826">
        <f t="shared" si="31"/>
        <v>422.565</v>
      </c>
      <c r="AH20" s="826">
        <f t="shared" si="31"/>
        <v>382.18</v>
      </c>
      <c r="AI20" s="826">
        <f t="shared" si="31"/>
        <v>335.88499999999999</v>
      </c>
      <c r="AJ20" s="826">
        <f t="shared" si="31"/>
        <v>297.46999999999997</v>
      </c>
      <c r="AK20" s="826">
        <f t="shared" si="31"/>
        <v>270.875</v>
      </c>
      <c r="AL20" s="864">
        <f t="shared" si="31"/>
        <v>272.84499999999997</v>
      </c>
      <c r="AM20" s="862">
        <f t="shared" si="31"/>
        <v>301.40999999999997</v>
      </c>
      <c r="AN20" s="862">
        <f t="shared" si="31"/>
        <v>336.87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838">
        <f t="shared" si="14"/>
        <v>0.93103448275862066</v>
      </c>
      <c r="AT20" s="855">
        <f>((1-AS20)*(INDEX(a.lg,AP20)*$A20*$A20+INDEX(b.lg,AP20)*$A20+INDEX(c.lg,AP20))+AS20*(INDEX(a.lg,AQ20)*$A20*$A20+INDEX(b.lg,AQ20)*$A20+INDEX(c.lg,AQ20)))/10</f>
        <v>29.740596131903345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838">
        <f t="shared" si="19"/>
        <v>0.44827586206896552</v>
      </c>
      <c r="AY20" s="855">
        <f t="shared" si="20"/>
        <v>29.335988768678284</v>
      </c>
      <c r="AZ20" s="829">
        <f t="shared" si="26"/>
        <v>29.538292450290815</v>
      </c>
      <c r="BA20" s="662">
        <f t="shared" si="21"/>
        <v>0.96063575088370856</v>
      </c>
      <c r="BB20" s="657">
        <v>43106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926">
        <f>1+[2]!Salcycl*Ksac</f>
        <v>1.00039257782641</v>
      </c>
      <c r="BH20" s="1082">
        <f t="shared" si="22"/>
        <v>1.071577104375868E-2</v>
      </c>
      <c r="BI20" s="11">
        <v>44202</v>
      </c>
      <c r="BJ20" s="803">
        <v>6.501925595948913E-3</v>
      </c>
      <c r="BK20" s="803">
        <v>7.4994069210396657E-3</v>
      </c>
      <c r="BL20" s="803">
        <v>8.6933153420505494E-3</v>
      </c>
      <c r="BM20" s="803">
        <v>1.0715645199747775E-2</v>
      </c>
      <c r="BN20" s="803">
        <v>1.4039928046932507E-2</v>
      </c>
      <c r="BO20" s="804">
        <v>3.1202202273317298E-2</v>
      </c>
      <c r="BP20" s="803">
        <v>6.298707010101913E-2</v>
      </c>
      <c r="BQ20" s="803">
        <v>0.10420343950786737</v>
      </c>
      <c r="BR20" s="803">
        <v>0.14025157000278107</v>
      </c>
      <c r="BS20" s="803">
        <v>0.16820440414552526</v>
      </c>
      <c r="BT20" s="803">
        <v>0.19273032785126307</v>
      </c>
      <c r="BW20" s="1138">
        <f>'2018'!R\Max</f>
        <v>0</v>
      </c>
      <c r="BX20" s="1136">
        <f>'2019'!R\Max</f>
        <v>0.17733617567110374</v>
      </c>
      <c r="BY20" s="1136">
        <f>'2020'!R\Max</f>
        <v>0.96063575088370856</v>
      </c>
      <c r="BZ20" s="1136">
        <f>'2021'!R\Max</f>
        <v>0.31661929535507671</v>
      </c>
      <c r="CA20" s="1136">
        <f>'2022'!R\Max</f>
        <v>0.95116825169449815</v>
      </c>
      <c r="CB20" s="1136">
        <f>'2023'!R\Max</f>
        <v>0.9510328341041967</v>
      </c>
      <c r="CC20" s="1136">
        <f>'2024'!R\Max</f>
        <v>0.95089688477921297</v>
      </c>
      <c r="CD20" s="1136">
        <f>'2025'!R\Max</f>
        <v>0.95071984302469359</v>
      </c>
      <c r="CE20" s="1136">
        <f>'2026'!R\Max</f>
        <v>0.95132874000869005</v>
      </c>
      <c r="CF20" s="1137">
        <f>'2027'!R\Max</f>
        <v>0.95131466479356031</v>
      </c>
    </row>
    <row r="21" spans="1:84" s="6" customFormat="1" ht="11.25" x14ac:dyDescent="0.2">
      <c r="A21" s="11">
        <v>43107</v>
      </c>
      <c r="B21" s="380">
        <f>'2022'!Maxi_hp</f>
        <v>15.334327230197083</v>
      </c>
      <c r="C21" s="85">
        <f>'2022'!An_max</f>
        <v>2021</v>
      </c>
      <c r="D21" s="1089" t="str">
        <f t="shared" si="7"/>
        <v/>
      </c>
      <c r="E21" s="837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838">
        <f t="shared" si="9"/>
        <v>0.93333333333333335</v>
      </c>
      <c r="J21" s="829">
        <f t="shared" si="27"/>
        <v>29.916570957700412</v>
      </c>
      <c r="L21" s="842" t="s">
        <v>227</v>
      </c>
      <c r="M21" s="823">
        <f>x.1m*x.1m-x.2m*x.2m</f>
        <v>-1206408</v>
      </c>
      <c r="N21" s="823">
        <f t="shared" ref="N21:AM21" si="32">x.1m*x.1m-x.2m*x.2m</f>
        <v>-1293015</v>
      </c>
      <c r="O21" s="823">
        <f t="shared" si="32"/>
        <v>-1207220</v>
      </c>
      <c r="P21" s="823">
        <f t="shared" si="32"/>
        <v>-1207612</v>
      </c>
      <c r="Q21" s="823">
        <f t="shared" si="32"/>
        <v>-1208004</v>
      </c>
      <c r="R21" s="823">
        <f t="shared" si="32"/>
        <v>-1208396</v>
      </c>
      <c r="S21" s="823">
        <f t="shared" si="32"/>
        <v>-1208788</v>
      </c>
      <c r="T21" s="823">
        <f t="shared" si="32"/>
        <v>-1209180</v>
      </c>
      <c r="U21" s="823">
        <f t="shared" si="32"/>
        <v>-1209572</v>
      </c>
      <c r="V21" s="823">
        <f t="shared" si="32"/>
        <v>-1209964</v>
      </c>
      <c r="W21" s="823">
        <f t="shared" si="32"/>
        <v>-1210356</v>
      </c>
      <c r="X21" s="823">
        <f t="shared" si="32"/>
        <v>-1210748</v>
      </c>
      <c r="Y21" s="823">
        <f t="shared" si="32"/>
        <v>-1211140</v>
      </c>
      <c r="Z21" s="823">
        <f t="shared" si="32"/>
        <v>-1211532</v>
      </c>
      <c r="AA21" s="823">
        <f t="shared" si="32"/>
        <v>-1211924</v>
      </c>
      <c r="AB21" s="823">
        <f t="shared" si="32"/>
        <v>-1212316</v>
      </c>
      <c r="AC21" s="823">
        <f t="shared" si="32"/>
        <v>-1212708</v>
      </c>
      <c r="AD21" s="823">
        <f t="shared" si="32"/>
        <v>-1213100</v>
      </c>
      <c r="AE21" s="823">
        <f t="shared" si="32"/>
        <v>-1213492</v>
      </c>
      <c r="AF21" s="823">
        <f t="shared" si="32"/>
        <v>-1213884</v>
      </c>
      <c r="AG21" s="823">
        <f t="shared" si="32"/>
        <v>-1214276</v>
      </c>
      <c r="AH21" s="823">
        <f t="shared" si="32"/>
        <v>-1214668</v>
      </c>
      <c r="AI21" s="823">
        <f t="shared" si="32"/>
        <v>-1215060</v>
      </c>
      <c r="AJ21" s="823">
        <f t="shared" si="32"/>
        <v>-1215452</v>
      </c>
      <c r="AK21" s="823">
        <f t="shared" si="32"/>
        <v>-1215844</v>
      </c>
      <c r="AL21" s="823">
        <f t="shared" si="32"/>
        <v>-1216236</v>
      </c>
      <c r="AM21" s="823">
        <f t="shared" si="32"/>
        <v>-1216628</v>
      </c>
      <c r="AN21" s="823">
        <f>x.1m*x.1m-x.2m*x.2m</f>
        <v>-1303965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838">
        <f t="shared" si="14"/>
        <v>0.96551724137931039</v>
      </c>
      <c r="AT21" s="855">
        <f t="shared" si="15"/>
        <v>29.939777427552077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838">
        <f t="shared" si="19"/>
        <v>0.48275862068965519</v>
      </c>
      <c r="AY21" s="855">
        <f t="shared" si="20"/>
        <v>29.572811143254409</v>
      </c>
      <c r="AZ21" s="829">
        <f t="shared" si="26"/>
        <v>29.756294285403243</v>
      </c>
      <c r="BA21" s="662">
        <f t="shared" si="21"/>
        <v>0.51256968092628563</v>
      </c>
      <c r="BB21" s="657">
        <v>43107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926">
        <f>1+[2]!Salcycl*Ksac</f>
        <v>1.0003617830409</v>
      </c>
      <c r="BH21" s="1082">
        <f t="shared" si="22"/>
        <v>1.0162602188357952E-2</v>
      </c>
      <c r="BI21" s="11">
        <v>44203</v>
      </c>
      <c r="BJ21" s="803">
        <v>6.0151377419265144E-3</v>
      </c>
      <c r="BK21" s="803">
        <v>6.9852474471864918E-3</v>
      </c>
      <c r="BL21" s="803">
        <v>8.150205489157401E-3</v>
      </c>
      <c r="BM21" s="803">
        <v>1.0162475930983598E-2</v>
      </c>
      <c r="BN21" s="803">
        <v>1.3497678145833436E-2</v>
      </c>
      <c r="BO21" s="804">
        <v>3.0261475350536388E-2</v>
      </c>
      <c r="BP21" s="803">
        <v>6.2468249588937368E-2</v>
      </c>
      <c r="BQ21" s="803">
        <v>0.10426558940933134</v>
      </c>
      <c r="BR21" s="803">
        <v>0.14145207933216256</v>
      </c>
      <c r="BS21" s="803">
        <v>0.16982879846320084</v>
      </c>
      <c r="BT21" s="803">
        <v>0.19472204773525759</v>
      </c>
      <c r="BW21" s="1138">
        <f>'2018'!R\Max</f>
        <v>0</v>
      </c>
      <c r="BX21" s="1136">
        <f>'2019'!R\Max</f>
        <v>9.7445924108427187E-2</v>
      </c>
      <c r="BY21" s="1136">
        <f>'2020'!R\Max</f>
        <v>0.26441097425760601</v>
      </c>
      <c r="BZ21" s="1136">
        <f>'2021'!R\Max</f>
        <v>0.51256968092628563</v>
      </c>
      <c r="CA21" s="1136">
        <f>'2022'!R\Max</f>
        <v>0.342352273927923</v>
      </c>
      <c r="CB21" s="1136">
        <f>'2023'!R\Max</f>
        <v>0.34169363785460616</v>
      </c>
      <c r="CC21" s="1136">
        <f>'2024'!R\Max</f>
        <v>0.34103474407419315</v>
      </c>
      <c r="CD21" s="1136">
        <f>'2025'!R\Max</f>
        <v>0.34017951512596833</v>
      </c>
      <c r="CE21" s="1136">
        <f>'2026'!R\Max</f>
        <v>0.34310960572312882</v>
      </c>
      <c r="CF21" s="1137">
        <f>'2027'!R\Max</f>
        <v>0.34304142754957062</v>
      </c>
    </row>
    <row r="22" spans="1:84" s="6" customFormat="1" ht="11.25" x14ac:dyDescent="0.2">
      <c r="A22" s="11">
        <v>43108</v>
      </c>
      <c r="B22" s="380">
        <f>'2022'!Maxi_hp</f>
        <v>20.926751067686602</v>
      </c>
      <c r="C22" s="85">
        <f>'2022'!An_max</f>
        <v>2021</v>
      </c>
      <c r="D22" s="1089" t="str">
        <f t="shared" si="7"/>
        <v/>
      </c>
      <c r="E22" s="837">
        <f>N$13/10</f>
        <v>30.140999999999998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838">
        <f t="shared" si="9"/>
        <v>1</v>
      </c>
      <c r="J22" s="829">
        <f t="shared" si="27"/>
        <v>30.140999998897314</v>
      </c>
      <c r="L22" s="842" t="s">
        <v>228</v>
      </c>
      <c r="M22" s="823">
        <f t="shared" ref="M22:AM22" si="33">x.2m*x.2m-x.3m*x.3m</f>
        <v>-1293015</v>
      </c>
      <c r="N22" s="823">
        <f>x.2m*x.2m-x.3m*x.3m</f>
        <v>-1207220</v>
      </c>
      <c r="O22" s="823">
        <f t="shared" si="33"/>
        <v>-1207612</v>
      </c>
      <c r="P22" s="823">
        <f t="shared" si="33"/>
        <v>-1208004</v>
      </c>
      <c r="Q22" s="823">
        <f t="shared" si="33"/>
        <v>-1208396</v>
      </c>
      <c r="R22" s="823">
        <f t="shared" si="33"/>
        <v>-1208788</v>
      </c>
      <c r="S22" s="823">
        <f t="shared" si="33"/>
        <v>-1209180</v>
      </c>
      <c r="T22" s="823">
        <f t="shared" si="33"/>
        <v>-1209572</v>
      </c>
      <c r="U22" s="823">
        <f t="shared" si="33"/>
        <v>-1209964</v>
      </c>
      <c r="V22" s="823">
        <f t="shared" si="33"/>
        <v>-1210356</v>
      </c>
      <c r="W22" s="823">
        <f t="shared" si="33"/>
        <v>-1210748</v>
      </c>
      <c r="X22" s="823">
        <f t="shared" si="33"/>
        <v>-1211140</v>
      </c>
      <c r="Y22" s="823">
        <f t="shared" si="33"/>
        <v>-1211532</v>
      </c>
      <c r="Z22" s="823">
        <f t="shared" si="33"/>
        <v>-1211924</v>
      </c>
      <c r="AA22" s="823">
        <f t="shared" si="33"/>
        <v>-1212316</v>
      </c>
      <c r="AB22" s="823">
        <f t="shared" si="33"/>
        <v>-1212708</v>
      </c>
      <c r="AC22" s="823">
        <f t="shared" si="33"/>
        <v>-1213100</v>
      </c>
      <c r="AD22" s="823">
        <f t="shared" si="33"/>
        <v>-1213492</v>
      </c>
      <c r="AE22" s="823">
        <f t="shared" si="33"/>
        <v>-1213884</v>
      </c>
      <c r="AF22" s="823">
        <f t="shared" si="33"/>
        <v>-1214276</v>
      </c>
      <c r="AG22" s="823">
        <f t="shared" si="33"/>
        <v>-1214668</v>
      </c>
      <c r="AH22" s="823">
        <f t="shared" si="33"/>
        <v>-1215060</v>
      </c>
      <c r="AI22" s="823">
        <f t="shared" si="33"/>
        <v>-1215452</v>
      </c>
      <c r="AJ22" s="823">
        <f t="shared" si="33"/>
        <v>-1215844</v>
      </c>
      <c r="AK22" s="823">
        <f t="shared" si="33"/>
        <v>-1216236</v>
      </c>
      <c r="AL22" s="823">
        <f t="shared" si="33"/>
        <v>-1216628</v>
      </c>
      <c r="AM22" s="823">
        <f t="shared" si="33"/>
        <v>-1303965</v>
      </c>
      <c r="AN22" s="823">
        <f>x.2m*x.2m-x.3m*x.3m</f>
        <v>-1217440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838">
        <f t="shared" si="14"/>
        <v>1</v>
      </c>
      <c r="AT22" s="855">
        <f t="shared" si="15"/>
        <v>30.14100000113249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838">
        <f t="shared" si="19"/>
        <v>0.51724137931034486</v>
      </c>
      <c r="AY22" s="855">
        <f t="shared" si="20"/>
        <v>29.817504647553996</v>
      </c>
      <c r="AZ22" s="829">
        <f t="shared" si="26"/>
        <v>29.979252324343243</v>
      </c>
      <c r="BA22" s="662">
        <f t="shared" si="21"/>
        <v>0.69429518159491033</v>
      </c>
      <c r="BB22" s="657">
        <v>43108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926">
        <f>1+[2]!Salcycl*Ksac</f>
        <v>1.0003323598481093</v>
      </c>
      <c r="BH22" s="1082">
        <f t="shared" si="22"/>
        <v>9.6087554489171847E-3</v>
      </c>
      <c r="BI22" s="11">
        <v>44204</v>
      </c>
      <c r="BJ22" s="803">
        <v>5.5245245216931594E-3</v>
      </c>
      <c r="BK22" s="803">
        <v>6.4681696490609215E-3</v>
      </c>
      <c r="BL22" s="803">
        <v>7.6051099590850983E-3</v>
      </c>
      <c r="BM22" s="803">
        <v>9.6086286291314944E-3</v>
      </c>
      <c r="BN22" s="803">
        <v>1.2958687445745005E-2</v>
      </c>
      <c r="BO22" s="804">
        <v>2.9240974008299576E-2</v>
      </c>
      <c r="BP22" s="803">
        <v>6.1870019545294135E-2</v>
      </c>
      <c r="BQ22" s="803">
        <v>0.10425563261091948</v>
      </c>
      <c r="BR22" s="803">
        <v>0.14268312540293324</v>
      </c>
      <c r="BS22" s="803">
        <v>0.17150944859618256</v>
      </c>
      <c r="BT22" s="803">
        <v>0.1967929011397497</v>
      </c>
      <c r="BW22" s="1138">
        <f>'2018'!R\Max</f>
        <v>0</v>
      </c>
      <c r="BX22" s="1136">
        <f>'2019'!R\Max</f>
        <v>0.19483553251971331</v>
      </c>
      <c r="BY22" s="1136">
        <f>'2020'!R\Max</f>
        <v>0.41595268532259289</v>
      </c>
      <c r="BZ22" s="1136">
        <f>'2021'!R\Max</f>
        <v>0.69429518159491033</v>
      </c>
      <c r="CA22" s="1136">
        <f>'2022'!R\Max</f>
        <v>0.19697211972669207</v>
      </c>
      <c r="CB22" s="1136">
        <f>'2023'!R\Max</f>
        <v>0.19656632225050652</v>
      </c>
      <c r="CC22" s="1136">
        <f>'2024'!R\Max</f>
        <v>0.196160459103144</v>
      </c>
      <c r="CD22" s="1136">
        <f>'2025'!R\Max</f>
        <v>0.19563332217573665</v>
      </c>
      <c r="CE22" s="1136">
        <f>'2026'!R\Max</f>
        <v>0.1974210584690117</v>
      </c>
      <c r="CF22" s="1137">
        <f>'2027'!R\Max</f>
        <v>0.19737939481043756</v>
      </c>
    </row>
    <row r="23" spans="1:84" s="6" customFormat="1" ht="11.25" x14ac:dyDescent="0.2">
      <c r="A23" s="11">
        <v>43109</v>
      </c>
      <c r="B23" s="380">
        <f>'2022'!Maxi_hp</f>
        <v>27.858667670277544</v>
      </c>
      <c r="C23" s="85">
        <f>'2022'!An_max</f>
        <v>2020</v>
      </c>
      <c r="D23" s="1089" t="str">
        <f t="shared" si="7"/>
        <v/>
      </c>
      <c r="E23" s="837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838">
        <f t="shared" si="9"/>
        <v>0.9285714285714286</v>
      </c>
      <c r="J23" s="829">
        <f t="shared" si="27"/>
        <v>30.36532309709915</v>
      </c>
      <c r="L23" s="842" t="s">
        <v>229</v>
      </c>
      <c r="M23" s="823">
        <f t="shared" ref="M23:AM23" si="34">(y.1m-y.2m-b.m*(x.1m-x.2m))/D2x12</f>
        <v>6.0814449917878696E-2</v>
      </c>
      <c r="N23" s="823">
        <f>(y.1m-y.2m-b.m*(x.1m-x.2m))/D2x12</f>
        <v>2.1673234811159528E-2</v>
      </c>
      <c r="O23" s="823">
        <f t="shared" si="34"/>
        <v>3.0153061224492031E-2</v>
      </c>
      <c r="P23" s="823">
        <f t="shared" si="34"/>
        <v>2.5127551020416058E-3</v>
      </c>
      <c r="Q23" s="823">
        <f t="shared" si="34"/>
        <v>-1.0051020408164813E-2</v>
      </c>
      <c r="R23" s="823">
        <f t="shared" si="34"/>
        <v>-7.5382653061214907E-3</v>
      </c>
      <c r="S23" s="823">
        <f t="shared" si="34"/>
        <v>-1.5076530612242881E-2</v>
      </c>
      <c r="T23" s="823">
        <f t="shared" si="34"/>
        <v>-3.2665816326531108E-2</v>
      </c>
      <c r="U23" s="823">
        <f t="shared" si="34"/>
        <v>-2.0102040816325949E-2</v>
      </c>
      <c r="V23" s="823">
        <f t="shared" si="34"/>
        <v>-2.2614795918370512E-2</v>
      </c>
      <c r="W23" s="823">
        <f t="shared" si="34"/>
        <v>-1.5076530612244331E-2</v>
      </c>
      <c r="X23" s="823">
        <f t="shared" si="34"/>
        <v>-1.2563775510201297E-2</v>
      </c>
      <c r="Y23" s="823">
        <f t="shared" si="34"/>
        <v>-1.5076530612248231E-2</v>
      </c>
      <c r="Z23" s="823">
        <f t="shared" si="34"/>
        <v>-5.0255102040816175E-3</v>
      </c>
      <c r="AA23" s="823">
        <f t="shared" si="34"/>
        <v>-5.0255102040806772E-3</v>
      </c>
      <c r="AB23" s="823">
        <f t="shared" si="34"/>
        <v>2.8974469568456057E-16</v>
      </c>
      <c r="AC23" s="823">
        <f t="shared" si="34"/>
        <v>-2.5127551020402892E-3</v>
      </c>
      <c r="AD23" s="823">
        <f t="shared" si="34"/>
        <v>-4.375690329374715E-4</v>
      </c>
      <c r="AE23" s="823">
        <f t="shared" si="34"/>
        <v>-1.2111075784650493E-2</v>
      </c>
      <c r="AF23" s="823">
        <f t="shared" si="34"/>
        <v>-1.9694733168630105E-2</v>
      </c>
      <c r="AG23" s="823">
        <f t="shared" si="34"/>
        <v>-1.8011724054600116E-2</v>
      </c>
      <c r="AH23" s="823">
        <f t="shared" si="34"/>
        <v>-1.2563775510207162E-2</v>
      </c>
      <c r="AI23" s="823">
        <f t="shared" si="34"/>
        <v>-1.50765306122427E-2</v>
      </c>
      <c r="AJ23" s="823">
        <f t="shared" si="34"/>
        <v>2.0102040816327701E-2</v>
      </c>
      <c r="AK23" s="823">
        <f t="shared" si="34"/>
        <v>3.0153061224484183E-2</v>
      </c>
      <c r="AL23" s="823">
        <f t="shared" si="34"/>
        <v>7.2869897959160185E-2</v>
      </c>
      <c r="AM23" s="823">
        <f t="shared" si="34"/>
        <v>6.081444991790156E-2</v>
      </c>
      <c r="AN23" s="823">
        <f>(y.1m-y.2m-b.m*(x.1m-x.2m))/D2x12</f>
        <v>2.1673234811166876E-2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838">
        <f t="shared" si="14"/>
        <v>0.9642857142857143</v>
      </c>
      <c r="AT23" s="855">
        <f t="shared" si="15"/>
        <v>30.349014029991149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838">
        <f t="shared" si="19"/>
        <v>0.55172413793103448</v>
      </c>
      <c r="AY23" s="855">
        <f t="shared" si="20"/>
        <v>30.069385919642862</v>
      </c>
      <c r="AZ23" s="829">
        <f t="shared" si="26"/>
        <v>30.209199974817004</v>
      </c>
      <c r="BA23" s="662">
        <f t="shared" si="21"/>
        <v>0.91745006569480336</v>
      </c>
      <c r="BB23" s="657">
        <v>43109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926">
        <f>1+[2]!Salcycl*Ksac</f>
        <v>1.000304213235335</v>
      </c>
      <c r="BH23" s="1082">
        <f t="shared" si="22"/>
        <v>9.0542189641466715E-3</v>
      </c>
      <c r="BI23" s="11">
        <v>44205</v>
      </c>
      <c r="BJ23" s="803">
        <v>5.0300784437656261E-3</v>
      </c>
      <c r="BK23" s="803">
        <v>5.9481655635314499E-3</v>
      </c>
      <c r="BL23" s="803">
        <v>7.0580199024686194E-3</v>
      </c>
      <c r="BM23" s="803">
        <v>9.0540914330263077E-3</v>
      </c>
      <c r="BN23" s="803">
        <v>1.2422940795474832E-2</v>
      </c>
      <c r="BO23" s="804">
        <v>2.8140537086992101E-2</v>
      </c>
      <c r="BP23" s="803">
        <v>6.1192126781501044E-2</v>
      </c>
      <c r="BQ23" s="803">
        <v>0.10417320500148902</v>
      </c>
      <c r="BR23" s="803">
        <v>0.14394436122271562</v>
      </c>
      <c r="BS23" s="803">
        <v>0.1732459600396882</v>
      </c>
      <c r="BT23" s="803">
        <v>0.19894245243529912</v>
      </c>
      <c r="BW23" s="1138">
        <f>'2018'!R\Max</f>
        <v>0</v>
      </c>
      <c r="BX23" s="1136">
        <f>'2019'!R\Max</f>
        <v>0.29434792678533478</v>
      </c>
      <c r="BY23" s="1136">
        <f>'2020'!R\Max</f>
        <v>0.91745006569480336</v>
      </c>
      <c r="BZ23" s="1136">
        <f>'2021'!R\Max</f>
        <v>0.19549506868038977</v>
      </c>
      <c r="CA23" s="1136">
        <f>'2022'!R\Max</f>
        <v>5.8140506627972439E-2</v>
      </c>
      <c r="CB23" s="1136">
        <f>'2023'!R\Max</f>
        <v>5.8020127596162409E-2</v>
      </c>
      <c r="CC23" s="1136">
        <f>'2024'!R\Max</f>
        <v>5.7899726176579493E-2</v>
      </c>
      <c r="CD23" s="1136">
        <f>'2025'!R\Max</f>
        <v>5.7743182402736973E-2</v>
      </c>
      <c r="CE23" s="1136">
        <f>'2026'!R\Max</f>
        <v>5.8267948537919466E-2</v>
      </c>
      <c r="CF23" s="1137">
        <f>'2027'!R\Max</f>
        <v>5.8255678664418248E-2</v>
      </c>
    </row>
    <row r="24" spans="1:84" s="6" customFormat="1" ht="11.25" x14ac:dyDescent="0.2">
      <c r="A24" s="11">
        <v>43110</v>
      </c>
      <c r="B24" s="380">
        <f>'2022'!Maxi_hp</f>
        <v>10.822941868477683</v>
      </c>
      <c r="C24" s="85">
        <f>'2022'!An_max</f>
        <v>2019</v>
      </c>
      <c r="D24" s="1089" t="str">
        <f t="shared" si="7"/>
        <v/>
      </c>
      <c r="E24" s="837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838">
        <f t="shared" si="9"/>
        <v>0.8571428571428571</v>
      </c>
      <c r="J24" s="829">
        <f t="shared" si="27"/>
        <v>30.592648296058179</v>
      </c>
      <c r="L24" s="842" t="s">
        <v>230</v>
      </c>
      <c r="M24" s="823">
        <f t="shared" ref="M24:AM24" si="35">(y.2m-y.3m-(y.1m-y.2m)*D2x23/D2x12)/(x.2m-x.3m)/(1-(x.2m+x.3m)/(x.1m+x.2m))</f>
        <v>-5240.3620640377285</v>
      </c>
      <c r="N24" s="823">
        <f>(y.2m-y.3m-(y.1m-y.2m)*D2x23/D2x12)/(x.2m-x.3m)/(1-(x.2m+x.3m)/(x.1m+x.2m))</f>
        <v>-1866.350180623429</v>
      </c>
      <c r="O24" s="823">
        <f t="shared" si="35"/>
        <v>-2597.5656122450905</v>
      </c>
      <c r="P24" s="823">
        <f t="shared" si="35"/>
        <v>-213.36808673476202</v>
      </c>
      <c r="Q24" s="823">
        <f t="shared" si="35"/>
        <v>870.7098469389091</v>
      </c>
      <c r="R24" s="823">
        <f t="shared" si="35"/>
        <v>653.82390306114189</v>
      </c>
      <c r="S24" s="823">
        <f t="shared" si="35"/>
        <v>1304.6928061222748</v>
      </c>
      <c r="T24" s="823">
        <f t="shared" si="35"/>
        <v>2823.8794132653488</v>
      </c>
      <c r="U24" s="823">
        <f t="shared" si="35"/>
        <v>1738.3943367346435</v>
      </c>
      <c r="V24" s="823">
        <f t="shared" si="35"/>
        <v>1955.561709183947</v>
      </c>
      <c r="W24" s="823">
        <f t="shared" si="35"/>
        <v>1303.8485204081142</v>
      </c>
      <c r="X24" s="823">
        <f t="shared" si="35"/>
        <v>1086.5404336732286</v>
      </c>
      <c r="Y24" s="823">
        <f t="shared" si="35"/>
        <v>1303.9188775513087</v>
      </c>
      <c r="Z24" s="823">
        <f t="shared" si="35"/>
        <v>434.12367346938646</v>
      </c>
      <c r="AA24" s="823">
        <f t="shared" si="35"/>
        <v>434.12367346930506</v>
      </c>
      <c r="AB24" s="823">
        <f t="shared" si="35"/>
        <v>-1.0553571428822395</v>
      </c>
      <c r="AC24" s="823">
        <f t="shared" si="35"/>
        <v>216.60451530607679</v>
      </c>
      <c r="AD24" s="823">
        <f t="shared" si="35"/>
        <v>36.789642418317619</v>
      </c>
      <c r="AE24" s="823">
        <f t="shared" si="35"/>
        <v>1048.6258606432989</v>
      </c>
      <c r="AF24" s="823">
        <f t="shared" si="35"/>
        <v>1706.1744577786355</v>
      </c>
      <c r="AG24" s="823">
        <f t="shared" si="35"/>
        <v>1560.2003452823581</v>
      </c>
      <c r="AH24" s="823">
        <f t="shared" si="35"/>
        <v>1087.5254336737366</v>
      </c>
      <c r="AI24" s="823">
        <f t="shared" si="35"/>
        <v>1305.6074489794012</v>
      </c>
      <c r="AJ24" s="823">
        <f t="shared" si="35"/>
        <v>-1748.525765306224</v>
      </c>
      <c r="AK24" s="823">
        <f t="shared" si="35"/>
        <v>-2621.4166836729819</v>
      </c>
      <c r="AL24" s="823">
        <f t="shared" si="35"/>
        <v>-6332.3991581612245</v>
      </c>
      <c r="AM24" s="823">
        <f t="shared" si="35"/>
        <v>-5284.7566124797668</v>
      </c>
      <c r="AN24" s="823">
        <f>(y.2m-y.3m-(y.1m-y.2m)*D2x23/D2x12)/(x.2m-x.3m)/(1-(x.2m+x.3m)/(x.1m+x.2m))</f>
        <v>-1882.1716420362145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838">
        <f t="shared" si="14"/>
        <v>0.9285714285714286</v>
      </c>
      <c r="AT24" s="855">
        <f t="shared" si="15"/>
        <v>30.568539081966243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838">
        <f t="shared" si="19"/>
        <v>0.58620689655172409</v>
      </c>
      <c r="AY24" s="855">
        <f t="shared" si="20"/>
        <v>30.32777159697023</v>
      </c>
      <c r="AZ24" s="829">
        <f t="shared" si="26"/>
        <v>30.448155339468236</v>
      </c>
      <c r="BA24" s="662">
        <f t="shared" si="21"/>
        <v>0.35377590601962383</v>
      </c>
      <c r="BB24" s="657">
        <v>43110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926">
        <f>1+[2]!Salcycl*Ksac</f>
        <v>1.0002772714946573</v>
      </c>
      <c r="BH24" s="1082">
        <f t="shared" si="22"/>
        <v>8.5265748514564959E-3</v>
      </c>
      <c r="BI24" s="1084">
        <v>44206</v>
      </c>
      <c r="BJ24" s="803">
        <v>4.5576343572666213E-3</v>
      </c>
      <c r="BK24" s="803">
        <v>5.4524486120592431E-3</v>
      </c>
      <c r="BL24" s="803">
        <v>6.5376899962019501E-3</v>
      </c>
      <c r="BM24" s="803">
        <v>8.5264466263598026E-3</v>
      </c>
      <c r="BN24" s="803">
        <v>1.1913627998321139E-2</v>
      </c>
      <c r="BO24" s="804">
        <v>2.7004446567575936E-2</v>
      </c>
      <c r="BP24" s="803">
        <v>6.0401269161115968E-2</v>
      </c>
      <c r="BQ24" s="803">
        <v>0.10399357141779413</v>
      </c>
      <c r="BR24" s="803">
        <v>0.14519451667348929</v>
      </c>
      <c r="BS24" s="803">
        <v>0.17508153450261407</v>
      </c>
      <c r="BT24" s="803">
        <v>0.2012151184822234</v>
      </c>
      <c r="BW24" s="1138">
        <f>'2018'!R\Max</f>
        <v>0</v>
      </c>
      <c r="BX24" s="1136">
        <f>'2019'!R\Max</f>
        <v>0.35377590601962383</v>
      </c>
      <c r="BY24" s="1136">
        <f>'2020'!R\Max</f>
        <v>0.29013712012368625</v>
      </c>
      <c r="BZ24" s="1136">
        <f>'2021'!R\Max</f>
        <v>0.20622519284775351</v>
      </c>
      <c r="CA24" s="1136">
        <f>'2022'!R\Max</f>
        <v>5.3406097239032668E-2</v>
      </c>
      <c r="CB24" s="1136">
        <f>'2023'!R\Max</f>
        <v>5.3295246079249646E-2</v>
      </c>
      <c r="CC24" s="1136">
        <f>'2024'!R\Max</f>
        <v>5.318437122628894E-2</v>
      </c>
      <c r="CD24" s="1136">
        <f>'2025'!R\Max</f>
        <v>5.3039679100287132E-2</v>
      </c>
      <c r="CE24" s="1136">
        <f>'2026'!R\Max</f>
        <v>5.3518150943415235E-2</v>
      </c>
      <c r="CF24" s="1137">
        <f>'2027'!R\Max</f>
        <v>5.350690816777616E-2</v>
      </c>
    </row>
    <row r="25" spans="1:84" s="6" customFormat="1" ht="11.25" x14ac:dyDescent="0.2">
      <c r="A25" s="11">
        <v>43111</v>
      </c>
      <c r="B25" s="380">
        <f>'2022'!Maxi_hp</f>
        <v>30.380982956889898</v>
      </c>
      <c r="C25" s="85">
        <f>'2022'!An_max</f>
        <v>2022</v>
      </c>
      <c r="D25" s="1089">
        <f t="shared" si="7"/>
        <v>0.98564866507846738</v>
      </c>
      <c r="E25" s="837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838">
        <f t="shared" si="9"/>
        <v>0.7857142857142857</v>
      </c>
      <c r="J25" s="829">
        <f t="shared" si="27"/>
        <v>30.823339018544981</v>
      </c>
      <c r="L25" s="842" t="s">
        <v>231</v>
      </c>
      <c r="M25" s="823">
        <f t="shared" ref="M25:AM25" si="36">(y.1m+y.2m+y.3m-a.m*(x.3m*x.3m+x.2m*x.2m+x.1m*x.1m)-b.m*(x.3m+x.2m+x.1m))/3</f>
        <v>112890357.41779959</v>
      </c>
      <c r="N25" s="823">
        <f>(y.1m+y.2m+y.3m-a.m*(x.3m*x.3m+x.2m*x.2m+x.1m*x.1m)-b.m*(x.3m+x.2m+x.1m))/3</f>
        <v>40179560.028943919</v>
      </c>
      <c r="O25" s="823">
        <f t="shared" si="36"/>
        <v>55942736.28061638</v>
      </c>
      <c r="P25" s="823">
        <f t="shared" si="36"/>
        <v>4528710.0961239198</v>
      </c>
      <c r="Q25" s="823">
        <f t="shared" si="36"/>
        <v>-18856476.434492674</v>
      </c>
      <c r="R25" s="823">
        <f t="shared" si="36"/>
        <v>-14176403.217651283</v>
      </c>
      <c r="S25" s="823">
        <f t="shared" si="36"/>
        <v>-28225733.555302355</v>
      </c>
      <c r="T25" s="823">
        <f t="shared" si="36"/>
        <v>-61028769.508164175</v>
      </c>
      <c r="U25" s="823">
        <f t="shared" si="36"/>
        <v>-37582835.213264212</v>
      </c>
      <c r="V25" s="823">
        <f t="shared" si="36"/>
        <v>-42275061.922965087</v>
      </c>
      <c r="W25" s="823">
        <f t="shared" si="36"/>
        <v>-28189259.286733627</v>
      </c>
      <c r="X25" s="823">
        <f t="shared" si="36"/>
        <v>-23490949.920607034</v>
      </c>
      <c r="Y25" s="823">
        <f t="shared" si="36"/>
        <v>-28192302.092455212</v>
      </c>
      <c r="Z25" s="823">
        <f t="shared" si="36"/>
        <v>-9374718.2422448713</v>
      </c>
      <c r="AA25" s="823">
        <f t="shared" si="36"/>
        <v>-9374718.2422431074</v>
      </c>
      <c r="AB25" s="823">
        <f t="shared" si="36"/>
        <v>46254.75571482916</v>
      </c>
      <c r="AC25" s="823">
        <f t="shared" si="36"/>
        <v>-4667278.4889786039</v>
      </c>
      <c r="AD25" s="823">
        <f t="shared" si="36"/>
        <v>-772038.90673163708</v>
      </c>
      <c r="AE25" s="823">
        <f t="shared" si="36"/>
        <v>-22698023.265556037</v>
      </c>
      <c r="AF25" s="823">
        <f t="shared" si="36"/>
        <v>-36951375.059760951</v>
      </c>
      <c r="AG25" s="823">
        <f t="shared" si="36"/>
        <v>-33786145.473915361</v>
      </c>
      <c r="AH25" s="823">
        <f t="shared" si="36"/>
        <v>-23533590.570618045</v>
      </c>
      <c r="AI25" s="823">
        <f t="shared" si="36"/>
        <v>-28265424.974587709</v>
      </c>
      <c r="AJ25" s="823">
        <f t="shared" si="36"/>
        <v>38023007.651124649</v>
      </c>
      <c r="AK25" s="823">
        <f t="shared" si="36"/>
        <v>56974778.332744516</v>
      </c>
      <c r="AL25" s="823">
        <f t="shared" si="36"/>
        <v>137571749.11179242</v>
      </c>
      <c r="AM25" s="823">
        <f t="shared" si="36"/>
        <v>114811191.57630683</v>
      </c>
      <c r="AN25" s="823">
        <f>(y.1m+y.2m+y.3m-a.m*(x.3m*x.3m+x.2m*x.2m+x.1m*x.1m)-b.m*(x.3m+x.2m+x.1m))/3</f>
        <v>40863665.261593089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838">
        <f t="shared" si="14"/>
        <v>0.8928571428571429</v>
      </c>
      <c r="AT25" s="855">
        <f>((1-AS25)*(INDEX(a.lg,AP25)*$A25*$A25+INDEX(b.lg,AP25)*$A25+INDEX(c.lg,AP25))+AS25*(INDEX(a.lg,AQ25)*$A25*$A25+INDEX(b.lg,AQ25)*$A25+INDEX(c.lg,AQ25)))/10</f>
        <v>30.798994706098789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838">
        <f t="shared" si="19"/>
        <v>0.62068965517241381</v>
      </c>
      <c r="AY25" s="855">
        <f t="shared" si="20"/>
        <v>30.591978322637495</v>
      </c>
      <c r="AZ25" s="829">
        <f t="shared" si="26"/>
        <v>30.695486514368142</v>
      </c>
      <c r="BA25" s="662">
        <f t="shared" si="21"/>
        <v>0.98564866507846738</v>
      </c>
      <c r="BB25" s="657">
        <v>43111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926">
        <f>1+[2]!Salcycl*Ksac</f>
        <v>1.0002514843480341</v>
      </c>
      <c r="BH25" s="1082">
        <f t="shared" si="22"/>
        <v>8.0547800050459941E-3</v>
      </c>
      <c r="BI25" s="11">
        <v>44207</v>
      </c>
      <c r="BJ25" s="803">
        <v>4.1320726907236264E-3</v>
      </c>
      <c r="BK25" s="803">
        <v>5.0075210535336021E-3</v>
      </c>
      <c r="BL25" s="803">
        <v>6.0722059867598212E-3</v>
      </c>
      <c r="BM25" s="803">
        <v>8.0546511612444097E-3</v>
      </c>
      <c r="BN25" s="803">
        <v>1.1458176179960153E-2</v>
      </c>
      <c r="BO25" s="804">
        <v>2.5886347418873301E-2</v>
      </c>
      <c r="BP25" s="803">
        <v>5.9537789407732404E-2</v>
      </c>
      <c r="BQ25" s="803">
        <v>0.10373994868774961</v>
      </c>
      <c r="BR25" s="803">
        <v>0.14640644528220612</v>
      </c>
      <c r="BS25" s="803">
        <v>0.17697419839372572</v>
      </c>
      <c r="BT25" s="803">
        <v>0.20355569165284632</v>
      </c>
      <c r="BW25" s="1138">
        <f>'2018'!R\Max</f>
        <v>0</v>
      </c>
      <c r="BX25" s="1136">
        <f>'2019'!R\Max</f>
        <v>0.93898230185671927</v>
      </c>
      <c r="BY25" s="1136">
        <f>'2020'!R\Max</f>
        <v>0.97902544310300832</v>
      </c>
      <c r="BZ25" s="1136">
        <f>'2021'!R\Max</f>
        <v>0.18507538818954117</v>
      </c>
      <c r="CA25" s="1136">
        <f>'2022'!R\Max</f>
        <v>0.98564866507846738</v>
      </c>
      <c r="CB25" s="1136">
        <f>'2023'!R\Max</f>
        <v>0.98560669056807182</v>
      </c>
      <c r="CC25" s="1136">
        <f>'2024'!R\Max</f>
        <v>0.98556453435557956</v>
      </c>
      <c r="CD25" s="1136">
        <f>'2025'!R\Max</f>
        <v>0.9855089124544022</v>
      </c>
      <c r="CE25" s="1136">
        <f>'2026'!R\Max</f>
        <v>0.98568898431782626</v>
      </c>
      <c r="CF25" s="1137">
        <f>'2027'!R\Max</f>
        <v>0.98568476331492105</v>
      </c>
    </row>
    <row r="26" spans="1:84" s="6" customFormat="1" ht="11.25" x14ac:dyDescent="0.2">
      <c r="A26" s="11">
        <v>43112</v>
      </c>
      <c r="B26" s="380">
        <f>'2022'!Maxi_hp</f>
        <v>30.267889314428743</v>
      </c>
      <c r="C26" s="85">
        <f>'2022'!An_max</f>
        <v>2020</v>
      </c>
      <c r="D26" s="1089">
        <f t="shared" si="7"/>
        <v>0.97456772779860557</v>
      </c>
      <c r="E26" s="837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838">
        <f t="shared" si="9"/>
        <v>0.7142857142857143</v>
      </c>
      <c r="J26" s="829">
        <f t="shared" si="27"/>
        <v>31.057758687330146</v>
      </c>
      <c r="L26" s="10"/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838">
        <f t="shared" si="14"/>
        <v>0.8571428571428571</v>
      </c>
      <c r="AT26" s="855">
        <f>((1-AS26)*(INDEX(a.lg,AP26)*$A26*$A26+INDEX(b.lg,AP26)*$A26+INDEX(c.lg,AP26))+AS26*(INDEX(a.lg,AQ26)*$A26*$A26+INDEX(b.lg,AQ26)*$A26+INDEX(c.lg,AQ26)))/10</f>
        <v>31.039800449327696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838">
        <f t="shared" si="19"/>
        <v>0.65517241379310343</v>
      </c>
      <c r="AY26" s="855">
        <f t="shared" si="20"/>
        <v>30.861322731447633</v>
      </c>
      <c r="AZ26" s="829">
        <f t="shared" si="26"/>
        <v>30.950561590387665</v>
      </c>
      <c r="BA26" s="662">
        <f t="shared" si="21"/>
        <v>0.97456772779860557</v>
      </c>
      <c r="BB26" s="657">
        <v>43112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926">
        <f>1+[2]!Salcycl*Ksac</f>
        <v>1.0002268209598479</v>
      </c>
      <c r="BH26" s="1082">
        <f t="shared" si="22"/>
        <v>7.6389086461766467E-3</v>
      </c>
      <c r="BI26" s="11">
        <v>44208</v>
      </c>
      <c r="BJ26" s="803">
        <v>3.7534637105510172E-3</v>
      </c>
      <c r="BK26" s="803">
        <v>4.6134569278275797E-3</v>
      </c>
      <c r="BL26" s="803">
        <v>5.6616454631426777E-3</v>
      </c>
      <c r="BM26" s="803">
        <v>7.638779259390484E-3</v>
      </c>
      <c r="BN26" s="803">
        <v>1.1056647704608111E-2</v>
      </c>
      <c r="BO26" s="804">
        <v>2.4786250443026736E-2</v>
      </c>
      <c r="BP26" s="803">
        <v>5.860148486267136E-2</v>
      </c>
      <c r="BQ26" s="803">
        <v>0.10341199322671153</v>
      </c>
      <c r="BR26" s="803">
        <v>0.14757967443409717</v>
      </c>
      <c r="BS26" s="803">
        <v>0.17892349416831588</v>
      </c>
      <c r="BT26" s="803">
        <v>0.20596364092994834</v>
      </c>
      <c r="BW26" s="1138">
        <f>'2018'!R\Max</f>
        <v>0</v>
      </c>
      <c r="BX26" s="1136">
        <f>'2019'!R\Max</f>
        <v>0.26897074176535524</v>
      </c>
      <c r="BY26" s="1136">
        <f>'2020'!R\Max</f>
        <v>0.97456772779860557</v>
      </c>
      <c r="BZ26" s="1136">
        <f>'2021'!R\Max</f>
        <v>0.45032495210372803</v>
      </c>
      <c r="CA26" s="1136">
        <f>'2022'!R\Max</f>
        <v>0.7929309631693342</v>
      </c>
      <c r="CB26" s="1136">
        <f>'2023'!R\Max</f>
        <v>0.79244553799531436</v>
      </c>
      <c r="CC26" s="1136">
        <f>'2024'!R\Max</f>
        <v>0.79195855576206964</v>
      </c>
      <c r="CD26" s="1136">
        <f>'2025'!R\Max</f>
        <v>0.79131121410188732</v>
      </c>
      <c r="CE26" s="1136">
        <f>'2026'!R\Max</f>
        <v>0.79337579781307055</v>
      </c>
      <c r="CF26" s="1137">
        <f>'2027'!R\Max</f>
        <v>0.79332692879334243</v>
      </c>
    </row>
    <row r="27" spans="1:84" s="6" customFormat="1" ht="11.25" x14ac:dyDescent="0.2">
      <c r="A27" s="11">
        <v>43113</v>
      </c>
      <c r="B27" s="380">
        <f>'2022'!Maxi_hp</f>
        <v>17.075177344016367</v>
      </c>
      <c r="C27" s="85">
        <f>'2022'!An_max</f>
        <v>2020</v>
      </c>
      <c r="D27" s="1089" t="str">
        <f t="shared" si="7"/>
        <v/>
      </c>
      <c r="E27" s="837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838">
        <f t="shared" si="9"/>
        <v>0.6428571428571429</v>
      </c>
      <c r="J27" s="829">
        <f t="shared" si="27"/>
        <v>31.296270721671835</v>
      </c>
      <c r="L27" s="10"/>
      <c r="M27" s="6" t="s">
        <v>241</v>
      </c>
      <c r="AC27" s="69"/>
      <c r="AE27" s="69"/>
      <c r="AG27" s="69"/>
      <c r="AI27" s="69"/>
      <c r="AK27" s="69"/>
      <c r="AM27" s="69"/>
      <c r="AO27" s="175"/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838">
        <f t="shared" si="14"/>
        <v>0.8214285714285714</v>
      </c>
      <c r="AT27" s="855">
        <f>((1-AS27)*(INDEX(a.lg,AP27)*$A27*$A27+INDEX(b.lg,AP27)*$A27+INDEX(c.lg,AP27))+AS27*(INDEX(a.lg,AQ27)*$A27*$A27+INDEX(b.lg,AQ27)*$A27+INDEX(c.lg,AQ27)))/10</f>
        <v>31.290375860793784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838">
        <f t="shared" si="19"/>
        <v>0.68965517241379315</v>
      </c>
      <c r="AY27" s="855">
        <f t="shared" si="20"/>
        <v>31.135121462776745</v>
      </c>
      <c r="AZ27" s="829">
        <f t="shared" si="26"/>
        <v>31.212748661785263</v>
      </c>
      <c r="BA27" s="662">
        <f t="shared" si="21"/>
        <v>0.54559782844005955</v>
      </c>
      <c r="BB27" s="657">
        <v>43113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926">
        <f>1+[2]!Salcycl*Ksac</f>
        <v>1.0002032678608435</v>
      </c>
      <c r="BH27" s="1082">
        <f t="shared" si="22"/>
        <v>7.279033822614839E-3</v>
      </c>
      <c r="BI27" s="11">
        <v>44209</v>
      </c>
      <c r="BJ27" s="803">
        <v>3.421876988041311E-3</v>
      </c>
      <c r="BK27" s="803">
        <v>4.2703293610590757E-3</v>
      </c>
      <c r="BL27" s="803">
        <v>5.3060848785625976E-3</v>
      </c>
      <c r="BM27" s="803">
        <v>7.2789039690111385E-3</v>
      </c>
      <c r="BN27" s="803">
        <v>1.0709103819757523E-2</v>
      </c>
      <c r="BO27" s="804">
        <v>2.3704175864327198E-2</v>
      </c>
      <c r="BP27" s="803">
        <v>5.7592169472596301E-2</v>
      </c>
      <c r="BQ27" s="803">
        <v>0.10300937218110995</v>
      </c>
      <c r="BR27" s="803">
        <v>0.14871372378944744</v>
      </c>
      <c r="BS27" s="803">
        <v>0.18092893962952683</v>
      </c>
      <c r="BT27" s="803">
        <v>0.20843840505374642</v>
      </c>
      <c r="BW27" s="1138">
        <f>'2018'!R\Max</f>
        <v>0</v>
      </c>
      <c r="BX27" s="1136">
        <f>'2019'!R\Max</f>
        <v>0.10312440318117429</v>
      </c>
      <c r="BY27" s="1136">
        <f>'2020'!R\Max</f>
        <v>0.54559782844005955</v>
      </c>
      <c r="BZ27" s="1136">
        <f>'2021'!R\Max</f>
        <v>0.32543326478516044</v>
      </c>
      <c r="CA27" s="1136">
        <f>'2022'!R\Max</f>
        <v>0.18360734434692133</v>
      </c>
      <c r="CB27" s="1136">
        <f>'2023'!R\Max</f>
        <v>0.18322981898477667</v>
      </c>
      <c r="CC27" s="1136">
        <f>'2024'!R\Max</f>
        <v>0.18285216977088967</v>
      </c>
      <c r="CD27" s="1136">
        <f>'2025'!R\Max</f>
        <v>0.18234620455800835</v>
      </c>
      <c r="CE27" s="1136">
        <f>'2026'!R\Max</f>
        <v>0.18393733547120228</v>
      </c>
      <c r="CF27" s="1137">
        <f>'2027'!R\Max</f>
        <v>0.18389912171750963</v>
      </c>
    </row>
    <row r="28" spans="1:84" s="6" customFormat="1" ht="11.25" x14ac:dyDescent="0.2">
      <c r="A28" s="11">
        <v>43114</v>
      </c>
      <c r="B28" s="380">
        <f>'2022'!Maxi_hp</f>
        <v>31.536797669864139</v>
      </c>
      <c r="C28" s="85">
        <f>'2022'!An_max</f>
        <v>2022</v>
      </c>
      <c r="D28" s="1089">
        <f t="shared" si="7"/>
        <v>0.99992260835946334</v>
      </c>
      <c r="E28" s="837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838">
        <f t="shared" si="9"/>
        <v>0.5714285714285714</v>
      </c>
      <c r="J28" s="829">
        <f t="shared" si="27"/>
        <v>31.53923854327628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838">
        <f t="shared" si="14"/>
        <v>0.7857142857142857</v>
      </c>
      <c r="AT28" s="855">
        <f t="shared" si="15"/>
        <v>31.550140489478196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838">
        <f t="shared" si="19"/>
        <v>0.72413793103448276</v>
      </c>
      <c r="AY28" s="855">
        <f t="shared" si="20"/>
        <v>31.412691158030565</v>
      </c>
      <c r="AZ28" s="829">
        <f t="shared" si="26"/>
        <v>31.481415823754382</v>
      </c>
      <c r="BA28" s="662">
        <f t="shared" si="21"/>
        <v>0.99992260835946334</v>
      </c>
      <c r="BB28" s="657">
        <v>43114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926">
        <f>1+[2]!Salcycl*Ksac</f>
        <v>1.0001808268076406</v>
      </c>
      <c r="BH28" s="1082">
        <f t="shared" si="22"/>
        <v>6.9752259741662848E-3</v>
      </c>
      <c r="BI28" s="11">
        <v>44210</v>
      </c>
      <c r="BJ28" s="803">
        <v>3.1373801955196742E-3</v>
      </c>
      <c r="BK28" s="803">
        <v>3.9782092615899779E-3</v>
      </c>
      <c r="BL28" s="803">
        <v>5.0055981423854749E-3</v>
      </c>
      <c r="BM28" s="803">
        <v>6.9750957303547868E-3</v>
      </c>
      <c r="BN28" s="803">
        <v>1.0415603271392593E-2</v>
      </c>
      <c r="BO28" s="804">
        <v>2.2640152836458968E-2</v>
      </c>
      <c r="BP28" s="803">
        <v>5.6509675595080806E-2</v>
      </c>
      <c r="BQ28" s="803">
        <v>0.10253176526615987</v>
      </c>
      <c r="BR28" s="803">
        <v>0.1498081062289521</v>
      </c>
      <c r="BS28" s="803">
        <v>0.18299002645304949</v>
      </c>
      <c r="BT28" s="803">
        <v>0.21097939077166694</v>
      </c>
      <c r="BW28" s="1138">
        <f>'2018'!R\Max</f>
        <v>0</v>
      </c>
      <c r="BX28" s="1136">
        <f>'2019'!R\Max</f>
        <v>0.21785560218362265</v>
      </c>
      <c r="BY28" s="1136">
        <f>'2020'!R\Max</f>
        <v>0.92683853232836433</v>
      </c>
      <c r="BZ28" s="1136">
        <f>'2021'!R\Max</f>
        <v>0.34343606490087292</v>
      </c>
      <c r="CA28" s="1136">
        <f>'2022'!R\Max</f>
        <v>0.99992260835946334</v>
      </c>
      <c r="CB28" s="1136">
        <f>'2023'!R\Max</f>
        <v>0.99992238273696565</v>
      </c>
      <c r="CC28" s="1136">
        <f>'2024'!R\Max</f>
        <v>0.99992215610467616</v>
      </c>
      <c r="CD28" s="1136">
        <f>'2025'!R\Max</f>
        <v>0.99992184678217988</v>
      </c>
      <c r="CE28" s="1136">
        <f>'2026'!R\Max</f>
        <v>0.99992279481029245</v>
      </c>
      <c r="CF28" s="1137">
        <f>'2027'!R\Max</f>
        <v>0.99992277201042268</v>
      </c>
    </row>
    <row r="29" spans="1:84" s="6" customFormat="1" ht="11.25" x14ac:dyDescent="0.2">
      <c r="A29" s="11">
        <v>43115</v>
      </c>
      <c r="B29" s="380">
        <f>'2022'!Maxi_hp</f>
        <v>31.359702932617143</v>
      </c>
      <c r="C29" s="85">
        <f>'2022'!An_max</f>
        <v>2022</v>
      </c>
      <c r="D29" s="1089">
        <f t="shared" si="7"/>
        <v>0.9865566962027551</v>
      </c>
      <c r="E29" s="837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838">
        <f t="shared" si="9"/>
        <v>0.5</v>
      </c>
      <c r="J29" s="829">
        <f t="shared" si="27"/>
        <v>31.787025574222206</v>
      </c>
      <c r="L29" s="860">
        <f>AJ13</f>
        <v>335.88499999999999</v>
      </c>
      <c r="M29" s="860">
        <f>L13</f>
        <v>270.875</v>
      </c>
      <c r="N29" s="850">
        <f>N13</f>
        <v>301.40999999999997</v>
      </c>
      <c r="O29" s="850">
        <f>P13</f>
        <v>384.15</v>
      </c>
      <c r="P29" s="850">
        <f>R13</f>
        <v>476.74</v>
      </c>
      <c r="Q29" s="850">
        <f>T13</f>
        <v>553.56999999999994</v>
      </c>
      <c r="R29" s="850">
        <f>V13</f>
        <v>591</v>
      </c>
      <c r="S29" s="850">
        <f>X13</f>
        <v>596.91</v>
      </c>
      <c r="T29" s="850">
        <f>Z13</f>
        <v>581.15</v>
      </c>
      <c r="U29" s="850">
        <f>AB13</f>
        <v>553.56999999999994</v>
      </c>
      <c r="V29" s="850">
        <f>AD13</f>
        <v>523.03499999999997</v>
      </c>
      <c r="W29" s="850">
        <f>AF13</f>
        <v>486.42440417059532</v>
      </c>
      <c r="X29" s="850">
        <f>AH13</f>
        <v>422.565</v>
      </c>
      <c r="Y29" s="850">
        <f>AJ13</f>
        <v>335.88499999999999</v>
      </c>
      <c r="Z29" s="850">
        <f>AL13</f>
        <v>270.875</v>
      </c>
      <c r="AA29" s="858">
        <f>AN13</f>
        <v>301.40999999999997</v>
      </c>
      <c r="AB29" s="858">
        <f>P13</f>
        <v>384.15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838">
        <f t="shared" si="14"/>
        <v>0.75</v>
      </c>
      <c r="AT29" s="855">
        <f t="shared" si="15"/>
        <v>31.818513881927355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838">
        <f t="shared" si="19"/>
        <v>0.75862068965517238</v>
      </c>
      <c r="AY29" s="855">
        <f t="shared" si="20"/>
        <v>31.693348451164262</v>
      </c>
      <c r="AZ29" s="829">
        <f t="shared" si="26"/>
        <v>31.755931166545807</v>
      </c>
      <c r="BA29" s="662">
        <f t="shared" si="21"/>
        <v>0.9865566962027551</v>
      </c>
      <c r="BB29" s="657">
        <v>43115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926">
        <f>1+[2]!Salcycl*Ksac</f>
        <v>1.0001595126020331</v>
      </c>
      <c r="BH29" s="1082">
        <f t="shared" si="22"/>
        <v>6.7275514980935135E-3</v>
      </c>
      <c r="BI29" s="11">
        <v>44211</v>
      </c>
      <c r="BJ29" s="803">
        <v>2.900037902446998E-3</v>
      </c>
      <c r="BK29" s="803">
        <v>3.7371640159595235E-3</v>
      </c>
      <c r="BL29" s="803">
        <v>4.76025521198996E-3</v>
      </c>
      <c r="BM29" s="803">
        <v>6.727420941120746E-3</v>
      </c>
      <c r="BN29" s="803">
        <v>1.017620091902866E-2</v>
      </c>
      <c r="BO29" s="804">
        <v>2.1594218949364325E-2</v>
      </c>
      <c r="BP29" s="803">
        <v>5.5353855803216008E-2</v>
      </c>
      <c r="BQ29" s="803">
        <v>0.10197886660182016</v>
      </c>
      <c r="BR29" s="803">
        <v>0.15086232879650172</v>
      </c>
      <c r="BS29" s="803">
        <v>0.18510621870867663</v>
      </c>
      <c r="BT29" s="803">
        <v>0.21358597108449093</v>
      </c>
      <c r="BW29" s="1138">
        <f>'2018'!R\Max</f>
        <v>0</v>
      </c>
      <c r="BX29" s="1136">
        <f>'2019'!R\Max</f>
        <v>0.9829119225457682</v>
      </c>
      <c r="BY29" s="1136">
        <f>'2020'!R\Max</f>
        <v>0.76156827437243435</v>
      </c>
      <c r="BZ29" s="1136">
        <f>'2021'!R\Max</f>
        <v>0.54631966381071706</v>
      </c>
      <c r="CA29" s="1136">
        <f>'2022'!R\Max</f>
        <v>0.9865566962027551</v>
      </c>
      <c r="CB29" s="1136">
        <f>'2023'!R\Max</f>
        <v>0.98651846987343406</v>
      </c>
      <c r="CC29" s="1136">
        <f>'2024'!R\Max</f>
        <v>0.98648007485029243</v>
      </c>
      <c r="CD29" s="1136">
        <f>'2025'!R\Max</f>
        <v>0.98642682021576045</v>
      </c>
      <c r="CE29" s="1136">
        <f>'2026'!R\Max</f>
        <v>0.98658658803913191</v>
      </c>
      <c r="CF29" s="1137">
        <f>'2027'!R\Max</f>
        <v>0.9865827019520278</v>
      </c>
    </row>
    <row r="30" spans="1:84" s="6" customFormat="1" ht="11.25" x14ac:dyDescent="0.2">
      <c r="A30" s="11">
        <v>43116</v>
      </c>
      <c r="B30" s="380">
        <f>'2022'!Maxi_hp</f>
        <v>32.204114318448951</v>
      </c>
      <c r="C30" s="85">
        <f>'2022'!An_max</f>
        <v>2019</v>
      </c>
      <c r="D30" s="1089">
        <f t="shared" si="7"/>
        <v>1.005122319245128</v>
      </c>
      <c r="E30" s="837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838">
        <f t="shared" si="9"/>
        <v>0.42857142857142855</v>
      </c>
      <c r="J30" s="829">
        <f t="shared" si="27"/>
        <v>32.03999523424676</v>
      </c>
      <c r="L30" s="840" t="s">
        <v>221</v>
      </c>
      <c r="M30" s="870">
        <f t="shared" ref="M30:AA30" si="37">L28</f>
        <v>43051</v>
      </c>
      <c r="N30" s="871">
        <f t="shared" si="37"/>
        <v>43079</v>
      </c>
      <c r="O30" s="819">
        <f t="shared" si="37"/>
        <v>43108</v>
      </c>
      <c r="P30" s="819">
        <f t="shared" si="37"/>
        <v>43136</v>
      </c>
      <c r="Q30" s="819">
        <f t="shared" si="37"/>
        <v>43164</v>
      </c>
      <c r="R30" s="819">
        <f t="shared" si="37"/>
        <v>43192</v>
      </c>
      <c r="S30" s="819">
        <f t="shared" si="37"/>
        <v>43220</v>
      </c>
      <c r="T30" s="819">
        <f t="shared" si="37"/>
        <v>43248</v>
      </c>
      <c r="U30" s="819">
        <f t="shared" si="37"/>
        <v>43276</v>
      </c>
      <c r="V30" s="819">
        <f t="shared" si="37"/>
        <v>43304</v>
      </c>
      <c r="W30" s="819">
        <f t="shared" si="37"/>
        <v>43332</v>
      </c>
      <c r="X30" s="819">
        <f t="shared" si="37"/>
        <v>43360</v>
      </c>
      <c r="Y30" s="819">
        <f t="shared" si="37"/>
        <v>43388</v>
      </c>
      <c r="Z30" s="819">
        <f t="shared" si="37"/>
        <v>43416</v>
      </c>
      <c r="AA30" s="863">
        <f t="shared" si="37"/>
        <v>43444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838">
        <f t="shared" si="14"/>
        <v>0.7142857142857143</v>
      </c>
      <c r="AT30" s="855">
        <f t="shared" si="15"/>
        <v>32.094915588306527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838">
        <f t="shared" si="19"/>
        <v>0.7931034482758621</v>
      </c>
      <c r="AY30" s="855">
        <f t="shared" si="20"/>
        <v>31.976409987051937</v>
      </c>
      <c r="AZ30" s="829">
        <f t="shared" si="26"/>
        <v>32.035662787679229</v>
      </c>
      <c r="BA30" s="662">
        <f t="shared" si="21"/>
        <v>1.005122319245128</v>
      </c>
      <c r="BB30" s="657">
        <v>43116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926">
        <f>1+[2]!Salcycl*Ksac</f>
        <v>1.0001393508940681</v>
      </c>
      <c r="BH30" s="1082">
        <f t="shared" si="22"/>
        <v>6.5361002995900329E-3</v>
      </c>
      <c r="BI30" s="11">
        <v>44212</v>
      </c>
      <c r="BJ30" s="803">
        <v>2.712987292004585E-3</v>
      </c>
      <c r="BK30" s="803">
        <v>3.5497304309762383E-3</v>
      </c>
      <c r="BL30" s="803">
        <v>4.5717048068624607E-3</v>
      </c>
      <c r="BM30" s="803">
        <v>6.5359695331472815E-3</v>
      </c>
      <c r="BN30" s="803">
        <v>9.9902828492606059E-3</v>
      </c>
      <c r="BO30" s="804">
        <v>2.0607903265790987E-2</v>
      </c>
      <c r="BP30" s="803">
        <v>5.4093503798668036E-2</v>
      </c>
      <c r="BQ30" s="803">
        <v>0.10123985030151424</v>
      </c>
      <c r="BR30" s="803">
        <v>0.15170623787822643</v>
      </c>
      <c r="BS30" s="803">
        <v>0.18721759961367734</v>
      </c>
      <c r="BT30" s="803">
        <v>0.21636876529759552</v>
      </c>
      <c r="BW30" s="1138">
        <f>'2018'!R\Max</f>
        <v>0</v>
      </c>
      <c r="BX30" s="1136">
        <f>'2019'!R\Max</f>
        <v>1.005122319245128</v>
      </c>
      <c r="BY30" s="1136">
        <f>'2020'!R\Max</f>
        <v>0.93162359386429205</v>
      </c>
      <c r="BZ30" s="1136">
        <f>'2021'!R\Max</f>
        <v>0.62017239018598502</v>
      </c>
      <c r="CA30" s="1136">
        <f>'2022'!R\Max</f>
        <v>0.96809759341786705</v>
      </c>
      <c r="CB30" s="1136">
        <f>'2023'!R\Max</f>
        <v>0.96801003162283605</v>
      </c>
      <c r="CC30" s="1136">
        <f>'2024'!R\Max</f>
        <v>0.96792209187003453</v>
      </c>
      <c r="CD30" s="1136">
        <f>'2025'!R\Max</f>
        <v>0.96779777251134724</v>
      </c>
      <c r="CE30" s="1136">
        <f>'2026'!R\Max</f>
        <v>0.96816249048782155</v>
      </c>
      <c r="CF30" s="1137">
        <f>'2027'!R\Max</f>
        <v>0.96815349842466891</v>
      </c>
    </row>
    <row r="31" spans="1:84" s="6" customFormat="1" ht="11.25" x14ac:dyDescent="0.2">
      <c r="A31" s="11">
        <v>43117</v>
      </c>
      <c r="B31" s="380">
        <f>'2022'!Maxi_hp</f>
        <v>21.48400633043217</v>
      </c>
      <c r="C31" s="85">
        <f>'2022'!An_max</f>
        <v>2022</v>
      </c>
      <c r="D31" s="1089" t="str">
        <f t="shared" si="7"/>
        <v/>
      </c>
      <c r="E31" s="837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838">
        <f t="shared" si="9"/>
        <v>0.35714285714285715</v>
      </c>
      <c r="J31" s="829">
        <f t="shared" si="27"/>
        <v>32.298510944843294</v>
      </c>
      <c r="L31" s="841" t="s">
        <v>222</v>
      </c>
      <c r="M31" s="862">
        <f t="shared" ref="M31:AA31" si="38">L29</f>
        <v>335.88499999999999</v>
      </c>
      <c r="N31" s="866">
        <f t="shared" si="38"/>
        <v>270.875</v>
      </c>
      <c r="O31" s="825">
        <f t="shared" si="38"/>
        <v>301.40999999999997</v>
      </c>
      <c r="P31" s="825">
        <f t="shared" si="38"/>
        <v>384.15</v>
      </c>
      <c r="Q31" s="825">
        <f t="shared" si="38"/>
        <v>476.74</v>
      </c>
      <c r="R31" s="825">
        <f t="shared" si="38"/>
        <v>553.56999999999994</v>
      </c>
      <c r="S31" s="825">
        <f t="shared" si="38"/>
        <v>591</v>
      </c>
      <c r="T31" s="825">
        <f t="shared" si="38"/>
        <v>596.91</v>
      </c>
      <c r="U31" s="825">
        <f t="shared" si="38"/>
        <v>581.15</v>
      </c>
      <c r="V31" s="825">
        <f t="shared" si="38"/>
        <v>553.56999999999994</v>
      </c>
      <c r="W31" s="825">
        <f t="shared" si="38"/>
        <v>523.03499999999997</v>
      </c>
      <c r="X31" s="825">
        <f t="shared" si="38"/>
        <v>486.42440417059532</v>
      </c>
      <c r="Y31" s="825">
        <f t="shared" si="38"/>
        <v>422.565</v>
      </c>
      <c r="Z31" s="825">
        <f t="shared" si="38"/>
        <v>335.88499999999999</v>
      </c>
      <c r="AA31" s="864">
        <f t="shared" si="38"/>
        <v>270.875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838">
        <f t="shared" si="14"/>
        <v>0.6785714285714286</v>
      </c>
      <c r="AT31" s="855">
        <f t="shared" si="15"/>
        <v>32.37876515685182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838">
        <f t="shared" si="19"/>
        <v>0.82758620689655171</v>
      </c>
      <c r="AY31" s="855">
        <f t="shared" si="20"/>
        <v>32.261192399212</v>
      </c>
      <c r="AZ31" s="829">
        <f t="shared" si="26"/>
        <v>32.31997877803191</v>
      </c>
      <c r="BA31" s="662">
        <f t="shared" si="21"/>
        <v>0.66517017973741166</v>
      </c>
      <c r="BB31" s="657">
        <v>43117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926">
        <f>1+[2]!Salcycl*Ksac</f>
        <v>1.0001203759924562</v>
      </c>
      <c r="BH31" s="1082">
        <f t="shared" si="22"/>
        <v>6.3720256825254389E-3</v>
      </c>
      <c r="BI31" s="11">
        <v>44213</v>
      </c>
      <c r="BJ31" s="803">
        <v>2.5547228116979616E-3</v>
      </c>
      <c r="BK31" s="803">
        <v>3.391837389665437E-3</v>
      </c>
      <c r="BL31" s="803">
        <v>4.4133193691493671E-3</v>
      </c>
      <c r="BM31" s="803">
        <v>6.3718949031689428E-3</v>
      </c>
      <c r="BN31" s="803">
        <v>9.8265493474901881E-3</v>
      </c>
      <c r="BO31" s="804">
        <v>1.9706407365429036E-2</v>
      </c>
      <c r="BP31" s="803">
        <v>5.2766533757918212E-2</v>
      </c>
      <c r="BQ31" s="803">
        <v>0.10036236163196177</v>
      </c>
      <c r="BR31" s="803">
        <v>0.15233543227303251</v>
      </c>
      <c r="BS31" s="803">
        <v>0.18930906737555531</v>
      </c>
      <c r="BT31" s="803">
        <v>0.21930313960397679</v>
      </c>
      <c r="BW31" s="1138">
        <f>'2018'!R\Max</f>
        <v>0</v>
      </c>
      <c r="BX31" s="1136">
        <f>'2019'!R\Max</f>
        <v>0.28392458948609361</v>
      </c>
      <c r="BY31" s="1136">
        <f>'2020'!R\Max</f>
        <v>0.14844510028850857</v>
      </c>
      <c r="BZ31" s="1136">
        <f>'2021'!R\Max</f>
        <v>0.15991798015257241</v>
      </c>
      <c r="CA31" s="1136">
        <f>'2022'!R\Max</f>
        <v>0.66517017973741166</v>
      </c>
      <c r="CB31" s="1136">
        <f>'2023'!R\Max</f>
        <v>0.66455249272495875</v>
      </c>
      <c r="CC31" s="1136">
        <f>'2024'!R\Max</f>
        <v>0.66393317825257292</v>
      </c>
      <c r="CD31" s="1136">
        <f>'2025'!R\Max</f>
        <v>0.66303989343767544</v>
      </c>
      <c r="CE31" s="1136">
        <f>'2026'!R\Max</f>
        <v>0.66560713830095908</v>
      </c>
      <c r="CF31" s="1137">
        <f>'2027'!R\Max</f>
        <v>0.66554274346765974</v>
      </c>
    </row>
    <row r="32" spans="1:84" s="6" customFormat="1" ht="11.25" x14ac:dyDescent="0.2">
      <c r="A32" s="11">
        <v>43118</v>
      </c>
      <c r="B32" s="380">
        <f>'2022'!Maxi_hp</f>
        <v>30.961638796552403</v>
      </c>
      <c r="C32" s="85">
        <f>'2022'!An_max</f>
        <v>2021</v>
      </c>
      <c r="D32" s="1089" t="str">
        <f t="shared" si="7"/>
        <v/>
      </c>
      <c r="E32" s="837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838">
        <f t="shared" si="9"/>
        <v>0.2857142857142857</v>
      </c>
      <c r="J32" s="829">
        <f t="shared" si="27"/>
        <v>32.562936126760079</v>
      </c>
      <c r="L32" s="841" t="s">
        <v>223</v>
      </c>
      <c r="M32" s="873">
        <f t="shared" ref="M32:AA32" si="39">M28</f>
        <v>43079</v>
      </c>
      <c r="N32" s="820">
        <f t="shared" si="39"/>
        <v>43108</v>
      </c>
      <c r="O32" s="820">
        <f t="shared" si="39"/>
        <v>43136</v>
      </c>
      <c r="P32" s="820">
        <f t="shared" si="39"/>
        <v>43164</v>
      </c>
      <c r="Q32" s="820">
        <f t="shared" si="39"/>
        <v>43192</v>
      </c>
      <c r="R32" s="820">
        <f t="shared" si="39"/>
        <v>43220</v>
      </c>
      <c r="S32" s="820">
        <f t="shared" si="39"/>
        <v>43248</v>
      </c>
      <c r="T32" s="820">
        <f t="shared" si="39"/>
        <v>43276</v>
      </c>
      <c r="U32" s="820">
        <f t="shared" si="39"/>
        <v>43304</v>
      </c>
      <c r="V32" s="820">
        <f t="shared" si="39"/>
        <v>43332</v>
      </c>
      <c r="W32" s="820">
        <f t="shared" si="39"/>
        <v>43360</v>
      </c>
      <c r="X32" s="820">
        <f t="shared" si="39"/>
        <v>43388</v>
      </c>
      <c r="Y32" s="820">
        <f t="shared" si="39"/>
        <v>43416</v>
      </c>
      <c r="Z32" s="865">
        <f t="shared" si="39"/>
        <v>43444</v>
      </c>
      <c r="AA32" s="872">
        <f t="shared" si="39"/>
        <v>43473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838">
        <f t="shared" si="14"/>
        <v>0.6428571428571429</v>
      </c>
      <c r="AT32" s="855">
        <f t="shared" si="15"/>
        <v>32.669482135426783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838">
        <f t="shared" si="19"/>
        <v>0.86206896551724133</v>
      </c>
      <c r="AY32" s="855">
        <f t="shared" si="20"/>
        <v>32.547012330925675</v>
      </c>
      <c r="AZ32" s="829">
        <f t="shared" si="26"/>
        <v>32.608247233176229</v>
      </c>
      <c r="BA32" s="662">
        <f t="shared" si="21"/>
        <v>0.95082454100655456</v>
      </c>
      <c r="BB32" s="657">
        <v>43118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926">
        <f>1+[2]!Salcycl*Ksac</f>
        <v>1.0001026287051979</v>
      </c>
      <c r="BH32" s="1082">
        <f t="shared" si="22"/>
        <v>6.2353507972194109E-3</v>
      </c>
      <c r="BI32" s="11">
        <v>44214</v>
      </c>
      <c r="BJ32" s="803">
        <v>2.4252777912153883E-3</v>
      </c>
      <c r="BK32" s="803">
        <v>3.2635167678583383E-3</v>
      </c>
      <c r="BL32" s="803">
        <v>4.2851288285839515E-3</v>
      </c>
      <c r="BM32" s="803">
        <v>6.2352202020031612E-3</v>
      </c>
      <c r="BN32" s="803">
        <v>9.6850104159386437E-3</v>
      </c>
      <c r="BO32" s="804">
        <v>1.8889839129947551E-2</v>
      </c>
      <c r="BP32" s="803">
        <v>5.137287814901853E-2</v>
      </c>
      <c r="BQ32" s="803">
        <v>9.9346110825966602E-2</v>
      </c>
      <c r="BR32" s="803">
        <v>0.1527492882863484</v>
      </c>
      <c r="BS32" s="803">
        <v>0.19137994255838753</v>
      </c>
      <c r="BT32" s="803">
        <v>0.222388412611978</v>
      </c>
      <c r="BW32" s="1138">
        <f>'2018'!R\Max</f>
        <v>0</v>
      </c>
      <c r="BX32" s="1136">
        <f>'2019'!R\Max</f>
        <v>0.50463995197490386</v>
      </c>
      <c r="BY32" s="1136">
        <f>'2020'!R\Max</f>
        <v>0.6924231461736774</v>
      </c>
      <c r="BZ32" s="1136">
        <f>'2021'!R\Max</f>
        <v>0.95082454100655456</v>
      </c>
      <c r="CA32" s="1136">
        <f>'2022'!R\Max</f>
        <v>0.14106268481916742</v>
      </c>
      <c r="CB32" s="1136">
        <f>'2023'!R\Max</f>
        <v>0.14079597354106529</v>
      </c>
      <c r="CC32" s="1136">
        <f>'2024'!R\Max</f>
        <v>0.14052907360014913</v>
      </c>
      <c r="CD32" s="1136">
        <f>'2025'!R\Max</f>
        <v>0.14013517565868963</v>
      </c>
      <c r="CE32" s="1136">
        <f>'2026'!R\Max</f>
        <v>0.14124393736327592</v>
      </c>
      <c r="CF32" s="1137">
        <f>'2027'!R\Max</f>
        <v>0.14121561187450002</v>
      </c>
    </row>
    <row r="33" spans="1:84" s="6" customFormat="1" ht="11.25" x14ac:dyDescent="0.2">
      <c r="A33" s="11">
        <v>43119</v>
      </c>
      <c r="B33" s="380">
        <f>'2022'!Maxi_hp</f>
        <v>32.578902251016416</v>
      </c>
      <c r="C33" s="85">
        <f>'2022'!An_max</f>
        <v>2021</v>
      </c>
      <c r="D33" s="1089">
        <f t="shared" si="7"/>
        <v>0.99224173754689116</v>
      </c>
      <c r="E33" s="837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838">
        <f t="shared" si="9"/>
        <v>0.21428571428571427</v>
      </c>
      <c r="J33" s="829">
        <f t="shared" si="27"/>
        <v>32.83363420244838</v>
      </c>
      <c r="L33" s="841" t="s">
        <v>224</v>
      </c>
      <c r="M33" s="866">
        <f t="shared" ref="M33:AA33" si="40">M29</f>
        <v>270.875</v>
      </c>
      <c r="N33" s="826">
        <f t="shared" si="40"/>
        <v>301.40999999999997</v>
      </c>
      <c r="O33" s="826">
        <f t="shared" si="40"/>
        <v>384.15</v>
      </c>
      <c r="P33" s="826">
        <f t="shared" si="40"/>
        <v>476.74</v>
      </c>
      <c r="Q33" s="826">
        <f t="shared" si="40"/>
        <v>553.56999999999994</v>
      </c>
      <c r="R33" s="826">
        <f t="shared" si="40"/>
        <v>591</v>
      </c>
      <c r="S33" s="826">
        <f t="shared" si="40"/>
        <v>596.91</v>
      </c>
      <c r="T33" s="826">
        <f t="shared" si="40"/>
        <v>581.15</v>
      </c>
      <c r="U33" s="826">
        <f t="shared" si="40"/>
        <v>553.56999999999994</v>
      </c>
      <c r="V33" s="826">
        <f t="shared" si="40"/>
        <v>523.03499999999997</v>
      </c>
      <c r="W33" s="826">
        <f t="shared" si="40"/>
        <v>486.42440417059532</v>
      </c>
      <c r="X33" s="826">
        <f t="shared" si="40"/>
        <v>422.565</v>
      </c>
      <c r="Y33" s="826">
        <f t="shared" si="40"/>
        <v>335.88499999999999</v>
      </c>
      <c r="Z33" s="864">
        <f t="shared" si="40"/>
        <v>270.875</v>
      </c>
      <c r="AA33" s="862">
        <f t="shared" si="40"/>
        <v>301.40999999999997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838">
        <f t="shared" si="14"/>
        <v>0.6071428571428571</v>
      </c>
      <c r="AT33" s="855">
        <f t="shared" si="15"/>
        <v>32.966486072407235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838">
        <f t="shared" si="19"/>
        <v>0.89655172413793105</v>
      </c>
      <c r="AY33" s="855">
        <f t="shared" si="20"/>
        <v>32.833186416533486</v>
      </c>
      <c r="AZ33" s="829">
        <f t="shared" si="26"/>
        <v>32.899836244470364</v>
      </c>
      <c r="BA33" s="662">
        <f t="shared" si="21"/>
        <v>0.99224173754689116</v>
      </c>
      <c r="BB33" s="657">
        <v>43119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926">
        <f>1+[2]!Salcycl*Ksac</f>
        <v>1.0000861542324466</v>
      </c>
      <c r="BH33" s="1082">
        <f t="shared" si="22"/>
        <v>6.1260950088017517E-3</v>
      </c>
      <c r="BI33" s="11">
        <v>44215</v>
      </c>
      <c r="BJ33" s="803">
        <v>2.3246814494286869E-3</v>
      </c>
      <c r="BK33" s="803">
        <v>3.1647961752958565E-3</v>
      </c>
      <c r="BL33" s="803">
        <v>4.1871587273427024E-3</v>
      </c>
      <c r="BM33" s="803">
        <v>6.1259647952391577E-3</v>
      </c>
      <c r="BN33" s="803">
        <v>9.5656732842469162E-3</v>
      </c>
      <c r="BO33" s="804">
        <v>1.8158298653220214E-2</v>
      </c>
      <c r="BP33" s="803">
        <v>4.9912495748879161E-2</v>
      </c>
      <c r="BQ33" s="803">
        <v>9.819084398294492E-2</v>
      </c>
      <c r="BR33" s="803">
        <v>0.15294721790857813</v>
      </c>
      <c r="BS33" s="803">
        <v>0.19342952814984007</v>
      </c>
      <c r="BT33" s="803">
        <v>0.22562384292563148</v>
      </c>
      <c r="BW33" s="1138">
        <f>'2018'!R\Max</f>
        <v>0</v>
      </c>
      <c r="BX33" s="1136">
        <f>'2019'!R\Max</f>
        <v>0.53745461933360528</v>
      </c>
      <c r="BY33" s="1136">
        <f>'2020'!R\Max</f>
        <v>0.92453300542930072</v>
      </c>
      <c r="BZ33" s="1136">
        <f>'2021'!R\Max</f>
        <v>0.99224173754689116</v>
      </c>
      <c r="CA33" s="1136">
        <f>'2022'!R\Max</f>
        <v>0.33897245030918094</v>
      </c>
      <c r="CB33" s="1136">
        <f>'2023'!R\Max</f>
        <v>0.33838615208033368</v>
      </c>
      <c r="CC33" s="1136">
        <f>'2024'!R\Max</f>
        <v>0.33779924452198612</v>
      </c>
      <c r="CD33" s="1136">
        <f>'2025'!R\Max</f>
        <v>0.33690743465286443</v>
      </c>
      <c r="CE33" s="1136">
        <f>'2026'!R\Max</f>
        <v>0.33935720744748182</v>
      </c>
      <c r="CF33" s="1137">
        <f>'2027'!R\Max</f>
        <v>0.33929371231652106</v>
      </c>
    </row>
    <row r="34" spans="1:84" s="6" customFormat="1" ht="11.25" x14ac:dyDescent="0.2">
      <c r="A34" s="11">
        <v>43120</v>
      </c>
      <c r="B34" s="380">
        <f>'2022'!Maxi_hp</f>
        <v>11.984563264269097</v>
      </c>
      <c r="C34" s="85">
        <f>'2022'!An_max</f>
        <v>2020</v>
      </c>
      <c r="D34" s="1089" t="str">
        <f t="shared" si="7"/>
        <v/>
      </c>
      <c r="E34" s="749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838">
        <f t="shared" si="9"/>
        <v>0.14285714285714285</v>
      </c>
      <c r="J34" s="829">
        <f t="shared" si="27"/>
        <v>33.110968592550073</v>
      </c>
      <c r="L34" s="841" t="s">
        <v>225</v>
      </c>
      <c r="M34" s="868">
        <f t="shared" ref="M34:AA34" si="41">N28</f>
        <v>43108</v>
      </c>
      <c r="N34" s="821">
        <f t="shared" si="41"/>
        <v>43136</v>
      </c>
      <c r="O34" s="821">
        <f t="shared" si="41"/>
        <v>43164</v>
      </c>
      <c r="P34" s="821">
        <f t="shared" si="41"/>
        <v>43192</v>
      </c>
      <c r="Q34" s="821">
        <f t="shared" si="41"/>
        <v>43220</v>
      </c>
      <c r="R34" s="821">
        <f t="shared" si="41"/>
        <v>43248</v>
      </c>
      <c r="S34" s="821">
        <f t="shared" si="41"/>
        <v>43276</v>
      </c>
      <c r="T34" s="821">
        <f t="shared" si="41"/>
        <v>43304</v>
      </c>
      <c r="U34" s="821">
        <f t="shared" si="41"/>
        <v>43332</v>
      </c>
      <c r="V34" s="821">
        <f t="shared" si="41"/>
        <v>43360</v>
      </c>
      <c r="W34" s="821">
        <f t="shared" si="41"/>
        <v>43388</v>
      </c>
      <c r="X34" s="821">
        <f t="shared" si="41"/>
        <v>43416</v>
      </c>
      <c r="Y34" s="821">
        <f t="shared" si="41"/>
        <v>43444</v>
      </c>
      <c r="Z34" s="874">
        <f t="shared" si="41"/>
        <v>43473</v>
      </c>
      <c r="AA34" s="872">
        <f t="shared" si="41"/>
        <v>43501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838">
        <f t="shared" si="14"/>
        <v>0.5714285714285714</v>
      </c>
      <c r="AT34" s="855">
        <f t="shared" si="15"/>
        <v>33.269196516089139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838">
        <f t="shared" si="19"/>
        <v>0.93103448275862066</v>
      </c>
      <c r="AY34" s="855">
        <f t="shared" si="20"/>
        <v>33.119031298314709</v>
      </c>
      <c r="AZ34" s="829">
        <f t="shared" si="26"/>
        <v>33.194113907201924</v>
      </c>
      <c r="BA34" s="662">
        <f t="shared" si="21"/>
        <v>0.36195145517324456</v>
      </c>
      <c r="BB34" s="657">
        <v>43120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926">
        <f>1+[2]!Salcycl*Ksac</f>
        <v>1.0000710001325459</v>
      </c>
      <c r="BH34" s="1082">
        <f t="shared" si="22"/>
        <v>6.0443069094057566E-3</v>
      </c>
      <c r="BI34" s="11">
        <v>44216</v>
      </c>
      <c r="BJ34" s="803">
        <v>2.2529707261711822E-3</v>
      </c>
      <c r="BK34" s="803">
        <v>3.0957154683649338E-3</v>
      </c>
      <c r="BL34" s="803">
        <v>4.1194524264386283E-3</v>
      </c>
      <c r="BM34" s="803">
        <v>6.0441772747033351E-3</v>
      </c>
      <c r="BN34" s="803">
        <v>9.4685946510959084E-3</v>
      </c>
      <c r="BO34" s="804">
        <v>1.7511973738976578E-2</v>
      </c>
      <c r="BP34" s="803">
        <v>4.8385643161827918E-2</v>
      </c>
      <c r="BQ34" s="803">
        <v>9.6896886972274818E-2</v>
      </c>
      <c r="BR34" s="803">
        <v>0.15292952718191657</v>
      </c>
      <c r="BS34" s="803">
        <v>0.19545820020007917</v>
      </c>
      <c r="BT34" s="803">
        <v>0.22900990256991222</v>
      </c>
      <c r="BW34" s="1138">
        <f>'2018'!R\Max</f>
        <v>0</v>
      </c>
      <c r="BX34" s="1136">
        <f>'2019'!R\Max</f>
        <v>0.18481300094804679</v>
      </c>
      <c r="BY34" s="1136">
        <f>'2020'!R\Max</f>
        <v>0.36195145517324456</v>
      </c>
      <c r="BZ34" s="1136">
        <f>'2021'!R\Max</f>
        <v>0.19535439797574627</v>
      </c>
      <c r="CA34" s="1136">
        <f>'2022'!R\Max</f>
        <v>0.18555860297304588</v>
      </c>
      <c r="CB34" s="1136">
        <f>'2023'!R\Max</f>
        <v>0.18523085430856634</v>
      </c>
      <c r="CC34" s="1136">
        <f>'2024'!R\Max</f>
        <v>0.18490278311578226</v>
      </c>
      <c r="CD34" s="1136">
        <f>'2025'!R\Max</f>
        <v>0.1843877975093306</v>
      </c>
      <c r="CE34" s="1136">
        <f>'2026'!R\Max</f>
        <v>0.18576804852462897</v>
      </c>
      <c r="CF34" s="1137">
        <f>'2027'!R\Max</f>
        <v>0.18573169559856886</v>
      </c>
    </row>
    <row r="35" spans="1:84" s="6" customFormat="1" ht="11.25" x14ac:dyDescent="0.2">
      <c r="A35" s="11">
        <v>43121</v>
      </c>
      <c r="B35" s="380">
        <f>'2022'!Maxi_hp</f>
        <v>18.085651439803524</v>
      </c>
      <c r="C35" s="85">
        <f>'2022'!An_max</f>
        <v>2022</v>
      </c>
      <c r="D35" s="1089" t="str">
        <f t="shared" si="7"/>
        <v/>
      </c>
      <c r="E35" s="749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838">
        <f t="shared" si="9"/>
        <v>7.1428571428571425E-2</v>
      </c>
      <c r="J35" s="829">
        <f t="shared" si="27"/>
        <v>33.395302717547331</v>
      </c>
      <c r="L35" s="841" t="s">
        <v>226</v>
      </c>
      <c r="M35" s="869">
        <f t="shared" ref="M35:AA35" si="42">N29</f>
        <v>301.40999999999997</v>
      </c>
      <c r="N35" s="826">
        <f t="shared" si="42"/>
        <v>384.15</v>
      </c>
      <c r="O35" s="826">
        <f t="shared" si="42"/>
        <v>476.74</v>
      </c>
      <c r="P35" s="826">
        <f t="shared" si="42"/>
        <v>553.56999999999994</v>
      </c>
      <c r="Q35" s="826">
        <f t="shared" si="42"/>
        <v>591</v>
      </c>
      <c r="R35" s="826">
        <f t="shared" si="42"/>
        <v>596.91</v>
      </c>
      <c r="S35" s="826">
        <f t="shared" si="42"/>
        <v>581.15</v>
      </c>
      <c r="T35" s="826">
        <f t="shared" si="42"/>
        <v>553.56999999999994</v>
      </c>
      <c r="U35" s="826">
        <f t="shared" si="42"/>
        <v>523.03499999999997</v>
      </c>
      <c r="V35" s="826">
        <f t="shared" si="42"/>
        <v>486.42440417059532</v>
      </c>
      <c r="W35" s="826">
        <f t="shared" si="42"/>
        <v>422.565</v>
      </c>
      <c r="X35" s="826">
        <f t="shared" si="42"/>
        <v>335.88499999999999</v>
      </c>
      <c r="Y35" s="826">
        <f t="shared" si="42"/>
        <v>270.875</v>
      </c>
      <c r="Z35" s="875">
        <f t="shared" si="42"/>
        <v>301.40999999999997</v>
      </c>
      <c r="AA35" s="862">
        <f t="shared" si="42"/>
        <v>384.15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838">
        <f t="shared" si="14"/>
        <v>0.5357142857142857</v>
      </c>
      <c r="AT35" s="855">
        <f t="shared" si="15"/>
        <v>33.577033015140998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838">
        <f t="shared" si="19"/>
        <v>0.96551724137931039</v>
      </c>
      <c r="AY35" s="855">
        <f t="shared" si="20"/>
        <v>33.403863612022896</v>
      </c>
      <c r="AZ35" s="829">
        <f t="shared" si="26"/>
        <v>33.49044831358195</v>
      </c>
      <c r="BA35" s="662">
        <f t="shared" si="21"/>
        <v>0.54156273392007748</v>
      </c>
      <c r="BB35" s="657">
        <v>43121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926">
        <f>1+[2]!Salcycl*Ksac</f>
        <v>1.000057214380933</v>
      </c>
      <c r="BH35" s="1082">
        <f t="shared" si="22"/>
        <v>5.9900437828540572E-3</v>
      </c>
      <c r="BI35" s="11">
        <v>44217</v>
      </c>
      <c r="BJ35" s="803">
        <v>2.2101815943121462E-3</v>
      </c>
      <c r="BK35" s="803">
        <v>3.056315549142128E-3</v>
      </c>
      <c r="BL35" s="803">
        <v>4.0820568069513882E-3</v>
      </c>
      <c r="BM35" s="803">
        <v>5.9899149235559555E-3</v>
      </c>
      <c r="BN35" s="803">
        <v>9.3938492967511143E-3</v>
      </c>
      <c r="BO35" s="804">
        <v>1.6951070232990546E-2</v>
      </c>
      <c r="BP35" s="803">
        <v>4.6792688913398835E-2</v>
      </c>
      <c r="BQ35" s="803">
        <v>9.5464816952018972E-2</v>
      </c>
      <c r="BR35" s="803">
        <v>0.15269694805577483</v>
      </c>
      <c r="BS35" s="803">
        <v>0.19746686031367502</v>
      </c>
      <c r="BT35" s="803">
        <v>0.23254766047744468</v>
      </c>
      <c r="BW35" s="1138">
        <f>'2018'!R\Max</f>
        <v>0</v>
      </c>
      <c r="BX35" s="1136">
        <f>'2019'!R\Max</f>
        <v>0.27851722209758545</v>
      </c>
      <c r="BY35" s="1136">
        <f>'2020'!R\Max</f>
        <v>0.13022246986716979</v>
      </c>
      <c r="BZ35" s="1136">
        <f>'2021'!R\Max</f>
        <v>0.42303561988540139</v>
      </c>
      <c r="CA35" s="1136">
        <f>'2022'!R\Max</f>
        <v>0.54156273392007748</v>
      </c>
      <c r="CB35" s="1136">
        <f>'2023'!R\Max</f>
        <v>0.5409624954702279</v>
      </c>
      <c r="CC35" s="1136">
        <f>'2024'!R\Max</f>
        <v>0.54036085260259925</v>
      </c>
      <c r="CD35" s="1136">
        <f>'2025'!R\Max</f>
        <v>0.53937919669989653</v>
      </c>
      <c r="CE35" s="1136">
        <f>'2026'!R\Max</f>
        <v>0.54193926212255417</v>
      </c>
      <c r="CF35" s="1137">
        <f>'2027'!R\Max</f>
        <v>0.54187088058678046</v>
      </c>
    </row>
    <row r="36" spans="1:84" s="6" customFormat="1" ht="11.25" x14ac:dyDescent="0.2">
      <c r="A36" s="11">
        <v>43122</v>
      </c>
      <c r="B36" s="380">
        <f>'2022'!Maxi_hp</f>
        <v>32.697849500824447</v>
      </c>
      <c r="C36" s="85">
        <f>'2022'!An_max</f>
        <v>2022</v>
      </c>
      <c r="D36" s="1089">
        <f t="shared" si="7"/>
        <v>0.97063702618472369</v>
      </c>
      <c r="E36" s="837">
        <f>O$13/10</f>
        <v>33.686999999999998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838">
        <f t="shared" si="9"/>
        <v>0</v>
      </c>
      <c r="J36" s="829">
        <f t="shared" si="27"/>
        <v>33.686999999731782</v>
      </c>
      <c r="L36" s="842" t="s">
        <v>227</v>
      </c>
      <c r="M36" s="823">
        <f t="shared" ref="M36:AA36" si="43">x.1lg*x.1lg-x.2lg*x.2lg</f>
        <v>-2411640</v>
      </c>
      <c r="N36" s="823">
        <f t="shared" si="43"/>
        <v>-2499423</v>
      </c>
      <c r="O36" s="823">
        <f t="shared" si="43"/>
        <v>-2414832</v>
      </c>
      <c r="P36" s="823">
        <f t="shared" si="43"/>
        <v>-2416400</v>
      </c>
      <c r="Q36" s="823">
        <f t="shared" si="43"/>
        <v>-2417968</v>
      </c>
      <c r="R36" s="823">
        <f t="shared" si="43"/>
        <v>-2419536</v>
      </c>
      <c r="S36" s="823">
        <f t="shared" si="43"/>
        <v>-2421104</v>
      </c>
      <c r="T36" s="823">
        <f t="shared" si="43"/>
        <v>-2422672</v>
      </c>
      <c r="U36" s="823">
        <f t="shared" si="43"/>
        <v>-2424240</v>
      </c>
      <c r="V36" s="823">
        <f t="shared" si="43"/>
        <v>-2425808</v>
      </c>
      <c r="W36" s="823">
        <f t="shared" si="43"/>
        <v>-2427376</v>
      </c>
      <c r="X36" s="823">
        <f t="shared" si="43"/>
        <v>-2428944</v>
      </c>
      <c r="Y36" s="823">
        <f t="shared" si="43"/>
        <v>-2430512</v>
      </c>
      <c r="Z36" s="823">
        <f t="shared" si="43"/>
        <v>-2432080</v>
      </c>
      <c r="AA36" s="823">
        <f t="shared" si="43"/>
        <v>-2520593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838">
        <f t="shared" si="14"/>
        <v>0.5</v>
      </c>
      <c r="AT36" s="855">
        <f t="shared" si="15"/>
        <v>33.889415117260071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838">
        <f t="shared" si="19"/>
        <v>1</v>
      </c>
      <c r="AY36" s="855">
        <f t="shared" si="20"/>
        <v>33.687000000476836</v>
      </c>
      <c r="AZ36" s="829">
        <f t="shared" si="26"/>
        <v>33.78820755886845</v>
      </c>
      <c r="BA36" s="662">
        <f t="shared" si="21"/>
        <v>0.97063702618472369</v>
      </c>
      <c r="BB36" s="657">
        <v>43122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926">
        <f>1+[2]!Salcycl*Ksac</f>
        <v>1.0000448435401721</v>
      </c>
      <c r="BH36" s="1082">
        <f t="shared" si="22"/>
        <v>5.9633313253240304E-3</v>
      </c>
      <c r="BI36" s="11">
        <v>44218</v>
      </c>
      <c r="BJ36" s="803">
        <v>2.1963347460880402E-3</v>
      </c>
      <c r="BK36" s="803">
        <v>3.0466183123944459E-3</v>
      </c>
      <c r="BL36" s="803">
        <v>4.0749952367697857E-3</v>
      </c>
      <c r="BM36" s="803">
        <v>5.9632034378493516E-3</v>
      </c>
      <c r="BN36" s="803">
        <v>9.3414662203762048E-3</v>
      </c>
      <c r="BO36" s="804">
        <v>1.6475695962153928E-2</v>
      </c>
      <c r="BP36" s="803">
        <v>4.5133781877292244E-2</v>
      </c>
      <c r="BQ36" s="803">
        <v>9.389479626624142E-2</v>
      </c>
      <c r="BR36" s="803">
        <v>0.15224958503066979</v>
      </c>
      <c r="BS36" s="803">
        <v>0.19945559610844468</v>
      </c>
      <c r="BT36" s="803">
        <v>0.23623721807791567</v>
      </c>
      <c r="BW36" s="1138">
        <f>'2018'!R\Max</f>
        <v>0</v>
      </c>
      <c r="BX36" s="1136">
        <f>'2019'!R\Max</f>
        <v>0.35471417387370752</v>
      </c>
      <c r="BY36" s="1136">
        <f>'2020'!R\Max</f>
        <v>6.3859459612742933E-2</v>
      </c>
      <c r="BZ36" s="1136">
        <f>'2021'!R\Max</f>
        <v>0.18322060875165791</v>
      </c>
      <c r="CA36" s="1136">
        <f>'2022'!R\Max</f>
        <v>0.97063702618472369</v>
      </c>
      <c r="CB36" s="1136">
        <f>'2023'!R\Max</f>
        <v>0.97057137692924922</v>
      </c>
      <c r="CC36" s="1136">
        <f>'2024'!R\Max</f>
        <v>0.97050543272299505</v>
      </c>
      <c r="CD36" s="1136">
        <f>'2025'!R\Max</f>
        <v>0.97039291606594891</v>
      </c>
      <c r="CE36" s="1136">
        <f>'2026'!R\Max</f>
        <v>0.97067785000714946</v>
      </c>
      <c r="CF36" s="1137">
        <f>'2027'!R\Max</f>
        <v>0.97067013655021528</v>
      </c>
    </row>
    <row r="37" spans="1:84" s="6" customFormat="1" ht="11.25" x14ac:dyDescent="0.2">
      <c r="A37" s="11">
        <v>43123</v>
      </c>
      <c r="B37" s="380">
        <f>'2022'!Maxi_hp</f>
        <v>32.765037654429378</v>
      </c>
      <c r="C37" s="85">
        <f>'2022'!An_max</f>
        <v>2022</v>
      </c>
      <c r="D37" s="1089" t="str">
        <f t="shared" si="7"/>
        <v/>
      </c>
      <c r="E37" s="749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838">
        <f t="shared" si="9"/>
        <v>7.1428571428571425E-2</v>
      </c>
      <c r="J37" s="829">
        <f>((1-I37)*(INDEX(a.m,F37)*$A37*$A37+INDEX(b.m,F37)*$A37+INDEX(c.m,F37))+I37*(INDEX(a.m,G37)*$A37*$A37+INDEX(b.m,G37)*$A37+INDEX(c.m,G37)))/10</f>
        <v>33.988081904620472</v>
      </c>
      <c r="L37" s="842" t="s">
        <v>228</v>
      </c>
      <c r="M37" s="823">
        <f t="shared" ref="M37:AA37" si="44">x.2lg*x.2lg-x.3lg*x.3lg</f>
        <v>-2499423</v>
      </c>
      <c r="N37" s="823">
        <f t="shared" si="44"/>
        <v>-2414832</v>
      </c>
      <c r="O37" s="823">
        <f t="shared" si="44"/>
        <v>-2416400</v>
      </c>
      <c r="P37" s="823">
        <f t="shared" si="44"/>
        <v>-2417968</v>
      </c>
      <c r="Q37" s="823">
        <f t="shared" si="44"/>
        <v>-2419536</v>
      </c>
      <c r="R37" s="823">
        <f t="shared" si="44"/>
        <v>-2421104</v>
      </c>
      <c r="S37" s="823">
        <f t="shared" si="44"/>
        <v>-2422672</v>
      </c>
      <c r="T37" s="823">
        <f t="shared" si="44"/>
        <v>-2424240</v>
      </c>
      <c r="U37" s="823">
        <f t="shared" si="44"/>
        <v>-2425808</v>
      </c>
      <c r="V37" s="823">
        <f t="shared" si="44"/>
        <v>-2427376</v>
      </c>
      <c r="W37" s="823">
        <f t="shared" si="44"/>
        <v>-2428944</v>
      </c>
      <c r="X37" s="823">
        <f t="shared" si="44"/>
        <v>-2430512</v>
      </c>
      <c r="Y37" s="823">
        <f t="shared" si="44"/>
        <v>-2432080</v>
      </c>
      <c r="Z37" s="823">
        <f t="shared" si="44"/>
        <v>-2520593</v>
      </c>
      <c r="AA37" s="823">
        <f t="shared" si="44"/>
        <v>-2435272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838">
        <f t="shared" si="14"/>
        <v>0.4642857142857143</v>
      </c>
      <c r="AT37" s="855">
        <f t="shared" si="15"/>
        <v>34.20576237144747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838">
        <f t="shared" si="19"/>
        <v>0.9642857142857143</v>
      </c>
      <c r="AY37" s="855">
        <f t="shared" si="20"/>
        <v>33.973817452515604</v>
      </c>
      <c r="AZ37" s="829">
        <f t="shared" si="26"/>
        <v>34.089789911981541</v>
      </c>
      <c r="BA37" s="662">
        <f t="shared" si="21"/>
        <v>0.96401549656072738</v>
      </c>
      <c r="BB37" s="657">
        <v>43123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926">
        <f>1+[2]!Salcycl*Ksac</f>
        <v>1.0000339310578057</v>
      </c>
      <c r="BH37" s="1082">
        <f t="shared" si="22"/>
        <v>5.9641909154514909E-3</v>
      </c>
      <c r="BI37" s="11">
        <v>44219</v>
      </c>
      <c r="BJ37" s="803">
        <v>2.2114464279610396E-3</v>
      </c>
      <c r="BK37" s="803">
        <v>3.0666411096114538E-3</v>
      </c>
      <c r="BL37" s="803">
        <v>4.0982864540274428E-3</v>
      </c>
      <c r="BM37" s="803">
        <v>5.9640641960701435E-3</v>
      </c>
      <c r="BN37" s="803">
        <v>9.3114707415948798E-3</v>
      </c>
      <c r="BO37" s="804">
        <v>1.6085943375523808E-2</v>
      </c>
      <c r="BP37" s="803">
        <v>4.3409072292935981E-2</v>
      </c>
      <c r="BQ37" s="803">
        <v>9.2186999719244975E-2</v>
      </c>
      <c r="BR37" s="803">
        <v>0.15158757207324966</v>
      </c>
      <c r="BS37" s="803">
        <v>0.20142450737533868</v>
      </c>
      <c r="BT37" s="803">
        <v>0.24007867150149786</v>
      </c>
      <c r="BW37" s="1138">
        <f>'2018'!R\Max</f>
        <v>0</v>
      </c>
      <c r="BX37" s="1136">
        <f>'2019'!R\Max</f>
        <v>0.28264643366012582</v>
      </c>
      <c r="BY37" s="1136">
        <f>'2020'!R\Max</f>
        <v>0.45353747687294826</v>
      </c>
      <c r="BZ37" s="1136">
        <f>'2021'!R\Max</f>
        <v>0.22431848598526638</v>
      </c>
      <c r="CA37" s="1136">
        <f>'2022'!R\Max</f>
        <v>0.96401549656072738</v>
      </c>
      <c r="CB37" s="1136">
        <f>'2023'!R\Max</f>
        <v>0.96394000968505478</v>
      </c>
      <c r="CC37" s="1136">
        <f>'2024'!R\Max</f>
        <v>0.96386417802007551</v>
      </c>
      <c r="CD37" s="1136">
        <f>'2025'!R\Max</f>
        <v>0.9637284797241461</v>
      </c>
      <c r="CE37" s="1136">
        <f>'2026'!R\Max</f>
        <v>0.96406266862245271</v>
      </c>
      <c r="CF37" s="1137">
        <f>'2027'!R\Max</f>
        <v>0.96405344898630074</v>
      </c>
    </row>
    <row r="38" spans="1:84" s="6" customFormat="1" ht="11.25" x14ac:dyDescent="0.2">
      <c r="A38" s="11">
        <v>43124</v>
      </c>
      <c r="B38" s="380">
        <f>'2022'!Maxi_hp</f>
        <v>33.075754899751203</v>
      </c>
      <c r="C38" s="85">
        <f>'2022'!An_max</f>
        <v>2022</v>
      </c>
      <c r="D38" s="1089" t="str">
        <f t="shared" si="7"/>
        <v/>
      </c>
      <c r="E38" s="749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838">
        <f t="shared" si="9"/>
        <v>0.14285714285714285</v>
      </c>
      <c r="J38" s="829">
        <f t="shared" si="27"/>
        <v>34.299537900050311</v>
      </c>
      <c r="L38" s="842" t="s">
        <v>229</v>
      </c>
      <c r="M38" s="823">
        <f t="shared" ref="M38:AA38" si="45">(y.1lg-y.2lg-b.lg*(x.1lg-x.2lg))/D2x12Lg</f>
        <v>5.9205556995933266E-2</v>
      </c>
      <c r="N38" s="823">
        <f t="shared" si="45"/>
        <v>3.3369630973989803E-2</v>
      </c>
      <c r="O38" s="823">
        <f t="shared" si="45"/>
        <v>6.281887755101136E-3</v>
      </c>
      <c r="P38" s="823">
        <f t="shared" si="45"/>
        <v>-1.0051020408163443E-2</v>
      </c>
      <c r="Q38" s="823">
        <f t="shared" si="45"/>
        <v>-2.5127551020411101E-2</v>
      </c>
      <c r="R38" s="823">
        <f t="shared" si="45"/>
        <v>-2.0102040816325217E-2</v>
      </c>
      <c r="S38" s="823">
        <f t="shared" si="45"/>
        <v>-1.3820153061224718E-2</v>
      </c>
      <c r="T38" s="823">
        <f t="shared" si="45"/>
        <v>-7.5382653061228317E-3</v>
      </c>
      <c r="U38" s="823">
        <f t="shared" si="45"/>
        <v>-1.884566326530817E-3</v>
      </c>
      <c r="V38" s="823">
        <f t="shared" si="45"/>
        <v>-3.8747422381413062E-3</v>
      </c>
      <c r="W38" s="823">
        <f t="shared" si="45"/>
        <v>-1.7378066544127355E-2</v>
      </c>
      <c r="X38" s="823">
        <f t="shared" si="45"/>
        <v>-1.4553951421816581E-2</v>
      </c>
      <c r="Y38" s="823">
        <f t="shared" si="45"/>
        <v>1.3820153061223228E-2</v>
      </c>
      <c r="Z38" s="823">
        <f t="shared" si="45"/>
        <v>5.9205556995944097E-2</v>
      </c>
      <c r="AA38" s="823">
        <f t="shared" si="45"/>
        <v>3.3369630973983808E-2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838">
        <f t="shared" si="14"/>
        <v>0.42857142857142855</v>
      </c>
      <c r="AT38" s="855">
        <f t="shared" si="15"/>
        <v>34.52549432569316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838">
        <f t="shared" si="19"/>
        <v>0.9285714285714286</v>
      </c>
      <c r="AY38" s="855">
        <f t="shared" si="20"/>
        <v>34.269756900239734</v>
      </c>
      <c r="AZ38" s="829">
        <f t="shared" si="26"/>
        <v>34.397625612966451</v>
      </c>
      <c r="BA38" s="662">
        <f t="shared" si="21"/>
        <v>0.96432071464445845</v>
      </c>
      <c r="BB38" s="657">
        <v>43124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926">
        <f>1+[2]!Salcycl*Ksac</f>
        <v>1.0000245157070107</v>
      </c>
      <c r="BH38" s="1082">
        <f t="shared" si="22"/>
        <v>5.9976322822013015E-3</v>
      </c>
      <c r="BI38" s="11">
        <v>44220</v>
      </c>
      <c r="BJ38" s="803">
        <v>2.2549513078918173E-3</v>
      </c>
      <c r="BK38" s="803">
        <v>3.1173223883068425E-3</v>
      </c>
      <c r="BL38" s="803">
        <v>4.1544320463612295E-3</v>
      </c>
      <c r="BM38" s="803">
        <v>5.9975068105300343E-3</v>
      </c>
      <c r="BN38" s="803">
        <v>9.3119539709548716E-3</v>
      </c>
      <c r="BO38" s="804">
        <v>1.5793913660103145E-2</v>
      </c>
      <c r="BP38" s="803">
        <v>4.1693393794366852E-2</v>
      </c>
      <c r="BQ38" s="803">
        <v>9.0279615874329464E-2</v>
      </c>
      <c r="BR38" s="803">
        <v>0.15054042325343558</v>
      </c>
      <c r="BS38" s="803">
        <v>0.20308480060557801</v>
      </c>
      <c r="BT38" s="803">
        <v>0.24391364002120838</v>
      </c>
      <c r="BW38" s="1138">
        <f>'2018'!R\Max</f>
        <v>0</v>
      </c>
      <c r="BX38" s="1136">
        <f>'2019'!R\Max</f>
        <v>0.3407146598188483</v>
      </c>
      <c r="BY38" s="1136">
        <f>'2020'!R\Max</f>
        <v>0.48864512367528057</v>
      </c>
      <c r="BZ38" s="1136">
        <f>'2021'!R\Max</f>
        <v>0.45348326715100934</v>
      </c>
      <c r="CA38" s="1136">
        <f>'2022'!R\Max</f>
        <v>0.96432071464445845</v>
      </c>
      <c r="CB38" s="1136">
        <f>'2023'!R\Max</f>
        <v>0.96425040666460626</v>
      </c>
      <c r="CC38" s="1136">
        <f>'2024'!R\Max</f>
        <v>0.96417976745375544</v>
      </c>
      <c r="CD38" s="1136">
        <f>'2025'!R\Max</f>
        <v>0.96404699485611423</v>
      </c>
      <c r="CE38" s="1136">
        <f>'2026'!R\Max</f>
        <v>0.96436539383464803</v>
      </c>
      <c r="CF38" s="1137">
        <f>'2027'!R\Max</f>
        <v>0.9643564224278437</v>
      </c>
    </row>
    <row r="39" spans="1:84" s="6" customFormat="1" ht="11.25" x14ac:dyDescent="0.2">
      <c r="A39" s="11">
        <v>43125</v>
      </c>
      <c r="B39" s="380">
        <f>'2022'!Maxi_hp</f>
        <v>32.57978354288494</v>
      </c>
      <c r="C39" s="85">
        <f>'2022'!An_max</f>
        <v>2022</v>
      </c>
      <c r="D39" s="1089" t="str">
        <f t="shared" si="7"/>
        <v/>
      </c>
      <c r="E39" s="749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838">
        <f t="shared" si="9"/>
        <v>0.21428571428571427</v>
      </c>
      <c r="J39" s="829">
        <f t="shared" si="27"/>
        <v>34.620183399326301</v>
      </c>
      <c r="L39" s="842" t="s">
        <v>230</v>
      </c>
      <c r="M39" s="823">
        <f t="shared" ref="M39:AA39" si="46">(y.2lg-y.3lg-(y.1lg-y.2lg)*D2x23Lg/D2x12Lg)/(x.2lg-x.3lg)/(1-(x.2lg+x.3lg)/(x.1lg+x.2lg))</f>
        <v>-5101.6964097740183</v>
      </c>
      <c r="N39" s="823">
        <f t="shared" si="46"/>
        <v>-2874.9754537207764</v>
      </c>
      <c r="O39" s="823">
        <f t="shared" si="46"/>
        <v>-538.8201275509424</v>
      </c>
      <c r="P39" s="823">
        <f t="shared" si="46"/>
        <v>870.70984693879086</v>
      </c>
      <c r="Q39" s="823">
        <f t="shared" si="46"/>
        <v>2172.6587244900497</v>
      </c>
      <c r="R39" s="823">
        <f t="shared" si="46"/>
        <v>1738.3943367345803</v>
      </c>
      <c r="S39" s="823">
        <f t="shared" si="46"/>
        <v>1195.2120663265505</v>
      </c>
      <c r="T39" s="823">
        <f t="shared" si="46"/>
        <v>651.6780102041148</v>
      </c>
      <c r="U39" s="823">
        <f t="shared" si="46"/>
        <v>162.18075255103813</v>
      </c>
      <c r="V39" s="823">
        <f t="shared" si="46"/>
        <v>334.6016328293245</v>
      </c>
      <c r="W39" s="823">
        <f t="shared" si="46"/>
        <v>1505.231823563867</v>
      </c>
      <c r="X39" s="823">
        <f t="shared" si="46"/>
        <v>1260.2454849336521</v>
      </c>
      <c r="Y39" s="823">
        <f t="shared" si="46"/>
        <v>-1202.7402806121354</v>
      </c>
      <c r="Z39" s="823">
        <f t="shared" si="46"/>
        <v>-5144.9164663819902</v>
      </c>
      <c r="AA39" s="823">
        <f t="shared" si="46"/>
        <v>-2899.3352843312673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838">
        <f t="shared" si="14"/>
        <v>0.39285714285714285</v>
      </c>
      <c r="AT39" s="855">
        <f t="shared" si="15"/>
        <v>34.848030528672311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838">
        <f t="shared" si="19"/>
        <v>0.8928571428571429</v>
      </c>
      <c r="AY39" s="855">
        <f t="shared" si="20"/>
        <v>34.574230886510179</v>
      </c>
      <c r="AZ39" s="829">
        <f t="shared" si="26"/>
        <v>34.711130707591245</v>
      </c>
      <c r="BA39" s="662">
        <f t="shared" si="21"/>
        <v>0.94106328574559006</v>
      </c>
      <c r="BB39" s="657">
        <v>43125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926">
        <f>1+[2]!Salcycl*Ksac</f>
        <v>1.0000166301832119</v>
      </c>
      <c r="BH39" s="1082">
        <f t="shared" si="22"/>
        <v>6.0359753576860412E-3</v>
      </c>
      <c r="BI39" s="11">
        <v>44221</v>
      </c>
      <c r="BJ39" s="803">
        <v>2.3009206500066337E-3</v>
      </c>
      <c r="BK39" s="803">
        <v>3.1713505352088979E-3</v>
      </c>
      <c r="BL39" s="803">
        <v>4.2145741221638966E-3</v>
      </c>
      <c r="BM39" s="803">
        <v>6.0358510463392077E-3</v>
      </c>
      <c r="BN39" s="803">
        <v>9.3196471921906613E-3</v>
      </c>
      <c r="BO39" s="804">
        <v>1.5555074824553974E-2</v>
      </c>
      <c r="BP39" s="803">
        <v>4.0020101976030988E-2</v>
      </c>
      <c r="BQ39" s="803">
        <v>8.819729548598243E-2</v>
      </c>
      <c r="BR39" s="803">
        <v>0.14914935220233971</v>
      </c>
      <c r="BS39" s="803">
        <v>0.20439274871480886</v>
      </c>
      <c r="BT39" s="803">
        <v>0.24769712781711867</v>
      </c>
      <c r="BW39" s="1138">
        <f>'2018'!R\Max</f>
        <v>0</v>
      </c>
      <c r="BX39" s="1136">
        <f>'2019'!R\Max</f>
        <v>0.10585807720958634</v>
      </c>
      <c r="BY39" s="1136">
        <f>'2020'!R\Max</f>
        <v>0.53644650230255897</v>
      </c>
      <c r="BZ39" s="1136">
        <f>'2021'!R\Max</f>
        <v>0.21215109719045341</v>
      </c>
      <c r="CA39" s="1136">
        <f>'2022'!R\Max</f>
        <v>0.94106328574559006</v>
      </c>
      <c r="CB39" s="1136">
        <f>'2023'!R\Max</f>
        <v>0.94095724509811285</v>
      </c>
      <c r="CC39" s="1136">
        <f>'2024'!R\Max</f>
        <v>0.94085069509812669</v>
      </c>
      <c r="CD39" s="1136">
        <f>'2025'!R\Max</f>
        <v>0.94064059805601863</v>
      </c>
      <c r="CE39" s="1136">
        <f>'2026'!R\Max</f>
        <v>0.94113236526906263</v>
      </c>
      <c r="CF39" s="1137">
        <f>'2027'!R\Max</f>
        <v>0.94111816986252894</v>
      </c>
    </row>
    <row r="40" spans="1:84" s="6" customFormat="1" ht="11.25" x14ac:dyDescent="0.2">
      <c r="A40" s="11">
        <v>43126</v>
      </c>
      <c r="B40" s="380">
        <f>'2022'!Maxi_hp</f>
        <v>33.422605659814721</v>
      </c>
      <c r="C40" s="85">
        <f>'2022'!An_max</f>
        <v>2022</v>
      </c>
      <c r="D40" s="1089" t="str">
        <f t="shared" si="7"/>
        <v/>
      </c>
      <c r="E40" s="749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838">
        <f t="shared" si="9"/>
        <v>0.2857142857142857</v>
      </c>
      <c r="J40" s="829">
        <f t="shared" si="27"/>
        <v>34.94883381913283</v>
      </c>
      <c r="L40" s="842" t="s">
        <v>231</v>
      </c>
      <c r="M40" s="823">
        <f t="shared" ref="M40:AA40" si="47">(y.1lg+y.2lg+y.3lg-a.lg*(x.3lg*x.3lg+x.2lg*x.2lg+x.1lg*x.1lg)-b.lg*(x.3lg+x.2lg+x.1lg))/3</f>
        <v>109902563.57006276</v>
      </c>
      <c r="N40" s="823">
        <f t="shared" si="47"/>
        <v>61923969.242225997</v>
      </c>
      <c r="O40" s="823">
        <f t="shared" si="47"/>
        <v>11554129.563875869</v>
      </c>
      <c r="P40" s="823">
        <f t="shared" si="47"/>
        <v>-18856476.434490129</v>
      </c>
      <c r="Q40" s="823">
        <f t="shared" si="47"/>
        <v>-46964247.796944253</v>
      </c>
      <c r="R40" s="823">
        <f t="shared" si="47"/>
        <v>-37582835.213262849</v>
      </c>
      <c r="S40" s="823">
        <f t="shared" si="47"/>
        <v>-25840865.305102468</v>
      </c>
      <c r="T40" s="823">
        <f t="shared" si="47"/>
        <v>-14083681.368368065</v>
      </c>
      <c r="U40" s="823">
        <f t="shared" si="47"/>
        <v>-3488514.3345922194</v>
      </c>
      <c r="V40" s="823">
        <f t="shared" si="47"/>
        <v>-7222977.7904651463</v>
      </c>
      <c r="W40" s="823">
        <f t="shared" si="47"/>
        <v>-32594043.267603319</v>
      </c>
      <c r="X40" s="823">
        <f t="shared" si="47"/>
        <v>-27281025.095256414</v>
      </c>
      <c r="Y40" s="823">
        <f t="shared" si="47"/>
        <v>26168223.441528235</v>
      </c>
      <c r="Z40" s="823">
        <f t="shared" si="47"/>
        <v>111772570.41998148</v>
      </c>
      <c r="AA40" s="823">
        <f t="shared" si="47"/>
        <v>62977780.951909237</v>
      </c>
      <c r="AB40" s="7"/>
      <c r="AC40" s="7"/>
      <c r="AD40" s="7"/>
      <c r="AE40" s="7"/>
      <c r="AF40" s="7"/>
      <c r="AH40" s="7"/>
      <c r="AI40" s="74"/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838">
        <f t="shared" si="14"/>
        <v>0.35714285714285715</v>
      </c>
      <c r="AT40" s="855">
        <f t="shared" si="15"/>
        <v>35.172790528275073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838">
        <f t="shared" si="19"/>
        <v>0.8571428571428571</v>
      </c>
      <c r="AY40" s="855">
        <f t="shared" si="20"/>
        <v>34.886651957726905</v>
      </c>
      <c r="AZ40" s="829">
        <f t="shared" si="26"/>
        <v>35.029721243000992</v>
      </c>
      <c r="BA40" s="662">
        <f t="shared" si="21"/>
        <v>0.95632963986104247</v>
      </c>
      <c r="BB40" s="657">
        <v>43126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926">
        <f>1+[2]!Salcycl*Ksac</f>
        <v>1.000010299867905</v>
      </c>
      <c r="BH40" s="1082">
        <f t="shared" si="22"/>
        <v>6.0792265072231134E-3</v>
      </c>
      <c r="BI40" s="11">
        <v>44222</v>
      </c>
      <c r="BJ40" s="803">
        <v>2.349355083908477E-3</v>
      </c>
      <c r="BK40" s="803">
        <v>3.2287269821667576E-3</v>
      </c>
      <c r="BL40" s="803">
        <v>4.2787151996790925E-3</v>
      </c>
      <c r="BM40" s="803">
        <v>6.079103268566817E-3</v>
      </c>
      <c r="BN40" s="803">
        <v>9.334563328114184E-3</v>
      </c>
      <c r="BO40" s="804">
        <v>1.5369473417750842E-2</v>
      </c>
      <c r="BP40" s="803">
        <v>3.8389360199148279E-2</v>
      </c>
      <c r="BQ40" s="803">
        <v>8.5940237900867036E-2</v>
      </c>
      <c r="BR40" s="803">
        <v>0.14741455358905037</v>
      </c>
      <c r="BS40" s="803">
        <v>0.20534844756038262</v>
      </c>
      <c r="BT40" s="803">
        <v>0.25142920174415784</v>
      </c>
      <c r="BW40" s="1138">
        <f>'2018'!R\Max</f>
        <v>0</v>
      </c>
      <c r="BX40" s="1136">
        <f>'2019'!R\Max</f>
        <v>0.50089514423469028</v>
      </c>
      <c r="BY40" s="1136">
        <f>'2020'!R\Max</f>
        <v>0.22668545977735755</v>
      </c>
      <c r="BZ40" s="1136">
        <f>'2021'!R\Max</f>
        <v>0.60964675010089042</v>
      </c>
      <c r="CA40" s="1136">
        <f>'2022'!R\Max</f>
        <v>0.95632963986104247</v>
      </c>
      <c r="CB40" s="1136">
        <f>'2023'!R\Max</f>
        <v>0.95625522725983358</v>
      </c>
      <c r="CC40" s="1136">
        <f>'2024'!R\Max</f>
        <v>0.95618043586924439</v>
      </c>
      <c r="CD40" s="1136">
        <f>'2025'!R\Max</f>
        <v>0.95602581029021294</v>
      </c>
      <c r="CE40" s="1136">
        <f>'2026'!R\Max</f>
        <v>0.95637977122989948</v>
      </c>
      <c r="CF40" s="1137">
        <f>'2027'!R\Max</f>
        <v>0.95636927496725066</v>
      </c>
    </row>
    <row r="41" spans="1:84" s="6" customFormat="1" ht="11.25" x14ac:dyDescent="0.2">
      <c r="A41" s="11">
        <v>43127</v>
      </c>
      <c r="B41" s="380">
        <f>'2022'!Maxi_hp</f>
        <v>33.117741356998614</v>
      </c>
      <c r="C41" s="85">
        <f>'2022'!An_max</f>
        <v>2022</v>
      </c>
      <c r="D41" s="1089" t="str">
        <f t="shared" si="7"/>
        <v/>
      </c>
      <c r="E41" s="749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838">
        <f t="shared" si="9"/>
        <v>0.35714285714285715</v>
      </c>
      <c r="J41" s="829">
        <f t="shared" si="27"/>
        <v>35.28430457232254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838">
        <f t="shared" si="14"/>
        <v>0.32142857142857145</v>
      </c>
      <c r="AT41" s="855">
        <f t="shared" si="15"/>
        <v>35.499193873655585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838">
        <f t="shared" si="19"/>
        <v>0.8214285714285714</v>
      </c>
      <c r="AY41" s="855">
        <f t="shared" si="20"/>
        <v>35.206432659970595</v>
      </c>
      <c r="AZ41" s="829">
        <f t="shared" si="26"/>
        <v>35.352813266813087</v>
      </c>
      <c r="BA41" s="662">
        <f t="shared" si="21"/>
        <v>0.93859696991099528</v>
      </c>
      <c r="BB41" s="657">
        <v>43127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926">
        <f>1+[2]!Salcycl*Ksac</f>
        <v>1.0000055417689426</v>
      </c>
      <c r="BH41" s="1082">
        <f t="shared" si="22"/>
        <v>6.1273917043313314E-3</v>
      </c>
      <c r="BI41" s="11">
        <v>44223</v>
      </c>
      <c r="BJ41" s="803">
        <v>2.4002551783669735E-3</v>
      </c>
      <c r="BK41" s="803">
        <v>3.2894530360799705E-3</v>
      </c>
      <c r="BL41" s="803">
        <v>4.346857624780695E-3</v>
      </c>
      <c r="BM41" s="803">
        <v>6.1272694504997212E-3</v>
      </c>
      <c r="BN41" s="803">
        <v>9.3567144793017688E-3</v>
      </c>
      <c r="BO41" s="804">
        <v>1.5237148586793115E-2</v>
      </c>
      <c r="BP41" s="803">
        <v>3.6801318398829642E-2</v>
      </c>
      <c r="BQ41" s="803">
        <v>8.3508652010333029E-2</v>
      </c>
      <c r="BR41" s="803">
        <v>0.1453362544936822</v>
      </c>
      <c r="BS41" s="803">
        <v>0.20595203979056156</v>
      </c>
      <c r="BT41" s="803">
        <v>0.25510995293069189</v>
      </c>
      <c r="BW41" s="1138">
        <f>'2018'!R\Max</f>
        <v>0</v>
      </c>
      <c r="BX41" s="1136">
        <f>'2019'!R\Max</f>
        <v>0.42523096824498219</v>
      </c>
      <c r="BY41" s="1136">
        <f>'2020'!R\Max</f>
        <v>0.31594359145782985</v>
      </c>
      <c r="BZ41" s="1136">
        <f>'2021'!R\Max</f>
        <v>0.18983039069887772</v>
      </c>
      <c r="CA41" s="1136">
        <f>'2022'!R\Max</f>
        <v>0.93859696991099528</v>
      </c>
      <c r="CB41" s="1136">
        <f>'2023'!R\Max</f>
        <v>0.93850170838284563</v>
      </c>
      <c r="CC41" s="1136">
        <f>'2024'!R\Max</f>
        <v>0.93840594105147868</v>
      </c>
      <c r="CD41" s="1136">
        <f>'2025'!R\Max</f>
        <v>0.93819847621898211</v>
      </c>
      <c r="CE41" s="1136">
        <f>'2026'!R\Max</f>
        <v>0.93866400445334797</v>
      </c>
      <c r="CF41" s="1137">
        <f>'2027'!R\Max</f>
        <v>0.93864977208495748</v>
      </c>
    </row>
    <row r="42" spans="1:84" s="6" customFormat="1" ht="11.25" x14ac:dyDescent="0.2">
      <c r="A42" s="11">
        <v>43128</v>
      </c>
      <c r="B42" s="380">
        <f>'2022'!Maxi_hp</f>
        <v>17.427879917759782</v>
      </c>
      <c r="C42" s="85">
        <f>'2022'!An_max</f>
        <v>2021</v>
      </c>
      <c r="D42" s="1089" t="str">
        <f t="shared" si="7"/>
        <v/>
      </c>
      <c r="E42" s="749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838">
        <f t="shared" si="9"/>
        <v>0.42857142857142855</v>
      </c>
      <c r="J42" s="829">
        <f t="shared" si="27"/>
        <v>35.625411078280635</v>
      </c>
      <c r="M42" s="6" t="s">
        <v>242</v>
      </c>
      <c r="AC42" s="7"/>
      <c r="AD42" s="7"/>
      <c r="AE42" s="7"/>
      <c r="AF42" s="7"/>
      <c r="AH42" s="7"/>
      <c r="AI42" s="74"/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838">
        <f t="shared" si="14"/>
        <v>0.2857142857142857</v>
      </c>
      <c r="AT42" s="855">
        <f t="shared" si="15"/>
        <v>35.826660112850369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838">
        <f t="shared" si="19"/>
        <v>0.7857142857142857</v>
      </c>
      <c r="AY42" s="855">
        <f t="shared" si="20"/>
        <v>35.53298553525071</v>
      </c>
      <c r="AZ42" s="829">
        <f t="shared" si="26"/>
        <v>35.67982282405054</v>
      </c>
      <c r="BA42" s="662">
        <f t="shared" si="21"/>
        <v>0.48919800193926327</v>
      </c>
      <c r="BB42" s="657">
        <v>43128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926">
        <f>1+[2]!Salcycl*Ksac</f>
        <v>1.0000023636445017</v>
      </c>
      <c r="BH42" s="1082">
        <f t="shared" si="22"/>
        <v>6.180476593453877E-3</v>
      </c>
      <c r="BI42" s="11">
        <v>44224</v>
      </c>
      <c r="BJ42" s="803">
        <v>2.4536214726039304E-3</v>
      </c>
      <c r="BK42" s="803">
        <v>3.353529921418115E-3</v>
      </c>
      <c r="BL42" s="803">
        <v>4.4190036218638299E-3</v>
      </c>
      <c r="BM42" s="803">
        <v>6.1803552363643164E-3</v>
      </c>
      <c r="BN42" s="803">
        <v>9.3861120165842048E-3</v>
      </c>
      <c r="BO42" s="804">
        <v>1.5158132746648812E-2</v>
      </c>
      <c r="BP42" s="803">
        <v>3.5256113628280961E-2</v>
      </c>
      <c r="BQ42" s="803">
        <v>8.0902754090183826E-2</v>
      </c>
      <c r="BR42" s="803">
        <v>0.14291471014769527</v>
      </c>
      <c r="BS42" s="803">
        <v>0.20620371048685915</v>
      </c>
      <c r="BT42" s="803">
        <v>0.25873949618798842</v>
      </c>
      <c r="BW42" s="1138">
        <f>'2018'!R\Max</f>
        <v>0</v>
      </c>
      <c r="BX42" s="1136">
        <f>'2019'!R\Max</f>
        <v>0.37341212380892802</v>
      </c>
      <c r="BY42" s="1136">
        <f>'2020'!R\Max</f>
        <v>0.46305995298897962</v>
      </c>
      <c r="BZ42" s="1136">
        <f>'2021'!R\Max</f>
        <v>0.48919800193926327</v>
      </c>
      <c r="CA42" s="1136">
        <f>'2022'!R\Max</f>
        <v>0.12583866265815608</v>
      </c>
      <c r="CB42" s="1136">
        <f>'2023'!R\Max</f>
        <v>0.12570435607171529</v>
      </c>
      <c r="CC42" s="1136">
        <f>'2024'!R\Max</f>
        <v>0.12556955419600133</v>
      </c>
      <c r="CD42" s="1136">
        <f>'2025'!R\Max</f>
        <v>0.12526451636662753</v>
      </c>
      <c r="CE42" s="1136">
        <f>'2026'!R\Max</f>
        <v>0.12593862767104763</v>
      </c>
      <c r="CF42" s="1137">
        <f>'2027'!R\Max</f>
        <v>0.12591720490959479</v>
      </c>
    </row>
    <row r="43" spans="1:84" s="6" customFormat="1" ht="11.25" x14ac:dyDescent="0.2">
      <c r="A43" s="11">
        <v>43129</v>
      </c>
      <c r="B43" s="380">
        <f>'2022'!Maxi_hp</f>
        <v>22.511927090396647</v>
      </c>
      <c r="C43" s="85">
        <f>'2022'!An_max</f>
        <v>2020</v>
      </c>
      <c r="D43" s="1089" t="str">
        <f t="shared" si="7"/>
        <v/>
      </c>
      <c r="E43" s="749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838">
        <f t="shared" si="9"/>
        <v>0.5</v>
      </c>
      <c r="J43" s="829">
        <f t="shared" si="27"/>
        <v>35.970968749606982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838">
        <f t="shared" si="14"/>
        <v>0.25</v>
      </c>
      <c r="AT43" s="855">
        <f t="shared" si="15"/>
        <v>36.15460879355669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838">
        <f t="shared" si="19"/>
        <v>0.75</v>
      </c>
      <c r="AY43" s="855">
        <f t="shared" si="20"/>
        <v>35.865723131457344</v>
      </c>
      <c r="AZ43" s="829">
        <f t="shared" si="26"/>
        <v>36.010165962507017</v>
      </c>
      <c r="BA43" s="662">
        <f t="shared" si="21"/>
        <v>0.62583599699806836</v>
      </c>
      <c r="BB43" s="657">
        <v>43129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926">
        <f>1+[2]!Salcycl*Ksac</f>
        <v>1.0000007633158847</v>
      </c>
      <c r="BH43" s="1082">
        <f t="shared" si="22"/>
        <v>6.2384865528126304E-3</v>
      </c>
      <c r="BI43" s="11">
        <v>44225</v>
      </c>
      <c r="BJ43" s="803">
        <v>2.5094545076297724E-3</v>
      </c>
      <c r="BK43" s="803">
        <v>3.4209588228103333E-3</v>
      </c>
      <c r="BL43" s="803">
        <v>4.4951553448284642E-3</v>
      </c>
      <c r="BM43" s="803">
        <v>6.2383660041797351E-3</v>
      </c>
      <c r="BN43" s="803">
        <v>9.422766673738309E-3</v>
      </c>
      <c r="BO43" s="804">
        <v>1.5132452250129972E-2</v>
      </c>
      <c r="BP43" s="803">
        <v>3.375387060382997E-2</v>
      </c>
      <c r="BQ43" s="803">
        <v>7.8122765642287637E-2</v>
      </c>
      <c r="BR43" s="803">
        <v>0.14015019967738396</v>
      </c>
      <c r="BS43" s="803">
        <v>0.2061036828108089</v>
      </c>
      <c r="BT43" s="803">
        <v>0.26231796942511909</v>
      </c>
      <c r="BW43" s="1138">
        <f>'2018'!R\Max</f>
        <v>0</v>
      </c>
      <c r="BX43" s="1136">
        <f>'2019'!R\Max</f>
        <v>0.15065700335483179</v>
      </c>
      <c r="BY43" s="1136">
        <f>'2020'!R\Max</f>
        <v>0.62583599699806836</v>
      </c>
      <c r="BZ43" s="1136">
        <f>'2021'!R\Max</f>
        <v>0.43014064214588299</v>
      </c>
      <c r="CA43" s="1136">
        <f>'2022'!R\Max</f>
        <v>0.18529590961214104</v>
      </c>
      <c r="CB43" s="1136">
        <f>'2023'!R\Max</f>
        <v>0.18511444162771237</v>
      </c>
      <c r="CC43" s="1136">
        <f>'2024'!R\Max</f>
        <v>0.18493220153841361</v>
      </c>
      <c r="CD43" s="1136">
        <f>'2025'!R\Max</f>
        <v>0.18449982126527753</v>
      </c>
      <c r="CE43" s="1136">
        <f>'2026'!R\Max</f>
        <v>0.18544023899707687</v>
      </c>
      <c r="CF43" s="1137">
        <f>'2027'!R\Max</f>
        <v>0.18540920662563545</v>
      </c>
    </row>
    <row r="44" spans="1:84" s="6" customFormat="1" ht="11.25" x14ac:dyDescent="0.2">
      <c r="A44" s="11">
        <v>43130</v>
      </c>
      <c r="B44" s="380">
        <f>'2022'!Maxi_hp</f>
        <v>10.423685229998675</v>
      </c>
      <c r="C44" s="85">
        <f>'2022'!An_max</f>
        <v>2020</v>
      </c>
      <c r="D44" s="1089" t="str">
        <f t="shared" si="7"/>
        <v/>
      </c>
      <c r="E44" s="749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838">
        <f t="shared" si="9"/>
        <v>0.5714285714285714</v>
      </c>
      <c r="J44" s="829">
        <f t="shared" si="27"/>
        <v>36.319793002360633</v>
      </c>
      <c r="L44" s="860">
        <f>AK13</f>
        <v>297.46999999999997</v>
      </c>
      <c r="M44" s="860">
        <f>M13</f>
        <v>272.84499999999997</v>
      </c>
      <c r="N44" s="850">
        <f>O13</f>
        <v>336.87</v>
      </c>
      <c r="O44" s="850">
        <f>Q13</f>
        <v>432.41500000000002</v>
      </c>
      <c r="P44" s="850">
        <f>S13</f>
        <v>518.11</v>
      </c>
      <c r="Q44" s="850">
        <f>U13</f>
        <v>576.22500000000002</v>
      </c>
      <c r="R44" s="850">
        <f>W13</f>
        <v>596.91</v>
      </c>
      <c r="S44" s="850">
        <f>Y13</f>
        <v>591.98500000000001</v>
      </c>
      <c r="T44" s="850">
        <f>AA13</f>
        <v>568.34500000000003</v>
      </c>
      <c r="U44" s="850">
        <f>AC13</f>
        <v>538.79499999999996</v>
      </c>
      <c r="V44" s="850">
        <f>AE13</f>
        <v>507.10347293908853</v>
      </c>
      <c r="W44" s="850">
        <f>AG13</f>
        <v>458.02499999999998</v>
      </c>
      <c r="X44" s="850">
        <f>AI13</f>
        <v>382.18</v>
      </c>
      <c r="Y44" s="850">
        <f>AK13</f>
        <v>297.46999999999997</v>
      </c>
      <c r="Z44" s="850">
        <f>AM13</f>
        <v>272.84499999999997</v>
      </c>
      <c r="AA44" s="858">
        <f>AO13</f>
        <v>336.87</v>
      </c>
      <c r="AB44" s="858">
        <f>Q13</f>
        <v>432.41500000000002</v>
      </c>
      <c r="AD44" s="7"/>
      <c r="AE44" s="7"/>
      <c r="AF44" s="7"/>
      <c r="AH44" s="7"/>
      <c r="AI44" s="74"/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838">
        <f t="shared" si="14"/>
        <v>0.21428571428571427</v>
      </c>
      <c r="AT44" s="855">
        <f t="shared" si="15"/>
        <v>36.482459464948626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838">
        <f t="shared" si="19"/>
        <v>0.7142857142857143</v>
      </c>
      <c r="AY44" s="855">
        <f t="shared" si="20"/>
        <v>36.204057991185358</v>
      </c>
      <c r="AZ44" s="829">
        <f t="shared" si="26"/>
        <v>36.343258728066992</v>
      </c>
      <c r="BA44" s="662">
        <f t="shared" si="21"/>
        <v>0.28699737438815193</v>
      </c>
      <c r="BB44" s="657">
        <v>43130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926">
        <f>1+[2]!Salcycl*Ksac</f>
        <v>1.0000007281722267</v>
      </c>
      <c r="BH44" s="1082">
        <f t="shared" si="22"/>
        <v>6.3025344205191883E-3</v>
      </c>
      <c r="BI44" s="11">
        <v>44226</v>
      </c>
      <c r="BJ44" s="803">
        <v>2.5648676590492602E-3</v>
      </c>
      <c r="BK44" s="803">
        <v>3.4893325460873194E-3</v>
      </c>
      <c r="BL44" s="803">
        <v>4.5741250651333502E-3</v>
      </c>
      <c r="BM44" s="803">
        <v>6.3024145554440233E-3</v>
      </c>
      <c r="BN44" s="803">
        <v>9.4687584321100759E-3</v>
      </c>
      <c r="BO44" s="804">
        <v>1.5164011343271703E-2</v>
      </c>
      <c r="BP44" s="803">
        <v>3.2368786829336832E-2</v>
      </c>
      <c r="BQ44" s="803">
        <v>7.5293541197385294E-2</v>
      </c>
      <c r="BR44" s="803">
        <v>0.13706974134902361</v>
      </c>
      <c r="BS44" s="803">
        <v>0.20545452556281929</v>
      </c>
      <c r="BT44" s="803">
        <v>0.26538692593736429</v>
      </c>
      <c r="BW44" s="1138">
        <f>'2018'!R\Max</f>
        <v>0</v>
      </c>
      <c r="BX44" s="1136">
        <f>'2019'!R\Max</f>
        <v>0.22146315290850718</v>
      </c>
      <c r="BY44" s="1136">
        <f>'2020'!R\Max</f>
        <v>0.28699737438815193</v>
      </c>
      <c r="BZ44" s="1136">
        <f>'2021'!R\Max</f>
        <v>0.21573453301230239</v>
      </c>
      <c r="CA44" s="1136">
        <f>'2022'!R\Max</f>
        <v>0.15049295634019833</v>
      </c>
      <c r="CB44" s="1136">
        <f>'2023'!R\Max</f>
        <v>0.15035809428819749</v>
      </c>
      <c r="CC44" s="1136">
        <f>'2024'!R\Max</f>
        <v>0.15022257484379356</v>
      </c>
      <c r="CD44" s="1136">
        <f>'2025'!R\Max</f>
        <v>0.14988610312055622</v>
      </c>
      <c r="CE44" s="1136">
        <f>'2026'!R\Max</f>
        <v>0.15060866151207519</v>
      </c>
      <c r="CF44" s="1137">
        <f>'2027'!R\Max</f>
        <v>0.15058384168034339</v>
      </c>
    </row>
    <row r="45" spans="1:84" s="6" customFormat="1" ht="11.25" x14ac:dyDescent="0.2">
      <c r="A45" s="11">
        <v>43131</v>
      </c>
      <c r="B45" s="380">
        <f>'2022'!Maxi_hp</f>
        <v>26.210661022055326</v>
      </c>
      <c r="C45" s="85">
        <f>'2022'!An_max</f>
        <v>2020</v>
      </c>
      <c r="D45" s="1089" t="str">
        <f t="shared" si="7"/>
        <v/>
      </c>
      <c r="E45" s="749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838">
        <f t="shared" si="9"/>
        <v>0.6428571428571429</v>
      </c>
      <c r="J45" s="829">
        <f t="shared" si="27"/>
        <v>36.670699252327907</v>
      </c>
      <c r="L45" s="840" t="s">
        <v>221</v>
      </c>
      <c r="M45" s="870">
        <f t="shared" ref="M45:AA45" si="48">L43</f>
        <v>43065</v>
      </c>
      <c r="N45" s="871">
        <f t="shared" si="48"/>
        <v>43093</v>
      </c>
      <c r="O45" s="819">
        <f t="shared" si="48"/>
        <v>43122</v>
      </c>
      <c r="P45" s="819">
        <f t="shared" si="48"/>
        <v>43150</v>
      </c>
      <c r="Q45" s="819">
        <f t="shared" si="48"/>
        <v>43178</v>
      </c>
      <c r="R45" s="819">
        <f t="shared" si="48"/>
        <v>43206</v>
      </c>
      <c r="S45" s="819">
        <f t="shared" si="48"/>
        <v>43234</v>
      </c>
      <c r="T45" s="819">
        <f t="shared" si="48"/>
        <v>43262</v>
      </c>
      <c r="U45" s="819">
        <f t="shared" si="48"/>
        <v>43290</v>
      </c>
      <c r="V45" s="819">
        <f t="shared" si="48"/>
        <v>43318</v>
      </c>
      <c r="W45" s="819">
        <f t="shared" si="48"/>
        <v>43346</v>
      </c>
      <c r="X45" s="819">
        <f t="shared" si="48"/>
        <v>43374</v>
      </c>
      <c r="Y45" s="819">
        <f t="shared" si="48"/>
        <v>43402</v>
      </c>
      <c r="Z45" s="819">
        <f t="shared" si="48"/>
        <v>43430</v>
      </c>
      <c r="AA45" s="863">
        <f t="shared" si="48"/>
        <v>43458</v>
      </c>
      <c r="AD45" s="7"/>
      <c r="AE45" s="7"/>
      <c r="AF45" s="7"/>
      <c r="AH45" s="7"/>
      <c r="AI45" s="74"/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838">
        <f t="shared" si="14"/>
        <v>0.17857142857142858</v>
      </c>
      <c r="AT45" s="855">
        <f t="shared" si="15"/>
        <v>36.809631675268925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838">
        <f t="shared" si="19"/>
        <v>0.6785714285714286</v>
      </c>
      <c r="AY45" s="855">
        <f t="shared" si="20"/>
        <v>36.547402661652974</v>
      </c>
      <c r="AZ45" s="829">
        <f t="shared" si="26"/>
        <v>36.678517168460949</v>
      </c>
      <c r="BA45" s="662">
        <f t="shared" si="21"/>
        <v>0.71475760093097862</v>
      </c>
      <c r="BB45" s="657">
        <v>43131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926">
        <f>1+[2]!Salcycl*Ksac</f>
        <v>1.000002234868119</v>
      </c>
      <c r="BH45" s="1082">
        <f t="shared" si="22"/>
        <v>6.3725961201461E-3</v>
      </c>
      <c r="BI45" s="11">
        <v>44227</v>
      </c>
      <c r="BJ45" s="803">
        <v>2.6167797335191205E-3</v>
      </c>
      <c r="BK45" s="803">
        <v>3.5561741344220382E-3</v>
      </c>
      <c r="BL45" s="803">
        <v>4.6543282770211214E-3</v>
      </c>
      <c r="BM45" s="803">
        <v>6.3724767872949022E-3</v>
      </c>
      <c r="BN45" s="803">
        <v>9.5247614887177898E-3</v>
      </c>
      <c r="BO45" s="804">
        <v>1.5211273520336405E-2</v>
      </c>
      <c r="BP45" s="803">
        <v>3.1132091341894975E-2</v>
      </c>
      <c r="BQ45" s="803">
        <v>7.2526017459657588E-2</v>
      </c>
      <c r="BR45" s="803">
        <v>0.13384358515809183</v>
      </c>
      <c r="BS45" s="803">
        <v>0.20431598925131658</v>
      </c>
      <c r="BT45" s="803">
        <v>0.26783511343346506</v>
      </c>
      <c r="BW45" s="1138">
        <f>'2018'!R\Max</f>
        <v>0</v>
      </c>
      <c r="BX45" s="1136">
        <f>'2019'!R\Max</f>
        <v>0.22422842088570832</v>
      </c>
      <c r="BY45" s="1136">
        <f>'2020'!R\Max</f>
        <v>0.71475760093097862</v>
      </c>
      <c r="BZ45" s="1136">
        <f>'2021'!R\Max</f>
        <v>0.19523114429310459</v>
      </c>
      <c r="CA45" s="1136">
        <f>'2022'!R\Max</f>
        <v>0.20453941040757118</v>
      </c>
      <c r="CB45" s="1136">
        <f>'2023'!R\Max</f>
        <v>0.20437141594656075</v>
      </c>
      <c r="CC45" s="1136">
        <f>'2024'!R\Max</f>
        <v>0.20420249365960058</v>
      </c>
      <c r="CD45" s="1136">
        <f>'2025'!R\Max</f>
        <v>0.20376571017365169</v>
      </c>
      <c r="CE45" s="1136">
        <f>'2026'!R\Max</f>
        <v>0.2046948070956679</v>
      </c>
      <c r="CF45" s="1137">
        <f>'2027'!R\Max</f>
        <v>0.20466154458520508</v>
      </c>
    </row>
    <row r="46" spans="1:84" s="6" customFormat="1" ht="11.25" x14ac:dyDescent="0.2">
      <c r="A46" s="11">
        <v>43132</v>
      </c>
      <c r="B46" s="380">
        <f>'2022'!Maxi_hp</f>
        <v>29.47119267155292</v>
      </c>
      <c r="C46" s="85">
        <f>'2022'!An_max</f>
        <v>2019</v>
      </c>
      <c r="D46" s="1089" t="str">
        <f t="shared" si="7"/>
        <v/>
      </c>
      <c r="E46" s="749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838">
        <f t="shared" si="9"/>
        <v>0.7142857142857143</v>
      </c>
      <c r="J46" s="829">
        <f t="shared" si="27"/>
        <v>37.022502914909275</v>
      </c>
      <c r="L46" s="841" t="s">
        <v>222</v>
      </c>
      <c r="M46" s="862">
        <f t="shared" ref="M46:AA46" si="49">L44</f>
        <v>297.46999999999997</v>
      </c>
      <c r="N46" s="866">
        <f t="shared" si="49"/>
        <v>272.84499999999997</v>
      </c>
      <c r="O46" s="825">
        <f t="shared" si="49"/>
        <v>336.87</v>
      </c>
      <c r="P46" s="825">
        <f t="shared" si="49"/>
        <v>432.41500000000002</v>
      </c>
      <c r="Q46" s="825">
        <f t="shared" si="49"/>
        <v>518.11</v>
      </c>
      <c r="R46" s="825">
        <f t="shared" si="49"/>
        <v>576.22500000000002</v>
      </c>
      <c r="S46" s="825">
        <f t="shared" si="49"/>
        <v>596.91</v>
      </c>
      <c r="T46" s="825">
        <f t="shared" si="49"/>
        <v>591.98500000000001</v>
      </c>
      <c r="U46" s="825">
        <f t="shared" si="49"/>
        <v>568.34500000000003</v>
      </c>
      <c r="V46" s="825">
        <f t="shared" si="49"/>
        <v>538.79499999999996</v>
      </c>
      <c r="W46" s="825">
        <f t="shared" si="49"/>
        <v>507.10347293908853</v>
      </c>
      <c r="X46" s="825">
        <f t="shared" si="49"/>
        <v>458.02499999999998</v>
      </c>
      <c r="Y46" s="825">
        <f t="shared" si="49"/>
        <v>382.18</v>
      </c>
      <c r="Z46" s="825">
        <f t="shared" si="49"/>
        <v>297.46999999999997</v>
      </c>
      <c r="AA46" s="864">
        <f t="shared" si="49"/>
        <v>272.84499999999997</v>
      </c>
      <c r="AD46" s="7"/>
      <c r="AE46" s="7"/>
      <c r="AF46" s="7"/>
      <c r="AH46" s="7"/>
      <c r="AI46" s="74"/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838">
        <f t="shared" si="14"/>
        <v>0.14285714285714285</v>
      </c>
      <c r="AT46" s="855">
        <f t="shared" si="15"/>
        <v>37.135544972441025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838">
        <f t="shared" si="19"/>
        <v>0.6428571428571429</v>
      </c>
      <c r="AY46" s="855">
        <f t="shared" si="20"/>
        <v>36.895169685674567</v>
      </c>
      <c r="AZ46" s="829">
        <f t="shared" si="26"/>
        <v>37.015357329057792</v>
      </c>
      <c r="BA46" s="662">
        <f t="shared" si="21"/>
        <v>0.79603458305582631</v>
      </c>
      <c r="BB46" s="657">
        <v>43132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926">
        <f>1+[2]!Salcycl*Ksac</f>
        <v>1.0000052492131288</v>
      </c>
      <c r="BH46" s="1082">
        <f t="shared" si="22"/>
        <v>6.4486764522646445E-3</v>
      </c>
      <c r="BI46" s="11">
        <v>44228</v>
      </c>
      <c r="BJ46" s="803">
        <v>2.6651922075034344E-3</v>
      </c>
      <c r="BK46" s="803">
        <v>3.6214855174829265E-3</v>
      </c>
      <c r="BL46" s="803">
        <v>4.7357675680996031E-3</v>
      </c>
      <c r="BM46" s="803">
        <v>6.4485575001442677E-3</v>
      </c>
      <c r="BN46" s="803">
        <v>9.5907848541323532E-3</v>
      </c>
      <c r="BO46" s="804">
        <v>1.5274254841012073E-2</v>
      </c>
      <c r="BP46" s="803">
        <v>3.0043861181073356E-2</v>
      </c>
      <c r="BQ46" s="803">
        <v>6.9820388990395041E-2</v>
      </c>
      <c r="BR46" s="803">
        <v>0.13047203441390215</v>
      </c>
      <c r="BS46" s="803">
        <v>0.20268840712103398</v>
      </c>
      <c r="BT46" s="803">
        <v>0.26966281316846535</v>
      </c>
      <c r="BW46" s="1138">
        <f>'2018'!R\Max</f>
        <v>0</v>
      </c>
      <c r="BX46" s="1136">
        <f>'2019'!R\Max</f>
        <v>0.79603458305582631</v>
      </c>
      <c r="BY46" s="1136">
        <f>'2020'!R\Max</f>
        <v>0.43652693838793288</v>
      </c>
      <c r="BZ46" s="1136">
        <f>'2021'!R\Max</f>
        <v>0.24013370101559736</v>
      </c>
      <c r="CA46" s="1136">
        <f>'2022'!R\Max</f>
        <v>0.41924413596590854</v>
      </c>
      <c r="CB46" s="1136">
        <f>'2023'!R\Max</f>
        <v>0.41898169096037052</v>
      </c>
      <c r="CC46" s="1136">
        <f>'2024'!R\Max</f>
        <v>0.41871755537276995</v>
      </c>
      <c r="CD46" s="1136">
        <f>'2025'!R\Max</f>
        <v>0.41801023604849663</v>
      </c>
      <c r="CE46" s="1136">
        <f>'2026'!R\Max</f>
        <v>0.41950543080927089</v>
      </c>
      <c r="CF46" s="1137">
        <f>'2027'!R\Max</f>
        <v>0.41944961573078804</v>
      </c>
    </row>
    <row r="47" spans="1:84" s="6" customFormat="1" ht="11.25" x14ac:dyDescent="0.2">
      <c r="A47" s="11">
        <v>43133</v>
      </c>
      <c r="B47" s="380">
        <f>'2022'!Maxi_hp</f>
        <v>31.55257955620117</v>
      </c>
      <c r="C47" s="85">
        <f>'2022'!An_max</f>
        <v>2021</v>
      </c>
      <c r="D47" s="1089" t="str">
        <f t="shared" si="7"/>
        <v/>
      </c>
      <c r="E47" s="749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838">
        <f t="shared" si="9"/>
        <v>0.7857142857142857</v>
      </c>
      <c r="J47" s="829">
        <f t="shared" si="27"/>
        <v>37.374019405738053</v>
      </c>
      <c r="L47" s="841" t="s">
        <v>223</v>
      </c>
      <c r="M47" s="873">
        <f t="shared" ref="M47:AA47" si="50">M43</f>
        <v>43093</v>
      </c>
      <c r="N47" s="820">
        <f t="shared" si="50"/>
        <v>43122</v>
      </c>
      <c r="O47" s="820">
        <f t="shared" si="50"/>
        <v>43150</v>
      </c>
      <c r="P47" s="820">
        <f t="shared" si="50"/>
        <v>43178</v>
      </c>
      <c r="Q47" s="820">
        <f t="shared" si="50"/>
        <v>43206</v>
      </c>
      <c r="R47" s="820">
        <f t="shared" si="50"/>
        <v>43234</v>
      </c>
      <c r="S47" s="820">
        <f t="shared" si="50"/>
        <v>43262</v>
      </c>
      <c r="T47" s="820">
        <f t="shared" si="50"/>
        <v>43290</v>
      </c>
      <c r="U47" s="820">
        <f t="shared" si="50"/>
        <v>43318</v>
      </c>
      <c r="V47" s="820">
        <f t="shared" si="50"/>
        <v>43346</v>
      </c>
      <c r="W47" s="820">
        <f t="shared" si="50"/>
        <v>43374</v>
      </c>
      <c r="X47" s="820">
        <f t="shared" si="50"/>
        <v>43402</v>
      </c>
      <c r="Y47" s="820">
        <f t="shared" si="50"/>
        <v>43430</v>
      </c>
      <c r="Z47" s="865">
        <f t="shared" si="50"/>
        <v>43458</v>
      </c>
      <c r="AA47" s="872">
        <f t="shared" si="50"/>
        <v>43487</v>
      </c>
      <c r="AD47" s="7"/>
      <c r="AE47" s="7"/>
      <c r="AF47" s="7"/>
      <c r="AH47" s="7"/>
      <c r="AI47" s="74"/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838">
        <f t="shared" si="14"/>
        <v>0.10714285714285714</v>
      </c>
      <c r="AT47" s="855">
        <f t="shared" si="15"/>
        <v>37.459618905392873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838">
        <f t="shared" si="19"/>
        <v>0.6071428571428571</v>
      </c>
      <c r="AY47" s="855">
        <f t="shared" si="20"/>
        <v>37.246771610375227</v>
      </c>
      <c r="AZ47" s="829">
        <f t="shared" si="26"/>
        <v>37.353195257884053</v>
      </c>
      <c r="BA47" s="662">
        <f t="shared" si="21"/>
        <v>0.84423832539020105</v>
      </c>
      <c r="BB47" s="657">
        <v>43133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926">
        <f>1+[2]!Salcycl*Ksac</f>
        <v>1.0000097262502217</v>
      </c>
      <c r="BH47" s="1082">
        <f t="shared" si="22"/>
        <v>6.5307801369602911E-3</v>
      </c>
      <c r="BI47" s="11">
        <v>44229</v>
      </c>
      <c r="BJ47" s="803">
        <v>2.7101070624538366E-3</v>
      </c>
      <c r="BK47" s="803">
        <v>3.6852690644959643E-3</v>
      </c>
      <c r="BL47" s="803">
        <v>4.8184458357774466E-3</v>
      </c>
      <c r="BM47" s="803">
        <v>6.5306614139316781E-3</v>
      </c>
      <c r="BN47" s="803">
        <v>9.6668371027512183E-3</v>
      </c>
      <c r="BO47" s="804">
        <v>1.5352970477739245E-2</v>
      </c>
      <c r="BP47" s="803">
        <v>2.9104156681342419E-2</v>
      </c>
      <c r="BQ47" s="803">
        <v>6.7176832090558761E-2</v>
      </c>
      <c r="BR47" s="803">
        <v>0.12695538649245883</v>
      </c>
      <c r="BS47" s="803">
        <v>0.20057214117213551</v>
      </c>
      <c r="BT47" s="803">
        <v>0.27087036232446865</v>
      </c>
      <c r="BW47" s="1138">
        <f>'2018'!R\Max</f>
        <v>0</v>
      </c>
      <c r="BX47" s="1136">
        <f>'2019'!R\Max</f>
        <v>7.8481610881339633E-2</v>
      </c>
      <c r="BY47" s="1136">
        <f>'2020'!R\Max</f>
        <v>0.83657302674169531</v>
      </c>
      <c r="BZ47" s="1136">
        <f>'2021'!R\Max</f>
        <v>0.84423832539020105</v>
      </c>
      <c r="CA47" s="1136">
        <f>'2022'!R\Max</f>
        <v>0.1562761175428739</v>
      </c>
      <c r="CB47" s="1136">
        <f>'2023'!R\Max</f>
        <v>0.15616733231571728</v>
      </c>
      <c r="CC47" s="1136">
        <f>'2024'!R\Max</f>
        <v>0.15605780471917513</v>
      </c>
      <c r="CD47" s="1136">
        <f>'2025'!R\Max</f>
        <v>0.1557566129105902</v>
      </c>
      <c r="CE47" s="1136">
        <f>'2026'!R\Max</f>
        <v>0.15639245735777901</v>
      </c>
      <c r="CF47" s="1137">
        <f>'2027'!R\Max</f>
        <v>0.1563676471647048</v>
      </c>
    </row>
    <row r="48" spans="1:84" s="6" customFormat="1" ht="11.25" x14ac:dyDescent="0.2">
      <c r="A48" s="11">
        <v>43134</v>
      </c>
      <c r="B48" s="380">
        <f>'2022'!Maxi_hp</f>
        <v>28.70079034414249</v>
      </c>
      <c r="C48" s="85">
        <f>'2022'!An_max</f>
        <v>2020</v>
      </c>
      <c r="D48" s="1089" t="str">
        <f t="shared" si="7"/>
        <v/>
      </c>
      <c r="E48" s="749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838">
        <f t="shared" si="9"/>
        <v>0.8571428571428571</v>
      </c>
      <c r="J48" s="829">
        <f t="shared" si="27"/>
        <v>37.724064139862143</v>
      </c>
      <c r="L48" s="841" t="s">
        <v>224</v>
      </c>
      <c r="M48" s="866">
        <f t="shared" ref="M48:AA48" si="51">M44</f>
        <v>272.84499999999997</v>
      </c>
      <c r="N48" s="826">
        <f t="shared" si="51"/>
        <v>336.87</v>
      </c>
      <c r="O48" s="826">
        <f t="shared" si="51"/>
        <v>432.41500000000002</v>
      </c>
      <c r="P48" s="826">
        <f t="shared" si="51"/>
        <v>518.11</v>
      </c>
      <c r="Q48" s="826">
        <f t="shared" si="51"/>
        <v>576.22500000000002</v>
      </c>
      <c r="R48" s="826">
        <f t="shared" si="51"/>
        <v>596.91</v>
      </c>
      <c r="S48" s="826">
        <f t="shared" si="51"/>
        <v>591.98500000000001</v>
      </c>
      <c r="T48" s="826">
        <f t="shared" si="51"/>
        <v>568.34500000000003</v>
      </c>
      <c r="U48" s="826">
        <f t="shared" si="51"/>
        <v>538.79499999999996</v>
      </c>
      <c r="V48" s="826">
        <f t="shared" si="51"/>
        <v>507.10347293908853</v>
      </c>
      <c r="W48" s="826">
        <f t="shared" si="51"/>
        <v>458.02499999999998</v>
      </c>
      <c r="X48" s="826">
        <f t="shared" si="51"/>
        <v>382.18</v>
      </c>
      <c r="Y48" s="826">
        <f t="shared" si="51"/>
        <v>297.46999999999997</v>
      </c>
      <c r="Z48" s="864">
        <f t="shared" si="51"/>
        <v>272.84499999999997</v>
      </c>
      <c r="AA48" s="862">
        <f t="shared" si="51"/>
        <v>336.87</v>
      </c>
      <c r="AD48" s="7"/>
      <c r="AE48" s="7"/>
      <c r="AF48" s="7"/>
      <c r="AH48" s="7"/>
      <c r="AI48" s="74"/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838">
        <f t="shared" si="14"/>
        <v>7.1428571428571425E-2</v>
      </c>
      <c r="AT48" s="855">
        <f t="shared" si="15"/>
        <v>37.781273021988042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838">
        <f t="shared" si="19"/>
        <v>0.5714285714285714</v>
      </c>
      <c r="AY48" s="855">
        <f t="shared" si="20"/>
        <v>37.6016209781436</v>
      </c>
      <c r="AZ48" s="829">
        <f t="shared" si="26"/>
        <v>37.691447000065821</v>
      </c>
      <c r="BA48" s="662">
        <f t="shared" si="21"/>
        <v>0.76080854485174709</v>
      </c>
      <c r="BB48" s="657">
        <v>43134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926">
        <f>1+[2]!Salcycl*Ksac</f>
        <v>1.0000156105181879</v>
      </c>
      <c r="BH48" s="1082">
        <f t="shared" si="22"/>
        <v>6.6189118900882209E-3</v>
      </c>
      <c r="BI48" s="11">
        <v>44230</v>
      </c>
      <c r="BJ48" s="803">
        <v>2.7515267414894781E-3</v>
      </c>
      <c r="BK48" s="803">
        <v>3.7475275656983216E-3</v>
      </c>
      <c r="BL48" s="803">
        <v>4.9023663034769155E-3</v>
      </c>
      <c r="BM48" s="803">
        <v>6.6187932443779506E-3</v>
      </c>
      <c r="BN48" s="803">
        <v>9.7529264995472025E-3</v>
      </c>
      <c r="BO48" s="804">
        <v>1.5447434914556491E-2</v>
      </c>
      <c r="BP48" s="803">
        <v>2.8313023331971002E-2</v>
      </c>
      <c r="BQ48" s="803">
        <v>6.4595505583497873E-2</v>
      </c>
      <c r="BR48" s="803">
        <v>0.12329393103654029</v>
      </c>
      <c r="BS48" s="803">
        <v>0.19796757607611334</v>
      </c>
      <c r="BT48" s="803">
        <v>0.27145814629543025</v>
      </c>
      <c r="BW48" s="1138">
        <f>'2018'!R\Max</f>
        <v>0</v>
      </c>
      <c r="BX48" s="1136">
        <f>'2019'!R\Max</f>
        <v>0.37781166239033742</v>
      </c>
      <c r="BY48" s="1136">
        <f>'2020'!R\Max</f>
        <v>0.76080854485174709</v>
      </c>
      <c r="BZ48" s="1136">
        <f>'2021'!R\Max</f>
        <v>0.69218514618737825</v>
      </c>
      <c r="CA48" s="1136">
        <f>'2022'!R\Max</f>
        <v>0.33869150139199128</v>
      </c>
      <c r="CB48" s="1136">
        <f>'2023'!R\Max</f>
        <v>0.33848510139245813</v>
      </c>
      <c r="CC48" s="1136">
        <f>'2024'!R\Max</f>
        <v>0.33827715580182166</v>
      </c>
      <c r="CD48" s="1136">
        <f>'2025'!R\Max</f>
        <v>0.33769496142346661</v>
      </c>
      <c r="CE48" s="1136">
        <f>'2026'!R\Max</f>
        <v>0.33892762409757621</v>
      </c>
      <c r="CF48" s="1137">
        <f>'2027'!R\Max</f>
        <v>0.33887734933490182</v>
      </c>
    </row>
    <row r="49" spans="1:84" s="6" customFormat="1" ht="11.25" x14ac:dyDescent="0.2">
      <c r="A49" s="11">
        <v>43135</v>
      </c>
      <c r="B49" s="380">
        <f>'2022'!Maxi_hp</f>
        <v>29.923583051666235</v>
      </c>
      <c r="C49" s="85">
        <f>'2022'!An_max</f>
        <v>2019</v>
      </c>
      <c r="D49" s="1089" t="str">
        <f t="shared" si="7"/>
        <v/>
      </c>
      <c r="E49" s="749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838">
        <f t="shared" si="9"/>
        <v>0.9285714285714286</v>
      </c>
      <c r="J49" s="829">
        <f t="shared" si="27"/>
        <v>38.071452532828388</v>
      </c>
      <c r="L49" s="841" t="s">
        <v>225</v>
      </c>
      <c r="M49" s="868">
        <f t="shared" ref="M49:AA49" si="52">N43</f>
        <v>43122</v>
      </c>
      <c r="N49" s="821">
        <f t="shared" si="52"/>
        <v>43150</v>
      </c>
      <c r="O49" s="821">
        <f t="shared" si="52"/>
        <v>43178</v>
      </c>
      <c r="P49" s="821">
        <f t="shared" si="52"/>
        <v>43206</v>
      </c>
      <c r="Q49" s="821">
        <f t="shared" si="52"/>
        <v>43234</v>
      </c>
      <c r="R49" s="821">
        <f t="shared" si="52"/>
        <v>43262</v>
      </c>
      <c r="S49" s="821">
        <f t="shared" si="52"/>
        <v>43290</v>
      </c>
      <c r="T49" s="821">
        <f t="shared" si="52"/>
        <v>43318</v>
      </c>
      <c r="U49" s="821">
        <f t="shared" si="52"/>
        <v>43346</v>
      </c>
      <c r="V49" s="821">
        <f t="shared" si="52"/>
        <v>43374</v>
      </c>
      <c r="W49" s="821">
        <f t="shared" si="52"/>
        <v>43402</v>
      </c>
      <c r="X49" s="821">
        <f t="shared" si="52"/>
        <v>43430</v>
      </c>
      <c r="Y49" s="821">
        <f t="shared" si="52"/>
        <v>43458</v>
      </c>
      <c r="Z49" s="874">
        <f t="shared" si="52"/>
        <v>43487</v>
      </c>
      <c r="AA49" s="872">
        <f t="shared" si="52"/>
        <v>43515</v>
      </c>
      <c r="AD49" s="7"/>
      <c r="AE49" s="7"/>
      <c r="AF49" s="7"/>
      <c r="AH49" s="7"/>
      <c r="AI49" s="74"/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838">
        <f t="shared" si="14"/>
        <v>3.5714285714285712E-2</v>
      </c>
      <c r="AT49" s="855">
        <f t="shared" si="15"/>
        <v>38.099926870715407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838">
        <f t="shared" si="19"/>
        <v>0.5357142857142857</v>
      </c>
      <c r="AY49" s="855">
        <f t="shared" si="20"/>
        <v>37.959130336044886</v>
      </c>
      <c r="AZ49" s="829">
        <f t="shared" si="26"/>
        <v>38.029528603380143</v>
      </c>
      <c r="BA49" s="662">
        <f t="shared" si="21"/>
        <v>0.78598480123298742</v>
      </c>
      <c r="BB49" s="657">
        <v>43135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926">
        <f>1+[2]!Salcycl*Ksac</f>
        <v>1.0000228364913626</v>
      </c>
      <c r="BH49" s="1082">
        <f t="shared" si="22"/>
        <v>6.7130764995581528E-3</v>
      </c>
      <c r="BI49" s="11">
        <v>44231</v>
      </c>
      <c r="BJ49" s="803">
        <v>2.7894541060892058E-3</v>
      </c>
      <c r="BK49" s="803">
        <v>3.8082642138085559E-3</v>
      </c>
      <c r="BL49" s="803">
        <v>4.9875325368682723E-3</v>
      </c>
      <c r="BM49" s="803">
        <v>6.7129577792680887E-3</v>
      </c>
      <c r="BN49" s="803">
        <v>9.849061126860818E-3</v>
      </c>
      <c r="BO49" s="804">
        <v>1.5557662146015103E-2</v>
      </c>
      <c r="BP49" s="803">
        <v>2.7670493637056221E-2</v>
      </c>
      <c r="BQ49" s="803">
        <v>6.2076551597979042E-2</v>
      </c>
      <c r="BR49" s="803">
        <v>0.11948794815637225</v>
      </c>
      <c r="BS49" s="803">
        <v>0.19487511309260805</v>
      </c>
      <c r="BT49" s="803">
        <v>0.2714265909731835</v>
      </c>
      <c r="BW49" s="1138">
        <f>'2018'!R\Max</f>
        <v>0</v>
      </c>
      <c r="BX49" s="1136">
        <f>'2019'!R\Max</f>
        <v>0.78598480123298742</v>
      </c>
      <c r="BY49" s="1136">
        <f>'2020'!R\Max</f>
        <v>0.4908715743463502</v>
      </c>
      <c r="BZ49" s="1136">
        <f>'2021'!R\Max</f>
        <v>0.43483133744248853</v>
      </c>
      <c r="CA49" s="1136">
        <f>'2022'!R\Max</f>
        <v>0.32188281590107554</v>
      </c>
      <c r="CB49" s="1136">
        <f>'2023'!R\Max</f>
        <v>0.32169515586701047</v>
      </c>
      <c r="CC49" s="1136">
        <f>'2024'!R\Max</f>
        <v>0.32150600372235971</v>
      </c>
      <c r="CD49" s="1136">
        <f>'2025'!R\Max</f>
        <v>0.32097290276711593</v>
      </c>
      <c r="CE49" s="1136">
        <f>'2026'!R\Max</f>
        <v>0.3221113018712824</v>
      </c>
      <c r="CF49" s="1137">
        <f>'2027'!R\Max</f>
        <v>0.32206271821271176</v>
      </c>
    </row>
    <row r="50" spans="1:84" s="6" customFormat="1" ht="11.25" x14ac:dyDescent="0.2">
      <c r="A50" s="11">
        <v>43136</v>
      </c>
      <c r="B50" s="380">
        <f>'2022'!Maxi_hp</f>
        <v>37.591562892350396</v>
      </c>
      <c r="C50" s="85">
        <f>'2022'!An_max</f>
        <v>2020</v>
      </c>
      <c r="D50" s="1089">
        <f t="shared" si="7"/>
        <v>0.97856469848532968</v>
      </c>
      <c r="E50" s="837">
        <f>P$13/10</f>
        <v>38.414999999999999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838">
        <f t="shared" si="9"/>
        <v>1</v>
      </c>
      <c r="J50" s="829">
        <f t="shared" si="27"/>
        <v>38.415000000037253</v>
      </c>
      <c r="L50" s="841" t="s">
        <v>226</v>
      </c>
      <c r="M50" s="869">
        <f t="shared" ref="M50:AA50" si="53">N44</f>
        <v>336.87</v>
      </c>
      <c r="N50" s="826">
        <f t="shared" si="53"/>
        <v>432.41500000000002</v>
      </c>
      <c r="O50" s="826">
        <f t="shared" si="53"/>
        <v>518.11</v>
      </c>
      <c r="P50" s="826">
        <f t="shared" si="53"/>
        <v>576.22500000000002</v>
      </c>
      <c r="Q50" s="826">
        <f t="shared" si="53"/>
        <v>596.91</v>
      </c>
      <c r="R50" s="826">
        <f t="shared" si="53"/>
        <v>591.98500000000001</v>
      </c>
      <c r="S50" s="826">
        <f t="shared" si="53"/>
        <v>568.34500000000003</v>
      </c>
      <c r="T50" s="826">
        <f t="shared" si="53"/>
        <v>538.79499999999996</v>
      </c>
      <c r="U50" s="826">
        <f t="shared" si="53"/>
        <v>507.10347293908853</v>
      </c>
      <c r="V50" s="826">
        <f t="shared" si="53"/>
        <v>458.02499999999998</v>
      </c>
      <c r="W50" s="826">
        <f t="shared" si="53"/>
        <v>382.18</v>
      </c>
      <c r="X50" s="826">
        <f t="shared" si="53"/>
        <v>297.46999999999997</v>
      </c>
      <c r="Y50" s="826">
        <f t="shared" si="53"/>
        <v>272.84499999999997</v>
      </c>
      <c r="Z50" s="875">
        <f t="shared" si="53"/>
        <v>336.87</v>
      </c>
      <c r="AA50" s="862">
        <f t="shared" si="53"/>
        <v>432.41500000000002</v>
      </c>
      <c r="AD50" s="7"/>
      <c r="AE50" s="7"/>
      <c r="AF50" s="7"/>
      <c r="AH50" s="7"/>
      <c r="AI50" s="74"/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838">
        <f t="shared" si="14"/>
        <v>0</v>
      </c>
      <c r="AT50" s="855">
        <f t="shared" si="15"/>
        <v>38.415000000037253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838">
        <f t="shared" si="19"/>
        <v>0.5</v>
      </c>
      <c r="AY50" s="855">
        <f t="shared" si="20"/>
        <v>38.318712227791551</v>
      </c>
      <c r="AZ50" s="829">
        <f t="shared" si="26"/>
        <v>38.366856113914402</v>
      </c>
      <c r="BA50" s="662">
        <f t="shared" si="21"/>
        <v>0.97856469848532968</v>
      </c>
      <c r="BB50" s="657">
        <v>43136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926">
        <f>1+[2]!Salcycl*Ksac</f>
        <v>1.0000313291882306</v>
      </c>
      <c r="BH50" s="1082">
        <f t="shared" si="22"/>
        <v>6.8132789016149258E-3</v>
      </c>
      <c r="BI50" s="11">
        <v>44232</v>
      </c>
      <c r="BJ50" s="803">
        <v>2.8238923927820705E-3</v>
      </c>
      <c r="BK50" s="803">
        <v>3.8674825854945996E-3</v>
      </c>
      <c r="BL50" s="803">
        <v>5.0739484601012757E-3</v>
      </c>
      <c r="BM50" s="803">
        <v>6.8131599547299393E-3</v>
      </c>
      <c r="BN50" s="803">
        <v>9.9552490111857374E-3</v>
      </c>
      <c r="BO50" s="804">
        <v>1.5683665876082397E-2</v>
      </c>
      <c r="BP50" s="803">
        <v>2.7176588975518872E-2</v>
      </c>
      <c r="BQ50" s="803">
        <v>5.9620096351128693E-2</v>
      </c>
      <c r="BR50" s="803">
        <v>0.11553770663015206</v>
      </c>
      <c r="BS50" s="803">
        <v>0.19129516398603674</v>
      </c>
      <c r="BT50" s="803">
        <v>0.27077615503325791</v>
      </c>
      <c r="BW50" s="1138">
        <f>'2018'!R\Max</f>
        <v>0</v>
      </c>
      <c r="BX50" s="1136">
        <f>'2019'!R\Max</f>
        <v>9.0463059164977086E-2</v>
      </c>
      <c r="BY50" s="1136">
        <f>'2020'!R\Max</f>
        <v>0.97856469848532968</v>
      </c>
      <c r="BZ50" s="1136">
        <f>'2021'!R\Max</f>
        <v>0.34924165332616519</v>
      </c>
      <c r="CA50" s="1136">
        <f>'2022'!R\Max</f>
        <v>0.30141014144655204</v>
      </c>
      <c r="CB50" s="1136">
        <f>'2023'!R\Max</f>
        <v>0.3012398969833221</v>
      </c>
      <c r="CC50" s="1136">
        <f>'2024'!R\Max</f>
        <v>0.30106824512293118</v>
      </c>
      <c r="CD50" s="1136">
        <f>'2025'!R\Max</f>
        <v>0.3005876562357423</v>
      </c>
      <c r="CE50" s="1136">
        <f>'2026'!R\Max</f>
        <v>0.30162928127655969</v>
      </c>
      <c r="CF50" s="1137">
        <f>'2027'!R\Max</f>
        <v>0.30158273777566991</v>
      </c>
    </row>
    <row r="51" spans="1:84" s="6" customFormat="1" ht="11.25" x14ac:dyDescent="0.2">
      <c r="A51" s="11">
        <v>43137</v>
      </c>
      <c r="B51" s="380">
        <f>'2022'!Maxi_hp</f>
        <v>39.747861870771352</v>
      </c>
      <c r="C51" s="85">
        <f>'2022'!An_max</f>
        <v>2020</v>
      </c>
      <c r="D51" s="1089">
        <f t="shared" si="7"/>
        <v>1.0255488094496483</v>
      </c>
      <c r="E51" s="749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838">
        <f t="shared" si="9"/>
        <v>0.9285714285714286</v>
      </c>
      <c r="J51" s="829">
        <f t="shared" si="27"/>
        <v>38.757650054804984</v>
      </c>
      <c r="L51" s="842" t="s">
        <v>227</v>
      </c>
      <c r="M51" s="823">
        <f t="shared" ref="M51:AA51" si="54">x.1ld*x.1ld-x.2ld*x.2ld</f>
        <v>-2412424</v>
      </c>
      <c r="N51" s="823">
        <f t="shared" si="54"/>
        <v>-2500235</v>
      </c>
      <c r="O51" s="823">
        <f t="shared" si="54"/>
        <v>-2415616</v>
      </c>
      <c r="P51" s="823">
        <f t="shared" si="54"/>
        <v>-2417184</v>
      </c>
      <c r="Q51" s="823">
        <f t="shared" si="54"/>
        <v>-2418752</v>
      </c>
      <c r="R51" s="823">
        <f t="shared" si="54"/>
        <v>-2420320</v>
      </c>
      <c r="S51" s="823">
        <f t="shared" si="54"/>
        <v>-2421888</v>
      </c>
      <c r="T51" s="823">
        <f t="shared" si="54"/>
        <v>-2423456</v>
      </c>
      <c r="U51" s="823">
        <f t="shared" si="54"/>
        <v>-2425024</v>
      </c>
      <c r="V51" s="823">
        <f t="shared" si="54"/>
        <v>-2426592</v>
      </c>
      <c r="W51" s="823">
        <f t="shared" si="54"/>
        <v>-2428160</v>
      </c>
      <c r="X51" s="823">
        <f t="shared" si="54"/>
        <v>-2429728</v>
      </c>
      <c r="Y51" s="823">
        <f t="shared" si="54"/>
        <v>-2431296</v>
      </c>
      <c r="Z51" s="823">
        <f t="shared" si="54"/>
        <v>-2432864</v>
      </c>
      <c r="AA51" s="823">
        <f t="shared" si="54"/>
        <v>-2521405</v>
      </c>
      <c r="AC51" s="7"/>
      <c r="AD51" s="7"/>
      <c r="AE51" s="7"/>
      <c r="AF51" s="7"/>
      <c r="AH51" s="7"/>
      <c r="AI51" s="74"/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838">
        <f t="shared" si="14"/>
        <v>3.5714285714285712E-2</v>
      </c>
      <c r="AT51" s="855">
        <f t="shared" si="15"/>
        <v>38.730292433633331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838">
        <f t="shared" si="19"/>
        <v>0.4642857142857143</v>
      </c>
      <c r="AY51" s="855">
        <f t="shared" si="20"/>
        <v>38.679779199623901</v>
      </c>
      <c r="AZ51" s="829">
        <f t="shared" si="26"/>
        <v>38.705035816628616</v>
      </c>
      <c r="BA51" s="662">
        <f t="shared" si="21"/>
        <v>1.0255488094496483</v>
      </c>
      <c r="BB51" s="657">
        <v>43137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926">
        <f>1+[2]!Salcycl*Ksac</f>
        <v>1.0000410049389212</v>
      </c>
      <c r="BH51" s="1082">
        <f t="shared" si="22"/>
        <v>6.9195242571059717E-3</v>
      </c>
      <c r="BI51" s="11">
        <v>44233</v>
      </c>
      <c r="BJ51" s="803">
        <v>2.8548451698322819E-3</v>
      </c>
      <c r="BK51" s="803">
        <v>3.9251866228342753E-3</v>
      </c>
      <c r="BL51" s="803">
        <v>5.1616183720269958E-3</v>
      </c>
      <c r="BM51" s="803">
        <v>6.9194049314997659E-3</v>
      </c>
      <c r="BN51" s="803">
        <v>1.0071498249934828E-2</v>
      </c>
      <c r="BO51" s="804">
        <v>1.5825459717014035E-2</v>
      </c>
      <c r="BP51" s="803">
        <v>2.6831321461040798E-2</v>
      </c>
      <c r="BQ51" s="803">
        <v>5.7226250931233826E-2</v>
      </c>
      <c r="BR51" s="803">
        <v>0.11144346210430274</v>
      </c>
      <c r="BS51" s="803">
        <v>0.18722814494179363</v>
      </c>
      <c r="BT51" s="803">
        <v>0.26950732222012819</v>
      </c>
      <c r="BW51" s="1138">
        <f>'2018'!R\Max</f>
        <v>0</v>
      </c>
      <c r="BX51" s="1136">
        <f>'2019'!R\Max</f>
        <v>0.25586941240468403</v>
      </c>
      <c r="BY51" s="1136">
        <f>'2020'!R\Max</f>
        <v>1.0255488094496483</v>
      </c>
      <c r="BZ51" s="1136">
        <f>'2021'!R\Max</f>
        <v>0.24054005994952565</v>
      </c>
      <c r="CA51" s="1136">
        <f>'2022'!R\Max</f>
        <v>0.65960834365687393</v>
      </c>
      <c r="CB51" s="1136">
        <f>'2023'!R\Max</f>
        <v>0.65943597066742476</v>
      </c>
      <c r="CC51" s="1136">
        <f>'2024'!R\Max</f>
        <v>0.6592620504213752</v>
      </c>
      <c r="CD51" s="1136">
        <f>'2025'!R\Max</f>
        <v>0.65878524642635639</v>
      </c>
      <c r="CE51" s="1136">
        <f>'2026'!R\Max</f>
        <v>0.65984085172577245</v>
      </c>
      <c r="CF51" s="1137">
        <f>'2027'!R\Max</f>
        <v>0.65979153038804106</v>
      </c>
    </row>
    <row r="52" spans="1:84" s="6" customFormat="1" ht="11.25" x14ac:dyDescent="0.2">
      <c r="A52" s="11">
        <v>43138</v>
      </c>
      <c r="B52" s="380">
        <f>'2022'!Maxi_hp</f>
        <v>25.290736794333089</v>
      </c>
      <c r="C52" s="85">
        <f>'2022'!An_max</f>
        <v>2020</v>
      </c>
      <c r="D52" s="1089" t="str">
        <f t="shared" si="7"/>
        <v/>
      </c>
      <c r="E52" s="749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838">
        <f t="shared" si="9"/>
        <v>0.8571428571428571</v>
      </c>
      <c r="J52" s="829">
        <f t="shared" si="27"/>
        <v>39.102776968080022</v>
      </c>
      <c r="L52" s="842" t="s">
        <v>228</v>
      </c>
      <c r="M52" s="823">
        <f t="shared" ref="M52:AA52" si="55">x.2ld*x.2ld-x.3ld*x.3ld</f>
        <v>-2500235</v>
      </c>
      <c r="N52" s="823">
        <f t="shared" si="55"/>
        <v>-2415616</v>
      </c>
      <c r="O52" s="823">
        <f t="shared" si="55"/>
        <v>-2417184</v>
      </c>
      <c r="P52" s="823">
        <f t="shared" si="55"/>
        <v>-2418752</v>
      </c>
      <c r="Q52" s="823">
        <f t="shared" si="55"/>
        <v>-2420320</v>
      </c>
      <c r="R52" s="823">
        <f t="shared" si="55"/>
        <v>-2421888</v>
      </c>
      <c r="S52" s="823">
        <f t="shared" si="55"/>
        <v>-2423456</v>
      </c>
      <c r="T52" s="823">
        <f t="shared" si="55"/>
        <v>-2425024</v>
      </c>
      <c r="U52" s="823">
        <f t="shared" si="55"/>
        <v>-2426592</v>
      </c>
      <c r="V52" s="823">
        <f t="shared" si="55"/>
        <v>-2428160</v>
      </c>
      <c r="W52" s="823">
        <f t="shared" si="55"/>
        <v>-2429728</v>
      </c>
      <c r="X52" s="823">
        <f t="shared" si="55"/>
        <v>-2431296</v>
      </c>
      <c r="Y52" s="823">
        <f t="shared" si="55"/>
        <v>-2432864</v>
      </c>
      <c r="Z52" s="823">
        <f t="shared" si="55"/>
        <v>-2521405</v>
      </c>
      <c r="AA52" s="823">
        <f t="shared" si="55"/>
        <v>-2436056</v>
      </c>
      <c r="AC52" s="7"/>
      <c r="AD52" s="7"/>
      <c r="AE52" s="7"/>
      <c r="AF52" s="7"/>
      <c r="AH52" s="7"/>
      <c r="AI52" s="74"/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838">
        <f t="shared" si="14"/>
        <v>7.1428571428571425E-2</v>
      </c>
      <c r="AT52" s="855">
        <f t="shared" si="15"/>
        <v>39.049757834883145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838">
        <f t="shared" si="19"/>
        <v>0.42857142857142855</v>
      </c>
      <c r="AY52" s="855">
        <f t="shared" si="20"/>
        <v>39.041743794615776</v>
      </c>
      <c r="AZ52" s="829">
        <f t="shared" si="26"/>
        <v>39.045750814749461</v>
      </c>
      <c r="BA52" s="662">
        <f t="shared" si="21"/>
        <v>0.64677597744472637</v>
      </c>
      <c r="BB52" s="657">
        <v>43138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926">
        <f>1+[2]!Salcycl*Ksac</f>
        <v>1.0000517723001634</v>
      </c>
      <c r="BH52" s="1082">
        <f t="shared" si="22"/>
        <v>7.0291686192512194E-3</v>
      </c>
      <c r="BI52" s="11">
        <v>44234</v>
      </c>
      <c r="BJ52" s="803">
        <v>2.8847581750299878E-3</v>
      </c>
      <c r="BK52" s="803">
        <v>3.981934852365504E-3</v>
      </c>
      <c r="BL52" s="803">
        <v>5.2490775892675449E-3</v>
      </c>
      <c r="BM52" s="803">
        <v>7.0290487363236535E-3</v>
      </c>
      <c r="BN52" s="803">
        <v>1.0195864200252621E-2</v>
      </c>
      <c r="BO52" s="804">
        <v>1.5981400051414837E-2</v>
      </c>
      <c r="BP52" s="803">
        <v>2.6635159688541854E-2</v>
      </c>
      <c r="BQ52" s="803">
        <v>5.5006250188035476E-2</v>
      </c>
      <c r="BR52" s="803">
        <v>0.10734383547256643</v>
      </c>
      <c r="BS52" s="803">
        <v>0.18272322983448139</v>
      </c>
      <c r="BT52" s="803">
        <v>0.26735526546114807</v>
      </c>
      <c r="BW52" s="1138">
        <f>'2018'!R\Max</f>
        <v>0</v>
      </c>
      <c r="BX52" s="1136">
        <f>'2019'!R\Max</f>
        <v>0.15571087380738047</v>
      </c>
      <c r="BY52" s="1136">
        <f>'2020'!R\Max</f>
        <v>0.64677597744472637</v>
      </c>
      <c r="BZ52" s="1136">
        <f>'2021'!R\Max</f>
        <v>0.59542917072639956</v>
      </c>
      <c r="CA52" s="1136">
        <f>'2022'!R\Max</f>
        <v>0.25738677683326172</v>
      </c>
      <c r="CB52" s="1136">
        <f>'2023'!R\Max</f>
        <v>0.25725403117138612</v>
      </c>
      <c r="CC52" s="1136">
        <f>'2024'!R\Max</f>
        <v>0.25712017475447974</v>
      </c>
      <c r="CD52" s="1136">
        <f>'2025'!R\Max</f>
        <v>0.2567666714547277</v>
      </c>
      <c r="CE52" s="1136">
        <f>'2026'!R\Max</f>
        <v>0.2575728520582074</v>
      </c>
      <c r="CF52" s="1137">
        <f>'2027'!R\Max</f>
        <v>0.25753339359198379</v>
      </c>
    </row>
    <row r="53" spans="1:84" s="6" customFormat="1" ht="11.25" x14ac:dyDescent="0.2">
      <c r="A53" s="11">
        <v>43139</v>
      </c>
      <c r="B53" s="380">
        <f>'2022'!Maxi_hp</f>
        <v>38.909731663461848</v>
      </c>
      <c r="C53" s="85">
        <f>'2022'!An_max</f>
        <v>2022</v>
      </c>
      <c r="D53" s="1089">
        <f t="shared" si="7"/>
        <v>0.98630892805578241</v>
      </c>
      <c r="E53" s="749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838">
        <f t="shared" si="9"/>
        <v>0.7857142857142857</v>
      </c>
      <c r="J53" s="829">
        <f t="shared" si="27"/>
        <v>39.449842292476177</v>
      </c>
      <c r="L53" s="842" t="s">
        <v>229</v>
      </c>
      <c r="M53" s="823">
        <f t="shared" ref="M53:AA53" si="56">(y.1ld-y.2ld-b.ld*(x.1ld-x.2ld))/D2x12Ld</f>
        <v>5.4161805375504676E-2</v>
      </c>
      <c r="N53" s="823">
        <f t="shared" si="56"/>
        <v>2.1132680840028575E-2</v>
      </c>
      <c r="O53" s="823">
        <f t="shared" si="56"/>
        <v>-6.2818877551013303E-3</v>
      </c>
      <c r="P53" s="823">
        <f t="shared" si="56"/>
        <v>-1.758928571428825E-2</v>
      </c>
      <c r="Q53" s="823">
        <f t="shared" si="56"/>
        <v>-2.387117346938878E-2</v>
      </c>
      <c r="R53" s="823">
        <f t="shared" si="56"/>
        <v>-1.6332908163266584E-2</v>
      </c>
      <c r="S53" s="823">
        <f t="shared" si="56"/>
        <v>-1.1935586734692397E-2</v>
      </c>
      <c r="T53" s="823">
        <f t="shared" si="56"/>
        <v>-3.7691326530619081E-3</v>
      </c>
      <c r="U53" s="823">
        <f t="shared" si="56"/>
        <v>-1.3657698092548259E-3</v>
      </c>
      <c r="V53" s="823">
        <f t="shared" si="56"/>
        <v>-1.108861344271418E-2</v>
      </c>
      <c r="W53" s="823">
        <f t="shared" si="56"/>
        <v>-1.707048919700933E-2</v>
      </c>
      <c r="X53" s="823">
        <f t="shared" si="56"/>
        <v>-5.6536989795915316E-3</v>
      </c>
      <c r="Y53" s="823">
        <f t="shared" si="56"/>
        <v>3.8319515306119344E-2</v>
      </c>
      <c r="Z53" s="823">
        <f t="shared" si="56"/>
        <v>5.4161805375500763E-2</v>
      </c>
      <c r="AA53" s="823">
        <f t="shared" si="56"/>
        <v>2.1132680840033509E-2</v>
      </c>
      <c r="AC53" s="7"/>
      <c r="AD53" s="7"/>
      <c r="AE53" s="7"/>
      <c r="AF53" s="7"/>
      <c r="AH53" s="7"/>
      <c r="AI53" s="74"/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838">
        <f t="shared" si="14"/>
        <v>0.10714285714285714</v>
      </c>
      <c r="AT53" s="855">
        <f t="shared" si="15"/>
        <v>39.373046214113543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838">
        <f t="shared" si="19"/>
        <v>0.39285714285714285</v>
      </c>
      <c r="AY53" s="855">
        <f t="shared" si="20"/>
        <v>39.404018559433254</v>
      </c>
      <c r="AZ53" s="829">
        <f t="shared" si="26"/>
        <v>39.388532386773399</v>
      </c>
      <c r="BA53" s="662">
        <f t="shared" si="21"/>
        <v>0.98630892805578241</v>
      </c>
      <c r="BB53" s="657">
        <v>43139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926">
        <f>1+[2]!Salcycl*Ksac</f>
        <v>1.0000635331049719</v>
      </c>
      <c r="BH53" s="1082">
        <f t="shared" si="22"/>
        <v>7.1372279776264575E-3</v>
      </c>
      <c r="BI53" s="11">
        <v>44235</v>
      </c>
      <c r="BJ53" s="803">
        <v>2.9142121685425105E-3</v>
      </c>
      <c r="BK53" s="803">
        <v>4.0368068129504305E-3</v>
      </c>
      <c r="BL53" s="803">
        <v>5.3338453802944203E-3</v>
      </c>
      <c r="BM53" s="803">
        <v>7.1371074751194266E-3</v>
      </c>
      <c r="BN53" s="803">
        <v>1.0320289688435668E-2</v>
      </c>
      <c r="BO53" s="804">
        <v>1.6139482600226445E-2</v>
      </c>
      <c r="BP53" s="803">
        <v>2.6513446620591945E-2</v>
      </c>
      <c r="BQ53" s="803">
        <v>5.3022123416503163E-2</v>
      </c>
      <c r="BR53" s="803">
        <v>0.10340960059388647</v>
      </c>
      <c r="BS53" s="803">
        <v>0.17806961463132187</v>
      </c>
      <c r="BT53" s="803">
        <v>0.26447898070685033</v>
      </c>
      <c r="BW53" s="1138">
        <f>'2018'!R\Max</f>
        <v>0</v>
      </c>
      <c r="BX53" s="1136">
        <f>'2019'!R\Max</f>
        <v>0.81012170502400771</v>
      </c>
      <c r="BY53" s="1136">
        <f>'2020'!R\Max</f>
        <v>0.78376161348899576</v>
      </c>
      <c r="BZ53" s="1136">
        <f>'2021'!R\Max</f>
        <v>0.12181498205882807</v>
      </c>
      <c r="CA53" s="1136">
        <f>'2022'!R\Max</f>
        <v>0.98630892805578241</v>
      </c>
      <c r="CB53" s="1136">
        <f>'2023'!R\Max</f>
        <v>0.9862993228106709</v>
      </c>
      <c r="CC53" s="1136">
        <f>'2024'!R\Max</f>
        <v>0.98628962894299732</v>
      </c>
      <c r="CD53" s="1136">
        <f>'2025'!R\Max</f>
        <v>0.98626501766534047</v>
      </c>
      <c r="CE53" s="1136">
        <f>'2026'!R\Max</f>
        <v>0.98632281729058924</v>
      </c>
      <c r="CF53" s="1137">
        <f>'2027'!R\Max</f>
        <v>0.98631987514210251</v>
      </c>
    </row>
    <row r="54" spans="1:84" s="6" customFormat="1" ht="11.25" x14ac:dyDescent="0.2">
      <c r="A54" s="11">
        <v>43140</v>
      </c>
      <c r="B54" s="380">
        <f>'2022'!Maxi_hp</f>
        <v>38.999655191950957</v>
      </c>
      <c r="C54" s="85">
        <f>'2022'!An_max</f>
        <v>2022</v>
      </c>
      <c r="D54" s="1089">
        <f t="shared" si="7"/>
        <v>0.97993250374562479</v>
      </c>
      <c r="E54" s="749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838">
        <f t="shared" si="9"/>
        <v>0.7142857142857143</v>
      </c>
      <c r="J54" s="829">
        <f t="shared" si="27"/>
        <v>39.798307580248057</v>
      </c>
      <c r="L54" s="842" t="s">
        <v>230</v>
      </c>
      <c r="M54" s="823">
        <f t="shared" ref="M54:AA54" si="57">(y.2ld-y.3ld-(y.1ld-y.2ld)*D2x23Ld/D2x12Ld)/(x.2ld-x.3ld)/(1-(x.2ld+x.3ld)/(x.1ld+x.2ld))</f>
        <v>-4667.3522918284461</v>
      </c>
      <c r="N54" s="823">
        <f t="shared" si="57"/>
        <v>-1819.7463200023737</v>
      </c>
      <c r="O54" s="823">
        <f t="shared" si="57"/>
        <v>545.36334183667338</v>
      </c>
      <c r="P54" s="823">
        <f t="shared" si="57"/>
        <v>1521.5083928573617</v>
      </c>
      <c r="Q54" s="823">
        <f t="shared" si="57"/>
        <v>2064.1629846939659</v>
      </c>
      <c r="R54" s="823">
        <f t="shared" si="57"/>
        <v>1412.5553316327635</v>
      </c>
      <c r="S54" s="823">
        <f t="shared" si="57"/>
        <v>1032.2046173468107</v>
      </c>
      <c r="T54" s="823">
        <f t="shared" si="57"/>
        <v>325.38168367352858</v>
      </c>
      <c r="U54" s="823">
        <f t="shared" si="57"/>
        <v>117.2312344970848</v>
      </c>
      <c r="V54" s="823">
        <f t="shared" si="57"/>
        <v>959.85175514720629</v>
      </c>
      <c r="W54" s="823">
        <f t="shared" si="57"/>
        <v>1478.6000205596818</v>
      </c>
      <c r="X54" s="823">
        <f t="shared" si="57"/>
        <v>487.89663265303477</v>
      </c>
      <c r="Y54" s="823">
        <f t="shared" si="57"/>
        <v>-3330.3855102038119</v>
      </c>
      <c r="Z54" s="823">
        <f t="shared" si="57"/>
        <v>-4706.8904097522245</v>
      </c>
      <c r="AA54" s="823">
        <f t="shared" si="57"/>
        <v>-1835.1731770160238</v>
      </c>
      <c r="AC54" s="7"/>
      <c r="AD54" s="7"/>
      <c r="AE54" s="7"/>
      <c r="AF54" s="7"/>
      <c r="AH54" s="7"/>
      <c r="AI54" s="74"/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838">
        <f t="shared" si="14"/>
        <v>0.14285714285714285</v>
      </c>
      <c r="AT54" s="855">
        <f t="shared" si="15"/>
        <v>39.699807580028263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838">
        <f t="shared" si="19"/>
        <v>0.35714285714285715</v>
      </c>
      <c r="AY54" s="855">
        <f t="shared" si="20"/>
        <v>39.766016038493916</v>
      </c>
      <c r="AZ54" s="829">
        <f t="shared" si="26"/>
        <v>39.73291180926109</v>
      </c>
      <c r="BA54" s="662">
        <f t="shared" si="21"/>
        <v>0.97993250374562479</v>
      </c>
      <c r="BB54" s="657">
        <v>43140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926">
        <f>1+[2]!Salcycl*Ksac</f>
        <v>1.0000761836332104</v>
      </c>
      <c r="BH54" s="1082">
        <f t="shared" si="22"/>
        <v>7.2437106644129929E-3</v>
      </c>
      <c r="BI54" s="11">
        <v>44236</v>
      </c>
      <c r="BJ54" s="803">
        <v>2.9432106385809463E-3</v>
      </c>
      <c r="BK54" s="803">
        <v>4.0898075261174309E-3</v>
      </c>
      <c r="BL54" s="803">
        <v>5.4159283221988661E-3</v>
      </c>
      <c r="BM54" s="803">
        <v>7.2435894799395342E-3</v>
      </c>
      <c r="BN54" s="803">
        <v>1.0444786450421273E-2</v>
      </c>
      <c r="BO54" s="804">
        <v>1.6299725525053113E-2</v>
      </c>
      <c r="BP54" s="803">
        <v>2.6466197372108813E-2</v>
      </c>
      <c r="BQ54" s="803">
        <v>5.1273894454861357E-2</v>
      </c>
      <c r="BR54" s="803">
        <v>9.9640880217207739E-2</v>
      </c>
      <c r="BS54" s="803">
        <v>0.17326760259518981</v>
      </c>
      <c r="BT54" s="803">
        <v>0.260879010671418</v>
      </c>
      <c r="BW54" s="1138">
        <f>'2018'!R\Max</f>
        <v>0</v>
      </c>
      <c r="BX54" s="1136">
        <f>'2019'!R\Max</f>
        <v>0.80021010097272205</v>
      </c>
      <c r="BY54" s="1136">
        <f>'2020'!R\Max</f>
        <v>0.72116101963705737</v>
      </c>
      <c r="BZ54" s="1136">
        <f>'2021'!R\Max</f>
        <v>0.33463402212427279</v>
      </c>
      <c r="CA54" s="1136">
        <f>'2022'!R\Max</f>
        <v>0.97993250374562479</v>
      </c>
      <c r="CB54" s="1136">
        <f>'2023'!R\Max</f>
        <v>0.97991891378285179</v>
      </c>
      <c r="CC54" s="1136">
        <f>'2024'!R\Max</f>
        <v>0.97990520183623475</v>
      </c>
      <c r="CD54" s="1136">
        <f>'2025'!R\Max</f>
        <v>0.97987195510926772</v>
      </c>
      <c r="CE54" s="1136">
        <f>'2026'!R\Max</f>
        <v>0.97995267818514564</v>
      </c>
      <c r="CF54" s="1137">
        <f>'2027'!R\Max</f>
        <v>0.97994840635296343</v>
      </c>
    </row>
    <row r="55" spans="1:84" s="6" customFormat="1" ht="11.25" x14ac:dyDescent="0.2">
      <c r="A55" s="11">
        <v>43141</v>
      </c>
      <c r="B55" s="380">
        <f>'2022'!Maxi_hp</f>
        <v>36.23625864148525</v>
      </c>
      <c r="C55" s="85">
        <f>'2022'!An_max</f>
        <v>2022</v>
      </c>
      <c r="D55" s="1089" t="str">
        <f t="shared" si="7"/>
        <v/>
      </c>
      <c r="E55" s="749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838">
        <f t="shared" si="9"/>
        <v>0.6428571428571429</v>
      </c>
      <c r="J55" s="829">
        <f t="shared" si="27"/>
        <v>40.147634384355378</v>
      </c>
      <c r="L55" s="842" t="s">
        <v>231</v>
      </c>
      <c r="M55" s="823">
        <f t="shared" ref="M55:AA55" si="58">(y.1ld+y.2ld+y.3ld-a.ld*(x.3ld*x.3ld+x.2ld*x.2ld+x.1ld*x.1ld)-b.ld*(x.3ld+x.2ld+x.1ld))/3</f>
        <v>100551652.45260711</v>
      </c>
      <c r="N55" s="823">
        <f t="shared" si="58"/>
        <v>39175072.181734324</v>
      </c>
      <c r="O55" s="823">
        <f t="shared" si="58"/>
        <v>-11835607.631554799</v>
      </c>
      <c r="P55" s="823">
        <f t="shared" si="58"/>
        <v>-32902767.906433295</v>
      </c>
      <c r="Q55" s="823">
        <f t="shared" si="58"/>
        <v>-44621935.240486592</v>
      </c>
      <c r="R55" s="823">
        <f t="shared" si="58"/>
        <v>-30540695.335334018</v>
      </c>
      <c r="S55" s="823">
        <f t="shared" si="58"/>
        <v>-22315992.351489577</v>
      </c>
      <c r="T55" s="823">
        <f t="shared" si="58"/>
        <v>-7021759.3132920973</v>
      </c>
      <c r="U55" s="823">
        <f t="shared" si="58"/>
        <v>-2514886.2587828543</v>
      </c>
      <c r="V55" s="823">
        <f t="shared" si="58"/>
        <v>-20771100.553511031</v>
      </c>
      <c r="W55" s="823">
        <f t="shared" si="58"/>
        <v>-32017561.775205854</v>
      </c>
      <c r="X55" s="823">
        <f t="shared" si="58"/>
        <v>-10525244.715649938</v>
      </c>
      <c r="Y55" s="823">
        <f t="shared" si="58"/>
        <v>72362015.422736496</v>
      </c>
      <c r="Z55" s="823">
        <f t="shared" si="58"/>
        <v>102262451.74563827</v>
      </c>
      <c r="AA55" s="823">
        <f t="shared" si="58"/>
        <v>39842094.989949435</v>
      </c>
      <c r="AB55" s="7"/>
      <c r="AC55" s="7"/>
      <c r="AD55" s="7"/>
      <c r="AE55" s="7"/>
      <c r="AF55" s="7"/>
      <c r="AH55" s="7"/>
      <c r="AI55" s="74"/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838">
        <f t="shared" si="14"/>
        <v>0.17857142857142858</v>
      </c>
      <c r="AT55" s="855">
        <f t="shared" si="15"/>
        <v>40.02969194127779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838">
        <f t="shared" si="19"/>
        <v>0.32142857142857145</v>
      </c>
      <c r="AY55" s="855">
        <f t="shared" si="20"/>
        <v>40.127148776767513</v>
      </c>
      <c r="AZ55" s="829">
        <f t="shared" si="26"/>
        <v>40.078420359022651</v>
      </c>
      <c r="BA55" s="662">
        <f t="shared" si="21"/>
        <v>0.90257518773274714</v>
      </c>
      <c r="BB55" s="657">
        <v>43141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926">
        <f>1+[2]!Salcycl*Ksac</f>
        <v>1.0000896158882131</v>
      </c>
      <c r="BH55" s="1082">
        <f t="shared" si="22"/>
        <v>7.3486255719970618E-3</v>
      </c>
      <c r="BI55" s="11">
        <v>44237</v>
      </c>
      <c r="BJ55" s="803">
        <v>2.9717572267198623E-3</v>
      </c>
      <c r="BK55" s="803">
        <v>4.1409423095283386E-3</v>
      </c>
      <c r="BL55" s="803">
        <v>5.4953334469726792E-3</v>
      </c>
      <c r="BM55" s="803">
        <v>7.3485036430388792E-3</v>
      </c>
      <c r="BN55" s="803">
        <v>1.0569366847781507E-2</v>
      </c>
      <c r="BO55" s="804">
        <v>1.6462147761358528E-2</v>
      </c>
      <c r="BP55" s="803">
        <v>2.6493425660296749E-2</v>
      </c>
      <c r="BQ55" s="803">
        <v>4.9761574706768931E-2</v>
      </c>
      <c r="BR55" s="803">
        <v>9.6037775680776913E-2</v>
      </c>
      <c r="BS55" s="803">
        <v>0.16831747538209899</v>
      </c>
      <c r="BT55" s="803">
        <v>0.25655589156370623</v>
      </c>
      <c r="BW55" s="1138">
        <f>'2018'!R\Max</f>
        <v>0</v>
      </c>
      <c r="BX55" s="1136">
        <f>'2019'!R\Max</f>
        <v>0.22002020704671524</v>
      </c>
      <c r="BY55" s="1136">
        <f>'2020'!R\Max</f>
        <v>0.19812006008895452</v>
      </c>
      <c r="BZ55" s="1136">
        <f>'2021'!R\Max</f>
        <v>0.31193188385715914</v>
      </c>
      <c r="CA55" s="1136">
        <f>'2022'!R\Max</f>
        <v>0.90257518773274714</v>
      </c>
      <c r="CB55" s="1136">
        <f>'2023'!R\Max</f>
        <v>0.90251574173549431</v>
      </c>
      <c r="CC55" s="1136">
        <f>'2024'!R\Max</f>
        <v>0.9024557871333091</v>
      </c>
      <c r="CD55" s="1136">
        <f>'2025'!R\Max</f>
        <v>0.90231759833382241</v>
      </c>
      <c r="CE55" s="1136">
        <f>'2026'!R\Max</f>
        <v>0.90266521482681517</v>
      </c>
      <c r="CF55" s="1137">
        <f>'2027'!R\Max</f>
        <v>0.90264615661253378</v>
      </c>
    </row>
    <row r="56" spans="1:84" s="6" customFormat="1" ht="11.25" x14ac:dyDescent="0.2">
      <c r="A56" s="11">
        <v>43142</v>
      </c>
      <c r="B56" s="380">
        <f>'2022'!Maxi_hp</f>
        <v>32.069160070810902</v>
      </c>
      <c r="C56" s="85">
        <f>'2022'!An_max</f>
        <v>2021</v>
      </c>
      <c r="D56" s="1089" t="str">
        <f t="shared" si="7"/>
        <v/>
      </c>
      <c r="E56" s="749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838">
        <f t="shared" si="9"/>
        <v>0.5714285714285714</v>
      </c>
      <c r="J56" s="829">
        <f t="shared" si="27"/>
        <v>40.497284256826553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838">
        <f t="shared" si="14"/>
        <v>0.21428571428571427</v>
      </c>
      <c r="AT56" s="855">
        <f t="shared" si="15"/>
        <v>40.36234930739073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838">
        <f t="shared" si="19"/>
        <v>0.2857142857142857</v>
      </c>
      <c r="AY56" s="855">
        <f t="shared" si="20"/>
        <v>40.486829319276978</v>
      </c>
      <c r="AZ56" s="829">
        <f t="shared" si="26"/>
        <v>40.424589313333854</v>
      </c>
      <c r="BA56" s="662">
        <f t="shared" si="21"/>
        <v>0.79188421296188671</v>
      </c>
      <c r="BB56" s="657">
        <v>43142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926">
        <f>1+[2]!Salcycl*Ksac</f>
        <v>1.000103718963854</v>
      </c>
      <c r="BH56" s="1082">
        <f t="shared" si="22"/>
        <v>7.4519821337237857E-3</v>
      </c>
      <c r="BI56" s="11">
        <v>44238</v>
      </c>
      <c r="BJ56" s="803">
        <v>2.9998557223617807E-3</v>
      </c>
      <c r="BK56" s="803">
        <v>4.1902167538267676E-3</v>
      </c>
      <c r="BL56" s="803">
        <v>5.5720682082880599E-3</v>
      </c>
      <c r="BM56" s="803">
        <v>7.4518593976279843E-3</v>
      </c>
      <c r="BN56" s="803">
        <v>1.0694043869234783E-2</v>
      </c>
      <c r="BO56" s="804">
        <v>1.6626769046380344E-2</v>
      </c>
      <c r="BP56" s="803">
        <v>2.6595144736756792E-2</v>
      </c>
      <c r="BQ56" s="803">
        <v>4.848516608966872E-2</v>
      </c>
      <c r="BR56" s="803">
        <v>9.2600368977508077E-2</v>
      </c>
      <c r="BS56" s="803">
        <v>0.16321949118075738</v>
      </c>
      <c r="BT56" s="803">
        <v>0.25151014403721944</v>
      </c>
      <c r="BW56" s="1138">
        <f>'2018'!R\Max</f>
        <v>0</v>
      </c>
      <c r="BX56" s="1136">
        <f>'2019'!R\Max</f>
        <v>0.66391912776835915</v>
      </c>
      <c r="BY56" s="1136">
        <f>'2020'!R\Max</f>
        <v>0.18598291774000414</v>
      </c>
      <c r="BZ56" s="1136">
        <f>'2021'!R\Max</f>
        <v>0.79188421296188671</v>
      </c>
      <c r="CA56" s="1136">
        <f>'2022'!R\Max</f>
        <v>0.4502240450104158</v>
      </c>
      <c r="CB56" s="1136">
        <f>'2023'!R\Max</f>
        <v>0.45005921585305042</v>
      </c>
      <c r="CC56" s="1136">
        <f>'2024'!R\Max</f>
        <v>0.44989313948767418</v>
      </c>
      <c r="CD56" s="1136">
        <f>'2025'!R\Max</f>
        <v>0.44953099438442068</v>
      </c>
      <c r="CE56" s="1136">
        <f>'2026'!R\Max</f>
        <v>0.45047715267289512</v>
      </c>
      <c r="CF56" s="1137">
        <f>'2027'!R\Max</f>
        <v>0.45042356260229671</v>
      </c>
    </row>
    <row r="57" spans="1:84" s="6" customFormat="1" ht="11.25" x14ac:dyDescent="0.2">
      <c r="A57" s="11">
        <v>43143</v>
      </c>
      <c r="B57" s="380">
        <f>'2022'!Maxi_hp</f>
        <v>40.986650074876621</v>
      </c>
      <c r="C57" s="85">
        <f>'2022'!An_max</f>
        <v>2019</v>
      </c>
      <c r="D57" s="1089">
        <f t="shared" si="7"/>
        <v>1.0034257665978887</v>
      </c>
      <c r="E57" s="749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838">
        <f t="shared" si="9"/>
        <v>0.5</v>
      </c>
      <c r="J57" s="829">
        <f t="shared" si="27"/>
        <v>40.846718750149009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838">
        <f t="shared" si="14"/>
        <v>0.25</v>
      </c>
      <c r="AT57" s="855">
        <f t="shared" si="15"/>
        <v>40.697429687529805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838">
        <f t="shared" si="19"/>
        <v>0.25</v>
      </c>
      <c r="AY57" s="855">
        <f t="shared" si="20"/>
        <v>40.844470210373402</v>
      </c>
      <c r="AZ57" s="829">
        <f t="shared" si="26"/>
        <v>40.770949948951603</v>
      </c>
      <c r="BA57" s="662">
        <f t="shared" si="21"/>
        <v>1.0034257665978887</v>
      </c>
      <c r="BB57" s="657">
        <v>43143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926">
        <f>1+[2]!Salcycl*Ksac</f>
        <v>1.0001183804858518</v>
      </c>
      <c r="BH57" s="1082">
        <f t="shared" si="22"/>
        <v>7.5537903046025501E-3</v>
      </c>
      <c r="BI57" s="11">
        <v>44239</v>
      </c>
      <c r="BJ57" s="803">
        <v>3.0275100571817196E-3</v>
      </c>
      <c r="BK57" s="803">
        <v>4.2376366994588974E-3</v>
      </c>
      <c r="BL57" s="803">
        <v>5.6461404482411881E-3</v>
      </c>
      <c r="BM57" s="803">
        <v>7.5536666985775922E-3</v>
      </c>
      <c r="BN57" s="803">
        <v>1.081883113208707E-2</v>
      </c>
      <c r="BO57" s="804">
        <v>1.6793609946934334E-2</v>
      </c>
      <c r="BP57" s="803">
        <v>2.6771368319413961E-2</v>
      </c>
      <c r="BQ57" s="803">
        <v>4.7444663982757852E-2</v>
      </c>
      <c r="BR57" s="803">
        <v>8.9328724819603147E-2</v>
      </c>
      <c r="BS57" s="803">
        <v>0.15797388285084735</v>
      </c>
      <c r="BT57" s="803">
        <v>0.24574226413821815</v>
      </c>
      <c r="BW57" s="1138">
        <f>'2018'!R\Max</f>
        <v>0</v>
      </c>
      <c r="BX57" s="1136">
        <f>'2019'!R\Max</f>
        <v>1.0034257665978887</v>
      </c>
      <c r="BY57" s="1136">
        <f>'2020'!R\Max</f>
        <v>0.51065531634081252</v>
      </c>
      <c r="BZ57" s="1136">
        <f>'2021'!R\Max</f>
        <v>0.11178839683031176</v>
      </c>
      <c r="CA57" s="1136">
        <f>'2022'!R\Max</f>
        <v>0.74275905677484422</v>
      </c>
      <c r="CB57" s="1136">
        <f>'2023'!R\Max</f>
        <v>0.74263274229165277</v>
      </c>
      <c r="CC57" s="1136">
        <f>'2024'!R\Max</f>
        <v>0.74250547716440041</v>
      </c>
      <c r="CD57" s="1136">
        <f>'2025'!R\Max</f>
        <v>0.74224337117313177</v>
      </c>
      <c r="CE57" s="1136">
        <f>'2026'!R\Max</f>
        <v>0.74295413924562115</v>
      </c>
      <c r="CF57" s="1137">
        <f>'2027'!R\Max</f>
        <v>0.74291284907577138</v>
      </c>
    </row>
    <row r="58" spans="1:84" s="6" customFormat="1" ht="11.25" x14ac:dyDescent="0.2">
      <c r="A58" s="11">
        <v>43144</v>
      </c>
      <c r="B58" s="380">
        <f>'2022'!Maxi_hp</f>
        <v>42.930559585857665</v>
      </c>
      <c r="C58" s="85">
        <f>'2022'!An_max</f>
        <v>2019</v>
      </c>
      <c r="D58" s="1089">
        <f t="shared" si="7"/>
        <v>1.0421202414155346</v>
      </c>
      <c r="E58" s="749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838">
        <f t="shared" si="9"/>
        <v>0.42857142857142855</v>
      </c>
      <c r="J58" s="829">
        <f t="shared" si="27"/>
        <v>41.195399417195993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838">
        <f t="shared" si="14"/>
        <v>0.2857142857142857</v>
      </c>
      <c r="AT58" s="855">
        <f t="shared" si="15"/>
        <v>41.034583090405377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838">
        <f t="shared" si="19"/>
        <v>0.21428571428571427</v>
      </c>
      <c r="AY58" s="855">
        <f t="shared" si="20"/>
        <v>41.199483996097527</v>
      </c>
      <c r="AZ58" s="829">
        <f t="shared" si="26"/>
        <v>41.117033543251452</v>
      </c>
      <c r="BA58" s="662">
        <f t="shared" si="21"/>
        <v>1.0421202414155346</v>
      </c>
      <c r="BB58" s="657">
        <v>43144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926">
        <f>1+[2]!Salcycl*Ksac</f>
        <v>1.000133488110676</v>
      </c>
      <c r="BH58" s="1082">
        <f t="shared" si="22"/>
        <v>7.653845932036143E-3</v>
      </c>
      <c r="BI58" s="11">
        <v>44240</v>
      </c>
      <c r="BJ58" s="803">
        <v>3.051509807661217E-3</v>
      </c>
      <c r="BK58" s="803">
        <v>4.2796643297458676E-3</v>
      </c>
      <c r="BL58" s="803">
        <v>5.7159741995278859E-3</v>
      </c>
      <c r="BM58" s="803">
        <v>7.6537213513905187E-3</v>
      </c>
      <c r="BN58" s="803">
        <v>1.0944631267251153E-2</v>
      </c>
      <c r="BO58" s="804">
        <v>1.6961659981954307E-2</v>
      </c>
      <c r="BP58" s="803">
        <v>2.7019005816672586E-2</v>
      </c>
      <c r="BQ58" s="803">
        <v>4.6657389424375563E-2</v>
      </c>
      <c r="BR58" s="803">
        <v>8.6342550271652774E-2</v>
      </c>
      <c r="BS58" s="803">
        <v>0.15274307681903224</v>
      </c>
      <c r="BT58" s="803">
        <v>0.23937482599639881</v>
      </c>
      <c r="BW58" s="1138">
        <f>'2018'!R\Max</f>
        <v>0</v>
      </c>
      <c r="BX58" s="1136">
        <f>'2019'!R\Max</f>
        <v>1.0421202414155346</v>
      </c>
      <c r="BY58" s="1136">
        <f>'2020'!R\Max</f>
        <v>0.46392191279065947</v>
      </c>
      <c r="BZ58" s="1136">
        <f>'2021'!R\Max</f>
        <v>0.17995380657606147</v>
      </c>
      <c r="CA58" s="1136">
        <f>'2022'!R\Max</f>
        <v>0.90026494870675622</v>
      </c>
      <c r="CB58" s="1136">
        <f>'2023'!R\Max</f>
        <v>0.90020560503073532</v>
      </c>
      <c r="CC58" s="1136">
        <f>'2024'!R\Max</f>
        <v>0.90014582976031632</v>
      </c>
      <c r="CD58" s="1136">
        <f>'2025'!R\Max</f>
        <v>0.90002972419592253</v>
      </c>
      <c r="CE58" s="1136">
        <f>'2026'!R\Max</f>
        <v>0.90035652331575255</v>
      </c>
      <c r="CF58" s="1137">
        <f>'2027'!R\Max</f>
        <v>0.90033713415923766</v>
      </c>
    </row>
    <row r="59" spans="1:84" s="6" customFormat="1" ht="11.25" x14ac:dyDescent="0.2">
      <c r="A59" s="11">
        <v>43145</v>
      </c>
      <c r="B59" s="380">
        <f>'2022'!Maxi_hp</f>
        <v>42.898613753230741</v>
      </c>
      <c r="C59" s="85">
        <f>'2022'!An_max</f>
        <v>2019</v>
      </c>
      <c r="D59" s="1089">
        <f t="shared" si="7"/>
        <v>1.0326368550311511</v>
      </c>
      <c r="E59" s="749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838">
        <f t="shared" si="9"/>
        <v>0.35714285714285715</v>
      </c>
      <c r="J59" s="829">
        <f t="shared" si="27"/>
        <v>41.542787809889504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838">
        <f t="shared" si="14"/>
        <v>0.32142857142857145</v>
      </c>
      <c r="AT59" s="855">
        <f t="shared" si="15"/>
        <v>41.373459525200147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838">
        <f t="shared" si="19"/>
        <v>0.17857142857142858</v>
      </c>
      <c r="AY59" s="855">
        <f t="shared" si="20"/>
        <v>41.551283219988861</v>
      </c>
      <c r="AZ59" s="829">
        <f t="shared" si="26"/>
        <v>41.462371372594504</v>
      </c>
      <c r="BA59" s="662">
        <f t="shared" si="21"/>
        <v>1.0326368550311511</v>
      </c>
      <c r="BB59" s="657">
        <v>43145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926">
        <f>1+[2]!Salcycl*Ksac</f>
        <v>1.0001489310651686</v>
      </c>
      <c r="BH59" s="1082">
        <f t="shared" si="22"/>
        <v>7.7510535223412726E-3</v>
      </c>
      <c r="BI59" s="11">
        <v>44241</v>
      </c>
      <c r="BJ59" s="803">
        <v>3.0747440796037666E-3</v>
      </c>
      <c r="BK59" s="803">
        <v>4.318712593007379E-3</v>
      </c>
      <c r="BL59" s="803">
        <v>5.7827669621714414E-3</v>
      </c>
      <c r="BM59" s="803">
        <v>7.7509278986294646E-3</v>
      </c>
      <c r="BN59" s="803">
        <v>1.1069391346820374E-2</v>
      </c>
      <c r="BO59" s="804">
        <v>1.7127062552210106E-2</v>
      </c>
      <c r="BP59" s="803">
        <v>2.7264069594399309E-2</v>
      </c>
      <c r="BQ59" s="803">
        <v>4.5998831887801551E-2</v>
      </c>
      <c r="BR59" s="803">
        <v>8.361516166080403E-2</v>
      </c>
      <c r="BS59" s="803">
        <v>0.14772468845013934</v>
      </c>
      <c r="BT59" s="803">
        <v>0.23286633941813115</v>
      </c>
      <c r="BW59" s="1138">
        <f>'2018'!R\Max</f>
        <v>0</v>
      </c>
      <c r="BX59" s="1136">
        <f>'2019'!R\Max</f>
        <v>1.0326368550311511</v>
      </c>
      <c r="BY59" s="1136">
        <f>'2020'!R\Max</f>
        <v>0.75292146406942329</v>
      </c>
      <c r="BZ59" s="1136">
        <f>'2021'!R\Max</f>
        <v>0.85113000021245155</v>
      </c>
      <c r="CA59" s="1136">
        <f>'2022'!R\Max</f>
        <v>0.4950518160895645</v>
      </c>
      <c r="CB59" s="1136">
        <f>'2023'!R\Max</f>
        <v>0.49488669368784022</v>
      </c>
      <c r="CC59" s="1136">
        <f>'2024'!R\Max</f>
        <v>0.49472052973365893</v>
      </c>
      <c r="CD59" s="1136">
        <f>'2025'!R\Max</f>
        <v>0.49441516647466865</v>
      </c>
      <c r="CE59" s="1136">
        <f>'2026'!R\Max</f>
        <v>0.49530662820043525</v>
      </c>
      <c r="CF59" s="1137">
        <f>'2027'!R\Max</f>
        <v>0.49525259973225877</v>
      </c>
    </row>
    <row r="60" spans="1:84" s="6" customFormat="1" ht="11.25" x14ac:dyDescent="0.2">
      <c r="A60" s="11">
        <v>43146</v>
      </c>
      <c r="B60" s="380">
        <f>'2022'!Maxi_hp</f>
        <v>43.307632323541206</v>
      </c>
      <c r="C60" s="85">
        <f>'2022'!An_max</f>
        <v>2019</v>
      </c>
      <c r="D60" s="1089">
        <f t="shared" si="7"/>
        <v>1.0338826188079417</v>
      </c>
      <c r="E60" s="749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838">
        <f t="shared" si="9"/>
        <v>0.2857142857142857</v>
      </c>
      <c r="J60" s="829">
        <f t="shared" si="27"/>
        <v>41.888345481109411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838">
        <f t="shared" si="14"/>
        <v>0.35714285714285715</v>
      </c>
      <c r="AT60" s="855">
        <f t="shared" si="15"/>
        <v>41.713709001416078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838">
        <f t="shared" si="19"/>
        <v>0.14285714285714285</v>
      </c>
      <c r="AY60" s="855">
        <f t="shared" si="20"/>
        <v>41.899280428620322</v>
      </c>
      <c r="AZ60" s="829">
        <f t="shared" si="26"/>
        <v>41.806494715018204</v>
      </c>
      <c r="BA60" s="662">
        <f t="shared" si="21"/>
        <v>1.0338826188079417</v>
      </c>
      <c r="BB60" s="657">
        <v>43146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926">
        <f>1+[2]!Salcycl*Ksac</f>
        <v>1.000164601709951</v>
      </c>
      <c r="BH60" s="1082">
        <f t="shared" si="22"/>
        <v>7.8454247745885566E-3</v>
      </c>
      <c r="BI60" s="11">
        <v>44242</v>
      </c>
      <c r="BJ60" s="803">
        <v>3.0972172215801455E-3</v>
      </c>
      <c r="BK60" s="803">
        <v>4.3547881405364142E-3</v>
      </c>
      <c r="BL60" s="803">
        <v>5.846527608085926E-3</v>
      </c>
      <c r="BM60" s="803">
        <v>7.8452980392100958E-3</v>
      </c>
      <c r="BN60" s="803">
        <v>1.11931271628746E-2</v>
      </c>
      <c r="BO60" s="804">
        <v>1.7289841972383212E-2</v>
      </c>
      <c r="BP60" s="803">
        <v>2.7506597720452441E-2</v>
      </c>
      <c r="BQ60" s="803">
        <v>4.5469009295803477E-2</v>
      </c>
      <c r="BR60" s="803">
        <v>8.1146565161818687E-2</v>
      </c>
      <c r="BS60" s="803">
        <v>0.14291878482330611</v>
      </c>
      <c r="BT60" s="803">
        <v>0.22621704326717326</v>
      </c>
      <c r="BW60" s="1138">
        <f>'2018'!R\Max</f>
        <v>0</v>
      </c>
      <c r="BX60" s="1136">
        <f>'2019'!R\Max</f>
        <v>1.0338826188079417</v>
      </c>
      <c r="BY60" s="1136">
        <f>'2020'!R\Max</f>
        <v>0.94912276622311476</v>
      </c>
      <c r="BZ60" s="1136">
        <f>'2021'!R\Max</f>
        <v>0.89679079928291883</v>
      </c>
      <c r="CA60" s="1136">
        <f>'2022'!R\Max</f>
        <v>0.48387222984303996</v>
      </c>
      <c r="CB60" s="1136">
        <f>'2023'!R\Max</f>
        <v>0.48370730376006632</v>
      </c>
      <c r="CC60" s="1136">
        <f>'2024'!R\Max</f>
        <v>0.48354140179124683</v>
      </c>
      <c r="CD60" s="1136">
        <f>'2025'!R\Max</f>
        <v>0.48325127163397158</v>
      </c>
      <c r="CE60" s="1136">
        <f>'2026'!R\Max</f>
        <v>0.4841265596439101</v>
      </c>
      <c r="CF60" s="1137">
        <f>'2027'!R\Max</f>
        <v>0.48407254130530214</v>
      </c>
    </row>
    <row r="61" spans="1:84" s="6" customFormat="1" ht="11.25" x14ac:dyDescent="0.2">
      <c r="A61" s="11">
        <v>43147</v>
      </c>
      <c r="B61" s="380">
        <f>'2022'!Maxi_hp</f>
        <v>43.625435149292962</v>
      </c>
      <c r="C61" s="85">
        <f>'2022'!An_max</f>
        <v>2019</v>
      </c>
      <c r="D61" s="1089">
        <f t="shared" si="7"/>
        <v>1.0330061694230011</v>
      </c>
      <c r="E61" s="749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838">
        <f t="shared" si="9"/>
        <v>0.21428571428571427</v>
      </c>
      <c r="J61" s="829">
        <f t="shared" si="27"/>
        <v>42.231533983635849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838">
        <f t="shared" si="14"/>
        <v>0.39285714285714285</v>
      </c>
      <c r="AT61" s="855">
        <f t="shared" si="15"/>
        <v>42.05498152754403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838">
        <f t="shared" si="19"/>
        <v>0.10714285714285714</v>
      </c>
      <c r="AY61" s="855">
        <f t="shared" si="20"/>
        <v>42.24288816569107</v>
      </c>
      <c r="AZ61" s="829">
        <f t="shared" si="26"/>
        <v>42.14893484661755</v>
      </c>
      <c r="BA61" s="662">
        <f t="shared" si="21"/>
        <v>1.0330061694230011</v>
      </c>
      <c r="BB61" s="657">
        <v>43147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926">
        <f>1+[2]!Salcycl*Ksac</f>
        <v>1.0001803971097964</v>
      </c>
      <c r="BH61" s="1082">
        <f t="shared" si="22"/>
        <v>7.9369717793061571E-3</v>
      </c>
      <c r="BI61" s="11">
        <v>44243</v>
      </c>
      <c r="BJ61" s="803">
        <v>3.1189336731381151E-3</v>
      </c>
      <c r="BK61" s="803">
        <v>4.3878977182334362E-3</v>
      </c>
      <c r="BL61" s="803">
        <v>5.9072652410950824E-3</v>
      </c>
      <c r="BM61" s="803">
        <v>7.9368438634980169E-3</v>
      </c>
      <c r="BN61" s="803">
        <v>1.1315855099907129E-2</v>
      </c>
      <c r="BO61" s="804">
        <v>1.7450023299680428E-2</v>
      </c>
      <c r="BP61" s="803">
        <v>2.7746629409591338E-2</v>
      </c>
      <c r="BQ61" s="803">
        <v>4.5067940698280941E-2</v>
      </c>
      <c r="BR61" s="803">
        <v>7.8936762180718406E-2</v>
      </c>
      <c r="BS61" s="803">
        <v>0.13832541519442482</v>
      </c>
      <c r="BT61" s="803">
        <v>0.21942713901433281</v>
      </c>
      <c r="BW61" s="1138">
        <f>'2018'!R\Max</f>
        <v>0</v>
      </c>
      <c r="BX61" s="1136">
        <f>'2019'!R\Max</f>
        <v>1.0330061694230011</v>
      </c>
      <c r="BY61" s="1136">
        <f>'2020'!R\Max</f>
        <v>0.55612863897579201</v>
      </c>
      <c r="BZ61" s="1136">
        <f>'2021'!R\Max</f>
        <v>0.82012344372690815</v>
      </c>
      <c r="CA61" s="1136">
        <f>'2022'!R\Max</f>
        <v>0.20871561912952455</v>
      </c>
      <c r="CB61" s="1136">
        <f>'2023'!R\Max</f>
        <v>0.20861912748711323</v>
      </c>
      <c r="CC61" s="1136">
        <f>'2024'!R\Max</f>
        <v>0.20852211927372177</v>
      </c>
      <c r="CD61" s="1136">
        <f>'2025'!R\Max</f>
        <v>0.20835979765462506</v>
      </c>
      <c r="CE61" s="1136">
        <f>'2026'!R\Max</f>
        <v>0.2088643449269765</v>
      </c>
      <c r="CF61" s="1137">
        <f>'2027'!R\Max</f>
        <v>0.20883267950825049</v>
      </c>
    </row>
    <row r="62" spans="1:84" s="6" customFormat="1" ht="11.25" x14ac:dyDescent="0.2">
      <c r="A62" s="11">
        <v>43148</v>
      </c>
      <c r="B62" s="380">
        <f>'2022'!Maxi_hp</f>
        <v>44.343925318135149</v>
      </c>
      <c r="C62" s="85">
        <f>'2022'!An_max</f>
        <v>2019</v>
      </c>
      <c r="D62" s="1089">
        <f t="shared" si="7"/>
        <v>1.0416263777916266</v>
      </c>
      <c r="E62" s="749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838">
        <f t="shared" si="9"/>
        <v>0.14285714285714285</v>
      </c>
      <c r="J62" s="829">
        <f t="shared" si="27"/>
        <v>42.571814869118057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838">
        <f t="shared" si="14"/>
        <v>0.42857142857142855</v>
      </c>
      <c r="AT62" s="855">
        <f t="shared" si="15"/>
        <v>42.396927113564949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838">
        <f t="shared" si="19"/>
        <v>7.1428571428571425E-2</v>
      </c>
      <c r="AY62" s="855">
        <f t="shared" si="20"/>
        <v>42.581518976483501</v>
      </c>
      <c r="AZ62" s="829">
        <f t="shared" si="26"/>
        <v>42.489223045024225</v>
      </c>
      <c r="BA62" s="662">
        <f t="shared" si="21"/>
        <v>1.0416263777916266</v>
      </c>
      <c r="BB62" s="657">
        <v>43148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926">
        <f>1+[2]!Salcycl*Ksac</f>
        <v>1.0001962205944452</v>
      </c>
      <c r="BH62" s="1082">
        <f t="shared" si="22"/>
        <v>8.0257069827155362E-3</v>
      </c>
      <c r="BI62" s="11">
        <v>44244</v>
      </c>
      <c r="BJ62" s="803">
        <v>3.1398979551410106E-3</v>
      </c>
      <c r="BK62" s="803">
        <v>4.4180481292236005E-3</v>
      </c>
      <c r="BL62" s="803">
        <v>5.9649891587741678E-3</v>
      </c>
      <c r="BM62" s="803">
        <v>8.0255778175436707E-3</v>
      </c>
      <c r="BN62" s="803">
        <v>1.1437592121598074E-2</v>
      </c>
      <c r="BO62" s="804">
        <v>1.7607632300319441E-2</v>
      </c>
      <c r="BP62" s="803">
        <v>2.7984204990616351E-2</v>
      </c>
      <c r="BQ62" s="803">
        <v>4.4795647879454503E-2</v>
      </c>
      <c r="BR62" s="803">
        <v>7.6985752583449529E-2</v>
      </c>
      <c r="BS62" s="803">
        <v>0.13394461363700091</v>
      </c>
      <c r="BT62" s="803">
        <v>0.21249678894875318</v>
      </c>
      <c r="BW62" s="1138">
        <f>'2018'!R\Max</f>
        <v>0</v>
      </c>
      <c r="BX62" s="1136">
        <f>'2019'!R\Max</f>
        <v>1.0416263777916266</v>
      </c>
      <c r="BY62" s="1136">
        <f>'2020'!R\Max</f>
        <v>0.14570684076772664</v>
      </c>
      <c r="BZ62" s="1136">
        <f>'2021'!R\Max</f>
        <v>0.91149460876265398</v>
      </c>
      <c r="CA62" s="1136">
        <f>'2022'!R\Max</f>
        <v>0.24198181279306535</v>
      </c>
      <c r="CB62" s="1136">
        <f>'2023'!R\Max</f>
        <v>0.24186995062031069</v>
      </c>
      <c r="CC62" s="1136">
        <f>'2024'!R\Max</f>
        <v>0.2417575176842886</v>
      </c>
      <c r="CD62" s="1136">
        <f>'2025'!R\Max</f>
        <v>0.2415762859245531</v>
      </c>
      <c r="CE62" s="1136">
        <f>'2026'!R\Max</f>
        <v>0.24215408052557949</v>
      </c>
      <c r="CF62" s="1137">
        <f>'2027'!R\Max</f>
        <v>0.24211729811727262</v>
      </c>
    </row>
    <row r="63" spans="1:84" s="6" customFormat="1" ht="11.25" x14ac:dyDescent="0.2">
      <c r="A63" s="11">
        <v>43149</v>
      </c>
      <c r="B63" s="380">
        <f>'2022'!Maxi_hp</f>
        <v>43.682090944826165</v>
      </c>
      <c r="C63" s="85">
        <f>'2022'!An_max</f>
        <v>2019</v>
      </c>
      <c r="D63" s="1089">
        <f t="shared" si="7"/>
        <v>1.0180252993144374</v>
      </c>
      <c r="E63" s="749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838">
        <f t="shared" si="9"/>
        <v>7.1428571428571425E-2</v>
      </c>
      <c r="J63" s="829">
        <f t="shared" si="27"/>
        <v>42.908649690968119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838">
        <f t="shared" si="14"/>
        <v>0.4642857142857143</v>
      </c>
      <c r="AT63" s="855">
        <f t="shared" si="15"/>
        <v>42.739195767783428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838">
        <f t="shared" si="19"/>
        <v>3.5714285714285712E-2</v>
      </c>
      <c r="AY63" s="855">
        <f t="shared" si="20"/>
        <v>42.91458540641969</v>
      </c>
      <c r="AZ63" s="829">
        <f t="shared" si="26"/>
        <v>42.826890587101559</v>
      </c>
      <c r="BA63" s="662">
        <f t="shared" si="21"/>
        <v>1.0180252993144374</v>
      </c>
      <c r="BB63" s="657">
        <v>43149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926">
        <f>1+[2]!Salcycl*Ksac</f>
        <v>1.0002119832938057</v>
      </c>
      <c r="BH63" s="1082">
        <f t="shared" si="22"/>
        <v>8.1116431508651225E-3</v>
      </c>
      <c r="BI63" s="11">
        <v>44245</v>
      </c>
      <c r="BJ63" s="803">
        <v>3.1601146600659649E-3</v>
      </c>
      <c r="BK63" s="803">
        <v>4.4452461964172392E-3</v>
      </c>
      <c r="BL63" s="803">
        <v>6.0197088142157238E-3</v>
      </c>
      <c r="BM63" s="803">
        <v>8.1115126672151525E-3</v>
      </c>
      <c r="BN63" s="803">
        <v>1.1558355757442025E-2</v>
      </c>
      <c r="BO63" s="804">
        <v>1.7762695415789172E-2</v>
      </c>
      <c r="BP63" s="803">
        <v>2.8219365873150399E-2</v>
      </c>
      <c r="BQ63" s="803">
        <v>4.4652156964457485E-2</v>
      </c>
      <c r="BR63" s="803">
        <v>7.5293537923474194E-2</v>
      </c>
      <c r="BS63" s="803">
        <v>0.12977640168111929</v>
      </c>
      <c r="BT63" s="803">
        <v>0.20542611438621047</v>
      </c>
      <c r="BW63" s="1138">
        <f>'2018'!R\Max</f>
        <v>0</v>
      </c>
      <c r="BX63" s="1136">
        <f>'2019'!R\Max</f>
        <v>1.0180252993144374</v>
      </c>
      <c r="BY63" s="1136">
        <f>'2020'!R\Max</f>
        <v>0.87136153574606146</v>
      </c>
      <c r="BZ63" s="1136">
        <f>'2021'!R\Max</f>
        <v>0.4190859505792604</v>
      </c>
      <c r="CA63" s="1136">
        <f>'2022'!R\Max</f>
        <v>0.78739918559520139</v>
      </c>
      <c r="CB63" s="1136">
        <f>'2023'!R\Max</f>
        <v>0.78728863768538737</v>
      </c>
      <c r="CC63" s="1136">
        <f>'2024'!R\Max</f>
        <v>0.78717747314256725</v>
      </c>
      <c r="CD63" s="1136">
        <f>'2025'!R\Max</f>
        <v>0.787003489130506</v>
      </c>
      <c r="CE63" s="1136">
        <f>'2026'!R\Max</f>
        <v>0.78756913152854513</v>
      </c>
      <c r="CF63" s="1137">
        <f>'2027'!R\Max</f>
        <v>0.7875327354376106</v>
      </c>
    </row>
    <row r="64" spans="1:84" s="6" customFormat="1" ht="11.25" x14ac:dyDescent="0.2">
      <c r="A64" s="11">
        <v>43150</v>
      </c>
      <c r="B64" s="380">
        <f>'2022'!Maxi_hp</f>
        <v>40.826390842051637</v>
      </c>
      <c r="C64" s="85">
        <f>'2022'!An_max</f>
        <v>2021</v>
      </c>
      <c r="D64" s="1089" t="str">
        <f t="shared" si="7"/>
        <v/>
      </c>
      <c r="E64" s="837">
        <f>Q$13/10</f>
        <v>43.241500000000002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838">
        <f t="shared" si="9"/>
        <v>0</v>
      </c>
      <c r="J64" s="829">
        <f t="shared" si="27"/>
        <v>43.241500000283125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838">
        <f t="shared" si="14"/>
        <v>0.5</v>
      </c>
      <c r="AT64" s="855">
        <f t="shared" si="15"/>
        <v>43.081437499728054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838">
        <f t="shared" si="19"/>
        <v>0</v>
      </c>
      <c r="AY64" s="855">
        <f t="shared" si="20"/>
        <v>43.241500000096856</v>
      </c>
      <c r="AZ64" s="829">
        <f t="shared" si="26"/>
        <v>43.161468749912459</v>
      </c>
      <c r="BA64" s="662">
        <f t="shared" si="21"/>
        <v>0.94414834919658952</v>
      </c>
      <c r="BB64" s="657">
        <v>43150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926">
        <f>1+[2]!Salcycl*Ksac</f>
        <v>1.0002276056320949</v>
      </c>
      <c r="BH64" s="1082">
        <f t="shared" si="22"/>
        <v>8.1947933338351337E-3</v>
      </c>
      <c r="BI64" s="11">
        <v>44246</v>
      </c>
      <c r="BJ64" s="803">
        <v>3.1795884423301908E-3</v>
      </c>
      <c r="BK64" s="803">
        <v>4.4694987251097879E-3</v>
      </c>
      <c r="BL64" s="803">
        <v>6.0714337778483216E-3</v>
      </c>
      <c r="BM64" s="803">
        <v>8.1946614624021832E-3</v>
      </c>
      <c r="BN64" s="803">
        <v>1.167816408947725E-2</v>
      </c>
      <c r="BO64" s="804">
        <v>1.79152397292669E-2</v>
      </c>
      <c r="BP64" s="803">
        <v>2.8452154514669915E-2</v>
      </c>
      <c r="BQ64" s="803">
        <v>4.4637500026339261E-2</v>
      </c>
      <c r="BR64" s="803">
        <v>7.3860124670093202E-2</v>
      </c>
      <c r="BS64" s="803">
        <v>0.12582079095369628</v>
      </c>
      <c r="BT64" s="803">
        <v>0.19821519387944353</v>
      </c>
      <c r="BW64" s="1138">
        <f>'2018'!R\Max</f>
        <v>0</v>
      </c>
      <c r="BX64" s="1136">
        <f>'2019'!R\Max</f>
        <v>0.73863303775780043</v>
      </c>
      <c r="BY64" s="1136">
        <f>'2020'!R\Max</f>
        <v>0.7759252966290795</v>
      </c>
      <c r="BZ64" s="1136">
        <f>'2021'!R\Max</f>
        <v>0.94414834919658952</v>
      </c>
      <c r="CA64" s="1136">
        <f>'2022'!R\Max</f>
        <v>0.47628668856953621</v>
      </c>
      <c r="CB64" s="1136">
        <f>'2023'!R\Max</f>
        <v>0.47612197938755862</v>
      </c>
      <c r="CC64" s="1136">
        <f>'2024'!R\Max</f>
        <v>0.47595643359492518</v>
      </c>
      <c r="CD64" s="1136">
        <f>'2025'!R\Max</f>
        <v>0.47570329609921752</v>
      </c>
      <c r="CE64" s="1136">
        <f>'2026'!R\Max</f>
        <v>0.47653977569627587</v>
      </c>
      <c r="CF64" s="1137">
        <f>'2027'!R\Max</f>
        <v>0.47648534661655695</v>
      </c>
    </row>
    <row r="65" spans="1:84" s="6" customFormat="1" ht="11.25" x14ac:dyDescent="0.2">
      <c r="A65" s="11">
        <v>43151</v>
      </c>
      <c r="B65" s="380">
        <f>'2022'!Maxi_hp</f>
        <v>43.218540620250515</v>
      </c>
      <c r="C65" s="85">
        <f>'2022'!An_max</f>
        <v>2019</v>
      </c>
      <c r="D65" s="1089">
        <f t="shared" si="7"/>
        <v>0.99191205144923633</v>
      </c>
      <c r="E65" s="749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838">
        <f t="shared" si="9"/>
        <v>7.1428571428571425E-2</v>
      </c>
      <c r="J65" s="829">
        <f t="shared" si="27"/>
        <v>43.570940142430899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838">
        <f t="shared" si="14"/>
        <v>0.5357142857142857</v>
      </c>
      <c r="AT65" s="855">
        <f t="shared" si="15"/>
        <v>43.423302318634725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838">
        <f t="shared" si="19"/>
        <v>3.5714285714285712E-2</v>
      </c>
      <c r="AY65" s="855">
        <f t="shared" si="20"/>
        <v>43.565605024707374</v>
      </c>
      <c r="AZ65" s="829">
        <f t="shared" si="26"/>
        <v>43.494453671671053</v>
      </c>
      <c r="BA65" s="662">
        <f t="shared" si="21"/>
        <v>0.99191205144923633</v>
      </c>
      <c r="BB65" s="657">
        <v>43151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926">
        <f>1+[2]!Salcycl*Ksac</f>
        <v>1.0002430187662488</v>
      </c>
      <c r="BH65" s="1082">
        <f t="shared" si="22"/>
        <v>8.2751708298934232E-3</v>
      </c>
      <c r="BI65" s="11">
        <v>44247</v>
      </c>
      <c r="BJ65" s="803">
        <v>3.1983240085980808E-3</v>
      </c>
      <c r="BK65" s="803">
        <v>4.4908124655547435E-3</v>
      </c>
      <c r="BL65" s="803">
        <v>6.1201736992189254E-3</v>
      </c>
      <c r="BM65" s="803">
        <v>8.2750375011711036E-3</v>
      </c>
      <c r="BN65" s="803">
        <v>1.1797035738945061E-2</v>
      </c>
      <c r="BO65" s="804">
        <v>1.8065292931927844E-2</v>
      </c>
      <c r="BP65" s="803">
        <v>2.8682614387364858E-2</v>
      </c>
      <c r="BQ65" s="803">
        <v>4.4751716692792931E-2</v>
      </c>
      <c r="BR65" s="803">
        <v>7.268552743629246E-2</v>
      </c>
      <c r="BS65" s="803">
        <v>0.12207778581790252</v>
      </c>
      <c r="BT65" s="803">
        <v>0.19086406142717227</v>
      </c>
      <c r="BW65" s="1138">
        <f>'2018'!R\Max</f>
        <v>0</v>
      </c>
      <c r="BX65" s="1136">
        <f>'2019'!R\Max</f>
        <v>0.99191205144923633</v>
      </c>
      <c r="BY65" s="1136">
        <f>'2020'!R\Max</f>
        <v>0.98779498686593659</v>
      </c>
      <c r="BZ65" s="1136">
        <f>'2021'!R\Max</f>
        <v>0.76913090668002559</v>
      </c>
      <c r="CA65" s="1136">
        <f>'2022'!R\Max</f>
        <v>0.55727095551651362</v>
      </c>
      <c r="CB65" s="1136">
        <f>'2023'!R\Max</f>
        <v>0.55710799675852418</v>
      </c>
      <c r="CC65" s="1136">
        <f>'2024'!R\Max</f>
        <v>0.55694419000102002</v>
      </c>
      <c r="CD65" s="1136">
        <f>'2025'!R\Max</f>
        <v>0.55669736534827685</v>
      </c>
      <c r="CE65" s="1136">
        <f>'2026'!R\Max</f>
        <v>0.5575210524909493</v>
      </c>
      <c r="CF65" s="1137">
        <f>'2027'!R\Max</f>
        <v>0.55746702986063001</v>
      </c>
    </row>
    <row r="66" spans="1:84" s="6" customFormat="1" ht="11.25" x14ac:dyDescent="0.2">
      <c r="A66" s="11">
        <v>43152</v>
      </c>
      <c r="B66" s="380">
        <f>'2022'!Maxi_hp</f>
        <v>42.441850727741603</v>
      </c>
      <c r="C66" s="85">
        <f>'2022'!An_max</f>
        <v>2019</v>
      </c>
      <c r="D66" s="1089" t="str">
        <f t="shared" si="7"/>
        <v/>
      </c>
      <c r="E66" s="749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838">
        <f t="shared" si="9"/>
        <v>0.14285714285714285</v>
      </c>
      <c r="J66" s="829">
        <f t="shared" si="27"/>
        <v>43.897975219120937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838">
        <f t="shared" si="14"/>
        <v>0.5714285714285714</v>
      </c>
      <c r="AT66" s="855">
        <f t="shared" si="15"/>
        <v>43.764440233127345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838">
        <f t="shared" si="19"/>
        <v>7.1428571428571425E-2</v>
      </c>
      <c r="AY66" s="855">
        <f t="shared" si="20"/>
        <v>43.890472850070473</v>
      </c>
      <c r="AZ66" s="829">
        <f t="shared" si="26"/>
        <v>43.827456541598906</v>
      </c>
      <c r="BA66" s="662">
        <f t="shared" si="21"/>
        <v>0.96682934727374215</v>
      </c>
      <c r="BB66" s="657">
        <v>43152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926">
        <f>1+[2]!Salcycl*Ksac</f>
        <v>1.0002581659548286</v>
      </c>
      <c r="BH66" s="1082">
        <f t="shared" si="22"/>
        <v>8.3405608631956663E-3</v>
      </c>
      <c r="BI66" s="11">
        <v>44248</v>
      </c>
      <c r="BJ66" s="803">
        <v>3.2069010991589843E-3</v>
      </c>
      <c r="BK66" s="803">
        <v>4.4991948993474843E-3</v>
      </c>
      <c r="BL66" s="803">
        <v>6.1550470969208527E-3</v>
      </c>
      <c r="BM66" s="803">
        <v>8.3404261444910855E-3</v>
      </c>
      <c r="BN66" s="803">
        <v>1.1899142015131975E-2</v>
      </c>
      <c r="BO66" s="804">
        <v>1.8195038372132384E-2</v>
      </c>
      <c r="BP66" s="803">
        <v>2.8889133493555614E-2</v>
      </c>
      <c r="BQ66" s="803">
        <v>4.4972124411608333E-2</v>
      </c>
      <c r="BR66" s="803">
        <v>7.1803429909592001E-2</v>
      </c>
      <c r="BS66" s="803">
        <v>0.11870221028469463</v>
      </c>
      <c r="BT66" s="803">
        <v>0.18371103067056421</v>
      </c>
      <c r="BW66" s="1138">
        <f>'2018'!R\Max</f>
        <v>0</v>
      </c>
      <c r="BX66" s="1136">
        <f>'2019'!R\Max</f>
        <v>0.96682934727374215</v>
      </c>
      <c r="BY66" s="1136">
        <f>'2020'!R\Max</f>
        <v>0.41424909866434245</v>
      </c>
      <c r="BZ66" s="1136">
        <f>'2021'!R\Max</f>
        <v>0.31415809758158558</v>
      </c>
      <c r="CA66" s="1136">
        <f>'2022'!R\Max</f>
        <v>0.54466381991226742</v>
      </c>
      <c r="CB66" s="1136">
        <f>'2023'!R\Max</f>
        <v>0.54450002546135545</v>
      </c>
      <c r="CC66" s="1136">
        <f>'2024'!R\Max</f>
        <v>0.54433535931461197</v>
      </c>
      <c r="CD66" s="1136">
        <f>'2025'!R\Max</f>
        <v>0.54408884672868774</v>
      </c>
      <c r="CE66" s="1136">
        <f>'2026'!R\Max</f>
        <v>0.54491489136219773</v>
      </c>
      <c r="CF66" s="1137">
        <f>'2027'!R\Max</f>
        <v>0.54486041774827154</v>
      </c>
    </row>
    <row r="67" spans="1:84" s="6" customFormat="1" ht="11.25" x14ac:dyDescent="0.2">
      <c r="A67" s="11">
        <v>43153</v>
      </c>
      <c r="B67" s="380">
        <f>'2022'!Maxi_hp</f>
        <v>42.464770609772728</v>
      </c>
      <c r="C67" s="85">
        <f>'2022'!An_max</f>
        <v>2019</v>
      </c>
      <c r="D67" s="1089" t="str">
        <f t="shared" si="7"/>
        <v/>
      </c>
      <c r="E67" s="749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838">
        <f t="shared" si="9"/>
        <v>0.21428571428571427</v>
      </c>
      <c r="J67" s="829">
        <f t="shared" si="27"/>
        <v>44.222712919222452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838">
        <f t="shared" si="14"/>
        <v>0.6071428571428571</v>
      </c>
      <c r="AT67" s="855">
        <f t="shared" si="15"/>
        <v>44.10450125247506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838">
        <f t="shared" si="19"/>
        <v>0.10714285714285714</v>
      </c>
      <c r="AY67" s="855">
        <f t="shared" si="20"/>
        <v>44.215861174284619</v>
      </c>
      <c r="AZ67" s="829">
        <f t="shared" si="26"/>
        <v>44.160181213379843</v>
      </c>
      <c r="BA67" s="662">
        <f t="shared" si="21"/>
        <v>0.96024797681090268</v>
      </c>
      <c r="BB67" s="657">
        <v>43153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926">
        <f>1+[2]!Salcycl*Ksac</f>
        <v>1.0002730038446823</v>
      </c>
      <c r="BH67" s="1082">
        <f t="shared" si="22"/>
        <v>8.3935779781977304E-3</v>
      </c>
      <c r="BI67" s="11">
        <v>44249</v>
      </c>
      <c r="BJ67" s="803">
        <v>3.2028674236117354E-3</v>
      </c>
      <c r="BK67" s="803">
        <v>4.4940742339157425E-3</v>
      </c>
      <c r="BL67" s="803">
        <v>6.1774977802048006E-3</v>
      </c>
      <c r="BM67" s="803">
        <v>8.3934419636797469E-3</v>
      </c>
      <c r="BN67" s="803">
        <v>1.1986387911984748E-2</v>
      </c>
      <c r="BO67" s="804">
        <v>1.8306060149714112E-2</v>
      </c>
      <c r="BP67" s="803">
        <v>2.9071134186401597E-2</v>
      </c>
      <c r="BQ67" s="803">
        <v>4.5187502362325278E-2</v>
      </c>
      <c r="BR67" s="803">
        <v>7.1075233354259554E-2</v>
      </c>
      <c r="BS67" s="803">
        <v>0.11564471207185283</v>
      </c>
      <c r="BT67" s="803">
        <v>0.17702014018346993</v>
      </c>
      <c r="BW67" s="1138">
        <f>'2018'!R\Max</f>
        <v>0</v>
      </c>
      <c r="BX67" s="1136">
        <f>'2019'!R\Max</f>
        <v>0.96024797681090268</v>
      </c>
      <c r="BY67" s="1136">
        <f>'2020'!R\Max</f>
        <v>0.93398805122573325</v>
      </c>
      <c r="BZ67" s="1136">
        <f>'2021'!R\Max</f>
        <v>0.10571098370094063</v>
      </c>
      <c r="CA67" s="1136">
        <f>'2022'!R\Max</f>
        <v>0.88579721636497666</v>
      </c>
      <c r="CB67" s="1136">
        <f>'2023'!R\Max</f>
        <v>0.88573042739565366</v>
      </c>
      <c r="CC67" s="1136">
        <f>'2024'!R\Max</f>
        <v>0.88566324170120792</v>
      </c>
      <c r="CD67" s="1136">
        <f>'2025'!R\Max</f>
        <v>0.8855630774990304</v>
      </c>
      <c r="CE67" s="1136">
        <f>'2026'!R\Max</f>
        <v>0.88589940104057119</v>
      </c>
      <c r="CF67" s="1137">
        <f>'2027'!R\Max</f>
        <v>0.88587714171077458</v>
      </c>
    </row>
    <row r="68" spans="1:84" s="6" customFormat="1" ht="11.25" x14ac:dyDescent="0.2">
      <c r="A68" s="11">
        <v>43154</v>
      </c>
      <c r="B68" s="380">
        <f>'2022'!Maxi_hp</f>
        <v>43.491209699160983</v>
      </c>
      <c r="C68" s="85">
        <f>'2022'!An_max</f>
        <v>2019</v>
      </c>
      <c r="D68" s="1089">
        <f t="shared" si="7"/>
        <v>0.97633752251757888</v>
      </c>
      <c r="E68" s="749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838">
        <f t="shared" si="9"/>
        <v>0.2857142857142857</v>
      </c>
      <c r="J68" s="829">
        <f t="shared" si="27"/>
        <v>44.545260932935136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838">
        <f t="shared" si="14"/>
        <v>0.6428571428571429</v>
      </c>
      <c r="AT68" s="855">
        <f t="shared" si="15"/>
        <v>44.443135386346178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838">
        <f t="shared" si="19"/>
        <v>0.14285714285714285</v>
      </c>
      <c r="AY68" s="855">
        <f t="shared" si="20"/>
        <v>44.541527696805346</v>
      </c>
      <c r="AZ68" s="829">
        <f t="shared" si="26"/>
        <v>44.492331541575766</v>
      </c>
      <c r="BA68" s="662">
        <f t="shared" si="21"/>
        <v>0.97633752251757888</v>
      </c>
      <c r="BB68" s="657">
        <v>43154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926">
        <f>1+[2]!Salcycl*Ksac</f>
        <v>1.000287503663754</v>
      </c>
      <c r="BH68" s="1082">
        <f t="shared" si="22"/>
        <v>8.4341789365487037E-3</v>
      </c>
      <c r="BI68" s="11">
        <v>44250</v>
      </c>
      <c r="BJ68" s="803">
        <v>3.1862062340354859E-3</v>
      </c>
      <c r="BK68" s="803">
        <v>4.4754268500221536E-3</v>
      </c>
      <c r="BL68" s="803">
        <v>6.1874936921727589E-3</v>
      </c>
      <c r="BM68" s="803">
        <v>8.43404172108125E-3</v>
      </c>
      <c r="BN68" s="803">
        <v>1.2058711830901653E-2</v>
      </c>
      <c r="BO68" s="804">
        <v>1.8398263612406308E-2</v>
      </c>
      <c r="BP68" s="803">
        <v>2.9228466105914563E-2</v>
      </c>
      <c r="BQ68" s="803">
        <v>4.5397614422648759E-2</v>
      </c>
      <c r="BR68" s="803">
        <v>7.050053959167972E-2</v>
      </c>
      <c r="BS68" s="803">
        <v>0.11290460304242178</v>
      </c>
      <c r="BT68" s="803">
        <v>0.1707902964124538</v>
      </c>
      <c r="BW68" s="1138">
        <f>'2018'!R\Max</f>
        <v>0</v>
      </c>
      <c r="BX68" s="1136">
        <f>'2019'!R\Max</f>
        <v>0.97633752251757888</v>
      </c>
      <c r="BY68" s="1136">
        <f>'2020'!R\Max</f>
        <v>0.96485774133021918</v>
      </c>
      <c r="BZ68" s="1136">
        <f>'2021'!R\Max</f>
        <v>0.71271644312353422</v>
      </c>
      <c r="CA68" s="1136">
        <f>'2022'!R\Max</f>
        <v>0.91740235630227063</v>
      </c>
      <c r="CB68" s="1136">
        <f>'2023'!R\Max</f>
        <v>0.91735237853338458</v>
      </c>
      <c r="CC68" s="1136">
        <f>'2024'!R\Max</f>
        <v>0.91730209202287771</v>
      </c>
      <c r="CD68" s="1136">
        <f>'2025'!R\Max</f>
        <v>0.91722733974030957</v>
      </c>
      <c r="CE68" s="1136">
        <f>'2026'!R\Max</f>
        <v>0.91747871130896907</v>
      </c>
      <c r="CF68" s="1137">
        <f>'2027'!R\Max</f>
        <v>0.9174620100088785</v>
      </c>
    </row>
    <row r="69" spans="1:84" s="6" customFormat="1" ht="11.25" x14ac:dyDescent="0.2">
      <c r="A69" s="11">
        <v>43155</v>
      </c>
      <c r="B69" s="380">
        <f>'2022'!Maxi_hp</f>
        <v>44.144707241290959</v>
      </c>
      <c r="C69" s="85">
        <f>'2022'!An_max</f>
        <v>2020</v>
      </c>
      <c r="D69" s="1089">
        <f t="shared" si="7"/>
        <v>0.98392938758263693</v>
      </c>
      <c r="E69" s="749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838">
        <f t="shared" si="9"/>
        <v>0.35714285714285715</v>
      </c>
      <c r="J69" s="829">
        <f t="shared" si="27"/>
        <v>44.865726949926469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838">
        <f t="shared" si="14"/>
        <v>0.6785714285714286</v>
      </c>
      <c r="AT69" s="855">
        <f t="shared" si="15"/>
        <v>44.779992642779163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838">
        <f t="shared" si="19"/>
        <v>0.17857142857142858</v>
      </c>
      <c r="AY69" s="855">
        <f t="shared" si="20"/>
        <v>44.86723011586416</v>
      </c>
      <c r="AZ69" s="829">
        <f t="shared" si="26"/>
        <v>44.823611379321662</v>
      </c>
      <c r="BA69" s="662">
        <f t="shared" si="21"/>
        <v>0.98392938758263693</v>
      </c>
      <c r="BB69" s="657">
        <v>43155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926">
        <f>1+[2]!Salcycl*Ksac</f>
        <v>1.0003016523096628</v>
      </c>
      <c r="BH69" s="1082">
        <f t="shared" si="22"/>
        <v>8.4623612030483783E-3</v>
      </c>
      <c r="BI69" s="11">
        <v>44251</v>
      </c>
      <c r="BJ69" s="803">
        <v>3.1569164039052405E-3</v>
      </c>
      <c r="BK69" s="803">
        <v>4.4432511405252326E-3</v>
      </c>
      <c r="BL69" s="803">
        <v>6.1850328428390243E-3</v>
      </c>
      <c r="BM69" s="803">
        <v>8.4622228815333361E-3</v>
      </c>
      <c r="BN69" s="803">
        <v>1.2116110234195418E-2</v>
      </c>
      <c r="BO69" s="804">
        <v>1.8471643127922779E-2</v>
      </c>
      <c r="BP69" s="803">
        <v>2.9361120319866107E-2</v>
      </c>
      <c r="BQ69" s="803">
        <v>4.5602445854576866E-2</v>
      </c>
      <c r="BR69" s="803">
        <v>7.0079314642624499E-2</v>
      </c>
      <c r="BS69" s="803">
        <v>0.11048181057402862</v>
      </c>
      <c r="BT69" s="803">
        <v>0.16502137030692021</v>
      </c>
      <c r="BW69" s="1138">
        <f>'2018'!R\Max</f>
        <v>0</v>
      </c>
      <c r="BX69" s="1136">
        <f>'2019'!R\Max</f>
        <v>0.96466686155353054</v>
      </c>
      <c r="BY69" s="1136">
        <f>'2020'!R\Max</f>
        <v>0.98392938758263693</v>
      </c>
      <c r="BZ69" s="1136">
        <f>'2021'!R\Max</f>
        <v>0.92578792566915502</v>
      </c>
      <c r="CA69" s="1136">
        <f>'2022'!R\Max</f>
        <v>0.51792509467239678</v>
      </c>
      <c r="CB69" s="1136">
        <f>'2023'!R\Max</f>
        <v>0.51776071249625688</v>
      </c>
      <c r="CC69" s="1136">
        <f>'2024'!R\Max</f>
        <v>0.51759536418257579</v>
      </c>
      <c r="CD69" s="1136">
        <f>'2025'!R\Max</f>
        <v>0.51735003450474037</v>
      </c>
      <c r="CE69" s="1136">
        <f>'2026'!R\Max</f>
        <v>0.51817603924136479</v>
      </c>
      <c r="CF69" s="1137">
        <f>'2027'!R\Max</f>
        <v>0.51812091141045358</v>
      </c>
    </row>
    <row r="70" spans="1:84" s="6" customFormat="1" ht="11.25" x14ac:dyDescent="0.2">
      <c r="A70" s="11">
        <v>43156</v>
      </c>
      <c r="B70" s="380">
        <f>'2022'!Maxi_hp</f>
        <v>44.223095559004854</v>
      </c>
      <c r="C70" s="85">
        <f>'2022'!An_max</f>
        <v>2019</v>
      </c>
      <c r="D70" s="1089">
        <f t="shared" si="7"/>
        <v>0.97872878787036666</v>
      </c>
      <c r="E70" s="749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838">
        <f t="shared" si="9"/>
        <v>0.42857142857142855</v>
      </c>
      <c r="J70" s="829">
        <f t="shared" si="27"/>
        <v>45.184218659012444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838">
        <f t="shared" si="14"/>
        <v>0.7142857142857143</v>
      </c>
      <c r="AT70" s="855">
        <f t="shared" si="15"/>
        <v>45.114723031701786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838">
        <f t="shared" si="19"/>
        <v>0.21428571428571427</v>
      </c>
      <c r="AY70" s="855">
        <f t="shared" si="20"/>
        <v>45.192726129772403</v>
      </c>
      <c r="AZ70" s="829">
        <f t="shared" si="26"/>
        <v>45.153724580737091</v>
      </c>
      <c r="BA70" s="662">
        <f t="shared" si="21"/>
        <v>0.97872878787036666</v>
      </c>
      <c r="BB70" s="657">
        <v>43156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926">
        <f>1+[2]!Salcycl*Ksac</f>
        <v>1.0003154533249887</v>
      </c>
      <c r="BH70" s="1082">
        <f t="shared" si="22"/>
        <v>8.4781219771013477E-3</v>
      </c>
      <c r="BI70" s="11">
        <v>44252</v>
      </c>
      <c r="BJ70" s="803">
        <v>3.1149966228591112E-3</v>
      </c>
      <c r="BK70" s="803">
        <v>4.3975453024737146E-3</v>
      </c>
      <c r="BL70" s="803">
        <v>6.1701130216055555E-3</v>
      </c>
      <c r="BM70" s="803">
        <v>8.4779826444819004E-3</v>
      </c>
      <c r="BN70" s="803">
        <v>1.2158579230291344E-2</v>
      </c>
      <c r="BO70" s="804">
        <v>1.852619261601746E-2</v>
      </c>
      <c r="BP70" s="803">
        <v>2.9469087254538007E-2</v>
      </c>
      <c r="BQ70" s="803">
        <v>4.5801981519588232E-2</v>
      </c>
      <c r="BR70" s="803">
        <v>6.9811527905887003E-2</v>
      </c>
      <c r="BS70" s="803">
        <v>0.10837627132691319</v>
      </c>
      <c r="BT70" s="803">
        <v>0.15971324962826072</v>
      </c>
      <c r="BW70" s="1138">
        <f>'2018'!R\Max</f>
        <v>0</v>
      </c>
      <c r="BX70" s="1136">
        <f>'2019'!R\Max</f>
        <v>0.97872878787036666</v>
      </c>
      <c r="BY70" s="1136">
        <f>'2020'!R\Max</f>
        <v>0.32992859704505278</v>
      </c>
      <c r="BZ70" s="1136">
        <f>'2021'!R\Max</f>
        <v>0.81474544932599402</v>
      </c>
      <c r="CA70" s="1136">
        <f>'2022'!R\Max</f>
        <v>0.7482456360053551</v>
      </c>
      <c r="CB70" s="1136">
        <f>'2023'!R\Max</f>
        <v>0.74812184411869675</v>
      </c>
      <c r="CC70" s="1136">
        <f>'2024'!R\Max</f>
        <v>0.74799725333554001</v>
      </c>
      <c r="CD70" s="1136">
        <f>'2025'!R\Max</f>
        <v>0.74781224138115632</v>
      </c>
      <c r="CE70" s="1136">
        <f>'2026'!R\Max</f>
        <v>0.7484342583075182</v>
      </c>
      <c r="CF70" s="1137">
        <f>'2027'!R\Max</f>
        <v>0.74839266695349715</v>
      </c>
    </row>
    <row r="71" spans="1:84" s="6" customFormat="1" ht="11.25" x14ac:dyDescent="0.2">
      <c r="A71" s="11">
        <v>43157</v>
      </c>
      <c r="B71" s="380">
        <f>'2022'!Maxi_hp</f>
        <v>45.651145410531818</v>
      </c>
      <c r="C71" s="85">
        <f>'2022'!An_max</f>
        <v>2022</v>
      </c>
      <c r="D71" s="1089">
        <f t="shared" si="7"/>
        <v>1.0033032719379253</v>
      </c>
      <c r="E71" s="749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838">
        <f t="shared" si="9"/>
        <v>0.5</v>
      </c>
      <c r="J71" s="829">
        <f t="shared" si="27"/>
        <v>45.500843750219794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838">
        <f t="shared" si="14"/>
        <v>0.75</v>
      </c>
      <c r="AT71" s="855">
        <f t="shared" si="15"/>
        <v>45.446976562449706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838">
        <f t="shared" si="19"/>
        <v>0.25</v>
      </c>
      <c r="AY71" s="855">
        <f t="shared" si="20"/>
        <v>45.517773437546566</v>
      </c>
      <c r="AZ71" s="829">
        <f t="shared" si="26"/>
        <v>45.482374999998136</v>
      </c>
      <c r="BA71" s="662">
        <f t="shared" si="21"/>
        <v>1.0033032719379253</v>
      </c>
      <c r="BB71" s="657">
        <v>43157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926">
        <f>1+[2]!Salcycl*Ksac</f>
        <v>1.0003289277515635</v>
      </c>
      <c r="BH71" s="1082">
        <f t="shared" si="22"/>
        <v>8.4814582387470871E-3</v>
      </c>
      <c r="BI71" s="11">
        <v>44253</v>
      </c>
      <c r="BJ71" s="803">
        <v>3.0604454434529547E-3</v>
      </c>
      <c r="BK71" s="803">
        <v>4.3383073872029949E-3</v>
      </c>
      <c r="BL71" s="803">
        <v>6.1427318434107312E-3</v>
      </c>
      <c r="BM71" s="803">
        <v>8.4813179900107196E-3</v>
      </c>
      <c r="BN71" s="803">
        <v>1.2186114629068018E-2</v>
      </c>
      <c r="BO71" s="804">
        <v>1.8561905618312381E-2</v>
      </c>
      <c r="BP71" s="803">
        <v>2.9552356786316319E-2</v>
      </c>
      <c r="BQ71" s="803">
        <v>4.5996205898638266E-2</v>
      </c>
      <c r="BR71" s="803">
        <v>6.9697151591242942E-2</v>
      </c>
      <c r="BS71" s="803">
        <v>0.10658793007121137</v>
      </c>
      <c r="BT71" s="803">
        <v>0.15486583724656286</v>
      </c>
      <c r="BW71" s="1138">
        <f>'2018'!R\Max</f>
        <v>0</v>
      </c>
      <c r="BX71" s="1136">
        <f>'2019'!R\Max</f>
        <v>0.92135678861008508</v>
      </c>
      <c r="BY71" s="1136">
        <f>'2020'!R\Max</f>
        <v>0.36301099100260176</v>
      </c>
      <c r="BZ71" s="1136">
        <f>'2021'!R\Max</f>
        <v>0.18953588922075537</v>
      </c>
      <c r="CA71" s="1136">
        <f>'2022'!R\Max</f>
        <v>1.0033032719379253</v>
      </c>
      <c r="CB71" s="1136">
        <f>'2023'!R\Max</f>
        <v>1.0033032719379253</v>
      </c>
      <c r="CC71" s="1136">
        <f>'2024'!R\Max</f>
        <v>1.0033032719379253</v>
      </c>
      <c r="CD71" s="1136">
        <f>'2025'!R\Max</f>
        <v>1.0033032719379253</v>
      </c>
      <c r="CE71" s="1136">
        <f>'2026'!R\Max</f>
        <v>1.0033032719379251</v>
      </c>
      <c r="CF71" s="1137">
        <f>'2027'!R\Max</f>
        <v>1.0033032719379253</v>
      </c>
    </row>
    <row r="72" spans="1:84" s="6" customFormat="1" ht="11.25" x14ac:dyDescent="0.2">
      <c r="A72" s="11">
        <v>43158</v>
      </c>
      <c r="B72" s="380">
        <f>'2022'!Maxi_hp</f>
        <v>44.962572405256154</v>
      </c>
      <c r="C72" s="85">
        <f>'2022'!An_max</f>
        <v>2019</v>
      </c>
      <c r="D72" s="1089">
        <f t="shared" si="7"/>
        <v>0.98137893074371041</v>
      </c>
      <c r="E72" s="749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838">
        <f t="shared" si="9"/>
        <v>0.5714285714285714</v>
      </c>
      <c r="J72" s="829">
        <f t="shared" si="27"/>
        <v>45.815709912564081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838">
        <f t="shared" si="14"/>
        <v>0.7857142857142857</v>
      </c>
      <c r="AT72" s="855">
        <f t="shared" si="15"/>
        <v>45.776403243307556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838">
        <f t="shared" si="19"/>
        <v>0.2857142857142857</v>
      </c>
      <c r="AY72" s="855">
        <f t="shared" si="20"/>
        <v>45.842129737404846</v>
      </c>
      <c r="AZ72" s="829">
        <f t="shared" si="26"/>
        <v>45.809266490356201</v>
      </c>
      <c r="BA72" s="662">
        <f t="shared" si="21"/>
        <v>0.98137893074371041</v>
      </c>
      <c r="BB72" s="657">
        <v>43158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926">
        <f>1+[2]!Salcycl*Ksac</f>
        <v>1.0003421148574925</v>
      </c>
      <c r="BH72" s="1082">
        <f t="shared" si="22"/>
        <v>8.4537753657044877E-3</v>
      </c>
      <c r="BI72" s="11">
        <v>44254</v>
      </c>
      <c r="BJ72" s="803">
        <v>2.9941430634850357E-3</v>
      </c>
      <c r="BK72" s="803">
        <v>4.2641935078140012E-3</v>
      </c>
      <c r="BL72" s="803">
        <v>6.0933242138399247E-3</v>
      </c>
      <c r="BM72" s="803">
        <v>8.4536346378741023E-3</v>
      </c>
      <c r="BN72" s="803">
        <v>1.2171086976722674E-2</v>
      </c>
      <c r="BO72" s="804">
        <v>1.8545325334662962E-2</v>
      </c>
      <c r="BP72" s="803">
        <v>2.9571687381071684E-2</v>
      </c>
      <c r="BQ72" s="803">
        <v>4.6138641727240727E-2</v>
      </c>
      <c r="BR72" s="803">
        <v>6.9683492351074308E-2</v>
      </c>
      <c r="BS72" s="803">
        <v>0.10512007608378122</v>
      </c>
      <c r="BT72" s="803">
        <v>0.15060176965227109</v>
      </c>
      <c r="BW72" s="1138">
        <f>'2018'!R\Max</f>
        <v>0</v>
      </c>
      <c r="BX72" s="1136">
        <f>'2019'!R\Max</f>
        <v>0.98137893074371041</v>
      </c>
      <c r="BY72" s="1136">
        <f>'2020'!R\Max</f>
        <v>0.1095280128450901</v>
      </c>
      <c r="BZ72" s="1136">
        <f>'2021'!R\Max</f>
        <v>0.95507083208477317</v>
      </c>
      <c r="CA72" s="1136">
        <f>'2022'!R\Max</f>
        <v>0.68746532901421309</v>
      </c>
      <c r="CB72" s="1136">
        <f>'2023'!R\Max</f>
        <v>0.68732497453470531</v>
      </c>
      <c r="CC72" s="1136">
        <f>'2024'!R\Max</f>
        <v>0.68718363069033894</v>
      </c>
      <c r="CD72" s="1136">
        <f>'2025'!R\Max</f>
        <v>0.68697250869222837</v>
      </c>
      <c r="CE72" s="1136">
        <f>'2026'!R\Max</f>
        <v>0.68767836307549979</v>
      </c>
      <c r="CF72" s="1137">
        <f>'2027'!R\Max</f>
        <v>0.68763108796593553</v>
      </c>
    </row>
    <row r="73" spans="1:84" s="6" customFormat="1" ht="11.25" x14ac:dyDescent="0.2">
      <c r="A73" s="11">
        <v>43159</v>
      </c>
      <c r="B73" s="380">
        <f>'2022'!Maxi_hp</f>
        <v>37.080698817786207</v>
      </c>
      <c r="C73" s="85">
        <f>'2022'!An_max</f>
        <v>2021</v>
      </c>
      <c r="D73" s="1089" t="str">
        <f t="shared" si="7"/>
        <v/>
      </c>
      <c r="E73" s="749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838">
        <f t="shared" si="9"/>
        <v>0.6428571428571429</v>
      </c>
      <c r="J73" s="829">
        <f t="shared" si="27"/>
        <v>46.12892483599218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838">
        <f t="shared" si="14"/>
        <v>0.8214285714285714</v>
      </c>
      <c r="AT73" s="855">
        <f t="shared" si="15"/>
        <v>46.102653083624318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838">
        <f t="shared" si="19"/>
        <v>0.32142857142857145</v>
      </c>
      <c r="AY73" s="855">
        <f t="shared" si="20"/>
        <v>46.165552728922506</v>
      </c>
      <c r="AZ73" s="829">
        <f t="shared" si="26"/>
        <v>46.134102906273412</v>
      </c>
      <c r="BA73" s="662">
        <f t="shared" si="21"/>
        <v>0.8038491889768461</v>
      </c>
      <c r="BB73" s="657">
        <v>43159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926">
        <f>1+[2]!Salcycl*Ksac</f>
        <v>1.0003550727320698</v>
      </c>
      <c r="BH73" s="1082">
        <f t="shared" si="22"/>
        <v>8.395284259219345E-3</v>
      </c>
      <c r="BI73" s="11">
        <v>44255</v>
      </c>
      <c r="BJ73" s="803">
        <v>2.9193010221244381E-3</v>
      </c>
      <c r="BK73" s="803">
        <v>4.1787439095327542E-3</v>
      </c>
      <c r="BL73" s="803">
        <v>6.0234708670958608E-3</v>
      </c>
      <c r="BM73" s="803">
        <v>8.395143531111017E-3</v>
      </c>
      <c r="BN73" s="803">
        <v>1.2112603212083994E-2</v>
      </c>
      <c r="BO73" s="804">
        <v>1.8477475688516581E-2</v>
      </c>
      <c r="BP73" s="803">
        <v>2.9530171835567526E-2</v>
      </c>
      <c r="BQ73" s="803">
        <v>4.621195026572178E-2</v>
      </c>
      <c r="BR73" s="803">
        <v>6.9650919480942805E-2</v>
      </c>
      <c r="BS73" s="803">
        <v>0.10381051604669189</v>
      </c>
      <c r="BT73" s="803">
        <v>0.14679891765991712</v>
      </c>
      <c r="BW73" s="1138">
        <f>'2018'!R\Max</f>
        <v>0</v>
      </c>
      <c r="BX73" s="1136">
        <f>'2019'!R\Max</f>
        <v>0.79208712738378573</v>
      </c>
      <c r="BY73" s="1136">
        <f>'2020'!R\Max</f>
        <v>0.45133796770109946</v>
      </c>
      <c r="BZ73" s="1136">
        <f>'2021'!R\Max</f>
        <v>0.8038491889768461</v>
      </c>
      <c r="CA73" s="1136">
        <f>'2022'!R\Max</f>
        <v>0.79126958877733999</v>
      </c>
      <c r="CB73" s="1136">
        <f>'2023'!R\Max</f>
        <v>0.791162148632369</v>
      </c>
      <c r="CC73" s="1136">
        <f>'2024'!R\Max</f>
        <v>0.79105389474813192</v>
      </c>
      <c r="CD73" s="1136">
        <f>'2025'!R\Max</f>
        <v>0.79089150113810569</v>
      </c>
      <c r="CE73" s="1136">
        <f>'2026'!R\Max</f>
        <v>0.79143211266120916</v>
      </c>
      <c r="CF73" s="1137">
        <f>'2027'!R\Max</f>
        <v>0.7913960188917194</v>
      </c>
    </row>
    <row r="74" spans="1:84" s="6" customFormat="1" ht="11.25" x14ac:dyDescent="0.2">
      <c r="A74" s="11">
        <v>43160</v>
      </c>
      <c r="B74" s="380">
        <f>'2022'!Maxi_hp</f>
        <v>46.669271608719839</v>
      </c>
      <c r="C74" s="85">
        <f>'2022'!An_max</f>
        <v>2022</v>
      </c>
      <c r="D74" s="1089">
        <f t="shared" si="7"/>
        <v>1.0049240409767168</v>
      </c>
      <c r="E74" s="749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838">
        <f t="shared" si="9"/>
        <v>0.7142857142857143</v>
      </c>
      <c r="J74" s="829">
        <f t="shared" si="27"/>
        <v>46.440596209998645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838">
        <f t="shared" si="14"/>
        <v>0.8571428571428571</v>
      </c>
      <c r="AT74" s="855">
        <f t="shared" si="15"/>
        <v>46.425376093094904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838">
        <f t="shared" si="19"/>
        <v>0.35714285714285715</v>
      </c>
      <c r="AY74" s="855">
        <f t="shared" si="20"/>
        <v>46.487800109586011</v>
      </c>
      <c r="AZ74" s="829">
        <f t="shared" si="26"/>
        <v>46.456588101340458</v>
      </c>
      <c r="BA74" s="662">
        <f t="shared" si="21"/>
        <v>1.0049240409767168</v>
      </c>
      <c r="BB74" s="657">
        <v>43160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926">
        <f>1+[2]!Salcycl*Ksac</f>
        <v>1.0003678787452062</v>
      </c>
      <c r="BH74" s="1082">
        <f t="shared" si="22"/>
        <v>8.3059811118090885E-3</v>
      </c>
      <c r="BI74" s="11">
        <v>44256</v>
      </c>
      <c r="BJ74" s="803">
        <v>2.835917821598085E-3</v>
      </c>
      <c r="BK74" s="803">
        <v>4.0819565447714331E-3</v>
      </c>
      <c r="BL74" s="803">
        <v>5.9331689909426846E-3</v>
      </c>
      <c r="BM74" s="803">
        <v>8.3058408622983942E-3</v>
      </c>
      <c r="BN74" s="803">
        <v>1.201065795585031E-2</v>
      </c>
      <c r="BO74" s="804">
        <v>1.8358348788546513E-2</v>
      </c>
      <c r="BP74" s="803">
        <v>2.942779812050611E-2</v>
      </c>
      <c r="BQ74" s="803">
        <v>4.6216113621135292E-2</v>
      </c>
      <c r="BR74" s="803">
        <v>6.9599406792114807E-2</v>
      </c>
      <c r="BS74" s="803">
        <v>0.10265920902153763</v>
      </c>
      <c r="BT74" s="803">
        <v>0.14345721963552077</v>
      </c>
      <c r="BW74" s="1138">
        <f>'2018'!R\Max</f>
        <v>0</v>
      </c>
      <c r="BX74" s="1136">
        <f>'2019'!R\Max</f>
        <v>0.31964683155777507</v>
      </c>
      <c r="BY74" s="1136">
        <f>'2020'!R\Max</f>
        <v>0.3599856160773317</v>
      </c>
      <c r="BZ74" s="1136">
        <f>'2021'!R\Max</f>
        <v>0.87056949527678495</v>
      </c>
      <c r="CA74" s="1136">
        <f>'2022'!R\Max</f>
        <v>1.0049240409767168</v>
      </c>
      <c r="CB74" s="1136">
        <f>'2023'!R\Max</f>
        <v>1.0049240409767171</v>
      </c>
      <c r="CC74" s="1136">
        <f>'2024'!R\Max</f>
        <v>1.0049240409767168</v>
      </c>
      <c r="CD74" s="1136">
        <f>'2025'!R\Max</f>
        <v>1.0049240409767168</v>
      </c>
      <c r="CE74" s="1136">
        <f>'2026'!R\Max</f>
        <v>1.0049240409767168</v>
      </c>
      <c r="CF74" s="1137">
        <f>'2027'!R\Max</f>
        <v>1.0049240409767168</v>
      </c>
    </row>
    <row r="75" spans="1:84" s="6" customFormat="1" ht="11.25" x14ac:dyDescent="0.2">
      <c r="A75" s="11">
        <v>43161</v>
      </c>
      <c r="B75" s="380">
        <f>'2022'!Maxi_hp</f>
        <v>32.956677810715547</v>
      </c>
      <c r="C75" s="85">
        <f>'2022'!An_max</f>
        <v>2020</v>
      </c>
      <c r="D75" s="1089" t="str">
        <f t="shared" si="7"/>
        <v/>
      </c>
      <c r="E75" s="749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838">
        <f t="shared" si="9"/>
        <v>0.7857142857142857</v>
      </c>
      <c r="J75" s="829">
        <f t="shared" si="27"/>
        <v>46.750831723625637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838">
        <f t="shared" si="14"/>
        <v>0.8928571428571429</v>
      </c>
      <c r="AT75" s="855">
        <f t="shared" si="15"/>
        <v>46.744222280236762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838">
        <f t="shared" si="19"/>
        <v>0.39285714285714285</v>
      </c>
      <c r="AY75" s="855">
        <f t="shared" si="20"/>
        <v>46.808629578132454</v>
      </c>
      <c r="AZ75" s="829">
        <f t="shared" si="26"/>
        <v>46.776425929184612</v>
      </c>
      <c r="BA75" s="662">
        <f t="shared" si="21"/>
        <v>0.70494313353704074</v>
      </c>
      <c r="BB75" s="657">
        <v>43161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926">
        <f>1+[2]!Salcycl*Ksac</f>
        <v>1.0003806298694458</v>
      </c>
      <c r="BH75" s="1082">
        <f t="shared" si="22"/>
        <v>8.1858620362979789E-3</v>
      </c>
      <c r="BI75" s="11">
        <v>44257</v>
      </c>
      <c r="BJ75" s="803">
        <v>2.7439920288076032E-3</v>
      </c>
      <c r="BK75" s="803">
        <v>3.9738294312264442E-3</v>
      </c>
      <c r="BL75" s="803">
        <v>5.822415766186642E-3</v>
      </c>
      <c r="BM75" s="803">
        <v>8.1857227443225891E-3</v>
      </c>
      <c r="BN75" s="803">
        <v>1.1865245680763012E-2</v>
      </c>
      <c r="BO75" s="804">
        <v>1.818793656716752E-2</v>
      </c>
      <c r="BP75" s="803">
        <v>2.9264553939682348E-2</v>
      </c>
      <c r="BQ75" s="803">
        <v>4.6151113419017231E-2</v>
      </c>
      <c r="BR75" s="803">
        <v>6.952892804201663E-2</v>
      </c>
      <c r="BS75" s="803">
        <v>0.10166611686218197</v>
      </c>
      <c r="BT75" s="803">
        <v>0.14057662206189406</v>
      </c>
      <c r="BW75" s="1138">
        <f>'2018'!R\Max</f>
        <v>0</v>
      </c>
      <c r="BX75" s="1136">
        <f>'2019'!R\Max</f>
        <v>0.40732440687962151</v>
      </c>
      <c r="BY75" s="1136">
        <f>'2020'!R\Max</f>
        <v>0.70494313353704074</v>
      </c>
      <c r="BZ75" s="1136">
        <f>'2021'!R\Max</f>
        <v>0.38386059703020647</v>
      </c>
      <c r="CA75" s="1136">
        <f>'2022'!R\Max</f>
        <v>0.25157062420124504</v>
      </c>
      <c r="CB75" s="1136">
        <f>'2023'!R\Max</f>
        <v>0.25145730747320377</v>
      </c>
      <c r="CC75" s="1136">
        <f>'2024'!R\Max</f>
        <v>0.25134310752808647</v>
      </c>
      <c r="CD75" s="1136">
        <f>'2025'!R\Max</f>
        <v>0.25117035355422263</v>
      </c>
      <c r="CE75" s="1136">
        <f>'2026'!R\Max</f>
        <v>0.25174063805290853</v>
      </c>
      <c r="CF75" s="1137">
        <f>'2027'!R\Max</f>
        <v>0.25170299555918618</v>
      </c>
    </row>
    <row r="76" spans="1:84" s="6" customFormat="1" ht="11.25" x14ac:dyDescent="0.2">
      <c r="A76" s="11">
        <v>43162</v>
      </c>
      <c r="B76" s="380">
        <f>'2022'!Maxi_hp</f>
        <v>44.133139315873827</v>
      </c>
      <c r="C76" s="85">
        <f>'2022'!An_max</f>
        <v>2022</v>
      </c>
      <c r="D76" s="1089" t="str">
        <f t="shared" si="7"/>
        <v/>
      </c>
      <c r="E76" s="749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838">
        <f t="shared" si="9"/>
        <v>0.8571428571428571</v>
      </c>
      <c r="J76" s="829">
        <f t="shared" si="27"/>
        <v>47.059739067086149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838">
        <f t="shared" si="14"/>
        <v>0.9285714285714286</v>
      </c>
      <c r="AT76" s="855">
        <f t="shared" si="15"/>
        <v>47.058841654166045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838">
        <f t="shared" si="19"/>
        <v>0.42857142857142855</v>
      </c>
      <c r="AY76" s="855">
        <f t="shared" si="20"/>
        <v>47.127798833910909</v>
      </c>
      <c r="AZ76" s="829">
        <f t="shared" si="26"/>
        <v>47.09332024403848</v>
      </c>
      <c r="BA76" s="662">
        <f t="shared" si="21"/>
        <v>0.93781096518532969</v>
      </c>
      <c r="BB76" s="657">
        <v>43162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926">
        <f>1+[2]!Salcycl*Ksac</f>
        <v>1.0003934428640651</v>
      </c>
      <c r="BH76" s="1082">
        <f t="shared" si="22"/>
        <v>8.0349231798405689E-3</v>
      </c>
      <c r="BI76" s="11">
        <v>44258</v>
      </c>
      <c r="BJ76" s="803">
        <v>2.6435223069366971E-3</v>
      </c>
      <c r="BK76" s="803">
        <v>3.8543606938367899E-3</v>
      </c>
      <c r="BL76" s="803">
        <v>5.6912084423486921E-3</v>
      </c>
      <c r="BM76" s="803">
        <v>8.0347853244010503E-3</v>
      </c>
      <c r="BN76" s="803">
        <v>1.1676360872442906E-2</v>
      </c>
      <c r="BO76" s="804">
        <v>1.7966230970313055E-2</v>
      </c>
      <c r="BP76" s="803">
        <v>2.9040426955253006E-2</v>
      </c>
      <c r="BQ76" s="803">
        <v>4.6016931059387166E-2</v>
      </c>
      <c r="BR76" s="803">
        <v>6.9439457004589825E-2</v>
      </c>
      <c r="BS76" s="803">
        <v>0.10083120362965992</v>
      </c>
      <c r="BT76" s="803">
        <v>0.13815707783300682</v>
      </c>
      <c r="BW76" s="1138">
        <f>'2018'!R\Max</f>
        <v>0</v>
      </c>
      <c r="BX76" s="1136">
        <f>'2019'!R\Max</f>
        <v>0.84747505116527311</v>
      </c>
      <c r="BY76" s="1136">
        <f>'2020'!R\Max</f>
        <v>0.50678569980045873</v>
      </c>
      <c r="BZ76" s="1136">
        <f>'2021'!R\Max</f>
        <v>0.33443520345957134</v>
      </c>
      <c r="CA76" s="1136">
        <f>'2022'!R\Max</f>
        <v>0.93781096518532969</v>
      </c>
      <c r="CB76" s="1136">
        <f>'2023'!R\Max</f>
        <v>0.9377736826168136</v>
      </c>
      <c r="CC76" s="1136">
        <f>'2024'!R\Max</f>
        <v>0.93773606071102233</v>
      </c>
      <c r="CD76" s="1136">
        <f>'2025'!R\Max</f>
        <v>0.93767880114885138</v>
      </c>
      <c r="CE76" s="1136">
        <f>'2026'!R\Max</f>
        <v>0.93786652090510747</v>
      </c>
      <c r="CF76" s="1137">
        <f>'2027'!R\Max</f>
        <v>0.93785427936810273</v>
      </c>
    </row>
    <row r="77" spans="1:84" s="6" customFormat="1" ht="11.25" x14ac:dyDescent="0.2">
      <c r="A77" s="11">
        <v>43163</v>
      </c>
      <c r="B77" s="380">
        <f>'2022'!Maxi_hp</f>
        <v>33.323703114447028</v>
      </c>
      <c r="C77" s="85">
        <f>'2022'!An_max</f>
        <v>2021</v>
      </c>
      <c r="D77" s="1089" t="str">
        <f t="shared" si="7"/>
        <v/>
      </c>
      <c r="E77" s="749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838">
        <f t="shared" si="9"/>
        <v>0.9285714285714286</v>
      </c>
      <c r="J77" s="829">
        <f t="shared" si="27"/>
        <v>47.367425929462271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838">
        <f t="shared" si="14"/>
        <v>0.9642857142857143</v>
      </c>
      <c r="AT77" s="855">
        <f t="shared" si="15"/>
        <v>47.368884224677458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838">
        <f t="shared" si="19"/>
        <v>0.4642857142857143</v>
      </c>
      <c r="AY77" s="855">
        <f t="shared" si="20"/>
        <v>47.445065575019854</v>
      </c>
      <c r="AZ77" s="829">
        <f t="shared" si="26"/>
        <v>47.406974899848656</v>
      </c>
      <c r="BA77" s="662">
        <f t="shared" si="21"/>
        <v>0.70351517863924862</v>
      </c>
      <c r="BB77" s="657">
        <v>43163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926">
        <f>1+[2]!Salcycl*Ksac</f>
        <v>1.00040645432215</v>
      </c>
      <c r="BH77" s="1082">
        <f t="shared" si="22"/>
        <v>7.8531608379329744E-3</v>
      </c>
      <c r="BI77" s="11">
        <v>44259</v>
      </c>
      <c r="BJ77" s="803">
        <v>2.534507447054522E-3</v>
      </c>
      <c r="BK77" s="803">
        <v>3.7235486067365847E-3</v>
      </c>
      <c r="BL77" s="803">
        <v>5.5395444133284734E-3</v>
      </c>
      <c r="BM77" s="803">
        <v>7.8530248980918389E-3</v>
      </c>
      <c r="BN77" s="803">
        <v>1.1443998190208896E-2</v>
      </c>
      <c r="BO77" s="804">
        <v>1.7693224147185348E-2</v>
      </c>
      <c r="BP77" s="803">
        <v>2.8755405012962237E-2</v>
      </c>
      <c r="BQ77" s="803">
        <v>4.5813547972680703E-2</v>
      </c>
      <c r="BR77" s="803">
        <v>6.9330967540542243E-2</v>
      </c>
      <c r="BS77" s="803">
        <v>0.10015443500692883</v>
      </c>
      <c r="BT77" s="803">
        <v>0.13619854454814484</v>
      </c>
      <c r="BW77" s="1138">
        <f>'2018'!R\Max</f>
        <v>0</v>
      </c>
      <c r="BX77" s="1136">
        <f>'2019'!R\Max</f>
        <v>0.23697457554244716</v>
      </c>
      <c r="BY77" s="1136">
        <f>'2020'!R\Max</f>
        <v>0.11616089604410421</v>
      </c>
      <c r="BZ77" s="1136">
        <f>'2021'!R\Max</f>
        <v>0.70351517863924862</v>
      </c>
      <c r="CA77" s="1136">
        <f>'2022'!R\Max</f>
        <v>9.9554360586211976E-2</v>
      </c>
      <c r="CB77" s="1136">
        <f>'2023'!R\Max</f>
        <v>9.9510144897392239E-2</v>
      </c>
      <c r="CC77" s="1136">
        <f>'2024'!R\Max</f>
        <v>9.9465540452149989E-2</v>
      </c>
      <c r="CD77" s="1136">
        <f>'2025'!R\Max</f>
        <v>9.939735882050782E-2</v>
      </c>
      <c r="CE77" s="1136">
        <f>'2026'!R\Max</f>
        <v>9.9619871975480057E-2</v>
      </c>
      <c r="CF77" s="1137">
        <f>'2027'!R\Max</f>
        <v>9.9605518805922402E-2</v>
      </c>
    </row>
    <row r="78" spans="1:84" s="6" customFormat="1" ht="11.25" x14ac:dyDescent="0.2">
      <c r="A78" s="11">
        <v>43164</v>
      </c>
      <c r="B78" s="380">
        <f>'2022'!Maxi_hp</f>
        <v>47.032781812856342</v>
      </c>
      <c r="C78" s="85">
        <f>'2022'!An_max</f>
        <v>2019</v>
      </c>
      <c r="D78" s="1089">
        <f t="shared" si="7"/>
        <v>0.986549939447116</v>
      </c>
      <c r="E78" s="837">
        <f>R$13/10</f>
        <v>47.673999999999999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838">
        <f t="shared" si="9"/>
        <v>1</v>
      </c>
      <c r="J78" s="829">
        <f t="shared" si="27"/>
        <v>47.673999999649823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838">
        <f t="shared" si="14"/>
        <v>1</v>
      </c>
      <c r="AT78" s="855">
        <f t="shared" si="15"/>
        <v>47.673999999836084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838">
        <f t="shared" si="19"/>
        <v>0.5</v>
      </c>
      <c r="AY78" s="855">
        <f t="shared" si="20"/>
        <v>47.760187499877063</v>
      </c>
      <c r="AZ78" s="829">
        <f t="shared" si="26"/>
        <v>47.717093749856573</v>
      </c>
      <c r="BA78" s="662">
        <f t="shared" si="21"/>
        <v>0.986549939447116</v>
      </c>
      <c r="BB78" s="657">
        <v>43164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926">
        <f>1+[2]!Salcycl*Ksac</f>
        <v>1.0004198205828729</v>
      </c>
      <c r="BH78" s="1082">
        <f t="shared" si="22"/>
        <v>7.6405715684484373E-3</v>
      </c>
      <c r="BI78" s="11">
        <v>44260</v>
      </c>
      <c r="BJ78" s="803">
        <v>2.416946399727071E-3</v>
      </c>
      <c r="BK78" s="803">
        <v>3.5813916352192498E-3</v>
      </c>
      <c r="BL78" s="803">
        <v>5.3674212930854863E-3</v>
      </c>
      <c r="BM78" s="803">
        <v>7.6404380233274045E-3</v>
      </c>
      <c r="BN78" s="803">
        <v>1.1168152627931921E-2</v>
      </c>
      <c r="BO78" s="804">
        <v>1.7368908640059591E-2</v>
      </c>
      <c r="BP78" s="803">
        <v>2.8409476367454538E-2</v>
      </c>
      <c r="BQ78" s="803">
        <v>4.5540945875820284E-2</v>
      </c>
      <c r="BR78" s="803">
        <v>6.9203433667807623E-2</v>
      </c>
      <c r="BS78" s="803">
        <v>9.963577771392268E-2</v>
      </c>
      <c r="BT78" s="803">
        <v>0.13470098280648474</v>
      </c>
      <c r="BW78" s="1138">
        <f>'2018'!R\Max</f>
        <v>0</v>
      </c>
      <c r="BX78" s="1136">
        <f>'2019'!R\Max</f>
        <v>0.986549939447116</v>
      </c>
      <c r="BY78" s="1136">
        <f>'2020'!R\Max</f>
        <v>0.163838604485158</v>
      </c>
      <c r="BZ78" s="1136">
        <f>'2021'!R\Max</f>
        <v>0.80765815241190553</v>
      </c>
      <c r="CA78" s="1136">
        <f>'2022'!R\Max</f>
        <v>0.3517292560494909</v>
      </c>
      <c r="CB78" s="1136">
        <f>'2023'!R\Max</f>
        <v>0.35158581569209924</v>
      </c>
      <c r="CC78" s="1136">
        <f>'2024'!R\Max</f>
        <v>0.35144102501616731</v>
      </c>
      <c r="CD78" s="1136">
        <f>'2025'!R\Max</f>
        <v>0.35121841768806505</v>
      </c>
      <c r="CE78" s="1136">
        <f>'2026'!R\Max</f>
        <v>0.35194013781256805</v>
      </c>
      <c r="CF78" s="1137">
        <f>'2027'!R\Max</f>
        <v>0.3518943107532565</v>
      </c>
    </row>
    <row r="79" spans="1:84" s="6" customFormat="1" ht="11.25" x14ac:dyDescent="0.2">
      <c r="A79" s="11">
        <v>43165</v>
      </c>
      <c r="B79" s="380">
        <f>'2022'!Maxi_hp</f>
        <v>24.181479709212134</v>
      </c>
      <c r="C79" s="85">
        <f>'2022'!An_max</f>
        <v>2019</v>
      </c>
      <c r="D79" s="1089" t="str">
        <f t="shared" ref="D79:D142" si="59">IF($BA79&gt;$D$11,BA79,"")</f>
        <v/>
      </c>
      <c r="E79" s="749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838">
        <f t="shared" ref="I79:I142" si="62">($A79-H79)/(INDEX(x.2m,G79)-H79)</f>
        <v>0.9285714285714286</v>
      </c>
      <c r="J79" s="829">
        <f t="shared" ref="J79:J142" si="63">((1-I79)*(INDEX(a.m,F79)*$A79*$A79+INDEX(b.m,F79)*$A79+INDEX(c.m,F79))+I79*(INDEX(a.m,G79)*$A79*$A79+INDEX(b.m,G79)*$A79+INDEX(c.m,G79)))/10</f>
        <v>47.979999726451936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838">
        <f t="shared" ref="AS79:AS142" si="67">($A79-AR79)/(INDEX(x.2lg,AQ79)-AR79)</f>
        <v>0.9642857142857143</v>
      </c>
      <c r="AT79" s="855">
        <f t="shared" ref="AT79:AT142" si="68">((1-AS79)*(INDEX(a.lg,AP79)*$A79*$A79+INDEX(b.lg,AP79)*$A79+INDEX(c.lg,AP79))+AS79*(INDEX(a.lg,AQ79)*$A79*$A79+INDEX(b.lg,AQ79)*$A79+INDEX(c.lg,AQ79)))/10</f>
        <v>47.976984420072824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838">
        <f t="shared" ref="AX79:AX142" si="72">($A79-AW79)/(INDEX(x.2ld,AV79)-AW79)</f>
        <v>0.5357142857142857</v>
      </c>
      <c r="AY79" s="855">
        <f t="shared" ref="AY79:AY142" si="73">((1-AX79)*(INDEX(a.ld,AU79)*$A79*$A79+INDEX(b.ld,AU79)*$A79+INDEX(c.ld,AU79))+AX79*(INDEX(a.ld,AV79)*$A79*$A79+INDEX(b.ld,AV79)*$A79+INDEX(c.ld,AV79)))/10</f>
        <v>48.072922307658679</v>
      </c>
      <c r="AZ79" s="829">
        <f t="shared" si="26"/>
        <v>48.024953363865748</v>
      </c>
      <c r="BA79" s="662">
        <f t="shared" ref="BA79:BA142" si="74">+B79/J79</f>
        <v>0.50399082632509062</v>
      </c>
      <c r="BB79" s="657">
        <v>43165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926">
        <f>1+[2]!Salcycl*Ksac</f>
        <v>1.0004337175124713</v>
      </c>
      <c r="BH79" s="1082">
        <f t="shared" ref="BH79:BH142" si="75">INDEX($BJ79:$BT79,,$BH$10)*(1-Ratini)+INDEX($BJ79:$BT79,,$BH$10+1)*Ratini</f>
        <v>7.3971523056410226E-3</v>
      </c>
      <c r="BI79" s="11">
        <v>44261</v>
      </c>
      <c r="BJ79" s="803">
        <v>2.2908383066181236E-3</v>
      </c>
      <c r="BK79" s="803">
        <v>3.4278884776864685E-3</v>
      </c>
      <c r="BL79" s="803">
        <v>5.1748369912977292E-3</v>
      </c>
      <c r="BM79" s="803">
        <v>7.3970216344165169E-3</v>
      </c>
      <c r="BN79" s="803">
        <v>1.0848819674842561E-2</v>
      </c>
      <c r="BO79" s="804">
        <v>1.6993277574016821E-2</v>
      </c>
      <c r="BP79" s="803">
        <v>2.8002629907472109E-2</v>
      </c>
      <c r="BQ79" s="803">
        <v>4.5199107028102432E-2</v>
      </c>
      <c r="BR79" s="803">
        <v>6.9056829631728309E-2</v>
      </c>
      <c r="BS79" s="803">
        <v>9.9275198922204308E-2</v>
      </c>
      <c r="BT79" s="803">
        <v>0.13366435450111816</v>
      </c>
      <c r="BW79" s="1138">
        <f>'2018'!R\Max</f>
        <v>0</v>
      </c>
      <c r="BX79" s="1136">
        <f>'2019'!R\Max</f>
        <v>0.50399082632509062</v>
      </c>
      <c r="BY79" s="1136">
        <f>'2020'!R\Max</f>
        <v>0.23138649290668198</v>
      </c>
      <c r="BZ79" s="1136">
        <f>'2021'!R\Max</f>
        <v>0.24460624315329946</v>
      </c>
      <c r="CA79" s="1136">
        <f>'2022'!R\Max</f>
        <v>0.49493908975283107</v>
      </c>
      <c r="CB79" s="1136">
        <f>'2023'!R\Max</f>
        <v>0.4947832391097246</v>
      </c>
      <c r="CC79" s="1136">
        <f>'2024'!R\Max</f>
        <v>0.49462580011650531</v>
      </c>
      <c r="CD79" s="1136">
        <f>'2025'!R\Max</f>
        <v>0.49438222749637339</v>
      </c>
      <c r="CE79" s="1136">
        <f>'2026'!R\Max</f>
        <v>0.49516618584342481</v>
      </c>
      <c r="CF79" s="1137">
        <f>'2027'!R\Max</f>
        <v>0.49511734289111442</v>
      </c>
    </row>
    <row r="80" spans="1:84" s="6" customFormat="1" ht="11.25" x14ac:dyDescent="0.2">
      <c r="A80" s="11">
        <v>43166</v>
      </c>
      <c r="B80" s="380">
        <f>'2022'!Maxi_hp</f>
        <v>43.018931785268983</v>
      </c>
      <c r="C80" s="85">
        <f>'2022'!An_max</f>
        <v>2019</v>
      </c>
      <c r="D80" s="1089" t="str">
        <f t="shared" si="59"/>
        <v/>
      </c>
      <c r="E80" s="749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838">
        <f t="shared" si="62"/>
        <v>0.8571428571428571</v>
      </c>
      <c r="J80" s="829">
        <f t="shared" si="63"/>
        <v>48.285676384610788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838">
        <f t="shared" si="67"/>
        <v>0.9285714285714286</v>
      </c>
      <c r="AT80" s="855">
        <f t="shared" si="68"/>
        <v>48.280650874679644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838">
        <f t="shared" si="72"/>
        <v>0.5714285714285714</v>
      </c>
      <c r="AY80" s="855">
        <f t="shared" si="73"/>
        <v>48.383027696476447</v>
      </c>
      <c r="AZ80" s="829">
        <f t="shared" ref="AZ80:AZ143" si="77">(AY80+AT80)/2</f>
        <v>48.331839285578042</v>
      </c>
      <c r="BA80" s="662">
        <f t="shared" si="74"/>
        <v>0.89092532208950526</v>
      </c>
      <c r="BB80" s="657">
        <v>43166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926">
        <f>1+[2]!Salcycl*Ksac</f>
        <v>1.0004483401586133</v>
      </c>
      <c r="BH80" s="1082">
        <f t="shared" si="75"/>
        <v>7.1259560539713345E-3</v>
      </c>
      <c r="BI80" s="11">
        <v>44262</v>
      </c>
      <c r="BJ80" s="803">
        <v>2.1596488657016182E-3</v>
      </c>
      <c r="BK80" s="803">
        <v>3.2665097768326524E-3</v>
      </c>
      <c r="BL80" s="803">
        <v>4.9653031909473863E-3</v>
      </c>
      <c r="BM80" s="803">
        <v>7.1258287257863623E-3</v>
      </c>
      <c r="BN80" s="803">
        <v>1.048931736717495E-2</v>
      </c>
      <c r="BO80" s="804">
        <v>1.6565140425539252E-2</v>
      </c>
      <c r="BP80" s="803">
        <v>2.7528827515653869E-2</v>
      </c>
      <c r="BQ80" s="803">
        <v>4.4771919028290051E-2</v>
      </c>
      <c r="BR80" s="803">
        <v>6.8851563229480273E-2</v>
      </c>
      <c r="BS80" s="803">
        <v>9.9008181777767559E-2</v>
      </c>
      <c r="BT80" s="803">
        <v>0.13300107031017708</v>
      </c>
      <c r="BW80" s="1138">
        <f>'2018'!R\Max</f>
        <v>0</v>
      </c>
      <c r="BX80" s="1136">
        <f>'2019'!R\Max</f>
        <v>0.89092532208950526</v>
      </c>
      <c r="BY80" s="1136">
        <f>'2020'!R\Max</f>
        <v>0.38932587787994505</v>
      </c>
      <c r="BZ80" s="1136">
        <f>'2021'!R\Max</f>
        <v>0.18362077915803759</v>
      </c>
      <c r="CA80" s="1136">
        <f>'2022'!R\Max</f>
        <v>0.74650189760418706</v>
      </c>
      <c r="CB80" s="1136">
        <f>'2023'!R\Max</f>
        <v>0.74638510848427042</v>
      </c>
      <c r="CC80" s="1136">
        <f>'2024'!R\Max</f>
        <v>0.74626701798772521</v>
      </c>
      <c r="CD80" s="1136">
        <f>'2025'!R\Max</f>
        <v>0.74608310557055069</v>
      </c>
      <c r="CE80" s="1136">
        <f>'2026'!R\Max</f>
        <v>0.74667034344084515</v>
      </c>
      <c r="CF80" s="1137">
        <f>'2027'!R\Max</f>
        <v>0.74663454968678034</v>
      </c>
    </row>
    <row r="81" spans="1:84" s="6" customFormat="1" ht="11.25" x14ac:dyDescent="0.2">
      <c r="A81" s="11">
        <v>43167</v>
      </c>
      <c r="B81" s="380">
        <f>'2022'!Maxi_hp</f>
        <v>34.580370202974152</v>
      </c>
      <c r="C81" s="85">
        <f>'2022'!An_max</f>
        <v>2022</v>
      </c>
      <c r="D81" s="1089" t="str">
        <f t="shared" si="59"/>
        <v/>
      </c>
      <c r="E81" s="749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838">
        <f t="shared" si="62"/>
        <v>0.7857142857142857</v>
      </c>
      <c r="J81" s="829">
        <f t="shared" si="63"/>
        <v>48.590706905988711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838">
        <f t="shared" si="67"/>
        <v>0.8928571428571429</v>
      </c>
      <c r="AT81" s="855">
        <f t="shared" si="68"/>
        <v>48.58467629343005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838">
        <f t="shared" si="72"/>
        <v>0.6071428571428571</v>
      </c>
      <c r="AY81" s="855">
        <f t="shared" si="73"/>
        <v>48.69026136587906</v>
      </c>
      <c r="AZ81" s="829">
        <f t="shared" si="77"/>
        <v>48.637468829654551</v>
      </c>
      <c r="BA81" s="662">
        <f t="shared" si="74"/>
        <v>0.71166633302698845</v>
      </c>
      <c r="BB81" s="657">
        <v>43167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926">
        <f>1+[2]!Salcycl*Ksac</f>
        <v>1.0004639022839323</v>
      </c>
      <c r="BH81" s="1082">
        <f t="shared" si="75"/>
        <v>6.8392096840997852E-3</v>
      </c>
      <c r="BI81" s="11">
        <v>44263</v>
      </c>
      <c r="BJ81" s="803">
        <v>2.0328031428347012E-3</v>
      </c>
      <c r="BK81" s="803">
        <v>3.1072544623642917E-3</v>
      </c>
      <c r="BL81" s="803">
        <v>4.7497102938500136E-3</v>
      </c>
      <c r="BM81" s="803">
        <v>6.8390860311048568E-3</v>
      </c>
      <c r="BN81" s="803">
        <v>1.0105491218668062E-2</v>
      </c>
      <c r="BO81" s="804">
        <v>1.6102337729039448E-2</v>
      </c>
      <c r="BP81" s="803">
        <v>2.7009717352246027E-2</v>
      </c>
      <c r="BQ81" s="803">
        <v>4.4282098157846367E-2</v>
      </c>
      <c r="BR81" s="803">
        <v>6.8553949850199067E-2</v>
      </c>
      <c r="BS81" s="803">
        <v>9.8679861059649362E-2</v>
      </c>
      <c r="BT81" s="803">
        <v>0.13237274822649334</v>
      </c>
      <c r="BW81" s="1138">
        <f>'2018'!R\Max</f>
        <v>0</v>
      </c>
      <c r="BX81" s="1136">
        <f>'2019'!R\Max</f>
        <v>0.54779003201369503</v>
      </c>
      <c r="BY81" s="1136">
        <f>'2020'!R\Max</f>
        <v>0.65319164561043641</v>
      </c>
      <c r="BZ81" s="1136">
        <f>'2021'!R\Max</f>
        <v>0.42545500144443987</v>
      </c>
      <c r="CA81" s="1136">
        <f>'2022'!R\Max</f>
        <v>0.71166633302698845</v>
      </c>
      <c r="CB81" s="1136">
        <f>'2023'!R\Max</f>
        <v>0.71154111353285732</v>
      </c>
      <c r="CC81" s="1136">
        <f>'2024'!R\Max</f>
        <v>0.7114144204279218</v>
      </c>
      <c r="CD81" s="1136">
        <f>'2025'!R\Max</f>
        <v>0.7112158993570028</v>
      </c>
      <c r="CE81" s="1136">
        <f>'2026'!R\Max</f>
        <v>0.71184498009284269</v>
      </c>
      <c r="CF81" s="1137">
        <f>'2027'!R\Max</f>
        <v>0.71180751441688728</v>
      </c>
    </row>
    <row r="82" spans="1:84" s="6" customFormat="1" ht="11.25" x14ac:dyDescent="0.2">
      <c r="A82" s="11">
        <v>43168</v>
      </c>
      <c r="B82" s="380">
        <f>'2022'!Maxi_hp</f>
        <v>44.616353864796501</v>
      </c>
      <c r="C82" s="85">
        <f>'2022'!An_max</f>
        <v>2021</v>
      </c>
      <c r="D82" s="1089" t="str">
        <f t="shared" si="59"/>
        <v/>
      </c>
      <c r="E82" s="749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838">
        <f t="shared" si="62"/>
        <v>0.7142857142857143</v>
      </c>
      <c r="J82" s="829">
        <f t="shared" si="63"/>
        <v>48.894768221569919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838">
        <f t="shared" si="67"/>
        <v>0.8571428571428571</v>
      </c>
      <c r="AT82" s="855">
        <f t="shared" si="68"/>
        <v>48.88873760934387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838">
        <f t="shared" si="72"/>
        <v>0.6428571428571429</v>
      </c>
      <c r="AY82" s="855">
        <f t="shared" si="73"/>
        <v>48.994381013060249</v>
      </c>
      <c r="AZ82" s="829">
        <f t="shared" si="77"/>
        <v>48.941559311202056</v>
      </c>
      <c r="BA82" s="662">
        <f t="shared" si="74"/>
        <v>0.91249750203568825</v>
      </c>
      <c r="BB82" s="657">
        <v>43168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926">
        <f>1+[2]!Salcycl*Ksac</f>
        <v>1.0004806357855138</v>
      </c>
      <c r="BH82" s="1082">
        <f t="shared" si="75"/>
        <v>6.5369119802057164E-3</v>
      </c>
      <c r="BI82" s="11">
        <v>44264</v>
      </c>
      <c r="BJ82" s="803">
        <v>1.9103010683553421E-3</v>
      </c>
      <c r="BK82" s="803">
        <v>2.9501222115268489E-3</v>
      </c>
      <c r="BL82" s="803">
        <v>4.528057581725399E-3</v>
      </c>
      <c r="BM82" s="803">
        <v>6.5367923345814359E-3</v>
      </c>
      <c r="BN82" s="803">
        <v>9.6973392185758095E-3</v>
      </c>
      <c r="BO82" s="804">
        <v>1.5604865562866077E-2</v>
      </c>
      <c r="BP82" s="803">
        <v>2.6445291650567398E-2</v>
      </c>
      <c r="BQ82" s="803">
        <v>4.372962995637969E-2</v>
      </c>
      <c r="BR82" s="803">
        <v>6.8163964812971586E-2</v>
      </c>
      <c r="BS82" s="803">
        <v>9.8290201378047767E-2</v>
      </c>
      <c r="BT82" s="803">
        <v>0.13177934278438924</v>
      </c>
      <c r="BW82" s="1138">
        <f>'2018'!R\Max</f>
        <v>0</v>
      </c>
      <c r="BX82" s="1136">
        <f>'2019'!R\Max</f>
        <v>0.40724748512774644</v>
      </c>
      <c r="BY82" s="1136">
        <f>'2020'!R\Max</f>
        <v>0.73817112516304573</v>
      </c>
      <c r="BZ82" s="1136">
        <f>'2021'!R\Max</f>
        <v>0.91249750203568825</v>
      </c>
      <c r="CA82" s="1136">
        <f>'2022'!R\Max</f>
        <v>0.74661511764713873</v>
      </c>
      <c r="CB82" s="1136">
        <f>'2023'!R\Max</f>
        <v>0.74650106805838234</v>
      </c>
      <c r="CC82" s="1136">
        <f>'2024'!R\Max</f>
        <v>0.74638559075813071</v>
      </c>
      <c r="CD82" s="1136">
        <f>'2025'!R\Max</f>
        <v>0.74620351986109401</v>
      </c>
      <c r="CE82" s="1136">
        <f>'2026'!R\Max</f>
        <v>0.7467758568599826</v>
      </c>
      <c r="CF82" s="1137">
        <f>'2027'!R\Max</f>
        <v>0.74674263706877475</v>
      </c>
    </row>
    <row r="83" spans="1:84" s="6" customFormat="1" ht="11.25" x14ac:dyDescent="0.2">
      <c r="A83" s="11">
        <v>43169</v>
      </c>
      <c r="B83" s="380">
        <f>'2022'!Maxi_hp</f>
        <v>45.293809105395539</v>
      </c>
      <c r="C83" s="85">
        <f>'2022'!An_max</f>
        <v>2021</v>
      </c>
      <c r="D83" s="1089" t="str">
        <f t="shared" si="59"/>
        <v/>
      </c>
      <c r="E83" s="749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838">
        <f t="shared" si="62"/>
        <v>0.6428571428571429</v>
      </c>
      <c r="J83" s="829">
        <f t="shared" si="63"/>
        <v>49.197537263030448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838">
        <f t="shared" si="67"/>
        <v>0.8214285714285714</v>
      </c>
      <c r="AT83" s="855">
        <f t="shared" si="68"/>
        <v>49.192511752833212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838">
        <f t="shared" si="72"/>
        <v>0.6785714285714286</v>
      </c>
      <c r="AY83" s="855">
        <f t="shared" si="73"/>
        <v>49.29514433773501</v>
      </c>
      <c r="AZ83" s="829">
        <f t="shared" si="77"/>
        <v>49.243828045284111</v>
      </c>
      <c r="BA83" s="662">
        <f t="shared" si="74"/>
        <v>0.92065195993929616</v>
      </c>
      <c r="BB83" s="657">
        <v>43169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926">
        <f>1+[2]!Salcycl*Ksac</f>
        <v>1.0004987900079874</v>
      </c>
      <c r="BH83" s="1082">
        <f t="shared" si="75"/>
        <v>6.2190623428844075E-3</v>
      </c>
      <c r="BI83" s="11">
        <v>44265</v>
      </c>
      <c r="BJ83" s="803">
        <v>1.7921427065704135E-3</v>
      </c>
      <c r="BK83" s="803">
        <v>2.7951129109218577E-3</v>
      </c>
      <c r="BL83" s="803">
        <v>4.3003447301334652E-3</v>
      </c>
      <c r="BM83" s="803">
        <v>6.2189470368319314E-3</v>
      </c>
      <c r="BN83" s="803">
        <v>9.2648602246242235E-3</v>
      </c>
      <c r="BO83" s="804">
        <v>1.5072721118456785E-2</v>
      </c>
      <c r="BP83" s="803">
        <v>2.5835543971752296E-2</v>
      </c>
      <c r="BQ83" s="803">
        <v>4.3114501461913333E-2</v>
      </c>
      <c r="BR83" s="803">
        <v>6.7681585017889165E-2</v>
      </c>
      <c r="BS83" s="803">
        <v>9.7839168585485803E-2</v>
      </c>
      <c r="BT83" s="803">
        <v>0.13122080901402883</v>
      </c>
      <c r="BW83" s="1138">
        <f>'2018'!R\Max</f>
        <v>0</v>
      </c>
      <c r="BX83" s="1136">
        <f>'2019'!R\Max</f>
        <v>0.27377506727541695</v>
      </c>
      <c r="BY83" s="1136">
        <f>'2020'!R\Max</f>
        <v>0.53801548898239271</v>
      </c>
      <c r="BZ83" s="1136">
        <f>'2021'!R\Max</f>
        <v>0.92065195993929616</v>
      </c>
      <c r="CA83" s="1136">
        <f>'2022'!R\Max</f>
        <v>0.53697601772063308</v>
      </c>
      <c r="CB83" s="1136">
        <f>'2023'!R\Max</f>
        <v>0.53682810104380807</v>
      </c>
      <c r="CC83" s="1136">
        <f>'2024'!R\Max</f>
        <v>0.53667825973769856</v>
      </c>
      <c r="CD83" s="1136">
        <f>'2025'!R\Max</f>
        <v>0.53644063464379255</v>
      </c>
      <c r="CE83" s="1136">
        <f>'2026'!R\Max</f>
        <v>0.53718176849990718</v>
      </c>
      <c r="CF83" s="1137">
        <f>'2027'!R\Max</f>
        <v>0.53713992827310875</v>
      </c>
    </row>
    <row r="84" spans="1:84" s="6" customFormat="1" ht="11.25" x14ac:dyDescent="0.2">
      <c r="A84" s="11">
        <v>43170</v>
      </c>
      <c r="B84" s="380">
        <f>'2022'!Maxi_hp</f>
        <v>36.273412618426136</v>
      </c>
      <c r="C84" s="85">
        <f>'2022'!An_max</f>
        <v>2021</v>
      </c>
      <c r="D84" s="1089" t="str">
        <f t="shared" si="59"/>
        <v/>
      </c>
      <c r="E84" s="749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838">
        <f t="shared" si="62"/>
        <v>0.5714285714285714</v>
      </c>
      <c r="J84" s="829">
        <f t="shared" si="63"/>
        <v>49.498690962259261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838">
        <f t="shared" si="67"/>
        <v>0.7857142857142857</v>
      </c>
      <c r="AT84" s="855">
        <f t="shared" si="68"/>
        <v>49.49567565569388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838">
        <f t="shared" si="72"/>
        <v>0.7142857142857143</v>
      </c>
      <c r="AY84" s="855">
        <f t="shared" si="73"/>
        <v>49.592309037808853</v>
      </c>
      <c r="AZ84" s="829">
        <f t="shared" si="77"/>
        <v>49.543992346751367</v>
      </c>
      <c r="BA84" s="662">
        <f t="shared" si="74"/>
        <v>0.73281559397364948</v>
      </c>
      <c r="BB84" s="657">
        <v>43170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926">
        <f>1+[2]!Salcycl*Ksac</f>
        <v>1.0005186309586496</v>
      </c>
      <c r="BH84" s="1082">
        <f t="shared" si="75"/>
        <v>5.8856608466023178E-3</v>
      </c>
      <c r="BI84" s="11">
        <v>44266</v>
      </c>
      <c r="BJ84" s="803">
        <v>1.6783282396635986E-3</v>
      </c>
      <c r="BK84" s="803">
        <v>2.6422266486180279E-3</v>
      </c>
      <c r="BL84" s="803">
        <v>4.0665718308392808E-3</v>
      </c>
      <c r="BM84" s="803">
        <v>5.8855502123325854E-3</v>
      </c>
      <c r="BN84" s="803">
        <v>8.8080540528918567E-3</v>
      </c>
      <c r="BO84" s="804">
        <v>1.4505902828420519E-2</v>
      </c>
      <c r="BP84" s="803">
        <v>2.5180469372103154E-2</v>
      </c>
      <c r="BQ84" s="803">
        <v>4.2436701442177059E-2</v>
      </c>
      <c r="BR84" s="803">
        <v>6.7106789287053173E-2</v>
      </c>
      <c r="BS84" s="803">
        <v>9.7326730002701756E-2</v>
      </c>
      <c r="BT84" s="803">
        <v>0.13069710231086459</v>
      </c>
      <c r="BW84" s="1138">
        <f>'2018'!R\Max</f>
        <v>0</v>
      </c>
      <c r="BX84" s="1136">
        <f>'2019'!R\Max</f>
        <v>0.71134930766101345</v>
      </c>
      <c r="BY84" s="1136">
        <f>'2020'!R\Max</f>
        <v>0.71653666858979548</v>
      </c>
      <c r="BZ84" s="1136">
        <f>'2021'!R\Max</f>
        <v>0.73281559397364948</v>
      </c>
      <c r="CA84" s="1136">
        <f>'2022'!R\Max</f>
        <v>0.35582200513922041</v>
      </c>
      <c r="CB84" s="1136">
        <f>'2023'!R\Max</f>
        <v>0.35568756378402439</v>
      </c>
      <c r="CC84" s="1136">
        <f>'2024'!R\Max</f>
        <v>0.35555129543941877</v>
      </c>
      <c r="CD84" s="1136">
        <f>'2025'!R\Max</f>
        <v>0.35533392780683931</v>
      </c>
      <c r="CE84" s="1136">
        <f>'2026'!R\Max</f>
        <v>0.35600630288019519</v>
      </c>
      <c r="CF84" s="1137">
        <f>'2027'!R\Max</f>
        <v>0.355969499455564</v>
      </c>
    </row>
    <row r="85" spans="1:84" s="6" customFormat="1" ht="11.25" x14ac:dyDescent="0.2">
      <c r="A85" s="11">
        <v>43171</v>
      </c>
      <c r="B85" s="380">
        <f>'2022'!Maxi_hp</f>
        <v>43.935491435363161</v>
      </c>
      <c r="C85" s="85">
        <f>'2022'!An_max</f>
        <v>2019</v>
      </c>
      <c r="D85" s="1089" t="str">
        <f t="shared" si="59"/>
        <v/>
      </c>
      <c r="E85" s="749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838">
        <f t="shared" si="62"/>
        <v>0.5</v>
      </c>
      <c r="J85" s="829">
        <f t="shared" si="63"/>
        <v>49.797906250320374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838">
        <f t="shared" si="67"/>
        <v>0.75</v>
      </c>
      <c r="AT85" s="855">
        <f t="shared" si="68"/>
        <v>49.797906250227243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838">
        <f t="shared" si="72"/>
        <v>0.75</v>
      </c>
      <c r="AY85" s="855">
        <f t="shared" si="73"/>
        <v>49.885632812883706</v>
      </c>
      <c r="AZ85" s="829">
        <f t="shared" si="77"/>
        <v>49.841769531555471</v>
      </c>
      <c r="BA85" s="662">
        <f t="shared" si="74"/>
        <v>0.88227587751403713</v>
      </c>
      <c r="BB85" s="657">
        <v>43171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926">
        <f>1+[2]!Salcycl*Ksac</f>
        <v>1.0005404404336715</v>
      </c>
      <c r="BH85" s="1082">
        <f t="shared" si="75"/>
        <v>5.5367082971844415E-3</v>
      </c>
      <c r="BI85" s="11">
        <v>44267</v>
      </c>
      <c r="BJ85" s="803">
        <v>1.5688579516128516E-3</v>
      </c>
      <c r="BK85" s="803">
        <v>2.4914637062769338E-3</v>
      </c>
      <c r="BL85" s="803">
        <v>3.8267394142003706E-3</v>
      </c>
      <c r="BM85" s="803">
        <v>5.5366026669061751E-3</v>
      </c>
      <c r="BN85" s="803">
        <v>8.3269215677375611E-3</v>
      </c>
      <c r="BO85" s="804">
        <v>1.3904410494695194E-2</v>
      </c>
      <c r="BP85" s="803">
        <v>2.4480064570569334E-2</v>
      </c>
      <c r="BQ85" s="803">
        <v>4.1696220626105618E-2</v>
      </c>
      <c r="BR85" s="803">
        <v>6.6439558705900903E-2</v>
      </c>
      <c r="BS85" s="803">
        <v>9.6752854645000039E-2</v>
      </c>
      <c r="BT85" s="803">
        <v>0.13020817830570253</v>
      </c>
      <c r="BW85" s="1138">
        <f>'2018'!R\Max</f>
        <v>0</v>
      </c>
      <c r="BX85" s="1136">
        <f>'2019'!R\Max</f>
        <v>0.88227587751403713</v>
      </c>
      <c r="BY85" s="1136">
        <f>'2020'!R\Max</f>
        <v>0.85874606431187817</v>
      </c>
      <c r="BZ85" s="1136">
        <f>'2021'!R\Max</f>
        <v>0.62391702284018069</v>
      </c>
      <c r="CA85" s="1136">
        <f>'2022'!R\Max</f>
        <v>0.29207524843511212</v>
      </c>
      <c r="CB85" s="1136">
        <f>'2023'!R\Max</f>
        <v>0.29195709323493735</v>
      </c>
      <c r="CC85" s="1136">
        <f>'2024'!R\Max</f>
        <v>0.29183724031634051</v>
      </c>
      <c r="CD85" s="1136">
        <f>'2025'!R\Max</f>
        <v>0.29164489492092688</v>
      </c>
      <c r="CE85" s="1136">
        <f>'2026'!R\Max</f>
        <v>0.29223459898361165</v>
      </c>
      <c r="CF85" s="1137">
        <f>'2027'!R\Max</f>
        <v>0.29220342448736653</v>
      </c>
    </row>
    <row r="86" spans="1:84" s="6" customFormat="1" ht="11.25" x14ac:dyDescent="0.2">
      <c r="A86" s="11">
        <v>43172</v>
      </c>
      <c r="B86" s="380">
        <f>'2022'!Maxi_hp</f>
        <v>42.800557177693996</v>
      </c>
      <c r="C86" s="85">
        <f>'2022'!An_max</f>
        <v>2021</v>
      </c>
      <c r="D86" s="1089" t="str">
        <f t="shared" si="59"/>
        <v/>
      </c>
      <c r="E86" s="749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838">
        <f t="shared" si="62"/>
        <v>0.42857142857142855</v>
      </c>
      <c r="J86" s="829">
        <f t="shared" si="63"/>
        <v>50.094860058410887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838">
        <f t="shared" si="67"/>
        <v>0.7142857142857143</v>
      </c>
      <c r="AT86" s="855">
        <f t="shared" si="68"/>
        <v>50.098880466765593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838">
        <f t="shared" si="72"/>
        <v>0.7857142857142857</v>
      </c>
      <c r="AY86" s="855">
        <f t="shared" si="73"/>
        <v>50.174873360139983</v>
      </c>
      <c r="AZ86" s="829">
        <f t="shared" si="77"/>
        <v>50.136876913452788</v>
      </c>
      <c r="BA86" s="662">
        <f t="shared" si="74"/>
        <v>0.85439019348069456</v>
      </c>
      <c r="BB86" s="657">
        <v>43172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926">
        <f>1+[2]!Salcycl*Ksac</f>
        <v>1.00056451506495</v>
      </c>
      <c r="BH86" s="1082">
        <f t="shared" si="75"/>
        <v>5.182686853772306E-3</v>
      </c>
      <c r="BI86" s="11">
        <v>44268</v>
      </c>
      <c r="BJ86" s="803">
        <v>1.4645337790184475E-3</v>
      </c>
      <c r="BK86" s="803">
        <v>2.3444493086341618E-3</v>
      </c>
      <c r="BL86" s="803">
        <v>3.5864784557136631E-3</v>
      </c>
      <c r="BM86" s="803">
        <v>5.1825863475060295E-3</v>
      </c>
      <c r="BN86" s="803">
        <v>7.8375498583869562E-3</v>
      </c>
      <c r="BO86" s="804">
        <v>1.3286657715462247E-2</v>
      </c>
      <c r="BP86" s="803">
        <v>2.3752224106892431E-2</v>
      </c>
      <c r="BQ86" s="803">
        <v>4.0907484315377364E-2</v>
      </c>
      <c r="BR86" s="803">
        <v>6.5693007054824212E-2</v>
      </c>
      <c r="BS86" s="803">
        <v>9.6129154322434893E-2</v>
      </c>
      <c r="BT86" s="803">
        <v>0.1297642223769381</v>
      </c>
      <c r="BW86" s="1138">
        <f>'2018'!R\Max</f>
        <v>0</v>
      </c>
      <c r="BX86" s="1136">
        <f>'2019'!R\Max</f>
        <v>0.52391456710441264</v>
      </c>
      <c r="BY86" s="1136">
        <f>'2020'!R\Max</f>
        <v>0.33651684122561393</v>
      </c>
      <c r="BZ86" s="1136">
        <f>'2021'!R\Max</f>
        <v>0.85439019348069456</v>
      </c>
      <c r="CA86" s="1136">
        <f>'2022'!R\Max</f>
        <v>0.27333476076232027</v>
      </c>
      <c r="CB86" s="1136">
        <f>'2023'!R\Max</f>
        <v>0.27322595432563007</v>
      </c>
      <c r="CC86" s="1136">
        <f>'2024'!R\Max</f>
        <v>0.27311548751307929</v>
      </c>
      <c r="CD86" s="1136">
        <f>'2025'!R\Max</f>
        <v>0.27293713092309974</v>
      </c>
      <c r="CE86" s="1136">
        <f>'2026'!R\Max</f>
        <v>0.27347898600644932</v>
      </c>
      <c r="CF86" s="1137">
        <f>'2027'!R\Max</f>
        <v>0.27345138338004982</v>
      </c>
    </row>
    <row r="87" spans="1:84" s="6" customFormat="1" ht="11.25" x14ac:dyDescent="0.2">
      <c r="A87" s="11">
        <v>43173</v>
      </c>
      <c r="B87" s="380">
        <f>'2022'!Maxi_hp</f>
        <v>36.891466840324576</v>
      </c>
      <c r="C87" s="85">
        <f>'2022'!An_max</f>
        <v>2020</v>
      </c>
      <c r="D87" s="1089" t="str">
        <f t="shared" si="59"/>
        <v/>
      </c>
      <c r="E87" s="749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838">
        <f t="shared" si="62"/>
        <v>0.35714285714285715</v>
      </c>
      <c r="J87" s="829">
        <f t="shared" si="63"/>
        <v>50.389229318885398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838">
        <f t="shared" si="67"/>
        <v>0.6785714285714286</v>
      </c>
      <c r="AT87" s="855">
        <f t="shared" si="68"/>
        <v>50.398275236838629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838">
        <f t="shared" si="72"/>
        <v>0.8214285714285714</v>
      </c>
      <c r="AY87" s="855">
        <f t="shared" si="73"/>
        <v>50.459788379259408</v>
      </c>
      <c r="AZ87" s="829">
        <f t="shared" si="77"/>
        <v>50.429031808049018</v>
      </c>
      <c r="BA87" s="662">
        <f t="shared" si="74"/>
        <v>0.73213000752321511</v>
      </c>
      <c r="BB87" s="657">
        <v>43173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926">
        <f>1+[2]!Salcycl*Ksac</f>
        <v>1.0005911652975332</v>
      </c>
      <c r="BH87" s="1082">
        <f t="shared" si="75"/>
        <v>4.8421902896809378E-3</v>
      </c>
      <c r="BI87" s="11">
        <v>44269</v>
      </c>
      <c r="BJ87" s="803">
        <v>1.3644743754794941E-3</v>
      </c>
      <c r="BK87" s="803">
        <v>2.2025258999528526E-3</v>
      </c>
      <c r="BL87" s="803">
        <v>3.3553529513098597E-3</v>
      </c>
      <c r="BM87" s="803">
        <v>4.8420946854314008E-3</v>
      </c>
      <c r="BN87" s="803">
        <v>7.3675670107916551E-3</v>
      </c>
      <c r="BO87" s="804">
        <v>1.2686097294033289E-2</v>
      </c>
      <c r="BP87" s="803">
        <v>2.3036179453748955E-2</v>
      </c>
      <c r="BQ87" s="803">
        <v>4.0116949494615479E-2</v>
      </c>
      <c r="BR87" s="803">
        <v>6.4919789195088631E-2</v>
      </c>
      <c r="BS87" s="803">
        <v>9.5452263996084197E-2</v>
      </c>
      <c r="BT87" s="803">
        <v>0.12924246731228059</v>
      </c>
      <c r="BW87" s="1138">
        <f>'2018'!R\Max</f>
        <v>0</v>
      </c>
      <c r="BX87" s="1136">
        <f>'2019'!R\Max</f>
        <v>0.46026092395326851</v>
      </c>
      <c r="BY87" s="1136">
        <f>'2020'!R\Max</f>
        <v>0.73213000752321511</v>
      </c>
      <c r="BZ87" s="1136">
        <f>'2021'!R\Max</f>
        <v>0.50383564075869613</v>
      </c>
      <c r="CA87" s="1136">
        <f>'2022'!R\Max</f>
        <v>0.28711521383621752</v>
      </c>
      <c r="CB87" s="1136">
        <f>'2023'!R\Max</f>
        <v>0.28700280623692015</v>
      </c>
      <c r="CC87" s="1136">
        <f>'2024'!R\Max</f>
        <v>0.28688857831133846</v>
      </c>
      <c r="CD87" s="1136">
        <f>'2025'!R\Max</f>
        <v>0.28670307173034559</v>
      </c>
      <c r="CE87" s="1136">
        <f>'2026'!R\Max</f>
        <v>0.28726165316543079</v>
      </c>
      <c r="CF87" s="1137">
        <f>'2027'!R\Max</f>
        <v>0.28723422514343006</v>
      </c>
    </row>
    <row r="88" spans="1:84" s="6" customFormat="1" ht="11.25" x14ac:dyDescent="0.2">
      <c r="A88" s="11">
        <v>43174</v>
      </c>
      <c r="B88" s="380">
        <f>'2022'!Maxi_hp</f>
        <v>34.951737117929945</v>
      </c>
      <c r="C88" s="85">
        <f>'2022'!An_max</f>
        <v>2020</v>
      </c>
      <c r="D88" s="1089" t="str">
        <f t="shared" si="59"/>
        <v/>
      </c>
      <c r="E88" s="749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838">
        <f t="shared" si="62"/>
        <v>0.2857142857142857</v>
      </c>
      <c r="J88" s="829">
        <f t="shared" si="63"/>
        <v>50.680690962821245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838">
        <f t="shared" si="67"/>
        <v>0.6428571428571429</v>
      </c>
      <c r="AT88" s="855">
        <f t="shared" si="68"/>
        <v>50.695767493093655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838">
        <f t="shared" si="72"/>
        <v>0.8571428571428571</v>
      </c>
      <c r="AY88" s="855">
        <f t="shared" si="73"/>
        <v>50.74013556840697</v>
      </c>
      <c r="AZ88" s="829">
        <f t="shared" si="77"/>
        <v>50.717951530750312</v>
      </c>
      <c r="BA88" s="662">
        <f t="shared" si="74"/>
        <v>0.68964602600959257</v>
      </c>
      <c r="BB88" s="657">
        <v>43174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926">
        <f>1+[2]!Salcycl*Ksac</f>
        <v>1.0006207143077839</v>
      </c>
      <c r="BH88" s="1082">
        <f t="shared" si="75"/>
        <v>4.5152202312557874E-3</v>
      </c>
      <c r="BI88" s="11">
        <v>44270</v>
      </c>
      <c r="BJ88" s="803">
        <v>1.2686802282267575E-3</v>
      </c>
      <c r="BK88" s="803">
        <v>2.0656941131221677E-3</v>
      </c>
      <c r="BL88" s="803">
        <v>3.133363981478805E-3</v>
      </c>
      <c r="BM88" s="803">
        <v>4.5151293070150719E-3</v>
      </c>
      <c r="BN88" s="803">
        <v>6.9169749858824193E-3</v>
      </c>
      <c r="BO88" s="804">
        <v>1.2102730847144831E-2</v>
      </c>
      <c r="BP88" s="803">
        <v>2.233192997958101E-2</v>
      </c>
      <c r="BQ88" s="803">
        <v>3.932461065933987E-2</v>
      </c>
      <c r="BR88" s="803">
        <v>6.4119891292249487E-2</v>
      </c>
      <c r="BS88" s="803">
        <v>9.4722158523517883E-2</v>
      </c>
      <c r="BT88" s="803">
        <v>0.12864287468378599</v>
      </c>
      <c r="BW88" s="1138">
        <f>'2018'!R\Max</f>
        <v>0</v>
      </c>
      <c r="BX88" s="1136">
        <f>'2019'!R\Max</f>
        <v>0.25159000211522387</v>
      </c>
      <c r="BY88" s="1136">
        <f>'2020'!R\Max</f>
        <v>0.68964602600959257</v>
      </c>
      <c r="BZ88" s="1136">
        <f>'2021'!R\Max</f>
        <v>0.33277962858510757</v>
      </c>
      <c r="CA88" s="1136">
        <f>'2022'!R\Max</f>
        <v>0.32412901044869941</v>
      </c>
      <c r="CB88" s="1136">
        <f>'2023'!R\Max</f>
        <v>0.32400859727740794</v>
      </c>
      <c r="CC88" s="1136">
        <f>'2024'!R\Max</f>
        <v>0.32388611299042686</v>
      </c>
      <c r="CD88" s="1136">
        <f>'2025'!R\Max</f>
        <v>0.32368607084708617</v>
      </c>
      <c r="CE88" s="1136">
        <f>'2026'!R\Max</f>
        <v>0.32428317363124692</v>
      </c>
      <c r="CF88" s="1137">
        <f>'2027'!R\Max</f>
        <v>0.32425490152483005</v>
      </c>
    </row>
    <row r="89" spans="1:84" s="6" customFormat="1" ht="11.25" x14ac:dyDescent="0.2">
      <c r="A89" s="11">
        <v>43175</v>
      </c>
      <c r="B89" s="380">
        <f>'2022'!Maxi_hp</f>
        <v>52.275659986289419</v>
      </c>
      <c r="C89" s="85">
        <f>'2022'!An_max</f>
        <v>2020</v>
      </c>
      <c r="D89" s="1089">
        <f t="shared" si="59"/>
        <v>1.0256379381101215</v>
      </c>
      <c r="E89" s="749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838">
        <f t="shared" si="62"/>
        <v>0.21428571428571427</v>
      </c>
      <c r="J89" s="829">
        <f t="shared" si="63"/>
        <v>50.96892192055072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838">
        <f t="shared" si="67"/>
        <v>0.6071428571428571</v>
      </c>
      <c r="AT89" s="855">
        <f t="shared" si="68"/>
        <v>50.991034165250937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838">
        <f t="shared" si="72"/>
        <v>0.8928571428571429</v>
      </c>
      <c r="AY89" s="855">
        <f t="shared" si="73"/>
        <v>51.015672627044843</v>
      </c>
      <c r="AZ89" s="829">
        <f t="shared" si="77"/>
        <v>51.003353396147887</v>
      </c>
      <c r="BA89" s="662">
        <f t="shared" si="74"/>
        <v>1.0256379381101215</v>
      </c>
      <c r="BB89" s="657">
        <v>43175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926">
        <f>1+[2]!Salcycl*Ksac</f>
        <v>1.0006534968725485</v>
      </c>
      <c r="BH89" s="1082">
        <f t="shared" si="75"/>
        <v>4.2017784610047966E-3</v>
      </c>
      <c r="BI89" s="11">
        <v>44271</v>
      </c>
      <c r="BJ89" s="803">
        <v>1.1771518629335497E-3</v>
      </c>
      <c r="BK89" s="803">
        <v>1.9339546601299775E-3</v>
      </c>
      <c r="BL89" s="803">
        <v>2.9205127338616126E-3</v>
      </c>
      <c r="BM89" s="803">
        <v>4.2016919947507735E-3</v>
      </c>
      <c r="BN89" s="803">
        <v>6.4857759415520135E-3</v>
      </c>
      <c r="BO89" s="804">
        <v>1.1536560437565633E-2</v>
      </c>
      <c r="BP89" s="803">
        <v>2.1639475807167241E-2</v>
      </c>
      <c r="BQ89" s="803">
        <v>3.8530463516739867E-2</v>
      </c>
      <c r="BR89" s="803">
        <v>6.3293301333534446E-2</v>
      </c>
      <c r="BS89" s="803">
        <v>9.3938815118866412E-2</v>
      </c>
      <c r="BT89" s="803">
        <v>0.12796540881835064</v>
      </c>
      <c r="BW89" s="1138">
        <f>'2018'!R\Max</f>
        <v>0</v>
      </c>
      <c r="BX89" s="1136">
        <f>'2019'!R\Max</f>
        <v>0.99679459458756658</v>
      </c>
      <c r="BY89" s="1136">
        <f>'2020'!R\Max</f>
        <v>1.0256379381101215</v>
      </c>
      <c r="BZ89" s="1136">
        <f>'2021'!R\Max</f>
        <v>0.63995721998358457</v>
      </c>
      <c r="CA89" s="1136">
        <f>'2022'!R\Max</f>
        <v>0.22124906451080814</v>
      </c>
      <c r="CB89" s="1136">
        <f>'2023'!R\Max</f>
        <v>0.22116540891347056</v>
      </c>
      <c r="CC89" s="1136">
        <f>'2024'!R\Max</f>
        <v>0.22108023095554896</v>
      </c>
      <c r="CD89" s="1136">
        <f>'2025'!R\Max</f>
        <v>0.22094036779578044</v>
      </c>
      <c r="CE89" s="1136">
        <f>'2026'!R\Max</f>
        <v>0.22135432071282166</v>
      </c>
      <c r="CF89" s="1137">
        <f>'2027'!R\Max</f>
        <v>0.22133540771593427</v>
      </c>
    </row>
    <row r="90" spans="1:84" s="6" customFormat="1" ht="11.25" x14ac:dyDescent="0.2">
      <c r="A90" s="11">
        <v>43176</v>
      </c>
      <c r="B90" s="380">
        <f>'2022'!Maxi_hp</f>
        <v>27.107916637934526</v>
      </c>
      <c r="C90" s="85">
        <f>'2022'!An_max</f>
        <v>2021</v>
      </c>
      <c r="D90" s="1089" t="str">
        <f t="shared" si="59"/>
        <v/>
      </c>
      <c r="E90" s="749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838">
        <f t="shared" si="62"/>
        <v>0.14285714285714285</v>
      </c>
      <c r="J90" s="829">
        <f t="shared" si="63"/>
        <v>51.25359912599837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838">
        <f t="shared" si="67"/>
        <v>0.5714285714285714</v>
      </c>
      <c r="AT90" s="855">
        <f t="shared" si="68"/>
        <v>51.283752186064206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838">
        <f t="shared" si="72"/>
        <v>0.9285714285714286</v>
      </c>
      <c r="AY90" s="855">
        <f t="shared" si="73"/>
        <v>51.286157252373435</v>
      </c>
      <c r="AZ90" s="829">
        <f t="shared" si="77"/>
        <v>51.284954719218817</v>
      </c>
      <c r="BA90" s="662">
        <f t="shared" si="74"/>
        <v>0.52889781596204133</v>
      </c>
      <c r="BB90" s="657">
        <v>43176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926">
        <f>1+[2]!Salcycl*Ksac</f>
        <v>1.0006898581995614</v>
      </c>
      <c r="BH90" s="1082">
        <f t="shared" si="75"/>
        <v>3.9018668675286626E-3</v>
      </c>
      <c r="BI90" s="11">
        <v>44272</v>
      </c>
      <c r="BJ90" s="803">
        <v>1.0898898279288367E-3</v>
      </c>
      <c r="BK90" s="803">
        <v>1.8073083132120612E-3</v>
      </c>
      <c r="BL90" s="803">
        <v>2.7168004694298094E-3</v>
      </c>
      <c r="BM90" s="803">
        <v>3.9017846372242687E-3</v>
      </c>
      <c r="BN90" s="803">
        <v>6.0739721608700373E-3</v>
      </c>
      <c r="BO90" s="804">
        <v>1.0987588510380683E-2</v>
      </c>
      <c r="BP90" s="803">
        <v>2.095881776975032E-2</v>
      </c>
      <c r="BQ90" s="803">
        <v>3.7734504991885159E-2</v>
      </c>
      <c r="BR90" s="803">
        <v>6.2440009225739855E-2</v>
      </c>
      <c r="BS90" s="803">
        <v>9.3102213548452037E-2</v>
      </c>
      <c r="BT90" s="803">
        <v>0.12721003708394873</v>
      </c>
      <c r="BW90" s="1138">
        <f>'2018'!R\Max</f>
        <v>0</v>
      </c>
      <c r="BX90" s="1136">
        <f>'2019'!R\Max</f>
        <v>0.31407703732615566</v>
      </c>
      <c r="BY90" s="1136">
        <f>'2020'!R\Max</f>
        <v>0.15720890641996804</v>
      </c>
      <c r="BZ90" s="1136">
        <f>'2021'!R\Max</f>
        <v>0.52889781596204133</v>
      </c>
      <c r="CA90" s="1136">
        <f>'2022'!R\Max</f>
        <v>0.23828547747344861</v>
      </c>
      <c r="CB90" s="1136">
        <f>'2023'!R\Max</f>
        <v>0.23819700794178422</v>
      </c>
      <c r="CC90" s="1136">
        <f>'2024'!R\Max</f>
        <v>0.23810683343307829</v>
      </c>
      <c r="CD90" s="1136">
        <f>'2025'!R\Max</f>
        <v>0.23795799148457972</v>
      </c>
      <c r="CE90" s="1136">
        <f>'2026'!R\Max</f>
        <v>0.23839485948165601</v>
      </c>
      <c r="CF90" s="1137">
        <f>'2027'!R\Max</f>
        <v>0.23837558679140833</v>
      </c>
    </row>
    <row r="91" spans="1:84" s="6" customFormat="1" ht="11.25" x14ac:dyDescent="0.2">
      <c r="A91" s="11">
        <v>43177</v>
      </c>
      <c r="B91" s="380">
        <f>'2022'!Maxi_hp</f>
        <v>38.270489516966428</v>
      </c>
      <c r="C91" s="85">
        <f>'2022'!An_max</f>
        <v>2019</v>
      </c>
      <c r="D91" s="1089" t="str">
        <f t="shared" si="59"/>
        <v/>
      </c>
      <c r="E91" s="749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838">
        <f t="shared" si="62"/>
        <v>7.1428571428571425E-2</v>
      </c>
      <c r="J91" s="829">
        <f t="shared" si="63"/>
        <v>51.53439950851191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838">
        <f t="shared" si="67"/>
        <v>0.5357142857142857</v>
      </c>
      <c r="AT91" s="855">
        <f t="shared" si="68"/>
        <v>51.573598488140853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838">
        <f t="shared" si="72"/>
        <v>0.9642857142857143</v>
      </c>
      <c r="AY91" s="855">
        <f t="shared" si="73"/>
        <v>51.55134714404786</v>
      </c>
      <c r="AZ91" s="829">
        <f t="shared" si="77"/>
        <v>51.562472816094356</v>
      </c>
      <c r="BA91" s="662">
        <f t="shared" si="74"/>
        <v>0.74262026688882465</v>
      </c>
      <c r="BB91" s="657">
        <v>43177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926">
        <f>1+[2]!Salcycl*Ksac</f>
        <v>1.0007301527291645</v>
      </c>
      <c r="BH91" s="1082">
        <f t="shared" si="75"/>
        <v>3.6154873954371437E-3</v>
      </c>
      <c r="BI91" s="11">
        <v>44273</v>
      </c>
      <c r="BJ91" s="803">
        <v>1.0068946784064247E-3</v>
      </c>
      <c r="BK91" s="803">
        <v>1.6857558859949186E-3</v>
      </c>
      <c r="BL91" s="803">
        <v>2.5222284886547981E-3</v>
      </c>
      <c r="BM91" s="803">
        <v>3.6154091790304836E-3</v>
      </c>
      <c r="BN91" s="803">
        <v>5.6815659802763761E-3</v>
      </c>
      <c r="BO91" s="804">
        <v>1.0455817829237712E-2</v>
      </c>
      <c r="BP91" s="803">
        <v>2.0289957367095181E-2</v>
      </c>
      <c r="BQ91" s="803">
        <v>3.6936733233814911E-2</v>
      </c>
      <c r="BR91" s="803">
        <v>6.1560006892928322E-2</v>
      </c>
      <c r="BS91" s="803">
        <v>9.2212336326125424E-2</v>
      </c>
      <c r="BT91" s="803">
        <v>0.12637673017546971</v>
      </c>
      <c r="BW91" s="1138">
        <f>'2018'!R\Max</f>
        <v>0</v>
      </c>
      <c r="BX91" s="1136">
        <f>'2019'!R\Max</f>
        <v>0.74262026688882465</v>
      </c>
      <c r="BY91" s="1136">
        <f>'2020'!R\Max</f>
        <v>0.24065766614005221</v>
      </c>
      <c r="BZ91" s="1136">
        <f>'2021'!R\Max</f>
        <v>0.4962155323727917</v>
      </c>
      <c r="CA91" s="1136">
        <f>'2022'!R\Max</f>
        <v>0.29070081689867916</v>
      </c>
      <c r="CB91" s="1136">
        <f>'2023'!R\Max</f>
        <v>0.29059489654062226</v>
      </c>
      <c r="CC91" s="1136">
        <f>'2024'!R\Max</f>
        <v>0.29048681575495133</v>
      </c>
      <c r="CD91" s="1136">
        <f>'2025'!R\Max</f>
        <v>0.29030751867933952</v>
      </c>
      <c r="CE91" s="1136">
        <f>'2026'!R\Max</f>
        <v>0.29082949026524862</v>
      </c>
      <c r="CF91" s="1137">
        <f>'2027'!R\Max</f>
        <v>0.29080723635402972</v>
      </c>
    </row>
    <row r="92" spans="1:84" s="6" customFormat="1" ht="11.25" x14ac:dyDescent="0.2">
      <c r="A92" s="11">
        <v>43178</v>
      </c>
      <c r="B92" s="380">
        <f>'2022'!Maxi_hp</f>
        <v>46.831517578729603</v>
      </c>
      <c r="C92" s="85">
        <f>'2022'!An_max</f>
        <v>2020</v>
      </c>
      <c r="D92" s="1089" t="str">
        <f t="shared" si="59"/>
        <v/>
      </c>
      <c r="E92" s="837">
        <f>S$13/10</f>
        <v>51.811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838">
        <f t="shared" si="62"/>
        <v>0</v>
      </c>
      <c r="J92" s="829">
        <f t="shared" si="63"/>
        <v>51.811000000312923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838">
        <f t="shared" si="67"/>
        <v>0.5</v>
      </c>
      <c r="AT92" s="855">
        <f t="shared" si="68"/>
        <v>51.860250000096855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838">
        <f t="shared" si="72"/>
        <v>1</v>
      </c>
      <c r="AY92" s="855">
        <f t="shared" si="73"/>
        <v>51.810999999567869</v>
      </c>
      <c r="AZ92" s="829">
        <f t="shared" si="77"/>
        <v>51.835624999832362</v>
      </c>
      <c r="BA92" s="662">
        <f t="shared" si="74"/>
        <v>0.9038914048840353</v>
      </c>
      <c r="BB92" s="657">
        <v>43178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926">
        <f>1+[2]!Salcycl*Ksac</f>
        <v>1.0007747429171259</v>
      </c>
      <c r="BH92" s="1082">
        <f t="shared" si="75"/>
        <v>3.3426419952790041E-3</v>
      </c>
      <c r="BI92" s="11">
        <v>44274</v>
      </c>
      <c r="BJ92" s="803">
        <v>9.2816696063796947E-4</v>
      </c>
      <c r="BK92" s="803">
        <v>1.5692982146448629E-3</v>
      </c>
      <c r="BL92" s="803">
        <v>2.3367980976867937E-3</v>
      </c>
      <c r="BM92" s="803">
        <v>3.3425675707042697E-3</v>
      </c>
      <c r="BN92" s="803">
        <v>5.3085597177956849E-3</v>
      </c>
      <c r="BO92" s="804">
        <v>9.9412514126311479E-3</v>
      </c>
      <c r="BP92" s="803">
        <v>1.9632896721617586E-2</v>
      </c>
      <c r="BQ92" s="803">
        <v>3.6137147621751901E-2</v>
      </c>
      <c r="BR92" s="803">
        <v>6.065328837433176E-2</v>
      </c>
      <c r="BS92" s="803">
        <v>9.1269168908908002E-2</v>
      </c>
      <c r="BT92" s="803">
        <v>0.12546546240097178</v>
      </c>
      <c r="BW92" s="1138">
        <f>'2018'!R\Max</f>
        <v>0</v>
      </c>
      <c r="BX92" s="1136">
        <f>'2019'!R\Max</f>
        <v>0.24280592920846955</v>
      </c>
      <c r="BY92" s="1136">
        <f>'2020'!R\Max</f>
        <v>0.9038914048840353</v>
      </c>
      <c r="BZ92" s="1136">
        <f>'2021'!R\Max</f>
        <v>0.18865739443821683</v>
      </c>
      <c r="CA92" s="1136">
        <f>'2022'!R\Max</f>
        <v>0.66279305389411702</v>
      </c>
      <c r="CB92" s="1136">
        <f>'2023'!R\Max</f>
        <v>0.66267895515242647</v>
      </c>
      <c r="CC92" s="1136">
        <f>'2024'!R\Max</f>
        <v>0.66256235110283057</v>
      </c>
      <c r="CD92" s="1136">
        <f>'2025'!R\Max</f>
        <v>0.66236787729016444</v>
      </c>
      <c r="CE92" s="1136">
        <f>'2026'!R\Max</f>
        <v>0.6629291727148241</v>
      </c>
      <c r="CF92" s="1137">
        <f>'2027'!R\Max</f>
        <v>0.66290604093983951</v>
      </c>
    </row>
    <row r="93" spans="1:84" s="6" customFormat="1" ht="11.25" x14ac:dyDescent="0.2">
      <c r="A93" s="11">
        <v>43179</v>
      </c>
      <c r="B93" s="380">
        <f>'2022'!Maxi_hp</f>
        <v>53.139538604347429</v>
      </c>
      <c r="C93" s="85">
        <f>'2022'!An_max</f>
        <v>2019</v>
      </c>
      <c r="D93" s="1089">
        <f t="shared" si="59"/>
        <v>1.0202363370762386</v>
      </c>
      <c r="E93" s="749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838">
        <f t="shared" si="62"/>
        <v>7.1428571428571425E-2</v>
      </c>
      <c r="J93" s="829">
        <f t="shared" si="63"/>
        <v>52.085518495286159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838">
        <f t="shared" si="67"/>
        <v>0.4642857142857143</v>
      </c>
      <c r="AT93" s="855">
        <f t="shared" si="68"/>
        <v>52.143383654858916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838">
        <f t="shared" si="72"/>
        <v>0.9642857142857143</v>
      </c>
      <c r="AY93" s="855">
        <f t="shared" si="73"/>
        <v>52.066650396625377</v>
      </c>
      <c r="AZ93" s="829">
        <f t="shared" si="77"/>
        <v>52.105017025742143</v>
      </c>
      <c r="BA93" s="662">
        <f t="shared" si="74"/>
        <v>1.0202363370762386</v>
      </c>
      <c r="BB93" s="657">
        <v>43179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926">
        <f>1+[2]!Salcycl*Ksac</f>
        <v>1.0008239980079516</v>
      </c>
      <c r="BH93" s="1082">
        <f t="shared" si="75"/>
        <v>3.08333267582876E-3</v>
      </c>
      <c r="BI93" s="11">
        <v>44275</v>
      </c>
      <c r="BJ93" s="803">
        <v>8.5370722452630531E-4</v>
      </c>
      <c r="BK93" s="803">
        <v>1.4579361874160629E-3</v>
      </c>
      <c r="BL93" s="803">
        <v>2.1605106462558826E-3</v>
      </c>
      <c r="BM93" s="803">
        <v>3.0832618210056236E-3</v>
      </c>
      <c r="BN93" s="803">
        <v>4.9549557657412686E-3</v>
      </c>
      <c r="BO93" s="804">
        <v>9.443892783696381E-3</v>
      </c>
      <c r="BP93" s="803">
        <v>1.8987639164851817E-2</v>
      </c>
      <c r="BQ93" s="803">
        <v>3.5335749944374023E-2</v>
      </c>
      <c r="BR93" s="803">
        <v>5.9719851904806463E-2</v>
      </c>
      <c r="BS93" s="803">
        <v>9.0272702889469536E-2</v>
      </c>
      <c r="BT93" s="803">
        <v>0.12447621610024878</v>
      </c>
      <c r="BW93" s="1138">
        <f>'2018'!R\Max</f>
        <v>0</v>
      </c>
      <c r="BX93" s="1136">
        <f>'2019'!R\Max</f>
        <v>1.0202363370762386</v>
      </c>
      <c r="BY93" s="1136">
        <f>'2020'!R\Max</f>
        <v>0.91503517885263463</v>
      </c>
      <c r="BZ93" s="1136">
        <f>'2021'!R\Max</f>
        <v>0.83157352616376956</v>
      </c>
      <c r="CA93" s="1136">
        <f>'2022'!R\Max</f>
        <v>0.67983641653426796</v>
      </c>
      <c r="CB93" s="1136">
        <f>'2023'!R\Max</f>
        <v>0.67972750131018811</v>
      </c>
      <c r="CC93" s="1136">
        <f>'2024'!R\Max</f>
        <v>0.67961605908578127</v>
      </c>
      <c r="CD93" s="1136">
        <f>'2025'!R\Max</f>
        <v>0.67942932212842799</v>
      </c>
      <c r="CE93" s="1136">
        <f>'2026'!R\Max</f>
        <v>0.67996404980738134</v>
      </c>
      <c r="CF93" s="1137">
        <f>'2027'!R\Max</f>
        <v>0.67994270242660837</v>
      </c>
    </row>
    <row r="94" spans="1:84" s="6" customFormat="1" ht="11.25" x14ac:dyDescent="0.2">
      <c r="A94" s="11">
        <v>43180</v>
      </c>
      <c r="B94" s="380">
        <f>'2022'!Maxi_hp</f>
        <v>53.219933275475654</v>
      </c>
      <c r="C94" s="85">
        <f>'2022'!An_max</f>
        <v>2019</v>
      </c>
      <c r="D94" s="1089">
        <f t="shared" si="59"/>
        <v>1.0164276371412178</v>
      </c>
      <c r="E94" s="749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838">
        <f t="shared" si="62"/>
        <v>0.14285714285714285</v>
      </c>
      <c r="J94" s="829">
        <f t="shared" si="63"/>
        <v>52.359785714958399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838">
        <f t="shared" si="67"/>
        <v>0.42857142857142855</v>
      </c>
      <c r="AT94" s="855">
        <f t="shared" si="68"/>
        <v>52.422676384768316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838">
        <f t="shared" si="72"/>
        <v>0.9285714285714286</v>
      </c>
      <c r="AY94" s="855">
        <f t="shared" si="73"/>
        <v>52.319904701092412</v>
      </c>
      <c r="AZ94" s="829">
        <f t="shared" si="77"/>
        <v>52.371290542930367</v>
      </c>
      <c r="BA94" s="662">
        <f t="shared" si="74"/>
        <v>1.0164276371412178</v>
      </c>
      <c r="BB94" s="657">
        <v>43180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926">
        <f>1+[2]!Salcycl*Ksac</f>
        <v>1.0008782928075743</v>
      </c>
      <c r="BH94" s="1082">
        <f t="shared" si="75"/>
        <v>2.8421619145120561E-3</v>
      </c>
      <c r="BI94" s="11">
        <v>44276</v>
      </c>
      <c r="BJ94" s="803">
        <v>7.8512101170454213E-4</v>
      </c>
      <c r="BK94" s="803">
        <v>1.3541594487514273E-3</v>
      </c>
      <c r="BL94" s="803">
        <v>1.9968123786831184E-3</v>
      </c>
      <c r="BM94" s="803">
        <v>2.8420943819925677E-3</v>
      </c>
      <c r="BN94" s="803">
        <v>4.6260266847412768E-3</v>
      </c>
      <c r="BO94" s="804">
        <v>8.9722245814521859E-3</v>
      </c>
      <c r="BP94" s="803">
        <v>1.8361300409265594E-2</v>
      </c>
      <c r="BQ94" s="803">
        <v>3.4537171649208713E-2</v>
      </c>
      <c r="BR94" s="803">
        <v>5.876553828239587E-2</v>
      </c>
      <c r="BS94" s="803">
        <v>8.924046054723829E-2</v>
      </c>
      <c r="BT94" s="803">
        <v>0.12344619882472699</v>
      </c>
      <c r="BW94" s="1138">
        <f>'2018'!R\Max</f>
        <v>0</v>
      </c>
      <c r="BX94" s="1136">
        <f>'2019'!R\Max</f>
        <v>1.0164276371412178</v>
      </c>
      <c r="BY94" s="1136">
        <f>'2020'!R\Max</f>
        <v>0.97965271984014901</v>
      </c>
      <c r="BZ94" s="1136">
        <f>'2021'!R\Max</f>
        <v>0.85900007536546541</v>
      </c>
      <c r="CA94" s="1136">
        <f>'2022'!R\Max</f>
        <v>0.97549122634834051</v>
      </c>
      <c r="CB94" s="1136">
        <f>'2023'!R\Max</f>
        <v>0.97547950850437504</v>
      </c>
      <c r="CC94" s="1136">
        <f>'2024'!R\Max</f>
        <v>0.97546750022558815</v>
      </c>
      <c r="CD94" s="1136">
        <f>'2025'!R\Max</f>
        <v>0.9754472803323031</v>
      </c>
      <c r="CE94" s="1136">
        <f>'2026'!R\Max</f>
        <v>0.97550471920886517</v>
      </c>
      <c r="CF94" s="1137">
        <f>'2027'!R\Max</f>
        <v>0.97550249510279818</v>
      </c>
    </row>
    <row r="95" spans="1:84" s="6" customFormat="1" ht="11.25" x14ac:dyDescent="0.2">
      <c r="A95" s="11">
        <v>43181</v>
      </c>
      <c r="B95" s="380">
        <f>'2022'!Maxi_hp</f>
        <v>52.117627843898426</v>
      </c>
      <c r="C95" s="85">
        <f>'2022'!An_max</f>
        <v>2019</v>
      </c>
      <c r="D95" s="1089">
        <f t="shared" si="59"/>
        <v>0.99020729352502146</v>
      </c>
      <c r="E95" s="749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838">
        <f t="shared" si="62"/>
        <v>0.21428571428571427</v>
      </c>
      <c r="J95" s="829">
        <f t="shared" si="63"/>
        <v>52.633047832202692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838">
        <f t="shared" si="67"/>
        <v>0.39285714285714285</v>
      </c>
      <c r="AT95" s="855">
        <f t="shared" si="68"/>
        <v>52.697805119744906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838">
        <f t="shared" si="72"/>
        <v>0.8928571428571429</v>
      </c>
      <c r="AY95" s="855">
        <f t="shared" si="73"/>
        <v>52.570628302570967</v>
      </c>
      <c r="AZ95" s="829">
        <f t="shared" si="77"/>
        <v>52.634216711157933</v>
      </c>
      <c r="BA95" s="662">
        <f t="shared" si="74"/>
        <v>0.99020729352502146</v>
      </c>
      <c r="BB95" s="657">
        <v>43181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926">
        <f>1+[2]!Salcycl*Ksac</f>
        <v>1.0009380064636901</v>
      </c>
      <c r="BH95" s="1082">
        <f t="shared" si="75"/>
        <v>2.6160804628207273E-3</v>
      </c>
      <c r="BI95" s="11">
        <v>44277</v>
      </c>
      <c r="BJ95" s="803">
        <v>7.1894444097689682E-4</v>
      </c>
      <c r="BK95" s="803">
        <v>1.2545000629359865E-3</v>
      </c>
      <c r="BL95" s="803">
        <v>1.8421947583117375E-3</v>
      </c>
      <c r="BM95" s="803">
        <v>2.6160160150941326E-3</v>
      </c>
      <c r="BN95" s="803">
        <v>4.3184607362745228E-3</v>
      </c>
      <c r="BO95" s="804">
        <v>8.5274508054715165E-3</v>
      </c>
      <c r="BP95" s="803">
        <v>1.7759950266867754E-2</v>
      </c>
      <c r="BQ95" s="803">
        <v>3.3757588295896139E-2</v>
      </c>
      <c r="BR95" s="803">
        <v>5.7830048340026481E-2</v>
      </c>
      <c r="BS95" s="803">
        <v>8.8237126553304943E-2</v>
      </c>
      <c r="BT95" s="803">
        <v>0.12246323647018692</v>
      </c>
      <c r="BW95" s="1138">
        <f>'2018'!R\Max</f>
        <v>0</v>
      </c>
      <c r="BX95" s="1136">
        <f>'2019'!R\Max</f>
        <v>0.99020729352502146</v>
      </c>
      <c r="BY95" s="1136">
        <f>'2020'!R\Max</f>
        <v>0.93499953468531849</v>
      </c>
      <c r="BZ95" s="1136">
        <f>'2021'!R\Max</f>
        <v>0.7740334156887978</v>
      </c>
      <c r="CA95" s="1136">
        <f>'2022'!R\Max</f>
        <v>0.85638185190527938</v>
      </c>
      <c r="CB95" s="1136">
        <f>'2023'!R\Max</f>
        <v>0.85632284202426689</v>
      </c>
      <c r="CC95" s="1136">
        <f>'2024'!R\Max</f>
        <v>0.85626229721982439</v>
      </c>
      <c r="CD95" s="1136">
        <f>'2025'!R\Max</f>
        <v>0.85615991697895877</v>
      </c>
      <c r="CE95" s="1136">
        <f>'2026'!R\Max</f>
        <v>0.85644871476347562</v>
      </c>
      <c r="CF95" s="1137">
        <f>'2027'!R\Max</f>
        <v>0.8564378424724276</v>
      </c>
    </row>
    <row r="96" spans="1:84" s="6" customFormat="1" ht="11.25" x14ac:dyDescent="0.2">
      <c r="A96" s="11">
        <v>43182</v>
      </c>
      <c r="B96" s="380">
        <f>'2022'!Maxi_hp</f>
        <v>53.087253194145475</v>
      </c>
      <c r="C96" s="85">
        <f>'2022'!An_max</f>
        <v>2022</v>
      </c>
      <c r="D96" s="1089">
        <f t="shared" si="59"/>
        <v>1.0034534301766027</v>
      </c>
      <c r="E96" s="749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838">
        <f t="shared" si="62"/>
        <v>0.2857142857142857</v>
      </c>
      <c r="J96" s="829">
        <f t="shared" si="63"/>
        <v>52.904551021169347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838">
        <f t="shared" si="67"/>
        <v>0.35714285714285715</v>
      </c>
      <c r="AT96" s="855">
        <f t="shared" si="68"/>
        <v>52.968446793699897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838">
        <f t="shared" si="72"/>
        <v>0.8571428571428571</v>
      </c>
      <c r="AY96" s="855">
        <f t="shared" si="73"/>
        <v>52.818686588640716</v>
      </c>
      <c r="AZ96" s="829">
        <f t="shared" si="77"/>
        <v>52.893566691170307</v>
      </c>
      <c r="BA96" s="662">
        <f t="shared" si="74"/>
        <v>1.0034534301766027</v>
      </c>
      <c r="BB96" s="657">
        <v>43182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926">
        <f>1+[2]!Salcycl*Ksac</f>
        <v>1.0010035212613266</v>
      </c>
      <c r="BH96" s="1082">
        <f t="shared" si="75"/>
        <v>2.4050854632472218E-3</v>
      </c>
      <c r="BI96" s="11">
        <v>44278</v>
      </c>
      <c r="BJ96" s="803">
        <v>6.5517697446774504E-4</v>
      </c>
      <c r="BK96" s="803">
        <v>1.1589570958952203E-3</v>
      </c>
      <c r="BL96" s="803">
        <v>1.6966559889169022E-3</v>
      </c>
      <c r="BM96" s="803">
        <v>2.4050238628554352E-3</v>
      </c>
      <c r="BN96" s="803">
        <v>4.0322536715949467E-3</v>
      </c>
      <c r="BO96" s="804">
        <v>8.1095651452688777E-3</v>
      </c>
      <c r="BP96" s="803">
        <v>1.7183579816240371E-2</v>
      </c>
      <c r="BQ96" s="803">
        <v>3.2996986772894747E-2</v>
      </c>
      <c r="BR96" s="803">
        <v>5.6913361355377584E-2</v>
      </c>
      <c r="BS96" s="803">
        <v>8.7262669052474318E-2</v>
      </c>
      <c r="BT96" s="803">
        <v>0.12152728364228799</v>
      </c>
      <c r="BW96" s="1138">
        <f>'2018'!R\Max</f>
        <v>0</v>
      </c>
      <c r="BX96" s="1136">
        <f>'2019'!R\Max</f>
        <v>0.92368194503190426</v>
      </c>
      <c r="BY96" s="1136">
        <f>'2020'!R\Max</f>
        <v>0.71651566740493455</v>
      </c>
      <c r="BZ96" s="1136">
        <f>'2021'!R\Max</f>
        <v>1.0018208509752475</v>
      </c>
      <c r="CA96" s="1136">
        <f>'2022'!R\Max</f>
        <v>1.0034534301766027</v>
      </c>
      <c r="CB96" s="1136">
        <f>'2023'!R\Max</f>
        <v>1.0034534301766029</v>
      </c>
      <c r="CC96" s="1136">
        <f>'2024'!R\Max</f>
        <v>1.0034534301766032</v>
      </c>
      <c r="CD96" s="1136">
        <f>'2025'!R\Max</f>
        <v>1.0034534301766029</v>
      </c>
      <c r="CE96" s="1136">
        <f>'2026'!R\Max</f>
        <v>1.0034534301766027</v>
      </c>
      <c r="CF96" s="1137">
        <f>'2027'!R\Max</f>
        <v>1.0034534301766029</v>
      </c>
    </row>
    <row r="97" spans="1:84" s="6" customFormat="1" ht="11.25" x14ac:dyDescent="0.2">
      <c r="A97" s="11">
        <v>43183</v>
      </c>
      <c r="B97" s="380">
        <f>'2022'!Maxi_hp</f>
        <v>52.635831121779191</v>
      </c>
      <c r="C97" s="85">
        <f>'2022'!An_max</f>
        <v>2019</v>
      </c>
      <c r="D97" s="1089">
        <f t="shared" si="59"/>
        <v>0.98988763361330712</v>
      </c>
      <c r="E97" s="749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838">
        <f t="shared" si="62"/>
        <v>0.35714285714285715</v>
      </c>
      <c r="J97" s="829">
        <f t="shared" si="63"/>
        <v>53.173541455050668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838">
        <f t="shared" si="67"/>
        <v>0.32142857142857145</v>
      </c>
      <c r="AT97" s="855">
        <f t="shared" si="68"/>
        <v>53.234278334863482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838">
        <f t="shared" si="72"/>
        <v>0.8214285714285714</v>
      </c>
      <c r="AY97" s="855">
        <f t="shared" si="73"/>
        <v>53.063944948610981</v>
      </c>
      <c r="AZ97" s="829">
        <f t="shared" si="77"/>
        <v>53.149111641737235</v>
      </c>
      <c r="BA97" s="662">
        <f t="shared" si="74"/>
        <v>0.98988763361330712</v>
      </c>
      <c r="BB97" s="657">
        <v>43183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926">
        <f>1+[2]!Salcycl*Ksac</f>
        <v>1.001075221440451</v>
      </c>
      <c r="BH97" s="1082">
        <f t="shared" si="75"/>
        <v>2.2091743042874537E-3</v>
      </c>
      <c r="BI97" s="11">
        <v>44279</v>
      </c>
      <c r="BJ97" s="803">
        <v>5.9381815211052142E-4</v>
      </c>
      <c r="BK97" s="803">
        <v>1.06752972931052E-3</v>
      </c>
      <c r="BL97" s="803">
        <v>1.5601944460920272E-3</v>
      </c>
      <c r="BM97" s="803">
        <v>2.2091153138217938E-3</v>
      </c>
      <c r="BN97" s="803">
        <v>3.7674015741661002E-3</v>
      </c>
      <c r="BO97" s="804">
        <v>7.7185617821851444E-3</v>
      </c>
      <c r="BP97" s="803">
        <v>1.6632180833414351E-2</v>
      </c>
      <c r="BQ97" s="803">
        <v>3.2255354910892833E-2</v>
      </c>
      <c r="BR97" s="803">
        <v>5.6015457747220748E-2</v>
      </c>
      <c r="BS97" s="803">
        <v>8.631705738663574E-2</v>
      </c>
      <c r="BT97" s="803">
        <v>0.12063829606318875</v>
      </c>
      <c r="BW97" s="1138">
        <f>'2018'!R\Max</f>
        <v>0</v>
      </c>
      <c r="BX97" s="1136">
        <f>'2019'!R\Max</f>
        <v>0.98988763361330712</v>
      </c>
      <c r="BY97" s="1136">
        <f>'2020'!R\Max</f>
        <v>0.7449576578275382</v>
      </c>
      <c r="BZ97" s="1136">
        <f>'2021'!R\Max</f>
        <v>0.98279272571051079</v>
      </c>
      <c r="CA97" s="1136">
        <f>'2022'!R\Max</f>
        <v>0.9397824751432764</v>
      </c>
      <c r="CB97" s="1136">
        <f>'2023'!R\Max</f>
        <v>0.93975648051215488</v>
      </c>
      <c r="CC97" s="1136">
        <f>'2024'!R\Max</f>
        <v>0.93972973207617894</v>
      </c>
      <c r="CD97" s="1136">
        <f>'2025'!R\Max</f>
        <v>0.93968410601711894</v>
      </c>
      <c r="CE97" s="1136">
        <f>'2026'!R\Max</f>
        <v>0.93981108327601837</v>
      </c>
      <c r="CF97" s="1137">
        <f>'2027'!R\Max</f>
        <v>0.93980654291404253</v>
      </c>
    </row>
    <row r="98" spans="1:84" s="6" customFormat="1" ht="11.25" x14ac:dyDescent="0.2">
      <c r="A98" s="11">
        <v>43184</v>
      </c>
      <c r="B98" s="380">
        <f>'2022'!Maxi_hp</f>
        <v>47.578792902284313</v>
      </c>
      <c r="C98" s="85">
        <f>'2022'!An_max</f>
        <v>2020</v>
      </c>
      <c r="D98" s="1089" t="str">
        <f t="shared" si="59"/>
        <v/>
      </c>
      <c r="E98" s="749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838">
        <f t="shared" si="62"/>
        <v>0.42857142857142855</v>
      </c>
      <c r="J98" s="829">
        <f t="shared" si="63"/>
        <v>53.439265306613265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838">
        <f t="shared" si="67"/>
        <v>0.2857142857142857</v>
      </c>
      <c r="AT98" s="855">
        <f t="shared" si="68"/>
        <v>53.494976676787658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838">
        <f t="shared" si="72"/>
        <v>0.7857142857142857</v>
      </c>
      <c r="AY98" s="855">
        <f t="shared" si="73"/>
        <v>53.306268768677754</v>
      </c>
      <c r="AZ98" s="829">
        <f t="shared" si="77"/>
        <v>53.400622722732706</v>
      </c>
      <c r="BA98" s="662">
        <f t="shared" si="74"/>
        <v>0.89033396378666718</v>
      </c>
      <c r="BB98" s="657">
        <v>43184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926">
        <f>1+[2]!Salcycl*Ksac</f>
        <v>1.0011534920415874</v>
      </c>
      <c r="BH98" s="1082">
        <f t="shared" si="75"/>
        <v>2.0283445721718568E-3</v>
      </c>
      <c r="BI98" s="11">
        <v>44280</v>
      </c>
      <c r="BJ98" s="803">
        <v>5.3486758394831165E-4</v>
      </c>
      <c r="BK98" s="803">
        <v>9.8021724745914608E-4</v>
      </c>
      <c r="BL98" s="803">
        <v>1.4328086482061741E-3</v>
      </c>
      <c r="BM98" s="803">
        <v>2.0282879542705447E-3</v>
      </c>
      <c r="BN98" s="803">
        <v>3.5239007913185709E-3</v>
      </c>
      <c r="BO98" s="804">
        <v>7.3544353033640443E-3</v>
      </c>
      <c r="BP98" s="803">
        <v>1.6105745711988331E-2</v>
      </c>
      <c r="BQ98" s="803">
        <v>3.1532681422163832E-2</v>
      </c>
      <c r="BR98" s="803">
        <v>5.5136319015345624E-2</v>
      </c>
      <c r="BS98" s="803">
        <v>8.5400262002374341E-2</v>
      </c>
      <c r="BT98" s="803">
        <v>0.1197962304209895</v>
      </c>
      <c r="BW98" s="1138">
        <f>'2018'!R\Max</f>
        <v>0</v>
      </c>
      <c r="BX98" s="1136">
        <f>'2019'!R\Max</f>
        <v>0.8756284569981595</v>
      </c>
      <c r="BY98" s="1136">
        <f>'2020'!R\Max</f>
        <v>0.89033396378666718</v>
      </c>
      <c r="BZ98" s="1136">
        <f>'2021'!R\Max</f>
        <v>0.72479866432811502</v>
      </c>
      <c r="CA98" s="1136">
        <f>'2022'!R\Max</f>
        <v>0.85134576077617874</v>
      </c>
      <c r="CB98" s="1136">
        <f>'2023'!R\Max</f>
        <v>0.85128891558381226</v>
      </c>
      <c r="CC98" s="1136">
        <f>'2024'!R\Max</f>
        <v>0.85123033765044154</v>
      </c>
      <c r="CD98" s="1136">
        <f>'2025'!R\Max</f>
        <v>0.85113001032524616</v>
      </c>
      <c r="CE98" s="1136">
        <f>'2026'!R\Max</f>
        <v>0.85140754399725338</v>
      </c>
      <c r="CF98" s="1137">
        <f>'2027'!R\Max</f>
        <v>0.85139783628760624</v>
      </c>
    </row>
    <row r="99" spans="1:84" s="6" customFormat="1" ht="11.25" x14ac:dyDescent="0.2">
      <c r="A99" s="11">
        <v>43185</v>
      </c>
      <c r="B99" s="380">
        <f>'2022'!Maxi_hp</f>
        <v>56.081839676566283</v>
      </c>
      <c r="C99" s="85">
        <f>'2022'!An_max</f>
        <v>2019</v>
      </c>
      <c r="D99" s="1089">
        <f t="shared" si="59"/>
        <v>1.0443357164871609</v>
      </c>
      <c r="E99" s="749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838">
        <f t="shared" si="62"/>
        <v>0.5</v>
      </c>
      <c r="J99" s="829">
        <f t="shared" si="63"/>
        <v>53.70096875093877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838">
        <f t="shared" si="67"/>
        <v>0.25</v>
      </c>
      <c r="AT99" s="855">
        <f t="shared" si="68"/>
        <v>53.750218749977648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838">
        <f t="shared" si="72"/>
        <v>0.75</v>
      </c>
      <c r="AY99" s="855">
        <f t="shared" si="73"/>
        <v>53.545523437578233</v>
      </c>
      <c r="AZ99" s="829">
        <f t="shared" si="77"/>
        <v>53.647871093777937</v>
      </c>
      <c r="BA99" s="662">
        <f t="shared" si="74"/>
        <v>1.0443357164871609</v>
      </c>
      <c r="BB99" s="657">
        <v>43185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926">
        <f>1+[2]!Salcycl*Ksac</f>
        <v>1.0012387177845292</v>
      </c>
      <c r="BH99" s="1082">
        <f t="shared" si="75"/>
        <v>1.8625940026035872E-3</v>
      </c>
      <c r="BI99" s="11">
        <v>44281</v>
      </c>
      <c r="BJ99" s="803">
        <v>4.7832494243634123E-4</v>
      </c>
      <c r="BK99" s="803">
        <v>8.9701902405762632E-4</v>
      </c>
      <c r="BL99" s="803">
        <v>1.3144972273664726E-3</v>
      </c>
      <c r="BM99" s="803">
        <v>1.8625395199500013E-3</v>
      </c>
      <c r="BN99" s="803">
        <v>3.3017478659196652E-3</v>
      </c>
      <c r="BO99" s="804">
        <v>7.0171806157539249E-3</v>
      </c>
      <c r="BP99" s="803">
        <v>1.5604267383302362E-2</v>
      </c>
      <c r="BQ99" s="803">
        <v>3.0828955840028011E-2</v>
      </c>
      <c r="BR99" s="803">
        <v>5.4275927680671687E-2</v>
      </c>
      <c r="BS99" s="803">
        <v>8.4512254358869707E-2</v>
      </c>
      <c r="BT99" s="803">
        <v>0.11900104421957645</v>
      </c>
      <c r="BW99" s="1138">
        <f>'2018'!R\Max</f>
        <v>0</v>
      </c>
      <c r="BX99" s="1136">
        <f>'2019'!R\Max</f>
        <v>1.0443357164871609</v>
      </c>
      <c r="BY99" s="1136">
        <f>'2020'!R\Max</f>
        <v>1.0093914588239334</v>
      </c>
      <c r="BZ99" s="1136">
        <f>'2021'!R\Max</f>
        <v>0.80909026226793768</v>
      </c>
      <c r="CA99" s="1136">
        <f>'2022'!R\Max</f>
        <v>0.92036705113742412</v>
      </c>
      <c r="CB99" s="1136">
        <f>'2023'!R\Max</f>
        <v>0.92033486946558329</v>
      </c>
      <c r="CC99" s="1136">
        <f>'2024'!R\Max</f>
        <v>0.92030165170412814</v>
      </c>
      <c r="CD99" s="1136">
        <f>'2025'!R\Max</f>
        <v>0.92024451916474048</v>
      </c>
      <c r="CE99" s="1136">
        <f>'2026'!R\Max</f>
        <v>0.92040163931124819</v>
      </c>
      <c r="CF99" s="1137">
        <f>'2027'!R\Max</f>
        <v>0.92039624999641712</v>
      </c>
    </row>
    <row r="100" spans="1:84" s="6" customFormat="1" ht="11.25" x14ac:dyDescent="0.2">
      <c r="A100" s="11">
        <v>43186</v>
      </c>
      <c r="B100" s="380">
        <f>'2022'!Maxi_hp</f>
        <v>55.275486537639232</v>
      </c>
      <c r="C100" s="85">
        <f>'2022'!An_max</f>
        <v>2019</v>
      </c>
      <c r="D100" s="1089">
        <f t="shared" si="59"/>
        <v>1.0244188270328982</v>
      </c>
      <c r="E100" s="749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838">
        <f t="shared" si="62"/>
        <v>0.5714285714285714</v>
      </c>
      <c r="J100" s="829">
        <f t="shared" si="63"/>
        <v>53.957897960288186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838">
        <f t="shared" si="67"/>
        <v>0.21428571428571427</v>
      </c>
      <c r="AT100" s="855">
        <f t="shared" si="68"/>
        <v>53.999681487573049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838">
        <f t="shared" si="72"/>
        <v>0.7142857142857143</v>
      </c>
      <c r="AY100" s="855">
        <f t="shared" si="73"/>
        <v>53.781574344209261</v>
      </c>
      <c r="AZ100" s="829">
        <f t="shared" si="77"/>
        <v>53.890627915891159</v>
      </c>
      <c r="BA100" s="662">
        <f t="shared" si="74"/>
        <v>1.0244188270328982</v>
      </c>
      <c r="BB100" s="657">
        <v>43186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926">
        <f>1+[2]!Salcycl*Ksac</f>
        <v>1.001331281984305</v>
      </c>
      <c r="BH100" s="1082">
        <f t="shared" si="75"/>
        <v>1.7238611642695328E-3</v>
      </c>
      <c r="BI100" s="11">
        <v>44282</v>
      </c>
      <c r="BJ100" s="803">
        <v>4.2591873933126636E-4</v>
      </c>
      <c r="BK100" s="803">
        <v>8.2283551467445188E-4</v>
      </c>
      <c r="BL100" s="803">
        <v>1.2136386303089964E-3</v>
      </c>
      <c r="BM100" s="803">
        <v>1.723808521145468E-3</v>
      </c>
      <c r="BN100" s="803">
        <v>3.1144240386543065E-3</v>
      </c>
      <c r="BO100" s="804">
        <v>6.7231918982495692E-3</v>
      </c>
      <c r="BP100" s="803">
        <v>1.5145846513407885E-2</v>
      </c>
      <c r="BQ100" s="803">
        <v>3.0161763482169823E-2</v>
      </c>
      <c r="BR100" s="803">
        <v>5.3438849016198296E-2</v>
      </c>
      <c r="BS100" s="803">
        <v>8.3644882770473952E-2</v>
      </c>
      <c r="BT100" s="803">
        <v>0.11823407258299672</v>
      </c>
      <c r="BW100" s="1138">
        <f>'2018'!R\Max</f>
        <v>0</v>
      </c>
      <c r="BX100" s="1136">
        <f>'2019'!R\Max</f>
        <v>1.0244188270328982</v>
      </c>
      <c r="BY100" s="1136">
        <f>'2020'!R\Max</f>
        <v>0.63572599398035434</v>
      </c>
      <c r="BZ100" s="1136">
        <f>'2021'!R\Max</f>
        <v>0.81874303715802554</v>
      </c>
      <c r="CA100" s="1136">
        <f>'2022'!R\Max</f>
        <v>0.93115953722302536</v>
      </c>
      <c r="CB100" s="1136">
        <f>'2023'!R\Max</f>
        <v>0.93113202813820006</v>
      </c>
      <c r="CC100" s="1136">
        <f>'2024'!R\Max</f>
        <v>0.93110358591088271</v>
      </c>
      <c r="CD100" s="1136">
        <f>'2025'!R\Max</f>
        <v>0.93105447819875065</v>
      </c>
      <c r="CE100" s="1136">
        <f>'2026'!R\Max</f>
        <v>0.93118884128634605</v>
      </c>
      <c r="CF100" s="1137">
        <f>'2027'!R\Max</f>
        <v>0.93118430306891897</v>
      </c>
    </row>
    <row r="101" spans="1:84" s="6" customFormat="1" ht="11.25" x14ac:dyDescent="0.2">
      <c r="A101" s="11">
        <v>43187</v>
      </c>
      <c r="B101" s="380">
        <f>'2022'!Maxi_hp</f>
        <v>54.062253279945516</v>
      </c>
      <c r="C101" s="85">
        <f>'2022'!An_max</f>
        <v>2019</v>
      </c>
      <c r="D101" s="1089">
        <f t="shared" si="59"/>
        <v>0.99728744273117464</v>
      </c>
      <c r="E101" s="749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838">
        <f t="shared" si="62"/>
        <v>0.6428571428571429</v>
      </c>
      <c r="J101" s="829">
        <f t="shared" si="63"/>
        <v>54.209299108279609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838">
        <f t="shared" si="67"/>
        <v>0.17857142857142858</v>
      </c>
      <c r="AT101" s="855">
        <f t="shared" si="68"/>
        <v>54.243041819294113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838">
        <f t="shared" si="72"/>
        <v>0.6785714285714286</v>
      </c>
      <c r="AY101" s="855">
        <f t="shared" si="73"/>
        <v>54.014286876775849</v>
      </c>
      <c r="AZ101" s="829">
        <f t="shared" si="77"/>
        <v>54.128664348034981</v>
      </c>
      <c r="BA101" s="662">
        <f t="shared" si="74"/>
        <v>0.99728744273117464</v>
      </c>
      <c r="BB101" s="657">
        <v>43187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926">
        <f>1+[2]!Salcycl*Ksac</f>
        <v>1.0014315655076058</v>
      </c>
      <c r="BH101" s="1082">
        <f t="shared" si="75"/>
        <v>1.6016676647874531E-3</v>
      </c>
      <c r="BI101" s="11">
        <v>44283</v>
      </c>
      <c r="BJ101" s="803">
        <v>3.7684737716026226E-4</v>
      </c>
      <c r="BK101" s="803">
        <v>7.5604164434222296E-4</v>
      </c>
      <c r="BL101" s="803">
        <v>1.1246036269672117E-3</v>
      </c>
      <c r="BM101" s="803">
        <v>1.6016167775749965E-3</v>
      </c>
      <c r="BN101" s="803">
        <v>2.9458483090854088E-3</v>
      </c>
      <c r="BO101" s="804">
        <v>6.4540604060886646E-3</v>
      </c>
      <c r="BP101" s="803">
        <v>1.4712588560905992E-2</v>
      </c>
      <c r="BQ101" s="803">
        <v>2.9516668671965438E-2</v>
      </c>
      <c r="BR101" s="803">
        <v>5.2611944361940298E-2</v>
      </c>
      <c r="BS101" s="803">
        <v>8.2786487794525743E-2</v>
      </c>
      <c r="BT101" s="803">
        <v>0.1174850536418251</v>
      </c>
      <c r="BW101" s="1138">
        <f>'2018'!R\Max</f>
        <v>0</v>
      </c>
      <c r="BX101" s="1136">
        <f>'2019'!R\Max</f>
        <v>0.99728744273117464</v>
      </c>
      <c r="BY101" s="1136">
        <f>'2020'!R\Max</f>
        <v>0.93855697184333653</v>
      </c>
      <c r="BZ101" s="1136">
        <f>'2021'!R\Max</f>
        <v>0.97150790079704841</v>
      </c>
      <c r="CA101" s="1136">
        <f>'2022'!R\Max</f>
        <v>0.71105962253686128</v>
      </c>
      <c r="CB101" s="1136">
        <f>'2023'!R\Max</f>
        <v>0.71097346723395083</v>
      </c>
      <c r="CC101" s="1136">
        <f>'2024'!R\Max</f>
        <v>0.71088425120208409</v>
      </c>
      <c r="CD101" s="1136">
        <f>'2025'!R\Max</f>
        <v>0.7107296812839965</v>
      </c>
      <c r="CE101" s="1136">
        <f>'2026'!R\Max</f>
        <v>0.71115071190481594</v>
      </c>
      <c r="CF101" s="1137">
        <f>'2027'!R\Max</f>
        <v>0.71113669563673376</v>
      </c>
    </row>
    <row r="102" spans="1:84" s="6" customFormat="1" ht="11.25" x14ac:dyDescent="0.2">
      <c r="A102" s="11">
        <v>43188</v>
      </c>
      <c r="B102" s="380">
        <f>'2022'!Maxi_hp</f>
        <v>54.934926813744624</v>
      </c>
      <c r="C102" s="85">
        <f>'2022'!An_max</f>
        <v>2021</v>
      </c>
      <c r="D102" s="1089">
        <f t="shared" si="59"/>
        <v>1.008824048810715</v>
      </c>
      <c r="E102" s="749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838">
        <f t="shared" si="62"/>
        <v>0.7142857142857143</v>
      </c>
      <c r="J102" s="829">
        <f t="shared" si="63"/>
        <v>54.454418368105372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838">
        <f t="shared" si="67"/>
        <v>0.14285714285714285</v>
      </c>
      <c r="AT102" s="855">
        <f t="shared" si="68"/>
        <v>54.479976676457696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838">
        <f t="shared" si="72"/>
        <v>0.6428571428571429</v>
      </c>
      <c r="AY102" s="855">
        <f t="shared" si="73"/>
        <v>54.243526421859862</v>
      </c>
      <c r="AZ102" s="829">
        <f t="shared" si="77"/>
        <v>54.361751549158782</v>
      </c>
      <c r="BA102" s="662">
        <f t="shared" si="74"/>
        <v>1.008824048810715</v>
      </c>
      <c r="BB102" s="657">
        <v>43188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926">
        <f>1+[2]!Salcycl*Ksac</f>
        <v>1.0015399457719254</v>
      </c>
      <c r="BH102" s="1082">
        <f t="shared" si="75"/>
        <v>1.4960110685603573E-3</v>
      </c>
      <c r="BI102" s="11">
        <v>44284</v>
      </c>
      <c r="BJ102" s="803">
        <v>3.3111050067872929E-4</v>
      </c>
      <c r="BK102" s="803">
        <v>6.9663638833974398E-4</v>
      </c>
      <c r="BL102" s="803">
        <v>1.0473904932779149E-3</v>
      </c>
      <c r="BM102" s="803">
        <v>1.495961853660515E-3</v>
      </c>
      <c r="BN102" s="803">
        <v>2.7960177418570507E-3</v>
      </c>
      <c r="BO102" s="804">
        <v>6.2097817151302625E-3</v>
      </c>
      <c r="BP102" s="803">
        <v>1.4304487428898853E-2</v>
      </c>
      <c r="BQ102" s="803">
        <v>2.8893662384706725E-2</v>
      </c>
      <c r="BR102" s="803">
        <v>5.1795200354024441E-2</v>
      </c>
      <c r="BS102" s="803">
        <v>8.1937046769802138E-2</v>
      </c>
      <c r="BT102" s="803">
        <v>0.11675395144886253</v>
      </c>
      <c r="BW102" s="1138">
        <f>'2018'!R\Max</f>
        <v>0</v>
      </c>
      <c r="BX102" s="1136">
        <f>'2019'!R\Max</f>
        <v>1.0058876037681892</v>
      </c>
      <c r="BY102" s="1136">
        <f>'2020'!R\Max</f>
        <v>0.91344686934845654</v>
      </c>
      <c r="BZ102" s="1136">
        <f>'2021'!R\Max</f>
        <v>1.008824048810715</v>
      </c>
      <c r="CA102" s="1136">
        <f>'2022'!R\Max</f>
        <v>0.55788035116757162</v>
      </c>
      <c r="CB102" s="1136">
        <f>'2023'!R\Max</f>
        <v>0.55777929298164408</v>
      </c>
      <c r="CC102" s="1136">
        <f>'2024'!R\Max</f>
        <v>0.55767446713778424</v>
      </c>
      <c r="CD102" s="1136">
        <f>'2025'!R\Max</f>
        <v>0.55749223496949063</v>
      </c>
      <c r="CE102" s="1136">
        <f>'2026'!R\Max</f>
        <v>0.5579865261683572</v>
      </c>
      <c r="CF102" s="1137">
        <f>'2027'!R\Max</f>
        <v>0.55797030069191667</v>
      </c>
    </row>
    <row r="103" spans="1:84" s="6" customFormat="1" ht="11.25" x14ac:dyDescent="0.2">
      <c r="A103" s="11">
        <v>43189</v>
      </c>
      <c r="B103" s="380">
        <f>'2022'!Maxi_hp</f>
        <v>56.1503147173473</v>
      </c>
      <c r="C103" s="85">
        <f>'2022'!An_max</f>
        <v>2019</v>
      </c>
      <c r="D103" s="1089">
        <f t="shared" si="59"/>
        <v>1.0266547104601718</v>
      </c>
      <c r="E103" s="749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838">
        <f t="shared" si="62"/>
        <v>0.7857142857142857</v>
      </c>
      <c r="J103" s="829">
        <f t="shared" si="63"/>
        <v>54.69250191447459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838">
        <f t="shared" si="67"/>
        <v>0.10714285714285714</v>
      </c>
      <c r="AT103" s="855">
        <f t="shared" si="68"/>
        <v>54.710162991551421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838">
        <f t="shared" si="72"/>
        <v>0.6071428571428571</v>
      </c>
      <c r="AY103" s="855">
        <f t="shared" si="73"/>
        <v>54.469158368863688</v>
      </c>
      <c r="AZ103" s="829">
        <f t="shared" si="77"/>
        <v>54.589660680207558</v>
      </c>
      <c r="BA103" s="662">
        <f t="shared" si="74"/>
        <v>1.0266547104601718</v>
      </c>
      <c r="BB103" s="657">
        <v>43189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926">
        <f>1+[2]!Salcycl*Ksac</f>
        <v>1.0016567957887086</v>
      </c>
      <c r="BH103" s="1082">
        <f t="shared" si="75"/>
        <v>1.4068888580634981E-3</v>
      </c>
      <c r="BI103" s="11">
        <v>44285</v>
      </c>
      <c r="BJ103" s="803">
        <v>2.8870776947115034E-4</v>
      </c>
      <c r="BK103" s="803">
        <v>6.4461870099106078E-4</v>
      </c>
      <c r="BL103" s="803">
        <v>9.819974487696012E-4</v>
      </c>
      <c r="BM103" s="803">
        <v>1.4068412318951539E-3</v>
      </c>
      <c r="BN103" s="803">
        <v>2.6649293472121431E-3</v>
      </c>
      <c r="BO103" s="804">
        <v>5.9903513874022679E-3</v>
      </c>
      <c r="BP103" s="803">
        <v>1.3921537212048673E-2</v>
      </c>
      <c r="BQ103" s="803">
        <v>2.8292736101843491E-2</v>
      </c>
      <c r="BR103" s="803">
        <v>5.0988604537763105E-2</v>
      </c>
      <c r="BS103" s="803">
        <v>8.109653799898521E-2</v>
      </c>
      <c r="BT103" s="803">
        <v>0.11604073074757916</v>
      </c>
      <c r="BW103" s="1138">
        <f>'2018'!R\Max</f>
        <v>0</v>
      </c>
      <c r="BX103" s="1136">
        <f>'2019'!R\Max</f>
        <v>1.0266547104601718</v>
      </c>
      <c r="BY103" s="1136">
        <f>'2020'!R\Max</f>
        <v>0.64225419708908726</v>
      </c>
      <c r="BZ103" s="1136">
        <f>'2021'!R\Max</f>
        <v>0.93881020871287879</v>
      </c>
      <c r="CA103" s="1136">
        <f>'2022'!R\Max</f>
        <v>0.14499231900358631</v>
      </c>
      <c r="CB103" s="1136">
        <f>'2023'!R\Max</f>
        <v>0.1449516884297738</v>
      </c>
      <c r="CC103" s="1136">
        <f>'2024'!R\Max</f>
        <v>0.14490947146942204</v>
      </c>
      <c r="CD103" s="1136">
        <f>'2025'!R\Max</f>
        <v>0.14483584943229216</v>
      </c>
      <c r="CE103" s="1136">
        <f>'2026'!R\Max</f>
        <v>0.14503480149035944</v>
      </c>
      <c r="CF103" s="1137">
        <f>'2027'!R\Max</f>
        <v>0.14502835644630649</v>
      </c>
    </row>
    <row r="104" spans="1:84" s="6" customFormat="1" ht="11.25" x14ac:dyDescent="0.2">
      <c r="A104" s="11">
        <v>43190</v>
      </c>
      <c r="B104" s="380">
        <f>'2022'!Maxi_hp</f>
        <v>49.506417533337903</v>
      </c>
      <c r="C104" s="85">
        <f>'2022'!An_max</f>
        <v>2021</v>
      </c>
      <c r="D104" s="1089" t="str">
        <f t="shared" si="59"/>
        <v/>
      </c>
      <c r="E104" s="749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838">
        <f t="shared" si="62"/>
        <v>0.8571428571428571</v>
      </c>
      <c r="J104" s="829">
        <f t="shared" si="63"/>
        <v>54.922795918690305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838">
        <f t="shared" si="67"/>
        <v>7.1428571428571425E-2</v>
      </c>
      <c r="AT104" s="855">
        <f t="shared" si="68"/>
        <v>54.933277696291256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838">
        <f t="shared" si="72"/>
        <v>0.5714285714285714</v>
      </c>
      <c r="AY104" s="855">
        <f t="shared" si="73"/>
        <v>54.691048105699679</v>
      </c>
      <c r="AZ104" s="829">
        <f t="shared" si="77"/>
        <v>54.812162900995467</v>
      </c>
      <c r="BA104" s="662">
        <f t="shared" si="74"/>
        <v>0.90138196181106645</v>
      </c>
      <c r="BB104" s="657">
        <v>43190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926">
        <f>1+[2]!Salcycl*Ksac</f>
        <v>1.0017824832508662</v>
      </c>
      <c r="BH104" s="1082">
        <f t="shared" si="75"/>
        <v>1.3342983808813966E-3</v>
      </c>
      <c r="BI104" s="11">
        <v>44286</v>
      </c>
      <c r="BJ104" s="803">
        <v>2.4963884727995436E-4</v>
      </c>
      <c r="BK104" s="803">
        <v>5.9998749200587383E-4</v>
      </c>
      <c r="BL104" s="803">
        <v>9.2842261870112683E-4</v>
      </c>
      <c r="BM104" s="803">
        <v>1.3342522598805372E-3</v>
      </c>
      <c r="BN104" s="803">
        <v>2.5525800209598871E-3</v>
      </c>
      <c r="BO104" s="804">
        <v>5.7957648915073741E-3</v>
      </c>
      <c r="BP104" s="803">
        <v>1.3563732116010535E-2</v>
      </c>
      <c r="BQ104" s="803">
        <v>2.7713881740222213E-2</v>
      </c>
      <c r="BR104" s="803">
        <v>5.0192145335023121E-2</v>
      </c>
      <c r="BS104" s="803">
        <v>8.0264940719701403E-2</v>
      </c>
      <c r="BT104" s="803">
        <v>0.11534535691415367</v>
      </c>
      <c r="BW104" s="1138">
        <f>'2018'!R\Max</f>
        <v>0</v>
      </c>
      <c r="BX104" s="1136">
        <f>'2019'!R\Max</f>
        <v>0.87037017199961308</v>
      </c>
      <c r="BY104" s="1136">
        <f>'2020'!R\Max</f>
        <v>0.36569786553956291</v>
      </c>
      <c r="BZ104" s="1136">
        <f>'2021'!R\Max</f>
        <v>0.90138196181106645</v>
      </c>
      <c r="CA104" s="1136">
        <f>'2022'!R\Max</f>
        <v>0.4298648388607586</v>
      </c>
      <c r="CB104" s="1136">
        <f>'2023'!R\Max</f>
        <v>0.42976900199707352</v>
      </c>
      <c r="CC104" s="1136">
        <f>'2024'!R\Max</f>
        <v>0.4296692137753414</v>
      </c>
      <c r="CD104" s="1136">
        <f>'2025'!R\Max</f>
        <v>0.42997970899331023</v>
      </c>
      <c r="CE104" s="1136">
        <f>'2026'!R\Max</f>
        <v>0.42996468041744074</v>
      </c>
      <c r="CF104" s="1137">
        <f>'2027'!R\Max</f>
        <v>0.42994964971862509</v>
      </c>
    </row>
    <row r="105" spans="1:84" s="6" customFormat="1" ht="11.25" x14ac:dyDescent="0.2">
      <c r="A105" s="11">
        <v>43191</v>
      </c>
      <c r="B105" s="380">
        <f>'2022'!Maxi_hp</f>
        <v>49.445909039564896</v>
      </c>
      <c r="C105" s="85">
        <f>'2022'!An_max</f>
        <v>2021</v>
      </c>
      <c r="D105" s="1089" t="str">
        <f t="shared" si="59"/>
        <v/>
      </c>
      <c r="E105" s="749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838">
        <f t="shared" si="62"/>
        <v>0.9285714285714286</v>
      </c>
      <c r="J105" s="829">
        <f t="shared" si="63"/>
        <v>55.144546557297659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838">
        <f t="shared" si="67"/>
        <v>3.5714285714285712E-2</v>
      </c>
      <c r="AT105" s="855">
        <f t="shared" si="68"/>
        <v>55.14899772293866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838">
        <f t="shared" si="72"/>
        <v>0.5357142857142857</v>
      </c>
      <c r="AY105" s="855">
        <f t="shared" si="73"/>
        <v>54.909061019827746</v>
      </c>
      <c r="AZ105" s="829">
        <f t="shared" si="77"/>
        <v>55.029029371383203</v>
      </c>
      <c r="BA105" s="662">
        <f t="shared" si="74"/>
        <v>0.8966599986127074</v>
      </c>
      <c r="BB105" s="657">
        <v>43191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926">
        <f>1+[2]!Salcycl*Ksac</f>
        <v>1.0019173696641117</v>
      </c>
      <c r="BH105" s="1082">
        <f t="shared" si="75"/>
        <v>1.2782367967419698E-3</v>
      </c>
      <c r="BI105" s="11">
        <v>44287</v>
      </c>
      <c r="BJ105" s="803">
        <v>2.1390339133381625E-4</v>
      </c>
      <c r="BK105" s="803">
        <v>5.6274160281864175E-4</v>
      </c>
      <c r="BL105" s="803">
        <v>8.8666399619835633E-4</v>
      </c>
      <c r="BM105" s="803">
        <v>1.2781920973611784E-3</v>
      </c>
      <c r="BN105" s="803">
        <v>2.4589664844377455E-3</v>
      </c>
      <c r="BO105" s="804">
        <v>5.6260175230167233E-3</v>
      </c>
      <c r="BP105" s="803">
        <v>1.323106637683664E-2</v>
      </c>
      <c r="BQ105" s="803">
        <v>2.7157091581266501E-2</v>
      </c>
      <c r="BR105" s="803">
        <v>4.9405812011489469E-2</v>
      </c>
      <c r="BS105" s="803">
        <v>7.9442235075393067E-2</v>
      </c>
      <c r="BT105" s="803">
        <v>0.11466779589927156</v>
      </c>
      <c r="BW105" s="1138">
        <f>'2018'!R\Max</f>
        <v>0</v>
      </c>
      <c r="BX105" s="1136">
        <f>'2019'!R\Max</f>
        <v>0.78085367219705915</v>
      </c>
      <c r="BY105" s="1136">
        <f>'2020'!R\Max</f>
        <v>0.84385074673509641</v>
      </c>
      <c r="BZ105" s="1136">
        <f>'2021'!R\Max</f>
        <v>0.8966599986127074</v>
      </c>
      <c r="CA105" s="1136">
        <f>'2022'!R\Max</f>
        <v>0.63788132680376997</v>
      </c>
      <c r="CB105" s="1136">
        <f>'2023'!R\Max</f>
        <v>0.63779308944375257</v>
      </c>
      <c r="CC105" s="1136">
        <f>'2024'!R\Max</f>
        <v>0.63770100748707093</v>
      </c>
      <c r="CD105" s="1136">
        <f>'2025'!R\Max</f>
        <v>0.63798675540216221</v>
      </c>
      <c r="CE105" s="1136">
        <f>'2026'!R\Max</f>
        <v>0.63797306122131958</v>
      </c>
      <c r="CF105" s="1137">
        <f>'2027'!R\Max</f>
        <v>0.63795931775533965</v>
      </c>
    </row>
    <row r="106" spans="1:84" s="6" customFormat="1" ht="11.25" x14ac:dyDescent="0.2">
      <c r="A106" s="11">
        <v>43192</v>
      </c>
      <c r="B106" s="380">
        <f>'2022'!Maxi_hp</f>
        <v>44.480418756560418</v>
      </c>
      <c r="C106" s="85">
        <f>'2022'!An_max</f>
        <v>2020</v>
      </c>
      <c r="D106" s="1089" t="str">
        <f t="shared" si="59"/>
        <v/>
      </c>
      <c r="E106" s="837">
        <f>T$13/10</f>
        <v>55.356999999999992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838">
        <f t="shared" si="62"/>
        <v>1</v>
      </c>
      <c r="J106" s="829">
        <f t="shared" si="63"/>
        <v>55.357000001519921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838">
        <f t="shared" si="67"/>
        <v>0</v>
      </c>
      <c r="AT106" s="855">
        <f t="shared" si="68"/>
        <v>55.35700000077486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838">
        <f t="shared" si="72"/>
        <v>0.5</v>
      </c>
      <c r="AY106" s="855">
        <f t="shared" si="73"/>
        <v>55.123062500543895</v>
      </c>
      <c r="AZ106" s="829">
        <f t="shared" si="77"/>
        <v>55.240031250659378</v>
      </c>
      <c r="BA106" s="662">
        <f t="shared" si="74"/>
        <v>0.80351931563016654</v>
      </c>
      <c r="BB106" s="657">
        <v>43192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926">
        <f>1+[2]!Salcycl*Ksac</f>
        <v>1.002061809520715</v>
      </c>
      <c r="BH106" s="1082">
        <f t="shared" si="75"/>
        <v>1.238701024555806E-3</v>
      </c>
      <c r="BI106" s="11">
        <v>44288</v>
      </c>
      <c r="BJ106" s="803">
        <v>1.8150104167696514E-4</v>
      </c>
      <c r="BK106" s="803">
        <v>5.3287978293001985E-4</v>
      </c>
      <c r="BL106" s="803">
        <v>8.5671940439439268E-4</v>
      </c>
      <c r="BM106" s="803">
        <v>1.2386576632640231E-3</v>
      </c>
      <c r="BN106" s="803">
        <v>2.3840852244832746E-3</v>
      </c>
      <c r="BO106" s="804">
        <v>5.4811043248858401E-3</v>
      </c>
      <c r="BP106" s="803">
        <v>1.2923534180432752E-2</v>
      </c>
      <c r="BQ106" s="803">
        <v>2.6622358200264009E-2</v>
      </c>
      <c r="BR106" s="803">
        <v>4.8629594644121255E-2</v>
      </c>
      <c r="BS106" s="803">
        <v>7.8628402086496726E-2</v>
      </c>
      <c r="BT106" s="803">
        <v>0.11400801417036333</v>
      </c>
      <c r="BW106" s="1138">
        <f>'2018'!R\Max</f>
        <v>0</v>
      </c>
      <c r="BX106" s="1136">
        <f>'2019'!R\Max</f>
        <v>0.31015147138541016</v>
      </c>
      <c r="BY106" s="1136">
        <f>'2020'!R\Max</f>
        <v>0.80351931563016654</v>
      </c>
      <c r="BZ106" s="1136">
        <f>'2021'!R\Max</f>
        <v>0.77596633309323504</v>
      </c>
      <c r="CA106" s="1136">
        <f>'2022'!R\Max</f>
        <v>0.38977628549103277</v>
      </c>
      <c r="CB106" s="1136">
        <f>'2023'!R\Max</f>
        <v>0.38968755348518724</v>
      </c>
      <c r="CC106" s="1136">
        <f>'2024'!R\Max</f>
        <v>0.38959477169228962</v>
      </c>
      <c r="CD106" s="1136">
        <f>'2025'!R\Max</f>
        <v>0.38988219061752089</v>
      </c>
      <c r="CE106" s="1136">
        <f>'2026'!R\Max</f>
        <v>0.38986853579370645</v>
      </c>
      <c r="CF106" s="1137">
        <f>'2027'!R\Max</f>
        <v>0.38985478237065185</v>
      </c>
    </row>
    <row r="107" spans="1:84" s="6" customFormat="1" ht="11.25" x14ac:dyDescent="0.2">
      <c r="A107" s="11">
        <v>43193</v>
      </c>
      <c r="B107" s="380">
        <f>'2022'!Maxi_hp</f>
        <v>52.947397962650761</v>
      </c>
      <c r="C107" s="85">
        <f>'2022'!An_max</f>
        <v>2021</v>
      </c>
      <c r="D107" s="1089" t="str">
        <f t="shared" si="59"/>
        <v/>
      </c>
      <c r="E107" s="749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838">
        <f t="shared" si="62"/>
        <v>0.9285714285714286</v>
      </c>
      <c r="J107" s="829">
        <f t="shared" si="63"/>
        <v>55.560120354007395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838">
        <f t="shared" si="67"/>
        <v>3.5714285714285712E-2</v>
      </c>
      <c r="AT107" s="855">
        <f t="shared" si="68"/>
        <v>55.558038357033261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838">
        <f t="shared" si="72"/>
        <v>0.4642857142857143</v>
      </c>
      <c r="AY107" s="855">
        <f t="shared" si="73"/>
        <v>55.332917934669446</v>
      </c>
      <c r="AZ107" s="829">
        <f t="shared" si="77"/>
        <v>55.445478145851354</v>
      </c>
      <c r="BA107" s="662">
        <f t="shared" si="74"/>
        <v>0.95297486084066441</v>
      </c>
      <c r="BB107" s="657">
        <v>43193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926">
        <f>1+[2]!Salcycl*Ksac</f>
        <v>1.0022161495134647</v>
      </c>
      <c r="BH107" s="1082">
        <f t="shared" si="75"/>
        <v>1.2156876894515495E-3</v>
      </c>
      <c r="BI107" s="11">
        <v>44289</v>
      </c>
      <c r="BJ107" s="803">
        <v>1.5243141049763143E-4</v>
      </c>
      <c r="BK107" s="803">
        <v>5.1040066624648717E-4</v>
      </c>
      <c r="BL107" s="803">
        <v>8.3858645856708838E-4</v>
      </c>
      <c r="BM107" s="803">
        <v>1.215645582734101E-3</v>
      </c>
      <c r="BN107" s="803">
        <v>2.3279324333986004E-3</v>
      </c>
      <c r="BO107" s="804">
        <v>5.3610200078541672E-3</v>
      </c>
      <c r="BP107" s="803">
        <v>1.2641129581976517E-2</v>
      </c>
      <c r="BQ107" s="803">
        <v>2.6109674395576234E-2</v>
      </c>
      <c r="BR107" s="803">
        <v>4.7863484088469473E-2</v>
      </c>
      <c r="BS107" s="803">
        <v>7.7823423621402696E-2</v>
      </c>
      <c r="BT107" s="803">
        <v>0.11336597865353124</v>
      </c>
      <c r="BW107" s="1138">
        <f>'2018'!R\Max</f>
        <v>0</v>
      </c>
      <c r="BX107" s="1136">
        <f>'2019'!R\Max</f>
        <v>0.2769583726503892</v>
      </c>
      <c r="BY107" s="1136">
        <f>'2020'!R\Max</f>
        <v>0.46244873426724953</v>
      </c>
      <c r="BZ107" s="1136">
        <f>'2021'!R\Max</f>
        <v>0.95297486084066441</v>
      </c>
      <c r="CA107" s="1136">
        <f>'2022'!R\Max</f>
        <v>0.49603988874326999</v>
      </c>
      <c r="CB107" s="1136">
        <f>'2023'!R\Max</f>
        <v>0.49594881257313239</v>
      </c>
      <c r="CC107" s="1136">
        <f>'2024'!R\Max</f>
        <v>0.49585335579268791</v>
      </c>
      <c r="CD107" s="1136">
        <f>'2025'!R\Max</f>
        <v>0.49614863878632931</v>
      </c>
      <c r="CE107" s="1136">
        <f>'2026'!R\Max</f>
        <v>0.4961347269889968</v>
      </c>
      <c r="CF107" s="1137">
        <f>'2027'!R\Max</f>
        <v>0.49612066047703168</v>
      </c>
    </row>
    <row r="108" spans="1:84" s="6" customFormat="1" ht="11.25" x14ac:dyDescent="0.2">
      <c r="A108" s="11">
        <v>43194</v>
      </c>
      <c r="B108" s="380">
        <f>'2022'!Maxi_hp</f>
        <v>55.741875297523443</v>
      </c>
      <c r="C108" s="85">
        <f>'2022'!An_max</f>
        <v>2020</v>
      </c>
      <c r="D108" s="1089">
        <f t="shared" si="59"/>
        <v>0.99976938390177916</v>
      </c>
      <c r="E108" s="749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838">
        <f t="shared" si="62"/>
        <v>0.8571428571428571</v>
      </c>
      <c r="J108" s="829">
        <f t="shared" si="63"/>
        <v>55.754733236559801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838">
        <f t="shared" si="67"/>
        <v>7.1428571428571425E-2</v>
      </c>
      <c r="AT108" s="855">
        <f t="shared" si="68"/>
        <v>55.753153790267461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838">
        <f t="shared" si="72"/>
        <v>0.42857142857142855</v>
      </c>
      <c r="AY108" s="855">
        <f t="shared" si="73"/>
        <v>55.538492711899536</v>
      </c>
      <c r="AZ108" s="829">
        <f t="shared" si="77"/>
        <v>55.645823251083499</v>
      </c>
      <c r="BA108" s="662">
        <f t="shared" si="74"/>
        <v>0.99976938390177916</v>
      </c>
      <c r="BB108" s="657">
        <v>43194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926">
        <f>1+[2]!Salcycl*Ksac</f>
        <v>1.0023807277868975</v>
      </c>
      <c r="BH108" s="1082">
        <f t="shared" si="75"/>
        <v>1.2266993620612236E-3</v>
      </c>
      <c r="BI108" s="11">
        <v>44290</v>
      </c>
      <c r="BJ108" s="803">
        <v>1.281073410418383E-4</v>
      </c>
      <c r="BK108" s="803">
        <v>5.0088116599744539E-4</v>
      </c>
      <c r="BL108" s="803">
        <v>8.4314604280860477E-4</v>
      </c>
      <c r="BM108" s="803">
        <v>1.2266582259415116E-3</v>
      </c>
      <c r="BN108" s="803">
        <v>2.3133058635518341E-3</v>
      </c>
      <c r="BO108" s="804">
        <v>5.2927806488843572E-3</v>
      </c>
      <c r="BP108" s="803">
        <v>1.2417826464162082E-2</v>
      </c>
      <c r="BQ108" s="803">
        <v>2.5658648245052231E-2</v>
      </c>
      <c r="BR108" s="803">
        <v>4.7148926308166299E-2</v>
      </c>
      <c r="BS108" s="803">
        <v>7.7048856608517111E-2</v>
      </c>
      <c r="BT108" s="803">
        <v>0.11272597550480801</v>
      </c>
      <c r="BW108" s="1138">
        <f>'2018'!R\Max</f>
        <v>0</v>
      </c>
      <c r="BX108" s="1136">
        <f>'2019'!R\Max</f>
        <v>0.73671397292977414</v>
      </c>
      <c r="BY108" s="1136">
        <f>'2020'!R\Max</f>
        <v>0.99976938390177916</v>
      </c>
      <c r="BZ108" s="1136">
        <f>'2021'!R\Max</f>
        <v>0.96392739228138113</v>
      </c>
      <c r="CA108" s="1136">
        <f>'2022'!R\Max</f>
        <v>0.86710530579540568</v>
      </c>
      <c r="CB108" s="1136">
        <f>'2023'!R\Max</f>
        <v>0.86706426813443549</v>
      </c>
      <c r="CC108" s="1136">
        <f>'2024'!R\Max</f>
        <v>0.86702114566560973</v>
      </c>
      <c r="CD108" s="1136">
        <f>'2025'!R\Max</f>
        <v>0.86715447631758191</v>
      </c>
      <c r="CE108" s="1136">
        <f>'2026'!R\Max</f>
        <v>0.86714822172404937</v>
      </c>
      <c r="CF108" s="1137">
        <f>'2027'!R\Max</f>
        <v>0.86714187191260539</v>
      </c>
    </row>
    <row r="109" spans="1:84" s="6" customFormat="1" ht="11.25" x14ac:dyDescent="0.2">
      <c r="A109" s="11">
        <v>43195</v>
      </c>
      <c r="B109" s="380">
        <f>'2022'!Maxi_hp</f>
        <v>58.256884739736201</v>
      </c>
      <c r="C109" s="85">
        <f>'2022'!An_max</f>
        <v>2020</v>
      </c>
      <c r="D109" s="1089">
        <f t="shared" si="59"/>
        <v>1.0413916811314192</v>
      </c>
      <c r="E109" s="749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838">
        <f t="shared" si="62"/>
        <v>0.7857142857142857</v>
      </c>
      <c r="J109" s="829">
        <f t="shared" si="63"/>
        <v>55.941377096889276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838">
        <f t="shared" si="67"/>
        <v>0.10714285714285714</v>
      </c>
      <c r="AT109" s="855">
        <f t="shared" si="68"/>
        <v>55.94245399063719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838">
        <f t="shared" si="72"/>
        <v>0.39285714285714285</v>
      </c>
      <c r="AY109" s="855">
        <f t="shared" si="73"/>
        <v>55.739652218283823</v>
      </c>
      <c r="AZ109" s="829">
        <f t="shared" si="77"/>
        <v>55.841053104460507</v>
      </c>
      <c r="BA109" s="662">
        <f t="shared" si="74"/>
        <v>1.0413916811314192</v>
      </c>
      <c r="BB109" s="657">
        <v>43195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926">
        <f>1+[2]!Salcycl*Ksac</f>
        <v>1.0025558732222006</v>
      </c>
      <c r="BH109" s="1082">
        <f t="shared" si="75"/>
        <v>1.267142183710748E-3</v>
      </c>
      <c r="BI109" s="11">
        <v>44291</v>
      </c>
      <c r="BJ109" s="803">
        <v>1.0692744806346284E-4</v>
      </c>
      <c r="BK109" s="803">
        <v>5.0183693983979092E-4</v>
      </c>
      <c r="BL109" s="803">
        <v>8.6695842737814657E-4</v>
      </c>
      <c r="BM109" s="803">
        <v>1.2671017593492665E-3</v>
      </c>
      <c r="BN109" s="803">
        <v>2.3349476625019417E-3</v>
      </c>
      <c r="BO109" s="804">
        <v>5.2679368263550816E-3</v>
      </c>
      <c r="BP109" s="803">
        <v>1.2246575895934008E-2</v>
      </c>
      <c r="BQ109" s="803">
        <v>2.5264773072625247E-2</v>
      </c>
      <c r="BR109" s="803">
        <v>4.6480296956351141E-2</v>
      </c>
      <c r="BS109" s="803">
        <v>7.6287514549874647E-2</v>
      </c>
      <c r="BT109" s="803">
        <v>0.11205126839753835</v>
      </c>
      <c r="BW109" s="1138">
        <f>'2018'!R\Max</f>
        <v>0</v>
      </c>
      <c r="BX109" s="1136">
        <f>'2019'!R\Max</f>
        <v>0.92779895727148676</v>
      </c>
      <c r="BY109" s="1136">
        <f>'2020'!R\Max</f>
        <v>1.0413916811314192</v>
      </c>
      <c r="BZ109" s="1136">
        <f>'2021'!R\Max</f>
        <v>0.9463717859404337</v>
      </c>
      <c r="CA109" s="1136">
        <f>'2022'!R\Max</f>
        <v>0.9960958885838318</v>
      </c>
      <c r="CB109" s="1136">
        <f>'2023'!R\Max</f>
        <v>0.99609453353018196</v>
      </c>
      <c r="CC109" s="1136">
        <f>'2024'!R\Max</f>
        <v>0.99609310618428559</v>
      </c>
      <c r="CD109" s="1136">
        <f>'2025'!R\Max</f>
        <v>0.9960975218254009</v>
      </c>
      <c r="CE109" s="1136">
        <f>'2026'!R\Max</f>
        <v>0.99609731464383311</v>
      </c>
      <c r="CF109" s="1137">
        <f>'2027'!R\Max</f>
        <v>0.99609710344274671</v>
      </c>
    </row>
    <row r="110" spans="1:84" s="6" customFormat="1" ht="11.25" x14ac:dyDescent="0.2">
      <c r="A110" s="11">
        <v>43196</v>
      </c>
      <c r="B110" s="380">
        <f>'2022'!Maxi_hp</f>
        <v>57.685469912803519</v>
      </c>
      <c r="C110" s="85">
        <f>'2022'!An_max</f>
        <v>2020</v>
      </c>
      <c r="D110" s="1089">
        <f t="shared" si="59"/>
        <v>1.0278842314667778</v>
      </c>
      <c r="E110" s="749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838">
        <f t="shared" si="62"/>
        <v>0.7142857142857143</v>
      </c>
      <c r="J110" s="829">
        <f t="shared" si="63"/>
        <v>56.12059038057923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838">
        <f t="shared" si="67"/>
        <v>0.14285714285714285</v>
      </c>
      <c r="AT110" s="855">
        <f t="shared" si="68"/>
        <v>56.1260466478765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838">
        <f t="shared" si="72"/>
        <v>0.35714285714285715</v>
      </c>
      <c r="AY110" s="855">
        <f t="shared" si="73"/>
        <v>55.936261843437592</v>
      </c>
      <c r="AZ110" s="829">
        <f t="shared" si="77"/>
        <v>56.031154245657049</v>
      </c>
      <c r="BA110" s="662">
        <f t="shared" si="74"/>
        <v>1.0278842314667778</v>
      </c>
      <c r="BB110" s="657">
        <v>43196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926">
        <f>1+[2]!Salcycl*Ksac</f>
        <v>1.0027419047516228</v>
      </c>
      <c r="BH110" s="1082">
        <f t="shared" si="75"/>
        <v>1.3370079794505869E-3</v>
      </c>
      <c r="BI110" s="11">
        <v>44292</v>
      </c>
      <c r="BJ110" s="803">
        <v>8.8891224065601956E-5</v>
      </c>
      <c r="BK110" s="803">
        <v>5.1326524965755705E-4</v>
      </c>
      <c r="BL110" s="803">
        <v>9.100182892138875E-4</v>
      </c>
      <c r="BM110" s="803">
        <v>1.3369680080742498E-3</v>
      </c>
      <c r="BN110" s="803">
        <v>2.3928479008076802E-3</v>
      </c>
      <c r="BO110" s="804">
        <v>5.2864765703965503E-3</v>
      </c>
      <c r="BP110" s="803">
        <v>1.2127363584050503E-2</v>
      </c>
      <c r="BQ110" s="803">
        <v>2.4928032248294305E-2</v>
      </c>
      <c r="BR110" s="803">
        <v>4.5857579141536021E-2</v>
      </c>
      <c r="BS110" s="803">
        <v>7.5539380227561029E-2</v>
      </c>
      <c r="BT110" s="803">
        <v>0.11134183908056394</v>
      </c>
      <c r="BW110" s="1138">
        <f>'2018'!R\Max</f>
        <v>0</v>
      </c>
      <c r="BX110" s="1136">
        <f>'2019'!R\Max</f>
        <v>0.34224960685855155</v>
      </c>
      <c r="BY110" s="1136">
        <f>'2020'!R\Max</f>
        <v>1.0278842314667778</v>
      </c>
      <c r="BZ110" s="1136">
        <f>'2021'!R\Max</f>
        <v>0.53411465861090923</v>
      </c>
      <c r="CA110" s="1136">
        <f>'2022'!R\Max</f>
        <v>0.23315224058216519</v>
      </c>
      <c r="CB110" s="1136">
        <f>'2023'!R\Max</f>
        <v>0.23309654614928446</v>
      </c>
      <c r="CC110" s="1136">
        <f>'2024'!R\Max</f>
        <v>0.23303777130122705</v>
      </c>
      <c r="CD110" s="1136">
        <f>'2025'!R\Max</f>
        <v>0.23321996939314743</v>
      </c>
      <c r="CE110" s="1136">
        <f>'2026'!R\Max</f>
        <v>0.23321137304713288</v>
      </c>
      <c r="CF110" s="1137">
        <f>'2027'!R\Max</f>
        <v>0.23320257455708671</v>
      </c>
    </row>
    <row r="111" spans="1:84" s="6" customFormat="1" ht="11.25" x14ac:dyDescent="0.2">
      <c r="A111" s="11">
        <v>43197</v>
      </c>
      <c r="B111" s="380">
        <f>'2022'!Maxi_hp</f>
        <v>56.268394657199678</v>
      </c>
      <c r="C111" s="85">
        <f>'2022'!An_max</f>
        <v>2021</v>
      </c>
      <c r="D111" s="1089">
        <f t="shared" si="59"/>
        <v>0.9995644766531141</v>
      </c>
      <c r="E111" s="749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838">
        <f t="shared" si="62"/>
        <v>0.6428571428571429</v>
      </c>
      <c r="J111" s="829">
        <f t="shared" si="63"/>
        <v>56.29291153443711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838">
        <f t="shared" si="67"/>
        <v>0.17857142857142858</v>
      </c>
      <c r="AT111" s="855">
        <f t="shared" si="68"/>
        <v>56.304039450495374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838">
        <f t="shared" si="72"/>
        <v>0.32142857142857145</v>
      </c>
      <c r="AY111" s="855">
        <f t="shared" si="73"/>
        <v>56.128186975965015</v>
      </c>
      <c r="AZ111" s="829">
        <f t="shared" si="77"/>
        <v>56.216113213230194</v>
      </c>
      <c r="BA111" s="662">
        <f t="shared" si="74"/>
        <v>0.9995644766531141</v>
      </c>
      <c r="BB111" s="657">
        <v>43197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926">
        <f>1+[2]!Salcycl*Ksac</f>
        <v>1.0029391306977662</v>
      </c>
      <c r="BH111" s="1082">
        <f t="shared" si="75"/>
        <v>1.4362876443654239E-3</v>
      </c>
      <c r="BI111" s="11">
        <v>44293</v>
      </c>
      <c r="BJ111" s="803">
        <v>7.3998095026863526E-5</v>
      </c>
      <c r="BK111" s="803">
        <v>5.3516304361992458E-4</v>
      </c>
      <c r="BL111" s="803">
        <v>9.7231970029709681E-4</v>
      </c>
      <c r="BM111" s="803">
        <v>1.4362478672743783E-3</v>
      </c>
      <c r="BN111" s="803">
        <v>2.4869955391190182E-3</v>
      </c>
      <c r="BO111" s="804">
        <v>5.3483866478162348E-3</v>
      </c>
      <c r="BP111" s="803">
        <v>1.206017390052478E-2</v>
      </c>
      <c r="BQ111" s="803">
        <v>2.4648407938624061E-2</v>
      </c>
      <c r="BR111" s="803">
        <v>4.5280755451878117E-2</v>
      </c>
      <c r="BS111" s="803">
        <v>7.4804436990553114E-2</v>
      </c>
      <c r="BT111" s="803">
        <v>0.11059767117860618</v>
      </c>
      <c r="BW111" s="1138">
        <f>'2018'!R\Max</f>
        <v>0</v>
      </c>
      <c r="BX111" s="1136">
        <f>'2019'!R\Max</f>
        <v>0.66553308144982459</v>
      </c>
      <c r="BY111" s="1136">
        <f>'2020'!R\Max</f>
        <v>0.49585238914962471</v>
      </c>
      <c r="BZ111" s="1136">
        <f>'2021'!R\Max</f>
        <v>0.9995644766531141</v>
      </c>
      <c r="CA111" s="1136">
        <f>'2022'!R\Max</f>
        <v>0.76587616185970209</v>
      </c>
      <c r="CB111" s="1136">
        <f>'2023'!R\Max</f>
        <v>0.76581615706301231</v>
      </c>
      <c r="CC111" s="1136">
        <f>'2024'!R\Max</f>
        <v>0.76575266331295344</v>
      </c>
      <c r="CD111" s="1136">
        <f>'2025'!R\Max</f>
        <v>0.76594989785456868</v>
      </c>
      <c r="CE111" s="1136">
        <f>'2026'!R\Max</f>
        <v>0.76594050878283793</v>
      </c>
      <c r="CF111" s="1137">
        <f>'2027'!R\Max</f>
        <v>0.76593085961377494</v>
      </c>
    </row>
    <row r="112" spans="1:84" s="6" customFormat="1" ht="11.25" x14ac:dyDescent="0.2">
      <c r="A112" s="11">
        <v>43198</v>
      </c>
      <c r="B112" s="380">
        <f>'2022'!Maxi_hp</f>
        <v>56.211155978326396</v>
      </c>
      <c r="C112" s="85">
        <f>'2022'!An_max</f>
        <v>2021</v>
      </c>
      <c r="D112" s="1089">
        <f t="shared" si="59"/>
        <v>0.99561232821470236</v>
      </c>
      <c r="E112" s="749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838">
        <f t="shared" si="62"/>
        <v>0.5714285714285714</v>
      </c>
      <c r="J112" s="829">
        <f t="shared" si="63"/>
        <v>56.458879008782766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838">
        <f t="shared" si="67"/>
        <v>0.21428571428571427</v>
      </c>
      <c r="AT112" s="855">
        <f t="shared" si="68"/>
        <v>56.476540087323102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838">
        <f t="shared" si="72"/>
        <v>0.2857142857142857</v>
      </c>
      <c r="AY112" s="855">
        <f t="shared" si="73"/>
        <v>56.315293002873659</v>
      </c>
      <c r="AZ112" s="829">
        <f t="shared" si="77"/>
        <v>56.39591654509838</v>
      </c>
      <c r="BA112" s="662">
        <f t="shared" si="74"/>
        <v>0.99561232821470236</v>
      </c>
      <c r="BB112" s="657">
        <v>43198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926">
        <f>1+[2]!Salcycl*Ksac</f>
        <v>1.003147848132758</v>
      </c>
      <c r="BH112" s="1082">
        <f t="shared" si="75"/>
        <v>1.5649710491952718E-3</v>
      </c>
      <c r="BI112" s="11">
        <v>44294</v>
      </c>
      <c r="BJ112" s="803">
        <v>6.2247410331522696E-5</v>
      </c>
      <c r="BK112" s="803">
        <v>5.6752692259559882E-4</v>
      </c>
      <c r="BL112" s="803">
        <v>1.053856065913821E-3</v>
      </c>
      <c r="BM112" s="803">
        <v>1.5649312077705389E-3</v>
      </c>
      <c r="BN112" s="803">
        <v>2.6173783118798332E-3</v>
      </c>
      <c r="BO112" s="804">
        <v>5.4536524229506396E-3</v>
      </c>
      <c r="BP112" s="803">
        <v>1.2044989715734712E-2</v>
      </c>
      <c r="BQ112" s="803">
        <v>2.4425880923503712E-2</v>
      </c>
      <c r="BR112" s="803">
        <v>4.4749807807860587E-2</v>
      </c>
      <c r="BS112" s="803">
        <v>7.4082668712017116E-2</v>
      </c>
      <c r="BT112" s="803">
        <v>0.10981875030284854</v>
      </c>
      <c r="BW112" s="1138">
        <f>'2018'!R\Max</f>
        <v>0</v>
      </c>
      <c r="BX112" s="1136">
        <f>'2019'!R\Max</f>
        <v>0.61964215098762931</v>
      </c>
      <c r="BY112" s="1136">
        <f>'2020'!R\Max</f>
        <v>0.64484330196392359</v>
      </c>
      <c r="BZ112" s="1136">
        <f>'2021'!R\Max</f>
        <v>0.99561232821470236</v>
      </c>
      <c r="CA112" s="1136">
        <f>'2022'!R\Max</f>
        <v>0.61962323461665825</v>
      </c>
      <c r="CB112" s="1136">
        <f>'2023'!R\Max</f>
        <v>0.61954580282779659</v>
      </c>
      <c r="CC112" s="1136">
        <f>'2024'!R\Max</f>
        <v>0.61946368420001618</v>
      </c>
      <c r="CD112" s="1136">
        <f>'2025'!R\Max</f>
        <v>0.61971966227411124</v>
      </c>
      <c r="CE112" s="1136">
        <f>'2026'!R\Max</f>
        <v>0.61970730296820697</v>
      </c>
      <c r="CF112" s="1137">
        <f>'2027'!R\Max</f>
        <v>0.61969455203649615</v>
      </c>
    </row>
    <row r="113" spans="1:84" s="6" customFormat="1" ht="11.25" x14ac:dyDescent="0.2">
      <c r="A113" s="11">
        <v>43199</v>
      </c>
      <c r="B113" s="380">
        <f>'2022'!Maxi_hp</f>
        <v>45.992596170964376</v>
      </c>
      <c r="C113" s="85">
        <f>'2022'!An_max</f>
        <v>2019</v>
      </c>
      <c r="D113" s="1089" t="str">
        <f t="shared" si="59"/>
        <v/>
      </c>
      <c r="E113" s="749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838">
        <f t="shared" si="62"/>
        <v>0.5</v>
      </c>
      <c r="J113" s="829">
        <f t="shared" si="63"/>
        <v>56.619031250476837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838">
        <f t="shared" si="67"/>
        <v>0.25</v>
      </c>
      <c r="AT113" s="855">
        <f t="shared" si="68"/>
        <v>56.643656249903145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838">
        <f t="shared" si="72"/>
        <v>0.25</v>
      </c>
      <c r="AY113" s="855">
        <f t="shared" si="73"/>
        <v>56.497445311676714</v>
      </c>
      <c r="AZ113" s="829">
        <f t="shared" si="77"/>
        <v>56.570550780789929</v>
      </c>
      <c r="BA113" s="662">
        <f t="shared" si="74"/>
        <v>0.81231690396640321</v>
      </c>
      <c r="BB113" s="657">
        <v>43199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926">
        <f>1+[2]!Salcycl*Ksac</f>
        <v>1.0033683422520565</v>
      </c>
      <c r="BH113" s="1082">
        <f t="shared" si="75"/>
        <v>1.723046945945236E-3</v>
      </c>
      <c r="BI113" s="11">
        <v>44295</v>
      </c>
      <c r="BJ113" s="803">
        <v>5.3638432698756495E-5</v>
      </c>
      <c r="BK113" s="803">
        <v>6.1035310656271915E-4</v>
      </c>
      <c r="BL113" s="803">
        <v>1.1546200629088111E-3</v>
      </c>
      <c r="BM113" s="803">
        <v>1.7230067816571843E-3</v>
      </c>
      <c r="BN113" s="803">
        <v>2.7839826110097961E-3</v>
      </c>
      <c r="BO113" s="804">
        <v>5.602257718470241E-3</v>
      </c>
      <c r="BP113" s="803">
        <v>1.2081792231423848E-2</v>
      </c>
      <c r="BQ113" s="803">
        <v>2.4260430412681871E-2</v>
      </c>
      <c r="BR113" s="803">
        <v>4.4264717314561351E-2</v>
      </c>
      <c r="BS113" s="803">
        <v>7.3374059745929851E-2</v>
      </c>
      <c r="BT113" s="803">
        <v>0.10900506416052402</v>
      </c>
      <c r="BW113" s="1138">
        <f>'2018'!R\Max</f>
        <v>0</v>
      </c>
      <c r="BX113" s="1136">
        <f>'2019'!R\Max</f>
        <v>0.81231690396640321</v>
      </c>
      <c r="BY113" s="1136">
        <f>'2020'!R\Max</f>
        <v>0.75371336098785113</v>
      </c>
      <c r="BZ113" s="1136">
        <f>'2021'!R\Max</f>
        <v>0.59909496459033662</v>
      </c>
      <c r="CA113" s="1136">
        <f>'2022'!R\Max</f>
        <v>0.67444559449174801</v>
      </c>
      <c r="CB113" s="1136">
        <f>'2023'!R\Max</f>
        <v>0.67437468266449418</v>
      </c>
      <c r="CC113" s="1136">
        <f>'2024'!R\Max</f>
        <v>0.67429930049358777</v>
      </c>
      <c r="CD113" s="1136">
        <f>'2025'!R\Max</f>
        <v>0.67453529143934998</v>
      </c>
      <c r="CE113" s="1136">
        <f>'2026'!R\Max</f>
        <v>0.67452368487925385</v>
      </c>
      <c r="CF113" s="1137">
        <f>'2027'!R\Max</f>
        <v>0.67451166650820582</v>
      </c>
    </row>
    <row r="114" spans="1:84" s="6" customFormat="1" ht="11.25" x14ac:dyDescent="0.2">
      <c r="A114" s="11">
        <v>43200</v>
      </c>
      <c r="B114" s="380">
        <f>'2022'!Maxi_hp</f>
        <v>58.392220786132839</v>
      </c>
      <c r="C114" s="85">
        <f>'2022'!An_max</f>
        <v>2022</v>
      </c>
      <c r="D114" s="1089">
        <f t="shared" si="59"/>
        <v>1.0285045397372838</v>
      </c>
      <c r="E114" s="749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838">
        <f t="shared" si="62"/>
        <v>0.42857142857142855</v>
      </c>
      <c r="J114" s="829">
        <f t="shared" si="63"/>
        <v>56.773906706379989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838">
        <f t="shared" si="67"/>
        <v>0.2857142857142857</v>
      </c>
      <c r="AT114" s="855">
        <f t="shared" si="68"/>
        <v>56.805495627224445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838">
        <f t="shared" si="72"/>
        <v>0.21428571428571427</v>
      </c>
      <c r="AY114" s="855">
        <f t="shared" si="73"/>
        <v>56.674509292947391</v>
      </c>
      <c r="AZ114" s="829">
        <f t="shared" si="77"/>
        <v>56.740002460085918</v>
      </c>
      <c r="BA114" s="662">
        <f t="shared" si="74"/>
        <v>1.0285045397372838</v>
      </c>
      <c r="BB114" s="657">
        <v>43200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926">
        <f>1+[2]!Salcycl*Ksac</f>
        <v>1.0036008857574896</v>
      </c>
      <c r="BH114" s="1082">
        <f t="shared" si="75"/>
        <v>1.9328057452375339E-3</v>
      </c>
      <c r="BI114" s="11">
        <v>44296</v>
      </c>
      <c r="BJ114" s="803">
        <v>4.9684398099394474E-5</v>
      </c>
      <c r="BK114" s="803">
        <v>6.7013309042791966E-4</v>
      </c>
      <c r="BL114" s="803">
        <v>1.2880128198007252E-3</v>
      </c>
      <c r="BM114" s="803">
        <v>1.9327645808590868E-3</v>
      </c>
      <c r="BN114" s="803">
        <v>3.0201586984063117E-3</v>
      </c>
      <c r="BO114" s="804">
        <v>5.8368911279931025E-3</v>
      </c>
      <c r="BP114" s="803">
        <v>1.2222461466049328E-2</v>
      </c>
      <c r="BQ114" s="803">
        <v>2.4212445847820323E-2</v>
      </c>
      <c r="BR114" s="803">
        <v>4.3896321542368229E-2</v>
      </c>
      <c r="BS114" s="803">
        <v>7.2751456084319224E-2</v>
      </c>
      <c r="BT114" s="803">
        <v>0.10822258737998205</v>
      </c>
      <c r="BW114" s="1138">
        <f>'2018'!R\Max</f>
        <v>0</v>
      </c>
      <c r="BX114" s="1136">
        <f>'2019'!R\Max</f>
        <v>0.77661126936314651</v>
      </c>
      <c r="BY114" s="1136">
        <f>'2020'!R\Max</f>
        <v>0.99462262171705762</v>
      </c>
      <c r="BZ114" s="1136">
        <f>'2021'!R\Max</f>
        <v>0.6098360457300851</v>
      </c>
      <c r="CA114" s="1136">
        <f>'2022'!R\Max</f>
        <v>1.0285045397372838</v>
      </c>
      <c r="CB114" s="1136">
        <f>'2023'!R\Max</f>
        <v>1.0285045397372836</v>
      </c>
      <c r="CC114" s="1136">
        <f>'2024'!R\Max</f>
        <v>1.0285045397372836</v>
      </c>
      <c r="CD114" s="1136">
        <f>'2025'!R\Max</f>
        <v>1.0285045397372836</v>
      </c>
      <c r="CE114" s="1136">
        <f>'2026'!R\Max</f>
        <v>1.0285045397372836</v>
      </c>
      <c r="CF114" s="1137">
        <f>'2027'!R\Max</f>
        <v>1.0285045397372838</v>
      </c>
    </row>
    <row r="115" spans="1:84" s="6" customFormat="1" ht="11.25" x14ac:dyDescent="0.2">
      <c r="A115" s="11">
        <v>43201</v>
      </c>
      <c r="B115" s="380">
        <f>'2022'!Maxi_hp</f>
        <v>56.926003902955259</v>
      </c>
      <c r="C115" s="85">
        <f>'2022'!An_max</f>
        <v>2020</v>
      </c>
      <c r="D115" s="1089">
        <f t="shared" si="59"/>
        <v>1.0000344332543809</v>
      </c>
      <c r="E115" s="749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838">
        <f t="shared" si="62"/>
        <v>0.35714285714285715</v>
      </c>
      <c r="J115" s="829">
        <f t="shared" si="63"/>
        <v>56.924043822873912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838">
        <f t="shared" si="67"/>
        <v>0.32142857142857145</v>
      </c>
      <c r="AT115" s="855">
        <f t="shared" si="68"/>
        <v>56.962165907663959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838">
        <f t="shared" si="72"/>
        <v>0.17857142857142858</v>
      </c>
      <c r="AY115" s="855">
        <f t="shared" si="73"/>
        <v>56.846350332708766</v>
      </c>
      <c r="AZ115" s="829">
        <f t="shared" si="77"/>
        <v>56.904258120186363</v>
      </c>
      <c r="BA115" s="662">
        <f t="shared" si="74"/>
        <v>1.0000344332543809</v>
      </c>
      <c r="BB115" s="657">
        <v>43201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926">
        <f>1+[2]!Salcycl*Ksac</f>
        <v>1.0038457382441059</v>
      </c>
      <c r="BH115" s="1082">
        <f t="shared" si="75"/>
        <v>2.1822995216465484E-3</v>
      </c>
      <c r="BI115" s="11">
        <v>44297</v>
      </c>
      <c r="BJ115" s="803">
        <v>4.8657127291659715E-5</v>
      </c>
      <c r="BK115" s="803">
        <v>7.4196484586487458E-4</v>
      </c>
      <c r="BL115" s="803">
        <v>1.4456510325623953E-3</v>
      </c>
      <c r="BM115" s="803">
        <v>2.1822567385802738E-3</v>
      </c>
      <c r="BN115" s="803">
        <v>3.3124099524150172E-3</v>
      </c>
      <c r="BO115" s="804">
        <v>6.1411387804863474E-3</v>
      </c>
      <c r="BP115" s="803">
        <v>1.2448871212023189E-2</v>
      </c>
      <c r="BQ115" s="803">
        <v>2.4264307867105078E-2</v>
      </c>
      <c r="BR115" s="803">
        <v>4.3639998667431672E-2</v>
      </c>
      <c r="BS115" s="803">
        <v>7.2222932000185314E-2</v>
      </c>
      <c r="BT115" s="803">
        <v>0.10748989006391409</v>
      </c>
      <c r="BW115" s="1138">
        <f>'2018'!R\Max</f>
        <v>0</v>
      </c>
      <c r="BX115" s="1136">
        <f>'2019'!R\Max</f>
        <v>0.15820223366100306</v>
      </c>
      <c r="BY115" s="1136">
        <f>'2020'!R\Max</f>
        <v>1.0000344332543809</v>
      </c>
      <c r="BZ115" s="1136">
        <f>'2021'!R\Max</f>
        <v>0.14506576941263097</v>
      </c>
      <c r="CA115" s="1136">
        <f>'2022'!R\Max</f>
        <v>0.84652175997951506</v>
      </c>
      <c r="CB115" s="1136">
        <f>'2023'!R\Max</f>
        <v>0.84648088188751403</v>
      </c>
      <c r="CC115" s="1136">
        <f>'2024'!R\Max</f>
        <v>0.84643723590883713</v>
      </c>
      <c r="CD115" s="1136">
        <f>'2025'!R\Max</f>
        <v>0.84657600382344345</v>
      </c>
      <c r="CE115" s="1136">
        <f>'2026'!R\Max</f>
        <v>0.84656868409239072</v>
      </c>
      <c r="CF115" s="1137">
        <f>'2027'!R\Max</f>
        <v>0.84656106535341302</v>
      </c>
    </row>
    <row r="116" spans="1:84" s="6" customFormat="1" ht="11.25" x14ac:dyDescent="0.2">
      <c r="A116" s="11">
        <v>43202</v>
      </c>
      <c r="B116" s="380">
        <f>'2022'!Maxi_hp</f>
        <v>56.893751444283453</v>
      </c>
      <c r="C116" s="85">
        <f>'2022'!An_max</f>
        <v>2019</v>
      </c>
      <c r="D116" s="1089">
        <f t="shared" si="59"/>
        <v>0.99691204373052911</v>
      </c>
      <c r="E116" s="749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838">
        <f t="shared" si="62"/>
        <v>0.2857142857142857</v>
      </c>
      <c r="J116" s="829">
        <f t="shared" si="63"/>
        <v>57.069981050065586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838">
        <f t="shared" si="67"/>
        <v>0.35714285714285715</v>
      </c>
      <c r="AT116" s="855">
        <f t="shared" si="68"/>
        <v>57.113774781088736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838">
        <f t="shared" si="72"/>
        <v>0.14285714285714285</v>
      </c>
      <c r="AY116" s="855">
        <f t="shared" si="73"/>
        <v>57.012833818527199</v>
      </c>
      <c r="AZ116" s="829">
        <f t="shared" si="77"/>
        <v>57.063304299807967</v>
      </c>
      <c r="BA116" s="662">
        <f t="shared" si="74"/>
        <v>0.99691204373052911</v>
      </c>
      <c r="BB116" s="657">
        <v>43202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926">
        <f>1+[2]!Salcycl*Ksac</f>
        <v>1.0041031455855052</v>
      </c>
      <c r="BH116" s="1082">
        <f t="shared" si="75"/>
        <v>2.471508843895528E-3</v>
      </c>
      <c r="BI116" s="11">
        <v>44298</v>
      </c>
      <c r="BJ116" s="803">
        <v>5.0555609819573195E-5</v>
      </c>
      <c r="BK116" s="803">
        <v>8.2584252931348012E-4</v>
      </c>
      <c r="BL116" s="803">
        <v>1.6275227005245667E-3</v>
      </c>
      <c r="BM116" s="803">
        <v>2.4714638238044974E-3</v>
      </c>
      <c r="BN116" s="803">
        <v>3.6607100605945977E-3</v>
      </c>
      <c r="BO116" s="804">
        <v>6.5149685103672453E-3</v>
      </c>
      <c r="BP116" s="803">
        <v>1.2760983200820248E-2</v>
      </c>
      <c r="BQ116" s="803">
        <v>2.4415972923208878E-2</v>
      </c>
      <c r="BR116" s="803">
        <v>4.3495700702667395E-2</v>
      </c>
      <c r="BS116" s="803">
        <v>7.178844183828445E-2</v>
      </c>
      <c r="BT116" s="803">
        <v>0.10680693448982174</v>
      </c>
      <c r="BW116" s="1138">
        <f>'2018'!R\Max</f>
        <v>0</v>
      </c>
      <c r="BX116" s="1136">
        <f>'2019'!R\Max</f>
        <v>0.99691204373052911</v>
      </c>
      <c r="BY116" s="1136">
        <f>'2020'!R\Max</f>
        <v>0.9845569449875845</v>
      </c>
      <c r="BZ116" s="1136">
        <f>'2021'!R\Max</f>
        <v>0.77795558904680129</v>
      </c>
      <c r="CA116" s="1136">
        <f>'2022'!R\Max</f>
        <v>4.7704645304736393E-2</v>
      </c>
      <c r="CB116" s="1136">
        <f>'2023'!R\Max</f>
        <v>4.7694234592123158E-2</v>
      </c>
      <c r="CC116" s="1136">
        <f>'2024'!R\Max</f>
        <v>4.7683101425232868E-2</v>
      </c>
      <c r="CD116" s="1136">
        <f>'2025'!R\Max</f>
        <v>4.7718899022909454E-2</v>
      </c>
      <c r="CE116" s="1136">
        <f>'2026'!R\Max</f>
        <v>4.7716916814827794E-2</v>
      </c>
      <c r="CF116" s="1137">
        <f>'2027'!R\Max</f>
        <v>4.771485091048687E-2</v>
      </c>
    </row>
    <row r="117" spans="1:84" s="6" customFormat="1" ht="11.25" x14ac:dyDescent="0.2">
      <c r="A117" s="11">
        <v>43203</v>
      </c>
      <c r="B117" s="380">
        <f>'2022'!Maxi_hp</f>
        <v>58.336070770675065</v>
      </c>
      <c r="C117" s="85">
        <f>'2022'!An_max</f>
        <v>2019</v>
      </c>
      <c r="D117" s="1089">
        <f t="shared" si="59"/>
        <v>1.0196428877171881</v>
      </c>
      <c r="E117" s="749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838">
        <f t="shared" si="62"/>
        <v>0.21428571428571427</v>
      </c>
      <c r="J117" s="829">
        <f t="shared" si="63"/>
        <v>57.212256833644844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838">
        <f t="shared" si="67"/>
        <v>0.39285714285714285</v>
      </c>
      <c r="AT117" s="855">
        <f t="shared" si="68"/>
        <v>57.260429938483455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838">
        <f t="shared" si="72"/>
        <v>0.10714285714285714</v>
      </c>
      <c r="AY117" s="855">
        <f t="shared" si="73"/>
        <v>57.17382514117552</v>
      </c>
      <c r="AZ117" s="829">
        <f t="shared" si="77"/>
        <v>57.217127539829491</v>
      </c>
      <c r="BA117" s="662">
        <f t="shared" si="74"/>
        <v>1.0196428877171881</v>
      </c>
      <c r="BB117" s="657">
        <v>43203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926">
        <f>1+[2]!Salcycl*Ksac</f>
        <v>1.0043733393125169</v>
      </c>
      <c r="BH117" s="1082">
        <f t="shared" si="75"/>
        <v>2.8004123131213149E-3</v>
      </c>
      <c r="BI117" s="11">
        <v>44299</v>
      </c>
      <c r="BJ117" s="803">
        <v>5.5378715419698998E-5</v>
      </c>
      <c r="BK117" s="803">
        <v>9.2175970536661318E-4</v>
      </c>
      <c r="BL117" s="803">
        <v>1.8336146154100126E-3</v>
      </c>
      <c r="BM117" s="803">
        <v>2.8003644379568106E-3</v>
      </c>
      <c r="BN117" s="803">
        <v>4.0650300110151366E-3</v>
      </c>
      <c r="BO117" s="804">
        <v>6.9583448756216594E-3</v>
      </c>
      <c r="BP117" s="803">
        <v>1.3158755318116428E-2</v>
      </c>
      <c r="BQ117" s="803">
        <v>2.4667393259919707E-2</v>
      </c>
      <c r="BR117" s="803">
        <v>4.346337533635608E-2</v>
      </c>
      <c r="BS117" s="803">
        <v>7.1447936703223081E-2</v>
      </c>
      <c r="BT117" s="803">
        <v>0.10617368177749609</v>
      </c>
      <c r="BW117" s="1138">
        <f>'2018'!R\Max</f>
        <v>0</v>
      </c>
      <c r="BX117" s="1136">
        <f>'2019'!R\Max</f>
        <v>1.0196428877171881</v>
      </c>
      <c r="BY117" s="1136">
        <f>'2020'!R\Max</f>
        <v>0.77515656044145709</v>
      </c>
      <c r="BZ117" s="1136">
        <f>'2021'!R\Max</f>
        <v>0.90564564042125473</v>
      </c>
      <c r="CA117" s="1136">
        <f>'2022'!R\Max</f>
        <v>0</v>
      </c>
      <c r="CB117" s="1136">
        <f>'2023'!R\Max</f>
        <v>0</v>
      </c>
      <c r="CC117" s="1136">
        <f>'2024'!R\Max</f>
        <v>0</v>
      </c>
      <c r="CD117" s="1136">
        <f>'2025'!R\Max</f>
        <v>0</v>
      </c>
      <c r="CE117" s="1136">
        <f>'2026'!R\Max</f>
        <v>0</v>
      </c>
      <c r="CF117" s="1137">
        <f>'2027'!R\Max</f>
        <v>0</v>
      </c>
    </row>
    <row r="118" spans="1:84" s="6" customFormat="1" ht="11.25" x14ac:dyDescent="0.2">
      <c r="A118" s="11">
        <v>43204</v>
      </c>
      <c r="B118" s="380">
        <f>'2022'!Maxi_hp</f>
        <v>56.615625243922842</v>
      </c>
      <c r="C118" s="85">
        <f>'2022'!An_max</f>
        <v>2021</v>
      </c>
      <c r="D118" s="1089">
        <f t="shared" si="59"/>
        <v>0.98717059646564687</v>
      </c>
      <c r="E118" s="749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838">
        <f t="shared" si="62"/>
        <v>0.14285714285714285</v>
      </c>
      <c r="J118" s="829">
        <f t="shared" si="63"/>
        <v>57.351409621217421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838">
        <f t="shared" si="67"/>
        <v>0.42857142857142855</v>
      </c>
      <c r="AT118" s="855">
        <f t="shared" si="68"/>
        <v>57.402239067107438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838">
        <f t="shared" si="72"/>
        <v>7.1428571428571425E-2</v>
      </c>
      <c r="AY118" s="855">
        <f t="shared" si="73"/>
        <v>57.329189686876319</v>
      </c>
      <c r="AZ118" s="829">
        <f t="shared" si="77"/>
        <v>57.365714376991875</v>
      </c>
      <c r="BA118" s="662">
        <f t="shared" si="74"/>
        <v>0.98717059646564687</v>
      </c>
      <c r="BB118" s="657">
        <v>43204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926">
        <f>1+[2]!Salcycl*Ksac</f>
        <v>1.0046565359804172</v>
      </c>
      <c r="BH118" s="1082">
        <f t="shared" si="75"/>
        <v>3.1689864351807438E-3</v>
      </c>
      <c r="BI118" s="11">
        <v>44300</v>
      </c>
      <c r="BJ118" s="803">
        <v>6.3125184632918996E-5</v>
      </c>
      <c r="BK118" s="803">
        <v>1.029709308040439E-3</v>
      </c>
      <c r="BL118" s="803">
        <v>2.0639122834101783E-3</v>
      </c>
      <c r="BM118" s="803">
        <v>3.1689350872119537E-3</v>
      </c>
      <c r="BN118" s="803">
        <v>4.5253379120886944E-3</v>
      </c>
      <c r="BO118" s="804">
        <v>7.4712289341127072E-3</v>
      </c>
      <c r="BP118" s="803">
        <v>1.3642141328233839E-2</v>
      </c>
      <c r="BQ118" s="803">
        <v>2.5018516591100787E-2</v>
      </c>
      <c r="BR118" s="803">
        <v>4.3542965571509329E-2</v>
      </c>
      <c r="BS118" s="803">
        <v>7.1201364155847754E-2</v>
      </c>
      <c r="BT118" s="803">
        <v>0.1055900917265543</v>
      </c>
      <c r="BW118" s="1138">
        <f>'2018'!R\Max</f>
        <v>0</v>
      </c>
      <c r="BX118" s="1136">
        <f>'2019'!R\Max</f>
        <v>0.48485488066259497</v>
      </c>
      <c r="BY118" s="1136">
        <f>'2020'!R\Max</f>
        <v>0.31003132122699106</v>
      </c>
      <c r="BZ118" s="1136">
        <f>'2021'!R\Max</f>
        <v>0.98717059646564687</v>
      </c>
      <c r="CA118" s="1136">
        <f>'2022'!R\Max</f>
        <v>0.79772811085498807</v>
      </c>
      <c r="CB118" s="1136">
        <f>'2023'!R\Max</f>
        <v>0.79767830668691531</v>
      </c>
      <c r="CC118" s="1136">
        <f>'2024'!R\Max</f>
        <v>0.79762485143726447</v>
      </c>
      <c r="CD118" s="1136">
        <f>'2025'!R\Max</f>
        <v>0.79780143709720952</v>
      </c>
      <c r="CE118" s="1136">
        <f>'2026'!R\Max</f>
        <v>0.79779049611253527</v>
      </c>
      <c r="CF118" s="1137">
        <f>'2027'!R\Max</f>
        <v>0.79777908605826808</v>
      </c>
    </row>
    <row r="119" spans="1:84" s="6" customFormat="1" ht="11.25" x14ac:dyDescent="0.2">
      <c r="A119" s="11">
        <v>43205</v>
      </c>
      <c r="B119" s="380">
        <f>'2022'!Maxi_hp</f>
        <v>56.990205602590848</v>
      </c>
      <c r="C119" s="85">
        <f>'2022'!An_max</f>
        <v>2021</v>
      </c>
      <c r="D119" s="1089">
        <f t="shared" si="59"/>
        <v>0.99134128077939743</v>
      </c>
      <c r="E119" s="749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838">
        <f t="shared" si="62"/>
        <v>7.1428571428571425E-2</v>
      </c>
      <c r="J119" s="829">
        <f t="shared" si="63"/>
        <v>57.487977861453388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838">
        <f t="shared" si="67"/>
        <v>0.4642857142857143</v>
      </c>
      <c r="AT119" s="855">
        <f t="shared" si="68"/>
        <v>57.539309858344495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838">
        <f t="shared" si="72"/>
        <v>3.5714285714285712E-2</v>
      </c>
      <c r="AY119" s="855">
        <f t="shared" si="73"/>
        <v>57.478792842836789</v>
      </c>
      <c r="AZ119" s="829">
        <f t="shared" si="77"/>
        <v>57.509051350590639</v>
      </c>
      <c r="BA119" s="662">
        <f t="shared" si="74"/>
        <v>0.99134128077939743</v>
      </c>
      <c r="BB119" s="657">
        <v>43205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926">
        <f>1+[2]!Salcycl*Ksac</f>
        <v>1.0049529365203007</v>
      </c>
      <c r="BH119" s="1082">
        <f t="shared" si="75"/>
        <v>3.5772054930178132E-3</v>
      </c>
      <c r="BI119" s="11">
        <v>44301</v>
      </c>
      <c r="BJ119" s="803">
        <v>7.3793619417424514E-5</v>
      </c>
      <c r="BK119" s="803">
        <v>1.1496836020648939E-3</v>
      </c>
      <c r="BL119" s="803">
        <v>2.3183998473017475E-3</v>
      </c>
      <c r="BM119" s="803">
        <v>3.5771500548635112E-3</v>
      </c>
      <c r="BN119" s="803">
        <v>5.0415988124891051E-3</v>
      </c>
      <c r="BO119" s="804">
        <v>8.05357802004566E-3</v>
      </c>
      <c r="BP119" s="803">
        <v>1.4211090598887513E-2</v>
      </c>
      <c r="BQ119" s="803">
        <v>2.5469285780223103E-2</v>
      </c>
      <c r="BR119" s="803">
        <v>4.3734409366251191E-2</v>
      </c>
      <c r="BS119" s="803">
        <v>7.1048667911308303E-2</v>
      </c>
      <c r="BT119" s="803">
        <v>0.10505612265646458</v>
      </c>
      <c r="BW119" s="1138">
        <f>'2018'!R\Max</f>
        <v>0</v>
      </c>
      <c r="BX119" s="1136">
        <f>'2019'!R\Max</f>
        <v>0.7031467591967222</v>
      </c>
      <c r="BY119" s="1136">
        <f>'2020'!R\Max</f>
        <v>0.93726211518257463</v>
      </c>
      <c r="BZ119" s="1136">
        <f>'2021'!R\Max</f>
        <v>0.99134128077939743</v>
      </c>
      <c r="CA119" s="1136">
        <f>'2022'!R\Max</f>
        <v>0.88590341417991891</v>
      </c>
      <c r="CB119" s="1136">
        <f>'2023'!R\Max</f>
        <v>0.88587224069587311</v>
      </c>
      <c r="CC119" s="1136">
        <f>'2024'!R\Max</f>
        <v>0.88583873447707162</v>
      </c>
      <c r="CD119" s="1136">
        <f>'2025'!R\Max</f>
        <v>0.88595122297514628</v>
      </c>
      <c r="CE119" s="1136">
        <f>'2026'!R\Max</f>
        <v>0.88594381407723655</v>
      </c>
      <c r="CF119" s="1137">
        <f>'2027'!R\Max</f>
        <v>0.88593609232545001</v>
      </c>
    </row>
    <row r="120" spans="1:84" s="6" customFormat="1" ht="11.25" x14ac:dyDescent="0.2">
      <c r="A120" s="11">
        <v>43206</v>
      </c>
      <c r="B120" s="380">
        <f>'2022'!Maxi_hp</f>
        <v>53.394011325702145</v>
      </c>
      <c r="C120" s="85">
        <f>'2022'!An_max</f>
        <v>2020</v>
      </c>
      <c r="D120" s="1089" t="str">
        <f t="shared" si="59"/>
        <v/>
      </c>
      <c r="E120" s="837">
        <f>U$13/10</f>
        <v>57.622500000000002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838">
        <f t="shared" si="62"/>
        <v>0</v>
      </c>
      <c r="J120" s="829">
        <f t="shared" si="63"/>
        <v>57.62250000014901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838">
        <f t="shared" si="67"/>
        <v>0.5</v>
      </c>
      <c r="AT120" s="855">
        <f t="shared" si="68"/>
        <v>57.671750000864265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838">
        <f t="shared" si="72"/>
        <v>0</v>
      </c>
      <c r="AY120" s="855">
        <f t="shared" si="73"/>
        <v>57.62250000014901</v>
      </c>
      <c r="AZ120" s="829">
        <f t="shared" si="77"/>
        <v>57.647125000506634</v>
      </c>
      <c r="BA120" s="662">
        <f t="shared" si="74"/>
        <v>0.92661740336785225</v>
      </c>
      <c r="BB120" s="657">
        <v>43206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926">
        <f>1+[2]!Salcycl*Ksac</f>
        <v>1.005262725570756</v>
      </c>
      <c r="BH120" s="1082">
        <f t="shared" si="75"/>
        <v>4.0250414189754776E-3</v>
      </c>
      <c r="BI120" s="11">
        <v>44302</v>
      </c>
      <c r="BJ120" s="803">
        <v>8.7382473760599759E-5</v>
      </c>
      <c r="BK120" s="803">
        <v>1.2816741441557501E-3</v>
      </c>
      <c r="BL120" s="803">
        <v>2.5970600085267991E-3</v>
      </c>
      <c r="BM120" s="803">
        <v>4.0249812736376902E-3</v>
      </c>
      <c r="BN120" s="803">
        <v>5.6137745209902746E-3</v>
      </c>
      <c r="BO120" s="804">
        <v>8.7053455202894536E-3</v>
      </c>
      <c r="BP120" s="803">
        <v>1.4865547825654163E-2</v>
      </c>
      <c r="BQ120" s="803">
        <v>2.6019638519369087E-2</v>
      </c>
      <c r="BR120" s="803">
        <v>4.40376392732603E-2</v>
      </c>
      <c r="BS120" s="803">
        <v>7.0989787535572543E-2</v>
      </c>
      <c r="BT120" s="803">
        <v>0.10457173124426768</v>
      </c>
      <c r="BW120" s="1138">
        <f>'2018'!R\Max</f>
        <v>0</v>
      </c>
      <c r="BX120" s="1136">
        <f>'2019'!R\Max</f>
        <v>0.62199340576300666</v>
      </c>
      <c r="BY120" s="1136">
        <f>'2020'!R\Max</f>
        <v>0.92661740336785225</v>
      </c>
      <c r="BZ120" s="1136">
        <f>'2021'!R\Max</f>
        <v>0.83162605369100384</v>
      </c>
      <c r="CA120" s="1136">
        <f>'2022'!R\Max</f>
        <v>0.79529130113840707</v>
      </c>
      <c r="CB120" s="1136">
        <f>'2023'!R\Max</f>
        <v>0.79524099339907972</v>
      </c>
      <c r="CC120" s="1136">
        <f>'2024'!R\Max</f>
        <v>0.79518686291765528</v>
      </c>
      <c r="CD120" s="1136">
        <f>'2025'!R\Max</f>
        <v>0.79537184618380075</v>
      </c>
      <c r="CE120" s="1136">
        <f>'2026'!R\Max</f>
        <v>0.79535887902095759</v>
      </c>
      <c r="CF120" s="1137">
        <f>'2027'!R\Max</f>
        <v>0.79534537924209747</v>
      </c>
    </row>
    <row r="121" spans="1:84" s="6" customFormat="1" ht="11.25" x14ac:dyDescent="0.2">
      <c r="A121" s="11">
        <v>43207</v>
      </c>
      <c r="B121" s="380">
        <f>'2022'!Maxi_hp</f>
        <v>57.88313462083768</v>
      </c>
      <c r="C121" s="85">
        <f>'2022'!An_max</f>
        <v>2022</v>
      </c>
      <c r="D121" s="1089">
        <f t="shared" si="59"/>
        <v>1.0022289716869432</v>
      </c>
      <c r="E121" s="749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838">
        <f t="shared" si="62"/>
        <v>7.1428571428571425E-2</v>
      </c>
      <c r="J121" s="829">
        <f t="shared" si="63"/>
        <v>57.754401694663933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838">
        <f t="shared" si="67"/>
        <v>0.5357142857142857</v>
      </c>
      <c r="AT121" s="855">
        <f t="shared" si="68"/>
        <v>57.799667183549275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838">
        <f t="shared" si="72"/>
        <v>3.5714285714285712E-2</v>
      </c>
      <c r="AY121" s="855">
        <f t="shared" si="73"/>
        <v>57.76010026463441</v>
      </c>
      <c r="AZ121" s="829">
        <f t="shared" si="77"/>
        <v>57.779883724091846</v>
      </c>
      <c r="BA121" s="662">
        <f t="shared" si="74"/>
        <v>1.0022289716869432</v>
      </c>
      <c r="BB121" s="657">
        <v>43207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926">
        <f>1+[2]!Salcycl*Ksac</f>
        <v>1.0055860707866233</v>
      </c>
      <c r="BH121" s="1082">
        <f t="shared" si="75"/>
        <v>4.5124636671410225E-3</v>
      </c>
      <c r="BI121" s="11">
        <v>44303</v>
      </c>
      <c r="BJ121" s="803">
        <v>1.0389004429160642E-4</v>
      </c>
      <c r="BK121" s="803">
        <v>1.4256717442977407E-3</v>
      </c>
      <c r="BL121" s="803">
        <v>2.899873949294942E-3</v>
      </c>
      <c r="BM121" s="803">
        <v>4.5123981980406793E-3</v>
      </c>
      <c r="BN121" s="803">
        <v>6.2418234263533585E-3</v>
      </c>
      <c r="BO121" s="804">
        <v>9.426480650781938E-3</v>
      </c>
      <c r="BP121" s="803">
        <v>1.5605452756599388E-2</v>
      </c>
      <c r="BQ121" s="803">
        <v>2.6669507008533332E-2</v>
      </c>
      <c r="BR121" s="803">
        <v>4.4452582079735403E-2</v>
      </c>
      <c r="BS121" s="803">
        <v>7.1024658142799915E-2</v>
      </c>
      <c r="BT121" s="803">
        <v>0.10413687236357382</v>
      </c>
      <c r="BW121" s="1138">
        <f>'2018'!R\Max</f>
        <v>0</v>
      </c>
      <c r="BX121" s="1136">
        <f>'2019'!R\Max</f>
        <v>0.62291978117221447</v>
      </c>
      <c r="BY121" s="1136">
        <f>'2020'!R\Max</f>
        <v>0.78196141045710787</v>
      </c>
      <c r="BZ121" s="1136">
        <f>'2021'!R\Max</f>
        <v>0.89651621228791112</v>
      </c>
      <c r="CA121" s="1136">
        <f>'2022'!R\Max</f>
        <v>1.0022289716869432</v>
      </c>
      <c r="CB121" s="1136">
        <f>'2023'!R\Max</f>
        <v>1.0022289716869432</v>
      </c>
      <c r="CC121" s="1136">
        <f>'2024'!R\Max</f>
        <v>1.0022289716869435</v>
      </c>
      <c r="CD121" s="1136">
        <f>'2025'!R\Max</f>
        <v>1.0022289716869432</v>
      </c>
      <c r="CE121" s="1136">
        <f>'2026'!R\Max</f>
        <v>1.0022289716869432</v>
      </c>
      <c r="CF121" s="1137">
        <f>'2027'!R\Max</f>
        <v>1.0022289716869432</v>
      </c>
    </row>
    <row r="122" spans="1:84" s="6" customFormat="1" ht="11.25" x14ac:dyDescent="0.2">
      <c r="A122" s="11">
        <v>43208</v>
      </c>
      <c r="B122" s="380">
        <f>'2022'!Maxi_hp</f>
        <v>42.269665111428111</v>
      </c>
      <c r="C122" s="85">
        <f>'2022'!An_max</f>
        <v>2021</v>
      </c>
      <c r="D122" s="1089" t="str">
        <f t="shared" si="59"/>
        <v/>
      </c>
      <c r="E122" s="749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838">
        <f t="shared" si="62"/>
        <v>0.14285714285714285</v>
      </c>
      <c r="J122" s="829">
        <f t="shared" si="63"/>
        <v>57.882677842357324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838">
        <f t="shared" si="67"/>
        <v>0.5714285714285714</v>
      </c>
      <c r="AT122" s="855">
        <f t="shared" si="68"/>
        <v>57.923169095814231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838">
        <f t="shared" si="72"/>
        <v>7.1428571428571425E-2</v>
      </c>
      <c r="AY122" s="855">
        <f t="shared" si="73"/>
        <v>57.89158017446421</v>
      </c>
      <c r="AZ122" s="829">
        <f t="shared" si="77"/>
        <v>57.90737463513922</v>
      </c>
      <c r="BA122" s="662">
        <f t="shared" si="74"/>
        <v>0.73026450549763711</v>
      </c>
      <c r="BB122" s="657">
        <v>43208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926">
        <f>1+[2]!Salcycl*Ksac</f>
        <v>1.0059231221223319</v>
      </c>
      <c r="BH122" s="1082">
        <f t="shared" si="75"/>
        <v>5.0618619753027023E-3</v>
      </c>
      <c r="BI122" s="11">
        <v>44304</v>
      </c>
      <c r="BJ122" s="803">
        <v>1.2673200360732113E-4</v>
      </c>
      <c r="BK122" s="803">
        <v>1.5888959445706965E-3</v>
      </c>
      <c r="BL122" s="803">
        <v>3.2405815006821478E-3</v>
      </c>
      <c r="BM122" s="803">
        <v>5.0617901524565058E-3</v>
      </c>
      <c r="BN122" s="803">
        <v>6.9590552978534654E-3</v>
      </c>
      <c r="BO122" s="804">
        <v>1.0259635527367075E-2</v>
      </c>
      <c r="BP122" s="803">
        <v>1.648084615273002E-2</v>
      </c>
      <c r="BQ122" s="803">
        <v>2.7475709666296994E-2</v>
      </c>
      <c r="BR122" s="803">
        <v>4.5042685584916191E-2</v>
      </c>
      <c r="BS122" s="803">
        <v>7.1228482764758169E-2</v>
      </c>
      <c r="BT122" s="803">
        <v>0.10384154080455438</v>
      </c>
      <c r="BW122" s="1138">
        <f>'2018'!R\Max</f>
        <v>0</v>
      </c>
      <c r="BX122" s="1136">
        <f>'2019'!R\Max</f>
        <v>0.48319137649806287</v>
      </c>
      <c r="BY122" s="1136">
        <f>'2020'!R\Max</f>
        <v>0.56085324911914658</v>
      </c>
      <c r="BZ122" s="1136">
        <f>'2021'!R\Max</f>
        <v>0.73026450549763711</v>
      </c>
      <c r="CA122" s="1136">
        <f>'2022'!R\Max</f>
        <v>0.71308042163198493</v>
      </c>
      <c r="CB122" s="1136">
        <f>'2023'!R\Max</f>
        <v>0.71301633718289747</v>
      </c>
      <c r="CC122" s="1136">
        <f>'2024'!R\Max</f>
        <v>0.71294728765248272</v>
      </c>
      <c r="CD122" s="1136">
        <f>'2025'!R\Max</f>
        <v>0.71319292437233472</v>
      </c>
      <c r="CE122" s="1136">
        <f>'2026'!R\Max</f>
        <v>0.71317339135486912</v>
      </c>
      <c r="CF122" s="1137">
        <f>'2027'!R\Max</f>
        <v>0.71315312539537412</v>
      </c>
    </row>
    <row r="123" spans="1:84" s="6" customFormat="1" ht="11.25" x14ac:dyDescent="0.2">
      <c r="A123" s="11">
        <v>43209</v>
      </c>
      <c r="B123" s="380">
        <f>'2022'!Maxi_hp</f>
        <v>56.035337326864806</v>
      </c>
      <c r="C123" s="85">
        <f>'2022'!An_max</f>
        <v>2021</v>
      </c>
      <c r="D123" s="1089" t="str">
        <f t="shared" si="59"/>
        <v/>
      </c>
      <c r="E123" s="749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838">
        <f t="shared" si="62"/>
        <v>0.21428571428571427</v>
      </c>
      <c r="J123" s="829">
        <f t="shared" si="63"/>
        <v>58.007220754665994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838">
        <f t="shared" si="67"/>
        <v>0.6071428571428571</v>
      </c>
      <c r="AT123" s="855">
        <f t="shared" si="68"/>
        <v>58.042363429308999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838">
        <f t="shared" si="72"/>
        <v>0.10714285714285714</v>
      </c>
      <c r="AY123" s="855">
        <f t="shared" si="73"/>
        <v>58.017101265995635</v>
      </c>
      <c r="AZ123" s="829">
        <f t="shared" si="77"/>
        <v>58.029732347652313</v>
      </c>
      <c r="BA123" s="662">
        <f t="shared" si="74"/>
        <v>0.96600624194458462</v>
      </c>
      <c r="BB123" s="657">
        <v>43209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926">
        <f>1+[2]!Salcycl*Ksac</f>
        <v>1.0062740110881143</v>
      </c>
      <c r="BH123" s="1082">
        <f t="shared" si="75"/>
        <v>5.6557150047782867E-3</v>
      </c>
      <c r="BI123" s="11">
        <v>44305</v>
      </c>
      <c r="BJ123" s="803">
        <v>1.5449385497377902E-4</v>
      </c>
      <c r="BK123" s="803">
        <v>1.7657641218145771E-3</v>
      </c>
      <c r="BL123" s="803">
        <v>3.60829011020986E-3</v>
      </c>
      <c r="BM123" s="803">
        <v>5.6556359990234256E-3</v>
      </c>
      <c r="BN123" s="803">
        <v>7.7426441436621724E-3</v>
      </c>
      <c r="BO123" s="804">
        <v>1.1177756393015223E-2</v>
      </c>
      <c r="BP123" s="803">
        <v>1.7457713915530519E-2</v>
      </c>
      <c r="BQ123" s="803">
        <v>2.8398595472215793E-2</v>
      </c>
      <c r="BR123" s="803">
        <v>4.57664533467785E-2</v>
      </c>
      <c r="BS123" s="803">
        <v>7.1579612559259681E-2</v>
      </c>
      <c r="BT123" s="803">
        <v>0.10370129071125804</v>
      </c>
      <c r="BW123" s="1138">
        <f>'2018'!R\Max</f>
        <v>0</v>
      </c>
      <c r="BX123" s="1136">
        <f>'2019'!R\Max</f>
        <v>0.9061463709121429</v>
      </c>
      <c r="BY123" s="1136">
        <f>'2020'!R\Max</f>
        <v>0.77093608190913676</v>
      </c>
      <c r="BZ123" s="1136">
        <f>'2021'!R\Max</f>
        <v>0.96600624194458462</v>
      </c>
      <c r="CA123" s="1136">
        <f>'2022'!R\Max</f>
        <v>0.17030752658433648</v>
      </c>
      <c r="CB123" s="1136">
        <f>'2023'!R\Max</f>
        <v>0.1702697484854665</v>
      </c>
      <c r="CC123" s="1136">
        <f>'2024'!R\Max</f>
        <v>0.17022904266056593</v>
      </c>
      <c r="CD123" s="1136">
        <f>'2025'!R\Max</f>
        <v>0.17037722621845494</v>
      </c>
      <c r="CE123" s="1136">
        <f>'2026'!R\Max</f>
        <v>0.17036467148384921</v>
      </c>
      <c r="CF123" s="1137">
        <f>'2027'!R\Max</f>
        <v>0.17035167523637976</v>
      </c>
    </row>
    <row r="124" spans="1:84" s="6" customFormat="1" ht="11.25" x14ac:dyDescent="0.2">
      <c r="A124" s="11">
        <v>43210</v>
      </c>
      <c r="B124" s="380">
        <f>'2022'!Maxi_hp</f>
        <v>54.638540839726012</v>
      </c>
      <c r="C124" s="85">
        <f>'2022'!An_max</f>
        <v>2019</v>
      </c>
      <c r="D124" s="1089" t="str">
        <f t="shared" si="59"/>
        <v/>
      </c>
      <c r="E124" s="749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838">
        <f t="shared" si="62"/>
        <v>0.2857142857142857</v>
      </c>
      <c r="J124" s="829">
        <f t="shared" si="63"/>
        <v>58.127922740897965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838">
        <f t="shared" si="67"/>
        <v>0.6428571428571429</v>
      </c>
      <c r="AT124" s="855">
        <f t="shared" si="68"/>
        <v>58.157357872117835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838">
        <f t="shared" si="72"/>
        <v>0.14285714285714285</v>
      </c>
      <c r="AY124" s="855">
        <f t="shared" si="73"/>
        <v>58.136825073350757</v>
      </c>
      <c r="AZ124" s="829">
        <f t="shared" si="77"/>
        <v>58.147091472734296</v>
      </c>
      <c r="BA124" s="662">
        <f t="shared" si="74"/>
        <v>0.93997064170475042</v>
      </c>
      <c r="BB124" s="657">
        <v>43210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926">
        <f>1+[2]!Salcycl*Ksac</f>
        <v>1.0066388499782626</v>
      </c>
      <c r="BH124" s="1082">
        <f t="shared" si="75"/>
        <v>6.2939805833153494E-3</v>
      </c>
      <c r="BI124" s="11">
        <v>44306</v>
      </c>
      <c r="BJ124" s="803">
        <v>1.8717213651930648E-4</v>
      </c>
      <c r="BK124" s="803">
        <v>1.9562634718518026E-3</v>
      </c>
      <c r="BL124" s="803">
        <v>4.002973912016144E-3</v>
      </c>
      <c r="BM124" s="803">
        <v>6.2938935661592072E-3</v>
      </c>
      <c r="BN124" s="803">
        <v>8.5925300884214795E-3</v>
      </c>
      <c r="BO124" s="804">
        <v>1.2180768518366291E-2</v>
      </c>
      <c r="BP124" s="803">
        <v>1.8535968743518465E-2</v>
      </c>
      <c r="BQ124" s="803">
        <v>2.943806682429358E-2</v>
      </c>
      <c r="BR124" s="803">
        <v>4.6623778395230991E-2</v>
      </c>
      <c r="BS124" s="803">
        <v>7.207793498387001E-2</v>
      </c>
      <c r="BT124" s="803">
        <v>0.10371600831401351</v>
      </c>
      <c r="BW124" s="1138">
        <f>'2018'!R\Max</f>
        <v>0</v>
      </c>
      <c r="BX124" s="1136">
        <f>'2019'!R\Max</f>
        <v>0.93997064170475042</v>
      </c>
      <c r="BY124" s="1136">
        <f>'2020'!R\Max</f>
        <v>0.30254987777675169</v>
      </c>
      <c r="BZ124" s="1136">
        <f>'2021'!R\Max</f>
        <v>0.70482806350821803</v>
      </c>
      <c r="CA124" s="1136">
        <f>'2022'!R\Max</f>
        <v>0.19177432486294813</v>
      </c>
      <c r="CB124" s="1136">
        <f>'2023'!R\Max</f>
        <v>0.19173117058579325</v>
      </c>
      <c r="CC124" s="1136">
        <f>'2024'!R\Max</f>
        <v>0.19168467042398407</v>
      </c>
      <c r="CD124" s="1136">
        <f>'2025'!R\Max</f>
        <v>0.1918580383351603</v>
      </c>
      <c r="CE124" s="1136">
        <f>'2026'!R\Max</f>
        <v>0.1918424297006491</v>
      </c>
      <c r="CF124" s="1137">
        <f>'2027'!R\Max</f>
        <v>0.19182630972969675</v>
      </c>
    </row>
    <row r="125" spans="1:84" s="6" customFormat="1" ht="11.25" x14ac:dyDescent="0.2">
      <c r="A125" s="11">
        <v>43211</v>
      </c>
      <c r="B125" s="380">
        <f>'2022'!Maxi_hp</f>
        <v>49.293646269634195</v>
      </c>
      <c r="C125" s="85">
        <f>'2022'!An_max</f>
        <v>2021</v>
      </c>
      <c r="D125" s="1089" t="str">
        <f t="shared" si="59"/>
        <v/>
      </c>
      <c r="E125" s="749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838">
        <f t="shared" si="62"/>
        <v>0.35714285714285715</v>
      </c>
      <c r="J125" s="829">
        <f t="shared" si="63"/>
        <v>58.244676111425669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838">
        <f t="shared" si="67"/>
        <v>0.6785714285714286</v>
      </c>
      <c r="AT125" s="855">
        <f t="shared" si="68"/>
        <v>58.268260113256318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838">
        <f t="shared" si="72"/>
        <v>0.17857142857142858</v>
      </c>
      <c r="AY125" s="855">
        <f t="shared" si="73"/>
        <v>58.250913128336627</v>
      </c>
      <c r="AZ125" s="829">
        <f t="shared" si="77"/>
        <v>58.259586620796469</v>
      </c>
      <c r="BA125" s="662">
        <f t="shared" si="74"/>
        <v>0.84632020573575517</v>
      </c>
      <c r="BB125" s="657">
        <v>43211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926">
        <f>1+[2]!Salcycl*Ksac</f>
        <v>1.007017731071516</v>
      </c>
      <c r="BH125" s="1082">
        <f t="shared" si="75"/>
        <v>6.9766331030891443E-3</v>
      </c>
      <c r="BI125" s="11">
        <v>44307</v>
      </c>
      <c r="BJ125" s="803">
        <v>2.2476371055511548E-4</v>
      </c>
      <c r="BK125" s="803">
        <v>2.1603863359267298E-3</v>
      </c>
      <c r="BL125" s="803">
        <v>4.4246176248682141E-3</v>
      </c>
      <c r="BM125" s="803">
        <v>6.9765372464928475E-3</v>
      </c>
      <c r="BN125" s="803">
        <v>9.5086755387083517E-3</v>
      </c>
      <c r="BO125" s="804">
        <v>1.3268628928791775E-2</v>
      </c>
      <c r="BP125" s="803">
        <v>1.9715572431471328E-2</v>
      </c>
      <c r="BQ125" s="803">
        <v>3.0594105397019938E-2</v>
      </c>
      <c r="BR125" s="803">
        <v>4.7614680793356366E-2</v>
      </c>
      <c r="BS125" s="803">
        <v>7.2723535731521696E-2</v>
      </c>
      <c r="BT125" s="803">
        <v>0.10388586700467761</v>
      </c>
      <c r="BW125" s="1138">
        <f>'2018'!R\Max</f>
        <v>0</v>
      </c>
      <c r="BX125" s="1136">
        <f>'2019'!R\Max</f>
        <v>0.3330784610024588</v>
      </c>
      <c r="BY125" s="1136">
        <f>'2020'!R\Max</f>
        <v>0.2248286194089773</v>
      </c>
      <c r="BZ125" s="1136">
        <f>'2021'!R\Max</f>
        <v>0.84632020573575517</v>
      </c>
      <c r="CA125" s="1136">
        <f>'2022'!R\Max</f>
        <v>0.17287202138615043</v>
      </c>
      <c r="CB125" s="1136">
        <f>'2023'!R\Max</f>
        <v>0.17283245414961024</v>
      </c>
      <c r="CC125" s="1136">
        <f>'2024'!R\Max</f>
        <v>0.17278982854940955</v>
      </c>
      <c r="CD125" s="1136">
        <f>'2025'!R\Max</f>
        <v>0.17295273348478443</v>
      </c>
      <c r="CE125" s="1136">
        <f>'2026'!R\Max</f>
        <v>0.17293719283133852</v>
      </c>
      <c r="CF125" s="1137">
        <f>'2027'!R\Max</f>
        <v>0.17292118142196297</v>
      </c>
    </row>
    <row r="126" spans="1:84" s="6" customFormat="1" ht="11.25" x14ac:dyDescent="0.2">
      <c r="A126" s="11">
        <v>43212</v>
      </c>
      <c r="B126" s="380">
        <f>'2022'!Maxi_hp</f>
        <v>60.094501166563738</v>
      </c>
      <c r="C126" s="85">
        <f>'2022'!An_max</f>
        <v>2021</v>
      </c>
      <c r="D126" s="1089">
        <f t="shared" si="59"/>
        <v>1.0297670695800889</v>
      </c>
      <c r="E126" s="749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838">
        <f t="shared" si="62"/>
        <v>0.42857142857142855</v>
      </c>
      <c r="J126" s="829">
        <f t="shared" si="63"/>
        <v>58.357373178643833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838">
        <f t="shared" si="67"/>
        <v>0.7142857142857143</v>
      </c>
      <c r="AT126" s="855">
        <f t="shared" si="68"/>
        <v>58.375177842378619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838">
        <f t="shared" si="72"/>
        <v>0.21428571428571427</v>
      </c>
      <c r="AY126" s="855">
        <f t="shared" si="73"/>
        <v>58.359526967656393</v>
      </c>
      <c r="AZ126" s="829">
        <f t="shared" si="77"/>
        <v>58.367352405017506</v>
      </c>
      <c r="BA126" s="662">
        <f t="shared" si="74"/>
        <v>1.0297670695800889</v>
      </c>
      <c r="BB126" s="657">
        <v>43212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926">
        <f>1+[2]!Salcycl*Ksac</f>
        <v>1.007410725804647</v>
      </c>
      <c r="BH126" s="1082">
        <f t="shared" si="75"/>
        <v>7.7036523354180268E-3</v>
      </c>
      <c r="BI126" s="11">
        <v>44308</v>
      </c>
      <c r="BJ126" s="803">
        <v>2.6726561072688235E-4</v>
      </c>
      <c r="BK126" s="803">
        <v>2.3781266527693307E-3</v>
      </c>
      <c r="BL126" s="803">
        <v>4.8732093190865878E-3</v>
      </c>
      <c r="BM126" s="803">
        <v>7.7035468117380686E-3</v>
      </c>
      <c r="BN126" s="803">
        <v>1.0491049822285914E-2</v>
      </c>
      <c r="BO126" s="804">
        <v>1.4441302722886233E-2</v>
      </c>
      <c r="BP126" s="803">
        <v>2.0996495472040282E-2</v>
      </c>
      <c r="BQ126" s="803">
        <v>3.1866701386522728E-2</v>
      </c>
      <c r="BR126" s="803">
        <v>4.873918786058512E-2</v>
      </c>
      <c r="BS126" s="803">
        <v>7.351650537670168E-2</v>
      </c>
      <c r="BT126" s="803">
        <v>0.10421104205095501</v>
      </c>
      <c r="BW126" s="1138">
        <f>'2018'!R\Max</f>
        <v>0</v>
      </c>
      <c r="BX126" s="1136">
        <f>'2019'!R\Max</f>
        <v>0.57864998805286139</v>
      </c>
      <c r="BY126" s="1136">
        <f>'2020'!R\Max</f>
        <v>0.30273194326349223</v>
      </c>
      <c r="BZ126" s="1136">
        <f>'2021'!R\Max</f>
        <v>1.0297670695800889</v>
      </c>
      <c r="CA126" s="1136">
        <f>'2022'!R\Max</f>
        <v>0.52182329558166174</v>
      </c>
      <c r="CB126" s="1136">
        <f>'2023'!R\Max</f>
        <v>0.52174011044287494</v>
      </c>
      <c r="CC126" s="1136">
        <f>'2024'!R\Max</f>
        <v>0.52165052367972953</v>
      </c>
      <c r="CD126" s="1136">
        <f>'2025'!R\Max</f>
        <v>0.52200160326738321</v>
      </c>
      <c r="CE126" s="1136">
        <f>'2026'!R\Max</f>
        <v>0.52196624268879022</v>
      </c>
      <c r="CF126" s="1137">
        <f>'2027'!R\Max</f>
        <v>0.52192989623680264</v>
      </c>
    </row>
    <row r="127" spans="1:84" s="6" customFormat="1" ht="11.25" x14ac:dyDescent="0.2">
      <c r="A127" s="11">
        <v>43213</v>
      </c>
      <c r="B127" s="380">
        <f>'2022'!Maxi_hp</f>
        <v>60.511949341362161</v>
      </c>
      <c r="C127" s="85">
        <f>'2022'!An_max</f>
        <v>2021</v>
      </c>
      <c r="D127" s="1089">
        <f t="shared" si="59"/>
        <v>1.0349954909125973</v>
      </c>
      <c r="E127" s="749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838">
        <f t="shared" si="62"/>
        <v>0.5</v>
      </c>
      <c r="J127" s="829">
        <f t="shared" si="63"/>
        <v>58.465906250476834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838">
        <f t="shared" si="67"/>
        <v>0.75</v>
      </c>
      <c r="AT127" s="855">
        <f t="shared" si="68"/>
        <v>58.478218750096858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838">
        <f t="shared" si="72"/>
        <v>0.25</v>
      </c>
      <c r="AY127" s="855">
        <f t="shared" si="73"/>
        <v>58.462828124966471</v>
      </c>
      <c r="AZ127" s="829">
        <f t="shared" si="77"/>
        <v>58.470523437531668</v>
      </c>
      <c r="BA127" s="662">
        <f t="shared" si="74"/>
        <v>1.0349954909125973</v>
      </c>
      <c r="BB127" s="657">
        <v>43213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926">
        <f>1+[2]!Salcycl*Ksac</f>
        <v>1.0078178839213083</v>
      </c>
      <c r="BH127" s="1082">
        <f t="shared" si="75"/>
        <v>8.4750003871032781E-3</v>
      </c>
      <c r="BI127" s="11">
        <v>44309</v>
      </c>
      <c r="BJ127" s="803">
        <v>3.1467427542579467E-4</v>
      </c>
      <c r="BK127" s="803">
        <v>2.6094728601377148E-3</v>
      </c>
      <c r="BL127" s="803">
        <v>5.3487258427108338E-3</v>
      </c>
      <c r="BM127" s="803">
        <v>8.4748843693430529E-3</v>
      </c>
      <c r="BN127" s="803">
        <v>1.1539597958088031E-2</v>
      </c>
      <c r="BO127" s="804">
        <v>1.5698720393397727E-2</v>
      </c>
      <c r="BP127" s="803">
        <v>2.2378655577221185E-2</v>
      </c>
      <c r="BQ127" s="803">
        <v>3.325576105731886E-2</v>
      </c>
      <c r="BR127" s="803">
        <v>4.999719383316692E-2</v>
      </c>
      <c r="BS127" s="803">
        <v>7.4456728747310144E-2</v>
      </c>
      <c r="BT127" s="803">
        <v>0.10469141283118817</v>
      </c>
      <c r="BW127" s="1138">
        <f>'2018'!R\Max</f>
        <v>0</v>
      </c>
      <c r="BX127" s="1136">
        <f>'2019'!R\Max</f>
        <v>0.66192262273816638</v>
      </c>
      <c r="BY127" s="1136">
        <f>'2020'!R\Max</f>
        <v>0.15813076387107247</v>
      </c>
      <c r="BZ127" s="1136">
        <f>'2021'!R\Max</f>
        <v>1.0349954909125973</v>
      </c>
      <c r="CA127" s="1136">
        <f>'2022'!R\Max</f>
        <v>0.1789642379786632</v>
      </c>
      <c r="CB127" s="1136">
        <f>'2023'!R\Max</f>
        <v>0.17892154101516786</v>
      </c>
      <c r="CC127" s="1136">
        <f>'2024'!R\Max</f>
        <v>0.17887559784935908</v>
      </c>
      <c r="CD127" s="1136">
        <f>'2025'!R\Max</f>
        <v>0.17906036004827239</v>
      </c>
      <c r="CE127" s="1136">
        <f>'2026'!R\Max</f>
        <v>0.17904077094139914</v>
      </c>
      <c r="CF127" s="1137">
        <f>'2027'!R\Max</f>
        <v>0.1790206849825699</v>
      </c>
    </row>
    <row r="128" spans="1:84" s="6" customFormat="1" ht="11.25" x14ac:dyDescent="0.2">
      <c r="A128" s="11">
        <v>43214</v>
      </c>
      <c r="B128" s="380">
        <f>'2022'!Maxi_hp</f>
        <v>59.112989516648078</v>
      </c>
      <c r="C128" s="85">
        <f>'2022'!An_max</f>
        <v>2021</v>
      </c>
      <c r="D128" s="1089">
        <f t="shared" si="59"/>
        <v>1.0092678901215275</v>
      </c>
      <c r="E128" s="749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838">
        <f t="shared" si="62"/>
        <v>0.5714285714285714</v>
      </c>
      <c r="J128" s="829">
        <f t="shared" si="63"/>
        <v>58.570167638574318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838">
        <f t="shared" si="67"/>
        <v>0.7857142857142857</v>
      </c>
      <c r="AT128" s="855">
        <f t="shared" si="68"/>
        <v>58.577490525533037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838">
        <f t="shared" si="72"/>
        <v>0.2857142857142857</v>
      </c>
      <c r="AY128" s="855">
        <f t="shared" si="73"/>
        <v>58.560978133337834</v>
      </c>
      <c r="AZ128" s="829">
        <f t="shared" si="77"/>
        <v>58.569234329435432</v>
      </c>
      <c r="BA128" s="662">
        <f t="shared" si="74"/>
        <v>1.0092678901215275</v>
      </c>
      <c r="BB128" s="657">
        <v>43214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926">
        <f>1+[2]!Salcycl*Ksac</f>
        <v>1.0082392325992329</v>
      </c>
      <c r="BH128" s="1082">
        <f t="shared" si="75"/>
        <v>9.3112758510796641E-3</v>
      </c>
      <c r="BI128" s="11">
        <v>44310</v>
      </c>
      <c r="BJ128" s="803">
        <v>3.7148244834052965E-4</v>
      </c>
      <c r="BK128" s="803">
        <v>2.8620797083410477E-3</v>
      </c>
      <c r="BL128" s="803">
        <v>5.8644142413353806E-3</v>
      </c>
      <c r="BM128" s="803">
        <v>9.311148289493006E-3</v>
      </c>
      <c r="BN128" s="803">
        <v>1.2680802446584594E-2</v>
      </c>
      <c r="BO128" s="804">
        <v>1.7072560418313884E-2</v>
      </c>
      <c r="BP128" s="803">
        <v>2.389845728733361E-2</v>
      </c>
      <c r="BQ128" s="803">
        <v>3.4802568247440553E-2</v>
      </c>
      <c r="BR128" s="803">
        <v>5.1435762759601371E-2</v>
      </c>
      <c r="BS128" s="803">
        <v>7.5597401068022443E-2</v>
      </c>
      <c r="BT128" s="803">
        <v>0.10538789585661837</v>
      </c>
      <c r="BW128" s="1138">
        <f>'2018'!R\Max</f>
        <v>0</v>
      </c>
      <c r="BX128" s="1136">
        <f>'2019'!R\Max</f>
        <v>0.90682525954081739</v>
      </c>
      <c r="BY128" s="1136">
        <f>'2020'!R\Max</f>
        <v>0.27938668230438596</v>
      </c>
      <c r="BZ128" s="1136">
        <f>'2021'!R\Max</f>
        <v>1.0092678901215275</v>
      </c>
      <c r="CA128" s="1136">
        <f>'2022'!R\Max</f>
        <v>0.45932864359835573</v>
      </c>
      <c r="CB128" s="1136">
        <f>'2023'!R\Max</f>
        <v>0.45924187940924688</v>
      </c>
      <c r="CC128" s="1136">
        <f>'2024'!R\Max</f>
        <v>0.45914859953212978</v>
      </c>
      <c r="CD128" s="1136">
        <f>'2025'!R\Max</f>
        <v>0.45953356973119036</v>
      </c>
      <c r="CE128" s="1136">
        <f>'2026'!R\Max</f>
        <v>0.45949075043399834</v>
      </c>
      <c r="CF128" s="1137">
        <f>'2027'!R\Max</f>
        <v>0.45944694797486202</v>
      </c>
    </row>
    <row r="129" spans="1:84" s="6" customFormat="1" ht="11.25" x14ac:dyDescent="0.2">
      <c r="A129" s="11">
        <v>43215</v>
      </c>
      <c r="B129" s="380">
        <f>'2022'!Maxi_hp</f>
        <v>55.415664195239167</v>
      </c>
      <c r="C129" s="85">
        <f>'2022'!An_max</f>
        <v>2020</v>
      </c>
      <c r="D129" s="1089" t="str">
        <f t="shared" si="59"/>
        <v/>
      </c>
      <c r="E129" s="749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838">
        <f t="shared" si="62"/>
        <v>0.6428571428571429</v>
      </c>
      <c r="J129" s="829">
        <f t="shared" si="63"/>
        <v>58.670049653681261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838">
        <f t="shared" si="67"/>
        <v>0.8214285714285714</v>
      </c>
      <c r="AT129" s="855">
        <f t="shared" si="68"/>
        <v>58.673100856319067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838">
        <f t="shared" si="72"/>
        <v>0.32142857142857145</v>
      </c>
      <c r="AY129" s="855">
        <f t="shared" si="73"/>
        <v>58.654138529513567</v>
      </c>
      <c r="AZ129" s="829">
        <f t="shared" si="77"/>
        <v>58.663619692916313</v>
      </c>
      <c r="BA129" s="662">
        <f t="shared" si="74"/>
        <v>0.94453071920592968</v>
      </c>
      <c r="BB129" s="657">
        <v>43215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926">
        <f>1+[2]!Salcycl*Ksac</f>
        <v>1.0086747755598979</v>
      </c>
      <c r="BH129" s="1082">
        <f t="shared" si="75"/>
        <v>1.0190177094900872E-2</v>
      </c>
      <c r="BI129" s="11">
        <v>44311</v>
      </c>
      <c r="BJ129" s="803">
        <v>4.3617307393812107E-4</v>
      </c>
      <c r="BK129" s="803">
        <v>3.1294502308612652E-3</v>
      </c>
      <c r="BL129" s="803">
        <v>6.406865059578948E-3</v>
      </c>
      <c r="BM129" s="803">
        <v>1.0190037358337151E-2</v>
      </c>
      <c r="BN129" s="803">
        <v>1.388130449582326E-2</v>
      </c>
      <c r="BO129" s="804">
        <v>1.8520127149550047E-2</v>
      </c>
      <c r="BP129" s="803">
        <v>2.5504016960079024E-2</v>
      </c>
      <c r="BQ129" s="803">
        <v>3.6446733979392618E-2</v>
      </c>
      <c r="BR129" s="803">
        <v>5.2984070071337812E-2</v>
      </c>
      <c r="BS129" s="803">
        <v>7.686568549049326E-2</v>
      </c>
      <c r="BT129" s="803">
        <v>0.10623450339854339</v>
      </c>
      <c r="BW129" s="1138">
        <f>'2018'!R\Max</f>
        <v>0</v>
      </c>
      <c r="BX129" s="1136">
        <f>'2019'!R\Max</f>
        <v>0.66011238935177574</v>
      </c>
      <c r="BY129" s="1136">
        <f>'2020'!R\Max</f>
        <v>0.94453071920592968</v>
      </c>
      <c r="BZ129" s="1136">
        <f>'2021'!R\Max</f>
        <v>0.51535164542126133</v>
      </c>
      <c r="CA129" s="1136">
        <f>'2022'!R\Max</f>
        <v>0.87011311547633519</v>
      </c>
      <c r="CB129" s="1136">
        <f>'2023'!R\Max</f>
        <v>0.87007256792996757</v>
      </c>
      <c r="CC129" s="1136">
        <f>'2024'!R\Max</f>
        <v>0.87002901148992617</v>
      </c>
      <c r="CD129" s="1136">
        <f>'2025'!R\Max</f>
        <v>0.8702133292980968</v>
      </c>
      <c r="CE129" s="1136">
        <f>'2026'!R\Max</f>
        <v>0.87019192202226325</v>
      </c>
      <c r="CF129" s="1137">
        <f>'2027'!R\Max</f>
        <v>0.87017006963415544</v>
      </c>
    </row>
    <row r="130" spans="1:84" s="6" customFormat="1" ht="11.25" x14ac:dyDescent="0.2">
      <c r="A130" s="11">
        <v>43216</v>
      </c>
      <c r="B130" s="380">
        <f>'2022'!Maxi_hp</f>
        <v>57.1090988007223</v>
      </c>
      <c r="C130" s="85">
        <f>'2022'!An_max</f>
        <v>2022</v>
      </c>
      <c r="D130" s="1089">
        <f t="shared" si="59"/>
        <v>0.97181428955729454</v>
      </c>
      <c r="E130" s="749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838">
        <f t="shared" si="62"/>
        <v>0.7142857142857143</v>
      </c>
      <c r="J130" s="829">
        <f t="shared" si="63"/>
        <v>58.765444606436155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838">
        <f t="shared" si="67"/>
        <v>0.8571428571428571</v>
      </c>
      <c r="AT130" s="855">
        <f t="shared" si="68"/>
        <v>58.765157433812099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838">
        <f t="shared" si="72"/>
        <v>0.35714285714285715</v>
      </c>
      <c r="AY130" s="855">
        <f t="shared" si="73"/>
        <v>58.742470845819582</v>
      </c>
      <c r="AZ130" s="829">
        <f t="shared" si="77"/>
        <v>58.753814139815844</v>
      </c>
      <c r="BA130" s="662">
        <f t="shared" si="74"/>
        <v>0.97181428955729454</v>
      </c>
      <c r="BB130" s="657">
        <v>43216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926">
        <f>1+[2]!Salcycl*Ksac</f>
        <v>1.0091244921657856</v>
      </c>
      <c r="BH130" s="1082">
        <f t="shared" si="75"/>
        <v>1.1111661111375088E-2</v>
      </c>
      <c r="BI130" s="11">
        <v>44312</v>
      </c>
      <c r="BJ130" s="803">
        <v>5.0874001380927104E-4</v>
      </c>
      <c r="BK130" s="803">
        <v>3.4115701855388721E-3</v>
      </c>
      <c r="BL130" s="803">
        <v>6.9760514359953896E-3</v>
      </c>
      <c r="BM130" s="803">
        <v>1.1111508569305206E-2</v>
      </c>
      <c r="BN130" s="803">
        <v>1.5141044681015159E-2</v>
      </c>
      <c r="BO130" s="804">
        <v>2.0041347103940458E-2</v>
      </c>
      <c r="BP130" s="803">
        <v>2.7195249419343471E-2</v>
      </c>
      <c r="BQ130" s="803">
        <v>3.8188162585735076E-2</v>
      </c>
      <c r="BR130" s="803">
        <v>5.4642009896357278E-2</v>
      </c>
      <c r="BS130" s="803">
        <v>7.8261463563178854E-2</v>
      </c>
      <c r="BT130" s="803">
        <v>0.10723110237068822</v>
      </c>
      <c r="BW130" s="1138">
        <f>'2018'!R\Max</f>
        <v>0</v>
      </c>
      <c r="BX130" s="1136">
        <f>'2019'!R\Max</f>
        <v>0.50968485343853964</v>
      </c>
      <c r="BY130" s="1136">
        <f>'2020'!R\Max</f>
        <v>0.79588562581800193</v>
      </c>
      <c r="BZ130" s="1136">
        <f>'2021'!R\Max</f>
        <v>0.12877241030660844</v>
      </c>
      <c r="CA130" s="1136">
        <f>'2022'!R\Max</f>
        <v>0.97181428955729454</v>
      </c>
      <c r="CB130" s="1136">
        <f>'2023'!R\Max</f>
        <v>0.97180418460114126</v>
      </c>
      <c r="CC130" s="1136">
        <f>'2024'!R\Max</f>
        <v>0.97179334272426598</v>
      </c>
      <c r="CD130" s="1136">
        <f>'2025'!R\Max</f>
        <v>0.97184037301342174</v>
      </c>
      <c r="CE130" s="1136">
        <f>'2026'!R\Max</f>
        <v>0.97183468915298821</v>
      </c>
      <c r="CF130" s="1137">
        <f>'2027'!R\Max</f>
        <v>0.97182889938979078</v>
      </c>
    </row>
    <row r="131" spans="1:84" s="6" customFormat="1" ht="11.25" x14ac:dyDescent="0.2">
      <c r="A131" s="11">
        <v>43217</v>
      </c>
      <c r="B131" s="380">
        <f>'2022'!Maxi_hp</f>
        <v>42.091220919554068</v>
      </c>
      <c r="C131" s="85">
        <f>'2022'!An_max</f>
        <v>2022</v>
      </c>
      <c r="D131" s="1089" t="str">
        <f t="shared" si="59"/>
        <v/>
      </c>
      <c r="E131" s="749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838">
        <f t="shared" si="62"/>
        <v>0.7857142857142857</v>
      </c>
      <c r="J131" s="829">
        <f t="shared" si="63"/>
        <v>58.856244807637168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838">
        <f t="shared" si="67"/>
        <v>0.8928571428571429</v>
      </c>
      <c r="AT131" s="855">
        <f t="shared" si="68"/>
        <v>58.85376794875733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838">
        <f t="shared" si="72"/>
        <v>0.39285714285714285</v>
      </c>
      <c r="AY131" s="855">
        <f t="shared" si="73"/>
        <v>58.826136615792564</v>
      </c>
      <c r="AZ131" s="829">
        <f t="shared" si="77"/>
        <v>58.83995228227495</v>
      </c>
      <c r="BA131" s="662">
        <f t="shared" si="74"/>
        <v>0.71515301489456096</v>
      </c>
      <c r="BB131" s="657">
        <v>43217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926">
        <f>1+[2]!Salcycl*Ksac</f>
        <v>1.0095883365113594</v>
      </c>
      <c r="BH131" s="1082">
        <f t="shared" si="75"/>
        <v>1.2075682779756703E-2</v>
      </c>
      <c r="BI131" s="11">
        <v>44313</v>
      </c>
      <c r="BJ131" s="803">
        <v>5.8917682604608967E-4</v>
      </c>
      <c r="BK131" s="803">
        <v>3.7084246311907252E-3</v>
      </c>
      <c r="BL131" s="803">
        <v>7.5719451904606274E-3</v>
      </c>
      <c r="BM131" s="803">
        <v>1.2075516802303635E-2</v>
      </c>
      <c r="BN131" s="803">
        <v>1.6459960656932112E-2</v>
      </c>
      <c r="BO131" s="804">
        <v>2.1636143206792097E-2</v>
      </c>
      <c r="BP131" s="803">
        <v>2.8972065379455E-2</v>
      </c>
      <c r="BQ131" s="803">
        <v>4.0026753889467401E-2</v>
      </c>
      <c r="BR131" s="803">
        <v>5.6409471546170271E-2</v>
      </c>
      <c r="BS131" s="803">
        <v>7.9784611700660243E-2</v>
      </c>
      <c r="BT131" s="803">
        <v>0.10837755421459763</v>
      </c>
      <c r="BW131" s="1138">
        <f>'2018'!R\Max</f>
        <v>0</v>
      </c>
      <c r="BX131" s="1136">
        <f>'2019'!R\Max</f>
        <v>0.49059445452595613</v>
      </c>
      <c r="BY131" s="1136">
        <f>'2020'!R\Max</f>
        <v>0.3906103970828404</v>
      </c>
      <c r="BZ131" s="1136">
        <f>'2021'!R\Max</f>
        <v>0.35316409778504665</v>
      </c>
      <c r="CA131" s="1136">
        <f>'2022'!R\Max</f>
        <v>0.71515301489456096</v>
      </c>
      <c r="CB131" s="1136">
        <f>'2023'!R\Max</f>
        <v>0.71507565152081354</v>
      </c>
      <c r="CC131" s="1136">
        <f>'2024'!R\Max</f>
        <v>0.71499277931327943</v>
      </c>
      <c r="CD131" s="1136">
        <f>'2025'!R\Max</f>
        <v>0.71536120458079477</v>
      </c>
      <c r="CE131" s="1136">
        <f>'2026'!R\Max</f>
        <v>0.715315009171687</v>
      </c>
      <c r="CF131" s="1137">
        <f>'2027'!R\Max</f>
        <v>0.71526805571211771</v>
      </c>
    </row>
    <row r="132" spans="1:84" s="6" customFormat="1" ht="11.25" x14ac:dyDescent="0.2">
      <c r="A132" s="11">
        <v>43218</v>
      </c>
      <c r="B132" s="380">
        <f>'2022'!Maxi_hp</f>
        <v>44.927139058198264</v>
      </c>
      <c r="C132" s="85">
        <f>'2022'!An_max</f>
        <v>2019</v>
      </c>
      <c r="D132" s="1089" t="str">
        <f t="shared" si="59"/>
        <v/>
      </c>
      <c r="E132" s="749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838">
        <f t="shared" si="62"/>
        <v>0.8571428571428571</v>
      </c>
      <c r="J132" s="829">
        <f t="shared" si="63"/>
        <v>58.94234256637948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838">
        <f t="shared" si="67"/>
        <v>0.9285714285714286</v>
      </c>
      <c r="AT132" s="855">
        <f t="shared" si="68"/>
        <v>58.939040087429532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838">
        <f t="shared" si="72"/>
        <v>0.42857142857142855</v>
      </c>
      <c r="AY132" s="855">
        <f t="shared" si="73"/>
        <v>58.905297376215458</v>
      </c>
      <c r="AZ132" s="829">
        <f t="shared" si="77"/>
        <v>58.922168731822495</v>
      </c>
      <c r="BA132" s="662">
        <f t="shared" si="74"/>
        <v>0.76222181036667103</v>
      </c>
      <c r="BB132" s="657">
        <v>43218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926">
        <f>1+[2]!Salcycl*Ksac</f>
        <v>1.0100662365148261</v>
      </c>
      <c r="BH132" s="1082">
        <f t="shared" si="75"/>
        <v>1.3082194771726742E-2</v>
      </c>
      <c r="BI132" s="11">
        <v>44314</v>
      </c>
      <c r="BJ132" s="803">
        <v>6.7747674795055738E-4</v>
      </c>
      <c r="BK132" s="803">
        <v>4.019997895081181E-3</v>
      </c>
      <c r="BL132" s="803">
        <v>8.1945167651513977E-3</v>
      </c>
      <c r="BM132" s="803">
        <v>1.3082014729697474E-2</v>
      </c>
      <c r="BN132" s="803">
        <v>1.7837987027135523E-2</v>
      </c>
      <c r="BO132" s="804">
        <v>2.3304434629329098E-2</v>
      </c>
      <c r="BP132" s="803">
        <v>3.0834371256158368E-2</v>
      </c>
      <c r="BQ132" s="803">
        <v>4.1962402989569603E-2</v>
      </c>
      <c r="BR132" s="803">
        <v>5.8286339274323834E-2</v>
      </c>
      <c r="BS132" s="803">
        <v>8.1435000903248664E-2</v>
      </c>
      <c r="BT132" s="803">
        <v>0.10967371457030957</v>
      </c>
      <c r="BW132" s="1138">
        <f>'2018'!R\Max</f>
        <v>0</v>
      </c>
      <c r="BX132" s="1136">
        <f>'2019'!R\Max</f>
        <v>0.76222181036667103</v>
      </c>
      <c r="BY132" s="1136">
        <f>'2020'!R\Max</f>
        <v>0.36181423455963074</v>
      </c>
      <c r="BZ132" s="1136">
        <f>'2021'!R\Max</f>
        <v>0.31833656246681008</v>
      </c>
      <c r="CA132" s="1136">
        <f>'2022'!R\Max</f>
        <v>0.38397457876317703</v>
      </c>
      <c r="CB132" s="1136">
        <f>'2023'!R\Max</f>
        <v>0.38388199527742117</v>
      </c>
      <c r="CC132" s="1136">
        <f>'2024'!R\Max</f>
        <v>0.38378299757360101</v>
      </c>
      <c r="CD132" s="1136">
        <f>'2025'!R\Max</f>
        <v>0.38423378582509293</v>
      </c>
      <c r="CE132" s="1136">
        <f>'2026'!R\Max</f>
        <v>0.38417532080653244</v>
      </c>
      <c r="CF132" s="1137">
        <f>'2027'!R\Max</f>
        <v>0.38411602482005291</v>
      </c>
    </row>
    <row r="133" spans="1:84" s="6" customFormat="1" ht="11.25" x14ac:dyDescent="0.2">
      <c r="A133" s="11">
        <v>43219</v>
      </c>
      <c r="B133" s="380">
        <f>'2022'!Maxi_hp</f>
        <v>53.012856919854819</v>
      </c>
      <c r="C133" s="85">
        <f>'2022'!An_max</f>
        <v>2019</v>
      </c>
      <c r="D133" s="1089" t="str">
        <f t="shared" si="59"/>
        <v/>
      </c>
      <c r="E133" s="749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838">
        <f t="shared" si="62"/>
        <v>0.9285714285714286</v>
      </c>
      <c r="J133" s="829">
        <f t="shared" si="63"/>
        <v>59.023630193248394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838">
        <f t="shared" si="67"/>
        <v>0.9642857142857143</v>
      </c>
      <c r="AT133" s="855">
        <f t="shared" si="68"/>
        <v>59.021081540680356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838">
        <f t="shared" si="72"/>
        <v>0.4642857142857143</v>
      </c>
      <c r="AY133" s="855">
        <f t="shared" si="73"/>
        <v>58.980114659533982</v>
      </c>
      <c r="AZ133" s="829">
        <f t="shared" si="77"/>
        <v>59.000598100107169</v>
      </c>
      <c r="BA133" s="662">
        <f t="shared" si="74"/>
        <v>0.89816327369709736</v>
      </c>
      <c r="BB133" s="657">
        <v>43219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926">
        <f>1+[2]!Salcycl*Ksac</f>
        <v>1.0105580930186495</v>
      </c>
      <c r="BH133" s="1082">
        <f t="shared" si="75"/>
        <v>1.4131147457273112E-2</v>
      </c>
      <c r="BI133" s="11">
        <v>44315</v>
      </c>
      <c r="BJ133" s="803">
        <v>7.7363267873880399E-4</v>
      </c>
      <c r="BK133" s="803">
        <v>4.3462735403624704E-3</v>
      </c>
      <c r="BL133" s="803">
        <v>8.8437351654609697E-3</v>
      </c>
      <c r="BM133" s="803">
        <v>1.4130952722191977E-2</v>
      </c>
      <c r="BN133" s="803">
        <v>1.9275055213068788E-2</v>
      </c>
      <c r="BO133" s="804">
        <v>2.5046136625954517E-2</v>
      </c>
      <c r="BP133" s="803">
        <v>3.2782068977336813E-2</v>
      </c>
      <c r="BQ133" s="803">
        <v>4.3995000046180059E-2</v>
      </c>
      <c r="BR133" s="803">
        <v>6.0272492034377401E-2</v>
      </c>
      <c r="BS133" s="803">
        <v>8.3212496475817035E-2</v>
      </c>
      <c r="BT133" s="803">
        <v>0.11111943294595586</v>
      </c>
      <c r="BW133" s="1138">
        <f>'2018'!R\Max</f>
        <v>0</v>
      </c>
      <c r="BX133" s="1136">
        <f>'2019'!R\Max</f>
        <v>0.89816327369709736</v>
      </c>
      <c r="BY133" s="1136">
        <f>'2020'!R\Max</f>
        <v>0.57948128022752898</v>
      </c>
      <c r="BZ133" s="1136">
        <f>'2021'!R\Max</f>
        <v>0.43877382992591862</v>
      </c>
      <c r="CA133" s="1136">
        <f>'2022'!R\Max</f>
        <v>0.77674473458727433</v>
      </c>
      <c r="CB133" s="1136">
        <f>'2023'!R\Max</f>
        <v>0.77667468225824499</v>
      </c>
      <c r="CC133" s="1136">
        <f>'2024'!R\Max</f>
        <v>0.77659987603102798</v>
      </c>
      <c r="CD133" s="1136">
        <f>'2025'!R\Max</f>
        <v>0.77694811474236147</v>
      </c>
      <c r="CE133" s="1136">
        <f>'2026'!R\Max</f>
        <v>0.77690158770362483</v>
      </c>
      <c r="CF133" s="1137">
        <f>'2027'!R\Max</f>
        <v>0.77685448108200039</v>
      </c>
    </row>
    <row r="134" spans="1:84" s="6" customFormat="1" ht="11.25" x14ac:dyDescent="0.2">
      <c r="A134" s="11">
        <v>43220</v>
      </c>
      <c r="B134" s="380">
        <f>'2022'!Maxi_hp</f>
        <v>59.629748537925202</v>
      </c>
      <c r="C134" s="85">
        <f>'2022'!An_max</f>
        <v>2019</v>
      </c>
      <c r="D134" s="1089">
        <f t="shared" si="59"/>
        <v>1.0089635962423893</v>
      </c>
      <c r="E134" s="837">
        <f>V$13/10</f>
        <v>59.1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838">
        <f t="shared" si="62"/>
        <v>1</v>
      </c>
      <c r="J134" s="829">
        <f t="shared" si="63"/>
        <v>59.1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838">
        <f t="shared" si="67"/>
        <v>1</v>
      </c>
      <c r="AT134" s="855">
        <f t="shared" si="68"/>
        <v>59.100000000745055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838">
        <f t="shared" si="72"/>
        <v>0.5</v>
      </c>
      <c r="AY134" s="855">
        <f t="shared" si="73"/>
        <v>59.050749999843539</v>
      </c>
      <c r="AZ134" s="829">
        <f t="shared" si="77"/>
        <v>59.075375000294301</v>
      </c>
      <c r="BA134" s="662">
        <f t="shared" si="74"/>
        <v>1.0089635962423893</v>
      </c>
      <c r="BB134" s="657">
        <v>43220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926">
        <f>1+[2]!Salcycl*Ksac</f>
        <v>1.0110637789076153</v>
      </c>
      <c r="BH134" s="1082">
        <f t="shared" si="75"/>
        <v>1.5222488810597434E-2</v>
      </c>
      <c r="BI134" s="11">
        <v>44316</v>
      </c>
      <c r="BJ134" s="803">
        <v>8.7763716224643505E-4</v>
      </c>
      <c r="BK134" s="803">
        <v>4.6872343335232353E-3</v>
      </c>
      <c r="BL134" s="803">
        <v>9.5195679009315963E-3</v>
      </c>
      <c r="BM134" s="803">
        <v>1.5222278754740829E-2</v>
      </c>
      <c r="BN134" s="803">
        <v>2.0771093323185875E-2</v>
      </c>
      <c r="BO134" s="804">
        <v>2.6861160371560906E-2</v>
      </c>
      <c r="BP134" s="803">
        <v>3.4815055793802153E-2</v>
      </c>
      <c r="BQ134" s="803">
        <v>4.6124430065872433E-2</v>
      </c>
      <c r="BR134" s="803">
        <v>6.236780323802521E-2</v>
      </c>
      <c r="BS134" s="803">
        <v>8.5116957746846689E-2</v>
      </c>
      <c r="BT134" s="803">
        <v>0.11271455238766304</v>
      </c>
      <c r="BW134" s="1138">
        <f>'2018'!R\Max</f>
        <v>0</v>
      </c>
      <c r="BX134" s="1136">
        <f>'2019'!R\Max</f>
        <v>1.0089635962423893</v>
      </c>
      <c r="BY134" s="1136">
        <f>'2020'!R\Max</f>
        <v>0.93047277057761846</v>
      </c>
      <c r="BZ134" s="1136">
        <f>'2021'!R\Max</f>
        <v>0.29920863635302114</v>
      </c>
      <c r="CA134" s="1136">
        <f>'2022'!R\Max</f>
        <v>0.75653304682506761</v>
      </c>
      <c r="CB134" s="1136">
        <f>'2023'!R\Max</f>
        <v>0.75645618876966292</v>
      </c>
      <c r="CC134" s="1136">
        <f>'2024'!R\Max</f>
        <v>0.75637425994576402</v>
      </c>
      <c r="CD134" s="1136">
        <f>'2025'!R\Max</f>
        <v>0.75676409309088255</v>
      </c>
      <c r="CE134" s="1136">
        <f>'2026'!R\Max</f>
        <v>0.75671053971988567</v>
      </c>
      <c r="CF134" s="1137">
        <f>'2027'!R\Max</f>
        <v>0.75665642120009202</v>
      </c>
    </row>
    <row r="135" spans="1:84" s="6" customFormat="1" ht="11.25" x14ac:dyDescent="0.2">
      <c r="A135" s="11">
        <v>43221</v>
      </c>
      <c r="B135" s="380">
        <f>'2022'!Maxi_hp</f>
        <v>57.486763345827086</v>
      </c>
      <c r="C135" s="85">
        <f>'2022'!An_max</f>
        <v>2019</v>
      </c>
      <c r="D135" s="1089">
        <f t="shared" si="59"/>
        <v>0.97153753265828768</v>
      </c>
      <c r="E135" s="749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838">
        <f t="shared" si="62"/>
        <v>0.9285714285714286</v>
      </c>
      <c r="J135" s="829">
        <f t="shared" si="63"/>
        <v>59.170913540039749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838">
        <f t="shared" si="67"/>
        <v>0.9642857142857143</v>
      </c>
      <c r="AT135" s="855">
        <f t="shared" si="68"/>
        <v>59.17477689944208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838">
        <f t="shared" si="72"/>
        <v>0.5357142857142857</v>
      </c>
      <c r="AY135" s="855">
        <f t="shared" si="73"/>
        <v>59.117364932383815</v>
      </c>
      <c r="AZ135" s="829">
        <f t="shared" si="77"/>
        <v>59.146070915912944</v>
      </c>
      <c r="BA135" s="662">
        <f t="shared" si="74"/>
        <v>0.97153753265828768</v>
      </c>
      <c r="BB135" s="657">
        <v>43221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926">
        <f>1+[2]!Salcycl*Ksac</f>
        <v>1.0115831382539886</v>
      </c>
      <c r="BH135" s="1082">
        <f t="shared" si="75"/>
        <v>1.6356164315995639E-2</v>
      </c>
      <c r="BI135" s="11">
        <v>44317</v>
      </c>
      <c r="BJ135" s="803">
        <v>9.8948236963225435E-4</v>
      </c>
      <c r="BK135" s="803">
        <v>5.0428622118289732E-3</v>
      </c>
      <c r="BL135" s="803">
        <v>1.0221980926170571E-2</v>
      </c>
      <c r="BM135" s="803">
        <v>1.6355938312428143E-2</v>
      </c>
      <c r="BN135" s="803">
        <v>2.2326026022044171E-2</v>
      </c>
      <c r="BO135" s="804">
        <v>2.8749412798794675E-2</v>
      </c>
      <c r="BP135" s="803">
        <v>3.6933224090025481E-2</v>
      </c>
      <c r="BQ135" s="803">
        <v>4.8350572686855074E-2</v>
      </c>
      <c r="BR135" s="803">
        <v>6.4572140513115092E-2</v>
      </c>
      <c r="BS135" s="803">
        <v>8.7148237787334271E-2</v>
      </c>
      <c r="BT135" s="803">
        <v>0.11445890914926923</v>
      </c>
      <c r="BW135" s="1138">
        <f>'2018'!R\Max</f>
        <v>0</v>
      </c>
      <c r="BX135" s="1136">
        <f>'2019'!R\Max</f>
        <v>0.97153753265828768</v>
      </c>
      <c r="BY135" s="1136">
        <f>'2020'!R\Max</f>
        <v>0.72860026638505881</v>
      </c>
      <c r="BZ135" s="1136">
        <f>'2021'!R\Max</f>
        <v>0.32752098837481314</v>
      </c>
      <c r="CA135" s="1136">
        <f>'2022'!R\Max</f>
        <v>0.84604599069992981</v>
      </c>
      <c r="CB135" s="1136">
        <f>'2023'!R\Max</f>
        <v>0.84598979416576547</v>
      </c>
      <c r="CC135" s="1136">
        <f>'2024'!R\Max</f>
        <v>0.84592999580439154</v>
      </c>
      <c r="CD135" s="1136">
        <f>'2025'!R\Max</f>
        <v>0.84622052325325448</v>
      </c>
      <c r="CE135" s="1136">
        <f>'2026'!R\Max</f>
        <v>0.84617959051531122</v>
      </c>
      <c r="CF135" s="1137">
        <f>'2027'!R\Max</f>
        <v>0.84613829876608393</v>
      </c>
    </row>
    <row r="136" spans="1:84" s="6" customFormat="1" ht="11.25" x14ac:dyDescent="0.2">
      <c r="A136" s="11">
        <v>43222</v>
      </c>
      <c r="B136" s="380">
        <f>'2022'!Maxi_hp</f>
        <v>52.039309618554178</v>
      </c>
      <c r="C136" s="85">
        <f>'2022'!An_max</f>
        <v>2021</v>
      </c>
      <c r="D136" s="1089" t="str">
        <f t="shared" si="59"/>
        <v/>
      </c>
      <c r="E136" s="749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838">
        <f t="shared" si="62"/>
        <v>0.8571428571428571</v>
      </c>
      <c r="J136" s="829">
        <f t="shared" si="63"/>
        <v>59.236119534234909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838">
        <f t="shared" si="67"/>
        <v>0.9285714285714286</v>
      </c>
      <c r="AT136" s="855">
        <f t="shared" si="68"/>
        <v>59.244411625393795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838">
        <f t="shared" si="72"/>
        <v>0.5714285714285714</v>
      </c>
      <c r="AY136" s="855">
        <f t="shared" si="73"/>
        <v>59.180120991489716</v>
      </c>
      <c r="AZ136" s="829">
        <f t="shared" si="77"/>
        <v>59.212266308441755</v>
      </c>
      <c r="BA136" s="662">
        <f t="shared" si="74"/>
        <v>0.87850639150119536</v>
      </c>
      <c r="BB136" s="657">
        <v>43222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926">
        <f>1+[2]!Salcycl*Ksac</f>
        <v>1.0121159854999637</v>
      </c>
      <c r="BH136" s="1082">
        <f t="shared" si="75"/>
        <v>1.7544574137445527E-2</v>
      </c>
      <c r="BI136" s="11">
        <v>44318</v>
      </c>
      <c r="BJ136" s="803">
        <v>1.1136975675785242E-3</v>
      </c>
      <c r="BK136" s="803">
        <v>5.4179190097876258E-3</v>
      </c>
      <c r="BL136" s="803">
        <v>1.0958994669592595E-2</v>
      </c>
      <c r="BM136" s="803">
        <v>1.7544331353446199E-2</v>
      </c>
      <c r="BN136" s="803">
        <v>2.395768927751037E-2</v>
      </c>
      <c r="BO136" s="804">
        <v>3.0733625984120504E-2</v>
      </c>
      <c r="BP136" s="803">
        <v>3.9163596498695274E-2</v>
      </c>
      <c r="BQ136" s="803">
        <v>5.0705215102813672E-2</v>
      </c>
      <c r="BR136" s="803">
        <v>6.6921372425529813E-2</v>
      </c>
      <c r="BS136" s="803">
        <v>8.9346500741173826E-2</v>
      </c>
      <c r="BT136" s="803">
        <v>0.11639757889188532</v>
      </c>
      <c r="BW136" s="1138">
        <f>'2018'!R\Max</f>
        <v>0</v>
      </c>
      <c r="BX136" s="1136">
        <f>'2019'!R\Max</f>
        <v>0.66386070757462712</v>
      </c>
      <c r="BY136" s="1136">
        <f>'2020'!R\Max</f>
        <v>0.34952014246921481</v>
      </c>
      <c r="BZ136" s="1136">
        <f>'2021'!R\Max</f>
        <v>0.87850639150119536</v>
      </c>
      <c r="CA136" s="1136">
        <f>'2022'!R\Max</f>
        <v>0.4948827860542257</v>
      </c>
      <c r="CB136" s="1136">
        <f>'2023'!R\Max</f>
        <v>0.49477114397648397</v>
      </c>
      <c r="CC136" s="1136">
        <f>'2024'!R\Max</f>
        <v>0.49465261639899083</v>
      </c>
      <c r="CD136" s="1136">
        <f>'2025'!R\Max</f>
        <v>0.49524069223140915</v>
      </c>
      <c r="CE136" s="1136">
        <f>'2026'!R\Max</f>
        <v>0.49515580634475059</v>
      </c>
      <c r="CF136" s="1137">
        <f>'2027'!R\Max</f>
        <v>0.49507034954943968</v>
      </c>
    </row>
    <row r="137" spans="1:84" s="6" customFormat="1" ht="11.25" x14ac:dyDescent="0.2">
      <c r="A137" s="11">
        <v>43223</v>
      </c>
      <c r="B137" s="380">
        <f>'2022'!Maxi_hp</f>
        <v>59.632265422182535</v>
      </c>
      <c r="C137" s="85">
        <f>'2022'!An_max</f>
        <v>2021</v>
      </c>
      <c r="D137" s="1089">
        <f t="shared" si="59"/>
        <v>1.0056719627413868</v>
      </c>
      <c r="E137" s="749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838">
        <f t="shared" si="62"/>
        <v>0.7857142857142857</v>
      </c>
      <c r="J137" s="829">
        <f t="shared" si="63"/>
        <v>59.295941053809862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838">
        <f t="shared" si="67"/>
        <v>0.8928571428571429</v>
      </c>
      <c r="AT137" s="855">
        <f t="shared" si="68"/>
        <v>59.309038789743298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838">
        <f t="shared" si="72"/>
        <v>0.6071428571428571</v>
      </c>
      <c r="AY137" s="855">
        <f t="shared" si="73"/>
        <v>59.239179710152428</v>
      </c>
      <c r="AZ137" s="829">
        <f t="shared" si="77"/>
        <v>59.274109249947863</v>
      </c>
      <c r="BA137" s="662">
        <f t="shared" si="74"/>
        <v>1.0056719627413868</v>
      </c>
      <c r="BB137" s="657">
        <v>43223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926">
        <f>1+[2]!Salcycl*Ksac</f>
        <v>1.012662104688159</v>
      </c>
      <c r="BH137" s="1082">
        <f t="shared" si="75"/>
        <v>1.876529981429096E-2</v>
      </c>
      <c r="BI137" s="11">
        <v>44319</v>
      </c>
      <c r="BJ137" s="803">
        <v>1.2468643037631679E-3</v>
      </c>
      <c r="BK137" s="803">
        <v>5.8051754929426729E-3</v>
      </c>
      <c r="BL137" s="803">
        <v>1.1716850631796524E-2</v>
      </c>
      <c r="BM137" s="803">
        <v>1.8765039830660874E-2</v>
      </c>
      <c r="BN137" s="803">
        <v>2.5632741486248629E-2</v>
      </c>
      <c r="BO137" s="804">
        <v>3.2771113586632962E-2</v>
      </c>
      <c r="BP137" s="803">
        <v>4.1456092894944362E-2</v>
      </c>
      <c r="BQ137" s="803">
        <v>5.3131496206728558E-2</v>
      </c>
      <c r="BR137" s="803">
        <v>6.9352008518766092E-2</v>
      </c>
      <c r="BS137" s="803">
        <v>9.1636530365408794E-2</v>
      </c>
      <c r="BT137" s="803">
        <v>0.11844060298938865</v>
      </c>
      <c r="BW137" s="1138">
        <f>'2018'!R\Max</f>
        <v>0</v>
      </c>
      <c r="BX137" s="1136">
        <f>'2019'!R\Max</f>
        <v>0.42230548825529485</v>
      </c>
      <c r="BY137" s="1136">
        <f>'2020'!R\Max</f>
        <v>0.58632567396301372</v>
      </c>
      <c r="BZ137" s="1136">
        <f>'2021'!R\Max</f>
        <v>1.0056719627413868</v>
      </c>
      <c r="CA137" s="1136">
        <f>'2022'!R\Max</f>
        <v>0.56480957052102354</v>
      </c>
      <c r="CB137" s="1136">
        <f>'2023'!R\Max</f>
        <v>0.56469586908990677</v>
      </c>
      <c r="CC137" s="1136">
        <f>'2024'!R\Max</f>
        <v>0.56457538810629249</v>
      </c>
      <c r="CD137" s="1136">
        <f>'2025'!R\Max</f>
        <v>0.56518469501527913</v>
      </c>
      <c r="CE137" s="1136">
        <f>'2026'!R\Max</f>
        <v>0.56509485995479891</v>
      </c>
      <c r="CF137" s="1137">
        <f>'2027'!R\Max</f>
        <v>0.56500457392206949</v>
      </c>
    </row>
    <row r="138" spans="1:84" s="6" customFormat="1" ht="11.25" x14ac:dyDescent="0.2">
      <c r="A138" s="11">
        <v>43224</v>
      </c>
      <c r="B138" s="380">
        <f>'2022'!Maxi_hp</f>
        <v>56.02715044671482</v>
      </c>
      <c r="C138" s="85">
        <f>'2022'!An_max</f>
        <v>2020</v>
      </c>
      <c r="D138" s="1089" t="str">
        <f t="shared" si="59"/>
        <v/>
      </c>
      <c r="E138" s="749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838">
        <f t="shared" si="62"/>
        <v>0.7142857142857143</v>
      </c>
      <c r="J138" s="829">
        <f t="shared" si="63"/>
        <v>59.350701166476526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838">
        <f t="shared" si="67"/>
        <v>0.8571428571428571</v>
      </c>
      <c r="AT138" s="855">
        <f t="shared" si="68"/>
        <v>59.368793002994991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838">
        <f t="shared" si="72"/>
        <v>0.6428571428571429</v>
      </c>
      <c r="AY138" s="855">
        <f t="shared" si="73"/>
        <v>59.294702623917587</v>
      </c>
      <c r="AZ138" s="829">
        <f t="shared" si="77"/>
        <v>59.331747813456289</v>
      </c>
      <c r="BA138" s="662">
        <f t="shared" si="74"/>
        <v>0.94400149190421068</v>
      </c>
      <c r="BB138" s="657">
        <v>43224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926">
        <f>1+[2]!Salcycl*Ksac</f>
        <v>1.0132212487513415</v>
      </c>
      <c r="BH138" s="1082">
        <f t="shared" si="75"/>
        <v>2.0018286505794361E-2</v>
      </c>
      <c r="BI138" s="11">
        <v>44320</v>
      </c>
      <c r="BJ138" s="803">
        <v>1.3889725239531153E-3</v>
      </c>
      <c r="BK138" s="803">
        <v>6.2046127701556805E-3</v>
      </c>
      <c r="BL138" s="803">
        <v>1.2495514139429398E-2</v>
      </c>
      <c r="BM138" s="803">
        <v>2.0018008904077938E-2</v>
      </c>
      <c r="BN138" s="803">
        <v>2.7351108172107282E-2</v>
      </c>
      <c r="BO138" s="804">
        <v>3.4861784259811436E-2</v>
      </c>
      <c r="BP138" s="803">
        <v>4.381060773538125E-2</v>
      </c>
      <c r="BQ138" s="803">
        <v>5.5629297550764373E-2</v>
      </c>
      <c r="BR138" s="803">
        <v>7.1863918870051141E-2</v>
      </c>
      <c r="BS138" s="803">
        <v>9.4018186391824632E-2</v>
      </c>
      <c r="BT138" s="803">
        <v>0.12058783023989585</v>
      </c>
      <c r="BW138" s="1138">
        <f>'2018'!R\Max</f>
        <v>0</v>
      </c>
      <c r="BX138" s="1136">
        <f>'2019'!R\Max</f>
        <v>0.48414302822060984</v>
      </c>
      <c r="BY138" s="1136">
        <f>'2020'!R\Max</f>
        <v>0.94400149190421068</v>
      </c>
      <c r="BZ138" s="1136">
        <f>'2021'!R\Max</f>
        <v>0.89558116753823991</v>
      </c>
      <c r="CA138" s="1136">
        <f>'2022'!R\Max</f>
        <v>0.33275100885807446</v>
      </c>
      <c r="CB138" s="1136">
        <f>'2023'!R\Max</f>
        <v>0.33264461389263611</v>
      </c>
      <c r="CC138" s="1136">
        <f>'2024'!R\Max</f>
        <v>0.33253212907983032</v>
      </c>
      <c r="CD138" s="1136">
        <f>'2025'!R\Max</f>
        <v>0.333111730685965</v>
      </c>
      <c r="CE138" s="1136">
        <f>'2026'!R\Max</f>
        <v>0.33302455512676632</v>
      </c>
      <c r="CF138" s="1137">
        <f>'2027'!R\Max</f>
        <v>0.33293710624179007</v>
      </c>
    </row>
    <row r="139" spans="1:84" s="6" customFormat="1" ht="11.25" x14ac:dyDescent="0.2">
      <c r="A139" s="11">
        <v>43225</v>
      </c>
      <c r="B139" s="380">
        <f>'2022'!Maxi_hp</f>
        <v>58.496922298592779</v>
      </c>
      <c r="C139" s="85">
        <f>'2022'!An_max</f>
        <v>2020</v>
      </c>
      <c r="D139" s="1089">
        <f t="shared" si="59"/>
        <v>0.98478468614724479</v>
      </c>
      <c r="E139" s="749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838">
        <f t="shared" si="62"/>
        <v>0.6428571428571429</v>
      </c>
      <c r="J139" s="829">
        <f t="shared" si="63"/>
        <v>59.40072294122406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838">
        <f t="shared" si="67"/>
        <v>0.8214285714285714</v>
      </c>
      <c r="AT139" s="855">
        <f t="shared" si="68"/>
        <v>59.423808878407421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838">
        <f t="shared" si="72"/>
        <v>0.6785714285714286</v>
      </c>
      <c r="AY139" s="855">
        <f t="shared" si="73"/>
        <v>59.346851266454905</v>
      </c>
      <c r="AZ139" s="829">
        <f t="shared" si="77"/>
        <v>59.385330072431159</v>
      </c>
      <c r="BA139" s="662">
        <f t="shared" si="74"/>
        <v>0.98478468614724479</v>
      </c>
      <c r="BB139" s="657">
        <v>43225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926">
        <f>1+[2]!Salcycl*Ksac</f>
        <v>1.0137931388728807</v>
      </c>
      <c r="BH139" s="1082">
        <f t="shared" si="75"/>
        <v>2.1303476916148246E-2</v>
      </c>
      <c r="BI139" s="11">
        <v>44321</v>
      </c>
      <c r="BJ139" s="803">
        <v>1.5400116798662971E-3</v>
      </c>
      <c r="BK139" s="803">
        <v>6.61621109016838E-3</v>
      </c>
      <c r="BL139" s="803">
        <v>1.3294948962368089E-2</v>
      </c>
      <c r="BM139" s="803">
        <v>2.1303181278666327E-2</v>
      </c>
      <c r="BN139" s="803">
        <v>2.9112711530055808E-2</v>
      </c>
      <c r="BO139" s="804">
        <v>3.7005542586383416E-2</v>
      </c>
      <c r="BP139" s="803">
        <v>4.6227030802869801E-2</v>
      </c>
      <c r="BQ139" s="803">
        <v>5.8198495489815795E-2</v>
      </c>
      <c r="BR139" s="803">
        <v>7.4456967939149951E-2</v>
      </c>
      <c r="BS139" s="803">
        <v>9.649132261657821E-2</v>
      </c>
      <c r="BT139" s="803">
        <v>0.12283910318793799</v>
      </c>
      <c r="BW139" s="1138">
        <f>'2018'!R\Max</f>
        <v>0</v>
      </c>
      <c r="BX139" s="1136">
        <f>'2019'!R\Max</f>
        <v>0.80064327430171178</v>
      </c>
      <c r="BY139" s="1136">
        <f>'2020'!R\Max</f>
        <v>0.98478468614724479</v>
      </c>
      <c r="BZ139" s="1136">
        <f>'2021'!R\Max</f>
        <v>0.6557368179060562</v>
      </c>
      <c r="CA139" s="1136">
        <f>'2022'!R\Max</f>
        <v>0.69877643833764036</v>
      </c>
      <c r="CB139" s="1136">
        <f>'2023'!R\Max</f>
        <v>0.69867189068307478</v>
      </c>
      <c r="CC139" s="1136">
        <f>'2024'!R\Max</f>
        <v>0.69856154543387572</v>
      </c>
      <c r="CD139" s="1136">
        <f>'2025'!R\Max</f>
        <v>0.69913954240286125</v>
      </c>
      <c r="CE139" s="1136">
        <f>'2026'!R\Max</f>
        <v>0.69905112725518415</v>
      </c>
      <c r="CF139" s="1137">
        <f>'2027'!R\Max</f>
        <v>0.69896255549073105</v>
      </c>
    </row>
    <row r="140" spans="1:84" s="6" customFormat="1" ht="11.25" x14ac:dyDescent="0.2">
      <c r="A140" s="11">
        <v>43226</v>
      </c>
      <c r="B140" s="380">
        <f>'2022'!Maxi_hp</f>
        <v>61.787025291973102</v>
      </c>
      <c r="C140" s="85">
        <f>'2022'!An_max</f>
        <v>2019</v>
      </c>
      <c r="D140" s="1089">
        <f t="shared" si="59"/>
        <v>1.0393749432009896</v>
      </c>
      <c r="E140" s="749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838">
        <f t="shared" si="62"/>
        <v>0.5714285714285714</v>
      </c>
      <c r="J140" s="829">
        <f t="shared" si="63"/>
        <v>59.44632944650948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838">
        <f t="shared" si="67"/>
        <v>0.7857142857142857</v>
      </c>
      <c r="AT140" s="855">
        <f t="shared" si="68"/>
        <v>59.474221027163523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838">
        <f t="shared" si="72"/>
        <v>0.7142857142857143</v>
      </c>
      <c r="AY140" s="855">
        <f t="shared" si="73"/>
        <v>59.395787171806603</v>
      </c>
      <c r="AZ140" s="829">
        <f t="shared" si="77"/>
        <v>59.435004099485063</v>
      </c>
      <c r="BA140" s="662">
        <f t="shared" si="74"/>
        <v>1.0393749432009896</v>
      </c>
      <c r="BB140" s="657">
        <v>43226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926">
        <f>1+[2]!Salcycl*Ksac</f>
        <v>1.0143774639296084</v>
      </c>
      <c r="BH140" s="1082">
        <f t="shared" si="75"/>
        <v>2.2620811222221142E-2</v>
      </c>
      <c r="BI140" s="11">
        <v>44322</v>
      </c>
      <c r="BJ140" s="803">
        <v>1.6999707094116766E-3</v>
      </c>
      <c r="BK140" s="803">
        <v>7.0399498144161987E-3</v>
      </c>
      <c r="BL140" s="803">
        <v>1.4115117267154177E-2</v>
      </c>
      <c r="BM140" s="803">
        <v>2.2620497132105021E-2</v>
      </c>
      <c r="BN140" s="803">
        <v>3.0917470329129736E-2</v>
      </c>
      <c r="BO140" s="804">
        <v>3.9202288959169655E-2</v>
      </c>
      <c r="BP140" s="803">
        <v>4.8705247067652502E-2</v>
      </c>
      <c r="BQ140" s="803">
        <v>6.0838961021567273E-2</v>
      </c>
      <c r="BR140" s="803">
        <v>7.7131014386925836E-2</v>
      </c>
      <c r="BS140" s="803">
        <v>9.9055786696072456E-2</v>
      </c>
      <c r="BT140" s="803">
        <v>0.1251942578928649</v>
      </c>
      <c r="BW140" s="1138">
        <f>'2018'!R\Max</f>
        <v>0</v>
      </c>
      <c r="BX140" s="1136">
        <f>'2019'!R\Max</f>
        <v>1.0393749432009896</v>
      </c>
      <c r="BY140" s="1136">
        <f>'2020'!R\Max</f>
        <v>0.86918670967637379</v>
      </c>
      <c r="BZ140" s="1136">
        <f>'2021'!R\Max</f>
        <v>0.6148250323682446</v>
      </c>
      <c r="CA140" s="1136">
        <f>'2022'!R\Max</f>
        <v>0.65213312572178028</v>
      </c>
      <c r="CB140" s="1136">
        <f>'2023'!R\Max</f>
        <v>0.65201633140662385</v>
      </c>
      <c r="CC140" s="1136">
        <f>'2024'!R\Max</f>
        <v>0.65189332174726244</v>
      </c>
      <c r="CD140" s="1136">
        <f>'2025'!R\Max</f>
        <v>0.65254829748069154</v>
      </c>
      <c r="CE140" s="1136">
        <f>'2026'!R\Max</f>
        <v>0.65244645898877962</v>
      </c>
      <c r="CF140" s="1137">
        <f>'2027'!R\Max</f>
        <v>0.65234460925902849</v>
      </c>
    </row>
    <row r="141" spans="1:84" s="6" customFormat="1" ht="11.25" x14ac:dyDescent="0.2">
      <c r="A141" s="11">
        <v>43227</v>
      </c>
      <c r="B141" s="380">
        <f>'2022'!Maxi_hp</f>
        <v>57.268675300754929</v>
      </c>
      <c r="C141" s="85">
        <f>'2022'!An_max</f>
        <v>2020</v>
      </c>
      <c r="D141" s="1089" t="str">
        <f t="shared" si="59"/>
        <v/>
      </c>
      <c r="E141" s="749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838">
        <f t="shared" si="62"/>
        <v>0.5</v>
      </c>
      <c r="J141" s="829">
        <f t="shared" si="63"/>
        <v>59.487843750603496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838">
        <f t="shared" si="67"/>
        <v>0.75</v>
      </c>
      <c r="AT141" s="855">
        <f t="shared" si="68"/>
        <v>59.520164063666016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838">
        <f t="shared" si="72"/>
        <v>0.75</v>
      </c>
      <c r="AY141" s="855">
        <f t="shared" si="73"/>
        <v>59.441671875119212</v>
      </c>
      <c r="AZ141" s="829">
        <f t="shared" si="77"/>
        <v>59.480917969392614</v>
      </c>
      <c r="BA141" s="662">
        <f t="shared" si="74"/>
        <v>0.96269542968892607</v>
      </c>
      <c r="BB141" s="657">
        <v>43227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926">
        <f>1+[2]!Salcycl*Ksac</f>
        <v>1.0149738800288108</v>
      </c>
      <c r="BH141" s="1082">
        <f t="shared" si="75"/>
        <v>2.3970227001033108E-2</v>
      </c>
      <c r="BI141" s="11">
        <v>44323</v>
      </c>
      <c r="BJ141" s="803">
        <v>1.8688380169109191E-3</v>
      </c>
      <c r="BK141" s="803">
        <v>7.4758073897580185E-3</v>
      </c>
      <c r="BL141" s="803">
        <v>1.4955979570259953E-2</v>
      </c>
      <c r="BM141" s="803">
        <v>2.3969894042259483E-2</v>
      </c>
      <c r="BN141" s="803">
        <v>3.276529981500606E-2</v>
      </c>
      <c r="BO141" s="804">
        <v>4.1451919461457633E-2</v>
      </c>
      <c r="BP141" s="803">
        <v>5.1245136547878878E-2</v>
      </c>
      <c r="BQ141" s="803">
        <v>6.3550559625793743E-2</v>
      </c>
      <c r="BR141" s="803">
        <v>7.9885910892915274E-2</v>
      </c>
      <c r="BS141" s="803">
        <v>0.10171141994153514</v>
      </c>
      <c r="BT141" s="803">
        <v>0.12765312369558021</v>
      </c>
      <c r="BW141" s="1138">
        <f>'2018'!R\Max</f>
        <v>0</v>
      </c>
      <c r="BX141" s="1136">
        <f>'2019'!R\Max</f>
        <v>0.82551383078240015</v>
      </c>
      <c r="BY141" s="1136">
        <f>'2020'!R\Max</f>
        <v>0.96269542968892607</v>
      </c>
      <c r="BZ141" s="1136">
        <f>'2021'!R\Max</f>
        <v>0.4666047983605684</v>
      </c>
      <c r="CA141" s="1136">
        <f>'2022'!R\Max</f>
        <v>0.84371517307907162</v>
      </c>
      <c r="CB141" s="1136">
        <f>'2023'!R\Max</f>
        <v>0.84364478415337085</v>
      </c>
      <c r="CC141" s="1136">
        <f>'2024'!R\Max</f>
        <v>0.84357078905873373</v>
      </c>
      <c r="CD141" s="1136">
        <f>'2025'!R\Max</f>
        <v>0.84397070795351592</v>
      </c>
      <c r="CE141" s="1136">
        <f>'2026'!R\Max</f>
        <v>0.8439076259534517</v>
      </c>
      <c r="CF141" s="1137">
        <f>'2027'!R\Max</f>
        <v>0.84384462608525068</v>
      </c>
    </row>
    <row r="142" spans="1:84" s="6" customFormat="1" ht="11.25" x14ac:dyDescent="0.2">
      <c r="A142" s="11">
        <v>43228</v>
      </c>
      <c r="B142" s="380">
        <f>'2022'!Maxi_hp</f>
        <v>59.229596839292704</v>
      </c>
      <c r="C142" s="85">
        <f>'2022'!An_max</f>
        <v>2021</v>
      </c>
      <c r="D142" s="1089">
        <f t="shared" si="59"/>
        <v>0.99502748166394139</v>
      </c>
      <c r="E142" s="749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838">
        <f t="shared" si="62"/>
        <v>0.42857142857142855</v>
      </c>
      <c r="J142" s="829">
        <f t="shared" si="63"/>
        <v>59.525588921670398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838">
        <f t="shared" si="67"/>
        <v>0.7142857142857143</v>
      </c>
      <c r="AT142" s="855">
        <f t="shared" si="68"/>
        <v>59.561772595345971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838">
        <f t="shared" si="72"/>
        <v>0.7857142857142857</v>
      </c>
      <c r="AY142" s="855">
        <f t="shared" si="73"/>
        <v>59.484666909410485</v>
      </c>
      <c r="AZ142" s="829">
        <f t="shared" si="77"/>
        <v>59.523219752378225</v>
      </c>
      <c r="BA142" s="662">
        <f t="shared" si="74"/>
        <v>0.99502748166394139</v>
      </c>
      <c r="BB142" s="657">
        <v>43228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926">
        <f>1+[2]!Salcycl*Ksac</f>
        <v>1.0155820101509712</v>
      </c>
      <c r="BH142" s="1082">
        <f t="shared" si="75"/>
        <v>2.5354084534168181E-2</v>
      </c>
      <c r="BI142" s="11">
        <v>44324</v>
      </c>
      <c r="BJ142" s="803">
        <v>2.05018772640884E-3</v>
      </c>
      <c r="BK142" s="803">
        <v>7.9262633179371655E-3</v>
      </c>
      <c r="BL142" s="803">
        <v>1.5819646719249524E-2</v>
      </c>
      <c r="BM142" s="803">
        <v>2.5353732263068942E-2</v>
      </c>
      <c r="BN142" s="803">
        <v>3.4659290504035822E-2</v>
      </c>
      <c r="BO142" s="804">
        <v>4.3757321890374283E-2</v>
      </c>
      <c r="BP142" s="803">
        <v>5.3849973153588006E-2</v>
      </c>
      <c r="BQ142" s="803">
        <v>6.6338135735423839E-2</v>
      </c>
      <c r="BR142" s="803">
        <v>8.2728974618096959E-2</v>
      </c>
      <c r="BS142" s="803">
        <v>0.1044700018066157</v>
      </c>
      <c r="BT142" s="803">
        <v>0.13023305950370731</v>
      </c>
      <c r="BW142" s="1138">
        <f>'2018'!R\Max</f>
        <v>0</v>
      </c>
      <c r="BX142" s="1136">
        <f>'2019'!R\Max</f>
        <v>0.54204384400076433</v>
      </c>
      <c r="BY142" s="1136">
        <f>'2020'!R\Max</f>
        <v>0.8630666556209603</v>
      </c>
      <c r="BZ142" s="1136">
        <f>'2021'!R\Max</f>
        <v>0.99502748166394139</v>
      </c>
      <c r="CA142" s="1136">
        <f>'2022'!R\Max</f>
        <v>0.8798634906880306</v>
      </c>
      <c r="CB142" s="1136">
        <f>'2023'!R\Max</f>
        <v>0.87980497852178574</v>
      </c>
      <c r="CC142" s="1136">
        <f>'2024'!R\Max</f>
        <v>0.87974359421887283</v>
      </c>
      <c r="CD142" s="1136">
        <f>'2025'!R\Max</f>
        <v>0.88008017921093773</v>
      </c>
      <c r="CE142" s="1136">
        <f>'2026'!R\Max</f>
        <v>0.88002635986593791</v>
      </c>
      <c r="CF142" s="1137">
        <f>'2027'!R\Max</f>
        <v>0.87997269358087904</v>
      </c>
    </row>
    <row r="143" spans="1:84" s="6" customFormat="1" ht="11.25" x14ac:dyDescent="0.2">
      <c r="A143" s="11">
        <v>43229</v>
      </c>
      <c r="B143" s="380">
        <f>'2022'!Maxi_hp</f>
        <v>56.995146549871819</v>
      </c>
      <c r="C143" s="85">
        <f>'2022'!An_max</f>
        <v>2022</v>
      </c>
      <c r="D143" s="1089" t="str">
        <f t="shared" ref="D143:D206" si="78">IF($BA143&gt;$D$11,BA143,"")</f>
        <v/>
      </c>
      <c r="E143" s="749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838">
        <f t="shared" ref="I143:I206" si="81">($A143-H143)/(INDEX(x.2m,G143)-H143)</f>
        <v>0.35714285714285715</v>
      </c>
      <c r="J143" s="829">
        <f t="shared" ref="J143:J206" si="82">((1-I143)*(INDEX(a.m,F143)*$A143*$A143+INDEX(b.m,F143)*$A143+INDEX(c.m,F143))+I143*(INDEX(a.m,G143)*$A143*$A143+INDEX(b.m,G143)*$A143+INDEX(c.m,G143)))/10</f>
        <v>59.559888028380058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838">
        <f t="shared" ref="AS143:AS206" si="86">($A143-AR143)/(INDEX(x.2lg,AQ143)-AR143)</f>
        <v>0.6785714285714286</v>
      </c>
      <c r="AT143" s="855">
        <f t="shared" ref="AT143:AT206" si="87">((1-AS143)*(INDEX(a.lg,AP143)*$A143*$A143+INDEX(b.lg,AP143)*$A143+INDEX(c.lg,AP143))+AS143*(INDEX(a.lg,AQ143)*$A143*$A143+INDEX(b.lg,AQ143)*$A143+INDEX(c.lg,AQ143)))/10</f>
        <v>59.599181236246864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838">
        <f t="shared" ref="AX143:AX206" si="91">($A143-AW143)/(INDEX(x.2ld,AV143)-AW143)</f>
        <v>0.8214285714285714</v>
      </c>
      <c r="AY143" s="855">
        <f t="shared" ref="AY143:AY206" si="92">((1-AX143)*(INDEX(a.ld,AU143)*$A143*$A143+INDEX(b.ld,AU143)*$A143+INDEX(c.ld,AU143))+AX143*(INDEX(a.ld,AV143)*$A143*$A143+INDEX(b.ld,AV143)*$A143+INDEX(c.ld,AV143)))/10</f>
        <v>59.524933809707207</v>
      </c>
      <c r="AZ143" s="829">
        <f t="shared" si="77"/>
        <v>59.562057522977035</v>
      </c>
      <c r="BA143" s="662">
        <f t="shared" ref="BA143:BA206" si="93">+B143/J143</f>
        <v>0.95693844358326952</v>
      </c>
      <c r="BB143" s="657">
        <v>43229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926">
        <f>1+[2]!Salcycl*Ksac</f>
        <v>1.0162014439096383</v>
      </c>
      <c r="BH143" s="1082">
        <f t="shared" ref="BH143:BH206" si="94">INDEX($BJ143:$BT143,,$BH$10)*(1-Ratini)+INDEX($BJ143:$BT143,,$BH$10+1)*Ratini</f>
        <v>2.6751754757332911E-2</v>
      </c>
      <c r="BI143" s="11">
        <v>44325</v>
      </c>
      <c r="BJ143" s="803">
        <v>2.2395246280350481E-3</v>
      </c>
      <c r="BK143" s="803">
        <v>8.3836544332700855E-3</v>
      </c>
      <c r="BL143" s="803">
        <v>1.669285350445306E-2</v>
      </c>
      <c r="BM143" s="803">
        <v>2.6751382953752945E-2</v>
      </c>
      <c r="BN143" s="803">
        <v>3.6572909258456472E-2</v>
      </c>
      <c r="BO143" s="804">
        <v>4.6086751330446957E-2</v>
      </c>
      <c r="BP143" s="803">
        <v>5.6483273019897549E-2</v>
      </c>
      <c r="BQ143" s="803">
        <v>6.9160315942378411E-2</v>
      </c>
      <c r="BR143" s="803">
        <v>8.5613045769418028E-2</v>
      </c>
      <c r="BS143" s="803">
        <v>0.10727823915437258</v>
      </c>
      <c r="BT143" s="803">
        <v>0.13287305739597094</v>
      </c>
      <c r="BW143" s="1138">
        <f>'2018'!R\Max</f>
        <v>0</v>
      </c>
      <c r="BX143" s="1136">
        <f>'2019'!R\Max</f>
        <v>0.8718760677389007</v>
      </c>
      <c r="BY143" s="1136">
        <f>'2020'!R\Max</f>
        <v>0.85605725570488822</v>
      </c>
      <c r="BZ143" s="1136">
        <f>'2021'!R\Max</f>
        <v>0.38487185027186388</v>
      </c>
      <c r="CA143" s="1136">
        <f>'2022'!R\Max</f>
        <v>0.95693844358326952</v>
      </c>
      <c r="CB143" s="1136">
        <f>'2023'!R\Max</f>
        <v>0.95691479703256588</v>
      </c>
      <c r="CC143" s="1136">
        <f>'2024'!R\Max</f>
        <v>0.95689003854887655</v>
      </c>
      <c r="CD143" s="1136">
        <f>'2025'!R\Max</f>
        <v>0.95702763008727532</v>
      </c>
      <c r="CE143" s="1136">
        <f>'2026'!R\Max</f>
        <v>0.95700535534558917</v>
      </c>
      <c r="CF143" s="1137">
        <f>'2027'!R\Max</f>
        <v>0.95698317701048152</v>
      </c>
    </row>
    <row r="144" spans="1:84" s="6" customFormat="1" ht="11.25" x14ac:dyDescent="0.2">
      <c r="A144" s="11">
        <v>43230</v>
      </c>
      <c r="B144" s="380">
        <f>'2022'!Maxi_hp</f>
        <v>54.326480151612564</v>
      </c>
      <c r="C144" s="85">
        <f>'2022'!An_max</f>
        <v>2022</v>
      </c>
      <c r="D144" s="1089" t="str">
        <f t="shared" si="78"/>
        <v/>
      </c>
      <c r="E144" s="749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838">
        <f t="shared" si="81"/>
        <v>0.2857142857142857</v>
      </c>
      <c r="J144" s="829">
        <f t="shared" si="82"/>
        <v>59.591064140626358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838">
        <f t="shared" si="86"/>
        <v>0.6428571428571429</v>
      </c>
      <c r="AT144" s="855">
        <f t="shared" si="87"/>
        <v>59.63252460011946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838">
        <f t="shared" si="91"/>
        <v>0.8571428571428571</v>
      </c>
      <c r="AY144" s="855">
        <f t="shared" si="92"/>
        <v>59.562634110557177</v>
      </c>
      <c r="AZ144" s="829">
        <f t="shared" ref="AZ144:AZ207" si="96">(AY144+AT144)/2</f>
        <v>59.597579355338318</v>
      </c>
      <c r="BA144" s="662">
        <f t="shared" si="93"/>
        <v>0.91165480823450085</v>
      </c>
      <c r="BB144" s="657">
        <v>43230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926">
        <f>1+[2]!Salcycl*Ksac</f>
        <v>1.0168317374394114</v>
      </c>
      <c r="BH144" s="1082">
        <f t="shared" si="94"/>
        <v>2.8163184083523224E-2</v>
      </c>
      <c r="BI144" s="11">
        <v>44326</v>
      </c>
      <c r="BJ144" s="803">
        <v>2.4368361627970184E-3</v>
      </c>
      <c r="BK144" s="803">
        <v>8.8479610654356063E-3</v>
      </c>
      <c r="BL144" s="803">
        <v>1.7575565614859356E-2</v>
      </c>
      <c r="BM144" s="803">
        <v>2.8162792528080762E-2</v>
      </c>
      <c r="BN144" s="803">
        <v>3.8506082063552625E-2</v>
      </c>
      <c r="BO144" s="804">
        <v>4.8440117193745191E-2</v>
      </c>
      <c r="BP144" s="803">
        <v>5.9144931516596756E-2</v>
      </c>
      <c r="BQ144" s="803">
        <v>7.201698231967267E-2</v>
      </c>
      <c r="BR144" s="803">
        <v>8.8537995141412806E-2</v>
      </c>
      <c r="BS144" s="803">
        <v>0.1101359916252949</v>
      </c>
      <c r="BT144" s="803">
        <v>0.13557296560878149</v>
      </c>
      <c r="BW144" s="1138">
        <f>'2018'!R\Max</f>
        <v>0</v>
      </c>
      <c r="BX144" s="1136">
        <f>'2019'!R\Max</f>
        <v>0.72604493085470589</v>
      </c>
      <c r="BY144" s="1136">
        <f>'2020'!R\Max</f>
        <v>0.81975089188085259</v>
      </c>
      <c r="BZ144" s="1136">
        <f>'2021'!R\Max</f>
        <v>0.70352768887273398</v>
      </c>
      <c r="CA144" s="1136">
        <f>'2022'!R\Max</f>
        <v>0.91165480823450085</v>
      </c>
      <c r="CB144" s="1136">
        <f>'2023'!R\Max</f>
        <v>0.91160691450693565</v>
      </c>
      <c r="CC144" s="1136">
        <f>'2024'!R\Max</f>
        <v>0.91155687328449009</v>
      </c>
      <c r="CD144" s="1136">
        <f>'2025'!R\Max</f>
        <v>0.91183859186690264</v>
      </c>
      <c r="CE144" s="1136">
        <f>'2026'!R\Max</f>
        <v>0.91179244539740556</v>
      </c>
      <c r="CF144" s="1137">
        <f>'2027'!R\Max</f>
        <v>0.91174657295286743</v>
      </c>
    </row>
    <row r="145" spans="1:84" s="6" customFormat="1" ht="11.25" x14ac:dyDescent="0.2">
      <c r="A145" s="11">
        <v>43231</v>
      </c>
      <c r="B145" s="380">
        <f>'2022'!Maxi_hp</f>
        <v>58.299507176045971</v>
      </c>
      <c r="C145" s="85">
        <f>'2022'!An_max</f>
        <v>2022</v>
      </c>
      <c r="D145" s="1089">
        <f t="shared" si="78"/>
        <v>0.97786069205822634</v>
      </c>
      <c r="E145" s="749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838">
        <f t="shared" si="81"/>
        <v>0.21428571428571427</v>
      </c>
      <c r="J145" s="829">
        <f t="shared" si="82"/>
        <v>59.619440324710943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838">
        <f t="shared" si="86"/>
        <v>0.6071428571428571</v>
      </c>
      <c r="AT145" s="855">
        <f t="shared" si="87"/>
        <v>59.661937295552342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838">
        <f t="shared" si="91"/>
        <v>0.8928571428571429</v>
      </c>
      <c r="AY145" s="855">
        <f t="shared" si="92"/>
        <v>59.597929345803074</v>
      </c>
      <c r="AZ145" s="829">
        <f t="shared" si="96"/>
        <v>59.629933320677708</v>
      </c>
      <c r="BA145" s="662">
        <f t="shared" si="93"/>
        <v>0.97786069205822634</v>
      </c>
      <c r="BB145" s="657">
        <v>43231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926">
        <f>1+[2]!Salcycl*Ksac</f>
        <v>1.0174724134224753</v>
      </c>
      <c r="BH145" s="1082">
        <f t="shared" si="94"/>
        <v>2.9588316952705408E-2</v>
      </c>
      <c r="BI145" s="11">
        <v>44327</v>
      </c>
      <c r="BJ145" s="803">
        <v>2.6421092011790592E-3</v>
      </c>
      <c r="BK145" s="803">
        <v>9.3191627785785946E-3</v>
      </c>
      <c r="BL145" s="803">
        <v>1.8467747461544393E-2</v>
      </c>
      <c r="BM145" s="803">
        <v>2.9587905426820937E-2</v>
      </c>
      <c r="BN145" s="803">
        <v>4.0458732167643029E-2</v>
      </c>
      <c r="BO145" s="804">
        <v>5.0817325552947851E-2</v>
      </c>
      <c r="BP145" s="803">
        <v>6.1834840170786311E-2</v>
      </c>
      <c r="BQ145" s="803">
        <v>7.4908012612376881E-2</v>
      </c>
      <c r="BR145" s="803">
        <v>9.150368881506464E-2</v>
      </c>
      <c r="BS145" s="803">
        <v>0.1130431137705636</v>
      </c>
      <c r="BT145" s="803">
        <v>0.13833262690724779</v>
      </c>
      <c r="BW145" s="1138">
        <f>'2018'!R\Max</f>
        <v>0</v>
      </c>
      <c r="BX145" s="1136">
        <f>'2019'!R\Max</f>
        <v>0.63802633726068325</v>
      </c>
      <c r="BY145" s="1136">
        <f>'2020'!R\Max</f>
        <v>0.20348493856174271</v>
      </c>
      <c r="BZ145" s="1136">
        <f>'2021'!R\Max</f>
        <v>0.54341065420453183</v>
      </c>
      <c r="CA145" s="1136">
        <f>'2022'!R\Max</f>
        <v>0.97786069205822634</v>
      </c>
      <c r="CB145" s="1136">
        <f>'2023'!R\Max</f>
        <v>0.97784735470912543</v>
      </c>
      <c r="CC145" s="1136">
        <f>'2024'!R\Max</f>
        <v>0.97783344620709411</v>
      </c>
      <c r="CD145" s="1136">
        <f>'2025'!R\Max</f>
        <v>0.97791268196548076</v>
      </c>
      <c r="CE145" s="1136">
        <f>'2026'!R\Max</f>
        <v>0.977899565115534</v>
      </c>
      <c r="CF145" s="1137">
        <f>'2027'!R\Max</f>
        <v>0.97788654561596233</v>
      </c>
    </row>
    <row r="146" spans="1:84" s="6" customFormat="1" ht="11.25" x14ac:dyDescent="0.2">
      <c r="A146" s="11">
        <v>43232</v>
      </c>
      <c r="B146" s="380">
        <f>'2022'!Maxi_hp</f>
        <v>54.342875304504368</v>
      </c>
      <c r="C146" s="85">
        <f>'2022'!An_max</f>
        <v>2019</v>
      </c>
      <c r="D146" s="1089" t="str">
        <f t="shared" si="78"/>
        <v/>
      </c>
      <c r="E146" s="749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838">
        <f t="shared" si="81"/>
        <v>0.14285714285714285</v>
      </c>
      <c r="J146" s="829">
        <f t="shared" si="82"/>
        <v>59.645339650447887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838">
        <f t="shared" si="86"/>
        <v>0.5714285714285714</v>
      </c>
      <c r="AT146" s="855">
        <f t="shared" si="87"/>
        <v>59.687553935817313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838">
        <f t="shared" si="91"/>
        <v>0.9285714285714286</v>
      </c>
      <c r="AY146" s="855">
        <f t="shared" si="92"/>
        <v>59.630981049021443</v>
      </c>
      <c r="AZ146" s="829">
        <f t="shared" si="96"/>
        <v>59.659267492419374</v>
      </c>
      <c r="BA146" s="662">
        <f t="shared" si="93"/>
        <v>0.91110010644555528</v>
      </c>
      <c r="BB146" s="657">
        <v>43232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926">
        <f>1+[2]!Salcycl*Ksac</f>
        <v>1.0181229612634561</v>
      </c>
      <c r="BH146" s="1082">
        <f t="shared" si="94"/>
        <v>3.102709579893911E-2</v>
      </c>
      <c r="BI146" s="11">
        <v>44328</v>
      </c>
      <c r="BJ146" s="803">
        <v>2.8553300253122732E-3</v>
      </c>
      <c r="BK146" s="803">
        <v>9.7972383552641581E-3</v>
      </c>
      <c r="BL146" s="803">
        <v>1.9369362155135534E-2</v>
      </c>
      <c r="BM146" s="803">
        <v>3.1026664084864819E-2</v>
      </c>
      <c r="BN146" s="803">
        <v>4.2430780035497224E-2</v>
      </c>
      <c r="BO146" s="804">
        <v>5.3218279084299179E-2</v>
      </c>
      <c r="BP146" s="803">
        <v>6.4552886599412537E-2</v>
      </c>
      <c r="BQ146" s="803">
        <v>7.78332801560742E-2</v>
      </c>
      <c r="BR146" s="803">
        <v>9.4509988061669326E-2</v>
      </c>
      <c r="BS146" s="803">
        <v>0.11599945493642759</v>
      </c>
      <c r="BT146" s="803">
        <v>0.14115187844621691</v>
      </c>
      <c r="BW146" s="1138">
        <f>'2018'!R\Max</f>
        <v>0</v>
      </c>
      <c r="BX146" s="1136">
        <f>'2019'!R\Max</f>
        <v>0.91110010644555528</v>
      </c>
      <c r="BY146" s="1136">
        <f>'2020'!R\Max</f>
        <v>9.8431950639539023E-2</v>
      </c>
      <c r="BZ146" s="1136">
        <f>'2021'!R\Max</f>
        <v>0.67367724645589722</v>
      </c>
      <c r="CA146" s="1136">
        <f>'2022'!R\Max</f>
        <v>0.75216210987976051</v>
      </c>
      <c r="CB146" s="1136">
        <f>'2023'!R\Max</f>
        <v>0.75204319022175081</v>
      </c>
      <c r="CC146" s="1136">
        <f>'2024'!R\Max</f>
        <v>0.75191946099232887</v>
      </c>
      <c r="CD146" s="1136">
        <f>'2025'!R\Max</f>
        <v>0.75263290218597168</v>
      </c>
      <c r="CE146" s="1136">
        <f>'2026'!R\Max</f>
        <v>0.75251352653576686</v>
      </c>
      <c r="CF146" s="1137">
        <f>'2027'!R\Max</f>
        <v>0.75239525764349835</v>
      </c>
    </row>
    <row r="147" spans="1:84" s="6" customFormat="1" ht="11.25" x14ac:dyDescent="0.2">
      <c r="A147" s="11">
        <v>43233</v>
      </c>
      <c r="B147" s="380">
        <f>'2022'!Maxi_hp</f>
        <v>61.987907498178245</v>
      </c>
      <c r="C147" s="85">
        <f>'2022'!An_max</f>
        <v>2019</v>
      </c>
      <c r="D147" s="1089">
        <f t="shared" si="78"/>
        <v>1.0388613685779369</v>
      </c>
      <c r="E147" s="749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838">
        <f t="shared" si="81"/>
        <v>7.1428571428571425E-2</v>
      </c>
      <c r="J147" s="829">
        <f t="shared" si="82"/>
        <v>59.669085186054666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838">
        <f t="shared" si="86"/>
        <v>0.5357142857142857</v>
      </c>
      <c r="AT147" s="855">
        <f t="shared" si="87"/>
        <v>59.709509133680591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838">
        <f t="shared" si="91"/>
        <v>0.9642857142857143</v>
      </c>
      <c r="AY147" s="855">
        <f t="shared" si="92"/>
        <v>59.661950755691429</v>
      </c>
      <c r="AZ147" s="829">
        <f t="shared" si="96"/>
        <v>59.68572994468601</v>
      </c>
      <c r="BA147" s="662">
        <f t="shared" si="93"/>
        <v>1.0388613685779369</v>
      </c>
      <c r="BB147" s="657">
        <v>43233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926">
        <f>1+[2]!Salcycl*Ksac</f>
        <v>1.018782837421524</v>
      </c>
      <c r="BH147" s="1082">
        <f t="shared" si="94"/>
        <v>3.2479461017723608E-2</v>
      </c>
      <c r="BI147" s="11">
        <v>44329</v>
      </c>
      <c r="BJ147" s="803">
        <v>3.0764843111612283E-3</v>
      </c>
      <c r="BK147" s="803">
        <v>1.0282165780501293E-2</v>
      </c>
      <c r="BL147" s="803">
        <v>2.028037148341499E-2</v>
      </c>
      <c r="BM147" s="803">
        <v>3.2479008898573337E-2</v>
      </c>
      <c r="BN147" s="803">
        <v>4.4422143302057147E-2</v>
      </c>
      <c r="BO147" s="804">
        <v>5.5642877010951219E-2</v>
      </c>
      <c r="BP147" s="803">
        <v>6.7298954442280484E-2</v>
      </c>
      <c r="BQ147" s="803">
        <v>8.0792653795914979E-2</v>
      </c>
      <c r="BR147" s="803">
        <v>9.7556749247452015E-2</v>
      </c>
      <c r="BS147" s="803">
        <v>0.11900485914954373</v>
      </c>
      <c r="BT147" s="803">
        <v>0.14403055163252818</v>
      </c>
      <c r="BW147" s="1138">
        <f>'2018'!R\Max</f>
        <v>0</v>
      </c>
      <c r="BX147" s="1136">
        <f>'2019'!R\Max</f>
        <v>1.0388613685779369</v>
      </c>
      <c r="BY147" s="1136">
        <f>'2020'!R\Max</f>
        <v>0.34283208700650331</v>
      </c>
      <c r="BZ147" s="1136">
        <f>'2021'!R\Max</f>
        <v>0.84890819704072162</v>
      </c>
      <c r="CA147" s="1136">
        <f>'2022'!R\Max</f>
        <v>0.68846840719687785</v>
      </c>
      <c r="CB147" s="1136">
        <f>'2023'!R\Max</f>
        <v>0.68832675924537601</v>
      </c>
      <c r="CC147" s="1136">
        <f>'2024'!R\Max</f>
        <v>0.68817968684003039</v>
      </c>
      <c r="CD147" s="1136">
        <f>'2025'!R\Max</f>
        <v>0.68903707951048077</v>
      </c>
      <c r="CE147" s="1136">
        <f>'2026'!R\Max</f>
        <v>0.68889224155606232</v>
      </c>
      <c r="CF147" s="1137">
        <f>'2027'!R\Max</f>
        <v>0.68874898873800461</v>
      </c>
    </row>
    <row r="148" spans="1:84" s="6" customFormat="1" ht="11.25" x14ac:dyDescent="0.2">
      <c r="A148" s="11">
        <v>43234</v>
      </c>
      <c r="B148" s="380">
        <f>'2022'!Maxi_hp</f>
        <v>60.924968033525275</v>
      </c>
      <c r="C148" s="85">
        <f>'2022'!An_max</f>
        <v>2019</v>
      </c>
      <c r="D148" s="1089">
        <f t="shared" si="78"/>
        <v>1.0206725977639817</v>
      </c>
      <c r="E148" s="837">
        <f>W$13/10</f>
        <v>59.690999999999995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838">
        <f t="shared" si="81"/>
        <v>0</v>
      </c>
      <c r="J148" s="829">
        <f t="shared" si="82"/>
        <v>59.691000000387433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838">
        <f t="shared" si="86"/>
        <v>0.5</v>
      </c>
      <c r="AT148" s="855">
        <f t="shared" si="87"/>
        <v>59.72793750036508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838">
        <f t="shared" si="91"/>
        <v>1</v>
      </c>
      <c r="AY148" s="855">
        <f t="shared" si="92"/>
        <v>59.690999999642372</v>
      </c>
      <c r="AZ148" s="829">
        <f t="shared" si="96"/>
        <v>59.709468750003722</v>
      </c>
      <c r="BA148" s="662">
        <f t="shared" si="93"/>
        <v>1.0206725977639817</v>
      </c>
      <c r="BB148" s="657">
        <v>43234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926">
        <f>1+[2]!Salcycl*Ksac</f>
        <v>1.0194514659077212</v>
      </c>
      <c r="BH148" s="1082">
        <f t="shared" si="94"/>
        <v>3.3945350933548668E-2</v>
      </c>
      <c r="BI148" s="11">
        <v>44330</v>
      </c>
      <c r="BJ148" s="803">
        <v>3.3055571107298751E-3</v>
      </c>
      <c r="BK148" s="803">
        <v>1.0773922225831206E-2</v>
      </c>
      <c r="BL148" s="803">
        <v>2.1200735889050998E-2</v>
      </c>
      <c r="BM148" s="803">
        <v>3.39448781933284E-2</v>
      </c>
      <c r="BN148" s="803">
        <v>4.643273672643853E-2</v>
      </c>
      <c r="BO148" s="804">
        <v>5.8091015046656862E-2</v>
      </c>
      <c r="BP148" s="803">
        <v>7.0072923295491016E-2</v>
      </c>
      <c r="BQ148" s="803">
        <v>8.3785997806179333E-2</v>
      </c>
      <c r="BR148" s="803">
        <v>0.10064382373879714</v>
      </c>
      <c r="BS148" s="803">
        <v>0.12205916500306364</v>
      </c>
      <c r="BT148" s="803">
        <v>0.14696847198817059</v>
      </c>
      <c r="BW148" s="1138">
        <f>'2018'!R\Max</f>
        <v>0</v>
      </c>
      <c r="BX148" s="1136">
        <f>'2019'!R\Max</f>
        <v>1.0206725977639817</v>
      </c>
      <c r="BY148" s="1136">
        <f>'2020'!R\Max</f>
        <v>0.54463713876476527</v>
      </c>
      <c r="BZ148" s="1136">
        <f>'2021'!R\Max</f>
        <v>0.71158650926755573</v>
      </c>
      <c r="CA148" s="1136">
        <f>'2022'!R\Max</f>
        <v>0.8989694175847851</v>
      </c>
      <c r="CB148" s="1136">
        <f>'2023'!R\Max</f>
        <v>0.89890732892794811</v>
      </c>
      <c r="CC148" s="1136">
        <f>'2024'!R\Max</f>
        <v>0.89884297032167293</v>
      </c>
      <c r="CD148" s="1136">
        <f>'2025'!R\Max</f>
        <v>0.8992217234471569</v>
      </c>
      <c r="CE148" s="1136">
        <f>'2026'!R\Max</f>
        <v>0.89915722734047143</v>
      </c>
      <c r="CF148" s="1137">
        <f>'2027'!R\Max</f>
        <v>0.89909352167671774</v>
      </c>
    </row>
    <row r="149" spans="1:84" s="6" customFormat="1" ht="11.25" x14ac:dyDescent="0.2">
      <c r="A149" s="11">
        <v>43235</v>
      </c>
      <c r="B149" s="380">
        <f>'2022'!Maxi_hp</f>
        <v>61.115724809852011</v>
      </c>
      <c r="C149" s="85">
        <f>'2022'!An_max</f>
        <v>2019</v>
      </c>
      <c r="D149" s="1089">
        <f t="shared" si="78"/>
        <v>1.0235362590768111</v>
      </c>
      <c r="E149" s="749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838">
        <f t="shared" si="81"/>
        <v>7.1428571428571425E-2</v>
      </c>
      <c r="J149" s="829">
        <f t="shared" si="82"/>
        <v>59.710366162285212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838">
        <f t="shared" si="86"/>
        <v>0.4642857142857143</v>
      </c>
      <c r="AT149" s="855">
        <f t="shared" si="87"/>
        <v>59.742973647279925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838">
        <f t="shared" si="91"/>
        <v>0.9642857142857143</v>
      </c>
      <c r="AY149" s="855">
        <f t="shared" si="92"/>
        <v>59.717085538804533</v>
      </c>
      <c r="AZ149" s="829">
        <f t="shared" si="96"/>
        <v>59.730029593042232</v>
      </c>
      <c r="BA149" s="662">
        <f t="shared" si="93"/>
        <v>1.0235362590768111</v>
      </c>
      <c r="BB149" s="657">
        <v>43235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926">
        <f>1+[2]!Salcycl*Ksac</f>
        <v>1.0201282389543971</v>
      </c>
      <c r="BH149" s="1082">
        <f t="shared" si="94"/>
        <v>3.5424701767309615E-2</v>
      </c>
      <c r="BI149" s="11">
        <v>44331</v>
      </c>
      <c r="BJ149" s="803">
        <v>3.5425328342564557E-3</v>
      </c>
      <c r="BK149" s="803">
        <v>1.1272484033373225E-2</v>
      </c>
      <c r="BL149" s="803">
        <v>2.2130414447244302E-2</v>
      </c>
      <c r="BM149" s="803">
        <v>3.5424208190948415E-2</v>
      </c>
      <c r="BN149" s="803">
        <v>4.8462472145746803E-2</v>
      </c>
      <c r="BO149" s="804">
        <v>6.0562585339228529E-2</v>
      </c>
      <c r="BP149" s="803">
        <v>7.2874668644590232E-2</v>
      </c>
      <c r="BQ149" s="803">
        <v>8.6813171809487222E-2</v>
      </c>
      <c r="BR149" s="803">
        <v>0.10377105780704125</v>
      </c>
      <c r="BS149" s="803">
        <v>0.12516220554217183</v>
      </c>
      <c r="BT149" s="803">
        <v>0.1499654590127584</v>
      </c>
      <c r="BW149" s="1138">
        <f>'2018'!R\Max</f>
        <v>0</v>
      </c>
      <c r="BX149" s="1136">
        <f>'2019'!R\Max</f>
        <v>1.0235362590768111</v>
      </c>
      <c r="BY149" s="1136">
        <f>'2020'!R\Max</f>
        <v>0.32966010580644206</v>
      </c>
      <c r="BZ149" s="1136">
        <f>'2021'!R\Max</f>
        <v>0.38507695312514051</v>
      </c>
      <c r="CA149" s="1136">
        <f>'2022'!R\Max</f>
        <v>0.91710524303706342</v>
      </c>
      <c r="CB149" s="1136">
        <f>'2023'!R\Max</f>
        <v>0.91705147019140909</v>
      </c>
      <c r="CC149" s="1136">
        <f>'2024'!R\Max</f>
        <v>0.91699583790344952</v>
      </c>
      <c r="CD149" s="1136">
        <f>'2025'!R\Max</f>
        <v>0.91732636890573316</v>
      </c>
      <c r="CE149" s="1136">
        <f>'2026'!R\Max</f>
        <v>0.91726962751561847</v>
      </c>
      <c r="CF149" s="1137">
        <f>'2027'!R\Max</f>
        <v>0.91721367113729368</v>
      </c>
    </row>
    <row r="150" spans="1:84" s="6" customFormat="1" ht="11.25" x14ac:dyDescent="0.2">
      <c r="A150" s="11">
        <v>43236</v>
      </c>
      <c r="B150" s="380">
        <f>'2022'!Maxi_hp</f>
        <v>53.059049152756259</v>
      </c>
      <c r="C150" s="85">
        <f>'2022'!An_max</f>
        <v>2019</v>
      </c>
      <c r="D150" s="1089" t="str">
        <f t="shared" si="78"/>
        <v/>
      </c>
      <c r="E150" s="749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838">
        <f t="shared" si="81"/>
        <v>0.14285714285714285</v>
      </c>
      <c r="J150" s="829">
        <f t="shared" si="82"/>
        <v>59.726322157840649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838">
        <f t="shared" si="86"/>
        <v>0.42857142857142855</v>
      </c>
      <c r="AT150" s="855">
        <f t="shared" si="87"/>
        <v>59.754752186579353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838">
        <f t="shared" si="91"/>
        <v>0.9285714285714286</v>
      </c>
      <c r="AY150" s="855">
        <f t="shared" si="92"/>
        <v>59.739119259800226</v>
      </c>
      <c r="AZ150" s="829">
        <f t="shared" si="96"/>
        <v>59.746935723189793</v>
      </c>
      <c r="BA150" s="662">
        <f t="shared" si="93"/>
        <v>0.8883696038161436</v>
      </c>
      <c r="BB150" s="657">
        <v>43236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926">
        <f>1+[2]!Salcycl*Ksac</f>
        <v>1.020812517862427</v>
      </c>
      <c r="BH150" s="1082">
        <f t="shared" si="94"/>
        <v>3.6912624252148647E-2</v>
      </c>
      <c r="BI150" s="11">
        <v>44332</v>
      </c>
      <c r="BJ150" s="803">
        <v>3.7885423895178826E-3</v>
      </c>
      <c r="BK150" s="803">
        <v>1.1776498731759394E-2</v>
      </c>
      <c r="BL150" s="803">
        <v>2.3066380065850784E-2</v>
      </c>
      <c r="BM150" s="803">
        <v>3.6912109634875061E-2</v>
      </c>
      <c r="BN150" s="803">
        <v>5.0506188233830129E-2</v>
      </c>
      <c r="BO150" s="804">
        <v>6.3049552628368546E-2</v>
      </c>
      <c r="BP150" s="803">
        <v>7.569519309424079E-2</v>
      </c>
      <c r="BQ150" s="803">
        <v>8.9864757532318221E-2</v>
      </c>
      <c r="BR150" s="803">
        <v>0.10693135332560189</v>
      </c>
      <c r="BS150" s="803">
        <v>0.12830992931505389</v>
      </c>
      <c r="BT150" s="803">
        <v>0.15302220591373325</v>
      </c>
      <c r="BW150" s="1138">
        <f>'2018'!R\Max</f>
        <v>0</v>
      </c>
      <c r="BX150" s="1136">
        <f>'2019'!R\Max</f>
        <v>0.8883696038161436</v>
      </c>
      <c r="BY150" s="1136">
        <f>'2020'!R\Max</f>
        <v>0.28263421472823025</v>
      </c>
      <c r="BZ150" s="1136">
        <f>'2021'!R\Max</f>
        <v>0.18389253778418993</v>
      </c>
      <c r="CA150" s="1136">
        <f>'2022'!R\Max</f>
        <v>0.88295109383922998</v>
      </c>
      <c r="CB150" s="1136">
        <f>'2023'!R\Max</f>
        <v>0.88287548924328818</v>
      </c>
      <c r="CC150" s="1136">
        <f>'2024'!R\Max</f>
        <v>0.88279742324034993</v>
      </c>
      <c r="CD150" s="1136">
        <f>'2025'!R\Max</f>
        <v>0.88326550845132079</v>
      </c>
      <c r="CE150" s="1136">
        <f>'2026'!R\Max</f>
        <v>0.88318451925249686</v>
      </c>
      <c r="CF150" s="1137">
        <f>'2027'!R\Max</f>
        <v>0.88310478940542603</v>
      </c>
    </row>
    <row r="151" spans="1:84" s="6" customFormat="1" ht="11.25" x14ac:dyDescent="0.2">
      <c r="A151" s="11">
        <v>43237</v>
      </c>
      <c r="B151" s="380">
        <f>'2022'!Maxi_hp</f>
        <v>56.489788505091589</v>
      </c>
      <c r="C151" s="85">
        <f>'2022'!An_max</f>
        <v>2022</v>
      </c>
      <c r="D151" s="1089" t="str">
        <f t="shared" si="78"/>
        <v/>
      </c>
      <c r="E151" s="749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838">
        <f t="shared" si="81"/>
        <v>0.21428571428571427</v>
      </c>
      <c r="J151" s="829">
        <f t="shared" si="82"/>
        <v>59.738975674259869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838">
        <f t="shared" si="86"/>
        <v>0.39285714285714285</v>
      </c>
      <c r="AT151" s="855">
        <f t="shared" si="87"/>
        <v>59.763407731069513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838">
        <f t="shared" si="91"/>
        <v>0.8928571428571429</v>
      </c>
      <c r="AY151" s="855">
        <f t="shared" si="92"/>
        <v>59.7571953919051</v>
      </c>
      <c r="AZ151" s="829">
        <f t="shared" si="96"/>
        <v>59.76030156148731</v>
      </c>
      <c r="BA151" s="662">
        <f t="shared" si="93"/>
        <v>0.94561026310720153</v>
      </c>
      <c r="BB151" s="657">
        <v>43237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926">
        <f>1+[2]!Salcycl*Ksac</f>
        <v>1.0215036340305672</v>
      </c>
      <c r="BH151" s="1082">
        <f t="shared" si="94"/>
        <v>3.839665763225996E-2</v>
      </c>
      <c r="BI151" s="11">
        <v>44333</v>
      </c>
      <c r="BJ151" s="803">
        <v>4.0390515856703882E-3</v>
      </c>
      <c r="BK151" s="803">
        <v>1.2281184390528369E-2</v>
      </c>
      <c r="BL151" s="803">
        <v>2.4000574548655913E-2</v>
      </c>
      <c r="BM151" s="803">
        <v>3.8396121975909477E-2</v>
      </c>
      <c r="BN151" s="803">
        <v>5.2545966732671569E-2</v>
      </c>
      <c r="BO151" s="804">
        <v>6.5529089542383664E-2</v>
      </c>
      <c r="BP151" s="803">
        <v>7.8507367238826634E-2</v>
      </c>
      <c r="BQ151" s="803">
        <v>9.2908853875265027E-2</v>
      </c>
      <c r="BR151" s="803">
        <v>0.11008871785396122</v>
      </c>
      <c r="BS151" s="803">
        <v>0.13146203601097148</v>
      </c>
      <c r="BT151" s="803">
        <v>0.15609348686547278</v>
      </c>
      <c r="BW151" s="1138">
        <f>'2018'!R\Max</f>
        <v>0</v>
      </c>
      <c r="BX151" s="1136">
        <f>'2019'!R\Max</f>
        <v>0.1415424325726839</v>
      </c>
      <c r="BY151" s="1136">
        <f>'2020'!R\Max</f>
        <v>0.58212993198592977</v>
      </c>
      <c r="BZ151" s="1136">
        <f>'2021'!R\Max</f>
        <v>0.91719013240263447</v>
      </c>
      <c r="CA151" s="1136">
        <f>'2022'!R\Max</f>
        <v>0.94561026310720153</v>
      </c>
      <c r="CB151" s="1136">
        <f>'2023'!R\Max</f>
        <v>0.94557137365174604</v>
      </c>
      <c r="CC151" s="1136">
        <f>'2024'!R\Max</f>
        <v>0.94553128961409916</v>
      </c>
      <c r="CD151" s="1136">
        <f>'2025'!R\Max</f>
        <v>0.94577362347051652</v>
      </c>
      <c r="CE151" s="1136">
        <f>'2026'!R\Max</f>
        <v>0.9457313954987524</v>
      </c>
      <c r="CF151" s="1137">
        <f>'2027'!R\Max</f>
        <v>0.94568989268018666</v>
      </c>
    </row>
    <row r="152" spans="1:84" s="6" customFormat="1" ht="11.25" x14ac:dyDescent="0.2">
      <c r="A152" s="11">
        <v>43238</v>
      </c>
      <c r="B152" s="380">
        <f>'2022'!Maxi_hp</f>
        <v>59.62470514235855</v>
      </c>
      <c r="C152" s="85">
        <f>'2022'!An_max</f>
        <v>2020</v>
      </c>
      <c r="D152" s="1089">
        <f t="shared" si="78"/>
        <v>0.99792916314288138</v>
      </c>
      <c r="E152" s="749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838">
        <f t="shared" si="81"/>
        <v>0.2857142857142857</v>
      </c>
      <c r="J152" s="829">
        <f t="shared" si="82"/>
        <v>59.748434402474331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838">
        <f t="shared" si="86"/>
        <v>0.35714285714285715</v>
      </c>
      <c r="AT152" s="855">
        <f t="shared" si="87"/>
        <v>59.769074891374579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838">
        <f t="shared" si="91"/>
        <v>0.8571428571428571</v>
      </c>
      <c r="AY152" s="855">
        <f t="shared" si="92"/>
        <v>59.77140816279821</v>
      </c>
      <c r="AZ152" s="829">
        <f t="shared" si="96"/>
        <v>59.770241527086398</v>
      </c>
      <c r="BA152" s="662">
        <f t="shared" si="93"/>
        <v>0.99792916314288138</v>
      </c>
      <c r="BB152" s="657">
        <v>43238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926">
        <f>1+[2]!Salcycl*Ksac</f>
        <v>1.0222008901698902</v>
      </c>
      <c r="BH152" s="1082">
        <f t="shared" si="94"/>
        <v>3.9876751893580413E-2</v>
      </c>
      <c r="BI152" s="11">
        <v>44334</v>
      </c>
      <c r="BJ152" s="803">
        <v>4.2940467044600521E-3</v>
      </c>
      <c r="BK152" s="803">
        <v>1.2786521920537626E-2</v>
      </c>
      <c r="BL152" s="803">
        <v>2.4932965682624347E-2</v>
      </c>
      <c r="BM152" s="803">
        <v>3.9876195200756151E-2</v>
      </c>
      <c r="BN152" s="803">
        <v>5.4581737352047549E-2</v>
      </c>
      <c r="BO152" s="804">
        <v>6.8001113244630471E-2</v>
      </c>
      <c r="BP152" s="803">
        <v>8.131109602485094E-2</v>
      </c>
      <c r="BQ152" s="803">
        <v>9.5945354257537765E-2</v>
      </c>
      <c r="BR152" s="803">
        <v>0.11324303200852399</v>
      </c>
      <c r="BS152" s="803">
        <v>0.13461839289269184</v>
      </c>
      <c r="BT152" s="803">
        <v>0.15917915405431052</v>
      </c>
      <c r="BW152" s="1138">
        <f>'2018'!R\Max</f>
        <v>0</v>
      </c>
      <c r="BX152" s="1136">
        <f>'2019'!R\Max</f>
        <v>0.71944321336193728</v>
      </c>
      <c r="BY152" s="1136">
        <f>'2020'!R\Max</f>
        <v>0.99792916314288138</v>
      </c>
      <c r="BZ152" s="1136">
        <f>'2021'!R\Max</f>
        <v>0.62386293485358824</v>
      </c>
      <c r="CA152" s="1136">
        <f>'2022'!R\Max</f>
        <v>0.91605976095315689</v>
      </c>
      <c r="CB152" s="1136">
        <f>'2023'!R\Max</f>
        <v>0.9159997074408277</v>
      </c>
      <c r="CC152" s="1136">
        <f>'2024'!R\Max</f>
        <v>0.91593792649142391</v>
      </c>
      <c r="CD152" s="1136">
        <f>'2025'!R\Max</f>
        <v>0.91631447009428024</v>
      </c>
      <c r="CE152" s="1136">
        <f>'2026'!R\Max</f>
        <v>0.91624838751584203</v>
      </c>
      <c r="CF152" s="1137">
        <f>'2027'!R\Max</f>
        <v>0.91618356056789718</v>
      </c>
    </row>
    <row r="153" spans="1:84" s="6" customFormat="1" ht="11.25" x14ac:dyDescent="0.2">
      <c r="A153" s="11">
        <v>43239</v>
      </c>
      <c r="B153" s="380">
        <f>'2022'!Maxi_hp</f>
        <v>59.775748831066402</v>
      </c>
      <c r="C153" s="85">
        <f>'2022'!An_max</f>
        <v>2020</v>
      </c>
      <c r="D153" s="1089">
        <f t="shared" si="78"/>
        <v>1.0003504789062494</v>
      </c>
      <c r="E153" s="749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838">
        <f t="shared" si="81"/>
        <v>0.35714285714285715</v>
      </c>
      <c r="J153" s="829">
        <f t="shared" si="82"/>
        <v>59.754806032005163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838">
        <f t="shared" si="86"/>
        <v>0.32142857142857145</v>
      </c>
      <c r="AT153" s="855">
        <f t="shared" si="87"/>
        <v>59.771888279502413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838">
        <f t="shared" si="91"/>
        <v>0.8214285714285714</v>
      </c>
      <c r="AY153" s="855">
        <f t="shared" si="92"/>
        <v>59.781851800970209</v>
      </c>
      <c r="AZ153" s="829">
        <f t="shared" si="96"/>
        <v>59.776870040236311</v>
      </c>
      <c r="BA153" s="662">
        <f t="shared" si="93"/>
        <v>1.0003504789062494</v>
      </c>
      <c r="BB153" s="657">
        <v>43239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926">
        <f>1+[2]!Salcycl*Ksac</f>
        <v>1.0229035617047326</v>
      </c>
      <c r="BH153" s="1082">
        <f t="shared" si="94"/>
        <v>4.1352855848218191E-2</v>
      </c>
      <c r="BI153" s="11">
        <v>44335</v>
      </c>
      <c r="BJ153" s="803">
        <v>4.5535135202711251E-3</v>
      </c>
      <c r="BK153" s="803">
        <v>1.3292491713738525E-2</v>
      </c>
      <c r="BL153" s="803">
        <v>2.5863520475053258E-2</v>
      </c>
      <c r="BM153" s="803">
        <v>4.1352278122310702E-2</v>
      </c>
      <c r="BN153" s="803">
        <v>5.661342810347781E-2</v>
      </c>
      <c r="BO153" s="804">
        <v>7.0465538992251997E-2</v>
      </c>
      <c r="BP153" s="803">
        <v>8.4106282228255849E-2</v>
      </c>
      <c r="BQ153" s="803">
        <v>9.8974149647620135E-2</v>
      </c>
      <c r="BR153" s="803">
        <v>0.11639417355848374</v>
      </c>
      <c r="BS153" s="803">
        <v>0.13777886391841662</v>
      </c>
      <c r="BT153" s="803">
        <v>0.16227905580001831</v>
      </c>
      <c r="BW153" s="1138">
        <f>'2018'!R\Max</f>
        <v>0</v>
      </c>
      <c r="BX153" s="1136">
        <f>'2019'!R\Max</f>
        <v>0.48729534228956728</v>
      </c>
      <c r="BY153" s="1136">
        <f>'2020'!R\Max</f>
        <v>1.0003504789062494</v>
      </c>
      <c r="BZ153" s="1136">
        <f>'2021'!R\Max</f>
        <v>0.80590741025437973</v>
      </c>
      <c r="CA153" s="1136">
        <f>'2022'!R\Max</f>
        <v>0.95722609438848705</v>
      </c>
      <c r="CB153" s="1136">
        <f>'2023'!R\Max</f>
        <v>0.95719308569493156</v>
      </c>
      <c r="CC153" s="1136">
        <f>'2024'!R\Max</f>
        <v>0.95715918720822724</v>
      </c>
      <c r="CD153" s="1136">
        <f>'2025'!R\Max</f>
        <v>0.95736731684592602</v>
      </c>
      <c r="CE153" s="1136">
        <f>'2026'!R\Max</f>
        <v>0.95733055216280183</v>
      </c>
      <c r="CF153" s="1137">
        <f>'2027'!R\Max</f>
        <v>0.95729455120661033</v>
      </c>
    </row>
    <row r="154" spans="1:84" s="6" customFormat="1" ht="11.25" x14ac:dyDescent="0.2">
      <c r="A154" s="11">
        <v>43240</v>
      </c>
      <c r="B154" s="380">
        <f>'2022'!Maxi_hp</f>
        <v>61.745336141235896</v>
      </c>
      <c r="C154" s="85">
        <f>'2022'!An_max</f>
        <v>2021</v>
      </c>
      <c r="D154" s="1089">
        <f t="shared" si="78"/>
        <v>1.0332529752972122</v>
      </c>
      <c r="E154" s="749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838">
        <f t="shared" si="81"/>
        <v>0.42857142857142855</v>
      </c>
      <c r="J154" s="829">
        <f t="shared" si="82"/>
        <v>59.758198250989821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838">
        <f t="shared" si="86"/>
        <v>0.2857142857142857</v>
      </c>
      <c r="AT154" s="855">
        <f t="shared" si="87"/>
        <v>59.771982507620542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838">
        <f t="shared" si="91"/>
        <v>0.7857142857142857</v>
      </c>
      <c r="AY154" s="855">
        <f t="shared" si="92"/>
        <v>59.788620535044799</v>
      </c>
      <c r="AZ154" s="829">
        <f t="shared" si="96"/>
        <v>59.780301521332674</v>
      </c>
      <c r="BA154" s="662">
        <f t="shared" si="93"/>
        <v>1.0332529752972122</v>
      </c>
      <c r="BB154" s="657">
        <v>43240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926">
        <f>1+[2]!Salcycl*Ksac</f>
        <v>1.0236108983600241</v>
      </c>
      <c r="BH154" s="1082">
        <f t="shared" si="94"/>
        <v>4.2824917140737204E-2</v>
      </c>
      <c r="BI154" s="11">
        <v>44336</v>
      </c>
      <c r="BJ154" s="803">
        <v>4.817437289841243E-3</v>
      </c>
      <c r="BK154" s="803">
        <v>1.379907364092732E-2</v>
      </c>
      <c r="BL154" s="803">
        <v>2.6792205156039015E-2</v>
      </c>
      <c r="BM154" s="803">
        <v>4.2824318385944381E-2</v>
      </c>
      <c r="BN154" s="803">
        <v>5.8640965305766485E-2</v>
      </c>
      <c r="BO154" s="804">
        <v>7.2922280148732102E-2</v>
      </c>
      <c r="BP154" s="803">
        <v>8.6892826468502382E-2</v>
      </c>
      <c r="BQ154" s="803">
        <v>0.10199512857512172</v>
      </c>
      <c r="BR154" s="803">
        <v>0.11954201742751125</v>
      </c>
      <c r="BS154" s="803">
        <v>0.14094330972744509</v>
      </c>
      <c r="BT154" s="803">
        <v>0.16539303651933326</v>
      </c>
      <c r="BW154" s="1138">
        <f>'2018'!R\Max</f>
        <v>0</v>
      </c>
      <c r="BX154" s="1136">
        <f>'2019'!R\Max</f>
        <v>0.80646153530992903</v>
      </c>
      <c r="BY154" s="1136">
        <f>'2020'!R\Max</f>
        <v>0.95277144406682701</v>
      </c>
      <c r="BZ154" s="1136">
        <f>'2021'!R\Max</f>
        <v>1.0332529752972122</v>
      </c>
      <c r="CA154" s="1136">
        <f>'2022'!R\Max</f>
        <v>0.86809316062290665</v>
      </c>
      <c r="CB154" s="1136">
        <f>'2023'!R\Max</f>
        <v>0.86799793627415711</v>
      </c>
      <c r="CC154" s="1136">
        <f>'2024'!R\Max</f>
        <v>0.86790033587112037</v>
      </c>
      <c r="CD154" s="1136">
        <f>'2025'!R\Max</f>
        <v>0.86850408973042825</v>
      </c>
      <c r="CE154" s="1136">
        <f>'2026'!R\Max</f>
        <v>0.86839671536427065</v>
      </c>
      <c r="CF154" s="1137">
        <f>'2027'!R\Max</f>
        <v>0.86829179351052699</v>
      </c>
    </row>
    <row r="155" spans="1:84" s="6" customFormat="1" ht="11.25" x14ac:dyDescent="0.2">
      <c r="A155" s="11">
        <v>43241</v>
      </c>
      <c r="B155" s="380">
        <f>'2022'!Maxi_hp</f>
        <v>58.246676654523853</v>
      </c>
      <c r="C155" s="85">
        <f>'2022'!An_max</f>
        <v>2020</v>
      </c>
      <c r="D155" s="1089">
        <f t="shared" si="78"/>
        <v>0.97469754828194655</v>
      </c>
      <c r="E155" s="749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838">
        <f t="shared" si="81"/>
        <v>0.5</v>
      </c>
      <c r="J155" s="829">
        <f t="shared" si="82"/>
        <v>59.758718750439584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838">
        <f t="shared" si="86"/>
        <v>0.25</v>
      </c>
      <c r="AT155" s="855">
        <f t="shared" si="87"/>
        <v>59.769492187909783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838">
        <f t="shared" si="91"/>
        <v>0.75</v>
      </c>
      <c r="AY155" s="855">
        <f t="shared" si="92"/>
        <v>59.791808593366298</v>
      </c>
      <c r="AZ155" s="829">
        <f t="shared" si="96"/>
        <v>59.780650390638044</v>
      </c>
      <c r="BA155" s="662">
        <f t="shared" si="93"/>
        <v>0.97469754828194655</v>
      </c>
      <c r="BB155" s="657">
        <v>43241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926">
        <f>1+[2]!Salcycl*Ksac</f>
        <v>1.0243221259332331</v>
      </c>
      <c r="BH155" s="1082">
        <f t="shared" si="94"/>
        <v>4.4292882252165093E-2</v>
      </c>
      <c r="BI155" s="11">
        <v>44337</v>
      </c>
      <c r="BJ155" s="803">
        <v>5.0858027417293641E-3</v>
      </c>
      <c r="BK155" s="803">
        <v>1.4306247048765418E-2</v>
      </c>
      <c r="BL155" s="803">
        <v>2.7718985179520293E-2</v>
      </c>
      <c r="BM155" s="803">
        <v>4.429226247351211E-2</v>
      </c>
      <c r="BN155" s="803">
        <v>6.0664273587426716E-2</v>
      </c>
      <c r="BO155" s="804">
        <v>7.5371248192568463E-2</v>
      </c>
      <c r="BP155" s="803">
        <v>8.9670627218012222E-2</v>
      </c>
      <c r="BQ155" s="803">
        <v>0.10500817713716344</v>
      </c>
      <c r="BR155" s="803">
        <v>0.12268643568900039</v>
      </c>
      <c r="BS155" s="803">
        <v>0.14411158761819212</v>
      </c>
      <c r="BT155" s="803">
        <v>0.16852093668045773</v>
      </c>
      <c r="BW155" s="1138">
        <f>'2018'!R\Max</f>
        <v>0</v>
      </c>
      <c r="BX155" s="1136">
        <f>'2019'!R\Max</f>
        <v>0.83595385114681897</v>
      </c>
      <c r="BY155" s="1136">
        <f>'2020'!R\Max</f>
        <v>0.97469754828194655</v>
      </c>
      <c r="BZ155" s="1136">
        <f>'2021'!R\Max</f>
        <v>0.72943891794369908</v>
      </c>
      <c r="CA155" s="1136">
        <f>'2022'!R\Max</f>
        <v>0.87894421320051497</v>
      </c>
      <c r="CB155" s="1136">
        <f>'2023'!R\Max</f>
        <v>0.87885298683499358</v>
      </c>
      <c r="CC155" s="1136">
        <f>'2024'!R\Max</f>
        <v>0.8787596494783092</v>
      </c>
      <c r="CD155" s="1136">
        <f>'2025'!R\Max</f>
        <v>0.8793409009030545</v>
      </c>
      <c r="CE155" s="1136">
        <f>'2026'!R\Max</f>
        <v>0.87923689536755734</v>
      </c>
      <c r="CF155" s="1137">
        <f>'2027'!R\Max</f>
        <v>0.87913546907145501</v>
      </c>
    </row>
    <row r="156" spans="1:84" s="6" customFormat="1" ht="11.25" x14ac:dyDescent="0.2">
      <c r="A156" s="11">
        <v>43242</v>
      </c>
      <c r="B156" s="380">
        <f>'2022'!Maxi_hp</f>
        <v>58.677512490213942</v>
      </c>
      <c r="C156" s="85">
        <f>'2022'!An_max</f>
        <v>2019</v>
      </c>
      <c r="D156" s="1089">
        <f t="shared" si="78"/>
        <v>0.98194400314357677</v>
      </c>
      <c r="E156" s="749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838">
        <f t="shared" si="81"/>
        <v>0.5714285714285714</v>
      </c>
      <c r="J156" s="829">
        <f t="shared" si="82"/>
        <v>59.75647521891765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838">
        <f t="shared" si="86"/>
        <v>0.21428571428571427</v>
      </c>
      <c r="AT156" s="855">
        <f t="shared" si="87"/>
        <v>59.764551931805912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838">
        <f t="shared" si="91"/>
        <v>0.7142857142857143</v>
      </c>
      <c r="AY156" s="855">
        <f t="shared" si="92"/>
        <v>59.79151020380003</v>
      </c>
      <c r="AZ156" s="829">
        <f t="shared" si="96"/>
        <v>59.778031067802971</v>
      </c>
      <c r="BA156" s="662">
        <f t="shared" si="93"/>
        <v>0.98194400314357677</v>
      </c>
      <c r="BB156" s="657">
        <v>43242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926">
        <f>1+[2]!Salcycl*Ksac</f>
        <v>1.0250364482474998</v>
      </c>
      <c r="BH156" s="1082">
        <f t="shared" si="94"/>
        <v>4.5725516448703658E-2</v>
      </c>
      <c r="BI156" s="11">
        <v>44338</v>
      </c>
      <c r="BJ156" s="803">
        <v>5.3570350359561682E-3</v>
      </c>
      <c r="BK156" s="803">
        <v>1.480316971272635E-2</v>
      </c>
      <c r="BL156" s="803">
        <v>2.8618772846765662E-2</v>
      </c>
      <c r="BM156" s="803">
        <v>4.5724875644961825E-2</v>
      </c>
      <c r="BN156" s="803">
        <v>6.26522834099381E-2</v>
      </c>
      <c r="BO156" s="804">
        <v>7.778673069324761E-2</v>
      </c>
      <c r="BP156" s="803">
        <v>9.2410754227224168E-2</v>
      </c>
      <c r="BQ156" s="803">
        <v>0.1079822173042914</v>
      </c>
      <c r="BR156" s="803">
        <v>0.12579535102277384</v>
      </c>
      <c r="BS156" s="803">
        <v>0.14725204696752167</v>
      </c>
      <c r="BT156" s="803">
        <v>0.1716316897791787</v>
      </c>
      <c r="BW156" s="1138">
        <f>'2018'!R\Max</f>
        <v>0</v>
      </c>
      <c r="BX156" s="1136">
        <f>'2019'!R\Max</f>
        <v>0.98194400314357677</v>
      </c>
      <c r="BY156" s="1136">
        <f>'2020'!R\Max</f>
        <v>0.91165422682930752</v>
      </c>
      <c r="BZ156" s="1136">
        <f>'2021'!R\Max</f>
        <v>0.57633739388382088</v>
      </c>
      <c r="CA156" s="1136">
        <f>'2022'!R\Max</f>
        <v>0.67194761138388648</v>
      </c>
      <c r="CB156" s="1136">
        <f>'2023'!R\Max</f>
        <v>0.67175294738419766</v>
      </c>
      <c r="CC156" s="1136">
        <f>'2024'!R\Max</f>
        <v>0.67155419917501735</v>
      </c>
      <c r="CD156" s="1136">
        <f>'2025'!R\Max</f>
        <v>0.67280131485341521</v>
      </c>
      <c r="CE156" s="1136">
        <f>'2026'!R\Max</f>
        <v>0.67257662861223355</v>
      </c>
      <c r="CF156" s="1137">
        <f>'2027'!R\Max</f>
        <v>0.67235804680321087</v>
      </c>
    </row>
    <row r="157" spans="1:84" s="6" customFormat="1" ht="11.25" x14ac:dyDescent="0.2">
      <c r="A157" s="11">
        <v>43243</v>
      </c>
      <c r="B157" s="380">
        <f>'2022'!Maxi_hp</f>
        <v>53.955691624579302</v>
      </c>
      <c r="C157" s="85">
        <f>'2022'!An_max</f>
        <v>2020</v>
      </c>
      <c r="D157" s="1089" t="str">
        <f t="shared" si="78"/>
        <v/>
      </c>
      <c r="E157" s="749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838">
        <f t="shared" si="81"/>
        <v>0.6428571428571429</v>
      </c>
      <c r="J157" s="829">
        <f t="shared" si="82"/>
        <v>59.751575346557161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838">
        <f t="shared" si="86"/>
        <v>0.17857142857142858</v>
      </c>
      <c r="AT157" s="855">
        <f t="shared" si="87"/>
        <v>59.757296351662703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838">
        <f t="shared" si="91"/>
        <v>0.6785714285714286</v>
      </c>
      <c r="AY157" s="855">
        <f t="shared" si="92"/>
        <v>59.787819594770134</v>
      </c>
      <c r="AZ157" s="829">
        <f t="shared" si="96"/>
        <v>59.772557973216422</v>
      </c>
      <c r="BA157" s="662">
        <f t="shared" si="93"/>
        <v>0.90300031943322123</v>
      </c>
      <c r="BB157" s="657">
        <v>43243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926">
        <f>1+[2]!Salcycl*Ksac</f>
        <v>1.0257530492808331</v>
      </c>
      <c r="BH157" s="1082">
        <f t="shared" si="94"/>
        <v>4.7120134129904526E-2</v>
      </c>
      <c r="BI157" s="11">
        <v>44339</v>
      </c>
      <c r="BJ157" s="803">
        <v>5.6275225799992121E-3</v>
      </c>
      <c r="BK157" s="803">
        <v>1.5287262092063311E-2</v>
      </c>
      <c r="BL157" s="803">
        <v>2.9489263023093282E-2</v>
      </c>
      <c r="BM157" s="803">
        <v>4.7119472332732608E-2</v>
      </c>
      <c r="BN157" s="803">
        <v>6.4601440454139292E-2</v>
      </c>
      <c r="BO157" s="804">
        <v>8.0165248713986045E-2</v>
      </c>
      <c r="BP157" s="803">
        <v>9.5109236432212238E-2</v>
      </c>
      <c r="BQ157" s="803">
        <v>0.110911604078481</v>
      </c>
      <c r="BR157" s="803">
        <v>0.12886053385293922</v>
      </c>
      <c r="BS157" s="803">
        <v>0.15035187432712668</v>
      </c>
      <c r="BT157" s="803">
        <v>0.17470676864885146</v>
      </c>
      <c r="BW157" s="1138">
        <f>'2018'!R\Max</f>
        <v>0</v>
      </c>
      <c r="BX157" s="1136">
        <f>'2019'!R\Max</f>
        <v>0.89604465259310029</v>
      </c>
      <c r="BY157" s="1136">
        <f>'2020'!R\Max</f>
        <v>0.90300031943322123</v>
      </c>
      <c r="BZ157" s="1136">
        <f>'2021'!R\Max</f>
        <v>0.69026679184472983</v>
      </c>
      <c r="CA157" s="1136">
        <f>'2022'!R\Max</f>
        <v>0.31344536287829472</v>
      </c>
      <c r="CB157" s="1136">
        <f>'2023'!R\Max</f>
        <v>0.31324980718897144</v>
      </c>
      <c r="CC157" s="1136">
        <f>'2024'!R\Max</f>
        <v>0.31305062592603511</v>
      </c>
      <c r="CD157" s="1136">
        <f>'2025'!R\Max</f>
        <v>0.31431089844349108</v>
      </c>
      <c r="CE157" s="1136">
        <f>'2026'!R\Max</f>
        <v>0.31408215686798552</v>
      </c>
      <c r="CF157" s="1137">
        <f>'2027'!R\Max</f>
        <v>0.3138602435124056</v>
      </c>
    </row>
    <row r="158" spans="1:84" s="6" customFormat="1" ht="11.25" x14ac:dyDescent="0.2">
      <c r="A158" s="11">
        <v>43244</v>
      </c>
      <c r="B158" s="380">
        <f>'2022'!Maxi_hp</f>
        <v>25.770368698840517</v>
      </c>
      <c r="C158" s="85">
        <f>'2022'!An_max</f>
        <v>2021</v>
      </c>
      <c r="D158" s="1089" t="str">
        <f t="shared" si="78"/>
        <v/>
      </c>
      <c r="E158" s="749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838">
        <f t="shared" si="81"/>
        <v>0.7142857142857143</v>
      </c>
      <c r="J158" s="829">
        <f t="shared" si="82"/>
        <v>59.744126822267262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838">
        <f t="shared" si="86"/>
        <v>0.14285714285714285</v>
      </c>
      <c r="AT158" s="855">
        <f t="shared" si="87"/>
        <v>59.747860059142113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838">
        <f t="shared" si="91"/>
        <v>0.6428571428571429</v>
      </c>
      <c r="AY158" s="855">
        <f t="shared" si="92"/>
        <v>59.78083099478058</v>
      </c>
      <c r="AZ158" s="829">
        <f t="shared" si="96"/>
        <v>59.76434552696135</v>
      </c>
      <c r="BA158" s="662">
        <f t="shared" si="93"/>
        <v>0.43134564131307435</v>
      </c>
      <c r="BB158" s="657">
        <v>43244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926">
        <f>1+[2]!Salcycl*Ksac</f>
        <v>1.0264710954645582</v>
      </c>
      <c r="BH158" s="1082">
        <f t="shared" si="94"/>
        <v>4.8476486065928956E-2</v>
      </c>
      <c r="BI158" s="11">
        <v>44340</v>
      </c>
      <c r="BJ158" s="803">
        <v>5.8972246832314328E-3</v>
      </c>
      <c r="BK158" s="803">
        <v>1.5758442236763121E-2</v>
      </c>
      <c r="BL158" s="803">
        <v>3.033030730545043E-2</v>
      </c>
      <c r="BM158" s="803">
        <v>4.8475803311243654E-2</v>
      </c>
      <c r="BN158" s="803">
        <v>6.6511383017062178E-2</v>
      </c>
      <c r="BO158" s="804">
        <v>8.2506340442787596E-2</v>
      </c>
      <c r="BP158" s="803">
        <v>9.7765529823603967E-2</v>
      </c>
      <c r="BQ158" s="803">
        <v>0.11379570989641745</v>
      </c>
      <c r="BR158" s="803">
        <v>0.13188126289647581</v>
      </c>
      <c r="BS158" s="803">
        <v>0.15341024062854103</v>
      </c>
      <c r="BT158" s="803">
        <v>0.17774522368928825</v>
      </c>
      <c r="BW158" s="1138">
        <f>'2018'!R\Max</f>
        <v>0</v>
      </c>
      <c r="BX158" s="1136">
        <f>'2019'!R\Max</f>
        <v>0.22724065104696278</v>
      </c>
      <c r="BY158" s="1136">
        <f>'2020'!R\Max</f>
        <v>0.29996804316942305</v>
      </c>
      <c r="BZ158" s="1136">
        <f>'2021'!R\Max</f>
        <v>0.43134564131307435</v>
      </c>
      <c r="CA158" s="1136">
        <f>'2022'!R\Max</f>
        <v>0.29801769380025622</v>
      </c>
      <c r="CB158" s="1136">
        <f>'2023'!R\Max</f>
        <v>0.29782244771763955</v>
      </c>
      <c r="CC158" s="1136">
        <f>'2024'!R\Max</f>
        <v>0.29762393263931558</v>
      </c>
      <c r="CD158" s="1136">
        <f>'2025'!R\Max</f>
        <v>0.29888831761210216</v>
      </c>
      <c r="CE158" s="1136">
        <f>'2026'!R\Max</f>
        <v>0.29865754675020384</v>
      </c>
      <c r="CF158" s="1137">
        <f>'2027'!R\Max</f>
        <v>0.29843412323104707</v>
      </c>
    </row>
    <row r="159" spans="1:84" s="6" customFormat="1" ht="11.25" x14ac:dyDescent="0.2">
      <c r="A159" s="11">
        <v>43245</v>
      </c>
      <c r="B159" s="380">
        <f>'2022'!Maxi_hp</f>
        <v>55.122596698708996</v>
      </c>
      <c r="C159" s="85">
        <f>'2022'!An_max</f>
        <v>2021</v>
      </c>
      <c r="D159" s="1089" t="str">
        <f t="shared" si="78"/>
        <v/>
      </c>
      <c r="E159" s="749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838">
        <f t="shared" si="81"/>
        <v>0.7857142857142857</v>
      </c>
      <c r="J159" s="829">
        <f t="shared" si="82"/>
        <v>59.734237336553633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838">
        <f t="shared" si="86"/>
        <v>0.10714285714285714</v>
      </c>
      <c r="AT159" s="855">
        <f t="shared" si="87"/>
        <v>59.736377665187625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838">
        <f t="shared" si="91"/>
        <v>0.6071428571428571</v>
      </c>
      <c r="AY159" s="855">
        <f t="shared" si="92"/>
        <v>59.770638632002694</v>
      </c>
      <c r="AZ159" s="829">
        <f t="shared" si="96"/>
        <v>59.753508148595159</v>
      </c>
      <c r="BA159" s="662">
        <f t="shared" si="93"/>
        <v>0.92279736306229521</v>
      </c>
      <c r="BB159" s="657">
        <v>43245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926">
        <f>1+[2]!Salcycl*Ksac</f>
        <v>1.0271897381425139</v>
      </c>
      <c r="BH159" s="1082">
        <f t="shared" si="94"/>
        <v>4.9794601836195752E-2</v>
      </c>
      <c r="BI159" s="11">
        <v>44341</v>
      </c>
      <c r="BJ159" s="803">
        <v>6.1661327964860832E-3</v>
      </c>
      <c r="BK159" s="803">
        <v>1.6216718496068341E-2</v>
      </c>
      <c r="BL159" s="803">
        <v>3.114193244975326E-2</v>
      </c>
      <c r="BM159" s="803">
        <v>4.9793898160325221E-2</v>
      </c>
      <c r="BN159" s="803">
        <v>6.8382129809672718E-2</v>
      </c>
      <c r="BO159" s="804">
        <v>8.4810015064015434E-2</v>
      </c>
      <c r="BP159" s="803">
        <v>0.10037964976242207</v>
      </c>
      <c r="BQ159" s="803">
        <v>0.11663456051251946</v>
      </c>
      <c r="BR159" s="803">
        <v>0.13485757723763589</v>
      </c>
      <c r="BS159" s="803">
        <v>0.15642720597680548</v>
      </c>
      <c r="BT159" s="803">
        <v>0.18074714070433859</v>
      </c>
      <c r="BW159" s="1138">
        <f>'2018'!R\Max</f>
        <v>0</v>
      </c>
      <c r="BX159" s="1136">
        <f>'2019'!R\Max</f>
        <v>0.44657809761739492</v>
      </c>
      <c r="BY159" s="1136">
        <f>'2020'!R\Max</f>
        <v>0.91223685158876455</v>
      </c>
      <c r="BZ159" s="1136">
        <f>'2021'!R\Max</f>
        <v>0.92279736306229521</v>
      </c>
      <c r="CA159" s="1136">
        <f>'2022'!R\Max</f>
        <v>0.69570882956377289</v>
      </c>
      <c r="CB159" s="1136">
        <f>'2023'!R\Max</f>
        <v>0.69550538040339771</v>
      </c>
      <c r="CC159" s="1136">
        <f>'2024'!R\Max</f>
        <v>0.69529872296015238</v>
      </c>
      <c r="CD159" s="1136">
        <f>'2025'!R\Max</f>
        <v>0.69662074056683054</v>
      </c>
      <c r="CE159" s="1136">
        <f>'2026'!R\Max</f>
        <v>0.6963786589318538</v>
      </c>
      <c r="CF159" s="1137">
        <f>'2027'!R\Max</f>
        <v>0.69614454394506176</v>
      </c>
    </row>
    <row r="160" spans="1:84" s="6" customFormat="1" ht="11.25" x14ac:dyDescent="0.2">
      <c r="A160" s="11">
        <v>43246</v>
      </c>
      <c r="B160" s="380">
        <f>'2022'!Maxi_hp</f>
        <v>58.823190702914935</v>
      </c>
      <c r="C160" s="85">
        <f>'2022'!An_max</f>
        <v>2020</v>
      </c>
      <c r="D160" s="1089">
        <f t="shared" si="78"/>
        <v>0.98494987349442176</v>
      </c>
      <c r="E160" s="749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838">
        <f t="shared" si="81"/>
        <v>0.8571428571428571</v>
      </c>
      <c r="J160" s="829">
        <f t="shared" si="82"/>
        <v>59.722014577473907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838">
        <f t="shared" si="86"/>
        <v>7.1428571428571425E-2</v>
      </c>
      <c r="AT160" s="855">
        <f t="shared" si="87"/>
        <v>59.722983783749598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838">
        <f t="shared" si="91"/>
        <v>0.5714285714285714</v>
      </c>
      <c r="AY160" s="855">
        <f t="shared" si="92"/>
        <v>59.757336734980342</v>
      </c>
      <c r="AZ160" s="829">
        <f t="shared" si="96"/>
        <v>59.74016025936497</v>
      </c>
      <c r="BA160" s="662">
        <f t="shared" si="93"/>
        <v>0.98494987349442176</v>
      </c>
      <c r="BB160" s="657">
        <v>43246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926">
        <f>1+[2]!Salcycl*Ksac</f>
        <v>1.0279081161808474</v>
      </c>
      <c r="BH160" s="1082">
        <f t="shared" si="94"/>
        <v>5.1074522648838216E-2</v>
      </c>
      <c r="BI160" s="11">
        <v>44342</v>
      </c>
      <c r="BJ160" s="803">
        <v>6.4342398837605843E-3</v>
      </c>
      <c r="BK160" s="803">
        <v>1.6662103214303441E-2</v>
      </c>
      <c r="BL160" s="803">
        <v>3.1924173092338894E-2</v>
      </c>
      <c r="BM160" s="803">
        <v>5.1073798088407417E-2</v>
      </c>
      <c r="BN160" s="803">
        <v>7.0213714199814051E-2</v>
      </c>
      <c r="BO160" s="804">
        <v>8.7076298481321757E-2</v>
      </c>
      <c r="BP160" s="803">
        <v>0.10295163054762009</v>
      </c>
      <c r="BQ160" s="803">
        <v>0.11942820218162804</v>
      </c>
      <c r="BR160" s="803">
        <v>0.13778953708400338</v>
      </c>
      <c r="BS160" s="803">
        <v>0.15940285144792113</v>
      </c>
      <c r="BT160" s="803">
        <v>0.18371262579712835</v>
      </c>
      <c r="BW160" s="1138">
        <f>'2018'!R\Max</f>
        <v>0</v>
      </c>
      <c r="BX160" s="1136">
        <f>'2019'!R\Max</f>
        <v>0.35280761631006208</v>
      </c>
      <c r="BY160" s="1136">
        <f>'2020'!R\Max</f>
        <v>0.98494987349442176</v>
      </c>
      <c r="BZ160" s="1136">
        <f>'2021'!R\Max</f>
        <v>0.90587097566139052</v>
      </c>
      <c r="CA160" s="1136">
        <f>'2022'!R\Max</f>
        <v>0.47311412898779093</v>
      </c>
      <c r="CB160" s="1136">
        <f>'2023'!R\Max</f>
        <v>0.47286812835972347</v>
      </c>
      <c r="CC160" s="1136">
        <f>'2024'!R\Max</f>
        <v>0.47261878177974603</v>
      </c>
      <c r="CD160" s="1136">
        <f>'2025'!R\Max</f>
        <v>0.47422597006215572</v>
      </c>
      <c r="CE160" s="1136">
        <f>'2026'!R\Max</f>
        <v>0.47392983225182672</v>
      </c>
      <c r="CF160" s="1137">
        <f>'2027'!R\Max</f>
        <v>0.47364414551766043</v>
      </c>
    </row>
    <row r="161" spans="1:84" s="6" customFormat="1" ht="11.25" x14ac:dyDescent="0.2">
      <c r="A161" s="11">
        <v>43247</v>
      </c>
      <c r="B161" s="380">
        <f>'2022'!Maxi_hp</f>
        <v>60.55384086599669</v>
      </c>
      <c r="C161" s="85">
        <f>'2022'!An_max</f>
        <v>2021</v>
      </c>
      <c r="D161" s="1089">
        <f t="shared" si="78"/>
        <v>1.0141736581096534</v>
      </c>
      <c r="E161" s="749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838">
        <f t="shared" si="81"/>
        <v>0.9285714285714286</v>
      </c>
      <c r="J161" s="829">
        <f t="shared" si="82"/>
        <v>59.707566235613612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838">
        <f t="shared" si="86"/>
        <v>3.5714285714285712E-2</v>
      </c>
      <c r="AT161" s="855">
        <f t="shared" si="87"/>
        <v>59.707813024148344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838">
        <f t="shared" si="91"/>
        <v>0.5357142857142857</v>
      </c>
      <c r="AY161" s="855">
        <f t="shared" si="92"/>
        <v>59.741019531286192</v>
      </c>
      <c r="AZ161" s="829">
        <f t="shared" si="96"/>
        <v>59.724416277717268</v>
      </c>
      <c r="BA161" s="662">
        <f t="shared" si="93"/>
        <v>1.0141736581096534</v>
      </c>
      <c r="BB161" s="657">
        <v>43247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926">
        <f>1+[2]!Salcycl*Ksac</f>
        <v>1.0286253587166458</v>
      </c>
      <c r="BH161" s="1082">
        <f t="shared" si="94"/>
        <v>5.2316300856451711E-2</v>
      </c>
      <c r="BI161" s="11">
        <v>44343</v>
      </c>
      <c r="BJ161" s="803">
        <v>6.7015404165431244E-3</v>
      </c>
      <c r="BK161" s="803">
        <v>1.7094612567468442E-2</v>
      </c>
      <c r="BL161" s="803">
        <v>3.267707137296403E-2</v>
      </c>
      <c r="BM161" s="803">
        <v>5.2315555448267832E-2</v>
      </c>
      <c r="BN161" s="803">
        <v>7.200618372685276E-2</v>
      </c>
      <c r="BO161" s="804">
        <v>8.9305232865914741E-2</v>
      </c>
      <c r="BP161" s="803">
        <v>0.10548152490838529</v>
      </c>
      <c r="BQ161" s="803">
        <v>0.12217670111693923</v>
      </c>
      <c r="BR161" s="803">
        <v>0.14067722324216347</v>
      </c>
      <c r="BS161" s="803">
        <v>0.1623372786110967</v>
      </c>
      <c r="BT161" s="803">
        <v>0.18664180496373725</v>
      </c>
      <c r="BW161" s="1138">
        <f>'2018'!R\Max</f>
        <v>0</v>
      </c>
      <c r="BX161" s="1136">
        <f>'2019'!R\Max</f>
        <v>0.43098616349045171</v>
      </c>
      <c r="BY161" s="1136">
        <f>'2020'!R\Max</f>
        <v>0.97836848679580912</v>
      </c>
      <c r="BZ161" s="1136">
        <f>'2021'!R\Max</f>
        <v>1.0141736581096534</v>
      </c>
      <c r="CA161" s="1136">
        <f>'2022'!R\Max</f>
        <v>0.75536599146085259</v>
      </c>
      <c r="CB161" s="1136">
        <f>'2023'!R\Max</f>
        <v>0.75517876712467469</v>
      </c>
      <c r="CC161" s="1136">
        <f>'2024'!R\Max</f>
        <v>0.75498920869818675</v>
      </c>
      <c r="CD161" s="1136">
        <f>'2025'!R\Max</f>
        <v>0.75621681687821884</v>
      </c>
      <c r="CE161" s="1136">
        <f>'2026'!R\Max</f>
        <v>0.75598985193831181</v>
      </c>
      <c r="CF161" s="1137">
        <f>'2027'!R\Max</f>
        <v>0.75577117331197896</v>
      </c>
    </row>
    <row r="162" spans="1:84" s="6" customFormat="1" ht="11.25" x14ac:dyDescent="0.2">
      <c r="A162" s="11">
        <v>43248</v>
      </c>
      <c r="B162" s="380">
        <f>'2022'!Maxi_hp</f>
        <v>57.676626455771242</v>
      </c>
      <c r="C162" s="85">
        <f>'2022'!An_max</f>
        <v>2020</v>
      </c>
      <c r="D162" s="1089" t="str">
        <f t="shared" si="78"/>
        <v/>
      </c>
      <c r="E162" s="837">
        <f>X$13/10</f>
        <v>59.690999999999995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838">
        <f t="shared" si="81"/>
        <v>1</v>
      </c>
      <c r="J162" s="829">
        <f t="shared" si="82"/>
        <v>59.691000000387433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838">
        <f t="shared" si="86"/>
        <v>0</v>
      </c>
      <c r="AT162" s="855">
        <f t="shared" si="87"/>
        <v>59.691000000387433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838">
        <f t="shared" si="91"/>
        <v>0.5</v>
      </c>
      <c r="AY162" s="855">
        <f t="shared" si="92"/>
        <v>59.721781249903145</v>
      </c>
      <c r="AZ162" s="829">
        <f t="shared" si="96"/>
        <v>59.706390625145289</v>
      </c>
      <c r="BA162" s="662">
        <f t="shared" si="93"/>
        <v>0.96625331214750776</v>
      </c>
      <c r="BB162" s="657">
        <v>43248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926">
        <f>1+[2]!Salcycl*Ksac</f>
        <v>1.0293405880321118</v>
      </c>
      <c r="BH162" s="1082">
        <f t="shared" si="94"/>
        <v>5.3519999473525731E-2</v>
      </c>
      <c r="BI162" s="11">
        <v>44344</v>
      </c>
      <c r="BJ162" s="803">
        <v>6.9680303683478956E-3</v>
      </c>
      <c r="BK162" s="803">
        <v>1.7514266400381163E-2</v>
      </c>
      <c r="BL162" s="803">
        <v>3.3400676558857138E-2</v>
      </c>
      <c r="BM162" s="803">
        <v>5.3519233254463588E-2</v>
      </c>
      <c r="BN162" s="803">
        <v>7.3759599618638441E-2</v>
      </c>
      <c r="BO162" s="804">
        <v>9.14968762076947E-2</v>
      </c>
      <c r="BP162" s="803">
        <v>0.10796940349983725</v>
      </c>
      <c r="BQ162" s="803">
        <v>0.12488014295188181</v>
      </c>
      <c r="BR162" s="803">
        <v>0.14352073659793374</v>
      </c>
      <c r="BS162" s="803">
        <v>0.16523060905628667</v>
      </c>
      <c r="BT162" s="803">
        <v>0.1895348236929893</v>
      </c>
      <c r="BW162" s="1138">
        <f>'2018'!R\Max</f>
        <v>0</v>
      </c>
      <c r="BX162" s="1136">
        <f>'2019'!R\Max</f>
        <v>0.46937343362755668</v>
      </c>
      <c r="BY162" s="1136">
        <f>'2020'!R\Max</f>
        <v>0.96625331214750776</v>
      </c>
      <c r="BZ162" s="1136">
        <f>'2021'!R\Max</f>
        <v>0.84393563897452994</v>
      </c>
      <c r="CA162" s="1136">
        <f>'2022'!R\Max</f>
        <v>0.93170419228071044</v>
      </c>
      <c r="CB162" s="1136">
        <f>'2023'!R\Max</f>
        <v>0.93163805218194351</v>
      </c>
      <c r="CC162" s="1136">
        <f>'2024'!R\Max</f>
        <v>0.93157117474959317</v>
      </c>
      <c r="CD162" s="1136">
        <f>'2025'!R\Max</f>
        <v>0.93200653626354935</v>
      </c>
      <c r="CE162" s="1136">
        <f>'2026'!R\Max</f>
        <v>0.93192574363185565</v>
      </c>
      <c r="CF162" s="1137">
        <f>'2027'!R\Max</f>
        <v>0.93184801428001529</v>
      </c>
    </row>
    <row r="163" spans="1:84" s="6" customFormat="1" ht="11.25" x14ac:dyDescent="0.2">
      <c r="A163" s="11">
        <v>43249</v>
      </c>
      <c r="B163" s="380">
        <f>'2022'!Maxi_hp</f>
        <v>60.251561411651252</v>
      </c>
      <c r="C163" s="85">
        <f>'2022'!An_max</f>
        <v>2022</v>
      </c>
      <c r="D163" s="1089">
        <f t="shared" si="78"/>
        <v>1.0097058919531767</v>
      </c>
      <c r="E163" s="749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838">
        <f t="shared" si="81"/>
        <v>0.9285714285714286</v>
      </c>
      <c r="J163" s="829">
        <f t="shared" si="82"/>
        <v>59.672387664392588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838">
        <f t="shared" si="86"/>
        <v>3.5714285714285712E-2</v>
      </c>
      <c r="AT163" s="855">
        <f t="shared" si="87"/>
        <v>59.671422946033999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838">
        <f t="shared" si="91"/>
        <v>0.4642857142857143</v>
      </c>
      <c r="AY163" s="855">
        <f t="shared" si="92"/>
        <v>59.699716119521426</v>
      </c>
      <c r="AZ163" s="829">
        <f t="shared" si="96"/>
        <v>59.685569532777713</v>
      </c>
      <c r="BA163" s="662">
        <f t="shared" si="93"/>
        <v>1.0097058919531767</v>
      </c>
      <c r="BB163" s="657">
        <v>43249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926">
        <f>1+[2]!Salcycl*Ksac</f>
        <v>1.0300529225395225</v>
      </c>
      <c r="BH163" s="1082">
        <f t="shared" si="94"/>
        <v>5.4685691692687402E-2</v>
      </c>
      <c r="BI163" s="11">
        <v>44345</v>
      </c>
      <c r="BJ163" s="803">
        <v>7.2337072091038131E-3</v>
      </c>
      <c r="BK163" s="803">
        <v>1.7921088063432542E-2</v>
      </c>
      <c r="BL163" s="803">
        <v>3.4095044668027014E-2</v>
      </c>
      <c r="BM163" s="803">
        <v>5.4684904699574911E-2</v>
      </c>
      <c r="BN163" s="803">
        <v>7.5474036306831527E-2</v>
      </c>
      <c r="BO163" s="804">
        <v>9.3651301864366474E-2</v>
      </c>
      <c r="BP163" s="803">
        <v>0.11041535439633075</v>
      </c>
      <c r="BQ163" s="803">
        <v>0.12753863219921072</v>
      </c>
      <c r="BR163" s="803">
        <v>0.14632019759337431</v>
      </c>
      <c r="BS163" s="803">
        <v>0.16808298391799084</v>
      </c>
      <c r="BT163" s="803">
        <v>0.19239184656192107</v>
      </c>
      <c r="BW163" s="1138">
        <f>'2018'!R\Max</f>
        <v>0</v>
      </c>
      <c r="BX163" s="1136">
        <f>'2019'!R\Max</f>
        <v>0.55268531530207454</v>
      </c>
      <c r="BY163" s="1136">
        <f>'2020'!R\Max</f>
        <v>0.97087387268680969</v>
      </c>
      <c r="BZ163" s="1136">
        <f>'2021'!R\Max</f>
        <v>0.592870637303201</v>
      </c>
      <c r="CA163" s="1136">
        <f>'2022'!R\Max</f>
        <v>1.0097058919531767</v>
      </c>
      <c r="CB163" s="1136">
        <f>'2023'!R\Max</f>
        <v>1.0097058919531767</v>
      </c>
      <c r="CC163" s="1136">
        <f>'2024'!R\Max</f>
        <v>1.0097058919531765</v>
      </c>
      <c r="CD163" s="1136">
        <f>'2025'!R\Max</f>
        <v>1.0097058919531765</v>
      </c>
      <c r="CE163" s="1136">
        <f>'2026'!R\Max</f>
        <v>1.0097058919531767</v>
      </c>
      <c r="CF163" s="1137">
        <f>'2027'!R\Max</f>
        <v>1.0097058919531765</v>
      </c>
    </row>
    <row r="164" spans="1:84" s="6" customFormat="1" ht="11.25" x14ac:dyDescent="0.2">
      <c r="A164" s="11">
        <v>43250</v>
      </c>
      <c r="B164" s="380">
        <f>'2022'!Maxi_hp</f>
        <v>58.524365554999449</v>
      </c>
      <c r="C164" s="85">
        <f>'2022'!An_max</f>
        <v>2019</v>
      </c>
      <c r="D164" s="1089">
        <f t="shared" si="78"/>
        <v>0.98110208621301342</v>
      </c>
      <c r="E164" s="749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838">
        <f t="shared" si="81"/>
        <v>0.8571428571428571</v>
      </c>
      <c r="J164" s="829">
        <f t="shared" si="82"/>
        <v>59.651657434446477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838">
        <f t="shared" si="86"/>
        <v>7.1428571428571425E-2</v>
      </c>
      <c r="AT164" s="855">
        <f t="shared" si="87"/>
        <v>59.647960095480087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838">
        <f t="shared" si="91"/>
        <v>0.42857142857142855</v>
      </c>
      <c r="AY164" s="855">
        <f t="shared" si="92"/>
        <v>59.674918367181498</v>
      </c>
      <c r="AZ164" s="829">
        <f t="shared" si="96"/>
        <v>59.661439231330789</v>
      </c>
      <c r="BA164" s="662">
        <f t="shared" si="93"/>
        <v>0.98110208621301342</v>
      </c>
      <c r="BB164" s="657">
        <v>43250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926">
        <f>1+[2]!Salcycl*Ksac</f>
        <v>1.0307614798608629</v>
      </c>
      <c r="BH164" s="1082">
        <f t="shared" si="94"/>
        <v>5.5793156975101565E-2</v>
      </c>
      <c r="BI164" s="11">
        <v>44346</v>
      </c>
      <c r="BJ164" s="803">
        <v>7.4946889268712926E-3</v>
      </c>
      <c r="BK164" s="803">
        <v>1.8308473468939056E-2</v>
      </c>
      <c r="BL164" s="803">
        <v>3.4747583911480591E-2</v>
      </c>
      <c r="BM164" s="803">
        <v>5.5792349584967961E-2</v>
      </c>
      <c r="BN164" s="803">
        <v>7.7120286868749541E-2</v>
      </c>
      <c r="BO164" s="804">
        <v>9.5733099525930662E-2</v>
      </c>
      <c r="BP164" s="803">
        <v>0.11277831899026299</v>
      </c>
      <c r="BQ164" s="803">
        <v>0.13010771389544784</v>
      </c>
      <c r="BR164" s="803">
        <v>0.14902880034403931</v>
      </c>
      <c r="BS164" s="803">
        <v>0.17084766789998632</v>
      </c>
      <c r="BT164" s="803">
        <v>0.19516660959701346</v>
      </c>
      <c r="BW164" s="1138">
        <f>'2018'!R\Max</f>
        <v>0</v>
      </c>
      <c r="BX164" s="1136">
        <f>'2019'!R\Max</f>
        <v>0.98110208621301342</v>
      </c>
      <c r="BY164" s="1136">
        <f>'2020'!R\Max</f>
        <v>0.94761480162619582</v>
      </c>
      <c r="BZ164" s="1136">
        <f>'2021'!R\Max</f>
        <v>0.93758642783423218</v>
      </c>
      <c r="CA164" s="1136">
        <f>'2022'!R\Max</f>
        <v>0.84583179373559192</v>
      </c>
      <c r="CB164" s="1136">
        <f>'2023'!R\Max</f>
        <v>0.84568952453710311</v>
      </c>
      <c r="CC164" s="1136">
        <f>'2024'!R\Max</f>
        <v>0.84554616294964136</v>
      </c>
      <c r="CD164" s="1136">
        <f>'2025'!R\Max</f>
        <v>0.84649132528689874</v>
      </c>
      <c r="CE164" s="1136">
        <f>'2026'!R\Max</f>
        <v>0.8463142674912465</v>
      </c>
      <c r="CF164" s="1137">
        <f>'2027'!R\Max</f>
        <v>0.84614458675475079</v>
      </c>
    </row>
    <row r="165" spans="1:84" s="6" customFormat="1" ht="11.25" x14ac:dyDescent="0.2">
      <c r="A165" s="11">
        <v>43251</v>
      </c>
      <c r="B165" s="380">
        <f>'2022'!Maxi_hp</f>
        <v>59.313017833892296</v>
      </c>
      <c r="C165" s="85">
        <f>'2022'!An_max</f>
        <v>2019</v>
      </c>
      <c r="D165" s="1089">
        <f t="shared" si="78"/>
        <v>0.9947058416605733</v>
      </c>
      <c r="E165" s="749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838">
        <f t="shared" si="81"/>
        <v>0.7857142857142857</v>
      </c>
      <c r="J165" s="829">
        <f t="shared" si="82"/>
        <v>59.628701621852812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838">
        <f t="shared" si="86"/>
        <v>0.10714285714285714</v>
      </c>
      <c r="AT165" s="855">
        <f t="shared" si="87"/>
        <v>59.620746059516179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838">
        <f t="shared" si="91"/>
        <v>0.39285714285714285</v>
      </c>
      <c r="AY165" s="855">
        <f t="shared" si="92"/>
        <v>59.647482222651277</v>
      </c>
      <c r="AZ165" s="829">
        <f t="shared" si="96"/>
        <v>59.634114141083728</v>
      </c>
      <c r="BA165" s="662">
        <f t="shared" si="93"/>
        <v>0.9947058416605733</v>
      </c>
      <c r="BB165" s="657">
        <v>43251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926">
        <f>1+[2]!Salcycl*Ksac</f>
        <v>1.0314653799847757</v>
      </c>
      <c r="BH165" s="1082">
        <f t="shared" si="94"/>
        <v>5.6847312047056821E-2</v>
      </c>
      <c r="BI165" s="11">
        <v>44347</v>
      </c>
      <c r="BJ165" s="803">
        <v>7.7498437832333403E-3</v>
      </c>
      <c r="BK165" s="803">
        <v>1.8677782633979734E-2</v>
      </c>
      <c r="BL165" s="803">
        <v>3.5361348404468709E-2</v>
      </c>
      <c r="BM165" s="803">
        <v>5.6846484626780124E-2</v>
      </c>
      <c r="BN165" s="803">
        <v>7.8703536173754959E-2</v>
      </c>
      <c r="BO165" s="804">
        <v>9.7750301577398988E-2</v>
      </c>
      <c r="BP165" s="803">
        <v>0.11506729644651896</v>
      </c>
      <c r="BQ165" s="803">
        <v>0.13259681403104859</v>
      </c>
      <c r="BR165" s="803">
        <v>0.15165367498775439</v>
      </c>
      <c r="BS165" s="803">
        <v>0.173528773273915</v>
      </c>
      <c r="BT165" s="803">
        <v>0.19785852220046676</v>
      </c>
      <c r="BW165" s="1138">
        <f>'2018'!R\Max</f>
        <v>0</v>
      </c>
      <c r="BX165" s="1136">
        <f>'2019'!R\Max</f>
        <v>0.9947058416605733</v>
      </c>
      <c r="BY165" s="1136">
        <f>'2020'!R\Max</f>
        <v>0.98035022807797478</v>
      </c>
      <c r="BZ165" s="1136">
        <f>'2021'!R\Max</f>
        <v>0.9827872030029684</v>
      </c>
      <c r="CA165" s="1136">
        <f>'2022'!R\Max</f>
        <v>0.94089934835847722</v>
      </c>
      <c r="CB165" s="1136">
        <f>'2023'!R\Max</f>
        <v>0.94083726585921856</v>
      </c>
      <c r="CC165" s="1136">
        <f>'2024'!R\Max</f>
        <v>0.94077479035464251</v>
      </c>
      <c r="CD165" s="1136">
        <f>'2025'!R\Max</f>
        <v>0.94118889148057949</v>
      </c>
      <c r="CE165" s="1136">
        <f>'2026'!R\Max</f>
        <v>0.94111104128319378</v>
      </c>
      <c r="CF165" s="1137">
        <f>'2027'!R\Max</f>
        <v>0.94103654394616065</v>
      </c>
    </row>
    <row r="166" spans="1:84" s="6" customFormat="1" ht="11.25" x14ac:dyDescent="0.2">
      <c r="A166" s="11">
        <v>43252</v>
      </c>
      <c r="B166" s="380">
        <f>'2022'!Maxi_hp</f>
        <v>60.331915443766647</v>
      </c>
      <c r="C166" s="85">
        <f>'2022'!An_max</f>
        <v>2019</v>
      </c>
      <c r="D166" s="1089">
        <f t="shared" si="78"/>
        <v>1.0122225033127856</v>
      </c>
      <c r="E166" s="749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838">
        <f t="shared" si="81"/>
        <v>0.7142857142857143</v>
      </c>
      <c r="J166" s="829">
        <f t="shared" si="82"/>
        <v>59.603412536584905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838">
        <f t="shared" si="86"/>
        <v>0.14285714285714285</v>
      </c>
      <c r="AT166" s="855">
        <f t="shared" si="87"/>
        <v>59.589915452445197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838">
        <f t="shared" si="91"/>
        <v>0.35714285714285715</v>
      </c>
      <c r="AY166" s="855">
        <f t="shared" si="92"/>
        <v>59.617501913330372</v>
      </c>
      <c r="AZ166" s="829">
        <f t="shared" si="96"/>
        <v>59.603708682887785</v>
      </c>
      <c r="BA166" s="662">
        <f t="shared" si="93"/>
        <v>1.0122225033127856</v>
      </c>
      <c r="BB166" s="657">
        <v>43252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926">
        <f>1+[2]!Salcycl*Ksac</f>
        <v>1.0321637484823585</v>
      </c>
      <c r="BH166" s="1082">
        <f t="shared" si="94"/>
        <v>5.7848286080894151E-2</v>
      </c>
      <c r="BI166" s="11">
        <v>44348</v>
      </c>
      <c r="BJ166" s="803">
        <v>7.9991827929826523E-3</v>
      </c>
      <c r="BK166" s="803">
        <v>1.9029058142813037E-2</v>
      </c>
      <c r="BL166" s="803">
        <v>3.5936429863042151E-2</v>
      </c>
      <c r="BM166" s="803">
        <v>5.7847438996359975E-2</v>
      </c>
      <c r="BN166" s="803">
        <v>8.0223939608650388E-2</v>
      </c>
      <c r="BO166" s="804">
        <v>9.9703075241608263E-2</v>
      </c>
      <c r="BP166" s="803">
        <v>0.11728248314482155</v>
      </c>
      <c r="BQ166" s="803">
        <v>0.1350061550878327</v>
      </c>
      <c r="BR166" s="803">
        <v>0.15419507051838169</v>
      </c>
      <c r="BS166" s="803">
        <v>0.17612657531126988</v>
      </c>
      <c r="BT166" s="803">
        <v>0.20046788977580288</v>
      </c>
      <c r="BW166" s="1138">
        <f>'2018'!R\Max</f>
        <v>0</v>
      </c>
      <c r="BX166" s="1136">
        <f>'2019'!R\Max</f>
        <v>1.0122225033127856</v>
      </c>
      <c r="BY166" s="1136">
        <f>'2020'!R\Max</f>
        <v>1.004266771399726</v>
      </c>
      <c r="BZ166" s="1136">
        <f>'2021'!R\Max</f>
        <v>0.62982197829068576</v>
      </c>
      <c r="CA166" s="1136">
        <f>'2022'!R\Max</f>
        <v>0.95710452117631717</v>
      </c>
      <c r="CB166" s="1136">
        <f>'2023'!R\Max</f>
        <v>0.95705766068950604</v>
      </c>
      <c r="CC166" s="1136">
        <f>'2024'!R\Max</f>
        <v>0.95701057248674126</v>
      </c>
      <c r="CD166" s="1136">
        <f>'2025'!R\Max</f>
        <v>0.95732448558450955</v>
      </c>
      <c r="CE166" s="1136">
        <f>'2026'!R\Max</f>
        <v>0.9572652458362928</v>
      </c>
      <c r="CF166" s="1137">
        <f>'2027'!R\Max</f>
        <v>0.95720864670714545</v>
      </c>
    </row>
    <row r="167" spans="1:84" s="6" customFormat="1" ht="11.25" x14ac:dyDescent="0.2">
      <c r="A167" s="11">
        <v>43253</v>
      </c>
      <c r="B167" s="380">
        <f>'2022'!Maxi_hp</f>
        <v>59.300139796564821</v>
      </c>
      <c r="C167" s="85">
        <f>'2022'!An_max</f>
        <v>2019</v>
      </c>
      <c r="D167" s="1089">
        <f t="shared" si="78"/>
        <v>0.99537491336461104</v>
      </c>
      <c r="E167" s="749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838">
        <f t="shared" si="81"/>
        <v>0.6428571428571429</v>
      </c>
      <c r="J167" s="829">
        <f t="shared" si="82"/>
        <v>59.575682489440908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838">
        <f t="shared" si="86"/>
        <v>0.17857142857142858</v>
      </c>
      <c r="AT167" s="855">
        <f t="shared" si="87"/>
        <v>59.555602884419002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838">
        <f t="shared" si="91"/>
        <v>0.32142857142857145</v>
      </c>
      <c r="AY167" s="855">
        <f t="shared" si="92"/>
        <v>59.585071667656301</v>
      </c>
      <c r="AZ167" s="829">
        <f t="shared" si="96"/>
        <v>59.570337276037648</v>
      </c>
      <c r="BA167" s="662">
        <f t="shared" si="93"/>
        <v>0.99537491336461104</v>
      </c>
      <c r="BB167" s="657">
        <v>43253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926">
        <f>1+[2]!Salcycl*Ksac</f>
        <v>1.0328557197623685</v>
      </c>
      <c r="BH167" s="1082">
        <f t="shared" si="94"/>
        <v>5.8796217245929573E-2</v>
      </c>
      <c r="BI167" s="11">
        <v>44349</v>
      </c>
      <c r="BJ167" s="803">
        <v>8.2427187031003102E-3</v>
      </c>
      <c r="BK167" s="803">
        <v>1.9362345692139404E-2</v>
      </c>
      <c r="BL167" s="803">
        <v>3.6472925718299139E-2</v>
      </c>
      <c r="BM167" s="803">
        <v>5.8795350861900131E-2</v>
      </c>
      <c r="BN167" s="803">
        <v>8.1681665017218172E-2</v>
      </c>
      <c r="BO167" s="804">
        <v>0.10159160265175698</v>
      </c>
      <c r="BP167" s="803">
        <v>0.11942409243596985</v>
      </c>
      <c r="BQ167" s="803">
        <v>0.1373359779914031</v>
      </c>
      <c r="BR167" s="803">
        <v>0.15665325537031938</v>
      </c>
      <c r="BS167" s="803">
        <v>0.17864136906663031</v>
      </c>
      <c r="BT167" s="803">
        <v>0.20299503758090889</v>
      </c>
      <c r="BW167" s="1138">
        <f>'2018'!R\Max</f>
        <v>0</v>
      </c>
      <c r="BX167" s="1136">
        <f>'2019'!R\Max</f>
        <v>0.99537491336461104</v>
      </c>
      <c r="BY167" s="1136">
        <f>'2020'!R\Max</f>
        <v>0.47078905071983834</v>
      </c>
      <c r="BZ167" s="1136">
        <f>'2021'!R\Max</f>
        <v>0.69095592446819354</v>
      </c>
      <c r="CA167" s="1136">
        <f>'2022'!R\Max</f>
        <v>0.75727965421562116</v>
      </c>
      <c r="CB167" s="1136">
        <f>'2023'!R\Max</f>
        <v>0.75706539416624952</v>
      </c>
      <c r="CC167" s="1136">
        <f>'2024'!R\Max</f>
        <v>0.75685050560014411</v>
      </c>
      <c r="CD167" s="1136">
        <f>'2025'!R\Max</f>
        <v>0.75829331191331528</v>
      </c>
      <c r="CE167" s="1136">
        <f>'2026'!R\Max</f>
        <v>0.75801967743170151</v>
      </c>
      <c r="CF167" s="1137">
        <f>'2027'!R\Max</f>
        <v>0.75775878928998719</v>
      </c>
    </row>
    <row r="168" spans="1:84" s="6" customFormat="1" ht="11.25" x14ac:dyDescent="0.2">
      <c r="A168" s="11">
        <v>43254</v>
      </c>
      <c r="B168" s="380">
        <f>'2022'!Maxi_hp</f>
        <v>56.753164190064147</v>
      </c>
      <c r="C168" s="85">
        <f>'2022'!An_max</f>
        <v>2022</v>
      </c>
      <c r="D168" s="1089" t="str">
        <f t="shared" si="78"/>
        <v/>
      </c>
      <c r="E168" s="749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838">
        <f t="shared" si="81"/>
        <v>0.5714285714285714</v>
      </c>
      <c r="J168" s="829">
        <f t="shared" si="82"/>
        <v>59.5454037906336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838">
        <f t="shared" si="86"/>
        <v>0.21428571428571427</v>
      </c>
      <c r="AT168" s="855">
        <f t="shared" si="87"/>
        <v>59.517942966840096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838">
        <f t="shared" si="91"/>
        <v>0.2857142857142857</v>
      </c>
      <c r="AY168" s="855">
        <f t="shared" si="92"/>
        <v>59.550285714332539</v>
      </c>
      <c r="AZ168" s="829">
        <f t="shared" si="96"/>
        <v>59.534114340586314</v>
      </c>
      <c r="BA168" s="662">
        <f t="shared" si="93"/>
        <v>0.9531073865854166</v>
      </c>
      <c r="BB168" s="657">
        <v>43254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926">
        <f>1+[2]!Salcycl*Ksac</f>
        <v>1.0335404403455797</v>
      </c>
      <c r="BH168" s="1082">
        <f t="shared" si="94"/>
        <v>5.969125201560653E-2</v>
      </c>
      <c r="BI168" s="11">
        <v>44350</v>
      </c>
      <c r="BJ168" s="803">
        <v>8.4804659194422215E-3</v>
      </c>
      <c r="BK168" s="803">
        <v>1.9677693856256739E-2</v>
      </c>
      <c r="BL168" s="803">
        <v>3.6970938609091945E-2</v>
      </c>
      <c r="BM168" s="803">
        <v>5.9690366695594153E-2</v>
      </c>
      <c r="BN168" s="803">
        <v>8.3076891888547486E-2</v>
      </c>
      <c r="BO168" s="804">
        <v>0.10341608002810709</v>
      </c>
      <c r="BP168" s="803">
        <v>0.12149235369902615</v>
      </c>
      <c r="BQ168" s="803">
        <v>0.13958654109353771</v>
      </c>
      <c r="BR168" s="803">
        <v>0.15902851635565751</v>
      </c>
      <c r="BS168" s="803">
        <v>0.18107346832133767</v>
      </c>
      <c r="BT168" s="803">
        <v>0.20544030968573956</v>
      </c>
      <c r="BW168" s="1138">
        <f>'2018'!R\Max</f>
        <v>0</v>
      </c>
      <c r="BX168" s="1136">
        <f>'2019'!R\Max</f>
        <v>0.73810390429924244</v>
      </c>
      <c r="BY168" s="1136">
        <f>'2020'!R\Max</f>
        <v>0.88784386773591084</v>
      </c>
      <c r="BZ168" s="1136">
        <f>'2021'!R\Max</f>
        <v>0.82037950368196177</v>
      </c>
      <c r="CA168" s="1136">
        <f>'2022'!R\Max</f>
        <v>0.9531073865854166</v>
      </c>
      <c r="CB168" s="1136">
        <f>'2023'!R\Max</f>
        <v>0.95305419669854363</v>
      </c>
      <c r="CC168" s="1136">
        <f>'2024'!R\Max</f>
        <v>0.95300090128298942</v>
      </c>
      <c r="CD168" s="1136">
        <f>'2025'!R\Max</f>
        <v>0.9533603280438262</v>
      </c>
      <c r="CE168" s="1136">
        <f>'2026'!R\Max</f>
        <v>0.95329200602483499</v>
      </c>
      <c r="CF168" s="1137">
        <f>'2027'!R\Max</f>
        <v>0.95322692199635528</v>
      </c>
    </row>
    <row r="169" spans="1:84" s="6" customFormat="1" ht="11.25" x14ac:dyDescent="0.2">
      <c r="A169" s="11">
        <v>43255</v>
      </c>
      <c r="B169" s="380">
        <f>'2022'!Maxi_hp</f>
        <v>57.111684044434135</v>
      </c>
      <c r="C169" s="85">
        <f>'2022'!An_max</f>
        <v>2019</v>
      </c>
      <c r="D169" s="1089" t="str">
        <f t="shared" si="78"/>
        <v/>
      </c>
      <c r="E169" s="749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838">
        <f t="shared" si="81"/>
        <v>0.5</v>
      </c>
      <c r="J169" s="829">
        <f t="shared" si="82"/>
        <v>59.512468750216065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838">
        <f t="shared" si="86"/>
        <v>0.25</v>
      </c>
      <c r="AT169" s="855">
        <f t="shared" si="87"/>
        <v>59.477070313226434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838">
        <f t="shared" si="91"/>
        <v>0.25</v>
      </c>
      <c r="AY169" s="855">
        <f t="shared" si="92"/>
        <v>59.513238281011581</v>
      </c>
      <c r="AZ169" s="829">
        <f t="shared" si="96"/>
        <v>59.495154297119008</v>
      </c>
      <c r="BA169" s="662">
        <f t="shared" si="93"/>
        <v>0.95965913099894362</v>
      </c>
      <c r="BB169" s="657">
        <v>43255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926">
        <f>1+[2]!Salcycl*Ksac</f>
        <v>1.0342170721373929</v>
      </c>
      <c r="BH169" s="1082">
        <f t="shared" si="94"/>
        <v>6.0533544474960101E-2</v>
      </c>
      <c r="BI169" s="11">
        <v>44351</v>
      </c>
      <c r="BJ169" s="803">
        <v>8.7124404334677618E-3</v>
      </c>
      <c r="BK169" s="803">
        <v>1.9975153852318277E-2</v>
      </c>
      <c r="BL169" s="803">
        <v>3.7430575874927492E-2</v>
      </c>
      <c r="BM169" s="803">
        <v>6.0532640581105225E-2</v>
      </c>
      <c r="BN169" s="803">
        <v>8.4409810545792385E-2</v>
      </c>
      <c r="BO169" s="804">
        <v>0.10517671685522056</v>
      </c>
      <c r="BP169" s="803">
        <v>0.12348751139913301</v>
      </c>
      <c r="BQ169" s="803">
        <v>0.14175811915530692</v>
      </c>
      <c r="BR169" s="803">
        <v>0.16132115760216484</v>
      </c>
      <c r="BS169" s="803">
        <v>0.18342320452812264</v>
      </c>
      <c r="BT169" s="803">
        <v>0.20780406793110576</v>
      </c>
      <c r="BW169" s="1138">
        <f>'2018'!R\Max</f>
        <v>0</v>
      </c>
      <c r="BX169" s="1136">
        <f>'2019'!R\Max</f>
        <v>0.95965913099894362</v>
      </c>
      <c r="BY169" s="1136">
        <f>'2020'!R\Max</f>
        <v>0.45416039111485196</v>
      </c>
      <c r="BZ169" s="1136">
        <f>'2021'!R\Max</f>
        <v>0.15200376919357042</v>
      </c>
      <c r="CA169" s="1136">
        <f>'2022'!R\Max</f>
        <v>0.39363830407716882</v>
      </c>
      <c r="CB169" s="1136">
        <f>'2023'!R\Max</f>
        <v>0.39334877421504122</v>
      </c>
      <c r="CC169" s="1136">
        <f>'2024'!R\Max</f>
        <v>0.393059456107407</v>
      </c>
      <c r="CD169" s="1136">
        <f>'2025'!R\Max</f>
        <v>0.39502950349542593</v>
      </c>
      <c r="CE169" s="1136">
        <f>'2026'!R\Max</f>
        <v>0.39465236299026796</v>
      </c>
      <c r="CF169" s="1137">
        <f>'2027'!R\Max</f>
        <v>0.394294185165387</v>
      </c>
    </row>
    <row r="170" spans="1:84" s="6" customFormat="1" ht="11.25" x14ac:dyDescent="0.2">
      <c r="A170" s="11">
        <v>43256</v>
      </c>
      <c r="B170" s="380">
        <f>'2022'!Maxi_hp</f>
        <v>42.716075181662134</v>
      </c>
      <c r="C170" s="85">
        <f>'2022'!An_max</f>
        <v>2021</v>
      </c>
      <c r="D170" s="1089" t="str">
        <f t="shared" si="78"/>
        <v/>
      </c>
      <c r="E170" s="749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838">
        <f t="shared" si="81"/>
        <v>0.42857142857142855</v>
      </c>
      <c r="J170" s="829">
        <f t="shared" si="82"/>
        <v>59.476769679571895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838">
        <f t="shared" si="86"/>
        <v>0.2857142857142857</v>
      </c>
      <c r="AT170" s="855">
        <f t="shared" si="87"/>
        <v>59.43311953384962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838">
        <f t="shared" si="91"/>
        <v>0.21428571428571427</v>
      </c>
      <c r="AY170" s="855">
        <f t="shared" si="92"/>
        <v>59.474023597181905</v>
      </c>
      <c r="AZ170" s="829">
        <f t="shared" si="96"/>
        <v>59.453571565515759</v>
      </c>
      <c r="BA170" s="662">
        <f t="shared" si="93"/>
        <v>0.71819763265208991</v>
      </c>
      <c r="BB170" s="657">
        <v>43256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926">
        <f>1+[2]!Salcycl*Ksac</f>
        <v>1.0348847956773173</v>
      </c>
      <c r="BH170" s="1082">
        <f t="shared" si="94"/>
        <v>6.1316995276810782E-2</v>
      </c>
      <c r="BI170" s="11">
        <v>44352</v>
      </c>
      <c r="BJ170" s="803">
        <v>8.9323956467328713E-3</v>
      </c>
      <c r="BK170" s="803">
        <v>2.0248875766923555E-2</v>
      </c>
      <c r="BL170" s="803">
        <v>3.7856264092798665E-2</v>
      </c>
      <c r="BM170" s="803">
        <v>6.1316073756387514E-2</v>
      </c>
      <c r="BN170" s="803">
        <v>8.5658865394697845E-2</v>
      </c>
      <c r="BO170" s="804">
        <v>0.10682568070472938</v>
      </c>
      <c r="BP170" s="803">
        <v>0.1253560468506181</v>
      </c>
      <c r="BQ170" s="803">
        <v>0.14379250733160431</v>
      </c>
      <c r="BR170" s="803">
        <v>0.16346969850488013</v>
      </c>
      <c r="BS170" s="803">
        <v>0.18562703772288938</v>
      </c>
      <c r="BT170" s="803">
        <v>0.21002238154520797</v>
      </c>
      <c r="BW170" s="1138">
        <f>'2018'!R\Max</f>
        <v>0</v>
      </c>
      <c r="BX170" s="1136">
        <f>'2019'!R\Max</f>
        <v>0.20711067456790777</v>
      </c>
      <c r="BY170" s="1136">
        <f>'2020'!R\Max</f>
        <v>0.60964697270177226</v>
      </c>
      <c r="BZ170" s="1136">
        <f>'2021'!R\Max</f>
        <v>0.71819763265208991</v>
      </c>
      <c r="CA170" s="1136">
        <f>'2022'!R\Max</f>
        <v>0.5563855782459296</v>
      </c>
      <c r="CB170" s="1136">
        <f>'2023'!R\Max</f>
        <v>0.55608047301005292</v>
      </c>
      <c r="CC170" s="1136">
        <f>'2024'!R\Max</f>
        <v>0.55577586703087922</v>
      </c>
      <c r="CD170" s="1136">
        <f>'2025'!R\Max</f>
        <v>0.55785861408201454</v>
      </c>
      <c r="CE170" s="1136">
        <f>'2026'!R\Max</f>
        <v>0.55745899896741258</v>
      </c>
      <c r="CF170" s="1137">
        <f>'2027'!R\Max</f>
        <v>0.55707984105373698</v>
      </c>
    </row>
    <row r="171" spans="1:84" s="6" customFormat="1" ht="11.25" x14ac:dyDescent="0.2">
      <c r="A171" s="11">
        <v>43257</v>
      </c>
      <c r="B171" s="380">
        <f>'2022'!Maxi_hp</f>
        <v>56.000265625104696</v>
      </c>
      <c r="C171" s="85">
        <f>'2022'!An_max</f>
        <v>2019</v>
      </c>
      <c r="D171" s="1089" t="str">
        <f t="shared" si="78"/>
        <v/>
      </c>
      <c r="E171" s="749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838">
        <f t="shared" si="81"/>
        <v>0.35714285714285715</v>
      </c>
      <c r="J171" s="829">
        <f t="shared" si="82"/>
        <v>59.438198888434883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838">
        <f t="shared" si="86"/>
        <v>0.32142857142857145</v>
      </c>
      <c r="AT171" s="855">
        <f t="shared" si="87"/>
        <v>59.38622524198145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838">
        <f t="shared" si="91"/>
        <v>0.17857142857142858</v>
      </c>
      <c r="AY171" s="855">
        <f t="shared" si="92"/>
        <v>59.432735889844068</v>
      </c>
      <c r="AZ171" s="829">
        <f t="shared" si="96"/>
        <v>59.409480565912759</v>
      </c>
      <c r="BA171" s="662">
        <f t="shared" si="93"/>
        <v>0.94215953162068111</v>
      </c>
      <c r="BB171" s="657">
        <v>43257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926">
        <f>1+[2]!Salcycl*Ksac</f>
        <v>1.0355428133436664</v>
      </c>
      <c r="BH171" s="1082">
        <f t="shared" si="94"/>
        <v>6.2072702671534995E-2</v>
      </c>
      <c r="BI171" s="11">
        <v>44353</v>
      </c>
      <c r="BJ171" s="803">
        <v>9.14190833398143E-3</v>
      </c>
      <c r="BK171" s="803">
        <v>2.0509657070276983E-2</v>
      </c>
      <c r="BL171" s="803">
        <v>3.8272953093493607E-2</v>
      </c>
      <c r="BM171" s="803">
        <v>6.2071764476147401E-2</v>
      </c>
      <c r="BN171" s="803">
        <v>8.6855040309937293E-2</v>
      </c>
      <c r="BO171" s="804">
        <v>0.10838870365839322</v>
      </c>
      <c r="BP171" s="803">
        <v>0.12712691896424808</v>
      </c>
      <c r="BQ171" s="803">
        <v>0.14572082342578482</v>
      </c>
      <c r="BR171" s="803">
        <v>0.16550627076213531</v>
      </c>
      <c r="BS171" s="803">
        <v>0.18771669332620144</v>
      </c>
      <c r="BT171" s="803">
        <v>0.21212641082905323</v>
      </c>
      <c r="BW171" s="1138">
        <f>'2018'!R\Max</f>
        <v>0</v>
      </c>
      <c r="BX171" s="1136">
        <f>'2019'!R\Max</f>
        <v>0.94215953162068111</v>
      </c>
      <c r="BY171" s="1136">
        <f>'2020'!R\Max</f>
        <v>0.36286773425073193</v>
      </c>
      <c r="BZ171" s="1136">
        <f>'2021'!R\Max</f>
        <v>0.81707477758607561</v>
      </c>
      <c r="CA171" s="1136">
        <f>'2022'!R\Max</f>
        <v>0.83585840546613088</v>
      </c>
      <c r="CB171" s="1136">
        <f>'2023'!R\Max</f>
        <v>0.83568569301867357</v>
      </c>
      <c r="CC171" s="1136">
        <f>'2024'!R\Max</f>
        <v>0.83551335784588443</v>
      </c>
      <c r="CD171" s="1136">
        <f>'2025'!R\Max</f>
        <v>0.83669477846840046</v>
      </c>
      <c r="CE171" s="1136">
        <f>'2026'!R\Max</f>
        <v>0.83646779299314722</v>
      </c>
      <c r="CF171" s="1137">
        <f>'2027'!R\Max</f>
        <v>0.83625259214941339</v>
      </c>
    </row>
    <row r="172" spans="1:84" s="6" customFormat="1" ht="11.25" x14ac:dyDescent="0.2">
      <c r="A172" s="11">
        <v>43258</v>
      </c>
      <c r="B172" s="380">
        <f>'2022'!Maxi_hp</f>
        <v>55.156942491889488</v>
      </c>
      <c r="C172" s="85">
        <f>'2022'!An_max</f>
        <v>2021</v>
      </c>
      <c r="D172" s="1089" t="str">
        <f t="shared" si="78"/>
        <v/>
      </c>
      <c r="E172" s="749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838">
        <f t="shared" si="81"/>
        <v>0.2857142857142857</v>
      </c>
      <c r="J172" s="829">
        <f t="shared" si="82"/>
        <v>59.396648688454704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838">
        <f t="shared" si="86"/>
        <v>0.35714285714285715</v>
      </c>
      <c r="AT172" s="855">
        <f t="shared" si="87"/>
        <v>59.336522048166287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838">
        <f t="shared" si="91"/>
        <v>0.14285714285714285</v>
      </c>
      <c r="AY172" s="855">
        <f t="shared" si="92"/>
        <v>59.389469387541929</v>
      </c>
      <c r="AZ172" s="829">
        <f t="shared" si="96"/>
        <v>59.362995717854105</v>
      </c>
      <c r="BA172" s="662">
        <f t="shared" si="93"/>
        <v>0.92862044761476059</v>
      </c>
      <c r="BB172" s="657">
        <v>43258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926">
        <f>1+[2]!Salcycl*Ksac</f>
        <v>1.0361903524916967</v>
      </c>
      <c r="BH172" s="1082">
        <f t="shared" si="94"/>
        <v>6.2800792615285025E-2</v>
      </c>
      <c r="BI172" s="11">
        <v>44354</v>
      </c>
      <c r="BJ172" s="803">
        <v>9.3410078075259178E-3</v>
      </c>
      <c r="BK172" s="803">
        <v>2.0757546366708988E-2</v>
      </c>
      <c r="BL172" s="803">
        <v>3.8680705852643375E-2</v>
      </c>
      <c r="BM172" s="803">
        <v>6.279983869369464E-2</v>
      </c>
      <c r="BN172" s="803">
        <v>8.7998536332474578E-2</v>
      </c>
      <c r="BO172" s="804">
        <v>0.10986607338869804</v>
      </c>
      <c r="BP172" s="803">
        <v>0.1288004600138539</v>
      </c>
      <c r="BQ172" s="803">
        <v>0.14754343849953858</v>
      </c>
      <c r="BR172" s="803">
        <v>0.1674312816971818</v>
      </c>
      <c r="BS172" s="803">
        <v>0.18969261190419059</v>
      </c>
      <c r="BT172" s="803">
        <v>0.21411662905654238</v>
      </c>
      <c r="BW172" s="1138">
        <f>'2018'!R\Max</f>
        <v>0</v>
      </c>
      <c r="BX172" s="1136">
        <f>'2019'!R\Max</f>
        <v>0.30765477798625418</v>
      </c>
      <c r="BY172" s="1136">
        <f>'2020'!R\Max</f>
        <v>0.43861781566987063</v>
      </c>
      <c r="BZ172" s="1136">
        <f>'2021'!R\Max</f>
        <v>0.92862044761476059</v>
      </c>
      <c r="CA172" s="1136">
        <f>'2022'!R\Max</f>
        <v>0.4886443901445055</v>
      </c>
      <c r="CB172" s="1136">
        <f>'2023'!R\Max</f>
        <v>0.48832457986240008</v>
      </c>
      <c r="CC172" s="1136">
        <f>'2024'!R\Max</f>
        <v>0.48800613033929302</v>
      </c>
      <c r="CD172" s="1136">
        <f>'2025'!R\Max</f>
        <v>0.49020377574841917</v>
      </c>
      <c r="CE172" s="1136">
        <f>'2026'!R\Max</f>
        <v>0.48977913371453402</v>
      </c>
      <c r="CF172" s="1137">
        <f>'2027'!R\Max</f>
        <v>0.48937774521121918</v>
      </c>
    </row>
    <row r="173" spans="1:84" s="6" customFormat="1" ht="11.25" x14ac:dyDescent="0.2">
      <c r="A173" s="11">
        <v>43259</v>
      </c>
      <c r="B173" s="380">
        <f>'2022'!Maxi_hp</f>
        <v>61.487890344452325</v>
      </c>
      <c r="C173" s="85">
        <f>'2022'!An_max</f>
        <v>2019</v>
      </c>
      <c r="D173" s="1089">
        <f t="shared" si="78"/>
        <v>1.0359866313836752</v>
      </c>
      <c r="E173" s="749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838">
        <f t="shared" si="81"/>
        <v>0.21428571428571427</v>
      </c>
      <c r="J173" s="829">
        <f t="shared" si="82"/>
        <v>59.352011388726531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838">
        <f t="shared" si="86"/>
        <v>0.39285714285714285</v>
      </c>
      <c r="AT173" s="855">
        <f t="shared" si="87"/>
        <v>59.284144565902125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838">
        <f t="shared" si="91"/>
        <v>0.10714285714285714</v>
      </c>
      <c r="AY173" s="855">
        <f t="shared" si="92"/>
        <v>59.344318319750684</v>
      </c>
      <c r="AZ173" s="829">
        <f t="shared" si="96"/>
        <v>59.314231442826404</v>
      </c>
      <c r="BA173" s="662">
        <f t="shared" si="93"/>
        <v>1.0359866313836752</v>
      </c>
      <c r="BB173" s="657">
        <v>43259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926">
        <f>1+[2]!Salcycl*Ksac</f>
        <v>1.0368266685035215</v>
      </c>
      <c r="BH173" s="1082">
        <f t="shared" si="94"/>
        <v>6.3501395697920376E-2</v>
      </c>
      <c r="BI173" s="11">
        <v>44355</v>
      </c>
      <c r="BJ173" s="803">
        <v>9.5297246714685056E-3</v>
      </c>
      <c r="BK173" s="803">
        <v>2.0992593898403761E-2</v>
      </c>
      <c r="BL173" s="803">
        <v>3.9079587836065584E-2</v>
      </c>
      <c r="BM173" s="803">
        <v>6.3500426995941231E-2</v>
      </c>
      <c r="BN173" s="803">
        <v>8.9089561911062168E-2</v>
      </c>
      <c r="BO173" s="804">
        <v>0.11125808744025149</v>
      </c>
      <c r="BP173" s="803">
        <v>0.13037701347635997</v>
      </c>
      <c r="BQ173" s="803">
        <v>0.14926073583476809</v>
      </c>
      <c r="BR173" s="803">
        <v>0.1692451515777833</v>
      </c>
      <c r="BS173" s="803">
        <v>0.1915552473561847</v>
      </c>
      <c r="BT173" s="803">
        <v>0.21599352299569444</v>
      </c>
      <c r="BW173" s="1138">
        <f>'2018'!R\Max</f>
        <v>0</v>
      </c>
      <c r="BX173" s="1136">
        <f>'2019'!R\Max</f>
        <v>1.0359866313836752</v>
      </c>
      <c r="BY173" s="1136">
        <f>'2020'!R\Max</f>
        <v>0.61750053128677673</v>
      </c>
      <c r="BZ173" s="1136">
        <f>'2021'!R\Max</f>
        <v>1.0105188643275052</v>
      </c>
      <c r="CA173" s="1136">
        <f>'2022'!R\Max</f>
        <v>0.36332801326872344</v>
      </c>
      <c r="CB173" s="1136">
        <f>'2023'!R\Max</f>
        <v>0.36302715163271249</v>
      </c>
      <c r="CC173" s="1136">
        <f>'2024'!R\Max</f>
        <v>0.36272801250443198</v>
      </c>
      <c r="CD173" s="1136">
        <f>'2025'!R\Max</f>
        <v>0.36480169695691356</v>
      </c>
      <c r="CE173" s="1136">
        <f>'2026'!R\Max</f>
        <v>0.36439933904906935</v>
      </c>
      <c r="CF173" s="1137">
        <f>'2027'!R\Max</f>
        <v>0.36401997158178551</v>
      </c>
    </row>
    <row r="174" spans="1:84" s="6" customFormat="1" ht="11.25" x14ac:dyDescent="0.2">
      <c r="A174" s="11">
        <v>43260</v>
      </c>
      <c r="B174" s="380">
        <f>'2022'!Maxi_hp</f>
        <v>58.767455716335284</v>
      </c>
      <c r="C174" s="85">
        <f>'2022'!An_max</f>
        <v>2021</v>
      </c>
      <c r="D174" s="1089">
        <f t="shared" si="78"/>
        <v>0.9909496499146826</v>
      </c>
      <c r="E174" s="749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838">
        <f t="shared" si="81"/>
        <v>0.14285714285714285</v>
      </c>
      <c r="J174" s="829">
        <f t="shared" si="82"/>
        <v>59.304179300527494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838">
        <f t="shared" si="86"/>
        <v>0.42857142857142855</v>
      </c>
      <c r="AT174" s="855">
        <f t="shared" si="87"/>
        <v>59.229227405493816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838">
        <f t="shared" si="91"/>
        <v>7.1428571428571425E-2</v>
      </c>
      <c r="AY174" s="855">
        <f t="shared" si="92"/>
        <v>59.297376913071744</v>
      </c>
      <c r="AZ174" s="829">
        <f t="shared" si="96"/>
        <v>59.26330215928278</v>
      </c>
      <c r="BA174" s="662">
        <f t="shared" si="93"/>
        <v>0.9909496499146826</v>
      </c>
      <c r="BB174" s="657">
        <v>43260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926">
        <f>1+[2]!Salcycl*Ksac</f>
        <v>1.0374510477284102</v>
      </c>
      <c r="BH174" s="1082">
        <f t="shared" si="94"/>
        <v>6.4174646784097525E-2</v>
      </c>
      <c r="BI174" s="11">
        <v>44356</v>
      </c>
      <c r="BJ174" s="803">
        <v>9.7080906845172336E-3</v>
      </c>
      <c r="BK174" s="803">
        <v>2.1214851375947866E-2</v>
      </c>
      <c r="BL174" s="803">
        <v>3.9469666887298055E-2</v>
      </c>
      <c r="BM174" s="803">
        <v>6.4173664244503589E-2</v>
      </c>
      <c r="BN174" s="803">
        <v>9.0128332212189924E-2</v>
      </c>
      <c r="BO174" s="804">
        <v>0.11256505209995771</v>
      </c>
      <c r="BP174" s="803">
        <v>0.13185693274798752</v>
      </c>
      <c r="BQ174" s="803">
        <v>0.15087310953978317</v>
      </c>
      <c r="BR174" s="803">
        <v>0.1709483121456222</v>
      </c>
      <c r="BS174" s="803">
        <v>0.19330506541641515</v>
      </c>
      <c r="BT174" s="803">
        <v>0.21775759141056417</v>
      </c>
      <c r="BW174" s="1138">
        <f>'2018'!R\Max</f>
        <v>0</v>
      </c>
      <c r="BX174" s="1136">
        <f>'2019'!R\Max</f>
        <v>0.7825663350140919</v>
      </c>
      <c r="BY174" s="1136">
        <f>'2020'!R\Max</f>
        <v>0.7441871763697494</v>
      </c>
      <c r="BZ174" s="1136">
        <f>'2021'!R\Max</f>
        <v>0.9909496499146826</v>
      </c>
      <c r="CA174" s="1136">
        <f>'2022'!R\Max</f>
        <v>0.81064988653088177</v>
      </c>
      <c r="CB174" s="1136">
        <f>'2023'!R\Max</f>
        <v>0.81044701822168563</v>
      </c>
      <c r="CC174" s="1136">
        <f>'2024'!R\Max</f>
        <v>0.81024529641522924</v>
      </c>
      <c r="CD174" s="1136">
        <f>'2025'!R\Max</f>
        <v>0.8116430131025989</v>
      </c>
      <c r="CE174" s="1136">
        <f>'2026'!R\Max</f>
        <v>0.81137182397690266</v>
      </c>
      <c r="CF174" s="1137">
        <f>'2027'!R\Max</f>
        <v>0.81111633194127564</v>
      </c>
    </row>
    <row r="175" spans="1:84" s="6" customFormat="1" ht="11.25" x14ac:dyDescent="0.2">
      <c r="A175" s="11">
        <v>43261</v>
      </c>
      <c r="B175" s="380">
        <f>'2022'!Maxi_hp</f>
        <v>58.958171691814933</v>
      </c>
      <c r="C175" s="85">
        <f>'2022'!An_max</f>
        <v>2022</v>
      </c>
      <c r="D175" s="1089">
        <f t="shared" si="78"/>
        <v>0.99502349552982383</v>
      </c>
      <c r="E175" s="749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838">
        <f t="shared" si="81"/>
        <v>7.1428571428571425E-2</v>
      </c>
      <c r="J175" s="829">
        <f t="shared" si="82"/>
        <v>59.253044733804259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838">
        <f t="shared" si="86"/>
        <v>0.4642857142857143</v>
      </c>
      <c r="AT175" s="855">
        <f t="shared" si="87"/>
        <v>59.171905179707593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838">
        <f t="shared" si="91"/>
        <v>3.5714285714285712E-2</v>
      </c>
      <c r="AY175" s="855">
        <f t="shared" si="92"/>
        <v>59.248739397485885</v>
      </c>
      <c r="AZ175" s="829">
        <f t="shared" si="96"/>
        <v>59.210322288596743</v>
      </c>
      <c r="BA175" s="662">
        <f t="shared" si="93"/>
        <v>0.99502349552982383</v>
      </c>
      <c r="BB175" s="657">
        <v>43261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926">
        <f>1+[2]!Salcycl*Ksac</f>
        <v>1.038062810292574</v>
      </c>
      <c r="BH175" s="1082">
        <f t="shared" si="94"/>
        <v>6.482068465513724E-2</v>
      </c>
      <c r="BI175" s="11">
        <v>44357</v>
      </c>
      <c r="BJ175" s="803">
        <v>9.8761386229182738E-3</v>
      </c>
      <c r="BK175" s="803">
        <v>2.1424371809135853E-2</v>
      </c>
      <c r="BL175" s="803">
        <v>3.9851013115611386E-2</v>
      </c>
      <c r="BM175" s="803">
        <v>6.4819689217582549E-2</v>
      </c>
      <c r="BN175" s="803">
        <v>9.1115068431124269E-2</v>
      </c>
      <c r="BO175" s="804">
        <v>0.11378728126855349</v>
      </c>
      <c r="BP175" s="803">
        <v>0.13324057986205298</v>
      </c>
      <c r="BQ175" s="803">
        <v>0.15238096315732344</v>
      </c>
      <c r="BR175" s="803">
        <v>0.17254120514777863</v>
      </c>
      <c r="BS175" s="803">
        <v>0.19494254215807158</v>
      </c>
      <c r="BT175" s="803">
        <v>0.21940934356580724</v>
      </c>
      <c r="BW175" s="1138">
        <f>'2018'!R\Max</f>
        <v>0</v>
      </c>
      <c r="BX175" s="1136">
        <f>'2019'!R\Max</f>
        <v>0.38061142307631779</v>
      </c>
      <c r="BY175" s="1136">
        <f>'2020'!R\Max</f>
        <v>0.50642301886244412</v>
      </c>
      <c r="BZ175" s="1136">
        <f>'2021'!R\Max</f>
        <v>0.99162066379178537</v>
      </c>
      <c r="CA175" s="1136">
        <f>'2022'!R\Max</f>
        <v>0.99502349552982383</v>
      </c>
      <c r="CB175" s="1136">
        <f>'2023'!R\Max</f>
        <v>0.99501685259946748</v>
      </c>
      <c r="CC175" s="1136">
        <f>'2024'!R\Max</f>
        <v>0.99501025077018634</v>
      </c>
      <c r="CD175" s="1136">
        <f>'2025'!R\Max</f>
        <v>0.99505603989647817</v>
      </c>
      <c r="CE175" s="1136">
        <f>'2026'!R\Max</f>
        <v>0.99504713968132463</v>
      </c>
      <c r="CF175" s="1137">
        <f>'2027'!R\Max</f>
        <v>0.99503877041255195</v>
      </c>
    </row>
    <row r="176" spans="1:84" s="6" customFormat="1" ht="11.25" x14ac:dyDescent="0.2">
      <c r="A176" s="11">
        <v>43262</v>
      </c>
      <c r="B176" s="380">
        <f>'2022'!Maxi_hp</f>
        <v>57.3561169599772</v>
      </c>
      <c r="C176" s="85">
        <f>'2022'!An_max</f>
        <v>2022</v>
      </c>
      <c r="D176" s="1089" t="str">
        <f t="shared" si="78"/>
        <v/>
      </c>
      <c r="E176" s="837">
        <f>Y$13/10</f>
        <v>59.198500000000003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838">
        <f t="shared" si="81"/>
        <v>0</v>
      </c>
      <c r="J176" s="829">
        <f t="shared" si="82"/>
        <v>59.198500000685456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838">
        <f t="shared" si="86"/>
        <v>0.5</v>
      </c>
      <c r="AT176" s="855">
        <f t="shared" si="87"/>
        <v>59.112312500178817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838">
        <f t="shared" si="91"/>
        <v>0</v>
      </c>
      <c r="AY176" s="855">
        <f t="shared" si="92"/>
        <v>59.198499999940395</v>
      </c>
      <c r="AZ176" s="829">
        <f t="shared" si="96"/>
        <v>59.155406250059606</v>
      </c>
      <c r="BA176" s="662">
        <f t="shared" si="93"/>
        <v>0.96887787628593758</v>
      </c>
      <c r="BB176" s="657">
        <v>43262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926">
        <f>1+[2]!Salcycl*Ksac</f>
        <v>1.0386613127582074</v>
      </c>
      <c r="BH176" s="1082">
        <f t="shared" si="94"/>
        <v>6.5439651650177996E-2</v>
      </c>
      <c r="BI176" s="11">
        <v>44358</v>
      </c>
      <c r="BJ176" s="803">
        <v>1.0033902143281538E-2</v>
      </c>
      <c r="BK176" s="803">
        <v>2.1621209337539814E-2</v>
      </c>
      <c r="BL176" s="803">
        <v>4.0223698783581736E-2</v>
      </c>
      <c r="BM176" s="803">
        <v>6.5438644251129149E-2</v>
      </c>
      <c r="BN176" s="803">
        <v>9.2049997101945724E-2</v>
      </c>
      <c r="BO176" s="804">
        <v>0.11492509533089361</v>
      </c>
      <c r="BP176" s="803">
        <v>0.13452832420530095</v>
      </c>
      <c r="BQ176" s="803">
        <v>0.15378470827090249</v>
      </c>
      <c r="BR176" s="803">
        <v>0.17402428086630595</v>
      </c>
      <c r="BS176" s="803">
        <v>0.19646816249520027</v>
      </c>
      <c r="BT176" s="803">
        <v>0.22094929772881386</v>
      </c>
      <c r="BW176" s="1138">
        <f>'2018'!R\Max</f>
        <v>0</v>
      </c>
      <c r="BX176" s="1136">
        <f>'2019'!R\Max</f>
        <v>0.56908557907137425</v>
      </c>
      <c r="BY176" s="1136">
        <f>'2020'!R\Max</f>
        <v>0.73672262499760099</v>
      </c>
      <c r="BZ176" s="1136">
        <f>'2021'!R\Max</f>
        <v>0.82159598428068137</v>
      </c>
      <c r="CA176" s="1136">
        <f>'2022'!R\Max</f>
        <v>0.96887787628593758</v>
      </c>
      <c r="CB176" s="1136">
        <f>'2023'!R\Max</f>
        <v>0.96883685760014904</v>
      </c>
      <c r="CC176" s="1136">
        <f>'2024'!R\Max</f>
        <v>0.96879613504954887</v>
      </c>
      <c r="CD176" s="1136">
        <f>'2025'!R\Max</f>
        <v>0.96907918862771847</v>
      </c>
      <c r="CE176" s="1136">
        <f>'2026'!R\Max</f>
        <v>0.96902398550554436</v>
      </c>
      <c r="CF176" s="1137">
        <f>'2027'!R\Max</f>
        <v>0.96897222317956822</v>
      </c>
    </row>
    <row r="177" spans="1:84" s="6" customFormat="1" ht="11.25" x14ac:dyDescent="0.2">
      <c r="A177" s="11">
        <v>43263</v>
      </c>
      <c r="B177" s="380">
        <f>'2022'!Maxi_hp</f>
        <v>53.061432092137871</v>
      </c>
      <c r="C177" s="85">
        <f>'2022'!An_max</f>
        <v>2019</v>
      </c>
      <c r="D177" s="1089" t="str">
        <f t="shared" si="78"/>
        <v/>
      </c>
      <c r="E177" s="749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838">
        <f t="shared" si="81"/>
        <v>7.1428571428571425E-2</v>
      </c>
      <c r="J177" s="829">
        <f t="shared" si="82"/>
        <v>59.139773323959012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838">
        <f t="shared" si="86"/>
        <v>0.5357142857142857</v>
      </c>
      <c r="AT177" s="855">
        <f t="shared" si="87"/>
        <v>59.050583979001793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838">
        <f t="shared" si="91"/>
        <v>3.5714285714285712E-2</v>
      </c>
      <c r="AY177" s="855">
        <f t="shared" si="92"/>
        <v>59.145510033085678</v>
      </c>
      <c r="AZ177" s="829">
        <f t="shared" si="96"/>
        <v>59.098047006043736</v>
      </c>
      <c r="BA177" s="662">
        <f t="shared" si="93"/>
        <v>0.89722075533626278</v>
      </c>
      <c r="BB177" s="657">
        <v>43263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926">
        <f>1+[2]!Salcycl*Ksac</f>
        <v>1.0392459506124212</v>
      </c>
      <c r="BH177" s="1082">
        <f t="shared" si="94"/>
        <v>6.6031693307667602E-2</v>
      </c>
      <c r="BI177" s="11">
        <v>44359</v>
      </c>
      <c r="BJ177" s="803">
        <v>1.018141564545671E-2</v>
      </c>
      <c r="BK177" s="803">
        <v>2.180541906119085E-2</v>
      </c>
      <c r="BL177" s="803">
        <v>4.0587798194872161E-2</v>
      </c>
      <c r="BM177" s="803">
        <v>6.6030674880348902E-2</v>
      </c>
      <c r="BN177" s="803">
        <v>9.2933349408061347E-2</v>
      </c>
      <c r="BO177" s="804">
        <v>0.1159788200268292</v>
      </c>
      <c r="BP177" s="803">
        <v>0.13572054123493196</v>
      </c>
      <c r="BQ177" s="803">
        <v>0.15508476311194722</v>
      </c>
      <c r="BR177" s="803">
        <v>0.17539799664870856</v>
      </c>
      <c r="BS177" s="803">
        <v>0.19788241868562584</v>
      </c>
      <c r="BT177" s="803">
        <v>0.22237797967299566</v>
      </c>
      <c r="BW177" s="1138">
        <f>'2018'!R\Max</f>
        <v>0</v>
      </c>
      <c r="BX177" s="1136">
        <f>'2019'!R\Max</f>
        <v>0.89722075533626278</v>
      </c>
      <c r="BY177" s="1136">
        <f>'2020'!R\Max</f>
        <v>0.44154586995288919</v>
      </c>
      <c r="BZ177" s="1136">
        <f>'2021'!R\Max</f>
        <v>0.82349548352500135</v>
      </c>
      <c r="CA177" s="1136">
        <f>'2022'!R\Max</f>
        <v>0.7422843198288287</v>
      </c>
      <c r="CB177" s="1136">
        <f>'2023'!R\Max</f>
        <v>0.7420207087804731</v>
      </c>
      <c r="CC177" s="1136">
        <f>'2024'!R\Max</f>
        <v>0.74175940161130738</v>
      </c>
      <c r="CD177" s="1136">
        <f>'2025'!R\Max</f>
        <v>0.7435817398312089</v>
      </c>
      <c r="CE177" s="1136">
        <f>'2026'!R\Max</f>
        <v>0.74322459000294716</v>
      </c>
      <c r="CF177" s="1137">
        <f>'2027'!R\Max</f>
        <v>0.74289097907481949</v>
      </c>
    </row>
    <row r="178" spans="1:84" s="6" customFormat="1" ht="11.25" x14ac:dyDescent="0.2">
      <c r="A178" s="11">
        <v>43264</v>
      </c>
      <c r="B178" s="380">
        <f>'2022'!Maxi_hp</f>
        <v>61.924411785677407</v>
      </c>
      <c r="C178" s="85">
        <f>'2022'!An_max</f>
        <v>2019</v>
      </c>
      <c r="D178" s="1089">
        <f t="shared" si="78"/>
        <v>1.0482080388886308</v>
      </c>
      <c r="E178" s="749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838">
        <f t="shared" si="81"/>
        <v>0.14285714285714285</v>
      </c>
      <c r="J178" s="829">
        <f t="shared" si="82"/>
        <v>59.076451895306164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838">
        <f t="shared" si="86"/>
        <v>0.5714285714285714</v>
      </c>
      <c r="AT178" s="855">
        <f t="shared" si="87"/>
        <v>58.986854227472634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838">
        <f t="shared" si="91"/>
        <v>7.1428571428571425E-2</v>
      </c>
      <c r="AY178" s="855">
        <f t="shared" si="92"/>
        <v>59.088674653986729</v>
      </c>
      <c r="AZ178" s="829">
        <f t="shared" si="96"/>
        <v>59.037764440729681</v>
      </c>
      <c r="BA178" s="662">
        <f t="shared" si="93"/>
        <v>1.0482080388886308</v>
      </c>
      <c r="BB178" s="657">
        <v>43264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926">
        <f>1+[2]!Salcycl*Ksac</f>
        <v>1.0398161605677507</v>
      </c>
      <c r="BH178" s="1082">
        <f t="shared" si="94"/>
        <v>6.6559025479552905E-2</v>
      </c>
      <c r="BI178" s="11">
        <v>44360</v>
      </c>
      <c r="BJ178" s="803">
        <v>1.0311631480779638E-2</v>
      </c>
      <c r="BK178" s="803">
        <v>2.1967059135053781E-2</v>
      </c>
      <c r="BL178" s="803">
        <v>4.0916280261151496E-2</v>
      </c>
      <c r="BM178" s="803">
        <v>6.6557997435914784E-2</v>
      </c>
      <c r="BN178" s="803">
        <v>9.3714695699087677E-2</v>
      </c>
      <c r="BO178" s="804">
        <v>0.11689843376624813</v>
      </c>
      <c r="BP178" s="803">
        <v>0.13676024452990873</v>
      </c>
      <c r="BQ178" s="803">
        <v>0.15621861075679944</v>
      </c>
      <c r="BR178" s="803">
        <v>0.17659581255715576</v>
      </c>
      <c r="BS178" s="803">
        <v>0.1991161322342887</v>
      </c>
      <c r="BT178" s="803">
        <v>0.22362442581355091</v>
      </c>
      <c r="BW178" s="1138">
        <f>'2018'!R\Max</f>
        <v>0</v>
      </c>
      <c r="BX178" s="1136">
        <f>'2019'!R\Max</f>
        <v>1.0482080388886308</v>
      </c>
      <c r="BY178" s="1136">
        <f>'2020'!R\Max</f>
        <v>0.88291018379756403</v>
      </c>
      <c r="BZ178" s="1136">
        <f>'2021'!R\Max</f>
        <v>0.98117156033991793</v>
      </c>
      <c r="CA178" s="1136">
        <f>'2022'!R\Max</f>
        <v>0.91426006942503535</v>
      </c>
      <c r="CB178" s="1136">
        <f>'2023'!R\Max</f>
        <v>0.91415070018780209</v>
      </c>
      <c r="CC178" s="1136">
        <f>'2024'!R\Max</f>
        <v>0.91404232413368602</v>
      </c>
      <c r="CD178" s="1136">
        <f>'2025'!R\Max</f>
        <v>0.91479789146424106</v>
      </c>
      <c r="CE178" s="1136">
        <f>'2026'!R\Max</f>
        <v>0.91464956790885965</v>
      </c>
      <c r="CF178" s="1137">
        <f>'2027'!R\Max</f>
        <v>0.91451135707070119</v>
      </c>
    </row>
    <row r="179" spans="1:84" s="6" customFormat="1" ht="11.25" x14ac:dyDescent="0.2">
      <c r="A179" s="11">
        <v>43265</v>
      </c>
      <c r="B179" s="380">
        <f>'2022'!Maxi_hp</f>
        <v>57.572810186062441</v>
      </c>
      <c r="C179" s="85">
        <f>'2022'!An_max</f>
        <v>2021</v>
      </c>
      <c r="D179" s="1089">
        <f t="shared" si="78"/>
        <v>0.97566206676719858</v>
      </c>
      <c r="E179" s="749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838">
        <f t="shared" si="81"/>
        <v>0.21428571428571427</v>
      </c>
      <c r="J179" s="829">
        <f t="shared" si="82"/>
        <v>59.008966472199447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838">
        <f t="shared" si="86"/>
        <v>0.6071428571428571</v>
      </c>
      <c r="AT179" s="855">
        <f t="shared" si="87"/>
        <v>58.921257858284356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838">
        <f t="shared" si="91"/>
        <v>0.10714285714285714</v>
      </c>
      <c r="AY179" s="855">
        <f t="shared" si="92"/>
        <v>59.028168857024454</v>
      </c>
      <c r="AZ179" s="829">
        <f t="shared" si="96"/>
        <v>58.974713357654409</v>
      </c>
      <c r="BA179" s="662">
        <f t="shared" si="93"/>
        <v>0.97566206676719858</v>
      </c>
      <c r="BB179" s="657">
        <v>43265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926">
        <f>1+[2]!Salcycl*Ksac</f>
        <v>1.0403714226571426</v>
      </c>
      <c r="BH179" s="1082">
        <f t="shared" si="94"/>
        <v>6.7041984315981504E-2</v>
      </c>
      <c r="BI179" s="11">
        <v>44361</v>
      </c>
      <c r="BJ179" s="803">
        <v>1.0428443204567978E-2</v>
      </c>
      <c r="BK179" s="803">
        <v>2.2112773854863581E-2</v>
      </c>
      <c r="BL179" s="803">
        <v>4.1221809985576528E-2</v>
      </c>
      <c r="BM179" s="803">
        <v>6.7040947726561842E-2</v>
      </c>
      <c r="BN179" s="803">
        <v>9.442339050301464E-2</v>
      </c>
      <c r="BO179" s="804">
        <v>0.11771953214331139</v>
      </c>
      <c r="BP179" s="803">
        <v>0.13768870582606088</v>
      </c>
      <c r="BQ179" s="803">
        <v>0.15723095940794066</v>
      </c>
      <c r="BR179" s="803">
        <v>0.17766482961819663</v>
      </c>
      <c r="BS179" s="803">
        <v>0.20021639509279607</v>
      </c>
      <c r="BT179" s="803">
        <v>0.22473532119368</v>
      </c>
      <c r="BW179" s="1138">
        <f>'2018'!R\Max</f>
        <v>0</v>
      </c>
      <c r="BX179" s="1136">
        <f>'2019'!R\Max</f>
        <v>0.39639002797360051</v>
      </c>
      <c r="BY179" s="1136">
        <f>'2020'!R\Max</f>
        <v>0.73448853102812106</v>
      </c>
      <c r="BZ179" s="1136">
        <f>'2021'!R\Max</f>
        <v>0.97566206676719858</v>
      </c>
      <c r="CA179" s="1136">
        <f>'2022'!R\Max</f>
        <v>0.87136156765344097</v>
      </c>
      <c r="CB179" s="1136">
        <f>'2023'!R\Max</f>
        <v>0.8712033911016458</v>
      </c>
      <c r="CC179" s="1136">
        <f>'2024'!R\Max</f>
        <v>0.87104679114098216</v>
      </c>
      <c r="CD179" s="1136">
        <f>'2025'!R\Max</f>
        <v>0.87213977553847777</v>
      </c>
      <c r="CE179" s="1136">
        <f>'2026'!R\Max</f>
        <v>0.87192453687513294</v>
      </c>
      <c r="CF179" s="1137">
        <f>'2027'!R\Max</f>
        <v>0.87172463273273293</v>
      </c>
    </row>
    <row r="180" spans="1:84" s="6" customFormat="1" ht="11.25" x14ac:dyDescent="0.2">
      <c r="A180" s="11">
        <v>43266</v>
      </c>
      <c r="B180" s="380">
        <f>'2022'!Maxi_hp</f>
        <v>55.24171181359447</v>
      </c>
      <c r="C180" s="85">
        <f>'2022'!An_max</f>
        <v>2022</v>
      </c>
      <c r="D180" s="1089" t="str">
        <f t="shared" si="78"/>
        <v/>
      </c>
      <c r="E180" s="749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838">
        <f t="shared" si="81"/>
        <v>0.2857142857142857</v>
      </c>
      <c r="J180" s="829">
        <f t="shared" si="82"/>
        <v>58.937747813974099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838">
        <f t="shared" si="86"/>
        <v>0.6428571428571429</v>
      </c>
      <c r="AT180" s="855">
        <f t="shared" si="87"/>
        <v>58.85392948302573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838">
        <f t="shared" si="91"/>
        <v>0.14285714285714285</v>
      </c>
      <c r="AY180" s="855">
        <f t="shared" si="92"/>
        <v>58.964167638695145</v>
      </c>
      <c r="AZ180" s="829">
        <f t="shared" si="96"/>
        <v>58.909048560860441</v>
      </c>
      <c r="BA180" s="662">
        <f t="shared" si="93"/>
        <v>0.93728915444741001</v>
      </c>
      <c r="BB180" s="657">
        <v>43266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926">
        <f>1+[2]!Salcycl*Ksac</f>
        <v>1.0409112621077106</v>
      </c>
      <c r="BH180" s="1082">
        <f t="shared" si="94"/>
        <v>6.7480754297912462E-2</v>
      </c>
      <c r="BI180" s="11">
        <v>44362</v>
      </c>
      <c r="BJ180" s="803">
        <v>1.0531892341901401E-2</v>
      </c>
      <c r="BK180" s="803">
        <v>2.2242626175880062E-2</v>
      </c>
      <c r="BL180" s="803">
        <v>4.1504492980343081E-2</v>
      </c>
      <c r="BM180" s="803">
        <v>6.7479710229665923E-2</v>
      </c>
      <c r="BN180" s="803">
        <v>9.5059712951191408E-2</v>
      </c>
      <c r="BO180" s="804">
        <v>0.11844247655338658</v>
      </c>
      <c r="BP180" s="803">
        <v>0.13850633983329105</v>
      </c>
      <c r="BQ180" s="803">
        <v>0.15812227147202376</v>
      </c>
      <c r="BR180" s="803">
        <v>0.17860555317135854</v>
      </c>
      <c r="BS180" s="803">
        <v>0.20118375307588929</v>
      </c>
      <c r="BT180" s="803">
        <v>0.22571124971103115</v>
      </c>
      <c r="BW180" s="1138">
        <f>'2018'!R\Max</f>
        <v>0</v>
      </c>
      <c r="BX180" s="1136">
        <f>'2019'!R\Max</f>
        <v>0.40941704618429958</v>
      </c>
      <c r="BY180" s="1136">
        <f>'2020'!R\Max</f>
        <v>0.7911788119411115</v>
      </c>
      <c r="BZ180" s="1136">
        <f>'2021'!R\Max</f>
        <v>0.88417780117181122</v>
      </c>
      <c r="CA180" s="1136">
        <f>'2022'!R\Max</f>
        <v>0.93728915444741001</v>
      </c>
      <c r="CB180" s="1136">
        <f>'2023'!R\Max</f>
        <v>0.93720531303643173</v>
      </c>
      <c r="CC180" s="1136">
        <f>'2024'!R\Max</f>
        <v>0.93712235248771125</v>
      </c>
      <c r="CD180" s="1136">
        <f>'2025'!R\Max</f>
        <v>0.93770130076505631</v>
      </c>
      <c r="CE180" s="1136">
        <f>'2026'!R\Max</f>
        <v>0.93758704349624589</v>
      </c>
      <c r="CF180" s="1137">
        <f>'2027'!R\Max</f>
        <v>0.93748124139081368</v>
      </c>
    </row>
    <row r="181" spans="1:84" s="6" customFormat="1" ht="11.25" x14ac:dyDescent="0.2">
      <c r="A181" s="11">
        <v>43267</v>
      </c>
      <c r="B181" s="380">
        <f>'2022'!Maxi_hp</f>
        <v>59.636866753529013</v>
      </c>
      <c r="C181" s="85">
        <f>'2022'!An_max</f>
        <v>2019</v>
      </c>
      <c r="D181" s="1089">
        <f t="shared" si="78"/>
        <v>1.0131430117042237</v>
      </c>
      <c r="E181" s="749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838">
        <f t="shared" si="81"/>
        <v>0.35714285714285715</v>
      </c>
      <c r="J181" s="829">
        <f t="shared" si="82"/>
        <v>58.863226676373074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838">
        <f t="shared" si="86"/>
        <v>0.6785714285714286</v>
      </c>
      <c r="AT181" s="855">
        <f t="shared" si="87"/>
        <v>58.785003712713454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838">
        <f t="shared" si="91"/>
        <v>0.17857142857142858</v>
      </c>
      <c r="AY181" s="855">
        <f t="shared" si="92"/>
        <v>58.896845993439534</v>
      </c>
      <c r="AZ181" s="829">
        <f t="shared" si="96"/>
        <v>58.840924853076494</v>
      </c>
      <c r="BA181" s="662">
        <f t="shared" si="93"/>
        <v>1.0131430117042237</v>
      </c>
      <c r="BB181" s="657">
        <v>43267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926">
        <f>1+[2]!Salcycl*Ksac</f>
        <v>1.0414352509790954</v>
      </c>
      <c r="BH181" s="1082">
        <f t="shared" si="94"/>
        <v>6.7875520428627378E-2</v>
      </c>
      <c r="BI181" s="11">
        <v>44363</v>
      </c>
      <c r="BJ181" s="803">
        <v>1.0622020385711591E-2</v>
      </c>
      <c r="BK181" s="803">
        <v>2.2356679082816341E-2</v>
      </c>
      <c r="BL181" s="803">
        <v>4.1764435454520271E-2</v>
      </c>
      <c r="BM181" s="803">
        <v>6.7874469944931681E-2</v>
      </c>
      <c r="BN181" s="803">
        <v>9.5623942531788422E-2</v>
      </c>
      <c r="BO181" s="804">
        <v>0.11906762807395528</v>
      </c>
      <c r="BP181" s="803">
        <v>0.13921356092408868</v>
      </c>
      <c r="BQ181" s="803">
        <v>0.15889300899845546</v>
      </c>
      <c r="BR181" s="803">
        <v>0.17941848818788086</v>
      </c>
      <c r="BS181" s="803">
        <v>0.20201875162507363</v>
      </c>
      <c r="BT181" s="803">
        <v>0.22655279491211705</v>
      </c>
      <c r="BW181" s="1138">
        <f>'2018'!R\Max</f>
        <v>0</v>
      </c>
      <c r="BX181" s="1136">
        <f>'2019'!R\Max</f>
        <v>1.0131430117042237</v>
      </c>
      <c r="BY181" s="1136">
        <f>'2020'!R\Max</f>
        <v>0.81790421056677243</v>
      </c>
      <c r="BZ181" s="1136">
        <f>'2021'!R\Max</f>
        <v>0.87672768849852178</v>
      </c>
      <c r="CA181" s="1136">
        <f>'2022'!R\Max</f>
        <v>0.91074236395009966</v>
      </c>
      <c r="CB181" s="1136">
        <f>'2023'!R\Max</f>
        <v>0.91062526074812511</v>
      </c>
      <c r="CC181" s="1136">
        <f>'2024'!R\Max</f>
        <v>0.91050947588777453</v>
      </c>
      <c r="CD181" s="1136">
        <f>'2025'!R\Max</f>
        <v>0.91131776171392553</v>
      </c>
      <c r="CE181" s="1136">
        <f>'2026'!R\Max</f>
        <v>0.91115780409846459</v>
      </c>
      <c r="CF181" s="1137">
        <f>'2027'!R\Max</f>
        <v>0.9110101869649303</v>
      </c>
    </row>
    <row r="182" spans="1:84" s="6" customFormat="1" ht="11.25" x14ac:dyDescent="0.2">
      <c r="A182" s="11">
        <v>43268</v>
      </c>
      <c r="B182" s="380">
        <f>'2022'!Maxi_hp</f>
        <v>58.647204437041879</v>
      </c>
      <c r="C182" s="85">
        <f>'2022'!An_max</f>
        <v>2019</v>
      </c>
      <c r="D182" s="1089">
        <f t="shared" si="78"/>
        <v>0.99764178929897718</v>
      </c>
      <c r="E182" s="749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838">
        <f t="shared" si="81"/>
        <v>0.42857142857142855</v>
      </c>
      <c r="J182" s="829">
        <f t="shared" si="82"/>
        <v>58.785833819423395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838">
        <f t="shared" si="86"/>
        <v>0.7142857142857143</v>
      </c>
      <c r="AT182" s="855">
        <f t="shared" si="87"/>
        <v>58.71461516067918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838">
        <f t="shared" si="91"/>
        <v>0.21428571428571427</v>
      </c>
      <c r="AY182" s="855">
        <f t="shared" si="92"/>
        <v>58.826378917341515</v>
      </c>
      <c r="AZ182" s="829">
        <f t="shared" si="96"/>
        <v>58.770497039010351</v>
      </c>
      <c r="BA182" s="662">
        <f t="shared" si="93"/>
        <v>0.99764178929897718</v>
      </c>
      <c r="BB182" s="657">
        <v>43268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926">
        <f>1+[2]!Salcycl*Ksac</f>
        <v>1.0419430095539377</v>
      </c>
      <c r="BH182" s="1082">
        <f t="shared" si="94"/>
        <v>6.8226467631862409E-2</v>
      </c>
      <c r="BI182" s="11">
        <v>44364</v>
      </c>
      <c r="BJ182" s="803">
        <v>1.0698868615467467E-2</v>
      </c>
      <c r="BK182" s="803">
        <v>2.2454995373560067E-2</v>
      </c>
      <c r="BL182" s="803">
        <v>4.2001743903016329E-2</v>
      </c>
      <c r="BM182" s="803">
        <v>6.8225411792539103E-2</v>
      </c>
      <c r="BN182" s="803">
        <v>9.6116358104525859E-2</v>
      </c>
      <c r="BO182" s="804">
        <v>0.11959534612725516</v>
      </c>
      <c r="BP182" s="803">
        <v>0.13981078162294999</v>
      </c>
      <c r="BQ182" s="803">
        <v>0.1595436320288168</v>
      </c>
      <c r="BR182" s="803">
        <v>0.18010413751979162</v>
      </c>
      <c r="BS182" s="803">
        <v>0.20272193399271096</v>
      </c>
      <c r="BT182" s="803">
        <v>0.22726053814557143</v>
      </c>
      <c r="BW182" s="1138">
        <f>'2018'!R\Max</f>
        <v>0</v>
      </c>
      <c r="BX182" s="1136">
        <f>'2019'!R\Max</f>
        <v>0.99764178929897718</v>
      </c>
      <c r="BY182" s="1136">
        <f>'2020'!R\Max</f>
        <v>0.53054126222634534</v>
      </c>
      <c r="BZ182" s="1136">
        <f>'2021'!R\Max</f>
        <v>0.24916611090963575</v>
      </c>
      <c r="CA182" s="1136">
        <f>'2022'!R\Max</f>
        <v>0.92414844317538136</v>
      </c>
      <c r="CB182" s="1136">
        <f>'2023'!R\Max</f>
        <v>0.9240465327606332</v>
      </c>
      <c r="CC182" s="1136">
        <f>'2024'!R\Max</f>
        <v>0.92394582986632634</v>
      </c>
      <c r="CD182" s="1136">
        <f>'2025'!R\Max</f>
        <v>0.92464860553235517</v>
      </c>
      <c r="CE182" s="1136">
        <f>'2026'!R\Max</f>
        <v>0.92450920679982118</v>
      </c>
      <c r="CF182" s="1137">
        <f>'2027'!R\Max</f>
        <v>0.92438099220908398</v>
      </c>
    </row>
    <row r="183" spans="1:84" s="6" customFormat="1" ht="11.25" x14ac:dyDescent="0.2">
      <c r="A183" s="11">
        <v>43269</v>
      </c>
      <c r="B183" s="380">
        <f>'2022'!Maxi_hp</f>
        <v>56.677985927992459</v>
      </c>
      <c r="C183" s="85">
        <f>'2022'!An_max</f>
        <v>2019</v>
      </c>
      <c r="D183" s="1089" t="str">
        <f t="shared" si="78"/>
        <v/>
      </c>
      <c r="E183" s="749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838">
        <f t="shared" si="81"/>
        <v>0.5</v>
      </c>
      <c r="J183" s="829">
        <f t="shared" si="82"/>
        <v>58.705999999865888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838">
        <f t="shared" si="86"/>
        <v>0.75</v>
      </c>
      <c r="AT183" s="855">
        <f t="shared" si="87"/>
        <v>58.642898437753317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838">
        <f t="shared" si="91"/>
        <v>0.25</v>
      </c>
      <c r="AY183" s="855">
        <f t="shared" si="92"/>
        <v>58.752941406425087</v>
      </c>
      <c r="AZ183" s="829">
        <f t="shared" si="96"/>
        <v>58.697919922089199</v>
      </c>
      <c r="BA183" s="662">
        <f t="shared" si="93"/>
        <v>0.96545473934728887</v>
      </c>
      <c r="BB183" s="657">
        <v>43269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926">
        <f>1+[2]!Salcycl*Ksac</f>
        <v>1.0424342074697905</v>
      </c>
      <c r="BH183" s="1082">
        <f t="shared" si="94"/>
        <v>6.8533780152096074E-2</v>
      </c>
      <c r="BI183" s="11">
        <v>44365</v>
      </c>
      <c r="BJ183" s="803">
        <v>1.0762477916196844E-2</v>
      </c>
      <c r="BK183" s="803">
        <v>2.2537637443605318E-2</v>
      </c>
      <c r="BL183" s="803">
        <v>4.221652479687036E-2</v>
      </c>
      <c r="BM183" s="803">
        <v>6.8532720013445778E-2</v>
      </c>
      <c r="BN183" s="803">
        <v>9.6537236918438407E-2</v>
      </c>
      <c r="BO183" s="804">
        <v>0.12002598714670576</v>
      </c>
      <c r="BP183" s="803">
        <v>0.14029841110022229</v>
      </c>
      <c r="BQ183" s="803">
        <v>0.16007459695133555</v>
      </c>
      <c r="BR183" s="803">
        <v>0.18066300015469083</v>
      </c>
      <c r="BS183" s="803">
        <v>0.2032938394325404</v>
      </c>
      <c r="BT183" s="803">
        <v>0.22783505672261689</v>
      </c>
      <c r="BW183" s="1138">
        <f>'2018'!R\Max</f>
        <v>0</v>
      </c>
      <c r="BX183" s="1136">
        <f>'2019'!R\Max</f>
        <v>0.96545473934728887</v>
      </c>
      <c r="BY183" s="1136">
        <f>'2020'!R\Max</f>
        <v>0.89310045415227979</v>
      </c>
      <c r="BZ183" s="1136">
        <f>'2021'!R\Max</f>
        <v>0.77653879960677852</v>
      </c>
      <c r="CA183" s="1136">
        <f>'2022'!R\Max</f>
        <v>0.95705018568473721</v>
      </c>
      <c r="CB183" s="1136">
        <f>'2023'!R\Max</f>
        <v>0.95698991864257366</v>
      </c>
      <c r="CC183" s="1136">
        <f>'2024'!R\Max</f>
        <v>0.95693039487166753</v>
      </c>
      <c r="CD183" s="1136">
        <f>'2025'!R\Max</f>
        <v>0.9573454617597742</v>
      </c>
      <c r="CE183" s="1136">
        <f>'2026'!R\Max</f>
        <v>0.95726296453430793</v>
      </c>
      <c r="CF183" s="1137">
        <f>'2027'!R\Max</f>
        <v>0.95718734126667082</v>
      </c>
    </row>
    <row r="184" spans="1:84" s="6" customFormat="1" ht="11.25" x14ac:dyDescent="0.2">
      <c r="A184" s="11">
        <v>43270</v>
      </c>
      <c r="B184" s="380">
        <f>'2022'!Maxi_hp</f>
        <v>57.388957189665653</v>
      </c>
      <c r="C184" s="85">
        <f>'2022'!An_max</f>
        <v>2022</v>
      </c>
      <c r="D184" s="1089">
        <f t="shared" si="78"/>
        <v>0.97893020775691864</v>
      </c>
      <c r="E184" s="749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838">
        <f t="shared" si="81"/>
        <v>0.5714285714285714</v>
      </c>
      <c r="J184" s="829">
        <f t="shared" si="82"/>
        <v>58.62415597651686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838">
        <f t="shared" si="86"/>
        <v>0.7857142857142857</v>
      </c>
      <c r="AT184" s="855">
        <f t="shared" si="87"/>
        <v>58.569988156243099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838">
        <f t="shared" si="91"/>
        <v>0.2857142857142857</v>
      </c>
      <c r="AY184" s="855">
        <f t="shared" si="92"/>
        <v>58.676708454745153</v>
      </c>
      <c r="AZ184" s="829">
        <f t="shared" si="96"/>
        <v>58.623348305494126</v>
      </c>
      <c r="BA184" s="662">
        <f t="shared" si="93"/>
        <v>0.97893020775691864</v>
      </c>
      <c r="BB184" s="657">
        <v>43270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926">
        <f>1+[2]!Salcycl*Ksac</f>
        <v>1.0429085645837095</v>
      </c>
      <c r="BH184" s="1082">
        <f t="shared" si="94"/>
        <v>6.875984279304391E-2</v>
      </c>
      <c r="BI184" s="11">
        <v>44366</v>
      </c>
      <c r="BJ184" s="803">
        <v>1.0805831031277429E-2</v>
      </c>
      <c r="BK184" s="803">
        <v>2.2594704748390936E-2</v>
      </c>
      <c r="BL184" s="803">
        <v>4.2381872973047463E-2</v>
      </c>
      <c r="BM184" s="803">
        <v>6.8758779888199478E-2</v>
      </c>
      <c r="BN184" s="803">
        <v>9.6836368301940021E-2</v>
      </c>
      <c r="BO184" s="804">
        <v>0.12030973004328666</v>
      </c>
      <c r="BP184" s="803">
        <v>0.14061969020492479</v>
      </c>
      <c r="BQ184" s="803">
        <v>0.16042363739313373</v>
      </c>
      <c r="BR184" s="803">
        <v>0.18102880392704465</v>
      </c>
      <c r="BS184" s="803">
        <v>0.20366557159886908</v>
      </c>
      <c r="BT184" s="803">
        <v>0.22820567996023358</v>
      </c>
      <c r="BW184" s="1138">
        <f>'2018'!R\Max</f>
        <v>0</v>
      </c>
      <c r="BX184" s="1136">
        <f>'2019'!R\Max</f>
        <v>0.84575610496909281</v>
      </c>
      <c r="BY184" s="1136">
        <f>'2020'!R\Max</f>
        <v>0.67491419982758138</v>
      </c>
      <c r="BZ184" s="1136">
        <f>'2021'!R\Max</f>
        <v>0.6383210171569117</v>
      </c>
      <c r="CA184" s="1136">
        <f>'2022'!R\Max</f>
        <v>0.97893020775691864</v>
      </c>
      <c r="CB184" s="1136">
        <f>'2023'!R\Max</f>
        <v>0.97889974387655909</v>
      </c>
      <c r="CC184" s="1136">
        <f>'2024'!R\Max</f>
        <v>0.97886966869157488</v>
      </c>
      <c r="CD184" s="1136">
        <f>'2025'!R\Max</f>
        <v>0.9790791861311352</v>
      </c>
      <c r="CE184" s="1136">
        <f>'2026'!R\Max</f>
        <v>0.97903746855494</v>
      </c>
      <c r="CF184" s="1137">
        <f>'2027'!R\Max</f>
        <v>0.97899935231802215</v>
      </c>
    </row>
    <row r="185" spans="1:84" s="6" customFormat="1" ht="11.25" x14ac:dyDescent="0.2">
      <c r="A185" s="11">
        <v>43271</v>
      </c>
      <c r="B185" s="380">
        <f>'2022'!Maxi_hp</f>
        <v>50.746590499850917</v>
      </c>
      <c r="C185" s="85">
        <f>'2022'!An_max</f>
        <v>2020</v>
      </c>
      <c r="D185" s="1089" t="str">
        <f t="shared" si="78"/>
        <v/>
      </c>
      <c r="E185" s="749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838">
        <f t="shared" si="81"/>
        <v>0.6428571428571429</v>
      </c>
      <c r="J185" s="829">
        <f t="shared" si="82"/>
        <v>58.540732507341133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838">
        <f t="shared" si="86"/>
        <v>0.8214285714285714</v>
      </c>
      <c r="AT185" s="855">
        <f t="shared" si="87"/>
        <v>58.496018927843714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838">
        <f t="shared" si="91"/>
        <v>0.32142857142857145</v>
      </c>
      <c r="AY185" s="855">
        <f t="shared" si="92"/>
        <v>58.597855059044171</v>
      </c>
      <c r="AZ185" s="829">
        <f t="shared" si="96"/>
        <v>58.546936993443943</v>
      </c>
      <c r="BA185" s="662">
        <f t="shared" si="93"/>
        <v>0.86685950664329636</v>
      </c>
      <c r="BB185" s="657">
        <v>43271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926">
        <f>1+[2]!Salcycl*Ksac</f>
        <v>1.0433658515627666</v>
      </c>
      <c r="BH185" s="1082">
        <f t="shared" si="94"/>
        <v>6.8911102043627701E-2</v>
      </c>
      <c r="BI185" s="11">
        <v>44367</v>
      </c>
      <c r="BJ185" s="803">
        <v>1.0835186168761054E-2</v>
      </c>
      <c r="BK185" s="803">
        <v>2.2632124374149434E-2</v>
      </c>
      <c r="BL185" s="803">
        <v>4.2493662511870721E-2</v>
      </c>
      <c r="BM185" s="803">
        <v>6.8910037320244602E-2</v>
      </c>
      <c r="BN185" s="803">
        <v>9.7035664070150976E-2</v>
      </c>
      <c r="BO185" s="804">
        <v>0.12049462046519661</v>
      </c>
      <c r="BP185" s="803">
        <v>0.14082839838273639</v>
      </c>
      <c r="BQ185" s="803">
        <v>0.16064926286838482</v>
      </c>
      <c r="BR185" s="803">
        <v>0.18126338276128029</v>
      </c>
      <c r="BS185" s="803">
        <v>0.20390107663803603</v>
      </c>
      <c r="BT185" s="803">
        <v>0.22843681234187282</v>
      </c>
      <c r="BW185" s="1138">
        <f>'2018'!R\Max</f>
        <v>0</v>
      </c>
      <c r="BX185" s="1136">
        <f>'2019'!R\Max</f>
        <v>0.3938504372852753</v>
      </c>
      <c r="BY185" s="1136">
        <f>'2020'!R\Max</f>
        <v>0.86685950664329636</v>
      </c>
      <c r="BZ185" s="1136">
        <f>'2021'!R\Max</f>
        <v>0.59643003479451995</v>
      </c>
      <c r="CA185" s="1136">
        <f>'2022'!R\Max</f>
        <v>0.6165834438255513</v>
      </c>
      <c r="CB185" s="1136">
        <f>'2023'!R\Max</f>
        <v>0.61623218692537052</v>
      </c>
      <c r="CC185" s="1136">
        <f>'2024'!R\Max</f>
        <v>0.61588593049703377</v>
      </c>
      <c r="CD185" s="1136">
        <f>'2025'!R\Max</f>
        <v>0.61830421381235978</v>
      </c>
      <c r="CE185" s="1136">
        <f>'2026'!R\Max</f>
        <v>0.6178205183154809</v>
      </c>
      <c r="CF185" s="1137">
        <f>'2027'!R\Max</f>
        <v>0.61738050080795037</v>
      </c>
    </row>
    <row r="186" spans="1:84" s="6" customFormat="1" ht="11.25" x14ac:dyDescent="0.2">
      <c r="A186" s="11">
        <v>43272</v>
      </c>
      <c r="B186" s="380">
        <f>'2022'!Maxi_hp</f>
        <v>50.271199376554243</v>
      </c>
      <c r="C186" s="85">
        <f>'2022'!An_max</f>
        <v>2020</v>
      </c>
      <c r="D186" s="1089" t="str">
        <f t="shared" si="78"/>
        <v/>
      </c>
      <c r="E186" s="749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838">
        <f t="shared" si="81"/>
        <v>0.7142857142857143</v>
      </c>
      <c r="J186" s="829">
        <f t="shared" si="82"/>
        <v>58.456160350010862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838">
        <f t="shared" si="86"/>
        <v>0.8571428571428571</v>
      </c>
      <c r="AT186" s="855">
        <f t="shared" si="87"/>
        <v>58.421125364410024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838">
        <f t="shared" si="91"/>
        <v>0.35714285714285715</v>
      </c>
      <c r="AY186" s="855">
        <f t="shared" si="92"/>
        <v>58.516556213530045</v>
      </c>
      <c r="AZ186" s="829">
        <f t="shared" si="96"/>
        <v>58.468840788970034</v>
      </c>
      <c r="BA186" s="662">
        <f t="shared" si="93"/>
        <v>0.85998120772133302</v>
      </c>
      <c r="BB186" s="657">
        <v>43272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926">
        <f>1+[2]!Salcycl*Ksac</f>
        <v>1.0438058901958289</v>
      </c>
      <c r="BH186" s="1082">
        <f t="shared" si="94"/>
        <v>6.8987784920033698E-2</v>
      </c>
      <c r="BI186" s="11">
        <v>44368</v>
      </c>
      <c r="BJ186" s="803">
        <v>1.0850582941087268E-2</v>
      </c>
      <c r="BK186" s="803">
        <v>2.2649962260184304E-2</v>
      </c>
      <c r="BL186" s="803">
        <v>4.255204642063376E-2</v>
      </c>
      <c r="BM186" s="803">
        <v>6.8986719322624429E-2</v>
      </c>
      <c r="BN186" s="803">
        <v>9.7135434260741546E-2</v>
      </c>
      <c r="BO186" s="804">
        <v>0.12058099939866597</v>
      </c>
      <c r="BP186" s="803">
        <v>0.14092492897116254</v>
      </c>
      <c r="BQ186" s="803">
        <v>0.16075191331598226</v>
      </c>
      <c r="BR186" s="803">
        <v>0.1813672189871772</v>
      </c>
      <c r="BS186" s="803">
        <v>0.20400087717006779</v>
      </c>
      <c r="BT186" s="803">
        <v>0.2285290163756436</v>
      </c>
      <c r="BW186" s="1138">
        <f>'2018'!R\Max</f>
        <v>0</v>
      </c>
      <c r="BX186" s="1136">
        <f>'2019'!R\Max</f>
        <v>0.18388079695951573</v>
      </c>
      <c r="BY186" s="1136">
        <f>'2020'!R\Max</f>
        <v>0.85998120772133302</v>
      </c>
      <c r="BZ186" s="1136">
        <f>'2021'!R\Max</f>
        <v>0.66817006397492207</v>
      </c>
      <c r="CA186" s="1136">
        <f>'2022'!R\Max</f>
        <v>0.43596458281702349</v>
      </c>
      <c r="CB186" s="1136">
        <f>'2023'!R\Max</f>
        <v>0.43559724095377894</v>
      </c>
      <c r="CC186" s="1136">
        <f>'2024'!R\Max</f>
        <v>0.43523545334995234</v>
      </c>
      <c r="CD186" s="1136">
        <f>'2025'!R\Max</f>
        <v>0.43776494110070546</v>
      </c>
      <c r="CE186" s="1136">
        <f>'2026'!R\Max</f>
        <v>0.43725765621487561</v>
      </c>
      <c r="CF186" s="1137">
        <f>'2027'!R\Max</f>
        <v>0.43679766187233149</v>
      </c>
    </row>
    <row r="187" spans="1:84" s="6" customFormat="1" ht="11.25" x14ac:dyDescent="0.2">
      <c r="A187" s="11">
        <v>43273</v>
      </c>
      <c r="B187" s="380">
        <f>'2022'!Maxi_hp</f>
        <v>58.651325061036623</v>
      </c>
      <c r="C187" s="85">
        <f>'2022'!An_max</f>
        <v>2020</v>
      </c>
      <c r="D187" s="1089">
        <f t="shared" si="78"/>
        <v>1.0048047047680615</v>
      </c>
      <c r="E187" s="749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838">
        <f t="shared" si="81"/>
        <v>0.7857142857142857</v>
      </c>
      <c r="J187" s="829">
        <f t="shared" si="82"/>
        <v>58.370870262371113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838">
        <f t="shared" si="86"/>
        <v>0.8928571428571429</v>
      </c>
      <c r="AT187" s="855">
        <f t="shared" si="87"/>
        <v>58.345442078462142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838">
        <f t="shared" si="91"/>
        <v>0.39285714285714285</v>
      </c>
      <c r="AY187" s="855">
        <f t="shared" si="92"/>
        <v>58.432986914366481</v>
      </c>
      <c r="AZ187" s="829">
        <f t="shared" si="96"/>
        <v>58.389214496414311</v>
      </c>
      <c r="BA187" s="662">
        <f t="shared" si="93"/>
        <v>1.0048047047680615</v>
      </c>
      <c r="BB187" s="657">
        <v>43273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926">
        <f>1+[2]!Salcycl*Ksac</f>
        <v>1.0442285534240705</v>
      </c>
      <c r="BH187" s="1082">
        <f t="shared" si="94"/>
        <v>6.8990111750528799E-2</v>
      </c>
      <c r="BI187" s="11">
        <v>44369</v>
      </c>
      <c r="BJ187" s="803">
        <v>1.0852059711941399E-2</v>
      </c>
      <c r="BK187" s="803">
        <v>2.2648282583099328E-2</v>
      </c>
      <c r="BL187" s="803">
        <v>4.2557172927297417E-2</v>
      </c>
      <c r="BM187" s="803">
        <v>6.898904622054787E-2</v>
      </c>
      <c r="BN187" s="803">
        <v>9.7135979978636475E-2</v>
      </c>
      <c r="BO187" s="804">
        <v>0.12056919895246303</v>
      </c>
      <c r="BP187" s="803">
        <v>0.14090966519342396</v>
      </c>
      <c r="BQ187" s="803">
        <v>0.16073201757784542</v>
      </c>
      <c r="BR187" s="803">
        <v>0.18134078312131355</v>
      </c>
      <c r="BS187" s="803">
        <v>0.20396548353042562</v>
      </c>
      <c r="BT187" s="803">
        <v>0.22848284196447063</v>
      </c>
      <c r="BW187" s="1138">
        <f>'2018'!R\Max</f>
        <v>0</v>
      </c>
      <c r="BX187" s="1136">
        <f>'2019'!R\Max</f>
        <v>0.9077545617660906</v>
      </c>
      <c r="BY187" s="1136">
        <f>'2020'!R\Max</f>
        <v>1.0048047047680615</v>
      </c>
      <c r="BZ187" s="1136">
        <f>'2021'!R\Max</f>
        <v>0.72581129411531475</v>
      </c>
      <c r="CA187" s="1136">
        <f>'2022'!R\Max</f>
        <v>0.77330558450797759</v>
      </c>
      <c r="CB187" s="1136">
        <f>'2023'!R\Max</f>
        <v>0.77304229269447844</v>
      </c>
      <c r="CC187" s="1136">
        <f>'2024'!R\Max</f>
        <v>0.77278279585721443</v>
      </c>
      <c r="CD187" s="1136">
        <f>'2025'!R\Max</f>
        <v>0.77459099933607567</v>
      </c>
      <c r="CE187" s="1136">
        <f>'2026'!R\Max</f>
        <v>0.7742290949185352</v>
      </c>
      <c r="CF187" s="1137">
        <f>'2027'!R\Max</f>
        <v>0.77390116057698888</v>
      </c>
    </row>
    <row r="188" spans="1:84" s="6" customFormat="1" ht="11.25" x14ac:dyDescent="0.2">
      <c r="A188" s="11">
        <v>43274</v>
      </c>
      <c r="B188" s="380">
        <f>'2022'!Maxi_hp</f>
        <v>52.717054573900171</v>
      </c>
      <c r="C188" s="85">
        <f>'2022'!An_max</f>
        <v>2019</v>
      </c>
      <c r="D188" s="1089" t="str">
        <f t="shared" si="78"/>
        <v/>
      </c>
      <c r="E188" s="749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838">
        <f t="shared" si="81"/>
        <v>0.8571428571428571</v>
      </c>
      <c r="J188" s="829">
        <f t="shared" si="82"/>
        <v>58.285293002958817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838">
        <f t="shared" si="86"/>
        <v>0.9285714285714286</v>
      </c>
      <c r="AT188" s="855">
        <f t="shared" si="87"/>
        <v>58.269103680777235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838">
        <f t="shared" si="91"/>
        <v>0.42857142857142855</v>
      </c>
      <c r="AY188" s="855">
        <f t="shared" si="92"/>
        <v>58.347322157517603</v>
      </c>
      <c r="AZ188" s="829">
        <f t="shared" si="96"/>
        <v>58.308212919147422</v>
      </c>
      <c r="BA188" s="662">
        <f t="shared" si="93"/>
        <v>0.90446580702998303</v>
      </c>
      <c r="BB188" s="657">
        <v>43274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926">
        <f>1+[2]!Salcycl*Ksac</f>
        <v>1.0446337650898718</v>
      </c>
      <c r="BH188" s="1082">
        <f t="shared" si="94"/>
        <v>6.8917590383434243E-2</v>
      </c>
      <c r="BI188" s="11">
        <v>44370</v>
      </c>
      <c r="BJ188" s="803">
        <v>1.0839542557021209E-2</v>
      </c>
      <c r="BK188" s="803">
        <v>2.2626916099089383E-2</v>
      </c>
      <c r="BL188" s="803">
        <v>4.2508750043118271E-2</v>
      </c>
      <c r="BM188" s="803">
        <v>6.8916525870262077E-2</v>
      </c>
      <c r="BN188" s="803">
        <v>9.7036599709041924E-2</v>
      </c>
      <c r="BO188" s="804">
        <v>0.12045830916610811</v>
      </c>
      <c r="BP188" s="803">
        <v>0.14078153894790105</v>
      </c>
      <c r="BQ188" s="803">
        <v>0.16058834948978065</v>
      </c>
      <c r="BR188" s="803">
        <v>0.18118267924719431</v>
      </c>
      <c r="BS188" s="803">
        <v>0.20379330785826225</v>
      </c>
      <c r="BT188" s="803">
        <v>0.22829648987225443</v>
      </c>
      <c r="BW188" s="1138">
        <f>'2018'!R\Max</f>
        <v>0</v>
      </c>
      <c r="BX188" s="1136">
        <f>'2019'!R\Max</f>
        <v>0.90446580702998303</v>
      </c>
      <c r="BY188" s="1136">
        <f>'2020'!R\Max</f>
        <v>0.84459431787523254</v>
      </c>
      <c r="BZ188" s="1136">
        <f>'2021'!R\Max</f>
        <v>0.44183611533688649</v>
      </c>
      <c r="CA188" s="1136">
        <f>'2022'!R\Max</f>
        <v>0.76779389912465734</v>
      </c>
      <c r="CB188" s="1136">
        <f>'2023'!R\Max</f>
        <v>0.76752504758394557</v>
      </c>
      <c r="CC188" s="1136">
        <f>'2024'!R\Max</f>
        <v>0.76726012967679014</v>
      </c>
      <c r="CD188" s="1136">
        <f>'2025'!R\Max</f>
        <v>0.76910567471150526</v>
      </c>
      <c r="CE188" s="1136">
        <f>'2026'!R\Max</f>
        <v>0.76873614741875929</v>
      </c>
      <c r="CF188" s="1137">
        <f>'2027'!R\Max</f>
        <v>0.768401825833539</v>
      </c>
    </row>
    <row r="189" spans="1:84" s="6" customFormat="1" ht="11.25" x14ac:dyDescent="0.2">
      <c r="A189" s="11">
        <v>43275</v>
      </c>
      <c r="B189" s="380">
        <f>'2022'!Maxi_hp</f>
        <v>57.879746381610467</v>
      </c>
      <c r="C189" s="85">
        <f>'2022'!An_max</f>
        <v>2020</v>
      </c>
      <c r="D189" s="1089">
        <f t="shared" si="78"/>
        <v>0.99449976423691944</v>
      </c>
      <c r="E189" s="749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838">
        <f t="shared" si="81"/>
        <v>0.9285714285714286</v>
      </c>
      <c r="J189" s="829">
        <f t="shared" si="82"/>
        <v>58.199859329299741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838">
        <f t="shared" si="86"/>
        <v>0.9642857142857143</v>
      </c>
      <c r="AT189" s="855">
        <f t="shared" si="87"/>
        <v>58.192244784021753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838">
        <f t="shared" si="91"/>
        <v>0.4642857142857143</v>
      </c>
      <c r="AY189" s="855">
        <f t="shared" si="92"/>
        <v>58.259736937424165</v>
      </c>
      <c r="AZ189" s="829">
        <f t="shared" si="96"/>
        <v>58.225990860722959</v>
      </c>
      <c r="BA189" s="662">
        <f t="shared" si="93"/>
        <v>0.99449976423691944</v>
      </c>
      <c r="BB189" s="657">
        <v>43275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926">
        <f>1+[2]!Salcycl*Ksac</f>
        <v>1.0450214994059446</v>
      </c>
      <c r="BH189" s="1082">
        <f t="shared" si="94"/>
        <v>6.8769688659809869E-2</v>
      </c>
      <c r="BI189" s="11">
        <v>44371</v>
      </c>
      <c r="BJ189" s="803">
        <v>1.0812951139934338E-2</v>
      </c>
      <c r="BK189" s="803">
        <v>2.2585680692422953E-2</v>
      </c>
      <c r="BL189" s="803">
        <v>4.2406460705073125E-2</v>
      </c>
      <c r="BM189" s="803">
        <v>6.8768626121359699E-2</v>
      </c>
      <c r="BN189" s="803">
        <v>9.6836535900665544E-2</v>
      </c>
      <c r="BO189" s="804">
        <v>0.12024735186106023</v>
      </c>
      <c r="BP189" s="803">
        <v>0.14053940256403161</v>
      </c>
      <c r="BQ189" s="803">
        <v>0.16031959239154822</v>
      </c>
      <c r="BR189" s="803">
        <v>0.18089140977640028</v>
      </c>
      <c r="BS189" s="803">
        <v>0.20348264854217957</v>
      </c>
      <c r="BT189" s="803">
        <v>0.22796803413830594</v>
      </c>
      <c r="BW189" s="1138">
        <f>'2018'!R\Max</f>
        <v>0</v>
      </c>
      <c r="BX189" s="1136">
        <f>'2019'!R\Max</f>
        <v>0.67879935856442153</v>
      </c>
      <c r="BY189" s="1136">
        <f>'2020'!R\Max</f>
        <v>0.99449976423691944</v>
      </c>
      <c r="BZ189" s="1136">
        <f>'2021'!R\Max</f>
        <v>0.65359216396647646</v>
      </c>
      <c r="CA189" s="1136">
        <f>'2022'!R\Max</f>
        <v>0.73231194768514207</v>
      </c>
      <c r="CB189" s="1136">
        <f>'2023'!R\Max</f>
        <v>0.73201540972763446</v>
      </c>
      <c r="CC189" s="1136">
        <f>'2024'!R\Max</f>
        <v>0.73172327704156026</v>
      </c>
      <c r="CD189" s="1136">
        <f>'2025'!R\Max</f>
        <v>0.73375871224266453</v>
      </c>
      <c r="CE189" s="1136">
        <f>'2026'!R\Max</f>
        <v>0.73335106444278952</v>
      </c>
      <c r="CF189" s="1137">
        <f>'2027'!R\Max</f>
        <v>0.73298267576204801</v>
      </c>
    </row>
    <row r="190" spans="1:84" s="6" customFormat="1" ht="11.25" x14ac:dyDescent="0.2">
      <c r="A190" s="11">
        <v>43276</v>
      </c>
      <c r="B190" s="380">
        <f>'2022'!Maxi_hp</f>
        <v>56.287194704165557</v>
      </c>
      <c r="C190" s="85">
        <f>'2022'!An_max</f>
        <v>2020</v>
      </c>
      <c r="D190" s="1089" t="str">
        <f t="shared" si="78"/>
        <v/>
      </c>
      <c r="E190" s="837">
        <f>Z$13/10</f>
        <v>58.114999999999995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838">
        <f t="shared" si="81"/>
        <v>1</v>
      </c>
      <c r="J190" s="829">
        <f t="shared" si="82"/>
        <v>58.114999999850987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838">
        <f t="shared" si="86"/>
        <v>1</v>
      </c>
      <c r="AT190" s="855">
        <f t="shared" si="87"/>
        <v>58.115000000223517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838">
        <f t="shared" si="91"/>
        <v>0.5</v>
      </c>
      <c r="AY190" s="855">
        <f t="shared" si="92"/>
        <v>58.17040624986403</v>
      </c>
      <c r="AZ190" s="829">
        <f t="shared" si="96"/>
        <v>58.142703125043774</v>
      </c>
      <c r="BA190" s="662">
        <f t="shared" si="93"/>
        <v>0.9685484763711586</v>
      </c>
      <c r="BB190" s="657">
        <v>43276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926">
        <f>1+[2]!Salcycl*Ksac</f>
        <v>1.0453917801487045</v>
      </c>
      <c r="BH190" s="1082">
        <f t="shared" si="94"/>
        <v>6.8546561153140062E-2</v>
      </c>
      <c r="BI190" s="11">
        <v>44372</v>
      </c>
      <c r="BJ190" s="803">
        <v>1.0772313133777115E-2</v>
      </c>
      <c r="BK190" s="803">
        <v>2.2524619717853783E-2</v>
      </c>
      <c r="BL190" s="803">
        <v>4.2250411425104495E-2</v>
      </c>
      <c r="BM190" s="803">
        <v>6.854550154525034E-2</v>
      </c>
      <c r="BN190" s="803">
        <v>9.6535997931752646E-2</v>
      </c>
      <c r="BO190" s="804">
        <v>0.11993654919414982</v>
      </c>
      <c r="BP190" s="803">
        <v>0.14018351122441217</v>
      </c>
      <c r="BQ190" s="803">
        <v>0.15992602984965035</v>
      </c>
      <c r="BR190" s="803">
        <v>0.18046728257092981</v>
      </c>
      <c r="BS190" s="803">
        <v>0.20303383473999778</v>
      </c>
      <c r="BT190" s="803">
        <v>0.22749782375114092</v>
      </c>
      <c r="BW190" s="1138">
        <f>'2018'!R\Max</f>
        <v>0</v>
      </c>
      <c r="BX190" s="1136">
        <f>'2019'!R\Max</f>
        <v>0.90995956150959112</v>
      </c>
      <c r="BY190" s="1136">
        <f>'2020'!R\Max</f>
        <v>0.9685484763711586</v>
      </c>
      <c r="BZ190" s="1136">
        <f>'2021'!R\Max</f>
        <v>0.92810047805678519</v>
      </c>
      <c r="CA190" s="1136">
        <f>'2022'!R\Max</f>
        <v>0.62879037255077608</v>
      </c>
      <c r="CB190" s="1136">
        <f>'2023'!R\Max</f>
        <v>0.62843651788070531</v>
      </c>
      <c r="CC190" s="1136">
        <f>'2024'!R\Max</f>
        <v>0.62808804040839517</v>
      </c>
      <c r="CD190" s="1136">
        <f>'2025'!R\Max</f>
        <v>0.63051816893200685</v>
      </c>
      <c r="CE190" s="1136">
        <f>'2026'!R\Max</f>
        <v>0.63003127997465247</v>
      </c>
      <c r="CF190" s="1137">
        <f>'2027'!R\Max</f>
        <v>0.62959165699751074</v>
      </c>
    </row>
    <row r="191" spans="1:84" s="6" customFormat="1" ht="11.25" x14ac:dyDescent="0.2">
      <c r="A191" s="11">
        <v>43277</v>
      </c>
      <c r="B191" s="380">
        <f>'2022'!Maxi_hp</f>
        <v>59.196700093726733</v>
      </c>
      <c r="C191" s="85">
        <f>'2022'!An_max</f>
        <v>2021</v>
      </c>
      <c r="D191" s="1089">
        <f t="shared" si="78"/>
        <v>1.0201039088688002</v>
      </c>
      <c r="E191" s="749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838">
        <f t="shared" si="81"/>
        <v>0.9285714285714286</v>
      </c>
      <c r="J191" s="829">
        <f t="shared" si="82"/>
        <v>58.030068877365963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838">
        <f t="shared" si="86"/>
        <v>0.9642857142857143</v>
      </c>
      <c r="AT191" s="855">
        <f t="shared" si="87"/>
        <v>58.036308138306978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838">
        <f t="shared" si="91"/>
        <v>0.5357142857142857</v>
      </c>
      <c r="AY191" s="855">
        <f t="shared" si="92"/>
        <v>58.079505090784686</v>
      </c>
      <c r="AZ191" s="829">
        <f t="shared" si="96"/>
        <v>58.057906614545828</v>
      </c>
      <c r="BA191" s="662">
        <f t="shared" si="93"/>
        <v>1.0201039088688002</v>
      </c>
      <c r="BB191" s="657">
        <v>43277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926">
        <f>1+[2]!Salcycl*Ksac</f>
        <v>1.0457446795820768</v>
      </c>
      <c r="BH191" s="1082">
        <f t="shared" si="94"/>
        <v>6.8248361940541624E-2</v>
      </c>
      <c r="BI191" s="11">
        <v>44373</v>
      </c>
      <c r="BJ191" s="803">
        <v>1.0717656118947106E-2</v>
      </c>
      <c r="BK191" s="803">
        <v>2.2443776399350347E-2</v>
      </c>
      <c r="BL191" s="803">
        <v>4.2040708360379826E-2</v>
      </c>
      <c r="BM191" s="803">
        <v>6.8247306216982356E-2</v>
      </c>
      <c r="BN191" s="803">
        <v>9.6135194517617692E-2</v>
      </c>
      <c r="BO191" s="804">
        <v>0.11952612266359332</v>
      </c>
      <c r="BP191" s="803">
        <v>0.13971411936129755</v>
      </c>
      <c r="BQ191" s="803">
        <v>0.15940794460740018</v>
      </c>
      <c r="BR191" s="803">
        <v>0.17991060461655226</v>
      </c>
      <c r="BS191" s="803">
        <v>0.20244719469848219</v>
      </c>
      <c r="BT191" s="803">
        <v>0.22688620676461285</v>
      </c>
      <c r="BW191" s="1138">
        <f>'2018'!R\Max</f>
        <v>0</v>
      </c>
      <c r="BX191" s="1136">
        <f>'2019'!R\Max</f>
        <v>0.99586270902049856</v>
      </c>
      <c r="BY191" s="1136">
        <f>'2020'!R\Max</f>
        <v>0.85630754637736228</v>
      </c>
      <c r="BZ191" s="1136">
        <f>'2021'!R\Max</f>
        <v>1.0201039088688002</v>
      </c>
      <c r="CA191" s="1136">
        <f>'2022'!R\Max</f>
        <v>0.20348489062836977</v>
      </c>
      <c r="CB191" s="1136">
        <f>'2023'!R\Max</f>
        <v>0.20326817663676103</v>
      </c>
      <c r="CC191" s="1136">
        <f>'2024'!R\Max</f>
        <v>0.20305495600285436</v>
      </c>
      <c r="CD191" s="1136">
        <f>'2025'!R\Max</f>
        <v>0.20454635563524198</v>
      </c>
      <c r="CE191" s="1136">
        <f>'2026'!R\Max</f>
        <v>0.20424698489124643</v>
      </c>
      <c r="CF191" s="1137">
        <f>'2027'!R\Max</f>
        <v>0.20397699118245105</v>
      </c>
    </row>
    <row r="192" spans="1:84" s="6" customFormat="1" ht="11.25" x14ac:dyDescent="0.2">
      <c r="A192" s="11">
        <v>43278</v>
      </c>
      <c r="B192" s="380">
        <f>'2022'!Maxi_hp</f>
        <v>57.199547222334189</v>
      </c>
      <c r="C192" s="85">
        <f>'2022'!An_max</f>
        <v>2019</v>
      </c>
      <c r="D192" s="1089">
        <f t="shared" si="78"/>
        <v>0.98714994260247135</v>
      </c>
      <c r="E192" s="749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838">
        <f t="shared" si="81"/>
        <v>0.8571428571428571</v>
      </c>
      <c r="J192" s="829">
        <f t="shared" si="82"/>
        <v>57.944132652772325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838">
        <f t="shared" si="86"/>
        <v>0.9285714285714286</v>
      </c>
      <c r="AT192" s="855">
        <f t="shared" si="87"/>
        <v>57.955099034192969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838">
        <f t="shared" si="91"/>
        <v>0.5714285714285714</v>
      </c>
      <c r="AY192" s="855">
        <f t="shared" si="92"/>
        <v>57.987208454683426</v>
      </c>
      <c r="AZ192" s="829">
        <f t="shared" si="96"/>
        <v>57.971153744438197</v>
      </c>
      <c r="BA192" s="662">
        <f t="shared" si="93"/>
        <v>0.98714994260247135</v>
      </c>
      <c r="BB192" s="657">
        <v>43278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926">
        <f>1+[2]!Salcycl*Ksac</f>
        <v>1.0460803171200237</v>
      </c>
      <c r="BH192" s="1082">
        <f t="shared" si="94"/>
        <v>6.7869062894253471E-2</v>
      </c>
      <c r="BI192" s="11">
        <v>44374</v>
      </c>
      <c r="BJ192" s="803">
        <v>1.0642822531550937E-2</v>
      </c>
      <c r="BK192" s="803">
        <v>2.2337364752951047E-2</v>
      </c>
      <c r="BL192" s="803">
        <v>4.1781717529384088E-2</v>
      </c>
      <c r="BM192" s="803">
        <v>6.7868012585950446E-2</v>
      </c>
      <c r="BN192" s="803">
        <v>9.5612852017509367E-2</v>
      </c>
      <c r="BO192" s="804">
        <v>0.11896884522832983</v>
      </c>
      <c r="BP192" s="803">
        <v>0.1390783820505366</v>
      </c>
      <c r="BQ192" s="803">
        <v>0.15870786180764521</v>
      </c>
      <c r="BR192" s="803">
        <v>0.17916066097400485</v>
      </c>
      <c r="BS192" s="803">
        <v>0.20165997399183286</v>
      </c>
      <c r="BT192" s="803">
        <v>0.22607003252767757</v>
      </c>
      <c r="BW192" s="1138">
        <f>'2018'!R\Max</f>
        <v>0</v>
      </c>
      <c r="BX192" s="1136">
        <f>'2019'!R\Max</f>
        <v>0.98714994260247135</v>
      </c>
      <c r="BY192" s="1136">
        <f>'2020'!R\Max</f>
        <v>0.87025960070473574</v>
      </c>
      <c r="BZ192" s="1136">
        <f>'2021'!R\Max</f>
        <v>0.16800061461904975</v>
      </c>
      <c r="CA192" s="1136">
        <f>'2022'!R\Max</f>
        <v>0.19110531848295254</v>
      </c>
      <c r="CB192" s="1136">
        <f>'2023'!R\Max</f>
        <v>0.1909017119226433</v>
      </c>
      <c r="CC192" s="1136">
        <f>'2024'!R\Max</f>
        <v>0.19070135081601156</v>
      </c>
      <c r="CD192" s="1136">
        <f>'2025'!R\Max</f>
        <v>0.19210251766771927</v>
      </c>
      <c r="CE192" s="1136">
        <f>'2026'!R\Max</f>
        <v>0.19182160461771036</v>
      </c>
      <c r="CF192" s="1137">
        <f>'2027'!R\Max</f>
        <v>0.19156814187542548</v>
      </c>
    </row>
    <row r="193" spans="1:84" s="6" customFormat="1" ht="11.25" x14ac:dyDescent="0.2">
      <c r="A193" s="11">
        <v>43279</v>
      </c>
      <c r="B193" s="380">
        <f>'2022'!Maxi_hp</f>
        <v>57.378438327002037</v>
      </c>
      <c r="C193" s="85">
        <f>'2022'!An_max</f>
        <v>2022</v>
      </c>
      <c r="D193" s="1089">
        <f t="shared" si="78"/>
        <v>0.99172526372823011</v>
      </c>
      <c r="E193" s="749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838">
        <f t="shared" si="81"/>
        <v>0.7857142857142857</v>
      </c>
      <c r="J193" s="829">
        <f t="shared" si="82"/>
        <v>57.857191326655446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838">
        <f t="shared" si="86"/>
        <v>0.8928571428571429</v>
      </c>
      <c r="AT193" s="855">
        <f t="shared" si="87"/>
        <v>57.87149383907672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838">
        <f t="shared" si="91"/>
        <v>0.6071428571428571</v>
      </c>
      <c r="AY193" s="855">
        <f t="shared" si="92"/>
        <v>57.893691337886935</v>
      </c>
      <c r="AZ193" s="829">
        <f t="shared" si="96"/>
        <v>57.882592588481828</v>
      </c>
      <c r="BA193" s="662">
        <f t="shared" si="93"/>
        <v>0.99172526372823011</v>
      </c>
      <c r="BB193" s="657">
        <v>43279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926">
        <f>1+[2]!Salcycl*Ksac</f>
        <v>1.0463988577381278</v>
      </c>
      <c r="BH193" s="1082">
        <f t="shared" si="94"/>
        <v>6.7446449168901718E-2</v>
      </c>
      <c r="BI193" s="11">
        <v>44375</v>
      </c>
      <c r="BJ193" s="803">
        <v>1.055487388519199E-2</v>
      </c>
      <c r="BK193" s="803">
        <v>2.2215352601681903E-2</v>
      </c>
      <c r="BL193" s="803">
        <v>4.1500423940221166E-2</v>
      </c>
      <c r="BM193" s="803">
        <v>6.7445405325779237E-2</v>
      </c>
      <c r="BN193" s="803">
        <v>9.5019461192670115E-2</v>
      </c>
      <c r="BO193" s="804">
        <v>0.11831494880390887</v>
      </c>
      <c r="BP193" s="803">
        <v>0.1383335302800599</v>
      </c>
      <c r="BQ193" s="803">
        <v>0.15788857583754498</v>
      </c>
      <c r="BR193" s="803">
        <v>0.17828430437229162</v>
      </c>
      <c r="BS193" s="803">
        <v>0.20074170152364387</v>
      </c>
      <c r="BT193" s="803">
        <v>0.22512065424500385</v>
      </c>
      <c r="BW193" s="1138">
        <f>'2018'!R\Max</f>
        <v>0</v>
      </c>
      <c r="BX193" s="1136">
        <f>'2019'!R\Max</f>
        <v>0.91218508370510498</v>
      </c>
      <c r="BY193" s="1136">
        <f>'2020'!R\Max</f>
        <v>0.66492733235671653</v>
      </c>
      <c r="BZ193" s="1136">
        <f>'2021'!R\Max</f>
        <v>0.55363121190359144</v>
      </c>
      <c r="CA193" s="1136">
        <f>'2022'!R\Max</f>
        <v>0.99172526372823011</v>
      </c>
      <c r="CB193" s="1136">
        <f>'2023'!R\Max</f>
        <v>0.99171279798430345</v>
      </c>
      <c r="CC193" s="1136">
        <f>'2024'!R\Max</f>
        <v>0.99170050191410186</v>
      </c>
      <c r="CD193" s="1136">
        <f>'2025'!R\Max</f>
        <v>0.99178591475593969</v>
      </c>
      <c r="CE193" s="1136">
        <f>'2026'!R\Max</f>
        <v>0.99176891309834658</v>
      </c>
      <c r="CF193" s="1137">
        <f>'2027'!R\Max</f>
        <v>0.99175352278526974</v>
      </c>
    </row>
    <row r="194" spans="1:84" s="6" customFormat="1" ht="11.25" x14ac:dyDescent="0.2">
      <c r="A194" s="11">
        <v>43280</v>
      </c>
      <c r="B194" s="380">
        <f>'2022'!Maxi_hp</f>
        <v>58.289451559149789</v>
      </c>
      <c r="C194" s="85">
        <f>'2022'!An_max</f>
        <v>2022</v>
      </c>
      <c r="D194" s="1089">
        <f t="shared" si="78"/>
        <v>1.0090049067127485</v>
      </c>
      <c r="E194" s="749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838">
        <f t="shared" si="81"/>
        <v>0.7142857142857143</v>
      </c>
      <c r="J194" s="829">
        <f t="shared" si="82"/>
        <v>57.769244897977579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838">
        <f t="shared" si="86"/>
        <v>0.8571428571428571</v>
      </c>
      <c r="AT194" s="855">
        <f t="shared" si="87"/>
        <v>57.785613702636752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838">
        <f t="shared" si="91"/>
        <v>0.6428571428571429</v>
      </c>
      <c r="AY194" s="855">
        <f t="shared" si="92"/>
        <v>57.79912873539142</v>
      </c>
      <c r="AZ194" s="829">
        <f t="shared" si="96"/>
        <v>57.792371219014086</v>
      </c>
      <c r="BA194" s="662">
        <f t="shared" si="93"/>
        <v>1.0090049067127485</v>
      </c>
      <c r="BB194" s="657">
        <v>43280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926">
        <f>1+[2]!Salcycl*Ksac</f>
        <v>1.0467005101465245</v>
      </c>
      <c r="BH194" s="1082">
        <f t="shared" si="94"/>
        <v>6.6980623594326341E-2</v>
      </c>
      <c r="BI194" s="11">
        <v>44376</v>
      </c>
      <c r="BJ194" s="803">
        <v>1.0453835675495533E-2</v>
      </c>
      <c r="BK194" s="803">
        <v>2.2077775910131176E-2</v>
      </c>
      <c r="BL194" s="803">
        <v>4.1196884218523327E-2</v>
      </c>
      <c r="BM194" s="803">
        <v>6.6979587264146642E-2</v>
      </c>
      <c r="BN194" s="803">
        <v>9.4355181983575273E-2</v>
      </c>
      <c r="BO194" s="804">
        <v>0.11756464524060055</v>
      </c>
      <c r="BP194" s="803">
        <v>0.1374798060621043</v>
      </c>
      <c r="BQ194" s="803">
        <v>0.15695035506849911</v>
      </c>
      <c r="BR194" s="803">
        <v>0.17728182580788507</v>
      </c>
      <c r="BS194" s="803">
        <v>0.19969268835643261</v>
      </c>
      <c r="BT194" s="803">
        <v>0.22403840050684304</v>
      </c>
      <c r="BW194" s="1138">
        <f>'2018'!R\Max</f>
        <v>0</v>
      </c>
      <c r="BX194" s="1136">
        <f>'2019'!R\Max</f>
        <v>0.94711306843034349</v>
      </c>
      <c r="BY194" s="1136">
        <f>'2020'!R\Max</f>
        <v>0.91856323992366462</v>
      </c>
      <c r="BZ194" s="1136">
        <f>'2021'!R\Max</f>
        <v>0.71985050655192517</v>
      </c>
      <c r="CA194" s="1136">
        <f>'2022'!R\Max</f>
        <v>1.0090049067127485</v>
      </c>
      <c r="CB194" s="1136">
        <f>'2023'!R\Max</f>
        <v>1.0090049067127487</v>
      </c>
      <c r="CC194" s="1136">
        <f>'2024'!R\Max</f>
        <v>1.0090049067127487</v>
      </c>
      <c r="CD194" s="1136">
        <f>'2025'!R\Max</f>
        <v>1.0090049067127487</v>
      </c>
      <c r="CE194" s="1136">
        <f>'2026'!R\Max</f>
        <v>1.0090049067127487</v>
      </c>
      <c r="CF194" s="1137">
        <f>'2027'!R\Max</f>
        <v>1.0090049067127487</v>
      </c>
    </row>
    <row r="195" spans="1:84" s="6" customFormat="1" ht="11.25" x14ac:dyDescent="0.2">
      <c r="A195" s="11">
        <v>43281</v>
      </c>
      <c r="B195" s="380">
        <f>'2022'!Maxi_hp</f>
        <v>51.899795502885659</v>
      </c>
      <c r="C195" s="85">
        <f>'2022'!An_max</f>
        <v>2021</v>
      </c>
      <c r="D195" s="1089" t="str">
        <f t="shared" si="78"/>
        <v/>
      </c>
      <c r="E195" s="749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838">
        <f t="shared" si="81"/>
        <v>0.6428571428571429</v>
      </c>
      <c r="J195" s="829">
        <f t="shared" si="82"/>
        <v>57.680293367310831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838">
        <f t="shared" si="86"/>
        <v>0.8214285714285714</v>
      </c>
      <c r="AT195" s="855">
        <f t="shared" si="87"/>
        <v>57.697579776377623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838">
        <f t="shared" si="91"/>
        <v>0.6785714285714286</v>
      </c>
      <c r="AY195" s="855">
        <f t="shared" si="92"/>
        <v>57.703695642539039</v>
      </c>
      <c r="AZ195" s="829">
        <f t="shared" si="96"/>
        <v>57.700637709458334</v>
      </c>
      <c r="BA195" s="662">
        <f t="shared" si="93"/>
        <v>0.8997838338370665</v>
      </c>
      <c r="BB195" s="657">
        <v>43281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926">
        <f>1+[2]!Salcycl*Ksac</f>
        <v>1.0469855247383204</v>
      </c>
      <c r="BH195" s="1082">
        <f t="shared" si="94"/>
        <v>6.6471687335261986E-2</v>
      </c>
      <c r="BI195" s="11">
        <v>44377</v>
      </c>
      <c r="BJ195" s="803">
        <v>1.0339732977180618E-2</v>
      </c>
      <c r="BK195" s="803">
        <v>2.192467011220994E-2</v>
      </c>
      <c r="BL195" s="803">
        <v>4.0871153989719251E-2</v>
      </c>
      <c r="BM195" s="803">
        <v>6.6470659563657331E-2</v>
      </c>
      <c r="BN195" s="803">
        <v>9.3620171817550779E-2</v>
      </c>
      <c r="BO195" s="804">
        <v>0.11671814332050108</v>
      </c>
      <c r="BP195" s="803">
        <v>0.13651744793426449</v>
      </c>
      <c r="BQ195" s="803">
        <v>0.15589346407064036</v>
      </c>
      <c r="BR195" s="803">
        <v>0.17615351224080875</v>
      </c>
      <c r="BS195" s="803">
        <v>0.19851324136342838</v>
      </c>
      <c r="BT195" s="803">
        <v>0.22282359563177359</v>
      </c>
      <c r="BW195" s="1138">
        <f>'2018'!R\Max</f>
        <v>0</v>
      </c>
      <c r="BX195" s="1136">
        <f>'2019'!R\Max</f>
        <v>0.87775013754331876</v>
      </c>
      <c r="BY195" s="1136">
        <f>'2020'!R\Max</f>
        <v>0.25166954278804343</v>
      </c>
      <c r="BZ195" s="1136">
        <f>'2021'!R\Max</f>
        <v>0.8997838338370665</v>
      </c>
      <c r="CA195" s="1136">
        <f>'2022'!R\Max</f>
        <v>0.22876426316814713</v>
      </c>
      <c r="CB195" s="1136">
        <f>'2023'!R\Max</f>
        <v>0.22852139435990029</v>
      </c>
      <c r="CC195" s="1136">
        <f>'2024'!R\Max</f>
        <v>0.2282821317110976</v>
      </c>
      <c r="CD195" s="1136">
        <f>'2025'!R\Max</f>
        <v>0.22995101220160163</v>
      </c>
      <c r="CE195" s="1136">
        <f>'2026'!R\Max</f>
        <v>0.22961798183441379</v>
      </c>
      <c r="CF195" s="1137">
        <f>'2027'!R\Max</f>
        <v>0.22931698441588247</v>
      </c>
    </row>
    <row r="196" spans="1:84" s="6" customFormat="1" ht="11.25" x14ac:dyDescent="0.2">
      <c r="A196" s="11">
        <v>43282</v>
      </c>
      <c r="B196" s="380">
        <f>'2022'!Maxi_hp</f>
        <v>55.368807466601659</v>
      </c>
      <c r="C196" s="85">
        <f>'2022'!An_max</f>
        <v>2021</v>
      </c>
      <c r="D196" s="1089" t="str">
        <f t="shared" si="78"/>
        <v/>
      </c>
      <c r="E196" s="749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838">
        <f t="shared" si="81"/>
        <v>0.5714285714285714</v>
      </c>
      <c r="J196" s="829">
        <f t="shared" si="82"/>
        <v>57.590336734615263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838">
        <f t="shared" si="86"/>
        <v>0.7857142857142857</v>
      </c>
      <c r="AT196" s="855">
        <f t="shared" si="87"/>
        <v>57.607513210692971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838">
        <f t="shared" si="91"/>
        <v>0.7142857142857143</v>
      </c>
      <c r="AY196" s="855">
        <f t="shared" si="92"/>
        <v>57.607567055470177</v>
      </c>
      <c r="AZ196" s="829">
        <f t="shared" si="96"/>
        <v>57.607540133081571</v>
      </c>
      <c r="BA196" s="662">
        <f t="shared" si="93"/>
        <v>0.96142531205798054</v>
      </c>
      <c r="BB196" s="657">
        <v>43282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926">
        <f>1+[2]!Salcycl*Ksac</f>
        <v>1.0472541913293649</v>
      </c>
      <c r="BH196" s="1082">
        <f t="shared" si="94"/>
        <v>6.5919739633697211E-2</v>
      </c>
      <c r="BI196" s="11">
        <v>44378</v>
      </c>
      <c r="BJ196" s="803">
        <v>1.0212590366432676E-2</v>
      </c>
      <c r="BK196" s="803">
        <v>2.1756070018567553E-2</v>
      </c>
      <c r="BL196" s="803">
        <v>4.0523287745898168E-2</v>
      </c>
      <c r="BM196" s="803">
        <v>6.5918721464208255E-2</v>
      </c>
      <c r="BN196" s="803">
        <v>9.2814585186990303E-2</v>
      </c>
      <c r="BO196" s="804">
        <v>0.11577564818501358</v>
      </c>
      <c r="BP196" s="803">
        <v>0.13544669031282366</v>
      </c>
      <c r="BQ196" s="803">
        <v>0.15471816290624094</v>
      </c>
      <c r="BR196" s="803">
        <v>0.17489964584510165</v>
      </c>
      <c r="BS196" s="803">
        <v>0.19720366245123844</v>
      </c>
      <c r="BT196" s="803">
        <v>0.22147655887619419</v>
      </c>
      <c r="BW196" s="1138">
        <f>'2018'!R\Max</f>
        <v>0</v>
      </c>
      <c r="BX196" s="1136">
        <f>'2019'!R\Max</f>
        <v>0.35285050607579554</v>
      </c>
      <c r="BY196" s="1136">
        <f>'2020'!R\Max</f>
        <v>2.4873731112463817E-4</v>
      </c>
      <c r="BZ196" s="1136">
        <f>'2021'!R\Max</f>
        <v>0.96142531205798054</v>
      </c>
      <c r="CA196" s="1136">
        <f>'2022'!R\Max</f>
        <v>0.86186830999591746</v>
      </c>
      <c r="CB196" s="1136">
        <f>'2023'!R\Max</f>
        <v>0.86168856179772835</v>
      </c>
      <c r="CC196" s="1136">
        <f>'2024'!R\Max</f>
        <v>0.86151108134322241</v>
      </c>
      <c r="CD196" s="1136">
        <f>'2025'!R\Max</f>
        <v>0.86274095886376967</v>
      </c>
      <c r="CE196" s="1136">
        <f>'2026'!R\Max</f>
        <v>0.86249714408117795</v>
      </c>
      <c r="CF196" s="1137">
        <f>'2027'!R\Max</f>
        <v>0.86227614161840005</v>
      </c>
    </row>
    <row r="197" spans="1:84" s="6" customFormat="1" ht="11.25" x14ac:dyDescent="0.2">
      <c r="A197" s="11">
        <v>43283</v>
      </c>
      <c r="B197" s="380">
        <f>'2022'!Maxi_hp</f>
        <v>57.199459746011513</v>
      </c>
      <c r="C197" s="85">
        <f>'2022'!An_max</f>
        <v>2022</v>
      </c>
      <c r="D197" s="1089">
        <f t="shared" si="78"/>
        <v>0.99478402584492609</v>
      </c>
      <c r="E197" s="749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838">
        <f t="shared" si="81"/>
        <v>0.5</v>
      </c>
      <c r="J197" s="829">
        <f t="shared" si="82"/>
        <v>57.499374999944123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838">
        <f t="shared" si="86"/>
        <v>0.75</v>
      </c>
      <c r="AT197" s="855">
        <f t="shared" si="87"/>
        <v>57.515535156417172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838">
        <f t="shared" si="91"/>
        <v>0.75</v>
      </c>
      <c r="AY197" s="855">
        <f t="shared" si="92"/>
        <v>57.510917968652208</v>
      </c>
      <c r="AZ197" s="829">
        <f t="shared" si="96"/>
        <v>57.51322656253469</v>
      </c>
      <c r="BA197" s="662">
        <f t="shared" si="93"/>
        <v>0.99478402584492609</v>
      </c>
      <c r="BB197" s="657">
        <v>43283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926">
        <f>1+[2]!Salcycl*Ksac</f>
        <v>1.0475068367068263</v>
      </c>
      <c r="BH197" s="1082">
        <f t="shared" si="94"/>
        <v>6.5324877551822105E-2</v>
      </c>
      <c r="BI197" s="11">
        <v>44379</v>
      </c>
      <c r="BJ197" s="803">
        <v>1.007243184336807E-2</v>
      </c>
      <c r="BK197" s="803">
        <v>2.1572009724200949E-2</v>
      </c>
      <c r="BL197" s="803">
        <v>4.0153338713036009E-2</v>
      </c>
      <c r="BM197" s="803">
        <v>6.5323870025942379E-2</v>
      </c>
      <c r="BN197" s="803">
        <v>9.1938573228400863E-2</v>
      </c>
      <c r="BO197" s="804">
        <v>0.11473736076336043</v>
      </c>
      <c r="BP197" s="803">
        <v>0.13426776284729081</v>
      </c>
      <c r="BQ197" s="803">
        <v>0.15342470642449646</v>
      </c>
      <c r="BR197" s="803">
        <v>0.17352050326083801</v>
      </c>
      <c r="BS197" s="803">
        <v>0.19576424778426602</v>
      </c>
      <c r="BT197" s="803">
        <v>0.219997603645781</v>
      </c>
      <c r="BW197" s="1138">
        <f>'2018'!R\Max</f>
        <v>0.10214042790024766</v>
      </c>
      <c r="BX197" s="1136">
        <f>'2019'!R\Max</f>
        <v>0.53413276435719115</v>
      </c>
      <c r="BY197" s="1136">
        <f>'2020'!R\Max</f>
        <v>0.75990488495841269</v>
      </c>
      <c r="BZ197" s="1136">
        <f>'2021'!R\Max</f>
        <v>0.96288202153731761</v>
      </c>
      <c r="CA197" s="1136">
        <f>'2022'!R\Max</f>
        <v>0.99478402584492609</v>
      </c>
      <c r="CB197" s="1136">
        <f>'2023'!R\Max</f>
        <v>0.99477621781476877</v>
      </c>
      <c r="CC197" s="1136">
        <f>'2024'!R\Max</f>
        <v>0.99476849999162997</v>
      </c>
      <c r="CD197" s="1136">
        <f>'2025'!R\Max</f>
        <v>0.99482181924067559</v>
      </c>
      <c r="CE197" s="1136">
        <f>'2026'!R\Max</f>
        <v>0.99481128275798658</v>
      </c>
      <c r="CF197" s="1137">
        <f>'2027'!R\Max</f>
        <v>0.99480172006896062</v>
      </c>
    </row>
    <row r="198" spans="1:84" s="6" customFormat="1" ht="11.25" x14ac:dyDescent="0.2">
      <c r="A198" s="11">
        <v>43284</v>
      </c>
      <c r="B198" s="380">
        <f>'2022'!Maxi_hp</f>
        <v>49.441031489628365</v>
      </c>
      <c r="C198" s="85">
        <f>'2022'!An_max</f>
        <v>2019</v>
      </c>
      <c r="D198" s="1089" t="str">
        <f t="shared" si="78"/>
        <v/>
      </c>
      <c r="E198" s="749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838">
        <f t="shared" si="81"/>
        <v>0.42857142857142855</v>
      </c>
      <c r="J198" s="829">
        <f t="shared" si="82"/>
        <v>57.407408163270773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838">
        <f t="shared" si="86"/>
        <v>0.7142857142857143</v>
      </c>
      <c r="AT198" s="855">
        <f t="shared" si="87"/>
        <v>57.42176676380582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838">
        <f t="shared" si="91"/>
        <v>0.7857142857142857</v>
      </c>
      <c r="AY198" s="855">
        <f t="shared" si="92"/>
        <v>57.413923378441744</v>
      </c>
      <c r="AZ198" s="829">
        <f t="shared" si="96"/>
        <v>57.417845071123779</v>
      </c>
      <c r="BA198" s="662">
        <f t="shared" si="93"/>
        <v>0.86123085977012825</v>
      </c>
      <c r="BB198" s="657">
        <v>43284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926">
        <f>1+[2]!Salcycl*Ksac</f>
        <v>1.0477438220054509</v>
      </c>
      <c r="BH198" s="1082">
        <f t="shared" si="94"/>
        <v>6.4667280782304506E-2</v>
      </c>
      <c r="BI198" s="11">
        <v>44380</v>
      </c>
      <c r="BJ198" s="803">
        <v>9.9154740417996892E-3</v>
      </c>
      <c r="BK198" s="803">
        <v>2.136601861143721E-2</v>
      </c>
      <c r="BL198" s="803">
        <v>3.9748946666858444E-2</v>
      </c>
      <c r="BM198" s="803">
        <v>6.4666285273381266E-2</v>
      </c>
      <c r="BN198" s="803">
        <v>9.0963549751500672E-2</v>
      </c>
      <c r="BO198" s="804">
        <v>0.11356865785937893</v>
      </c>
      <c r="BP198" s="803">
        <v>0.13294051381970376</v>
      </c>
      <c r="BQ198" s="803">
        <v>0.15196961870979314</v>
      </c>
      <c r="BR198" s="803">
        <v>0.17197030775590041</v>
      </c>
      <c r="BS198" s="803">
        <v>0.19414928882534757</v>
      </c>
      <c r="BT198" s="803">
        <v>0.21834147821053285</v>
      </c>
      <c r="BW198" s="1138">
        <f>'2018'!R\Max</f>
        <v>0.84230991003789135</v>
      </c>
      <c r="BX198" s="1136">
        <f>'2019'!R\Max</f>
        <v>0.86123085977012825</v>
      </c>
      <c r="BY198" s="1136">
        <f>'2020'!R\Max</f>
        <v>0.30327858612510467</v>
      </c>
      <c r="BZ198" s="1136">
        <f>'2021'!R\Max</f>
        <v>0.6185643894493752</v>
      </c>
      <c r="CA198" s="1136">
        <f>'2022'!R\Max</f>
        <v>0.86087897495828736</v>
      </c>
      <c r="CB198" s="1136">
        <f>'2023'!R\Max</f>
        <v>0.86069962153557367</v>
      </c>
      <c r="CC198" s="1136">
        <f>'2024'!R\Max</f>
        <v>0.86052225640032309</v>
      </c>
      <c r="CD198" s="1136">
        <f>'2025'!R\Max</f>
        <v>0.86174621158568132</v>
      </c>
      <c r="CE198" s="1136">
        <f>'2026'!R\Max</f>
        <v>0.86150464793297832</v>
      </c>
      <c r="CF198" s="1137">
        <f>'2027'!R\Max</f>
        <v>0.86128533535971274</v>
      </c>
    </row>
    <row r="199" spans="1:84" s="6" customFormat="1" ht="11.25" x14ac:dyDescent="0.2">
      <c r="A199" s="11">
        <v>43285</v>
      </c>
      <c r="B199" s="380">
        <f>'2022'!Maxi_hp</f>
        <v>55.745011407918014</v>
      </c>
      <c r="C199" s="85">
        <f>'2022'!An_max</f>
        <v>2019</v>
      </c>
      <c r="D199" s="1089">
        <f t="shared" si="78"/>
        <v>0.9726172859732598</v>
      </c>
      <c r="E199" s="749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838">
        <f t="shared" si="81"/>
        <v>0.35714285714285715</v>
      </c>
      <c r="J199" s="829">
        <f t="shared" si="82"/>
        <v>57.314436224661769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838">
        <f t="shared" si="86"/>
        <v>0.6785714285714286</v>
      </c>
      <c r="AT199" s="855">
        <f t="shared" si="87"/>
        <v>57.326329184393401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838">
        <f t="shared" si="91"/>
        <v>0.8214285714285714</v>
      </c>
      <c r="AY199" s="855">
        <f t="shared" si="92"/>
        <v>57.316758279462476</v>
      </c>
      <c r="AZ199" s="829">
        <f t="shared" si="96"/>
        <v>57.321543731927939</v>
      </c>
      <c r="BA199" s="662">
        <f t="shared" si="93"/>
        <v>0.9726172859732598</v>
      </c>
      <c r="BB199" s="657">
        <v>43285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926">
        <f>1+[2]!Salcycl*Ksac</f>
        <v>1.047965539931647</v>
      </c>
      <c r="BH199" s="1082">
        <f t="shared" si="94"/>
        <v>6.3984583585506363E-2</v>
      </c>
      <c r="BI199" s="11">
        <v>44381</v>
      </c>
      <c r="BJ199" s="803">
        <v>9.7487495015232076E-3</v>
      </c>
      <c r="BK199" s="803">
        <v>2.1148025758780331E-2</v>
      </c>
      <c r="BL199" s="803">
        <v>3.9336987772171948E-2</v>
      </c>
      <c r="BM199" s="803">
        <v>6.3983600987779096E-2</v>
      </c>
      <c r="BN199" s="803">
        <v>8.9939804600141018E-2</v>
      </c>
      <c r="BO199" s="804">
        <v>0.112319575888933</v>
      </c>
      <c r="BP199" s="803">
        <v>0.1315219526686873</v>
      </c>
      <c r="BQ199" s="803">
        <v>0.15041545034355028</v>
      </c>
      <c r="BR199" s="803">
        <v>0.17031565188577638</v>
      </c>
      <c r="BS199" s="803">
        <v>0.192428041287214</v>
      </c>
      <c r="BT199" s="803">
        <v>0.21657925332812503</v>
      </c>
      <c r="BW199" s="1138">
        <f>'2018'!R\Max</f>
        <v>0.82360824426848289</v>
      </c>
      <c r="BX199" s="1136">
        <f>'2019'!R\Max</f>
        <v>0.9726172859732598</v>
      </c>
      <c r="BY199" s="1136">
        <f>'2020'!R\Max</f>
        <v>0.77430806965974552</v>
      </c>
      <c r="BZ199" s="1136">
        <f>'2021'!R\Max</f>
        <v>0.60017168904500984</v>
      </c>
      <c r="CA199" s="1136">
        <f>'2022'!R\Max</f>
        <v>0.82216148637246489</v>
      </c>
      <c r="CB199" s="1136">
        <f>'2023'!R\Max</f>
        <v>0.82194371917127185</v>
      </c>
      <c r="CC199" s="1136">
        <f>'2024'!R\Max</f>
        <v>0.8217281689136291</v>
      </c>
      <c r="CD199" s="1136">
        <f>'2025'!R\Max</f>
        <v>0.82321194475635351</v>
      </c>
      <c r="CE199" s="1136">
        <f>'2026'!R\Max</f>
        <v>0.82291971778391471</v>
      </c>
      <c r="CF199" s="1137">
        <f>'2027'!R\Max</f>
        <v>0.8226542720015636</v>
      </c>
    </row>
    <row r="200" spans="1:84" s="6" customFormat="1" ht="11.25" x14ac:dyDescent="0.2">
      <c r="A200" s="11">
        <v>43286</v>
      </c>
      <c r="B200" s="380">
        <f>'2022'!Maxi_hp</f>
        <v>58.767865102105034</v>
      </c>
      <c r="C200" s="85">
        <f>'2022'!An_max</f>
        <v>2021</v>
      </c>
      <c r="D200" s="1089">
        <f t="shared" si="78"/>
        <v>1.0270428783754282</v>
      </c>
      <c r="E200" s="749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838">
        <f t="shared" si="81"/>
        <v>0.2857142857142857</v>
      </c>
      <c r="J200" s="829">
        <f t="shared" si="82"/>
        <v>57.22045918381108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838">
        <f t="shared" si="86"/>
        <v>0.6428571428571429</v>
      </c>
      <c r="AT200" s="855">
        <f t="shared" si="87"/>
        <v>57.22934356779858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838">
        <f t="shared" si="91"/>
        <v>0.8571428571428571</v>
      </c>
      <c r="AY200" s="855">
        <f t="shared" si="92"/>
        <v>57.219597667721771</v>
      </c>
      <c r="AZ200" s="829">
        <f t="shared" si="96"/>
        <v>57.224470617760176</v>
      </c>
      <c r="BA200" s="662">
        <f t="shared" si="93"/>
        <v>1.0270428783754282</v>
      </c>
      <c r="BB200" s="657">
        <v>43286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926">
        <f>1+[2]!Salcycl*Ksac</f>
        <v>1.0481724118566074</v>
      </c>
      <c r="BH200" s="1082">
        <f t="shared" si="94"/>
        <v>6.3276849645073754E-2</v>
      </c>
      <c r="BI200" s="11">
        <v>44382</v>
      </c>
      <c r="BJ200" s="803">
        <v>9.5722754291366185E-3</v>
      </c>
      <c r="BK200" s="803">
        <v>2.0918057644706639E-2</v>
      </c>
      <c r="BL200" s="803">
        <v>3.8917490041995684E-2</v>
      </c>
      <c r="BM200" s="803">
        <v>6.3275880851114283E-2</v>
      </c>
      <c r="BN200" s="803">
        <v>8.8867445509107398E-2</v>
      </c>
      <c r="BO200" s="804">
        <v>0.11099027784261899</v>
      </c>
      <c r="BP200" s="803">
        <v>0.13001226693502468</v>
      </c>
      <c r="BQ200" s="803">
        <v>0.14876240924163986</v>
      </c>
      <c r="BR200" s="803">
        <v>0.16855676169297032</v>
      </c>
      <c r="BS200" s="803">
        <v>0.19060074613479094</v>
      </c>
      <c r="BT200" s="803">
        <v>0.21471118364104672</v>
      </c>
      <c r="BW200" s="1138">
        <f>'2018'!R\Max</f>
        <v>0.70457733201458117</v>
      </c>
      <c r="BX200" s="1136">
        <f>'2019'!R\Max</f>
        <v>0.9473900987632875</v>
      </c>
      <c r="BY200" s="1136">
        <f>'2020'!R\Max</f>
        <v>0.98872791244270219</v>
      </c>
      <c r="BZ200" s="1136">
        <f>'2021'!R\Max</f>
        <v>1.0270428783754282</v>
      </c>
      <c r="CA200" s="1136">
        <f>'2022'!R\Max</f>
        <v>1.0044264330036194</v>
      </c>
      <c r="CB200" s="1136">
        <f>'2023'!R\Max</f>
        <v>1.0044264330036197</v>
      </c>
      <c r="CC200" s="1136">
        <f>'2024'!R\Max</f>
        <v>1.0044264330036194</v>
      </c>
      <c r="CD200" s="1136">
        <f>'2025'!R\Max</f>
        <v>1.0044264330036194</v>
      </c>
      <c r="CE200" s="1136">
        <f>'2026'!R\Max</f>
        <v>1.0044264330036197</v>
      </c>
      <c r="CF200" s="1137">
        <f>'2027'!R\Max</f>
        <v>1.0044264330036197</v>
      </c>
    </row>
    <row r="201" spans="1:84" s="6" customFormat="1" ht="11.25" x14ac:dyDescent="0.2">
      <c r="A201" s="11">
        <v>43287</v>
      </c>
      <c r="B201" s="380">
        <f>'2022'!Maxi_hp</f>
        <v>56.315415913154332</v>
      </c>
      <c r="C201" s="85">
        <f>'2022'!An_max</f>
        <v>2020</v>
      </c>
      <c r="D201" s="1089">
        <f t="shared" si="78"/>
        <v>0.98581961727519885</v>
      </c>
      <c r="E201" s="749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838">
        <f t="shared" si="81"/>
        <v>0.21428571428571427</v>
      </c>
      <c r="J201" s="829">
        <f t="shared" si="82"/>
        <v>57.125477040931585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838">
        <f t="shared" si="86"/>
        <v>0.6071428571428571</v>
      </c>
      <c r="AT201" s="855">
        <f t="shared" si="87"/>
        <v>57.130931065620722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838">
        <f t="shared" si="91"/>
        <v>0.8928571428571429</v>
      </c>
      <c r="AY201" s="855">
        <f t="shared" si="92"/>
        <v>57.122616538458637</v>
      </c>
      <c r="AZ201" s="829">
        <f t="shared" si="96"/>
        <v>57.126773802039679</v>
      </c>
      <c r="BA201" s="662">
        <f t="shared" si="93"/>
        <v>0.98581961727519885</v>
      </c>
      <c r="BB201" s="657">
        <v>43287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926">
        <f>1+[2]!Salcycl*Ksac</f>
        <v>1.048364884800574</v>
      </c>
      <c r="BH201" s="1082">
        <f t="shared" si="94"/>
        <v>6.2544140106709362E-2</v>
      </c>
      <c r="BI201" s="11">
        <v>44383</v>
      </c>
      <c r="BJ201" s="803">
        <v>9.3860682663737139E-3</v>
      </c>
      <c r="BK201" s="803">
        <v>2.0676139784877447E-2</v>
      </c>
      <c r="BL201" s="803">
        <v>3.8490480249576416E-2</v>
      </c>
      <c r="BM201" s="803">
        <v>6.2543186007486193E-2</v>
      </c>
      <c r="BN201" s="803">
        <v>8.7746575976334132E-2</v>
      </c>
      <c r="BO201" s="804">
        <v>0.10958092074022703</v>
      </c>
      <c r="BP201" s="803">
        <v>0.12841163738117392</v>
      </c>
      <c r="BQ201" s="803">
        <v>0.14701069593634133</v>
      </c>
      <c r="BR201" s="803">
        <v>0.16669385540779225</v>
      </c>
      <c r="BS201" s="803">
        <v>0.1886676363116998</v>
      </c>
      <c r="BT201" s="803">
        <v>0.21273751570198754</v>
      </c>
      <c r="BW201" s="1138">
        <f>'2018'!R\Max</f>
        <v>0.74677860168490173</v>
      </c>
      <c r="BX201" s="1136">
        <f>'2019'!R\Max</f>
        <v>0.95611096934378415</v>
      </c>
      <c r="BY201" s="1136">
        <f>'2020'!R\Max</f>
        <v>0.98581961727519885</v>
      </c>
      <c r="BZ201" s="1136">
        <f>'2021'!R\Max</f>
        <v>0.40339172256556965</v>
      </c>
      <c r="CA201" s="1136">
        <f>'2022'!R\Max</f>
        <v>0.82308638444567828</v>
      </c>
      <c r="CB201" s="1136">
        <f>'2023'!R\Max</f>
        <v>0.82287232157852075</v>
      </c>
      <c r="CC201" s="1136">
        <f>'2024'!R\Max</f>
        <v>0.82265989265814821</v>
      </c>
      <c r="CD201" s="1136">
        <f>'2025'!R\Max</f>
        <v>0.82411161516265086</v>
      </c>
      <c r="CE201" s="1136">
        <f>'2026'!R\Max</f>
        <v>0.8238271496946814</v>
      </c>
      <c r="CF201" s="1137">
        <f>'2027'!R\Max</f>
        <v>0.82356857850085285</v>
      </c>
    </row>
    <row r="202" spans="1:84" s="6" customFormat="1" ht="11.25" x14ac:dyDescent="0.2">
      <c r="A202" s="11">
        <v>43288</v>
      </c>
      <c r="B202" s="380">
        <f>'2022'!Maxi_hp</f>
        <v>56.989181729783134</v>
      </c>
      <c r="C202" s="85">
        <f>'2022'!An_max</f>
        <v>2018</v>
      </c>
      <c r="D202" s="1089">
        <f t="shared" si="78"/>
        <v>0.99929320661320442</v>
      </c>
      <c r="E202" s="749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838">
        <f t="shared" si="81"/>
        <v>0.14285714285714285</v>
      </c>
      <c r="J202" s="829">
        <f t="shared" si="82"/>
        <v>57.029489796023292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838">
        <f t="shared" si="86"/>
        <v>0.5714285714285714</v>
      </c>
      <c r="AT202" s="855">
        <f t="shared" si="87"/>
        <v>57.031212827889249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838">
        <f t="shared" si="91"/>
        <v>0.9285714285714286</v>
      </c>
      <c r="AY202" s="855">
        <f t="shared" si="92"/>
        <v>57.025989886971992</v>
      </c>
      <c r="AZ202" s="829">
        <f t="shared" si="96"/>
        <v>57.028601357430617</v>
      </c>
      <c r="BA202" s="662">
        <f t="shared" si="93"/>
        <v>0.99929320661320442</v>
      </c>
      <c r="BB202" s="657">
        <v>43288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926">
        <f>1+[2]!Salcycl*Ksac</f>
        <v>1.0485434283310278</v>
      </c>
      <c r="BH202" s="1082">
        <f t="shared" si="94"/>
        <v>6.1786513424921835E-2</v>
      </c>
      <c r="BI202" s="11">
        <v>44384</v>
      </c>
      <c r="BJ202" s="803">
        <v>9.1901436314281194E-3</v>
      </c>
      <c r="BK202" s="803">
        <v>2.0422296659723158E-2</v>
      </c>
      <c r="BL202" s="803">
        <v>3.805598388049828E-2</v>
      </c>
      <c r="BM202" s="803">
        <v>6.178557490986978E-2</v>
      </c>
      <c r="BN202" s="803">
        <v>8.657729496803479E-2</v>
      </c>
      <c r="BO202" s="804">
        <v>0.10809165514770995</v>
      </c>
      <c r="BP202" s="803">
        <v>0.12672023744243585</v>
      </c>
      <c r="BQ202" s="803">
        <v>0.14516050298053226</v>
      </c>
      <c r="BR202" s="803">
        <v>0.16472714281980153</v>
      </c>
      <c r="BS202" s="803">
        <v>0.18662893609999007</v>
      </c>
      <c r="BT202" s="803">
        <v>0.21065848733382292</v>
      </c>
      <c r="BW202" s="1138">
        <f>'2018'!R\Max</f>
        <v>0.99929320661320442</v>
      </c>
      <c r="BX202" s="1136">
        <f>'2019'!R\Max</f>
        <v>0.8359775287464668</v>
      </c>
      <c r="BY202" s="1136">
        <f>'2020'!R\Max</f>
        <v>0.56010001905038165</v>
      </c>
      <c r="BZ202" s="1136">
        <f>'2021'!R\Max</f>
        <v>0.68748223345095572</v>
      </c>
      <c r="CA202" s="1136">
        <f>'2022'!R\Max</f>
        <v>0.97529123471566714</v>
      </c>
      <c r="CB202" s="1136">
        <f>'2023'!R\Max</f>
        <v>0.9752560730235954</v>
      </c>
      <c r="CC202" s="1136">
        <f>'2024'!R\Max</f>
        <v>0.97522110989414679</v>
      </c>
      <c r="CD202" s="1136">
        <f>'2025'!R\Max</f>
        <v>0.97545867403385844</v>
      </c>
      <c r="CE202" s="1136">
        <f>'2026'!R\Max</f>
        <v>0.9754123036971305</v>
      </c>
      <c r="CF202" s="1137">
        <f>'2027'!R\Max</f>
        <v>0.97537013179489573</v>
      </c>
    </row>
    <row r="203" spans="1:84" s="6" customFormat="1" ht="11.25" x14ac:dyDescent="0.2">
      <c r="A203" s="11">
        <v>43289</v>
      </c>
      <c r="B203" s="380">
        <f>'2022'!Maxi_hp</f>
        <v>59.606340921073496</v>
      </c>
      <c r="C203" s="85">
        <f>'2022'!An_max</f>
        <v>2020</v>
      </c>
      <c r="D203" s="1089">
        <f t="shared" si="78"/>
        <v>1.0469651533282573</v>
      </c>
      <c r="E203" s="749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838">
        <f t="shared" si="81"/>
        <v>7.1428571428571425E-2</v>
      </c>
      <c r="J203" s="829">
        <f t="shared" si="82"/>
        <v>56.932497449019664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838">
        <f t="shared" si="86"/>
        <v>0.5357142857142857</v>
      </c>
      <c r="AT203" s="855">
        <f t="shared" si="87"/>
        <v>56.93031000607548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838">
        <f t="shared" si="91"/>
        <v>0.9642857142857143</v>
      </c>
      <c r="AY203" s="855">
        <f t="shared" si="92"/>
        <v>56.929892709082921</v>
      </c>
      <c r="AZ203" s="829">
        <f t="shared" si="96"/>
        <v>56.930101357579204</v>
      </c>
      <c r="BA203" s="662">
        <f t="shared" si="93"/>
        <v>1.0469651533282573</v>
      </c>
      <c r="BB203" s="657">
        <v>43289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926">
        <f>1+[2]!Salcycl*Ksac</f>
        <v>1.0487085313980644</v>
      </c>
      <c r="BH203" s="1082">
        <f t="shared" si="94"/>
        <v>6.1004025210108517E-2</v>
      </c>
      <c r="BI203" s="11">
        <v>44385</v>
      </c>
      <c r="BJ203" s="803">
        <v>8.9845162603246643E-3</v>
      </c>
      <c r="BK203" s="803">
        <v>2.0156551642137754E-2</v>
      </c>
      <c r="BL203" s="803">
        <v>3.7614025084998726E-2</v>
      </c>
      <c r="BM203" s="803">
        <v>6.1003103167203761E-2</v>
      </c>
      <c r="BN203" s="803">
        <v>8.5359696624296807E-2</v>
      </c>
      <c r="BO203" s="804">
        <v>0.10652262469473184</v>
      </c>
      <c r="BP203" s="803">
        <v>0.12493823267880326</v>
      </c>
      <c r="BQ203" s="803">
        <v>0.14321201435266129</v>
      </c>
      <c r="BR203" s="803">
        <v>0.16265682465014325</v>
      </c>
      <c r="BS203" s="803">
        <v>0.18448486048088833</v>
      </c>
      <c r="BT203" s="803">
        <v>0.20847432699075336</v>
      </c>
      <c r="BW203" s="1138">
        <f>'2018'!R\Max</f>
        <v>1.0016578765769484</v>
      </c>
      <c r="BX203" s="1136">
        <f>'2019'!R\Max</f>
        <v>0.60973883763498116</v>
      </c>
      <c r="BY203" s="1136">
        <f>'2020'!R\Max</f>
        <v>1.0469651533282573</v>
      </c>
      <c r="BZ203" s="1136">
        <f>'2021'!R\Max</f>
        <v>0.88580855472014319</v>
      </c>
      <c r="CA203" s="1136">
        <f>'2022'!R\Max</f>
        <v>1.0242405204973573</v>
      </c>
      <c r="CB203" s="1136">
        <f>'2023'!R\Max</f>
        <v>1.0242405204973573</v>
      </c>
      <c r="CC203" s="1136">
        <f>'2024'!R\Max</f>
        <v>1.0242405204973573</v>
      </c>
      <c r="CD203" s="1136">
        <f>'2025'!R\Max</f>
        <v>1.0242405204973573</v>
      </c>
      <c r="CE203" s="1136">
        <f>'2026'!R\Max</f>
        <v>1.0242405204973573</v>
      </c>
      <c r="CF203" s="1137">
        <f>'2027'!R\Max</f>
        <v>1.0242405204973573</v>
      </c>
    </row>
    <row r="204" spans="1:84" s="6" customFormat="1" ht="11.25" x14ac:dyDescent="0.2">
      <c r="A204" s="11">
        <v>43290</v>
      </c>
      <c r="B204" s="380">
        <f>'2022'!Maxi_hp</f>
        <v>57.657909676559214</v>
      </c>
      <c r="C204" s="85">
        <f>'2022'!An_max</f>
        <v>2022</v>
      </c>
      <c r="D204" s="1089">
        <f t="shared" si="78"/>
        <v>1.0144878493958984</v>
      </c>
      <c r="E204" s="837">
        <f>AA$13/10</f>
        <v>56.834500000000006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838">
        <f t="shared" si="81"/>
        <v>0</v>
      </c>
      <c r="J204" s="829">
        <f t="shared" si="82"/>
        <v>56.834500000067052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838">
        <f t="shared" si="86"/>
        <v>0.5</v>
      </c>
      <c r="AT204" s="855">
        <f t="shared" si="87"/>
        <v>56.828343749954364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838">
        <f t="shared" si="91"/>
        <v>1</v>
      </c>
      <c r="AY204" s="855">
        <f t="shared" si="92"/>
        <v>56.834500000067052</v>
      </c>
      <c r="AZ204" s="829">
        <f t="shared" si="96"/>
        <v>56.831421875010705</v>
      </c>
      <c r="BA204" s="662">
        <f t="shared" si="93"/>
        <v>1.0144878493958984</v>
      </c>
      <c r="BB204" s="657">
        <v>43290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926">
        <f>1+[2]!Salcycl*Ksac</f>
        <v>1.0488606991304807</v>
      </c>
      <c r="BH204" s="1082">
        <f t="shared" si="94"/>
        <v>6.019672807375151E-2</v>
      </c>
      <c r="BI204" s="11">
        <v>44386</v>
      </c>
      <c r="BJ204" s="803">
        <v>8.7691999480100299E-3</v>
      </c>
      <c r="BK204" s="803">
        <v>1.9878926924549584E-2</v>
      </c>
      <c r="BL204" s="803">
        <v>3.7164626629122226E-2</v>
      </c>
      <c r="BM204" s="803">
        <v>6.0195823389592028E-2</v>
      </c>
      <c r="BN204" s="803">
        <v>8.409386996203283E-2</v>
      </c>
      <c r="BO204" s="804">
        <v>0.10487396558891628</v>
      </c>
      <c r="BP204" s="803">
        <v>0.12306578022294101</v>
      </c>
      <c r="BQ204" s="803">
        <v>0.14116540485728948</v>
      </c>
      <c r="BR204" s="803">
        <v>0.16048309191885479</v>
      </c>
      <c r="BS204" s="803">
        <v>0.18223561448984901</v>
      </c>
      <c r="BT204" s="803">
        <v>0.20618525311301156</v>
      </c>
      <c r="BW204" s="1138">
        <f>'2018'!R\Max</f>
        <v>0.98081437225290569</v>
      </c>
      <c r="BX204" s="1136">
        <f>'2019'!R\Max</f>
        <v>0.37694084976574616</v>
      </c>
      <c r="BY204" s="1136">
        <f>'2020'!R\Max</f>
        <v>1.0072973602659923</v>
      </c>
      <c r="BZ204" s="1136">
        <f>'2021'!R\Max</f>
        <v>0.94603360439653483</v>
      </c>
      <c r="CA204" s="1136">
        <f>'2022'!R\Max</f>
        <v>1.0144878493958984</v>
      </c>
      <c r="CB204" s="1136">
        <f>'2023'!R\Max</f>
        <v>1.0144878493958986</v>
      </c>
      <c r="CC204" s="1136">
        <f>'2024'!R\Max</f>
        <v>1.0144878493958986</v>
      </c>
      <c r="CD204" s="1136">
        <f>'2025'!R\Max</f>
        <v>1.0144878493958986</v>
      </c>
      <c r="CE204" s="1136">
        <f>'2026'!R\Max</f>
        <v>1.0144878493958986</v>
      </c>
      <c r="CF204" s="1137">
        <f>'2027'!R\Max</f>
        <v>1.0144878493958986</v>
      </c>
    </row>
    <row r="205" spans="1:84" s="6" customFormat="1" ht="11.25" x14ac:dyDescent="0.2">
      <c r="A205" s="11">
        <v>43291</v>
      </c>
      <c r="B205" s="380">
        <f>'2022'!Maxi_hp</f>
        <v>57.285515204280557</v>
      </c>
      <c r="C205" s="85">
        <f>'2022'!An_max</f>
        <v>2022</v>
      </c>
      <c r="D205" s="1089">
        <f t="shared" si="78"/>
        <v>1.0097027251378037</v>
      </c>
      <c r="E205" s="749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838">
        <f t="shared" si="81"/>
        <v>7.1428571428571425E-2</v>
      </c>
      <c r="J205" s="829">
        <f t="shared" si="82"/>
        <v>56.735030794793843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838">
        <f t="shared" si="86"/>
        <v>0.4642857142857143</v>
      </c>
      <c r="AT205" s="855">
        <f t="shared" si="87"/>
        <v>56.725435210952334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838">
        <f t="shared" si="91"/>
        <v>0.9642857142857143</v>
      </c>
      <c r="AY205" s="855">
        <f t="shared" si="92"/>
        <v>56.738909191056152</v>
      </c>
      <c r="AZ205" s="829">
        <f t="shared" si="96"/>
        <v>56.732172201004246</v>
      </c>
      <c r="BA205" s="662">
        <f t="shared" si="93"/>
        <v>1.0097027251378037</v>
      </c>
      <c r="BB205" s="657">
        <v>43291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926">
        <f>1+[2]!Salcycl*Ksac</f>
        <v>1.049000449616144</v>
      </c>
      <c r="BH205" s="1082">
        <f t="shared" si="94"/>
        <v>5.9364671476244919E-2</v>
      </c>
      <c r="BI205" s="11">
        <v>44387</v>
      </c>
      <c r="BJ205" s="803">
        <v>8.5442074898342147E-3</v>
      </c>
      <c r="BK205" s="803">
        <v>1.9589443446861764E-2</v>
      </c>
      <c r="BL205" s="803">
        <v>3.6707809847495193E-2</v>
      </c>
      <c r="BM205" s="803">
        <v>5.9363785036136228E-2</v>
      </c>
      <c r="BN205" s="803">
        <v>8.2779898581617647E-2</v>
      </c>
      <c r="BO205" s="804">
        <v>0.10314580613469547</v>
      </c>
      <c r="BP205" s="803">
        <v>0.12110302823356045</v>
      </c>
      <c r="BQ205" s="803">
        <v>0.13902083953181107</v>
      </c>
      <c r="BR205" s="803">
        <v>0.15820612531918579</v>
      </c>
      <c r="BS205" s="803">
        <v>0.17988139257955216</v>
      </c>
      <c r="BT205" s="803">
        <v>0.20379147349054197</v>
      </c>
      <c r="BW205" s="1138">
        <f>'2018'!R\Max</f>
        <v>1.0068749720297658</v>
      </c>
      <c r="BX205" s="1136">
        <f>'2019'!R\Max</f>
        <v>0.97135143856676509</v>
      </c>
      <c r="BY205" s="1136">
        <f>'2020'!R\Max</f>
        <v>0.95248257423882221</v>
      </c>
      <c r="BZ205" s="1136">
        <f>'2021'!R\Max</f>
        <v>0.88962524188492209</v>
      </c>
      <c r="CA205" s="1136">
        <f>'2022'!R\Max</f>
        <v>1.0097027251378037</v>
      </c>
      <c r="CB205" s="1136">
        <f>'2023'!R\Max</f>
        <v>1.0097027251378037</v>
      </c>
      <c r="CC205" s="1136">
        <f>'2024'!R\Max</f>
        <v>1.0097027251378037</v>
      </c>
      <c r="CD205" s="1136">
        <f>'2025'!R\Max</f>
        <v>1.0097027251378037</v>
      </c>
      <c r="CE205" s="1136">
        <f>'2026'!R\Max</f>
        <v>1.0097027251378037</v>
      </c>
      <c r="CF205" s="1137">
        <f>'2027'!R\Max</f>
        <v>1.0097027251378037</v>
      </c>
    </row>
    <row r="206" spans="1:84" s="6" customFormat="1" ht="11.25" x14ac:dyDescent="0.2">
      <c r="A206" s="11">
        <v>43292</v>
      </c>
      <c r="B206" s="380">
        <f>'2022'!Maxi_hp</f>
        <v>56.244702289420005</v>
      </c>
      <c r="C206" s="85">
        <f>'2022'!An_max</f>
        <v>2019</v>
      </c>
      <c r="D206" s="1089">
        <f t="shared" si="78"/>
        <v>0.99313016779608443</v>
      </c>
      <c r="E206" s="749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838">
        <f t="shared" si="81"/>
        <v>0.14285714285714285</v>
      </c>
      <c r="J206" s="829">
        <f t="shared" si="82"/>
        <v>56.633766764165514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838">
        <f t="shared" si="86"/>
        <v>0.42857142857142855</v>
      </c>
      <c r="AT206" s="855">
        <f t="shared" si="87"/>
        <v>56.621705539418123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838">
        <f t="shared" si="91"/>
        <v>0.9285714285714286</v>
      </c>
      <c r="AY206" s="855">
        <f t="shared" si="92"/>
        <v>56.642135383647734</v>
      </c>
      <c r="AZ206" s="829">
        <f t="shared" si="96"/>
        <v>56.631920461532928</v>
      </c>
      <c r="BA206" s="662">
        <f t="shared" si="93"/>
        <v>0.99313016779608443</v>
      </c>
      <c r="BB206" s="657">
        <v>43292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926">
        <f>1+[2]!Salcycl*Ksac</f>
        <v>1.0491283106900551</v>
      </c>
      <c r="BH206" s="1082">
        <f t="shared" si="94"/>
        <v>5.8477554144922547E-2</v>
      </c>
      <c r="BI206" s="11">
        <v>44388</v>
      </c>
      <c r="BJ206" s="803">
        <v>8.3080332248466424E-3</v>
      </c>
      <c r="BK206" s="803">
        <v>1.9277588743248458E-2</v>
      </c>
      <c r="BL206" s="803">
        <v>3.6219211212666906E-2</v>
      </c>
      <c r="BM206" s="803">
        <v>5.8476686826057368E-2</v>
      </c>
      <c r="BN206" s="803">
        <v>8.1387695509121394E-2</v>
      </c>
      <c r="BO206" s="804">
        <v>0.1013133284206893</v>
      </c>
      <c r="BP206" s="803">
        <v>0.11902205853834931</v>
      </c>
      <c r="BQ206" s="803">
        <v>0.13674833814116749</v>
      </c>
      <c r="BR206" s="803">
        <v>0.15579500113924977</v>
      </c>
      <c r="BS206" s="803">
        <v>0.17739171470555645</v>
      </c>
      <c r="BT206" s="803">
        <v>0.20126310686290302</v>
      </c>
      <c r="BW206" s="1138">
        <f>'2018'!R\Max</f>
        <v>0.98730635290539226</v>
      </c>
      <c r="BX206" s="1136">
        <f>'2019'!R\Max</f>
        <v>0.99313016779608443</v>
      </c>
      <c r="BY206" s="1136">
        <f>'2020'!R\Max</f>
        <v>0.82784691395786825</v>
      </c>
      <c r="BZ206" s="1136">
        <f>'2021'!R\Max</f>
        <v>0.93983897544674466</v>
      </c>
      <c r="CA206" s="1136">
        <f>'2022'!R\Max</f>
        <v>0.98743197525378756</v>
      </c>
      <c r="CB206" s="1136">
        <f>'2023'!R\Max</f>
        <v>0.98741456316324117</v>
      </c>
      <c r="CC206" s="1136">
        <f>'2024'!R\Max</f>
        <v>0.98739710384777124</v>
      </c>
      <c r="CD206" s="1136">
        <f>'2025'!R\Max</f>
        <v>0.98751289816942989</v>
      </c>
      <c r="CE206" s="1136">
        <f>'2026'!R\Max</f>
        <v>0.98749056671605007</v>
      </c>
      <c r="CF206" s="1137">
        <f>'2027'!R\Max</f>
        <v>0.9874703157692365</v>
      </c>
    </row>
    <row r="207" spans="1:84" s="6" customFormat="1" ht="11.25" x14ac:dyDescent="0.2">
      <c r="A207" s="11">
        <v>43293</v>
      </c>
      <c r="B207" s="380">
        <f>'2022'!Maxi_hp</f>
        <v>57.631675116560842</v>
      </c>
      <c r="C207" s="85">
        <f>'2022'!An_max</f>
        <v>2019</v>
      </c>
      <c r="D207" s="1089">
        <f t="shared" ref="D207:D270" si="97">IF($BA207&gt;$D$11,BA207,"")</f>
        <v>1.019471676122599</v>
      </c>
      <c r="E207" s="749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838">
        <f t="shared" ref="I207:I270" si="100">($A207-H207)/(INDEX(x.2m,G207)-H207)</f>
        <v>0.21428571428571427</v>
      </c>
      <c r="J207" s="829">
        <f t="shared" ref="J207:J270" si="101">((1-I207)*(INDEX(a.m,F207)*$A207*$A207+INDEX(b.m,F207)*$A207+INDEX(c.m,F207))+I207*(INDEX(a.m,G207)*$A207*$A207+INDEX(b.m,G207)*$A207+INDEX(c.m,G207)))/10</f>
        <v>56.530923287397151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838">
        <f t="shared" ref="AS207:AS270" si="105">($A207-AR207)/(INDEX(x.2lg,AQ207)-AR207)</f>
        <v>0.39285714285714285</v>
      </c>
      <c r="AT207" s="855">
        <f t="shared" ref="AT207:AT270" si="106">((1-AS207)*(INDEX(a.lg,AP207)*$A207*$A207+INDEX(b.lg,AP207)*$A207+INDEX(c.lg,AP207))+AS207*(INDEX(a.lg,AQ207)*$A207*$A207+INDEX(b.lg,AQ207)*$A207+INDEX(c.lg,AQ207)))/10</f>
        <v>56.517275886127869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838">
        <f t="shared" ref="AX207:AX270" si="110">($A207-AW207)/(INDEX(x.2ld,AV207)-AW207)</f>
        <v>0.8928571428571429</v>
      </c>
      <c r="AY207" s="855">
        <f t="shared" ref="AY207:AY270" si="111">((1-AX207)*(INDEX(a.ld,AU207)*$A207*$A207+INDEX(b.ld,AU207)*$A207+INDEX(c.ld,AU207))+AX207*(INDEX(a.ld,AV207)*$A207*$A207+INDEX(b.ld,AV207)*$A207+INDEX(c.ld,AV207)))/10</f>
        <v>56.54423007838195</v>
      </c>
      <c r="AZ207" s="829">
        <f t="shared" si="96"/>
        <v>56.53075298225491</v>
      </c>
      <c r="BA207" s="662">
        <f t="shared" ref="BA207:BA270" si="112">+B207/J207</f>
        <v>1.019471676122599</v>
      </c>
      <c r="BB207" s="657">
        <v>43293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926">
        <f>1+[2]!Salcycl*Ksac</f>
        <v>1.0492448167531321</v>
      </c>
      <c r="BH207" s="1082">
        <f t="shared" ref="BH207:BH270" si="113">INDEX($BJ207:$BT207,,$BH$10)*(1-Ratini)+INDEX($BJ207:$BT207,,$BH$10+1)*Ratini</f>
        <v>5.754159456743585E-2</v>
      </c>
      <c r="BI207" s="11">
        <v>44389</v>
      </c>
      <c r="BJ207" s="803">
        <v>8.0668315065805362E-3</v>
      </c>
      <c r="BK207" s="803">
        <v>1.8949182411369406E-2</v>
      </c>
      <c r="BL207" s="803">
        <v>3.5694648442980655E-2</v>
      </c>
      <c r="BM207" s="803">
        <v>5.7540746670736075E-2</v>
      </c>
      <c r="BN207" s="803">
        <v>7.9938701368399007E-2</v>
      </c>
      <c r="BO207" s="804">
        <v>9.9423790935260173E-2</v>
      </c>
      <c r="BP207" s="803">
        <v>0.11687576225850298</v>
      </c>
      <c r="BQ207" s="803">
        <v>0.13440543516684647</v>
      </c>
      <c r="BR207" s="803">
        <v>0.1533105109548854</v>
      </c>
      <c r="BS207" s="803">
        <v>0.17482943143787613</v>
      </c>
      <c r="BT207" s="803">
        <v>0.19866342936357365</v>
      </c>
      <c r="BW207" s="1138">
        <f>'2018'!R\Max</f>
        <v>0.8162213152844694</v>
      </c>
      <c r="BX207" s="1136">
        <f>'2019'!R\Max</f>
        <v>1.019471676122599</v>
      </c>
      <c r="BY207" s="1136">
        <f>'2020'!R\Max</f>
        <v>0.71916325317034435</v>
      </c>
      <c r="BZ207" s="1136">
        <f>'2021'!R\Max</f>
        <v>0.25489931921437148</v>
      </c>
      <c r="CA207" s="1136">
        <f>'2022'!R\Max</f>
        <v>0.98078603069848602</v>
      </c>
      <c r="CB207" s="1136">
        <f>'2023'!R\Max</f>
        <v>0.98075990372236799</v>
      </c>
      <c r="CC207" s="1136">
        <f>'2024'!R\Max</f>
        <v>0.98073363528940372</v>
      </c>
      <c r="CD207" s="1136">
        <f>'2025'!R\Max</f>
        <v>0.98090662958812991</v>
      </c>
      <c r="CE207" s="1136">
        <f>'2026'!R\Max</f>
        <v>0.98087338157929194</v>
      </c>
      <c r="CF207" s="1137">
        <f>'2027'!R\Max</f>
        <v>0.98084325719037957</v>
      </c>
    </row>
    <row r="208" spans="1:84" s="6" customFormat="1" ht="11.25" x14ac:dyDescent="0.2">
      <c r="A208" s="11">
        <v>43294</v>
      </c>
      <c r="B208" s="380">
        <f>'2022'!Maxi_hp</f>
        <v>55.734625424690442</v>
      </c>
      <c r="C208" s="85">
        <f>'2022'!An_max</f>
        <v>2022</v>
      </c>
      <c r="D208" s="1089">
        <f t="shared" si="97"/>
        <v>0.98773470492286641</v>
      </c>
      <c r="E208" s="749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838">
        <f t="shared" si="100"/>
        <v>0.2857142857142857</v>
      </c>
      <c r="J208" s="829">
        <f t="shared" si="101"/>
        <v>56.42671574351823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838">
        <f t="shared" si="105"/>
        <v>0.35714285714285715</v>
      </c>
      <c r="AT208" s="855">
        <f t="shared" si="106"/>
        <v>56.412267401571647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838">
        <f t="shared" si="110"/>
        <v>0.8571428571428571</v>
      </c>
      <c r="AY208" s="855">
        <f t="shared" si="111"/>
        <v>56.445244775965271</v>
      </c>
      <c r="AZ208" s="829">
        <f t="shared" ref="AZ208:AZ271" si="115">(AY208+AT208)/2</f>
        <v>56.428756088768459</v>
      </c>
      <c r="BA208" s="662">
        <f t="shared" si="112"/>
        <v>0.98773470492286641</v>
      </c>
      <c r="BB208" s="657">
        <v>43294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926">
        <f>1+[2]!Salcycl*Ksac</f>
        <v>1.0493505056441634</v>
      </c>
      <c r="BH208" s="1082">
        <f t="shared" si="113"/>
        <v>5.6556860039610142E-2</v>
      </c>
      <c r="BI208" s="11">
        <v>44390</v>
      </c>
      <c r="BJ208" s="803">
        <v>7.8206061458992292E-3</v>
      </c>
      <c r="BK208" s="803">
        <v>1.8604246572901158E-2</v>
      </c>
      <c r="BL208" s="803">
        <v>3.5134172017563185E-2</v>
      </c>
      <c r="BM208" s="803">
        <v>5.6556031865697194E-2</v>
      </c>
      <c r="BN208" s="803">
        <v>7.8432991392827195E-2</v>
      </c>
      <c r="BO208" s="804">
        <v>9.7477267763352859E-2</v>
      </c>
      <c r="BP208" s="803">
        <v>0.11466422661241758</v>
      </c>
      <c r="BQ208" s="803">
        <v>0.13199222889872755</v>
      </c>
      <c r="BR208" s="803">
        <v>0.15075276404751065</v>
      </c>
      <c r="BS208" s="803">
        <v>0.17219466200270492</v>
      </c>
      <c r="BT208" s="803">
        <v>0.19599257216767713</v>
      </c>
      <c r="BW208" s="1138">
        <f>'2018'!R\Max</f>
        <v>0.96414471599561269</v>
      </c>
      <c r="BX208" s="1136">
        <f>'2019'!R\Max</f>
        <v>0.9671910861666051</v>
      </c>
      <c r="BY208" s="1136">
        <f>'2020'!R\Max</f>
        <v>0.64632369611139051</v>
      </c>
      <c r="BZ208" s="1136">
        <f>'2021'!R\Max</f>
        <v>0.48908309009551243</v>
      </c>
      <c r="CA208" s="1136">
        <f>'2022'!R\Max</f>
        <v>0.98773470492286641</v>
      </c>
      <c r="CB208" s="1136">
        <f>'2023'!R\Max</f>
        <v>0.98771811991293323</v>
      </c>
      <c r="CC208" s="1136">
        <f>'2024'!R\Max</f>
        <v>0.98770139503617349</v>
      </c>
      <c r="CD208" s="1136">
        <f>'2025'!R\Max</f>
        <v>0.98781073479782622</v>
      </c>
      <c r="CE208" s="1136">
        <f>'2026'!R\Max</f>
        <v>0.98778980102278258</v>
      </c>
      <c r="CF208" s="1137">
        <f>'2027'!R\Max</f>
        <v>0.9877708440740558</v>
      </c>
    </row>
    <row r="209" spans="1:84" s="6" customFormat="1" ht="11.25" x14ac:dyDescent="0.2">
      <c r="A209" s="11">
        <v>43295</v>
      </c>
      <c r="B209" s="380">
        <f>'2022'!Maxi_hp</f>
        <v>56.367501147703905</v>
      </c>
      <c r="C209" s="85">
        <f>'2022'!An_max</f>
        <v>2019</v>
      </c>
      <c r="D209" s="1089">
        <f t="shared" si="97"/>
        <v>1.0008192564296639</v>
      </c>
      <c r="E209" s="749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838">
        <f t="shared" si="100"/>
        <v>0.35714285714285715</v>
      </c>
      <c r="J209" s="829">
        <f t="shared" si="101"/>
        <v>56.321359511796459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838">
        <f t="shared" si="105"/>
        <v>0.32142857142857145</v>
      </c>
      <c r="AT209" s="855">
        <f t="shared" si="106"/>
        <v>56.306801236879878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838">
        <f t="shared" si="110"/>
        <v>0.8214285714285714</v>
      </c>
      <c r="AY209" s="855">
        <f t="shared" si="111"/>
        <v>56.345230976879655</v>
      </c>
      <c r="AZ209" s="829">
        <f t="shared" si="115"/>
        <v>56.326016106879763</v>
      </c>
      <c r="BA209" s="662">
        <f t="shared" si="112"/>
        <v>1.0008192564296639</v>
      </c>
      <c r="BB209" s="657">
        <v>43295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926">
        <f>1+[2]!Salcycl*Ksac</f>
        <v>1.0494459155865847</v>
      </c>
      <c r="BH209" s="1082">
        <f t="shared" si="113"/>
        <v>5.552341234185889E-2</v>
      </c>
      <c r="BI209" s="11">
        <v>44391</v>
      </c>
      <c r="BJ209" s="803">
        <v>7.5693600359726144E-3</v>
      </c>
      <c r="BK209" s="803">
        <v>1.8242801453120946E-2</v>
      </c>
      <c r="BL209" s="803">
        <v>3.4537828750816034E-2</v>
      </c>
      <c r="BM209" s="803">
        <v>5.552260419112056E-2</v>
      </c>
      <c r="BN209" s="803">
        <v>7.6870633533569988E-2</v>
      </c>
      <c r="BO209" s="804">
        <v>9.5473824629215345E-2</v>
      </c>
      <c r="BP209" s="803">
        <v>0.11238752928853324</v>
      </c>
      <c r="BQ209" s="803">
        <v>0.1295088072865859</v>
      </c>
      <c r="BR209" s="803">
        <v>0.14812185882303805</v>
      </c>
      <c r="BS209" s="803">
        <v>0.16948751461967071</v>
      </c>
      <c r="BT209" s="803">
        <v>0.19325065544688544</v>
      </c>
      <c r="BW209" s="1138">
        <f>'2018'!R\Max</f>
        <v>0.91771151643246518</v>
      </c>
      <c r="BX209" s="1136">
        <f>'2019'!R\Max</f>
        <v>1.0008192564296639</v>
      </c>
      <c r="BY209" s="1136">
        <f>'2020'!R\Max</f>
        <v>0.98757928246206339</v>
      </c>
      <c r="BZ209" s="1136">
        <f>'2021'!R\Max</f>
        <v>0.52553291636871347</v>
      </c>
      <c r="CA209" s="1136">
        <f>'2022'!R\Max</f>
        <v>0.9742088069800684</v>
      </c>
      <c r="CB209" s="1136">
        <f>'2023'!R\Max</f>
        <v>0.97417487049480245</v>
      </c>
      <c r="CC209" s="1136">
        <f>'2024'!R\Max</f>
        <v>0.97414053714103244</v>
      </c>
      <c r="CD209" s="1136">
        <f>'2025'!R\Max</f>
        <v>0.97436334723080653</v>
      </c>
      <c r="CE209" s="1136">
        <f>'2026'!R\Max</f>
        <v>0.97432085886364317</v>
      </c>
      <c r="CF209" s="1137">
        <f>'2027'!R\Max</f>
        <v>0.97428239384995907</v>
      </c>
    </row>
    <row r="210" spans="1:84" s="6" customFormat="1" ht="11.25" x14ac:dyDescent="0.2">
      <c r="A210" s="11">
        <v>43296</v>
      </c>
      <c r="B210" s="380">
        <f>'2022'!Maxi_hp</f>
        <v>57.830639820469678</v>
      </c>
      <c r="C210" s="85">
        <f>'2022'!An_max</f>
        <v>2019</v>
      </c>
      <c r="D210" s="1089">
        <f t="shared" si="97"/>
        <v>1.0287390881207668</v>
      </c>
      <c r="E210" s="749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838">
        <f t="shared" si="100"/>
        <v>0.42857142857142855</v>
      </c>
      <c r="J210" s="829">
        <f t="shared" si="101"/>
        <v>56.215069970862011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838">
        <f t="shared" si="105"/>
        <v>0.2857142857142857</v>
      </c>
      <c r="AT210" s="855">
        <f t="shared" si="106"/>
        <v>56.200998542338084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838">
        <f t="shared" si="110"/>
        <v>0.7857142857142857</v>
      </c>
      <c r="AY210" s="855">
        <f t="shared" si="111"/>
        <v>56.244240182002876</v>
      </c>
      <c r="AZ210" s="829">
        <f t="shared" si="115"/>
        <v>56.222619362170477</v>
      </c>
      <c r="BA210" s="662">
        <f t="shared" si="112"/>
        <v>1.0287390881207668</v>
      </c>
      <c r="BB210" s="657">
        <v>43296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926">
        <f>1+[2]!Salcycl*Ksac</f>
        <v>1.0495315822307516</v>
      </c>
      <c r="BH210" s="1082">
        <f t="shared" si="113"/>
        <v>5.4441307443885346E-2</v>
      </c>
      <c r="BI210" s="11">
        <v>44392</v>
      </c>
      <c r="BJ210" s="803">
        <v>7.313095121076728E-3</v>
      </c>
      <c r="BK210" s="803">
        <v>1.7864865280800234E-2</v>
      </c>
      <c r="BL210" s="803">
        <v>3.3905661576048067E-2</v>
      </c>
      <c r="BM210" s="803">
        <v>5.4440519616544614E-2</v>
      </c>
      <c r="BN210" s="803">
        <v>7.5251688113936219E-2</v>
      </c>
      <c r="BO210" s="804">
        <v>9.3413518546246022E-2</v>
      </c>
      <c r="BP210" s="803">
        <v>0.11004573804442448</v>
      </c>
      <c r="BQ210" s="803">
        <v>0.12695524750757761</v>
      </c>
      <c r="BR210" s="803">
        <v>0.14541788236044662</v>
      </c>
      <c r="BS210" s="803">
        <v>0.16670808605372067</v>
      </c>
      <c r="BT210" s="803">
        <v>0.19043778792788793</v>
      </c>
      <c r="BW210" s="1138">
        <f>'2018'!R\Max</f>
        <v>0.97719636318692604</v>
      </c>
      <c r="BX210" s="1136">
        <f>'2019'!R\Max</f>
        <v>1.0287390881207668</v>
      </c>
      <c r="BY210" s="1136">
        <f>'2020'!R\Max</f>
        <v>0.83441537656667286</v>
      </c>
      <c r="BZ210" s="1136">
        <f>'2021'!R\Max</f>
        <v>0.53633302084485102</v>
      </c>
      <c r="CA210" s="1136">
        <f>'2022'!R\Max</f>
        <v>0.93599634087180839</v>
      </c>
      <c r="CB210" s="1136">
        <f>'2023'!R\Max</f>
        <v>0.93591657821328633</v>
      </c>
      <c r="CC210" s="1136">
        <f>'2024'!R\Max</f>
        <v>0.93583560243916752</v>
      </c>
      <c r="CD210" s="1136">
        <f>'2025'!R\Max</f>
        <v>0.93635723460416542</v>
      </c>
      <c r="CE210" s="1136">
        <f>'2026'!R\Max</f>
        <v>0.93625817549543133</v>
      </c>
      <c r="CF210" s="1137">
        <f>'2027'!R\Max</f>
        <v>0.93616849854614126</v>
      </c>
    </row>
    <row r="211" spans="1:84" s="6" customFormat="1" ht="11.25" x14ac:dyDescent="0.2">
      <c r="A211" s="11">
        <v>43297</v>
      </c>
      <c r="B211" s="380">
        <f>'2022'!Maxi_hp</f>
        <v>57.203978991704709</v>
      </c>
      <c r="C211" s="85">
        <f>'2022'!An_max</f>
        <v>2019</v>
      </c>
      <c r="D211" s="1089">
        <f t="shared" si="97"/>
        <v>1.0195322462193368</v>
      </c>
      <c r="E211" s="749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838">
        <f t="shared" si="100"/>
        <v>0.5</v>
      </c>
      <c r="J211" s="829">
        <f t="shared" si="101"/>
        <v>56.108062500063532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838">
        <f t="shared" si="105"/>
        <v>0.25</v>
      </c>
      <c r="AT211" s="855">
        <f t="shared" si="106"/>
        <v>56.09498046877561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838">
        <f t="shared" si="110"/>
        <v>0.75</v>
      </c>
      <c r="AY211" s="855">
        <f t="shared" si="111"/>
        <v>56.14232389162062</v>
      </c>
      <c r="AZ211" s="829">
        <f t="shared" si="115"/>
        <v>56.118652180198112</v>
      </c>
      <c r="BA211" s="662">
        <f t="shared" si="112"/>
        <v>1.0195322462193368</v>
      </c>
      <c r="BB211" s="657">
        <v>43297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926">
        <f>1+[2]!Salcycl*Ksac</f>
        <v>1.0496080358112205</v>
      </c>
      <c r="BH211" s="1082">
        <f t="shared" si="113"/>
        <v>5.3310595207185701E-2</v>
      </c>
      <c r="BI211" s="11">
        <v>44393</v>
      </c>
      <c r="BJ211" s="803">
        <v>7.0518123650871066E-3</v>
      </c>
      <c r="BK211" s="803">
        <v>1.7470454187374463E-2</v>
      </c>
      <c r="BL211" s="803">
        <v>3.3237709327742802E-2</v>
      </c>
      <c r="BM211" s="803">
        <v>5.3309828003371466E-2</v>
      </c>
      <c r="BN211" s="803">
        <v>7.3576207480684844E-2</v>
      </c>
      <c r="BO211" s="804">
        <v>9.1296397463046255E-2</v>
      </c>
      <c r="BP211" s="803">
        <v>0.10763891030142825</v>
      </c>
      <c r="BQ211" s="803">
        <v>0.12433161552859079</v>
      </c>
      <c r="BR211" s="803">
        <v>0.14264090995449327</v>
      </c>
      <c r="BS211" s="803">
        <v>0.16385646116031716</v>
      </c>
      <c r="BT211" s="803">
        <v>0.18755406644325323</v>
      </c>
      <c r="BW211" s="1138">
        <f>'2018'!R\Max</f>
        <v>0.4354233526231413</v>
      </c>
      <c r="BX211" s="1136">
        <f>'2019'!R\Max</f>
        <v>1.0195322462193368</v>
      </c>
      <c r="BY211" s="1136">
        <f>'2020'!R\Max</f>
        <v>0.36724511425760525</v>
      </c>
      <c r="BZ211" s="1136">
        <f>'2021'!R\Max</f>
        <v>0.80535603083583662</v>
      </c>
      <c r="CA211" s="1136">
        <f>'2022'!R\Max</f>
        <v>0.97368298647822382</v>
      </c>
      <c r="CB211" s="1136">
        <f>'2023'!R\Max</f>
        <v>0.97364937968131082</v>
      </c>
      <c r="CC211" s="1136">
        <f>'2024'!R\Max</f>
        <v>0.97361512513729453</v>
      </c>
      <c r="CD211" s="1136">
        <f>'2025'!R\Max</f>
        <v>0.97383399036196161</v>
      </c>
      <c r="CE211" s="1136">
        <f>'2026'!R\Max</f>
        <v>0.97379263688327877</v>
      </c>
      <c r="CF211" s="1137">
        <f>'2027'!R\Max</f>
        <v>0.97375517794296473</v>
      </c>
    </row>
    <row r="212" spans="1:84" s="6" customFormat="1" ht="11.25" x14ac:dyDescent="0.2">
      <c r="A212" s="11">
        <v>43298</v>
      </c>
      <c r="B212" s="380">
        <f>'2022'!Maxi_hp</f>
        <v>57.205914857920881</v>
      </c>
      <c r="C212" s="85">
        <f>'2022'!An_max</f>
        <v>2021</v>
      </c>
      <c r="D212" s="1089">
        <f t="shared" si="97"/>
        <v>1.0215241158608572</v>
      </c>
      <c r="E212" s="749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838">
        <f t="shared" si="100"/>
        <v>0.5714285714285714</v>
      </c>
      <c r="J212" s="829">
        <f t="shared" si="101"/>
        <v>56.000552478110023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838">
        <f t="shared" si="105"/>
        <v>0.21428571428571427</v>
      </c>
      <c r="AT212" s="855">
        <f t="shared" si="106"/>
        <v>55.988868167008533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838">
        <f t="shared" si="110"/>
        <v>0.7142857142857143</v>
      </c>
      <c r="AY212" s="855">
        <f t="shared" si="111"/>
        <v>56.0395336067171</v>
      </c>
      <c r="AZ212" s="829">
        <f t="shared" si="115"/>
        <v>56.014200886862817</v>
      </c>
      <c r="BA212" s="662">
        <f t="shared" si="112"/>
        <v>1.0215241158608572</v>
      </c>
      <c r="BB212" s="657">
        <v>43298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926">
        <f>1+[2]!Salcycl*Ksac</f>
        <v>1.0496757984372078</v>
      </c>
      <c r="BH212" s="1082">
        <f t="shared" si="113"/>
        <v>5.2126646737693128E-2</v>
      </c>
      <c r="BI212" s="11">
        <v>44394</v>
      </c>
      <c r="BJ212" s="803">
        <v>6.7866229641511747E-3</v>
      </c>
      <c r="BK212" s="803">
        <v>1.7058295711944522E-2</v>
      </c>
      <c r="BL212" s="803">
        <v>3.2531115188906751E-2</v>
      </c>
      <c r="BM212" s="803">
        <v>5.2125900466565157E-2</v>
      </c>
      <c r="BN212" s="803">
        <v>7.1839324190134654E-2</v>
      </c>
      <c r="BO212" s="804">
        <v>8.9114824189043415E-2</v>
      </c>
      <c r="BP212" s="803">
        <v>0.10515850168308499</v>
      </c>
      <c r="BQ212" s="803">
        <v>0.12162898281464669</v>
      </c>
      <c r="BR212" s="803">
        <v>0.13978428269370005</v>
      </c>
      <c r="BS212" s="803">
        <v>0.16092895503093962</v>
      </c>
      <c r="BT212" s="803">
        <v>0.18460042780872157</v>
      </c>
      <c r="BW212" s="1138">
        <f>'2018'!R\Max</f>
        <v>0.84196775829801895</v>
      </c>
      <c r="BX212" s="1136">
        <f>'2019'!R\Max</f>
        <v>0.89326136296898451</v>
      </c>
      <c r="BY212" s="1136">
        <f>'2020'!R\Max</f>
        <v>0.45393504690934244</v>
      </c>
      <c r="BZ212" s="1136">
        <f>'2021'!R\Max</f>
        <v>1.0215241158608572</v>
      </c>
      <c r="CA212" s="1136">
        <f>'2022'!R\Max</f>
        <v>0.97513526910662185</v>
      </c>
      <c r="CB212" s="1136">
        <f>'2023'!R\Max</f>
        <v>0.97510397638221114</v>
      </c>
      <c r="CC212" s="1136">
        <f>'2024'!R\Max</f>
        <v>0.97507194393321794</v>
      </c>
      <c r="CD212" s="1136">
        <f>'2025'!R\Max</f>
        <v>0.97527493894066541</v>
      </c>
      <c r="CE212" s="1136">
        <f>'2026'!R\Max</f>
        <v>0.97523678015924664</v>
      </c>
      <c r="CF212" s="1137">
        <f>'2027'!R\Max</f>
        <v>0.97520218816636584</v>
      </c>
    </row>
    <row r="213" spans="1:84" s="6" customFormat="1" ht="11.25" x14ac:dyDescent="0.2">
      <c r="A213" s="11">
        <v>43299</v>
      </c>
      <c r="B213" s="380">
        <f>'2022'!Maxi_hp</f>
        <v>55.474211028817379</v>
      </c>
      <c r="C213" s="85">
        <f>'2022'!An_max</f>
        <v>2022</v>
      </c>
      <c r="D213" s="1089">
        <f t="shared" si="97"/>
        <v>0.99251165462517221</v>
      </c>
      <c r="E213" s="749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838">
        <f t="shared" si="100"/>
        <v>0.6428571428571429</v>
      </c>
      <c r="J213" s="829">
        <f t="shared" si="101"/>
        <v>55.892755284337227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838">
        <f t="shared" si="105"/>
        <v>0.17857142857142858</v>
      </c>
      <c r="AT213" s="855">
        <f t="shared" si="106"/>
        <v>55.882782787550241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838">
        <f t="shared" si="110"/>
        <v>0.6785714285714286</v>
      </c>
      <c r="AY213" s="855">
        <f t="shared" si="111"/>
        <v>55.93592082755972</v>
      </c>
      <c r="AZ213" s="829">
        <f t="shared" si="115"/>
        <v>55.909351807554984</v>
      </c>
      <c r="BA213" s="662">
        <f t="shared" si="112"/>
        <v>0.99251165462517221</v>
      </c>
      <c r="BB213" s="657">
        <v>43299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926">
        <f>1+[2]!Salcycl*Ksac</f>
        <v>1.0497353815329027</v>
      </c>
      <c r="BH213" s="1082">
        <f t="shared" si="113"/>
        <v>5.0909294058029624E-2</v>
      </c>
      <c r="BI213" s="11">
        <v>44395</v>
      </c>
      <c r="BJ213" s="803">
        <v>6.5213076253935985E-3</v>
      </c>
      <c r="BK213" s="803">
        <v>1.6634866069626109E-2</v>
      </c>
      <c r="BL213" s="803">
        <v>3.1798246593275618E-2</v>
      </c>
      <c r="BM213" s="803">
        <v>5.0908568697027312E-2</v>
      </c>
      <c r="BN213" s="803">
        <v>7.0069632625694045E-2</v>
      </c>
      <c r="BO213" s="804">
        <v>8.6903437102070824E-2</v>
      </c>
      <c r="BP213" s="803">
        <v>0.1026446801731038</v>
      </c>
      <c r="BQ213" s="803">
        <v>0.11889085241842372</v>
      </c>
      <c r="BR213" s="803">
        <v>0.13689381718621987</v>
      </c>
      <c r="BS213" s="803">
        <v>0.15797134197368273</v>
      </c>
      <c r="BT213" s="803">
        <v>0.18162221672537343</v>
      </c>
      <c r="BW213" s="1138">
        <f>'2018'!R\Max</f>
        <v>0.78156421408562293</v>
      </c>
      <c r="BX213" s="1136">
        <f>'2019'!R\Max</f>
        <v>0.70838670032168882</v>
      </c>
      <c r="BY213" s="1136">
        <f>'2020'!R\Max</f>
        <v>0.47633588871147498</v>
      </c>
      <c r="BZ213" s="1136">
        <f>'2021'!R\Max</f>
        <v>0.95650936517812568</v>
      </c>
      <c r="CA213" s="1136">
        <f>'2022'!R\Max</f>
        <v>0.99251165462517221</v>
      </c>
      <c r="CB213" s="1136">
        <f>'2023'!R\Max</f>
        <v>0.99250222115106101</v>
      </c>
      <c r="CC213" s="1136">
        <f>'2024'!R\Max</f>
        <v>0.99249252022155543</v>
      </c>
      <c r="CD213" s="1136">
        <f>'2025'!R\Max</f>
        <v>0.99255347559961027</v>
      </c>
      <c r="CE213" s="1136">
        <f>'2026'!R\Max</f>
        <v>0.99254208005069178</v>
      </c>
      <c r="CF213" s="1137">
        <f>'2027'!R\Max</f>
        <v>0.99253173851514376</v>
      </c>
    </row>
    <row r="214" spans="1:84" s="6" customFormat="1" ht="11.25" x14ac:dyDescent="0.2">
      <c r="A214" s="11">
        <v>43300</v>
      </c>
      <c r="B214" s="380">
        <f>'2022'!Maxi_hp</f>
        <v>57.76277955645417</v>
      </c>
      <c r="C214" s="85">
        <f>'2022'!An_max</f>
        <v>2021</v>
      </c>
      <c r="D214" s="1089">
        <f t="shared" si="97"/>
        <v>1.035455719107637</v>
      </c>
      <c r="E214" s="749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838">
        <f t="shared" si="100"/>
        <v>0.7142857142857143</v>
      </c>
      <c r="J214" s="829">
        <f t="shared" si="101"/>
        <v>55.78488629744065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838">
        <f t="shared" si="105"/>
        <v>0.14285714285714285</v>
      </c>
      <c r="AT214" s="855">
        <f t="shared" si="106"/>
        <v>55.776845481060448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838">
        <f t="shared" si="110"/>
        <v>0.6428571428571429</v>
      </c>
      <c r="AY214" s="855">
        <f t="shared" si="111"/>
        <v>55.831537055197565</v>
      </c>
      <c r="AZ214" s="829">
        <f t="shared" si="115"/>
        <v>55.804191268129003</v>
      </c>
      <c r="BA214" s="662">
        <f t="shared" si="112"/>
        <v>1.035455719107637</v>
      </c>
      <c r="BB214" s="657">
        <v>43300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926">
        <f>1+[2]!Salcycl*Ksac</f>
        <v>1.0497872834426762</v>
      </c>
      <c r="BH214" s="1082">
        <f t="shared" si="113"/>
        <v>4.9658551983867621E-2</v>
      </c>
      <c r="BI214" s="11">
        <v>44396</v>
      </c>
      <c r="BJ214" s="803">
        <v>6.2558594613055518E-3</v>
      </c>
      <c r="BK214" s="803">
        <v>1.6200169393984071E-2</v>
      </c>
      <c r="BL214" s="803">
        <v>3.1039119444104285E-2</v>
      </c>
      <c r="BM214" s="803">
        <v>4.9657847510874979E-2</v>
      </c>
      <c r="BN214" s="803">
        <v>6.8267135858414166E-2</v>
      </c>
      <c r="BO214" s="804">
        <v>8.4662228258649205E-2</v>
      </c>
      <c r="BP214" s="803">
        <v>0.100097438649076</v>
      </c>
      <c r="BQ214" s="803">
        <v>0.11611722006982149</v>
      </c>
      <c r="BR214" s="803">
        <v>0.13396951229802009</v>
      </c>
      <c r="BS214" s="803">
        <v>0.15498362734445212</v>
      </c>
      <c r="BT214" s="803">
        <v>0.17861944674380692</v>
      </c>
      <c r="BW214" s="1138">
        <f>'2018'!R\Max</f>
        <v>0.98050800489711953</v>
      </c>
      <c r="BX214" s="1136">
        <f>'2019'!R\Max</f>
        <v>0.99358268427693741</v>
      </c>
      <c r="BY214" s="1136">
        <f>'2020'!R\Max</f>
        <v>1.0158941921774756</v>
      </c>
      <c r="BZ214" s="1136">
        <f>'2021'!R\Max</f>
        <v>1.035455719107637</v>
      </c>
      <c r="CA214" s="1136">
        <f>'2022'!R\Max</f>
        <v>0.67792430141666349</v>
      </c>
      <c r="CB214" s="1136">
        <f>'2023'!R\Max</f>
        <v>0.67765204505042653</v>
      </c>
      <c r="CC214" s="1136">
        <f>'2024'!R\Max</f>
        <v>0.67737093456089814</v>
      </c>
      <c r="CD214" s="1136">
        <f>'2025'!R\Max</f>
        <v>0.67912587340596509</v>
      </c>
      <c r="CE214" s="1136">
        <f>'2026'!R\Max</f>
        <v>0.67879896813486096</v>
      </c>
      <c r="CF214" s="1137">
        <f>'2027'!R\Max</f>
        <v>0.6785021789632687</v>
      </c>
    </row>
    <row r="215" spans="1:84" s="6" customFormat="1" ht="11.25" x14ac:dyDescent="0.2">
      <c r="A215" s="11">
        <v>43301</v>
      </c>
      <c r="B215" s="380">
        <f>'2022'!Maxi_hp</f>
        <v>55.682250887635263</v>
      </c>
      <c r="C215" s="85">
        <f>'2022'!An_max</f>
        <v>2020</v>
      </c>
      <c r="D215" s="1089">
        <f t="shared" si="97"/>
        <v>1.0000914197315955</v>
      </c>
      <c r="E215" s="749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838">
        <f t="shared" si="100"/>
        <v>0.7857142857142857</v>
      </c>
      <c r="J215" s="829">
        <f t="shared" si="101"/>
        <v>55.677160896530097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838">
        <f t="shared" si="105"/>
        <v>0.10714285714285714</v>
      </c>
      <c r="AT215" s="855">
        <f t="shared" si="106"/>
        <v>55.671177398488261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838">
        <f t="shared" si="110"/>
        <v>0.6071428571428571</v>
      </c>
      <c r="AY215" s="855">
        <f t="shared" si="111"/>
        <v>55.726433789966222</v>
      </c>
      <c r="AZ215" s="829">
        <f t="shared" si="115"/>
        <v>55.698805594227238</v>
      </c>
      <c r="BA215" s="662">
        <f t="shared" si="112"/>
        <v>1.0000914197315955</v>
      </c>
      <c r="BB215" s="657">
        <v>43301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926">
        <f>1+[2]!Salcycl*Ksac</f>
        <v>1.0498319872144657</v>
      </c>
      <c r="BH215" s="1082">
        <f t="shared" si="113"/>
        <v>4.8374429398751626E-2</v>
      </c>
      <c r="BI215" s="11">
        <v>44397</v>
      </c>
      <c r="BJ215" s="803">
        <v>5.9902709255146716E-3</v>
      </c>
      <c r="BK215" s="803">
        <v>1.5754207786380012E-2</v>
      </c>
      <c r="BL215" s="803">
        <v>3.0253745528219574E-2</v>
      </c>
      <c r="BM215" s="803">
        <v>4.8373745792146421E-2</v>
      </c>
      <c r="BN215" s="803">
        <v>6.6431829729176203E-2</v>
      </c>
      <c r="BO215" s="804">
        <v>8.239118166899502E-2</v>
      </c>
      <c r="BP215" s="803">
        <v>9.7516760882582432E-2</v>
      </c>
      <c r="BQ215" s="803">
        <v>0.11330807165659519</v>
      </c>
      <c r="BR215" s="803">
        <v>0.13101135682194884</v>
      </c>
      <c r="BS215" s="803">
        <v>0.15196580658404699</v>
      </c>
      <c r="BT215" s="803">
        <v>0.17559212192901927</v>
      </c>
      <c r="BW215" s="1138">
        <f>'2018'!R\Max</f>
        <v>0.42920748932266023</v>
      </c>
      <c r="BX215" s="1136">
        <f>'2019'!R\Max</f>
        <v>0.50694321887887905</v>
      </c>
      <c r="BY215" s="1136">
        <f>'2020'!R\Max</f>
        <v>1.0000914197315955</v>
      </c>
      <c r="BZ215" s="1136">
        <f>'2021'!R\Max</f>
        <v>0.8875426605386737</v>
      </c>
      <c r="CA215" s="1136">
        <f>'2022'!R\Max</f>
        <v>0.77380887231320949</v>
      </c>
      <c r="CB215" s="1136">
        <f>'2023'!R\Max</f>
        <v>0.7735945031781265</v>
      </c>
      <c r="CC215" s="1136">
        <f>'2024'!R\Max</f>
        <v>0.77337196199488323</v>
      </c>
      <c r="CD215" s="1136">
        <f>'2025'!R\Max</f>
        <v>0.77474811026849977</v>
      </c>
      <c r="CE215" s="1136">
        <f>'2026'!R\Max</f>
        <v>0.77449345509223722</v>
      </c>
      <c r="CF215" s="1137">
        <f>'2027'!R\Max</f>
        <v>0.77426182178600078</v>
      </c>
    </row>
    <row r="216" spans="1:84" s="6" customFormat="1" ht="11.25" x14ac:dyDescent="0.2">
      <c r="A216" s="11">
        <v>43302</v>
      </c>
      <c r="B216" s="380">
        <f>'2022'!Maxi_hp</f>
        <v>53.844768353025124</v>
      </c>
      <c r="C216" s="85">
        <f>'2022'!An_max</f>
        <v>2022</v>
      </c>
      <c r="D216" s="1089" t="str">
        <f t="shared" si="97"/>
        <v/>
      </c>
      <c r="E216" s="749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838">
        <f t="shared" si="100"/>
        <v>0.8571428571428571</v>
      </c>
      <c r="J216" s="829">
        <f t="shared" si="101"/>
        <v>55.56979446066002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838">
        <f t="shared" si="105"/>
        <v>7.1428571428571425E-2</v>
      </c>
      <c r="AT216" s="855">
        <f t="shared" si="106"/>
        <v>55.565899690287189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838">
        <f t="shared" si="110"/>
        <v>0.5714285714285714</v>
      </c>
      <c r="AY216" s="855">
        <f t="shared" si="111"/>
        <v>55.620662532760093</v>
      </c>
      <c r="AZ216" s="829">
        <f t="shared" si="115"/>
        <v>55.593281111523638</v>
      </c>
      <c r="BA216" s="662">
        <f t="shared" si="112"/>
        <v>0.96895748626790212</v>
      </c>
      <c r="BB216" s="657">
        <v>43302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926">
        <f>1+[2]!Salcycl*Ksac</f>
        <v>1.0498699585727433</v>
      </c>
      <c r="BH216" s="1082">
        <f t="shared" si="113"/>
        <v>4.7056929046607784E-2</v>
      </c>
      <c r="BI216" s="11">
        <v>44398</v>
      </c>
      <c r="BJ216" s="803">
        <v>5.724533810336687E-3</v>
      </c>
      <c r="BK216" s="803">
        <v>1.5296981245957379E-2</v>
      </c>
      <c r="BL216" s="803">
        <v>2.9442132354504852E-2</v>
      </c>
      <c r="BM216" s="803">
        <v>4.7056266285310712E-2</v>
      </c>
      <c r="BN216" s="803">
        <v>6.4563702640678858E-2</v>
      </c>
      <c r="BO216" s="804">
        <v>8.0090273103360976E-2</v>
      </c>
      <c r="BP216" s="803">
        <v>9.4902621321531419E-2</v>
      </c>
      <c r="BQ216" s="803">
        <v>0.11046338299193847</v>
      </c>
      <c r="BR216" s="803">
        <v>0.1280193292528734</v>
      </c>
      <c r="BS216" s="803">
        <v>0.14891786501320006</v>
      </c>
      <c r="BT216" s="803">
        <v>0.17254023668598562</v>
      </c>
      <c r="BW216" s="1138">
        <f>'2018'!R\Max</f>
        <v>0.56031467344981811</v>
      </c>
      <c r="BX216" s="1136">
        <f>'2019'!R\Max</f>
        <v>0.79006114562534213</v>
      </c>
      <c r="BY216" s="1136">
        <f>'2020'!R\Max</f>
        <v>0.90957551842010054</v>
      </c>
      <c r="BZ216" s="1136">
        <f>'2021'!R\Max</f>
        <v>0.8269106566274077</v>
      </c>
      <c r="CA216" s="1136">
        <f>'2022'!R\Max</f>
        <v>0.96895748626790212</v>
      </c>
      <c r="CB216" s="1136">
        <f>'2023'!R\Max</f>
        <v>0.96892132312873158</v>
      </c>
      <c r="CC216" s="1136">
        <f>'2024'!R\Max</f>
        <v>0.96888355628380196</v>
      </c>
      <c r="CD216" s="1136">
        <f>'2025'!R\Max</f>
        <v>0.96911469090530344</v>
      </c>
      <c r="CE216" s="1136">
        <f>'2026'!R\Max</f>
        <v>0.96907224079753562</v>
      </c>
      <c r="CF216" s="1137">
        <f>'2027'!R\Max</f>
        <v>0.96903353277794868</v>
      </c>
    </row>
    <row r="217" spans="1:84" s="6" customFormat="1" ht="11.25" x14ac:dyDescent="0.2">
      <c r="A217" s="11">
        <v>43303</v>
      </c>
      <c r="B217" s="380">
        <f>'2022'!Maxi_hp</f>
        <v>54.507643131176636</v>
      </c>
      <c r="C217" s="85">
        <f>'2022'!An_max</f>
        <v>2021</v>
      </c>
      <c r="D217" s="1089">
        <f t="shared" si="97"/>
        <v>0.98277483733610327</v>
      </c>
      <c r="E217" s="749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838">
        <f t="shared" si="100"/>
        <v>0.9285714285714286</v>
      </c>
      <c r="J217" s="829">
        <f t="shared" si="101"/>
        <v>55.46300236880743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838">
        <f t="shared" si="105"/>
        <v>3.5714285714285712E-2</v>
      </c>
      <c r="AT217" s="855">
        <f t="shared" si="106"/>
        <v>55.461133507258332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838">
        <f t="shared" si="110"/>
        <v>0.5357142857142857</v>
      </c>
      <c r="AY217" s="855">
        <f t="shared" si="111"/>
        <v>55.514274783851576</v>
      </c>
      <c r="AZ217" s="829">
        <f t="shared" si="115"/>
        <v>55.487704145554957</v>
      </c>
      <c r="BA217" s="662">
        <f t="shared" si="112"/>
        <v>0.98277483733610327</v>
      </c>
      <c r="BB217" s="657">
        <v>43303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926">
        <f>1+[2]!Salcycl*Ksac</f>
        <v>1.0499016440905282</v>
      </c>
      <c r="BH217" s="1082">
        <f t="shared" si="113"/>
        <v>4.5706047324589827E-2</v>
      </c>
      <c r="BI217" s="11">
        <v>44399</v>
      </c>
      <c r="BJ217" s="803">
        <v>5.4586392443735409E-3</v>
      </c>
      <c r="BK217" s="803">
        <v>1.4828487599737435E-2</v>
      </c>
      <c r="BL217" s="803">
        <v>2.8604282992594054E-2</v>
      </c>
      <c r="BM217" s="803">
        <v>4.5705405388113685E-2</v>
      </c>
      <c r="BN217" s="803">
        <v>6.2662735349890766E-2</v>
      </c>
      <c r="BO217" s="804">
        <v>7.7759469898953451E-2</v>
      </c>
      <c r="BP217" s="803">
        <v>9.2254984873174503E-2</v>
      </c>
      <c r="BQ217" s="803">
        <v>0.10758311958284517</v>
      </c>
      <c r="BR217" s="803">
        <v>0.12499339756370688</v>
      </c>
      <c r="BS217" s="803">
        <v>0.14583977762862874</v>
      </c>
      <c r="BT217" s="803">
        <v>0.16946377558638651</v>
      </c>
      <c r="BW217" s="1138">
        <f>'2018'!R\Max</f>
        <v>0.93376365152997287</v>
      </c>
      <c r="BX217" s="1136">
        <f>'2019'!R\Max</f>
        <v>0.87029972346850182</v>
      </c>
      <c r="BY217" s="1136">
        <f>'2020'!R\Max</f>
        <v>0.94945686282855069</v>
      </c>
      <c r="BZ217" s="1136">
        <f>'2021'!R\Max</f>
        <v>0.98277483733610327</v>
      </c>
      <c r="CA217" s="1136">
        <f>'2022'!R\Max</f>
        <v>0.73999434658861152</v>
      </c>
      <c r="CB217" s="1136">
        <f>'2023'!R\Max</f>
        <v>0.73976755918664772</v>
      </c>
      <c r="CC217" s="1136">
        <f>'2024'!R\Max</f>
        <v>0.73952945792690183</v>
      </c>
      <c r="CD217" s="1136">
        <f>'2025'!R\Max</f>
        <v>0.74097517477254093</v>
      </c>
      <c r="CE217" s="1136">
        <f>'2026'!R\Max</f>
        <v>0.74071104076790273</v>
      </c>
      <c r="CF217" s="1137">
        <f>'2027'!R\Max</f>
        <v>0.7404697850461488</v>
      </c>
    </row>
    <row r="218" spans="1:84" s="6" customFormat="1" ht="11.25" x14ac:dyDescent="0.2">
      <c r="A218" s="11">
        <v>43304</v>
      </c>
      <c r="B218" s="380">
        <f>'2022'!Maxi_hp</f>
        <v>56.297408043792899</v>
      </c>
      <c r="C218" s="85">
        <f>'2022'!An_max</f>
        <v>2018</v>
      </c>
      <c r="D218" s="1089">
        <f t="shared" si="97"/>
        <v>1.0169880601151242</v>
      </c>
      <c r="E218" s="837">
        <f>AB$13/10</f>
        <v>55.356999999999992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838">
        <f t="shared" si="100"/>
        <v>1</v>
      </c>
      <c r="J218" s="829">
        <f t="shared" si="101"/>
        <v>55.356999999999971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838">
        <f t="shared" si="105"/>
        <v>0</v>
      </c>
      <c r="AT218" s="855">
        <f t="shared" si="106"/>
        <v>55.357000000029799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838">
        <f t="shared" si="110"/>
        <v>0.5</v>
      </c>
      <c r="AY218" s="855">
        <f t="shared" si="111"/>
        <v>55.407322044158356</v>
      </c>
      <c r="AZ218" s="829">
        <f t="shared" si="115"/>
        <v>55.382161022094081</v>
      </c>
      <c r="BA218" s="662">
        <f t="shared" si="112"/>
        <v>1.0169880601151242</v>
      </c>
      <c r="BB218" s="657">
        <v>43304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926">
        <f>1+[2]!Salcycl*Ksac</f>
        <v>1.0499274695678706</v>
      </c>
      <c r="BH218" s="1082">
        <f t="shared" si="113"/>
        <v>4.43217740769433E-2</v>
      </c>
      <c r="BI218" s="11">
        <v>44400</v>
      </c>
      <c r="BJ218" s="803">
        <v>5.1925776902329666E-3</v>
      </c>
      <c r="BK218" s="803">
        <v>1.434872243304554E-2</v>
      </c>
      <c r="BL218" s="803">
        <v>2.7740195912203152E-2</v>
      </c>
      <c r="BM218" s="803">
        <v>4.4321152945442144E-2</v>
      </c>
      <c r="BN218" s="803">
        <v>6.0728900761898887E-2</v>
      </c>
      <c r="BO218" s="804">
        <v>7.5398730768581501E-2</v>
      </c>
      <c r="BP218" s="803">
        <v>8.9573806689176971E-2</v>
      </c>
      <c r="BQ218" s="803">
        <v>0.10466723640086706</v>
      </c>
      <c r="BR218" s="803">
        <v>0.1219335189842176</v>
      </c>
      <c r="BS218" s="803">
        <v>0.14273150890233344</v>
      </c>
      <c r="BT218" s="803">
        <v>0.16636271319910786</v>
      </c>
      <c r="BW218" s="1138">
        <f>'2018'!R\Max</f>
        <v>1.0169880601151242</v>
      </c>
      <c r="BX218" s="1136">
        <f>'2019'!R\Max</f>
        <v>0.96576249869235176</v>
      </c>
      <c r="BY218" s="1136">
        <f>'2020'!R\Max</f>
        <v>0.90261105430361543</v>
      </c>
      <c r="BZ218" s="1136">
        <f>'2021'!R\Max</f>
        <v>0.83313110148702363</v>
      </c>
      <c r="CA218" s="1136">
        <f>'2022'!R\Max</f>
        <v>0.82772274945381497</v>
      </c>
      <c r="CB218" s="1136">
        <f>'2023'!R\Max</f>
        <v>0.82755803032236408</v>
      </c>
      <c r="CC218" s="1136">
        <f>'2024'!R\Max</f>
        <v>0.82738397648518547</v>
      </c>
      <c r="CD218" s="1136">
        <f>'2025'!R\Max</f>
        <v>0.82843008443966915</v>
      </c>
      <c r="CE218" s="1136">
        <f>'2026'!R\Max</f>
        <v>0.8282404022884654</v>
      </c>
      <c r="CF218" s="1137">
        <f>'2027'!R\Max</f>
        <v>0.82806664452474199</v>
      </c>
    </row>
    <row r="219" spans="1:84" s="6" customFormat="1" ht="11.25" x14ac:dyDescent="0.2">
      <c r="A219" s="11">
        <v>43305</v>
      </c>
      <c r="B219" s="380">
        <f>'2022'!Maxi_hp</f>
        <v>54.305562115577402</v>
      </c>
      <c r="C219" s="85">
        <f>'2022'!An_max</f>
        <v>2022</v>
      </c>
      <c r="D219" s="1089">
        <f t="shared" si="97"/>
        <v>0.98287590176838813</v>
      </c>
      <c r="E219" s="749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838">
        <f t="shared" si="100"/>
        <v>0.9285714285714286</v>
      </c>
      <c r="J219" s="829">
        <f t="shared" si="101"/>
        <v>55.251697612965131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838">
        <f t="shared" si="105"/>
        <v>3.5714285714285712E-2</v>
      </c>
      <c r="AT219" s="855">
        <f t="shared" si="106"/>
        <v>55.253226667552795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838">
        <f t="shared" si="110"/>
        <v>0.4642857142857143</v>
      </c>
      <c r="AY219" s="855">
        <f t="shared" si="111"/>
        <v>55.299855814225566</v>
      </c>
      <c r="AZ219" s="829">
        <f t="shared" si="115"/>
        <v>55.276541240889181</v>
      </c>
      <c r="BA219" s="662">
        <f t="shared" si="112"/>
        <v>0.98287590176838813</v>
      </c>
      <c r="BB219" s="657">
        <v>43305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926">
        <f>1+[2]!Salcycl*Ksac</f>
        <v>1.0499478386221732</v>
      </c>
      <c r="BH219" s="1082">
        <f t="shared" si="113"/>
        <v>4.2904023104373384E-2</v>
      </c>
      <c r="BI219" s="11">
        <v>44401</v>
      </c>
      <c r="BJ219" s="803">
        <v>4.9263309868432907E-3</v>
      </c>
      <c r="BK219" s="803">
        <v>1.3857656641595098E-2</v>
      </c>
      <c r="BL219" s="803">
        <v>2.6849821463442697E-2</v>
      </c>
      <c r="BM219" s="803">
        <v>4.2903422759661212E-2</v>
      </c>
      <c r="BN219" s="803">
        <v>5.8762068830545765E-2</v>
      </c>
      <c r="BO219" s="804">
        <v>7.3007887710927866E-2</v>
      </c>
      <c r="BP219" s="803">
        <v>8.685889168472867E-2</v>
      </c>
      <c r="BQ219" s="803">
        <v>0.10171551339540046</v>
      </c>
      <c r="BR219" s="803">
        <v>0.11883944786945526</v>
      </c>
      <c r="BS219" s="803">
        <v>0.13959278715660042</v>
      </c>
      <c r="BT219" s="803">
        <v>0.16323675031456281</v>
      </c>
      <c r="BW219" s="1138">
        <f>'2018'!R\Max</f>
        <v>0.84585840145485258</v>
      </c>
      <c r="BX219" s="1136">
        <f>'2019'!R\Max</f>
        <v>0.97050656169592753</v>
      </c>
      <c r="BY219" s="1136">
        <f>'2020'!R\Max</f>
        <v>0.89835723406645163</v>
      </c>
      <c r="BZ219" s="1136">
        <f>'2021'!R\Max</f>
        <v>0.49978515254993211</v>
      </c>
      <c r="CA219" s="1136">
        <f>'2022'!R\Max</f>
        <v>0.98287590176838813</v>
      </c>
      <c r="CB219" s="1136">
        <f>'2023'!R\Max</f>
        <v>0.98285686324216315</v>
      </c>
      <c r="CC219" s="1136">
        <f>'2024'!R\Max</f>
        <v>0.98283660463231071</v>
      </c>
      <c r="CD219" s="1136">
        <f>'2025'!R\Max</f>
        <v>0.98295704689174612</v>
      </c>
      <c r="CE219" s="1136">
        <f>'2026'!R\Max</f>
        <v>0.98293539000212382</v>
      </c>
      <c r="CF219" s="1137">
        <f>'2027'!R\Max</f>
        <v>0.98291548199116452</v>
      </c>
    </row>
    <row r="220" spans="1:84" s="6" customFormat="1" ht="11.25" x14ac:dyDescent="0.2">
      <c r="A220" s="11">
        <v>43306</v>
      </c>
      <c r="B220" s="380">
        <f>'2022'!Maxi_hp</f>
        <v>54.530894378058939</v>
      </c>
      <c r="C220" s="85">
        <f>'2022'!An_max</f>
        <v>2018</v>
      </c>
      <c r="D220" s="1089">
        <f t="shared" si="97"/>
        <v>0.98883170337890869</v>
      </c>
      <c r="E220" s="749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838">
        <f t="shared" si="100"/>
        <v>0.8571428571428571</v>
      </c>
      <c r="J220" s="829">
        <f t="shared" si="101"/>
        <v>55.146790087456715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838">
        <f t="shared" si="105"/>
        <v>7.1428571428571425E-2</v>
      </c>
      <c r="AT220" s="855">
        <f t="shared" si="106"/>
        <v>55.149431810295219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838">
        <f t="shared" si="110"/>
        <v>0.42857142857142855</v>
      </c>
      <c r="AY220" s="855">
        <f t="shared" si="111"/>
        <v>55.191927594624985</v>
      </c>
      <c r="AZ220" s="829">
        <f t="shared" si="115"/>
        <v>55.170679702460106</v>
      </c>
      <c r="BA220" s="662">
        <f t="shared" si="112"/>
        <v>0.98883170337890869</v>
      </c>
      <c r="BB220" s="657">
        <v>43306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926">
        <f>1+[2]!Salcycl*Ksac</f>
        <v>1.0499631314936204</v>
      </c>
      <c r="BH220" s="1082">
        <f t="shared" si="113"/>
        <v>4.1455023346521888E-2</v>
      </c>
      <c r="BI220" s="11">
        <v>44402</v>
      </c>
      <c r="BJ220" s="803">
        <v>4.6633359421214739E-3</v>
      </c>
      <c r="BK220" s="803">
        <v>1.3357665540019525E-2</v>
      </c>
      <c r="BL220" s="803">
        <v>2.5935169625626087E-2</v>
      </c>
      <c r="BM220" s="803">
        <v>4.1454443744842008E-2</v>
      </c>
      <c r="BN220" s="803">
        <v>5.6765143942349307E-2</v>
      </c>
      <c r="BO220" s="804">
        <v>7.0589624636346937E-2</v>
      </c>
      <c r="BP220" s="803">
        <v>8.4113277745737916E-2</v>
      </c>
      <c r="BQ220" s="803">
        <v>9.8732483764483167E-2</v>
      </c>
      <c r="BR220" s="803">
        <v>0.11571807849766451</v>
      </c>
      <c r="BS220" s="803">
        <v>0.13643478108984666</v>
      </c>
      <c r="BT220" s="803">
        <v>0.16010240411507962</v>
      </c>
      <c r="BW220" s="1138">
        <f>'2018'!R\Max</f>
        <v>0.98883170337890869</v>
      </c>
      <c r="BX220" s="1136">
        <f>'2019'!R\Max</f>
        <v>0.98149219369647012</v>
      </c>
      <c r="BY220" s="1136">
        <f>'2020'!R\Max</f>
        <v>0.98695839591464574</v>
      </c>
      <c r="BZ220" s="1136">
        <f>'2021'!R\Max</f>
        <v>0.69239524559395249</v>
      </c>
      <c r="CA220" s="1136">
        <f>'2022'!R\Max</f>
        <v>0.50484836810527933</v>
      </c>
      <c r="CB220" s="1136">
        <f>'2023'!R\Max</f>
        <v>0.50457189573858985</v>
      </c>
      <c r="CC220" s="1136">
        <f>'2024'!R\Max</f>
        <v>0.50427592783272757</v>
      </c>
      <c r="CD220" s="1136">
        <f>'2025'!R\Max</f>
        <v>0.50602228993399667</v>
      </c>
      <c r="CE220" s="1136">
        <f>'2026'!R\Max</f>
        <v>0.50570987998394745</v>
      </c>
      <c r="CF220" s="1137">
        <f>'2027'!R\Max</f>
        <v>0.50542202013278958</v>
      </c>
    </row>
    <row r="221" spans="1:84" s="6" customFormat="1" ht="11.25" x14ac:dyDescent="0.2">
      <c r="A221" s="11">
        <v>43307</v>
      </c>
      <c r="B221" s="380">
        <f>'2022'!Maxi_hp</f>
        <v>54.739727703954557</v>
      </c>
      <c r="C221" s="85">
        <f>'2022'!An_max</f>
        <v>2020</v>
      </c>
      <c r="D221" s="1089">
        <f t="shared" si="97"/>
        <v>0.99450526693500252</v>
      </c>
      <c r="E221" s="749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838">
        <f t="shared" si="100"/>
        <v>0.7857142857142857</v>
      </c>
      <c r="J221" s="829">
        <f t="shared" si="101"/>
        <v>55.042169733960954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838">
        <f t="shared" si="105"/>
        <v>0.10714285714285714</v>
      </c>
      <c r="AT221" s="855">
        <f t="shared" si="106"/>
        <v>55.045572781704166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838">
        <f t="shared" si="110"/>
        <v>0.39285714285714285</v>
      </c>
      <c r="AY221" s="855">
        <f t="shared" si="111"/>
        <v>55.08358888606142</v>
      </c>
      <c r="AZ221" s="829">
        <f t="shared" si="115"/>
        <v>55.064580833882793</v>
      </c>
      <c r="BA221" s="662">
        <f t="shared" si="112"/>
        <v>0.99450526693500252</v>
      </c>
      <c r="BB221" s="657">
        <v>43307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926">
        <f>1+[2]!Salcycl*Ksac</f>
        <v>1.0499737040668844</v>
      </c>
      <c r="BH221" s="1082">
        <f t="shared" si="113"/>
        <v>4.0004925129826299E-2</v>
      </c>
      <c r="BI221" s="11">
        <v>44403</v>
      </c>
      <c r="BJ221" s="803">
        <v>4.4050879611485681E-3</v>
      </c>
      <c r="BK221" s="803">
        <v>1.2859211894548243E-2</v>
      </c>
      <c r="BL221" s="803">
        <v>2.502047752145313E-2</v>
      </c>
      <c r="BM221" s="803">
        <v>4.0004366235375101E-2</v>
      </c>
      <c r="BN221" s="803">
        <v>5.4768066344322873E-2</v>
      </c>
      <c r="BO221" s="804">
        <v>6.8168656161612121E-2</v>
      </c>
      <c r="BP221" s="803">
        <v>8.1364768030510556E-2</v>
      </c>
      <c r="BQ221" s="803">
        <v>9.5748004949744545E-2</v>
      </c>
      <c r="BR221" s="803">
        <v>0.11260020869769703</v>
      </c>
      <c r="BS221" s="803">
        <v>0.13328784729546739</v>
      </c>
      <c r="BT221" s="803">
        <v>0.1569894350524853</v>
      </c>
      <c r="BW221" s="1138">
        <f>'2018'!R\Max</f>
        <v>0.98891085954415969</v>
      </c>
      <c r="BX221" s="1136">
        <f>'2019'!R\Max</f>
        <v>0.3302606951528041</v>
      </c>
      <c r="BY221" s="1136">
        <f>'2020'!R\Max</f>
        <v>0.99450526693500252</v>
      </c>
      <c r="BZ221" s="1136">
        <f>'2021'!R\Max</f>
        <v>0.61385945689287047</v>
      </c>
      <c r="CA221" s="1136">
        <f>'2022'!R\Max</f>
        <v>0.96419233261839166</v>
      </c>
      <c r="CB221" s="1136">
        <f>'2023'!R\Max</f>
        <v>0.96415498265082744</v>
      </c>
      <c r="CC221" s="1136">
        <f>'2024'!R\Max</f>
        <v>0.9641146526087867</v>
      </c>
      <c r="CD221" s="1136">
        <f>'2025'!R\Max</f>
        <v>0.96434940619244836</v>
      </c>
      <c r="CE221" s="1136">
        <f>'2026'!R\Max</f>
        <v>0.96430786850680139</v>
      </c>
      <c r="CF221" s="1137">
        <f>'2027'!R\Max</f>
        <v>0.96426941243209063</v>
      </c>
    </row>
    <row r="222" spans="1:84" s="6" customFormat="1" ht="11.25" x14ac:dyDescent="0.2">
      <c r="A222" s="11">
        <v>43308</v>
      </c>
      <c r="B222" s="380">
        <f>'2022'!Maxi_hp</f>
        <v>57.478883622167693</v>
      </c>
      <c r="C222" s="85">
        <f>'2022'!An_max</f>
        <v>2022</v>
      </c>
      <c r="D222" s="1089">
        <f t="shared" si="97"/>
        <v>1.0462551840388286</v>
      </c>
      <c r="E222" s="749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838">
        <f t="shared" si="100"/>
        <v>0.7142857142857143</v>
      </c>
      <c r="J222" s="829">
        <f t="shared" si="101"/>
        <v>54.937728862937263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838">
        <f t="shared" si="105"/>
        <v>0.14285714285714285</v>
      </c>
      <c r="AT222" s="855">
        <f t="shared" si="106"/>
        <v>54.941606935140285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838">
        <f t="shared" si="110"/>
        <v>0.35714285714285715</v>
      </c>
      <c r="AY222" s="855">
        <f t="shared" si="111"/>
        <v>54.974891189203063</v>
      </c>
      <c r="AZ222" s="829">
        <f t="shared" si="115"/>
        <v>54.958249062171674</v>
      </c>
      <c r="BA222" s="662">
        <f t="shared" si="112"/>
        <v>1.0462551840388286</v>
      </c>
      <c r="BB222" s="657">
        <v>43308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926">
        <f>1+[2]!Salcycl*Ksac</f>
        <v>1.0499798871082027</v>
      </c>
      <c r="BH222" s="1082">
        <f t="shared" si="113"/>
        <v>3.8553657521953076E-2</v>
      </c>
      <c r="BI222" s="11">
        <v>44404</v>
      </c>
      <c r="BJ222" s="803">
        <v>4.1515719853219904E-3</v>
      </c>
      <c r="BK222" s="803">
        <v>1.2362270335782133E-2</v>
      </c>
      <c r="BL222" s="803">
        <v>2.4105700045475787E-2</v>
      </c>
      <c r="BM222" s="803">
        <v>3.8553119299969775E-2</v>
      </c>
      <c r="BN222" s="803">
        <v>5.2770737557559226E-2</v>
      </c>
      <c r="BO222" s="804">
        <v>6.5744864028584163E-2</v>
      </c>
      <c r="BP222" s="803">
        <v>7.8613227006119515E-2</v>
      </c>
      <c r="BQ222" s="803">
        <v>9.2761926516464019E-2</v>
      </c>
      <c r="BR222" s="803">
        <v>0.10948567437126333</v>
      </c>
      <c r="BS222" s="803">
        <v>0.13015180949519822</v>
      </c>
      <c r="BT222" s="803">
        <v>0.15389765461394198</v>
      </c>
      <c r="BW222" s="1138">
        <f>'2018'!R\Max</f>
        <v>0.9133408565394604</v>
      </c>
      <c r="BX222" s="1136">
        <f>'2019'!R\Max</f>
        <v>0.21692388966986706</v>
      </c>
      <c r="BY222" s="1136">
        <f>'2020'!R\Max</f>
        <v>0.7961305217392336</v>
      </c>
      <c r="BZ222" s="1136">
        <f>'2021'!R\Max</f>
        <v>0.93332675156813949</v>
      </c>
      <c r="CA222" s="1136">
        <f>'2022'!R\Max</f>
        <v>1.0462551840388286</v>
      </c>
      <c r="CB222" s="1136">
        <f>'2023'!R\Max</f>
        <v>1.0462551840388288</v>
      </c>
      <c r="CC222" s="1136">
        <f>'2024'!R\Max</f>
        <v>1.0462551840388286</v>
      </c>
      <c r="CD222" s="1136">
        <f>'2025'!R\Max</f>
        <v>1.0462551840388286</v>
      </c>
      <c r="CE222" s="1136">
        <f>'2026'!R\Max</f>
        <v>1.0462551840388286</v>
      </c>
      <c r="CF222" s="1137">
        <f>'2027'!R\Max</f>
        <v>1.0462551840388283</v>
      </c>
    </row>
    <row r="223" spans="1:84" s="6" customFormat="1" ht="11.25" x14ac:dyDescent="0.2">
      <c r="A223" s="11">
        <v>43309</v>
      </c>
      <c r="B223" s="380">
        <f>'2022'!Maxi_hp</f>
        <v>52.534108463708804</v>
      </c>
      <c r="C223" s="85">
        <f>'2022'!An_max</f>
        <v>2020</v>
      </c>
      <c r="D223" s="1089" t="str">
        <f t="shared" si="97"/>
        <v/>
      </c>
      <c r="E223" s="749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838">
        <f t="shared" si="100"/>
        <v>0.6428571428571429</v>
      </c>
      <c r="J223" s="829">
        <f t="shared" si="101"/>
        <v>54.83335978495036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838">
        <f t="shared" si="105"/>
        <v>0.17857142857142858</v>
      </c>
      <c r="AT223" s="855">
        <f t="shared" si="106"/>
        <v>54.837491624067262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838">
        <f t="shared" si="110"/>
        <v>0.32142857142857145</v>
      </c>
      <c r="AY223" s="855">
        <f t="shared" si="111"/>
        <v>54.865886004482</v>
      </c>
      <c r="AZ223" s="829">
        <f t="shared" si="115"/>
        <v>54.851688814274631</v>
      </c>
      <c r="BA223" s="662">
        <f t="shared" si="112"/>
        <v>0.95806838518998405</v>
      </c>
      <c r="BB223" s="657">
        <v>43309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926">
        <f>1+[2]!Salcycl*Ksac</f>
        <v>1.0499819857148778</v>
      </c>
      <c r="BH223" s="1082">
        <f t="shared" si="113"/>
        <v>3.710115118982607E-2</v>
      </c>
      <c r="BI223" s="11">
        <v>44405</v>
      </c>
      <c r="BJ223" s="803">
        <v>3.9027736470885034E-3</v>
      </c>
      <c r="BK223" s="803">
        <v>1.1866816201218046E-2</v>
      </c>
      <c r="BL223" s="803">
        <v>2.3190793154460421E-2</v>
      </c>
      <c r="BM223" s="803">
        <v>3.7100633606565687E-2</v>
      </c>
      <c r="BN223" s="803">
        <v>5.0773061416847974E-2</v>
      </c>
      <c r="BO223" s="804">
        <v>6.3318132576232047E-2</v>
      </c>
      <c r="BP223" s="803">
        <v>7.5858522096874242E-2</v>
      </c>
      <c r="BQ223" s="803">
        <v>8.9774101368749304E-2</v>
      </c>
      <c r="BR223" s="803">
        <v>0.10637431529879544</v>
      </c>
      <c r="BS223" s="803">
        <v>0.12702649591217396</v>
      </c>
      <c r="BT223" s="803">
        <v>0.15082687955311422</v>
      </c>
      <c r="BW223" s="1138">
        <f>'2018'!R\Max</f>
        <v>0.44596520051169575</v>
      </c>
      <c r="BX223" s="1136">
        <f>'2019'!R\Max</f>
        <v>0.93159366459634196</v>
      </c>
      <c r="BY223" s="1136">
        <f>'2020'!R\Max</f>
        <v>0.95806838518998405</v>
      </c>
      <c r="BZ223" s="1136">
        <f>'2021'!R\Max</f>
        <v>0.50110002041560364</v>
      </c>
      <c r="CA223" s="1136">
        <f>'2022'!R\Max</f>
        <v>0.83214719245752733</v>
      </c>
      <c r="CB223" s="1136">
        <f>'2023'!R\Max</f>
        <v>0.83200308334366047</v>
      </c>
      <c r="CC223" s="1136">
        <f>'2024'!R\Max</f>
        <v>0.83184491541106076</v>
      </c>
      <c r="CD223" s="1136">
        <f>'2025'!R\Max</f>
        <v>0.83274448910760257</v>
      </c>
      <c r="CE223" s="1136">
        <f>'2026'!R\Max</f>
        <v>0.83258807923409095</v>
      </c>
      <c r="CF223" s="1137">
        <f>'2027'!R\Max</f>
        <v>0.83244218071180176</v>
      </c>
    </row>
    <row r="224" spans="1:84" s="6" customFormat="1" ht="11.25" x14ac:dyDescent="0.2">
      <c r="A224" s="11">
        <v>43310</v>
      </c>
      <c r="B224" s="380">
        <f>'2022'!Maxi_hp</f>
        <v>55.721551124095164</v>
      </c>
      <c r="C224" s="85">
        <f>'2022'!An_max</f>
        <v>2019</v>
      </c>
      <c r="D224" s="1089">
        <f t="shared" si="97"/>
        <v>1.0181365845016872</v>
      </c>
      <c r="E224" s="749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838">
        <f t="shared" si="100"/>
        <v>0.5714285714285714</v>
      </c>
      <c r="J224" s="829">
        <f t="shared" si="101"/>
        <v>54.728954810485767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838">
        <f t="shared" si="105"/>
        <v>0.21428571428571427</v>
      </c>
      <c r="AT224" s="855">
        <f t="shared" si="106"/>
        <v>54.733184201666155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838">
        <f t="shared" si="110"/>
        <v>0.2857142857142857</v>
      </c>
      <c r="AY224" s="855">
        <f t="shared" si="111"/>
        <v>54.756624832815895</v>
      </c>
      <c r="AZ224" s="829">
        <f t="shared" si="115"/>
        <v>54.744904517241025</v>
      </c>
      <c r="BA224" s="662">
        <f t="shared" si="112"/>
        <v>1.0181365845016872</v>
      </c>
      <c r="BB224" s="657">
        <v>43310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926">
        <f>1+[2]!Salcycl*Ksac</f>
        <v>1.0499802789722741</v>
      </c>
      <c r="BH224" s="1082">
        <f t="shared" si="113"/>
        <v>3.5647338406347519E-2</v>
      </c>
      <c r="BI224" s="11">
        <v>44406</v>
      </c>
      <c r="BJ224" s="803">
        <v>3.6586792557311929E-3</v>
      </c>
      <c r="BK224" s="803">
        <v>1.137282553159339E-2</v>
      </c>
      <c r="BL224" s="803">
        <v>2.2275713869597032E-2</v>
      </c>
      <c r="BM224" s="803">
        <v>3.5646841429053895E-2</v>
      </c>
      <c r="BN224" s="803">
        <v>4.8774944075704124E-2</v>
      </c>
      <c r="BO224" s="804">
        <v>6.0888348754598337E-2</v>
      </c>
      <c r="BP224" s="803">
        <v>7.3100523699751688E-2</v>
      </c>
      <c r="BQ224" s="803">
        <v>8.678438576126013E-2</v>
      </c>
      <c r="BR224" s="803">
        <v>0.10326597513652967</v>
      </c>
      <c r="BS224" s="803">
        <v>0.12391173924519912</v>
      </c>
      <c r="BT224" s="803">
        <v>0.14777693183315518</v>
      </c>
      <c r="BW224" s="1138">
        <f>'2018'!R\Max</f>
        <v>0.98216157798003678</v>
      </c>
      <c r="BX224" s="1136">
        <f>'2019'!R\Max</f>
        <v>1.0181365845016872</v>
      </c>
      <c r="BY224" s="1136">
        <f>'2020'!R\Max</f>
        <v>0.60765351700764902</v>
      </c>
      <c r="BZ224" s="1136">
        <f>'2021'!R\Max</f>
        <v>1.0010171751665651</v>
      </c>
      <c r="CA224" s="1136">
        <f>'2022'!R\Max</f>
        <v>0.55464137327920315</v>
      </c>
      <c r="CB224" s="1136">
        <f>'2023'!R\Max</f>
        <v>0.55439281301388332</v>
      </c>
      <c r="CC224" s="1136">
        <f>'2024'!R\Max</f>
        <v>0.55411767137283796</v>
      </c>
      <c r="CD224" s="1136">
        <f>'2025'!R\Max</f>
        <v>0.55566443343191096</v>
      </c>
      <c r="CE224" s="1136">
        <f>'2026'!R\Max</f>
        <v>0.55539779143349788</v>
      </c>
      <c r="CF224" s="1137">
        <f>'2027'!R\Max</f>
        <v>0.55514817229393765</v>
      </c>
    </row>
    <row r="225" spans="1:84" s="6" customFormat="1" ht="11.25" x14ac:dyDescent="0.2">
      <c r="A225" s="11">
        <v>43311</v>
      </c>
      <c r="B225" s="380">
        <f>'2022'!Maxi_hp</f>
        <v>53.533900381500366</v>
      </c>
      <c r="C225" s="85">
        <f>'2022'!An_max</f>
        <v>2018</v>
      </c>
      <c r="D225" s="1089">
        <f t="shared" si="97"/>
        <v>0.98003628884459848</v>
      </c>
      <c r="E225" s="749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838">
        <f t="shared" si="100"/>
        <v>0.5</v>
      </c>
      <c r="J225" s="829">
        <f t="shared" si="101"/>
        <v>54.624406249908859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838">
        <f t="shared" si="105"/>
        <v>0.25</v>
      </c>
      <c r="AT225" s="855">
        <f t="shared" si="106"/>
        <v>54.628642021550334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838">
        <f t="shared" si="110"/>
        <v>0.25</v>
      </c>
      <c r="AY225" s="855">
        <f t="shared" si="111"/>
        <v>54.647159174655101</v>
      </c>
      <c r="AZ225" s="829">
        <f t="shared" si="115"/>
        <v>54.637900598102718</v>
      </c>
      <c r="BA225" s="662">
        <f t="shared" si="112"/>
        <v>0.98003628884459848</v>
      </c>
      <c r="BB225" s="657">
        <v>43311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926">
        <f>1+[2]!Salcycl*Ksac</f>
        <v>1.0499750198114846</v>
      </c>
      <c r="BH225" s="1082">
        <f t="shared" si="113"/>
        <v>3.4192153058375994E-2</v>
      </c>
      <c r="BI225" s="11">
        <v>44407</v>
      </c>
      <c r="BJ225" s="803">
        <v>3.4192757832896335E-3</v>
      </c>
      <c r="BK225" s="803">
        <v>1.0880275067633095E-2</v>
      </c>
      <c r="BL225" s="803">
        <v>2.1360420279494152E-2</v>
      </c>
      <c r="BM225" s="803">
        <v>3.4191676655254834E-2</v>
      </c>
      <c r="BN225" s="803">
        <v>4.6776294013116941E-2</v>
      </c>
      <c r="BO225" s="804">
        <v>5.845540214090917E-2</v>
      </c>
      <c r="BP225" s="803">
        <v>7.03391052023951E-2</v>
      </c>
      <c r="BQ225" s="803">
        <v>8.3792639313968534E-2</v>
      </c>
      <c r="BR225" s="803">
        <v>0.10016050141718406</v>
      </c>
      <c r="BS225" s="803">
        <v>0.1208073766473059</v>
      </c>
      <c r="BT225" s="803">
        <v>0.14474763857477846</v>
      </c>
      <c r="BW225" s="1138">
        <f>'2018'!R\Max</f>
        <v>0.98003628884459848</v>
      </c>
      <c r="BX225" s="1136">
        <f>'2019'!R\Max</f>
        <v>0.47060071552456767</v>
      </c>
      <c r="BY225" s="1136">
        <f>'2020'!R\Max</f>
        <v>0.87111807199692859</v>
      </c>
      <c r="BZ225" s="1136">
        <f>'2021'!R\Max</f>
        <v>0.32255361955696943</v>
      </c>
      <c r="CA225" s="1136">
        <f>'2022'!R\Max</f>
        <v>0.83872846867916151</v>
      </c>
      <c r="CB225" s="1136">
        <f>'2023'!R\Max</f>
        <v>0.83859574518047963</v>
      </c>
      <c r="CC225" s="1136">
        <f>'2024'!R\Max</f>
        <v>0.83844731010941242</v>
      </c>
      <c r="CD225" s="1136">
        <f>'2025'!R\Max</f>
        <v>0.83926907676439133</v>
      </c>
      <c r="CE225" s="1136">
        <f>'2026'!R\Max</f>
        <v>0.83912912663083661</v>
      </c>
      <c r="CF225" s="1137">
        <f>'2027'!R\Max</f>
        <v>0.8389974587971798</v>
      </c>
    </row>
    <row r="226" spans="1:84" s="6" customFormat="1" ht="11.25" x14ac:dyDescent="0.2">
      <c r="A226" s="11">
        <v>43312</v>
      </c>
      <c r="B226" s="380">
        <f>'2022'!Maxi_hp</f>
        <v>55.12160846336959</v>
      </c>
      <c r="C226" s="85">
        <f>'2022'!An_max</f>
        <v>2022</v>
      </c>
      <c r="D226" s="1089">
        <f t="shared" si="97"/>
        <v>1.0110419368193317</v>
      </c>
      <c r="E226" s="749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838">
        <f t="shared" si="100"/>
        <v>0.42857142857142855</v>
      </c>
      <c r="J226" s="829">
        <f t="shared" si="101"/>
        <v>54.519606413932124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838">
        <f t="shared" si="105"/>
        <v>0.2857142857142857</v>
      </c>
      <c r="AT226" s="855">
        <f t="shared" si="106"/>
        <v>54.523822436880856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838">
        <f t="shared" si="110"/>
        <v>0.21428571428571427</v>
      </c>
      <c r="AY226" s="855">
        <f t="shared" si="111"/>
        <v>54.537540530666185</v>
      </c>
      <c r="AZ226" s="829">
        <f t="shared" si="115"/>
        <v>54.53068148377352</v>
      </c>
      <c r="BA226" s="662">
        <f t="shared" si="112"/>
        <v>1.0110419368193317</v>
      </c>
      <c r="BB226" s="657">
        <v>43312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926">
        <f>1+[2]!Salcycl*Ksac</f>
        <v>1.0499664350590441</v>
      </c>
      <c r="BH226" s="1082">
        <f t="shared" si="113"/>
        <v>3.2747504587850494E-2</v>
      </c>
      <c r="BI226" s="11">
        <v>44408</v>
      </c>
      <c r="BJ226" s="803">
        <v>3.1889122861311955E-3</v>
      </c>
      <c r="BK226" s="803">
        <v>1.0393737516817237E-2</v>
      </c>
      <c r="BL226" s="803">
        <v>2.0452615062121694E-2</v>
      </c>
      <c r="BM226" s="803">
        <v>3.2747048529447605E-2</v>
      </c>
      <c r="BN226" s="803">
        <v>4.4794241837479799E-2</v>
      </c>
      <c r="BO226" s="804">
        <v>5.6041128738874874E-2</v>
      </c>
      <c r="BP226" s="803">
        <v>6.7600225479928389E-2</v>
      </c>
      <c r="BQ226" s="803">
        <v>8.0829399964864421E-2</v>
      </c>
      <c r="BR226" s="803">
        <v>9.7092355476807182E-2</v>
      </c>
      <c r="BS226" s="803">
        <v>0.11775200302839128</v>
      </c>
      <c r="BT226" s="803">
        <v>0.14178232300863869</v>
      </c>
      <c r="BW226" s="1138">
        <f>'2018'!R\Max</f>
        <v>0.91952744471494174</v>
      </c>
      <c r="BX226" s="1136">
        <f>'2019'!R\Max</f>
        <v>0.99924769595275131</v>
      </c>
      <c r="BY226" s="1136">
        <f>'2020'!R\Max</f>
        <v>0.96246416214515074</v>
      </c>
      <c r="BZ226" s="1136">
        <f>'2021'!R\Max</f>
        <v>0.23391106290559216</v>
      </c>
      <c r="CA226" s="1136">
        <f>'2022'!R\Max</f>
        <v>1.0110419368193317</v>
      </c>
      <c r="CB226" s="1136">
        <f>'2023'!R\Max</f>
        <v>1.011041936819332</v>
      </c>
      <c r="CC226" s="1136">
        <f>'2024'!R\Max</f>
        <v>1.0110419368193317</v>
      </c>
      <c r="CD226" s="1136">
        <f>'2025'!R\Max</f>
        <v>1.0110419368193317</v>
      </c>
      <c r="CE226" s="1136">
        <f>'2026'!R\Max</f>
        <v>1.0110419368193317</v>
      </c>
      <c r="CF226" s="1137">
        <f>'2027'!R\Max</f>
        <v>1.0110419368193317</v>
      </c>
    </row>
    <row r="227" spans="1:84" s="6" customFormat="1" ht="11.25" x14ac:dyDescent="0.2">
      <c r="A227" s="11">
        <v>43313</v>
      </c>
      <c r="B227" s="380">
        <f>'2022'!Maxi_hp</f>
        <v>55.045740208106061</v>
      </c>
      <c r="C227" s="85">
        <f>'2022'!An_max</f>
        <v>2022</v>
      </c>
      <c r="D227" s="1089">
        <f t="shared" si="97"/>
        <v>1.0116015621368712</v>
      </c>
      <c r="E227" s="749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838">
        <f t="shared" si="100"/>
        <v>0.35714285714285715</v>
      </c>
      <c r="J227" s="829">
        <f t="shared" si="101"/>
        <v>54.414447612980538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838">
        <f t="shared" si="105"/>
        <v>0.32142857142857145</v>
      </c>
      <c r="AT227" s="855">
        <f t="shared" si="106"/>
        <v>54.418682801101497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838">
        <f t="shared" si="110"/>
        <v>0.17857142857142858</v>
      </c>
      <c r="AY227" s="855">
        <f t="shared" si="111"/>
        <v>54.427820401522332</v>
      </c>
      <c r="AZ227" s="829">
        <f t="shared" si="115"/>
        <v>54.423251601311918</v>
      </c>
      <c r="BA227" s="662">
        <f t="shared" si="112"/>
        <v>1.0116015621368712</v>
      </c>
      <c r="BB227" s="657">
        <v>43313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926">
        <f>1+[2]!Salcycl*Ksac</f>
        <v>1.0499547256683865</v>
      </c>
      <c r="BH227" s="1082">
        <f t="shared" si="113"/>
        <v>3.1317980996418603E-2</v>
      </c>
      <c r="BI227" s="11">
        <v>44409</v>
      </c>
      <c r="BJ227" s="803">
        <v>2.9664678591849424E-3</v>
      </c>
      <c r="BK227" s="803">
        <v>9.914470943346165E-3</v>
      </c>
      <c r="BL227" s="803">
        <v>1.9555136348208272E-2</v>
      </c>
      <c r="BM227" s="803">
        <v>3.1317545045250923E-2</v>
      </c>
      <c r="BN227" s="803">
        <v>4.2833587632345377E-2</v>
      </c>
      <c r="BO227" s="804">
        <v>5.3653062896090009E-2</v>
      </c>
      <c r="BP227" s="803">
        <v>6.4892313796465276E-2</v>
      </c>
      <c r="BQ227" s="803">
        <v>7.7903472439088892E-2</v>
      </c>
      <c r="BR227" s="803">
        <v>9.4068076355603672E-2</v>
      </c>
      <c r="BS227" s="803">
        <v>0.11474919227548495</v>
      </c>
      <c r="BT227" s="803">
        <v>0.13887995482652116</v>
      </c>
      <c r="BW227" s="1138">
        <f>'2018'!R\Max</f>
        <v>0.96600786295082974</v>
      </c>
      <c r="BX227" s="1136">
        <f>'2019'!R\Max</f>
        <v>0.81174643355977993</v>
      </c>
      <c r="BY227" s="1136">
        <f>'2020'!R\Max</f>
        <v>0.940022737039513</v>
      </c>
      <c r="BZ227" s="1136">
        <f>'2021'!R\Max</f>
        <v>0.87434376245166767</v>
      </c>
      <c r="CA227" s="1136">
        <f>'2022'!R\Max</f>
        <v>1.0116015621368712</v>
      </c>
      <c r="CB227" s="1136">
        <f>'2023'!R\Max</f>
        <v>1.0116015621368712</v>
      </c>
      <c r="CC227" s="1136">
        <f>'2024'!R\Max</f>
        <v>1.011601562136871</v>
      </c>
      <c r="CD227" s="1136">
        <f>'2025'!R\Max</f>
        <v>1.0116015621368712</v>
      </c>
      <c r="CE227" s="1136">
        <f>'2026'!R\Max</f>
        <v>1.0116015621368712</v>
      </c>
      <c r="CF227" s="1137">
        <f>'2027'!R\Max</f>
        <v>1.0116015621368712</v>
      </c>
    </row>
    <row r="228" spans="1:84" s="6" customFormat="1" ht="11.25" x14ac:dyDescent="0.2">
      <c r="A228" s="11">
        <v>43314</v>
      </c>
      <c r="B228" s="380">
        <f>'2022'!Maxi_hp</f>
        <v>55.101659633239557</v>
      </c>
      <c r="C228" s="85">
        <f>'2022'!An_max</f>
        <v>2022</v>
      </c>
      <c r="D228" s="1089">
        <f t="shared" si="97"/>
        <v>1.0145986866280077</v>
      </c>
      <c r="E228" s="749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838">
        <f t="shared" si="100"/>
        <v>0.2857142857142857</v>
      </c>
      <c r="J228" s="829">
        <f t="shared" si="101"/>
        <v>54.308822157427073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838">
        <f t="shared" si="105"/>
        <v>0.35714285714285715</v>
      </c>
      <c r="AT228" s="855">
        <f t="shared" si="106"/>
        <v>54.313180467579514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838">
        <f t="shared" si="110"/>
        <v>0.14285714285714285</v>
      </c>
      <c r="AY228" s="855">
        <f t="shared" si="111"/>
        <v>54.318050287783684</v>
      </c>
      <c r="AZ228" s="829">
        <f t="shared" si="115"/>
        <v>54.315615377681596</v>
      </c>
      <c r="BA228" s="662">
        <f t="shared" si="112"/>
        <v>1.0145986866280077</v>
      </c>
      <c r="BB228" s="657">
        <v>43314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926">
        <f>1+[2]!Salcycl*Ksac</f>
        <v>1.0499400671211936</v>
      </c>
      <c r="BH228" s="1082">
        <f t="shared" si="113"/>
        <v>2.9903515089873767E-2</v>
      </c>
      <c r="BI228" s="11">
        <v>44410</v>
      </c>
      <c r="BJ228" s="803">
        <v>2.7519302822217322E-3</v>
      </c>
      <c r="BK228" s="803">
        <v>9.4424520713843052E-3</v>
      </c>
      <c r="BL228" s="803">
        <v>1.8667941635295757E-2</v>
      </c>
      <c r="BM228" s="803">
        <v>2.9903099009412393E-2</v>
      </c>
      <c r="BN228" s="803">
        <v>4.0894238999642063E-2</v>
      </c>
      <c r="BO228" s="804">
        <v>5.1291091566129376E-2</v>
      </c>
      <c r="BP228" s="803">
        <v>6.2215240221949686E-2</v>
      </c>
      <c r="BQ228" s="803">
        <v>7.5014712389585611E-2</v>
      </c>
      <c r="BR228" s="803">
        <v>9.1087508558972255E-2</v>
      </c>
      <c r="BS228" s="803">
        <v>0.11179877980159526</v>
      </c>
      <c r="BT228" s="803">
        <v>0.13604036144513404</v>
      </c>
      <c r="BW228" s="1138">
        <f>'2018'!R\Max</f>
        <v>0.97177544467619947</v>
      </c>
      <c r="BX228" s="1136">
        <f>'2019'!R\Max</f>
        <v>0.92119057139042881</v>
      </c>
      <c r="BY228" s="1136">
        <f>'2020'!R\Max</f>
        <v>0.78078203103715704</v>
      </c>
      <c r="BZ228" s="1136">
        <f>'2021'!R\Max</f>
        <v>0.92130098366852298</v>
      </c>
      <c r="CA228" s="1136">
        <f>'2022'!R\Max</f>
        <v>1.0145986866280077</v>
      </c>
      <c r="CB228" s="1136">
        <f>'2023'!R\Max</f>
        <v>1.0145986866280077</v>
      </c>
      <c r="CC228" s="1136">
        <f>'2024'!R\Max</f>
        <v>1.0145986866280077</v>
      </c>
      <c r="CD228" s="1136">
        <f>'2025'!R\Max</f>
        <v>1.0145986866280077</v>
      </c>
      <c r="CE228" s="1136">
        <f>'2026'!R\Max</f>
        <v>1.0145986866280075</v>
      </c>
      <c r="CF228" s="1137">
        <f>'2027'!R\Max</f>
        <v>1.0145986866280075</v>
      </c>
    </row>
    <row r="229" spans="1:84" s="6" customFormat="1" ht="11.25" x14ac:dyDescent="0.2">
      <c r="A229" s="11">
        <v>43315</v>
      </c>
      <c r="B229" s="380">
        <f>'2022'!Maxi_hp</f>
        <v>53.74274506897126</v>
      </c>
      <c r="C229" s="85">
        <f>'2022'!An_max</f>
        <v>2019</v>
      </c>
      <c r="D229" s="1089">
        <f t="shared" si="97"/>
        <v>0.99151558967515674</v>
      </c>
      <c r="E229" s="749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838">
        <f t="shared" si="100"/>
        <v>0.21428571428571427</v>
      </c>
      <c r="J229" s="829">
        <f t="shared" si="101"/>
        <v>54.202622357736821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838">
        <f t="shared" si="105"/>
        <v>0.39285714285714285</v>
      </c>
      <c r="AT229" s="855">
        <f t="shared" si="106"/>
        <v>54.207272789808599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838">
        <f t="shared" si="110"/>
        <v>0.10714285714285714</v>
      </c>
      <c r="AY229" s="855">
        <f t="shared" si="111"/>
        <v>54.208281690090168</v>
      </c>
      <c r="AZ229" s="829">
        <f t="shared" si="115"/>
        <v>54.20777723994938</v>
      </c>
      <c r="BA229" s="662">
        <f t="shared" si="112"/>
        <v>0.99151558967515674</v>
      </c>
      <c r="BB229" s="657">
        <v>43315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926">
        <f>1+[2]!Salcycl*Ksac</f>
        <v>1.0499226099853973</v>
      </c>
      <c r="BH229" s="1082">
        <f t="shared" si="113"/>
        <v>2.8504042450664523E-2</v>
      </c>
      <c r="BI229" s="11">
        <v>44411</v>
      </c>
      <c r="BJ229" s="803">
        <v>2.5452881605289549E-3</v>
      </c>
      <c r="BK229" s="803">
        <v>8.9776587113708315E-3</v>
      </c>
      <c r="BL229" s="803">
        <v>1.7790990222709559E-2</v>
      </c>
      <c r="BM229" s="803">
        <v>2.8503646005293898E-2</v>
      </c>
      <c r="BN229" s="803">
        <v>3.8976107395696825E-2</v>
      </c>
      <c r="BO229" s="804">
        <v>4.8955106405875547E-2</v>
      </c>
      <c r="BP229" s="803">
        <v>5.9568880243355327E-2</v>
      </c>
      <c r="BQ229" s="803">
        <v>7.2162981585300115E-2</v>
      </c>
      <c r="BR229" s="803">
        <v>8.8150503272830319E-2</v>
      </c>
      <c r="BS229" s="803">
        <v>0.10890060826446646</v>
      </c>
      <c r="BT229" s="803">
        <v>0.13326337810895988</v>
      </c>
      <c r="BW229" s="1138">
        <f>'2018'!R\Max</f>
        <v>0.97766970083339366</v>
      </c>
      <c r="BX229" s="1136">
        <f>'2019'!R\Max</f>
        <v>0.99151558967515674</v>
      </c>
      <c r="BY229" s="1136">
        <f>'2020'!R\Max</f>
        <v>0.64024488629125909</v>
      </c>
      <c r="BZ229" s="1136">
        <f>'2021'!R\Max</f>
        <v>0.68967633867231248</v>
      </c>
      <c r="CA229" s="1136">
        <f>'2022'!R\Max</f>
        <v>0.98442742340002787</v>
      </c>
      <c r="CB229" s="1136">
        <f>'2023'!R\Max</f>
        <v>0.98441389240975874</v>
      </c>
      <c r="CC229" s="1136">
        <f>'2024'!R\Max</f>
        <v>0.9843980629651724</v>
      </c>
      <c r="CD229" s="1136">
        <f>'2025'!R\Max</f>
        <v>0.98448024129557676</v>
      </c>
      <c r="CE229" s="1136">
        <f>'2026'!R\Max</f>
        <v>0.98446695355550096</v>
      </c>
      <c r="CF229" s="1137">
        <f>'2027'!R\Max</f>
        <v>0.98445418451447075</v>
      </c>
    </row>
    <row r="230" spans="1:84" s="6" customFormat="1" ht="11.25" x14ac:dyDescent="0.2">
      <c r="A230" s="11">
        <v>43316</v>
      </c>
      <c r="B230" s="380">
        <f>'2022'!Maxi_hp</f>
        <v>52.784026753635928</v>
      </c>
      <c r="C230" s="85">
        <f>'2022'!An_max</f>
        <v>2022</v>
      </c>
      <c r="D230" s="1089">
        <f t="shared" si="97"/>
        <v>0.97575199528809342</v>
      </c>
      <c r="E230" s="749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838">
        <f t="shared" si="100"/>
        <v>0.14285714285714285</v>
      </c>
      <c r="J230" s="829">
        <f t="shared" si="101"/>
        <v>54.09574052477474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838">
        <f t="shared" si="105"/>
        <v>0.42857142857142855</v>
      </c>
      <c r="AT230" s="855">
        <f t="shared" si="106"/>
        <v>54.100917120983027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838">
        <f t="shared" si="110"/>
        <v>7.1428571428571425E-2</v>
      </c>
      <c r="AY230" s="855">
        <f t="shared" si="111"/>
        <v>54.098566109191495</v>
      </c>
      <c r="AZ230" s="829">
        <f t="shared" si="115"/>
        <v>54.099741615087261</v>
      </c>
      <c r="BA230" s="662">
        <f t="shared" si="112"/>
        <v>0.97575199528809342</v>
      </c>
      <c r="BB230" s="657">
        <v>43316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926">
        <f>1+[2]!Salcycl*Ksac</f>
        <v>1.0499024806153623</v>
      </c>
      <c r="BH230" s="1082">
        <f t="shared" si="113"/>
        <v>2.7119501393577796E-2</v>
      </c>
      <c r="BI230" s="11">
        <v>44412</v>
      </c>
      <c r="BJ230" s="803">
        <v>2.3465309006575632E-3</v>
      </c>
      <c r="BK230" s="803">
        <v>8.5200697383072659E-3</v>
      </c>
      <c r="BL230" s="803">
        <v>1.6924243181151995E-2</v>
      </c>
      <c r="BM230" s="803">
        <v>2.7119124348555613E-2</v>
      </c>
      <c r="BN230" s="803">
        <v>3.707910806841902E-2</v>
      </c>
      <c r="BO230" s="804">
        <v>4.6645003698619548E-2</v>
      </c>
      <c r="BP230" s="803">
        <v>5.6953114673770587E-2</v>
      </c>
      <c r="BQ230" s="803">
        <v>6.9348147801308602E-2</v>
      </c>
      <c r="BR230" s="803">
        <v>8.5256918234145551E-2</v>
      </c>
      <c r="BS230" s="803">
        <v>0.10605452741093625</v>
      </c>
      <c r="BT230" s="803">
        <v>0.13054884770326267</v>
      </c>
      <c r="BW230" s="1138">
        <f>'2018'!R\Max</f>
        <v>0.94470945529573191</v>
      </c>
      <c r="BX230" s="1136">
        <f>'2019'!R\Max</f>
        <v>0.9626064200134351</v>
      </c>
      <c r="BY230" s="1136">
        <f>'2020'!R\Max</f>
        <v>0.87565310671934027</v>
      </c>
      <c r="BZ230" s="1136">
        <f>'2021'!R\Max</f>
        <v>0.61217176310806365</v>
      </c>
      <c r="CA230" s="1136">
        <f>'2022'!R\Max</f>
        <v>0.97575199528809342</v>
      </c>
      <c r="CB230" s="1136">
        <f>'2023'!R\Max</f>
        <v>0.97573167836396935</v>
      </c>
      <c r="CC230" s="1136">
        <f>'2024'!R\Max</f>
        <v>0.97570760523524647</v>
      </c>
      <c r="CD230" s="1136">
        <f>'2025'!R\Max</f>
        <v>0.975830345931051</v>
      </c>
      <c r="CE230" s="1136">
        <f>'2026'!R\Max</f>
        <v>0.9758108034309273</v>
      </c>
      <c r="CF230" s="1137">
        <f>'2027'!R\Max</f>
        <v>0.97579190186739706</v>
      </c>
    </row>
    <row r="231" spans="1:84" s="6" customFormat="1" ht="11.25" x14ac:dyDescent="0.2">
      <c r="A231" s="11">
        <v>43317</v>
      </c>
      <c r="B231" s="380">
        <f>'2022'!Maxi_hp</f>
        <v>53.36011340472448</v>
      </c>
      <c r="C231" s="85">
        <f>'2022'!An_max</f>
        <v>2020</v>
      </c>
      <c r="D231" s="1089">
        <f t="shared" si="97"/>
        <v>0.98836862336540154</v>
      </c>
      <c r="E231" s="749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838">
        <f t="shared" si="100"/>
        <v>7.1428571428571425E-2</v>
      </c>
      <c r="J231" s="829">
        <f t="shared" si="101"/>
        <v>53.988068968673801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838">
        <f t="shared" si="105"/>
        <v>0.4642857142857143</v>
      </c>
      <c r="AT231" s="855">
        <f t="shared" si="106"/>
        <v>53.994070814626426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838">
        <f t="shared" si="110"/>
        <v>3.5714285714285712E-2</v>
      </c>
      <c r="AY231" s="855">
        <f t="shared" si="111"/>
        <v>53.988955045611192</v>
      </c>
      <c r="AZ231" s="829">
        <f t="shared" si="115"/>
        <v>53.991512930118809</v>
      </c>
      <c r="BA231" s="662">
        <f t="shared" si="112"/>
        <v>0.98836862336540154</v>
      </c>
      <c r="BB231" s="657">
        <v>43317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926">
        <f>1+[2]!Salcycl*Ksac</f>
        <v>1.0498797819787251</v>
      </c>
      <c r="BH231" s="1082">
        <f t="shared" si="113"/>
        <v>2.5749832921300873E-2</v>
      </c>
      <c r="BI231" s="11">
        <v>44413</v>
      </c>
      <c r="BJ231" s="803">
        <v>2.1556486861570748E-3</v>
      </c>
      <c r="BK231" s="803">
        <v>8.0696650700064418E-3</v>
      </c>
      <c r="BL231" s="803">
        <v>1.6067663322219834E-2</v>
      </c>
      <c r="BM231" s="803">
        <v>2.5749475042718684E-2</v>
      </c>
      <c r="BN231" s="803">
        <v>3.5203159994318146E-2</v>
      </c>
      <c r="BO231" s="804">
        <v>4.4360684276954082E-2</v>
      </c>
      <c r="BP231" s="803">
        <v>5.4367829561233129E-2</v>
      </c>
      <c r="BQ231" s="803">
        <v>6.657008470864785E-2</v>
      </c>
      <c r="BR231" s="803">
        <v>8.2406617601109636E-2</v>
      </c>
      <c r="BS231" s="803">
        <v>0.1032603939208605</v>
      </c>
      <c r="BT231" s="803">
        <v>0.12789662056657486</v>
      </c>
      <c r="BW231" s="1138">
        <f>'2018'!R\Max</f>
        <v>0.9582858736100589</v>
      </c>
      <c r="BX231" s="1136">
        <f>'2019'!R\Max</f>
        <v>0.9517653922190471</v>
      </c>
      <c r="BY231" s="1136">
        <f>'2020'!R\Max</f>
        <v>0.98836862336540154</v>
      </c>
      <c r="BZ231" s="1136">
        <f>'2021'!R\Max</f>
        <v>0.9076850851642172</v>
      </c>
      <c r="CA231" s="1136">
        <f>'2022'!R\Max</f>
        <v>0.88127262651070581</v>
      </c>
      <c r="CB231" s="1136">
        <f>'2023'!R\Max</f>
        <v>0.88118525877295362</v>
      </c>
      <c r="CC231" s="1136">
        <f>'2024'!R\Max</f>
        <v>0.88108035383355732</v>
      </c>
      <c r="CD231" s="1136">
        <f>'2025'!R\Max</f>
        <v>0.88160533745556569</v>
      </c>
      <c r="CE231" s="1136">
        <f>'2026'!R\Max</f>
        <v>0.88152310925660027</v>
      </c>
      <c r="CF231" s="1137">
        <f>'2027'!R\Max</f>
        <v>0.88144302214141934</v>
      </c>
    </row>
    <row r="232" spans="1:84" s="6" customFormat="1" ht="11.25" x14ac:dyDescent="0.2">
      <c r="A232" s="11">
        <v>43318</v>
      </c>
      <c r="B232" s="380">
        <f>'2022'!Maxi_hp</f>
        <v>54.203152791652954</v>
      </c>
      <c r="C232" s="85">
        <f>'2022'!An_max</f>
        <v>2020</v>
      </c>
      <c r="D232" s="1089">
        <f t="shared" si="97"/>
        <v>1.0060069746704061</v>
      </c>
      <c r="E232" s="837">
        <f>AC$13/10</f>
        <v>53.879499999999993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838">
        <f t="shared" si="100"/>
        <v>0</v>
      </c>
      <c r="J232" s="829">
        <f t="shared" si="101"/>
        <v>53.879499999899416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838">
        <f t="shared" si="105"/>
        <v>0.5</v>
      </c>
      <c r="AT232" s="855">
        <f t="shared" si="106"/>
        <v>53.8866912240861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838">
        <f t="shared" si="110"/>
        <v>0</v>
      </c>
      <c r="AY232" s="855">
        <f t="shared" si="111"/>
        <v>53.879499999945985</v>
      </c>
      <c r="AZ232" s="829">
        <f t="shared" si="115"/>
        <v>53.883095612016042</v>
      </c>
      <c r="BA232" s="662">
        <f t="shared" si="112"/>
        <v>1.0060069746704061</v>
      </c>
      <c r="BB232" s="657">
        <v>43318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926">
        <f>1+[2]!Salcycl*Ksac</f>
        <v>1.0498545945935089</v>
      </c>
      <c r="BH232" s="1082">
        <f t="shared" si="113"/>
        <v>2.4394980680079333E-2</v>
      </c>
      <c r="BI232" s="11">
        <v>44414</v>
      </c>
      <c r="BJ232" s="803">
        <v>1.9726324533184455E-3</v>
      </c>
      <c r="BK232" s="803">
        <v>7.6264256453715609E-3</v>
      </c>
      <c r="BL232" s="803">
        <v>1.5221215167981764E-2</v>
      </c>
      <c r="BM232" s="803">
        <v>2.4394641734823849E-2</v>
      </c>
      <c r="BN232" s="803">
        <v>3.3348185815652867E-2</v>
      </c>
      <c r="BO232" s="804">
        <v>4.2102053445832073E-2</v>
      </c>
      <c r="BP232" s="803">
        <v>5.1812916097767871E-2</v>
      </c>
      <c r="BQ232" s="803">
        <v>6.3828671764395009E-2</v>
      </c>
      <c r="BR232" s="803">
        <v>7.959947182362194E-2</v>
      </c>
      <c r="BS232" s="803">
        <v>0.10051807125142791</v>
      </c>
      <c r="BT232" s="803">
        <v>0.1253065543036691</v>
      </c>
      <c r="BW232" s="1138">
        <f>'2018'!R\Max</f>
        <v>0.96909700186013248</v>
      </c>
      <c r="BX232" s="1136">
        <f>'2019'!R\Max</f>
        <v>0.73589729396657544</v>
      </c>
      <c r="BY232" s="1136">
        <f>'2020'!R\Max</f>
        <v>1.0060069746704061</v>
      </c>
      <c r="BZ232" s="1136">
        <f>'2021'!R\Max</f>
        <v>0.34068146525357423</v>
      </c>
      <c r="CA232" s="1136">
        <f>'2022'!R\Max</f>
        <v>0.93379512698680422</v>
      </c>
      <c r="CB232" s="1136">
        <f>'2023'!R\Max</f>
        <v>0.93374494477571235</v>
      </c>
      <c r="CC232" s="1136">
        <f>'2024'!R\Max</f>
        <v>0.93368382310902254</v>
      </c>
      <c r="CD232" s="1136">
        <f>'2025'!R\Max</f>
        <v>0.93398355930896237</v>
      </c>
      <c r="CE232" s="1136">
        <f>'2026'!R\Max</f>
        <v>0.93393747134843197</v>
      </c>
      <c r="CF232" s="1137">
        <f>'2027'!R\Max</f>
        <v>0.93389222754608892</v>
      </c>
    </row>
    <row r="233" spans="1:84" s="6" customFormat="1" ht="11.25" x14ac:dyDescent="0.2">
      <c r="A233" s="11">
        <v>43319</v>
      </c>
      <c r="B233" s="380">
        <f>'2022'!Maxi_hp</f>
        <v>53.68882696502358</v>
      </c>
      <c r="C233" s="85">
        <f>'2022'!An_max</f>
        <v>2022</v>
      </c>
      <c r="D233" s="1089">
        <f t="shared" si="97"/>
        <v>0.99849032009658967</v>
      </c>
      <c r="E233" s="749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838">
        <f t="shared" si="100"/>
        <v>7.1428571428571425E-2</v>
      </c>
      <c r="J233" s="829">
        <f t="shared" si="101"/>
        <v>53.770002457139448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838">
        <f t="shared" si="105"/>
        <v>0.5357142857142857</v>
      </c>
      <c r="AT233" s="855">
        <f t="shared" si="106"/>
        <v>53.778735702473206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838">
        <f t="shared" si="110"/>
        <v>3.5714285714285712E-2</v>
      </c>
      <c r="AY233" s="855">
        <f t="shared" si="111"/>
        <v>53.770941113176683</v>
      </c>
      <c r="AZ233" s="829">
        <f t="shared" si="115"/>
        <v>53.774838407824944</v>
      </c>
      <c r="BA233" s="662">
        <f t="shared" si="112"/>
        <v>0.99849032009658967</v>
      </c>
      <c r="BB233" s="657">
        <v>43319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926">
        <f>1+[2]!Salcycl*Ksac</f>
        <v>1.049826977558451</v>
      </c>
      <c r="BH233" s="1082">
        <f t="shared" si="113"/>
        <v>2.3054890915217556E-2</v>
      </c>
      <c r="BI233" s="11">
        <v>44415</v>
      </c>
      <c r="BJ233" s="803">
        <v>1.7974738669031278E-3</v>
      </c>
      <c r="BK233" s="803">
        <v>7.1903334026256855E-3</v>
      </c>
      <c r="BL233" s="803">
        <v>1.4384864920457555E-2</v>
      </c>
      <c r="BM233" s="803">
        <v>2.3054570670932643E-2</v>
      </c>
      <c r="BN233" s="803">
        <v>3.1514111777364698E-2</v>
      </c>
      <c r="BO233" s="804">
        <v>3.9869020905354817E-2</v>
      </c>
      <c r="BP233" s="803">
        <v>4.9288270528095375E-2</v>
      </c>
      <c r="BQ233" s="803">
        <v>6.1123794101347328E-2</v>
      </c>
      <c r="BR233" s="803">
        <v>7.6835357513283978E-2</v>
      </c>
      <c r="BS233" s="803">
        <v>9.7827429480868477E-2</v>
      </c>
      <c r="BT233" s="803">
        <v>0.1227785135977866</v>
      </c>
      <c r="BW233" s="1138">
        <f>'2018'!R\Max</f>
        <v>0.56981023999486391</v>
      </c>
      <c r="BX233" s="1136">
        <f>'2019'!R\Max</f>
        <v>0.74873458494260592</v>
      </c>
      <c r="BY233" s="1136">
        <f>'2020'!R\Max</f>
        <v>0.98375096236308324</v>
      </c>
      <c r="BZ233" s="1136">
        <f>'2021'!R\Max</f>
        <v>0.44700009849666988</v>
      </c>
      <c r="CA233" s="1136">
        <f>'2022'!R\Max</f>
        <v>0.99849032009658967</v>
      </c>
      <c r="CB233" s="1136">
        <f>'2023'!R\Max</f>
        <v>0.99848913112804283</v>
      </c>
      <c r="CC233" s="1136">
        <f>'2024'!R\Max</f>
        <v>0.99848766102130715</v>
      </c>
      <c r="CD233" s="1136">
        <f>'2025'!R\Max</f>
        <v>0.99849471787984034</v>
      </c>
      <c r="CE233" s="1136">
        <f>'2026'!R\Max</f>
        <v>0.99849365446600535</v>
      </c>
      <c r="CF233" s="1137">
        <f>'2027'!R\Max</f>
        <v>0.99849260140562135</v>
      </c>
    </row>
    <row r="234" spans="1:84" s="6" customFormat="1" ht="11.25" x14ac:dyDescent="0.2">
      <c r="A234" s="11">
        <v>43320</v>
      </c>
      <c r="B234" s="380">
        <f>'2022'!Maxi_hp</f>
        <v>54.348181539187038</v>
      </c>
      <c r="C234" s="85">
        <f>'2022'!An_max</f>
        <v>2022</v>
      </c>
      <c r="D234" s="1089">
        <f t="shared" si="97"/>
        <v>1.0128309621752034</v>
      </c>
      <c r="E234" s="749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838">
        <f t="shared" si="100"/>
        <v>0.14285714285714285</v>
      </c>
      <c r="J234" s="829">
        <f t="shared" si="101"/>
        <v>53.659676262726336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838">
        <f t="shared" si="105"/>
        <v>0.5714285714285714</v>
      </c>
      <c r="AT234" s="855">
        <f t="shared" si="106"/>
        <v>53.670161603550824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838">
        <f t="shared" si="110"/>
        <v>7.1428571428571425E-2</v>
      </c>
      <c r="AY234" s="855">
        <f t="shared" si="111"/>
        <v>53.663845294534369</v>
      </c>
      <c r="AZ234" s="829">
        <f t="shared" si="115"/>
        <v>53.667003449042596</v>
      </c>
      <c r="BA234" s="662">
        <f t="shared" si="112"/>
        <v>1.0128309621752034</v>
      </c>
      <c r="BB234" s="657">
        <v>43320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926">
        <f>1+[2]!Salcycl*Ksac</f>
        <v>1.0497969696590292</v>
      </c>
      <c r="BH234" s="1082">
        <f t="shared" si="113"/>
        <v>2.1749297056518766E-2</v>
      </c>
      <c r="BI234" s="11">
        <v>44416</v>
      </c>
      <c r="BJ234" s="803">
        <v>1.6344757746820135E-3</v>
      </c>
      <c r="BK234" s="803">
        <v>6.7687209920355698E-3</v>
      </c>
      <c r="BL234" s="803">
        <v>1.3571302789060177E-2</v>
      </c>
      <c r="BM234" s="803">
        <v>2.1748995067382704E-2</v>
      </c>
      <c r="BN234" s="803">
        <v>2.9726309981482669E-2</v>
      </c>
      <c r="BO234" s="804">
        <v>3.7691938608766982E-2</v>
      </c>
      <c r="BP234" s="803">
        <v>4.6828775337859001E-2</v>
      </c>
      <c r="BQ234" s="803">
        <v>5.849501252935646E-2</v>
      </c>
      <c r="BR234" s="803">
        <v>7.4159380390565591E-2</v>
      </c>
      <c r="BS234" s="803">
        <v>9.523945489203807E-2</v>
      </c>
      <c r="BT234" s="803">
        <v>0.12037088669956975</v>
      </c>
      <c r="BW234" s="1138">
        <f>'2018'!R\Max</f>
        <v>0.86282877097613475</v>
      </c>
      <c r="BX234" s="1136">
        <f>'2019'!R\Max</f>
        <v>0.96541454219770528</v>
      </c>
      <c r="BY234" s="1136">
        <f>'2020'!R\Max</f>
        <v>0.95771611810404478</v>
      </c>
      <c r="BZ234" s="1136">
        <f>'2021'!R\Max</f>
        <v>0.71362268633149917</v>
      </c>
      <c r="CA234" s="1136">
        <f>'2022'!R\Max</f>
        <v>1.0128309621752034</v>
      </c>
      <c r="CB234" s="1136">
        <f>'2023'!R\Max</f>
        <v>1.0128309621752032</v>
      </c>
      <c r="CC234" s="1136">
        <f>'2024'!R\Max</f>
        <v>1.0128309621752034</v>
      </c>
      <c r="CD234" s="1136">
        <f>'2025'!R\Max</f>
        <v>1.0128309621752036</v>
      </c>
      <c r="CE234" s="1136">
        <f>'2026'!R\Max</f>
        <v>1.0128309621752034</v>
      </c>
      <c r="CF234" s="1137">
        <f>'2027'!R\Max</f>
        <v>1.0128309621752036</v>
      </c>
    </row>
    <row r="235" spans="1:84" s="6" customFormat="1" ht="11.25" x14ac:dyDescent="0.2">
      <c r="A235" s="11">
        <v>43321</v>
      </c>
      <c r="B235" s="380">
        <f>'2022'!Maxi_hp</f>
        <v>54.505372378920782</v>
      </c>
      <c r="C235" s="85">
        <f>'2022'!An_max</f>
        <v>2021</v>
      </c>
      <c r="D235" s="1089">
        <f t="shared" si="97"/>
        <v>1.0178671681605389</v>
      </c>
      <c r="E235" s="749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838">
        <f t="shared" si="100"/>
        <v>0.21428571428571427</v>
      </c>
      <c r="J235" s="829">
        <f t="shared" si="101"/>
        <v>53.548610352980901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838">
        <f t="shared" si="105"/>
        <v>0.6071428571428571</v>
      </c>
      <c r="AT235" s="855">
        <f t="shared" si="106"/>
        <v>53.560926280446758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838">
        <f t="shared" si="110"/>
        <v>0.10714285714285714</v>
      </c>
      <c r="AY235" s="855">
        <f t="shared" si="111"/>
        <v>53.558004197290373</v>
      </c>
      <c r="AZ235" s="829">
        <f t="shared" si="115"/>
        <v>53.559465238868569</v>
      </c>
      <c r="BA235" s="662">
        <f t="shared" si="112"/>
        <v>1.0178671681605389</v>
      </c>
      <c r="BB235" s="657">
        <v>43321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926">
        <f>1+[2]!Salcycl*Ksac</f>
        <v>1.0497645905313977</v>
      </c>
      <c r="BH235" s="1082">
        <f t="shared" si="113"/>
        <v>2.0475814026321825E-2</v>
      </c>
      <c r="BI235" s="11">
        <v>44417</v>
      </c>
      <c r="BJ235" s="803">
        <v>1.480180577068312E-3</v>
      </c>
      <c r="BK235" s="803">
        <v>6.3591642047165749E-3</v>
      </c>
      <c r="BL235" s="803">
        <v>1.2778425959029262E-2</v>
      </c>
      <c r="BM235" s="803">
        <v>2.047552987467265E-2</v>
      </c>
      <c r="BN235" s="803">
        <v>2.7981651513397959E-2</v>
      </c>
      <c r="BO235" s="804">
        <v>3.5567837631591548E-2</v>
      </c>
      <c r="BP235" s="803">
        <v>4.4431061156553701E-2</v>
      </c>
      <c r="BQ235" s="803">
        <v>5.5937421621439963E-2</v>
      </c>
      <c r="BR235" s="803">
        <v>7.1564235006643662E-2</v>
      </c>
      <c r="BS235" s="803">
        <v>9.2742531410600293E-2</v>
      </c>
      <c r="BT235" s="803">
        <v>0.11806667249371888</v>
      </c>
      <c r="BW235" s="1138">
        <f>'2018'!R\Max</f>
        <v>0.27800121468174843</v>
      </c>
      <c r="BX235" s="1136">
        <f>'2019'!R\Max</f>
        <v>0.94464076117230422</v>
      </c>
      <c r="BY235" s="1136">
        <f>'2020'!R\Max</f>
        <v>0.93445213422994322</v>
      </c>
      <c r="BZ235" s="1136">
        <f>'2021'!R\Max</f>
        <v>1.0178671681605389</v>
      </c>
      <c r="CA235" s="1136">
        <f>'2022'!R\Max</f>
        <v>0.9778726596169508</v>
      </c>
      <c r="CB235" s="1136">
        <f>'2023'!R\Max</f>
        <v>0.97785654468774474</v>
      </c>
      <c r="CC235" s="1136">
        <f>'2024'!R\Max</f>
        <v>0.97783597538070666</v>
      </c>
      <c r="CD235" s="1136">
        <f>'2025'!R\Max</f>
        <v>0.97793036382195198</v>
      </c>
      <c r="CE235" s="1136">
        <f>'2026'!R\Max</f>
        <v>0.97791676675747763</v>
      </c>
      <c r="CF235" s="1137">
        <f>'2027'!R\Max</f>
        <v>0.97790303143907986</v>
      </c>
    </row>
    <row r="236" spans="1:84" s="6" customFormat="1" ht="11.25" x14ac:dyDescent="0.2">
      <c r="A236" s="11">
        <v>43322</v>
      </c>
      <c r="B236" s="380">
        <f>'2022'!Maxi_hp</f>
        <v>52.854099421104479</v>
      </c>
      <c r="C236" s="85">
        <f>'2022'!An_max</f>
        <v>2021</v>
      </c>
      <c r="D236" s="1089">
        <f t="shared" si="97"/>
        <v>0.98909378514077395</v>
      </c>
      <c r="E236" s="749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838">
        <f t="shared" si="100"/>
        <v>0.2857142857142857</v>
      </c>
      <c r="J236" s="829">
        <f t="shared" si="101"/>
        <v>53.436893664822648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838">
        <f t="shared" si="105"/>
        <v>0.6428571428571429</v>
      </c>
      <c r="AT236" s="855">
        <f t="shared" si="106"/>
        <v>53.450987086691228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838">
        <f t="shared" si="110"/>
        <v>0.14285714285714285</v>
      </c>
      <c r="AY236" s="855">
        <f t="shared" si="111"/>
        <v>53.453209474882371</v>
      </c>
      <c r="AZ236" s="829">
        <f t="shared" si="115"/>
        <v>53.452098280786799</v>
      </c>
      <c r="BA236" s="662">
        <f t="shared" si="112"/>
        <v>0.98909378514077395</v>
      </c>
      <c r="BB236" s="657">
        <v>43322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926">
        <f>1+[2]!Salcycl*Ksac</f>
        <v>1.0497298418664025</v>
      </c>
      <c r="BH236" s="1082">
        <f t="shared" si="113"/>
        <v>1.9234393818017035E-2</v>
      </c>
      <c r="BI236" s="11">
        <v>44418</v>
      </c>
      <c r="BJ236" s="803">
        <v>1.3345819843464761E-3</v>
      </c>
      <c r="BK236" s="803">
        <v>5.9616473904960865E-3</v>
      </c>
      <c r="BL236" s="803">
        <v>1.2006204419485004E-2</v>
      </c>
      <c r="BM236" s="803">
        <v>1.9234127086859166E-2</v>
      </c>
      <c r="BN236" s="803">
        <v>2.6280070763759895E-2</v>
      </c>
      <c r="BO236" s="804">
        <v>3.3496637559756633E-2</v>
      </c>
      <c r="BP236" s="803">
        <v>4.2095035573852572E-2</v>
      </c>
      <c r="BQ236" s="803">
        <v>5.3450919318261257E-2</v>
      </c>
      <c r="BR236" s="803">
        <v>6.904981185340163E-2</v>
      </c>
      <c r="BS236" s="803">
        <v>9.0336544168884925E-2</v>
      </c>
      <c r="BT236" s="803">
        <v>0.11586575183759973</v>
      </c>
      <c r="BW236" s="1138">
        <f>'2018'!R\Max</f>
        <v>0.91957473049212268</v>
      </c>
      <c r="BX236" s="1136">
        <f>'2019'!R\Max</f>
        <v>0.6895616034387323</v>
      </c>
      <c r="BY236" s="1136">
        <f>'2020'!R\Max</f>
        <v>0.77771797137613274</v>
      </c>
      <c r="BZ236" s="1136">
        <f>'2021'!R\Max</f>
        <v>0.98909378514077395</v>
      </c>
      <c r="CA236" s="1136">
        <f>'2022'!R\Max</f>
        <v>0.95180219317154469</v>
      </c>
      <c r="CB236" s="1136">
        <f>'2023'!R\Max</f>
        <v>0.95176899135787363</v>
      </c>
      <c r="CC236" s="1136">
        <f>'2024'!R\Max</f>
        <v>0.95172589476618596</v>
      </c>
      <c r="CD236" s="1136">
        <f>'2025'!R\Max</f>
        <v>0.95191899409424985</v>
      </c>
      <c r="CE236" s="1136">
        <f>'2026'!R\Max</f>
        <v>0.95189187956657584</v>
      </c>
      <c r="CF236" s="1137">
        <f>'2027'!R\Max</f>
        <v>0.95186416893964021</v>
      </c>
    </row>
    <row r="237" spans="1:84" s="6" customFormat="1" ht="11.25" x14ac:dyDescent="0.2">
      <c r="A237" s="11">
        <v>43323</v>
      </c>
      <c r="B237" s="380">
        <f>'2022'!Maxi_hp</f>
        <v>52.879735063277003</v>
      </c>
      <c r="C237" s="85">
        <f>'2022'!An_max</f>
        <v>2018</v>
      </c>
      <c r="D237" s="1089">
        <f t="shared" si="97"/>
        <v>0.99165713488529417</v>
      </c>
      <c r="E237" s="749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838">
        <f t="shared" si="100"/>
        <v>0.35714285714285715</v>
      </c>
      <c r="J237" s="829">
        <f t="shared" si="101"/>
        <v>53.324615134638897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838">
        <f t="shared" si="105"/>
        <v>0.6785714285714286</v>
      </c>
      <c r="AT237" s="855">
        <f t="shared" si="106"/>
        <v>53.340301375322248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838">
        <f t="shared" si="110"/>
        <v>0.17857142857142858</v>
      </c>
      <c r="AY237" s="855">
        <f t="shared" si="111"/>
        <v>53.349252780669907</v>
      </c>
      <c r="AZ237" s="829">
        <f t="shared" si="115"/>
        <v>53.344777077996078</v>
      </c>
      <c r="BA237" s="662">
        <f t="shared" si="112"/>
        <v>0.99165713488529417</v>
      </c>
      <c r="BB237" s="657">
        <v>43323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926">
        <f>1+[2]!Salcycl*Ksac</f>
        <v>1.0496927086359877</v>
      </c>
      <c r="BH237" s="1082">
        <f t="shared" si="113"/>
        <v>1.8024991768203928E-2</v>
      </c>
      <c r="BI237" s="11">
        <v>44419</v>
      </c>
      <c r="BJ237" s="803">
        <v>1.1976743795099141E-3</v>
      </c>
      <c r="BK237" s="803">
        <v>5.5761560704498973E-3</v>
      </c>
      <c r="BL237" s="803">
        <v>1.1254610279478092E-2</v>
      </c>
      <c r="BM237" s="803">
        <v>1.8024742041163139E-2</v>
      </c>
      <c r="BN237" s="803">
        <v>2.4621506656358667E-2</v>
      </c>
      <c r="BO237" s="804">
        <v>3.147826352255137E-2</v>
      </c>
      <c r="BP237" s="803">
        <v>3.9820612543807844E-2</v>
      </c>
      <c r="BQ237" s="803">
        <v>5.1035410637526597E-2</v>
      </c>
      <c r="BR237" s="803">
        <v>6.6616009071550283E-2</v>
      </c>
      <c r="BS237" s="803">
        <v>8.8021386380693636E-2</v>
      </c>
      <c r="BT237" s="803">
        <v>0.11376801410223067</v>
      </c>
      <c r="BW237" s="1138">
        <f>'2018'!R\Max</f>
        <v>0.99165713488529417</v>
      </c>
      <c r="BX237" s="1136">
        <f>'2019'!R\Max</f>
        <v>0.44400646071754341</v>
      </c>
      <c r="BY237" s="1136">
        <f>'2020'!R\Max</f>
        <v>0.74148950223472654</v>
      </c>
      <c r="BZ237" s="1136">
        <f>'2021'!R\Max</f>
        <v>0.9581264803228996</v>
      </c>
      <c r="CA237" s="1136">
        <f>'2022'!R\Max</f>
        <v>0.90242833553081503</v>
      </c>
      <c r="CB237" s="1136">
        <f>'2023'!R\Max</f>
        <v>0.9023664010560507</v>
      </c>
      <c r="CC237" s="1136">
        <f>'2024'!R\Max</f>
        <v>0.90228460224893503</v>
      </c>
      <c r="CD237" s="1136">
        <f>'2025'!R\Max</f>
        <v>0.90264216205770265</v>
      </c>
      <c r="CE237" s="1136">
        <f>'2026'!R\Max</f>
        <v>0.90259333467963865</v>
      </c>
      <c r="CF237" s="1137">
        <f>'2027'!R\Max</f>
        <v>0.9025427837542741</v>
      </c>
    </row>
    <row r="238" spans="1:84" s="6" customFormat="1" ht="11.25" x14ac:dyDescent="0.2">
      <c r="A238" s="11">
        <v>43324</v>
      </c>
      <c r="B238" s="380">
        <f>'2022'!Maxi_hp</f>
        <v>51.227825043986797</v>
      </c>
      <c r="C238" s="85">
        <f>'2022'!An_max</f>
        <v>2018</v>
      </c>
      <c r="D238" s="1089" t="str">
        <f t="shared" si="97"/>
        <v/>
      </c>
      <c r="E238" s="749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838">
        <f t="shared" si="100"/>
        <v>0.42857142857142855</v>
      </c>
      <c r="J238" s="829">
        <f t="shared" si="101"/>
        <v>53.21186369874215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838">
        <f t="shared" si="105"/>
        <v>0.7142857142857143</v>
      </c>
      <c r="AT238" s="855">
        <f t="shared" si="106"/>
        <v>53.228826500209308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838">
        <f t="shared" si="110"/>
        <v>0.21428571428571427</v>
      </c>
      <c r="AY238" s="855">
        <f t="shared" si="111"/>
        <v>53.245925768009123</v>
      </c>
      <c r="AZ238" s="829">
        <f t="shared" si="115"/>
        <v>53.237376134109212</v>
      </c>
      <c r="BA238" s="662">
        <f t="shared" si="112"/>
        <v>0.96271435509216619</v>
      </c>
      <c r="BB238" s="657">
        <v>43324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926">
        <f>1+[2]!Salcycl*Ksac</f>
        <v>1.0496531603246717</v>
      </c>
      <c r="BH238" s="1082">
        <f t="shared" si="113"/>
        <v>1.6847566458396333E-2</v>
      </c>
      <c r="BI238" s="11">
        <v>44420</v>
      </c>
      <c r="BJ238" s="803">
        <v>1.0694527913497375E-3</v>
      </c>
      <c r="BK238" s="803">
        <v>5.2026768999077003E-3</v>
      </c>
      <c r="BL238" s="803">
        <v>1.0523617704638952E-2</v>
      </c>
      <c r="BM238" s="803">
        <v>1.6847333319675972E-2</v>
      </c>
      <c r="BN238" s="803">
        <v>2.300590251609454E-2</v>
      </c>
      <c r="BO238" s="804">
        <v>2.9512646030538298E-2</v>
      </c>
      <c r="BP238" s="803">
        <v>3.7607712195951576E-2</v>
      </c>
      <c r="BQ238" s="803">
        <v>4.8690807456459262E-2</v>
      </c>
      <c r="BR238" s="803">
        <v>6.4262732203904202E-2</v>
      </c>
      <c r="BS238" s="803">
        <v>8.5796959063792352E-2</v>
      </c>
      <c r="BT238" s="803">
        <v>0.11177335685749455</v>
      </c>
      <c r="BW238" s="1138">
        <f>'2018'!R\Max</f>
        <v>0.96271435509216619</v>
      </c>
      <c r="BX238" s="1136">
        <f>'2019'!R\Max</f>
        <v>0.48790712546934223</v>
      </c>
      <c r="BY238" s="1136">
        <f>'2020'!R\Max</f>
        <v>0.83894670142700234</v>
      </c>
      <c r="BZ238" s="1136">
        <f>'2021'!R\Max</f>
        <v>0.93010779737543281</v>
      </c>
      <c r="CA238" s="1136">
        <f>'2022'!R\Max</f>
        <v>0.93279002929644039</v>
      </c>
      <c r="CB238" s="1136">
        <f>'2023'!R\Max</f>
        <v>0.9327471640131344</v>
      </c>
      <c r="CC238" s="1136">
        <f>'2024'!R\Max</f>
        <v>0.93268951855671078</v>
      </c>
      <c r="CD238" s="1136">
        <f>'2025'!R\Max</f>
        <v>0.93293505592408554</v>
      </c>
      <c r="CE238" s="1136">
        <f>'2026'!R\Max</f>
        <v>0.93290254372423442</v>
      </c>
      <c r="CF238" s="1137">
        <f>'2027'!R\Max</f>
        <v>0.93286839014606304</v>
      </c>
    </row>
    <row r="239" spans="1:84" s="6" customFormat="1" ht="11.25" x14ac:dyDescent="0.2">
      <c r="A239" s="11">
        <v>43325</v>
      </c>
      <c r="B239" s="380">
        <f>'2022'!Maxi_hp</f>
        <v>48.536022746732414</v>
      </c>
      <c r="C239" s="85">
        <f>'2022'!An_max</f>
        <v>2019</v>
      </c>
      <c r="D239" s="1089" t="str">
        <f t="shared" si="97"/>
        <v/>
      </c>
      <c r="E239" s="749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838">
        <f t="shared" si="100"/>
        <v>0.5</v>
      </c>
      <c r="J239" s="829">
        <f t="shared" si="101"/>
        <v>53.098728294076864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838">
        <f t="shared" si="105"/>
        <v>0.75</v>
      </c>
      <c r="AT239" s="855">
        <f t="shared" si="106"/>
        <v>53.116519814438654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838">
        <f t="shared" si="110"/>
        <v>0.25</v>
      </c>
      <c r="AY239" s="855">
        <f t="shared" si="111"/>
        <v>53.143020090123173</v>
      </c>
      <c r="AZ239" s="829">
        <f t="shared" si="115"/>
        <v>53.12976995228091</v>
      </c>
      <c r="BA239" s="662">
        <f t="shared" si="112"/>
        <v>0.91407128392840586</v>
      </c>
      <c r="BB239" s="657">
        <v>43325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926">
        <f>1+[2]!Salcycl*Ksac</f>
        <v>1.0496111521493217</v>
      </c>
      <c r="BH239" s="1082">
        <f t="shared" si="113"/>
        <v>1.5702079616216964E-2</v>
      </c>
      <c r="BI239" s="11">
        <v>44421</v>
      </c>
      <c r="BJ239" s="803">
        <v>9.4991286750611872E-4</v>
      </c>
      <c r="BK239" s="803">
        <v>4.8411976312999283E-3</v>
      </c>
      <c r="BL239" s="803">
        <v>9.8132028535084515E-3</v>
      </c>
      <c r="BM239" s="803">
        <v>1.5701862650555464E-2</v>
      </c>
      <c r="BN239" s="803">
        <v>2.1433205936249453E-2</v>
      </c>
      <c r="BO239" s="804">
        <v>2.7599720812579859E-2</v>
      </c>
      <c r="BP239" s="803">
        <v>3.5456260645291809E-2</v>
      </c>
      <c r="BQ239" s="803">
        <v>4.6417028292887318E-2</v>
      </c>
      <c r="BR239" s="803">
        <v>6.1989893946890327E-2</v>
      </c>
      <c r="BS239" s="803">
        <v>8.3663170760120323E-2</v>
      </c>
      <c r="BT239" s="803">
        <v>0.10988168555445128</v>
      </c>
      <c r="BW239" s="1138">
        <f>'2018'!R\Max</f>
        <v>0.52364595626682553</v>
      </c>
      <c r="BX239" s="1136">
        <f>'2019'!R\Max</f>
        <v>0.91407128392840586</v>
      </c>
      <c r="BY239" s="1136">
        <f>'2020'!R\Max</f>
        <v>0.49819188427980249</v>
      </c>
      <c r="BZ239" s="1136">
        <f>'2021'!R\Max</f>
        <v>0.61910381644719359</v>
      </c>
      <c r="CA239" s="1136">
        <f>'2022'!R\Max</f>
        <v>0.73343248453450394</v>
      </c>
      <c r="CB239" s="1136">
        <f>'2023'!R\Max</f>
        <v>0.73330254034986242</v>
      </c>
      <c r="CC239" s="1136">
        <f>'2024'!R\Max</f>
        <v>0.73312456841011953</v>
      </c>
      <c r="CD239" s="1136">
        <f>'2025'!R\Max</f>
        <v>0.73386305511382754</v>
      </c>
      <c r="CE239" s="1136">
        <f>'2026'!R\Max</f>
        <v>0.73376844938901575</v>
      </c>
      <c r="CF239" s="1137">
        <f>'2027'!R\Max</f>
        <v>0.73366745632181052</v>
      </c>
    </row>
    <row r="240" spans="1:84" s="6" customFormat="1" ht="11.25" x14ac:dyDescent="0.2">
      <c r="A240" s="11">
        <v>43326</v>
      </c>
      <c r="B240" s="380">
        <f>'2022'!Maxi_hp</f>
        <v>53.538915966622881</v>
      </c>
      <c r="C240" s="85">
        <f>'2022'!An_max</f>
        <v>2019</v>
      </c>
      <c r="D240" s="1089">
        <f t="shared" si="97"/>
        <v>1.0104485231193459</v>
      </c>
      <c r="E240" s="749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838">
        <f t="shared" si="100"/>
        <v>0.5714285714285714</v>
      </c>
      <c r="J240" s="829">
        <f t="shared" si="101"/>
        <v>52.985297856978811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838">
        <f t="shared" si="105"/>
        <v>0.7857142857142857</v>
      </c>
      <c r="AT240" s="855">
        <f t="shared" si="106"/>
        <v>53.003338671459019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838">
        <f t="shared" si="110"/>
        <v>0.2857142857142857</v>
      </c>
      <c r="AY240" s="855">
        <f t="shared" si="111"/>
        <v>53.040327400527893</v>
      </c>
      <c r="AZ240" s="829">
        <f t="shared" si="115"/>
        <v>53.021833035993453</v>
      </c>
      <c r="BA240" s="662">
        <f t="shared" si="112"/>
        <v>1.0104485231193459</v>
      </c>
      <c r="BB240" s="657">
        <v>43326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926">
        <f>1+[2]!Salcycl*Ksac</f>
        <v>1.0495666262512084</v>
      </c>
      <c r="BH240" s="1082">
        <f t="shared" si="113"/>
        <v>1.4609962049702791E-2</v>
      </c>
      <c r="BI240" s="11">
        <v>44422</v>
      </c>
      <c r="BJ240" s="803">
        <v>8.423225527288816E-4</v>
      </c>
      <c r="BK240" s="803">
        <v>4.4986280878830083E-3</v>
      </c>
      <c r="BL240" s="803">
        <v>9.1365168661090342E-3</v>
      </c>
      <c r="BM240" s="803">
        <v>1.4609760446132476E-2</v>
      </c>
      <c r="BN240" s="803">
        <v>1.9935300262550873E-2</v>
      </c>
      <c r="BO240" s="804">
        <v>2.578031349028026E-2</v>
      </c>
      <c r="BP240" s="803">
        <v>3.3414157844650898E-2</v>
      </c>
      <c r="BQ240" s="803">
        <v>4.426846235271558E-2</v>
      </c>
      <c r="BR240" s="803">
        <v>5.9858230133599165E-2</v>
      </c>
      <c r="BS240" s="803">
        <v>8.1691997802741764E-2</v>
      </c>
      <c r="BT240" s="803">
        <v>0.1081791127142477</v>
      </c>
      <c r="BW240" s="1138">
        <f>'2018'!R\Max</f>
        <v>0.69600259177495294</v>
      </c>
      <c r="BX240" s="1136">
        <f>'2019'!R\Max</f>
        <v>1.0104485231193459</v>
      </c>
      <c r="BY240" s="1136">
        <f>'2020'!R\Max</f>
        <v>0.33172868870203986</v>
      </c>
      <c r="BZ240" s="1136">
        <f>'2021'!R\Max</f>
        <v>0.9495983226803677</v>
      </c>
      <c r="CA240" s="1136">
        <f>'2022'!R\Max</f>
        <v>0.67320268125635552</v>
      </c>
      <c r="CB240" s="1136">
        <f>'2023'!R\Max</f>
        <v>0.67306036463640784</v>
      </c>
      <c r="CC240" s="1136">
        <f>'2024'!R\Max</f>
        <v>0.67286176085150129</v>
      </c>
      <c r="CD240" s="1136">
        <f>'2025'!R\Max</f>
        <v>0.67366393380453382</v>
      </c>
      <c r="CE240" s="1136">
        <f>'2026'!R\Max</f>
        <v>0.67356481334685281</v>
      </c>
      <c r="CF240" s="1137">
        <f>'2027'!R\Max</f>
        <v>0.67345709226434791</v>
      </c>
    </row>
    <row r="241" spans="1:84" s="6" customFormat="1" ht="11.25" x14ac:dyDescent="0.2">
      <c r="A241" s="11">
        <v>43327</v>
      </c>
      <c r="B241" s="380">
        <f>'2022'!Maxi_hp</f>
        <v>53.803189402990363</v>
      </c>
      <c r="C241" s="85">
        <f>'2022'!An_max</f>
        <v>2018</v>
      </c>
      <c r="D241" s="1089">
        <f t="shared" si="97"/>
        <v>1.0176186648138223</v>
      </c>
      <c r="E241" s="749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838">
        <f t="shared" si="100"/>
        <v>0.6428571428571429</v>
      </c>
      <c r="J241" s="829">
        <f t="shared" si="101"/>
        <v>52.871661323973342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838">
        <f t="shared" si="105"/>
        <v>0.8214285714285714</v>
      </c>
      <c r="AT241" s="855">
        <f t="shared" si="106"/>
        <v>52.889240424451415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838">
        <f t="shared" si="110"/>
        <v>0.32142857142857145</v>
      </c>
      <c r="AY241" s="855">
        <f t="shared" si="111"/>
        <v>52.937639352584462</v>
      </c>
      <c r="AZ241" s="829">
        <f t="shared" si="115"/>
        <v>52.913439888517942</v>
      </c>
      <c r="BA241" s="662">
        <f t="shared" si="112"/>
        <v>1.0176186648138223</v>
      </c>
      <c r="BB241" s="657">
        <v>43327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926">
        <f>1+[2]!Salcycl*Ksac</f>
        <v>1.0495195128452506</v>
      </c>
      <c r="BH241" s="1082">
        <f t="shared" si="113"/>
        <v>1.3559219329887916E-2</v>
      </c>
      <c r="BI241" s="11">
        <v>44423</v>
      </c>
      <c r="BJ241" s="803">
        <v>7.4232154207612997E-4</v>
      </c>
      <c r="BK241" s="803">
        <v>4.1703673661073895E-3</v>
      </c>
      <c r="BL241" s="803">
        <v>8.4858038008944342E-3</v>
      </c>
      <c r="BM241" s="803">
        <v>1.3559032476294865E-2</v>
      </c>
      <c r="BN241" s="803">
        <v>1.849493836363468E-2</v>
      </c>
      <c r="BO241" s="804">
        <v>2.4032447535098467E-2</v>
      </c>
      <c r="BP241" s="803">
        <v>3.145528448381215E-2</v>
      </c>
      <c r="BQ241" s="803">
        <v>4.22143960246876E-2</v>
      </c>
      <c r="BR241" s="803">
        <v>5.7833091157251992E-2</v>
      </c>
      <c r="BS241" s="803">
        <v>7.9844647726919696E-2</v>
      </c>
      <c r="BT241" s="803">
        <v>0.10662211031925184</v>
      </c>
      <c r="BW241" s="1138">
        <f>'2018'!R\Max</f>
        <v>1.0176186648138223</v>
      </c>
      <c r="BX241" s="1136">
        <f>'2019'!R\Max</f>
        <v>0.49605484813539313</v>
      </c>
      <c r="BY241" s="1136">
        <f>'2020'!R\Max</f>
        <v>0.91618323107000055</v>
      </c>
      <c r="BZ241" s="1136">
        <f>'2021'!R\Max</f>
        <v>0.38546601806912262</v>
      </c>
      <c r="CA241" s="1136">
        <f>'2022'!R\Max</f>
        <v>0.76536141202777397</v>
      </c>
      <c r="CB241" s="1136">
        <f>'2023'!R\Max</f>
        <v>0.76524825225952253</v>
      </c>
      <c r="CC241" s="1136">
        <f>'2024'!R\Max</f>
        <v>0.76508726808125316</v>
      </c>
      <c r="CD241" s="1136">
        <f>'2025'!R\Max</f>
        <v>0.76571962876241684</v>
      </c>
      <c r="CE241" s="1136">
        <f>'2026'!R\Max</f>
        <v>0.76564452897706226</v>
      </c>
      <c r="CF241" s="1137">
        <f>'2027'!R\Max</f>
        <v>0.76556126608496577</v>
      </c>
    </row>
    <row r="242" spans="1:84" s="6" customFormat="1" ht="11.25" x14ac:dyDescent="0.2">
      <c r="A242" s="11">
        <v>43328</v>
      </c>
      <c r="B242" s="380">
        <f>'2022'!Maxi_hp</f>
        <v>53.769916943030935</v>
      </c>
      <c r="C242" s="85">
        <f>'2022'!An_max</f>
        <v>2019</v>
      </c>
      <c r="D242" s="1089">
        <f t="shared" si="97"/>
        <v>1.0191821350933172</v>
      </c>
      <c r="E242" s="749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838">
        <f t="shared" si="100"/>
        <v>0.7142857142857143</v>
      </c>
      <c r="J242" s="829">
        <f t="shared" si="101"/>
        <v>52.757907631600816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838">
        <f t="shared" si="105"/>
        <v>0.8571428571428571</v>
      </c>
      <c r="AT242" s="855">
        <f t="shared" si="106"/>
        <v>52.774182427069171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838">
        <f t="shared" si="110"/>
        <v>0.35714285714285715</v>
      </c>
      <c r="AY242" s="855">
        <f t="shared" si="111"/>
        <v>52.834747599248239</v>
      </c>
      <c r="AZ242" s="829">
        <f t="shared" si="115"/>
        <v>52.804465013158705</v>
      </c>
      <c r="BA242" s="662">
        <f t="shared" si="112"/>
        <v>1.0191821350933172</v>
      </c>
      <c r="BB242" s="657">
        <v>43328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926">
        <f>1+[2]!Salcycl*Ksac</f>
        <v>1.0494697313124659</v>
      </c>
      <c r="BH242" s="1082">
        <f t="shared" si="113"/>
        <v>1.2549822653805116E-2</v>
      </c>
      <c r="BI242" s="11">
        <v>44424</v>
      </c>
      <c r="BJ242" s="803">
        <v>6.4990723553750445E-4</v>
      </c>
      <c r="BK242" s="803">
        <v>3.8564064770669725E-3</v>
      </c>
      <c r="BL242" s="803">
        <v>7.8610457901559603E-3</v>
      </c>
      <c r="BM242" s="803">
        <v>1.2549649938478907E-2</v>
      </c>
      <c r="BN242" s="803">
        <v>1.7112080778314154E-2</v>
      </c>
      <c r="BO242" s="804">
        <v>2.2356074553893185E-2</v>
      </c>
      <c r="BP242" s="803">
        <v>2.9579584898298924E-2</v>
      </c>
      <c r="BQ242" s="803">
        <v>4.0254768013753585E-2</v>
      </c>
      <c r="BR242" s="803">
        <v>5.5914411442119984E-2</v>
      </c>
      <c r="BS242" s="803">
        <v>7.8121052085003861E-2</v>
      </c>
      <c r="BT242" s="803">
        <v>0.10521060813251869</v>
      </c>
      <c r="BW242" s="1138">
        <f>'2018'!R\Max</f>
        <v>0.96254363423868439</v>
      </c>
      <c r="BX242" s="1136">
        <f>'2019'!R\Max</f>
        <v>1.0191821350933172</v>
      </c>
      <c r="BY242" s="1136">
        <f>'2020'!R\Max</f>
        <v>0.90927067292801644</v>
      </c>
      <c r="BZ242" s="1136">
        <f>'2021'!R\Max</f>
        <v>0.57347034227303539</v>
      </c>
      <c r="CA242" s="1136">
        <f>'2022'!R\Max</f>
        <v>0.71032476890858132</v>
      </c>
      <c r="CB242" s="1136">
        <f>'2023'!R\Max</f>
        <v>0.71019838405103231</v>
      </c>
      <c r="CC242" s="1136">
        <f>'2024'!R\Max</f>
        <v>0.7100150931401199</v>
      </c>
      <c r="CD242" s="1136">
        <f>'2025'!R\Max</f>
        <v>0.71071529231655628</v>
      </c>
      <c r="CE242" s="1136">
        <f>'2026'!R\Max</f>
        <v>0.7106355984037741</v>
      </c>
      <c r="CF242" s="1137">
        <f>'2027'!R\Max</f>
        <v>0.71054527307169291</v>
      </c>
    </row>
    <row r="243" spans="1:84" s="6" customFormat="1" ht="11.25" x14ac:dyDescent="0.2">
      <c r="A243" s="11">
        <v>43329</v>
      </c>
      <c r="B243" s="380">
        <f>'2022'!Maxi_hp</f>
        <v>51.890414604753857</v>
      </c>
      <c r="C243" s="85">
        <f>'2022'!An_max</f>
        <v>2019</v>
      </c>
      <c r="D243" s="1089">
        <f t="shared" si="97"/>
        <v>0.98568290190951002</v>
      </c>
      <c r="E243" s="749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838">
        <f t="shared" si="100"/>
        <v>0.7857142857142857</v>
      </c>
      <c r="J243" s="829">
        <f t="shared" si="101"/>
        <v>52.644125716525437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838">
        <f t="shared" si="105"/>
        <v>0.8928571428571429</v>
      </c>
      <c r="AT243" s="855">
        <f t="shared" si="106"/>
        <v>52.658122032599728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838">
        <f t="shared" si="110"/>
        <v>0.39285714285714285</v>
      </c>
      <c r="AY243" s="855">
        <f t="shared" si="111"/>
        <v>52.731443794417601</v>
      </c>
      <c r="AZ243" s="829">
        <f t="shared" si="115"/>
        <v>52.694782913508661</v>
      </c>
      <c r="BA243" s="662">
        <f t="shared" si="112"/>
        <v>0.98568290190951002</v>
      </c>
      <c r="BB243" s="657">
        <v>43329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926">
        <f>1+[2]!Salcycl*Ksac</f>
        <v>1.0494171912229011</v>
      </c>
      <c r="BH243" s="1082">
        <f t="shared" si="113"/>
        <v>1.1581746352674244E-2</v>
      </c>
      <c r="BI243" s="11">
        <v>44425</v>
      </c>
      <c r="BJ243" s="803">
        <v>5.6507749338849129E-4</v>
      </c>
      <c r="BK243" s="803">
        <v>3.5567374723076209E-3</v>
      </c>
      <c r="BL243" s="803">
        <v>7.2622269226281814E-3</v>
      </c>
      <c r="BM243" s="803">
        <v>1.1581587164262561E-2</v>
      </c>
      <c r="BN243" s="803">
        <v>1.578669237843509E-2</v>
      </c>
      <c r="BO243" s="804">
        <v>2.0751151486959708E-2</v>
      </c>
      <c r="BP243" s="803">
        <v>2.7787009534603158E-2</v>
      </c>
      <c r="BQ243" s="803">
        <v>3.838952374981721E-2</v>
      </c>
      <c r="BR243" s="803">
        <v>5.4102132629000869E-2</v>
      </c>
      <c r="BS243" s="803">
        <v>7.6521150183962494E-2</v>
      </c>
      <c r="BT243" s="803">
        <v>0.10394454426550946</v>
      </c>
      <c r="BW243" s="1138">
        <f>'2018'!R\Max</f>
        <v>0.71822297407157154</v>
      </c>
      <c r="BX243" s="1136">
        <f>'2019'!R\Max</f>
        <v>0.98568290190951002</v>
      </c>
      <c r="BY243" s="1136">
        <f>'2020'!R\Max</f>
        <v>0.39321887660574473</v>
      </c>
      <c r="BZ243" s="1136">
        <f>'2021'!R\Max</f>
        <v>0.87435371169026821</v>
      </c>
      <c r="CA243" s="1136">
        <f>'2022'!R\Max</f>
        <v>0.5194858607127445</v>
      </c>
      <c r="CB243" s="1136">
        <f>'2023'!R\Max</f>
        <v>0.51933628648860952</v>
      </c>
      <c r="CC243" s="1136">
        <f>'2024'!R\Max</f>
        <v>0.51911516280468384</v>
      </c>
      <c r="CD243" s="1136">
        <f>'2025'!R\Max</f>
        <v>0.51993668798688331</v>
      </c>
      <c r="CE243" s="1136">
        <f>'2026'!R\Max</f>
        <v>0.51984736804390685</v>
      </c>
      <c r="CF243" s="1137">
        <f>'2027'!R\Max</f>
        <v>0.5197436316518147</v>
      </c>
    </row>
    <row r="244" spans="1:84" s="6" customFormat="1" ht="11.25" x14ac:dyDescent="0.2">
      <c r="A244" s="11">
        <v>43330</v>
      </c>
      <c r="B244" s="380">
        <f>'2022'!Maxi_hp</f>
        <v>49.183966953911138</v>
      </c>
      <c r="C244" s="85">
        <f>'2022'!An_max</f>
        <v>2021</v>
      </c>
      <c r="D244" s="1089" t="str">
        <f t="shared" si="97"/>
        <v/>
      </c>
      <c r="E244" s="749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838">
        <f t="shared" si="100"/>
        <v>0.8571428571428571</v>
      </c>
      <c r="J244" s="829">
        <f t="shared" si="101"/>
        <v>52.530404515175277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838">
        <f t="shared" si="105"/>
        <v>0.9285714285714286</v>
      </c>
      <c r="AT244" s="855">
        <f t="shared" si="106"/>
        <v>52.541016594363782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838">
        <f t="shared" si="110"/>
        <v>0.42857142857142855</v>
      </c>
      <c r="AY244" s="855">
        <f t="shared" si="111"/>
        <v>52.627519591312321</v>
      </c>
      <c r="AZ244" s="829">
        <f t="shared" si="115"/>
        <v>52.584268092838052</v>
      </c>
      <c r="BA244" s="662">
        <f t="shared" si="112"/>
        <v>0.93629522574307611</v>
      </c>
      <c r="BB244" s="657">
        <v>43330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926">
        <f>1+[2]!Salcycl*Ksac</f>
        <v>1.0493617932777271</v>
      </c>
      <c r="BH244" s="1082">
        <f t="shared" si="113"/>
        <v>1.0654967763548283E-2</v>
      </c>
      <c r="BI244" s="11">
        <v>44426</v>
      </c>
      <c r="BJ244" s="803">
        <v>4.8783061261792565E-4</v>
      </c>
      <c r="BK244" s="803">
        <v>3.2713533994289286E-3</v>
      </c>
      <c r="BL244" s="803">
        <v>6.6893331629142129E-3</v>
      </c>
      <c r="BM244" s="803">
        <v>1.0654821491013431E-2</v>
      </c>
      <c r="BN244" s="803">
        <v>1.45187421903561E-2</v>
      </c>
      <c r="BO244" s="804">
        <v>1.9217640386095372E-2</v>
      </c>
      <c r="BP244" s="803">
        <v>2.6077514692031577E-2</v>
      </c>
      <c r="BQ244" s="803">
        <v>3.661861509469614E-2</v>
      </c>
      <c r="BR244" s="803">
        <v>5.2396203245000113E-2</v>
      </c>
      <c r="BS244" s="803">
        <v>7.5044888701666479E-2</v>
      </c>
      <c r="BT244" s="803">
        <v>0.10282386472710171</v>
      </c>
      <c r="BW244" s="1138">
        <f>'2018'!R\Max</f>
        <v>0.5956325822474311</v>
      </c>
      <c r="BX244" s="1136">
        <f>'2019'!R\Max</f>
        <v>0.64654701740135612</v>
      </c>
      <c r="BY244" s="1136">
        <f>'2020'!R\Max</f>
        <v>0.84072050130795073</v>
      </c>
      <c r="BZ244" s="1136">
        <f>'2021'!R\Max</f>
        <v>0.93629522574307611</v>
      </c>
      <c r="CA244" s="1136">
        <f>'2022'!R\Max</f>
        <v>0.69299902593418561</v>
      </c>
      <c r="CB244" s="1136">
        <f>'2023'!R\Max</f>
        <v>0.69287451221351515</v>
      </c>
      <c r="CC244" s="1136">
        <f>'2024'!R\Max</f>
        <v>0.69268675506567845</v>
      </c>
      <c r="CD244" s="1136">
        <f>'2025'!R\Max</f>
        <v>0.6933644298005649</v>
      </c>
      <c r="CE244" s="1136">
        <f>'2026'!R\Max</f>
        <v>0.69329439749271127</v>
      </c>
      <c r="CF244" s="1137">
        <f>'2027'!R\Max</f>
        <v>0.69321079819923492</v>
      </c>
    </row>
    <row r="245" spans="1:84" s="6" customFormat="1" ht="11.25" x14ac:dyDescent="0.2">
      <c r="A245" s="11">
        <v>43331</v>
      </c>
      <c r="B245" s="380">
        <f>'2022'!Maxi_hp</f>
        <v>49.967163493960541</v>
      </c>
      <c r="C245" s="85">
        <f>'2022'!An_max</f>
        <v>2018</v>
      </c>
      <c r="D245" s="1089" t="str">
        <f t="shared" si="97"/>
        <v/>
      </c>
      <c r="E245" s="749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838">
        <f t="shared" si="100"/>
        <v>0.9285714285714286</v>
      </c>
      <c r="J245" s="829">
        <f t="shared" si="101"/>
        <v>52.416832964163042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838">
        <f t="shared" si="105"/>
        <v>0.9642857142857143</v>
      </c>
      <c r="AT245" s="855">
        <f t="shared" si="106"/>
        <v>52.422823465798459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838">
        <f t="shared" si="110"/>
        <v>0.4642857142857143</v>
      </c>
      <c r="AY245" s="855">
        <f t="shared" si="111"/>
        <v>52.522766642768069</v>
      </c>
      <c r="AZ245" s="829">
        <f t="shared" si="115"/>
        <v>52.472795054283267</v>
      </c>
      <c r="BA245" s="662">
        <f t="shared" si="112"/>
        <v>0.95326559557924229</v>
      </c>
      <c r="BB245" s="657">
        <v>43331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926">
        <f>1+[2]!Salcycl*Ksac</f>
        <v>1.0493034301607054</v>
      </c>
      <c r="BH245" s="1082">
        <f t="shared" si="113"/>
        <v>9.7694671011794802E-3</v>
      </c>
      <c r="BI245" s="11">
        <v>44427</v>
      </c>
      <c r="BJ245" s="803">
        <v>4.1816530336760064E-4</v>
      </c>
      <c r="BK245" s="803">
        <v>3.0002482577536661E-3</v>
      </c>
      <c r="BL245" s="803">
        <v>6.1423522710487019E-3</v>
      </c>
      <c r="BM245" s="803">
        <v>9.7693331337567937E-3</v>
      </c>
      <c r="BN245" s="803">
        <v>1.3308203216729214E-2</v>
      </c>
      <c r="BO245" s="804">
        <v>1.7755508193054631E-2</v>
      </c>
      <c r="BP245" s="803">
        <v>2.4451062265060591E-2</v>
      </c>
      <c r="BQ245" s="803">
        <v>3.4942000049762632E-2</v>
      </c>
      <c r="BR245" s="803">
        <v>5.0796578374240536E-2</v>
      </c>
      <c r="BS245" s="803">
        <v>7.3692221304450981E-2</v>
      </c>
      <c r="BT245" s="803">
        <v>0.10184852297430115</v>
      </c>
      <c r="BW245" s="1138">
        <f>'2018'!R\Max</f>
        <v>0.95326559557924229</v>
      </c>
      <c r="BX245" s="1136">
        <f>'2019'!R\Max</f>
        <v>0.62339450127828888</v>
      </c>
      <c r="BY245" s="1136">
        <f>'2020'!R\Max</f>
        <v>0.73726590398634817</v>
      </c>
      <c r="BZ245" s="1136">
        <f>'2021'!R\Max</f>
        <v>0.84310715404406866</v>
      </c>
      <c r="CA245" s="1136">
        <f>'2022'!R\Max</f>
        <v>0.7087910650048671</v>
      </c>
      <c r="CB245" s="1136">
        <f>'2023'!R\Max</f>
        <v>0.70867296300255023</v>
      </c>
      <c r="CC245" s="1136">
        <f>'2024'!R\Max</f>
        <v>0.70849135520996831</v>
      </c>
      <c r="CD245" s="1136">
        <f>'2025'!R\Max</f>
        <v>0.70912834326524499</v>
      </c>
      <c r="CE245" s="1136">
        <f>'2026'!R\Max</f>
        <v>0.70906601193154606</v>
      </c>
      <c r="CF245" s="1137">
        <f>'2027'!R\Max</f>
        <v>0.70898930658185377</v>
      </c>
    </row>
    <row r="246" spans="1:84" s="6" customFormat="1" ht="11.25" x14ac:dyDescent="0.2">
      <c r="A246" s="11">
        <v>43332</v>
      </c>
      <c r="B246" s="380">
        <f>'2022'!Maxi_hp</f>
        <v>52.544338316202321</v>
      </c>
      <c r="C246" s="85">
        <f>'2022'!An_max</f>
        <v>2021</v>
      </c>
      <c r="D246" s="1089">
        <f t="shared" si="97"/>
        <v>1.0046046309747407</v>
      </c>
      <c r="E246" s="837">
        <f>AD$13/10</f>
        <v>52.3035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838">
        <f t="shared" si="100"/>
        <v>1</v>
      </c>
      <c r="J246" s="829">
        <f t="shared" si="101"/>
        <v>52.3035000000149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838">
        <f t="shared" si="105"/>
        <v>1</v>
      </c>
      <c r="AT246" s="855">
        <f t="shared" si="106"/>
        <v>52.3035000000149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838">
        <f t="shared" si="110"/>
        <v>0.5</v>
      </c>
      <c r="AY246" s="855">
        <f t="shared" si="111"/>
        <v>52.416976603050713</v>
      </c>
      <c r="AZ246" s="829">
        <f t="shared" si="115"/>
        <v>52.360238301532803</v>
      </c>
      <c r="BA246" s="662">
        <f t="shared" si="112"/>
        <v>1.0046046309747407</v>
      </c>
      <c r="BB246" s="657">
        <v>43332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926">
        <f>1+[2]!Salcycl*Ksac</f>
        <v>1.0492419872908867</v>
      </c>
      <c r="BH246" s="1082">
        <f t="shared" si="113"/>
        <v>8.9252273298896165E-3</v>
      </c>
      <c r="BI246" s="11">
        <v>44428</v>
      </c>
      <c r="BJ246" s="803">
        <v>3.5608066537076699E-4</v>
      </c>
      <c r="BK246" s="803">
        <v>2.7434169539984191E-3</v>
      </c>
      <c r="BL246" s="803">
        <v>5.6212737220636974E-3</v>
      </c>
      <c r="BM246" s="803">
        <v>8.9251050570477719E-3</v>
      </c>
      <c r="BN246" s="803">
        <v>1.2155052258285795E-2</v>
      </c>
      <c r="BO246" s="804">
        <v>1.636472651801614E-2</v>
      </c>
      <c r="BP246" s="803">
        <v>2.2907619485720305E-2</v>
      </c>
      <c r="BQ246" s="803">
        <v>3.3359642463646651E-2</v>
      </c>
      <c r="BR246" s="803">
        <v>4.9303219328689689E-2</v>
      </c>
      <c r="BS246" s="803">
        <v>7.2463108264879089E-2</v>
      </c>
      <c r="BT246" s="803">
        <v>0.10101847946326112</v>
      </c>
      <c r="BW246" s="1138">
        <f>'2018'!R\Max</f>
        <v>0.98560345442333142</v>
      </c>
      <c r="BX246" s="1136">
        <f>'2019'!R\Max</f>
        <v>0.58305896218143538</v>
      </c>
      <c r="BY246" s="1136">
        <f>'2020'!R\Max</f>
        <v>0.97193434574024429</v>
      </c>
      <c r="BZ246" s="1136">
        <f>'2021'!R\Max</f>
        <v>1.0046046309747407</v>
      </c>
      <c r="CA246" s="1136">
        <f>'2022'!R\Max</f>
        <v>1.0025379980523239</v>
      </c>
      <c r="CB246" s="1136">
        <f>'2023'!R\Max</f>
        <v>1.0025379980523239</v>
      </c>
      <c r="CC246" s="1136">
        <f>'2024'!R\Max</f>
        <v>1.0025379980523239</v>
      </c>
      <c r="CD246" s="1136">
        <f>'2025'!R\Max</f>
        <v>1.0025379980523239</v>
      </c>
      <c r="CE246" s="1136">
        <f>'2026'!R\Max</f>
        <v>1.0025379980523239</v>
      </c>
      <c r="CF246" s="1137">
        <f>'2027'!R\Max</f>
        <v>1.0025379980523239</v>
      </c>
    </row>
    <row r="247" spans="1:84" s="6" customFormat="1" ht="11.25" x14ac:dyDescent="0.2">
      <c r="A247" s="11">
        <v>43333</v>
      </c>
      <c r="B247" s="380">
        <f>'2022'!Maxi_hp</f>
        <v>51.773522913939907</v>
      </c>
      <c r="C247" s="85">
        <f>'2022'!An_max</f>
        <v>2020</v>
      </c>
      <c r="D247" s="1089">
        <f t="shared" si="97"/>
        <v>0.99199420549839756</v>
      </c>
      <c r="E247" s="749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838">
        <f t="shared" si="100"/>
        <v>0.9285714285714286</v>
      </c>
      <c r="J247" s="829">
        <f t="shared" si="101"/>
        <v>52.191356186327582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838">
        <f t="shared" si="105"/>
        <v>0.9642857142857143</v>
      </c>
      <c r="AT247" s="855">
        <f t="shared" si="106"/>
        <v>52.184511782381946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838">
        <f t="shared" si="110"/>
        <v>0.5357142857142857</v>
      </c>
      <c r="AY247" s="855">
        <f t="shared" si="111"/>
        <v>52.309941124812966</v>
      </c>
      <c r="AZ247" s="829">
        <f t="shared" si="115"/>
        <v>52.247226453597456</v>
      </c>
      <c r="BA247" s="662">
        <f t="shared" si="112"/>
        <v>0.99199420549839756</v>
      </c>
      <c r="BB247" s="657">
        <v>43333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926">
        <f>1+[2]!Salcycl*Ksac</f>
        <v>1.0491773434701233</v>
      </c>
      <c r="BH247" s="1082">
        <f t="shared" si="113"/>
        <v>8.1222340352274883E-3</v>
      </c>
      <c r="BI247" s="11">
        <v>44429</v>
      </c>
      <c r="BJ247" s="803">
        <v>3.0157616438145323E-4</v>
      </c>
      <c r="BK247" s="803">
        <v>2.5008552578789024E-3</v>
      </c>
      <c r="BL247" s="803">
        <v>5.1260886254207716E-3</v>
      </c>
      <c r="BM247" s="803">
        <v>8.1221228466307038E-3</v>
      </c>
      <c r="BN247" s="803">
        <v>1.1059269735332699E-2</v>
      </c>
      <c r="BO247" s="804">
        <v>1.5045271417663828E-2</v>
      </c>
      <c r="BP247" s="803">
        <v>2.1447158665448243E-2</v>
      </c>
      <c r="BQ247" s="803">
        <v>3.1871511739183643E-2</v>
      </c>
      <c r="BR247" s="803">
        <v>4.7916093317892317E-2</v>
      </c>
      <c r="BS247" s="803">
        <v>7.1357516077920347E-2</v>
      </c>
      <c r="BT247" s="803">
        <v>0.10033370119811487</v>
      </c>
      <c r="BW247" s="1138">
        <f>'2018'!R\Max</f>
        <v>0.97817411636691831</v>
      </c>
      <c r="BX247" s="1136">
        <f>'2019'!R\Max</f>
        <v>0.92219872243346757</v>
      </c>
      <c r="BY247" s="1136">
        <f>'2020'!R\Max</f>
        <v>0.99199420549839756</v>
      </c>
      <c r="BZ247" s="1136">
        <f>'2021'!R\Max</f>
        <v>0.96781197518467221</v>
      </c>
      <c r="CA247" s="1136">
        <f>'2022'!R\Max</f>
        <v>0.66735169963483565</v>
      </c>
      <c r="CB247" s="1136">
        <f>'2023'!R\Max</f>
        <v>0.66722986270842999</v>
      </c>
      <c r="CC247" s="1136">
        <f>'2024'!R\Max</f>
        <v>0.66703512134744081</v>
      </c>
      <c r="CD247" s="1136">
        <f>'2025'!R\Max</f>
        <v>0.66768047036636513</v>
      </c>
      <c r="CE247" s="1136">
        <f>'2026'!R\Max</f>
        <v>0.66762463929207216</v>
      </c>
      <c r="CF247" s="1137">
        <f>'2027'!R\Max</f>
        <v>0.66755082832087986</v>
      </c>
    </row>
    <row r="248" spans="1:84" s="6" customFormat="1" ht="11.25" x14ac:dyDescent="0.2">
      <c r="A248" s="11">
        <v>43334</v>
      </c>
      <c r="B248" s="380">
        <f>'2022'!Maxi_hp</f>
        <v>53.717329476513434</v>
      </c>
      <c r="C248" s="85">
        <f>'2022'!An_max</f>
        <v>2019</v>
      </c>
      <c r="D248" s="1089">
        <f t="shared" si="97"/>
        <v>1.0314197401972047</v>
      </c>
      <c r="E248" s="749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838">
        <f t="shared" si="100"/>
        <v>0.8571428571428571</v>
      </c>
      <c r="J248" s="829">
        <f t="shared" si="101"/>
        <v>52.08095926711934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838">
        <f t="shared" si="105"/>
        <v>0.9285714285714286</v>
      </c>
      <c r="AT248" s="855">
        <f t="shared" si="106"/>
        <v>52.067159924276972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838">
        <f t="shared" si="110"/>
        <v>0.5714285714285714</v>
      </c>
      <c r="AY248" s="855">
        <f t="shared" si="111"/>
        <v>52.201451861432624</v>
      </c>
      <c r="AZ248" s="829">
        <f t="shared" si="115"/>
        <v>52.134305892854798</v>
      </c>
      <c r="BA248" s="662">
        <f t="shared" si="112"/>
        <v>1.0314197401972047</v>
      </c>
      <c r="BB248" s="657">
        <v>43334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926">
        <f>1+[2]!Salcycl*Ksac</f>
        <v>1.049109371420784</v>
      </c>
      <c r="BH248" s="1082">
        <f t="shared" si="113"/>
        <v>7.3818059259961625E-3</v>
      </c>
      <c r="BI248" s="11">
        <v>44430</v>
      </c>
      <c r="BJ248" s="803">
        <v>2.5609967625461738E-4</v>
      </c>
      <c r="BK248" s="803">
        <v>2.2787722827875352E-3</v>
      </c>
      <c r="BL248" s="803">
        <v>4.6696143418706168E-3</v>
      </c>
      <c r="BM248" s="803">
        <v>7.3817048109286422E-3</v>
      </c>
      <c r="BN248" s="803">
        <v>1.0052750354792436E-2</v>
      </c>
      <c r="BO248" s="804">
        <v>1.3837967937466828E-2</v>
      </c>
      <c r="BP248" s="803">
        <v>2.0119295102152105E-2</v>
      </c>
      <c r="BQ248" s="803">
        <v>3.0535361007334328E-2</v>
      </c>
      <c r="BR248" s="803">
        <v>4.6702941684346466E-2</v>
      </c>
      <c r="BS248" s="803">
        <v>7.0445102065839427E-2</v>
      </c>
      <c r="BT248" s="803">
        <v>9.9857269548526681E-2</v>
      </c>
      <c r="BW248" s="1138">
        <f>'2018'!R\Max</f>
        <v>0.96549907639499977</v>
      </c>
      <c r="BX248" s="1136">
        <f>'2019'!R\Max</f>
        <v>1.0314197401972047</v>
      </c>
      <c r="BY248" s="1136">
        <f>'2020'!R\Max</f>
        <v>0.89018690119696198</v>
      </c>
      <c r="BZ248" s="1136">
        <f>'2021'!R\Max</f>
        <v>0.31983320289058093</v>
      </c>
      <c r="CA248" s="1136">
        <f>'2022'!R\Max</f>
        <v>0.4786768951354558</v>
      </c>
      <c r="CB248" s="1136">
        <f>'2023'!R\Max</f>
        <v>0.47854232373389399</v>
      </c>
      <c r="CC248" s="1136">
        <f>'2024'!R\Max</f>
        <v>0.47832328635852134</v>
      </c>
      <c r="CD248" s="1136">
        <f>'2025'!R\Max</f>
        <v>0.47902997362735422</v>
      </c>
      <c r="CE248" s="1136">
        <f>'2026'!R\Max</f>
        <v>0.47897278120109404</v>
      </c>
      <c r="CF248" s="1137">
        <f>'2027'!R\Max</f>
        <v>0.4788940403781719</v>
      </c>
    </row>
    <row r="249" spans="1:84" s="6" customFormat="1" ht="11.25" x14ac:dyDescent="0.2">
      <c r="A249" s="11">
        <v>43335</v>
      </c>
      <c r="B249" s="380">
        <f>'2022'!Maxi_hp</f>
        <v>51.339633290441888</v>
      </c>
      <c r="C249" s="85">
        <f>'2022'!An_max</f>
        <v>2019</v>
      </c>
      <c r="D249" s="1089">
        <f t="shared" si="97"/>
        <v>0.98783618135591655</v>
      </c>
      <c r="E249" s="749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838">
        <f t="shared" si="100"/>
        <v>0.7857142857142857</v>
      </c>
      <c r="J249" s="829">
        <f t="shared" si="101"/>
        <v>51.971808949103739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838">
        <f t="shared" si="105"/>
        <v>0.8928571428571429</v>
      </c>
      <c r="AT249" s="855">
        <f t="shared" si="106"/>
        <v>51.951155068638869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838">
        <f t="shared" si="110"/>
        <v>0.6071428571428571</v>
      </c>
      <c r="AY249" s="855">
        <f t="shared" si="111"/>
        <v>52.0913004666467</v>
      </c>
      <c r="AZ249" s="829">
        <f t="shared" si="115"/>
        <v>52.021227767642785</v>
      </c>
      <c r="BA249" s="662">
        <f t="shared" si="112"/>
        <v>0.98783618135591655</v>
      </c>
      <c r="BB249" s="657">
        <v>43335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926">
        <f>1+[2]!Salcycl*Ksac</f>
        <v>1.0490379382109087</v>
      </c>
      <c r="BH249" s="1082">
        <f t="shared" si="113"/>
        <v>6.6841513247283086E-3</v>
      </c>
      <c r="BI249" s="11">
        <v>44431</v>
      </c>
      <c r="BJ249" s="803">
        <v>2.1534092899232527E-4</v>
      </c>
      <c r="BK249" s="803">
        <v>2.0698163391759308E-3</v>
      </c>
      <c r="BL249" s="803">
        <v>4.2391241336145122E-3</v>
      </c>
      <c r="BM249" s="803">
        <v>6.68405948673344E-3</v>
      </c>
      <c r="BN249" s="803">
        <v>9.110042804218392E-3</v>
      </c>
      <c r="BO249" s="804">
        <v>1.2712367458802091E-2</v>
      </c>
      <c r="BP249" s="803">
        <v>1.8889035389756274E-2</v>
      </c>
      <c r="BQ249" s="803">
        <v>2.9311507011572788E-2</v>
      </c>
      <c r="BR249" s="803">
        <v>4.5618527877079602E-2</v>
      </c>
      <c r="BS249" s="803">
        <v>6.9674742890455554E-2</v>
      </c>
      <c r="BT249" s="803">
        <v>9.9530654013094105E-2</v>
      </c>
      <c r="BW249" s="1138">
        <f>'2018'!R\Max</f>
        <v>0.4694097324286351</v>
      </c>
      <c r="BX249" s="1136">
        <f>'2019'!R\Max</f>
        <v>0.98783618135591655</v>
      </c>
      <c r="BY249" s="1136">
        <f>'2020'!R\Max</f>
        <v>0.67439837248069745</v>
      </c>
      <c r="BZ249" s="1136">
        <f>'2021'!R\Max</f>
        <v>0.919765199143464</v>
      </c>
      <c r="CA249" s="1136">
        <f>'2022'!R\Max</f>
        <v>0.93150850775791394</v>
      </c>
      <c r="CB249" s="1136">
        <f>'2023'!R\Max</f>
        <v>0.93147461703360146</v>
      </c>
      <c r="CC249" s="1136">
        <f>'2024'!R\Max</f>
        <v>0.93141843472241403</v>
      </c>
      <c r="CD249" s="1136">
        <f>'2025'!R\Max</f>
        <v>0.93159487129352914</v>
      </c>
      <c r="CE249" s="1136">
        <f>'2026'!R\Max</f>
        <v>0.93158158564833016</v>
      </c>
      <c r="CF249" s="1137">
        <f>'2027'!R\Max</f>
        <v>0.9315624653736424</v>
      </c>
    </row>
    <row r="250" spans="1:84" s="6" customFormat="1" ht="11.25" x14ac:dyDescent="0.2">
      <c r="A250" s="11">
        <v>43336</v>
      </c>
      <c r="B250" s="380">
        <f>'2022'!Maxi_hp</f>
        <v>51.228164501997107</v>
      </c>
      <c r="C250" s="85">
        <f>'2022'!An_max</f>
        <v>2019</v>
      </c>
      <c r="D250" s="1089">
        <f t="shared" si="97"/>
        <v>0.98775166347008991</v>
      </c>
      <c r="E250" s="749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838">
        <f t="shared" si="100"/>
        <v>0.7142857142857143</v>
      </c>
      <c r="J250" s="829">
        <f t="shared" si="101"/>
        <v>51.863404939280414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838">
        <f t="shared" si="105"/>
        <v>0.8571428571428571</v>
      </c>
      <c r="AT250" s="855">
        <f t="shared" si="106"/>
        <v>51.836207858340018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838">
        <f t="shared" si="110"/>
        <v>0.6428571428571429</v>
      </c>
      <c r="AY250" s="855">
        <f t="shared" si="111"/>
        <v>51.979278593537003</v>
      </c>
      <c r="AZ250" s="829">
        <f t="shared" si="115"/>
        <v>51.907743225938511</v>
      </c>
      <c r="BA250" s="662">
        <f t="shared" si="112"/>
        <v>0.98775166347008991</v>
      </c>
      <c r="BB250" s="657">
        <v>43336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926">
        <f>1+[2]!Salcycl*Ksac</f>
        <v>1.048962905565918</v>
      </c>
      <c r="BH250" s="1082">
        <f t="shared" si="113"/>
        <v>6.0292683461788798E-3</v>
      </c>
      <c r="BI250" s="11">
        <v>44432</v>
      </c>
      <c r="BJ250" s="803">
        <v>1.7930005074913728E-4</v>
      </c>
      <c r="BK250" s="803">
        <v>1.8739869422045707E-3</v>
      </c>
      <c r="BL250" s="803">
        <v>3.8346168341030513E-3</v>
      </c>
      <c r="BM250" s="803">
        <v>6.0291849887903143E-3</v>
      </c>
      <c r="BN250" s="803">
        <v>8.2311454555552693E-3</v>
      </c>
      <c r="BO250" s="804">
        <v>1.1668469752608138E-2</v>
      </c>
      <c r="BP250" s="803">
        <v>1.7756382964910323E-2</v>
      </c>
      <c r="BQ250" s="803">
        <v>2.819996060154974E-2</v>
      </c>
      <c r="BR250" s="803">
        <v>4.466287551042173E-2</v>
      </c>
      <c r="BS250" s="803">
        <v>6.9046481174124236E-2</v>
      </c>
      <c r="BT250" s="803">
        <v>9.9353920407284496E-2</v>
      </c>
      <c r="BW250" s="1138">
        <f>'2018'!R\Max</f>
        <v>0.31062478251723386</v>
      </c>
      <c r="BX250" s="1136">
        <f>'2019'!R\Max</f>
        <v>0.98775166347008991</v>
      </c>
      <c r="BY250" s="1136">
        <f>'2020'!R\Max</f>
        <v>0.78473980655096864</v>
      </c>
      <c r="BZ250" s="1136">
        <f>'2021'!R\Max</f>
        <v>0.90436888608272914</v>
      </c>
      <c r="CA250" s="1136">
        <f>'2022'!R\Max</f>
        <v>0.96377095963562431</v>
      </c>
      <c r="CB250" s="1136">
        <f>'2023'!R\Max</f>
        <v>0.96375265170026891</v>
      </c>
      <c r="CC250" s="1136">
        <f>'2024'!R\Max</f>
        <v>0.96372178632799488</v>
      </c>
      <c r="CD250" s="1136">
        <f>'2025'!R\Max</f>
        <v>0.96381633068831418</v>
      </c>
      <c r="CE250" s="1136">
        <f>'2026'!R\Max</f>
        <v>0.96380972171451484</v>
      </c>
      <c r="CF250" s="1137">
        <f>'2027'!R\Max</f>
        <v>0.96379974842257432</v>
      </c>
    </row>
    <row r="251" spans="1:84" s="6" customFormat="1" ht="11.25" x14ac:dyDescent="0.2">
      <c r="A251" s="11">
        <v>43337</v>
      </c>
      <c r="B251" s="380">
        <f>'2022'!Maxi_hp</f>
        <v>50.680972332086561</v>
      </c>
      <c r="C251" s="85">
        <f>'2022'!An_max</f>
        <v>2021</v>
      </c>
      <c r="D251" s="1089">
        <f t="shared" si="97"/>
        <v>0.97924317483081014</v>
      </c>
      <c r="E251" s="749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838">
        <f t="shared" si="100"/>
        <v>0.6428571428571429</v>
      </c>
      <c r="J251" s="829">
        <f t="shared" si="101"/>
        <v>51.755246944501835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838">
        <f t="shared" si="105"/>
        <v>0.8214285714285714</v>
      </c>
      <c r="AT251" s="855">
        <f t="shared" si="106"/>
        <v>51.722028936881443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838">
        <f t="shared" si="110"/>
        <v>0.6785714285714286</v>
      </c>
      <c r="AY251" s="855">
        <f t="shared" si="111"/>
        <v>51.865177895308342</v>
      </c>
      <c r="AZ251" s="829">
        <f t="shared" si="115"/>
        <v>51.793603416094896</v>
      </c>
      <c r="BA251" s="662">
        <f t="shared" si="112"/>
        <v>0.97924317483081014</v>
      </c>
      <c r="BB251" s="657">
        <v>43337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926">
        <f>1+[2]!Salcycl*Ksac</f>
        <v>1.0488841300678782</v>
      </c>
      <c r="BH251" s="1082">
        <f t="shared" si="113"/>
        <v>5.4171570132301632E-3</v>
      </c>
      <c r="BI251" s="11">
        <v>44433</v>
      </c>
      <c r="BJ251" s="803">
        <v>1.4797730601083905E-4</v>
      </c>
      <c r="BK251" s="803">
        <v>1.6912842121847716E-3</v>
      </c>
      <c r="BL251" s="803">
        <v>3.4560924763320246E-3</v>
      </c>
      <c r="BM251" s="803">
        <v>5.4170813399371008E-3</v>
      </c>
      <c r="BN251" s="803">
        <v>7.4160595058889852E-3</v>
      </c>
      <c r="BO251" s="804">
        <v>1.070627876147278E-2</v>
      </c>
      <c r="BP251" s="803">
        <v>1.6721347750475856E-2</v>
      </c>
      <c r="BQ251" s="803">
        <v>2.7200743053394167E-2</v>
      </c>
      <c r="BR251" s="803">
        <v>4.3836024889640134E-2</v>
      </c>
      <c r="BS251" s="803">
        <v>6.8560385353945555E-2</v>
      </c>
      <c r="BT251" s="803">
        <v>9.9327171504026937E-2</v>
      </c>
      <c r="BW251" s="1138">
        <f>'2018'!R\Max</f>
        <v>0.45908213306000961</v>
      </c>
      <c r="BX251" s="1136">
        <f>'2019'!R\Max</f>
        <v>0.85752984743338989</v>
      </c>
      <c r="BY251" s="1136">
        <f>'2020'!R\Max</f>
        <v>0.92221459780345638</v>
      </c>
      <c r="BZ251" s="1136">
        <f>'2021'!R\Max</f>
        <v>0.97924317483081014</v>
      </c>
      <c r="CA251" s="1136">
        <f>'2022'!R\Max</f>
        <v>0.6234520908375687</v>
      </c>
      <c r="CB251" s="1136">
        <f>'2023'!R\Max</f>
        <v>0.62333031939080363</v>
      </c>
      <c r="CC251" s="1136">
        <f>'2024'!R\Max</f>
        <v>0.62312185534706144</v>
      </c>
      <c r="CD251" s="1136">
        <f>'2025'!R\Max</f>
        <v>0.62374600095144639</v>
      </c>
      <c r="CE251" s="1136">
        <f>'2026'!R\Max</f>
        <v>0.62370557017566464</v>
      </c>
      <c r="CF251" s="1137">
        <f>'2027'!R\Max</f>
        <v>0.62364141130806683</v>
      </c>
    </row>
    <row r="252" spans="1:84" s="6" customFormat="1" ht="11.25" x14ac:dyDescent="0.2">
      <c r="A252" s="11">
        <v>43338</v>
      </c>
      <c r="B252" s="380">
        <f>'2022'!Maxi_hp</f>
        <v>53.637175533284911</v>
      </c>
      <c r="C252" s="85">
        <f>'2022'!An_max</f>
        <v>2018</v>
      </c>
      <c r="D252" s="1089">
        <f t="shared" si="97"/>
        <v>1.0385375188006487</v>
      </c>
      <c r="E252" s="749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838">
        <f t="shared" si="100"/>
        <v>0.5714285714285714</v>
      </c>
      <c r="J252" s="829">
        <f t="shared" si="101"/>
        <v>51.646834671151417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838">
        <f t="shared" si="105"/>
        <v>0.7857142857142857</v>
      </c>
      <c r="AT252" s="855">
        <f t="shared" si="106"/>
        <v>51.608328947165454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838">
        <f t="shared" si="110"/>
        <v>0.7142857142857143</v>
      </c>
      <c r="AY252" s="855">
        <f t="shared" si="111"/>
        <v>51.74879002603037</v>
      </c>
      <c r="AZ252" s="829">
        <f t="shared" si="115"/>
        <v>51.678559486597912</v>
      </c>
      <c r="BA252" s="662">
        <f t="shared" si="112"/>
        <v>1.0385375188006487</v>
      </c>
      <c r="BB252" s="657">
        <v>43338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926">
        <f>1+[2]!Salcycl*Ksac</f>
        <v>1.0488014632451865</v>
      </c>
      <c r="BH252" s="1082">
        <f t="shared" si="113"/>
        <v>4.847813845319647E-3</v>
      </c>
      <c r="BI252" s="11">
        <v>44434</v>
      </c>
      <c r="BJ252" s="803">
        <v>1.2137295815853034E-4</v>
      </c>
      <c r="BK252" s="803">
        <v>1.5217071892604176E-3</v>
      </c>
      <c r="BL252" s="803">
        <v>3.1035488408302915E-3</v>
      </c>
      <c r="BM252" s="803">
        <v>4.8477450596060298E-3</v>
      </c>
      <c r="BN252" s="803">
        <v>6.6647816135408586E-3</v>
      </c>
      <c r="BO252" s="804">
        <v>9.8257920504695589E-3</v>
      </c>
      <c r="BP252" s="803">
        <v>1.5783929817053097E-2</v>
      </c>
      <c r="BQ252" s="803">
        <v>2.6313859678540941E-2</v>
      </c>
      <c r="BR252" s="803">
        <v>4.3137990698744473E-2</v>
      </c>
      <c r="BS252" s="803">
        <v>6.821648369964832E-2</v>
      </c>
      <c r="BT252" s="803">
        <v>9.945045157054877E-2</v>
      </c>
      <c r="BW252" s="1138">
        <f>'2018'!R\Max</f>
        <v>1.0385375188006487</v>
      </c>
      <c r="BX252" s="1136">
        <f>'2019'!R\Max</f>
        <v>0.87421417449885064</v>
      </c>
      <c r="BY252" s="1136">
        <f>'2020'!R\Max</f>
        <v>0.98070147683089581</v>
      </c>
      <c r="BZ252" s="1136">
        <f>'2021'!R\Max</f>
        <v>1.0012697815122873</v>
      </c>
      <c r="CA252" s="1136">
        <f>'2022'!R\Max</f>
        <v>0.85833387006620387</v>
      </c>
      <c r="CB252" s="1136">
        <f>'2023'!R\Max</f>
        <v>0.85827129845289041</v>
      </c>
      <c r="CC252" s="1136">
        <f>'2024'!R\Max</f>
        <v>0.85816255865481506</v>
      </c>
      <c r="CD252" s="1136">
        <f>'2025'!R\Max</f>
        <v>0.85848098098814862</v>
      </c>
      <c r="CE252" s="1136">
        <f>'2026'!R\Max</f>
        <v>0.85846192829056966</v>
      </c>
      <c r="CF252" s="1137">
        <f>'2027'!R\Max</f>
        <v>0.85843004644614729</v>
      </c>
    </row>
    <row r="253" spans="1:84" s="6" customFormat="1" ht="11.25" x14ac:dyDescent="0.2">
      <c r="A253" s="11">
        <v>43339</v>
      </c>
      <c r="B253" s="380">
        <f>'2022'!Maxi_hp</f>
        <v>51.403994258295555</v>
      </c>
      <c r="C253" s="85">
        <f>'2022'!An_max</f>
        <v>2018</v>
      </c>
      <c r="D253" s="1089">
        <f t="shared" si="97"/>
        <v>0.99740629380101453</v>
      </c>
      <c r="E253" s="749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838">
        <f t="shared" si="100"/>
        <v>0.5</v>
      </c>
      <c r="J253" s="829">
        <f t="shared" si="101"/>
        <v>51.537667826819231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838">
        <f t="shared" si="105"/>
        <v>0.75</v>
      </c>
      <c r="AT253" s="855">
        <f t="shared" si="106"/>
        <v>51.494818532001226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838">
        <f t="shared" si="110"/>
        <v>0.75</v>
      </c>
      <c r="AY253" s="855">
        <f t="shared" si="111"/>
        <v>51.629906638269311</v>
      </c>
      <c r="AZ253" s="829">
        <f t="shared" si="115"/>
        <v>51.562362585135268</v>
      </c>
      <c r="BA253" s="662">
        <f t="shared" si="112"/>
        <v>0.99740629380101453</v>
      </c>
      <c r="BB253" s="657">
        <v>43339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926">
        <f>1+[2]!Salcycl*Ksac</f>
        <v>1.0487147515573738</v>
      </c>
      <c r="BH253" s="1082">
        <f t="shared" si="113"/>
        <v>4.3212366924043006E-3</v>
      </c>
      <c r="BI253" s="11">
        <v>44435</v>
      </c>
      <c r="BJ253" s="803">
        <v>9.9487442887895809E-5</v>
      </c>
      <c r="BK253" s="803">
        <v>1.3652553255208086E-3</v>
      </c>
      <c r="BL253" s="803">
        <v>2.7769845116514826E-3</v>
      </c>
      <c r="BM253" s="803">
        <v>4.3211739977214196E-3</v>
      </c>
      <c r="BN253" s="803">
        <v>5.9773104909132376E-3</v>
      </c>
      <c r="BO253" s="804">
        <v>9.0270098715733455E-3</v>
      </c>
      <c r="BP253" s="803">
        <v>1.4944132524422967E-2</v>
      </c>
      <c r="BQ253" s="803">
        <v>2.553931970528733E-2</v>
      </c>
      <c r="BR253" s="803">
        <v>4.2568792332630501E-2</v>
      </c>
      <c r="BS253" s="803">
        <v>6.801480997332697E-2</v>
      </c>
      <c r="BT253" s="803">
        <v>9.9723811000744636E-2</v>
      </c>
      <c r="BW253" s="1138">
        <f>'2018'!R\Max</f>
        <v>0.99740629380101453</v>
      </c>
      <c r="BX253" s="1136">
        <f>'2019'!R\Max</f>
        <v>0.61575955492180301</v>
      </c>
      <c r="BY253" s="1136">
        <f>'2020'!R\Max</f>
        <v>0.46680670190067053</v>
      </c>
      <c r="BZ253" s="1136">
        <f>'2021'!R\Max</f>
        <v>0.90480331475931053</v>
      </c>
      <c r="CA253" s="1136">
        <f>'2022'!R\Max</f>
        <v>0.9665287006779939</v>
      </c>
      <c r="CB253" s="1136">
        <f>'2023'!R\Max</f>
        <v>0.9665121440405734</v>
      </c>
      <c r="CC253" s="1136">
        <f>'2024'!R\Max</f>
        <v>0.96648297583286391</v>
      </c>
      <c r="CD253" s="1136">
        <f>'2025'!R\Max</f>
        <v>0.96656668638982768</v>
      </c>
      <c r="CE253" s="1136">
        <f>'2026'!R\Max</f>
        <v>0.9665620607626404</v>
      </c>
      <c r="CF253" s="1137">
        <f>'2027'!R\Max</f>
        <v>0.9665538855649024</v>
      </c>
    </row>
    <row r="254" spans="1:84" s="6" customFormat="1" ht="11.25" x14ac:dyDescent="0.2">
      <c r="A254" s="11">
        <v>43340</v>
      </c>
      <c r="B254" s="380">
        <f>'2022'!Maxi_hp</f>
        <v>53.343274555388398</v>
      </c>
      <c r="C254" s="85">
        <f>'2022'!An_max</f>
        <v>2021</v>
      </c>
      <c r="D254" s="1089">
        <f t="shared" si="97"/>
        <v>1.0372570686188689</v>
      </c>
      <c r="E254" s="749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838">
        <f t="shared" si="100"/>
        <v>0.42857142857142855</v>
      </c>
      <c r="J254" s="829">
        <f t="shared" si="101"/>
        <v>51.427246117894541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838">
        <f t="shared" si="105"/>
        <v>0.7142857142857143</v>
      </c>
      <c r="AT254" s="855">
        <f t="shared" si="106"/>
        <v>51.381208334557186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838">
        <f t="shared" si="110"/>
        <v>0.7857142857142857</v>
      </c>
      <c r="AY254" s="855">
        <f t="shared" si="111"/>
        <v>51.508319385050392</v>
      </c>
      <c r="AZ254" s="829">
        <f t="shared" si="115"/>
        <v>51.444763859803786</v>
      </c>
      <c r="BA254" s="662">
        <f t="shared" si="112"/>
        <v>1.0372570686188689</v>
      </c>
      <c r="BB254" s="657">
        <v>43340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926">
        <f>1+[2]!Salcycl*Ksac</f>
        <v>1.0486238362814864</v>
      </c>
      <c r="BH254" s="1082">
        <f t="shared" si="113"/>
        <v>3.8541649555139047E-3</v>
      </c>
      <c r="BI254" s="11">
        <v>44436</v>
      </c>
      <c r="BJ254" s="803">
        <v>8.3672795640433835E-5</v>
      </c>
      <c r="BK254" s="803">
        <v>1.227262792254875E-3</v>
      </c>
      <c r="BL254" s="803">
        <v>2.4868061295077108E-3</v>
      </c>
      <c r="BM254" s="803">
        <v>3.8541073635467646E-3</v>
      </c>
      <c r="BN254" s="803">
        <v>5.3754510264057967E-3</v>
      </c>
      <c r="BO254" s="804">
        <v>8.3357745020372388E-3</v>
      </c>
      <c r="BP254" s="803">
        <v>1.4234455626728862E-2</v>
      </c>
      <c r="BQ254" s="803">
        <v>2.491501788372107E-2</v>
      </c>
      <c r="BR254" s="803">
        <v>4.2168094273614926E-2</v>
      </c>
      <c r="BS254" s="803">
        <v>6.7976033744424041E-2</v>
      </c>
      <c r="BT254" s="803">
        <v>0.10013231168231373</v>
      </c>
      <c r="BW254" s="1138">
        <f>'2018'!R\Max</f>
        <v>0.84114857100510232</v>
      </c>
      <c r="BX254" s="1136">
        <f>'2019'!R\Max</f>
        <v>0.71276655975523473</v>
      </c>
      <c r="BY254" s="1136">
        <f>'2020'!R\Max</f>
        <v>0.96074181868525765</v>
      </c>
      <c r="BZ254" s="1136">
        <f>'2021'!R\Max</f>
        <v>1.0372570686188689</v>
      </c>
      <c r="CA254" s="1136">
        <f>'2022'!R\Max</f>
        <v>0.97104352795984428</v>
      </c>
      <c r="CB254" s="1136">
        <f>'2023'!R\Max</f>
        <v>0.9710291624876054</v>
      </c>
      <c r="CC254" s="1136">
        <f>'2024'!R\Max</f>
        <v>0.97100355910922465</v>
      </c>
      <c r="CD254" s="1136">
        <f>'2025'!R\Max</f>
        <v>0.97107577110209831</v>
      </c>
      <c r="CE254" s="1136">
        <f>'2026'!R\Max</f>
        <v>0.97107207271067419</v>
      </c>
      <c r="CF254" s="1137">
        <f>'2027'!R\Max</f>
        <v>0.97106517904516299</v>
      </c>
    </row>
    <row r="255" spans="1:84" s="6" customFormat="1" ht="11.25" x14ac:dyDescent="0.2">
      <c r="A255" s="11">
        <v>43341</v>
      </c>
      <c r="B255" s="380">
        <f>'2022'!Maxi_hp</f>
        <v>52.809812213553279</v>
      </c>
      <c r="C255" s="85">
        <f>'2022'!An_max</f>
        <v>2021</v>
      </c>
      <c r="D255" s="1089">
        <f t="shared" si="97"/>
        <v>1.0291287332153849</v>
      </c>
      <c r="E255" s="749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838">
        <f t="shared" si="100"/>
        <v>0.35714285714285715</v>
      </c>
      <c r="J255" s="829">
        <f t="shared" si="101"/>
        <v>51.315069251400246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838">
        <f t="shared" si="105"/>
        <v>0.6785714285714286</v>
      </c>
      <c r="AT255" s="855">
        <f t="shared" si="106"/>
        <v>51.267208998161365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838">
        <f t="shared" si="110"/>
        <v>0.8214285714285714</v>
      </c>
      <c r="AY255" s="855">
        <f t="shared" si="111"/>
        <v>51.38381992090892</v>
      </c>
      <c r="AZ255" s="829">
        <f t="shared" si="115"/>
        <v>51.325514459535142</v>
      </c>
      <c r="BA255" s="662">
        <f t="shared" si="112"/>
        <v>1.0291287332153849</v>
      </c>
      <c r="BB255" s="657">
        <v>43341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926">
        <f>1+[2]!Salcycl*Ksac</f>
        <v>1.0485285533082049</v>
      </c>
      <c r="BH255" s="1082">
        <f t="shared" si="113"/>
        <v>3.4251238659054589E-3</v>
      </c>
      <c r="BI255" s="11">
        <v>44437</v>
      </c>
      <c r="BJ255" s="803">
        <v>7.0656351029176561E-5</v>
      </c>
      <c r="BK255" s="803">
        <v>1.100805852881154E-3</v>
      </c>
      <c r="BL255" s="803">
        <v>2.2198351934782866E-3</v>
      </c>
      <c r="BM255" s="803">
        <v>3.4250707846536963E-3</v>
      </c>
      <c r="BN255" s="803">
        <v>4.8272598397497389E-3</v>
      </c>
      <c r="BO255" s="804">
        <v>7.7111874999160569E-3</v>
      </c>
      <c r="BP255" s="803">
        <v>1.3606919050583024E-2</v>
      </c>
      <c r="BQ255" s="803">
        <v>2.438648233758996E-2</v>
      </c>
      <c r="BR255" s="803">
        <v>4.1875080862423426E-2</v>
      </c>
      <c r="BS255" s="803">
        <v>6.8028098631403286E-2</v>
      </c>
      <c r="BT255" s="803">
        <v>0.10058975747199439</v>
      </c>
      <c r="BW255" s="1138">
        <f>'2018'!R\Max</f>
        <v>0.62530136930888325</v>
      </c>
      <c r="BX255" s="1136">
        <f>'2019'!R\Max</f>
        <v>0.95857952757993004</v>
      </c>
      <c r="BY255" s="1136">
        <f>'2020'!R\Max</f>
        <v>0.18401918412516277</v>
      </c>
      <c r="BZ255" s="1136">
        <f>'2021'!R\Max</f>
        <v>1.0291287332153849</v>
      </c>
      <c r="CA255" s="1136">
        <f>'2022'!R\Max</f>
        <v>0.68369558704215139</v>
      </c>
      <c r="CB255" s="1136">
        <f>'2023'!R\Max</f>
        <v>0.68358501872958921</v>
      </c>
      <c r="CC255" s="1136">
        <f>'2024'!R\Max</f>
        <v>0.6833860153665885</v>
      </c>
      <c r="CD255" s="1136">
        <f>'2025'!R\Max</f>
        <v>0.68393877901054201</v>
      </c>
      <c r="CE255" s="1136">
        <f>'2026'!R\Max</f>
        <v>0.68391250904817513</v>
      </c>
      <c r="CF255" s="1137">
        <f>'2027'!R\Max</f>
        <v>0.68386084867848584</v>
      </c>
    </row>
    <row r="256" spans="1:84" s="6" customFormat="1" ht="11.25" x14ac:dyDescent="0.2">
      <c r="A256" s="11">
        <v>43342</v>
      </c>
      <c r="B256" s="380">
        <f>'2022'!Maxi_hp</f>
        <v>51.020688029577649</v>
      </c>
      <c r="C256" s="85">
        <f>'2022'!An_max</f>
        <v>2021</v>
      </c>
      <c r="D256" s="1089">
        <f t="shared" si="97"/>
        <v>0.99648541667786139</v>
      </c>
      <c r="E256" s="749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838">
        <f t="shared" si="100"/>
        <v>0.2857142857142857</v>
      </c>
      <c r="J256" s="829">
        <f t="shared" si="101"/>
        <v>51.200636934229564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838">
        <f t="shared" si="105"/>
        <v>0.6428571428571429</v>
      </c>
      <c r="AT256" s="855">
        <f t="shared" si="106"/>
        <v>51.152531165543145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838">
        <f t="shared" si="110"/>
        <v>0.8571428571428571</v>
      </c>
      <c r="AY256" s="855">
        <f t="shared" si="111"/>
        <v>51.256199898916705</v>
      </c>
      <c r="AZ256" s="829">
        <f t="shared" si="115"/>
        <v>51.204365532229929</v>
      </c>
      <c r="BA256" s="662">
        <f t="shared" si="112"/>
        <v>0.99648541667786139</v>
      </c>
      <c r="BB256" s="657">
        <v>43342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926">
        <f>1+[2]!Salcycl*Ksac</f>
        <v>1.0484287328574349</v>
      </c>
      <c r="BH256" s="1082">
        <f t="shared" si="113"/>
        <v>3.0341147192395139E-3</v>
      </c>
      <c r="BI256" s="11">
        <v>44438</v>
      </c>
      <c r="BJ256" s="803">
        <v>6.0438583681891861E-5</v>
      </c>
      <c r="BK256" s="803">
        <v>9.858849925576407E-4</v>
      </c>
      <c r="BL256" s="803">
        <v>1.9760724024547286E-3</v>
      </c>
      <c r="BM256" s="803">
        <v>3.0340655566346575E-3</v>
      </c>
      <c r="BN256" s="803">
        <v>4.3327400256977771E-3</v>
      </c>
      <c r="BO256" s="804">
        <v>7.1532542481541452E-3</v>
      </c>
      <c r="BP256" s="803">
        <v>1.3061533285982403E-2</v>
      </c>
      <c r="BQ256" s="803">
        <v>2.395373126242727E-2</v>
      </c>
      <c r="BR256" s="803">
        <v>4.1689781721113865E-2</v>
      </c>
      <c r="BS256" s="803">
        <v>6.8171041887993764E-2</v>
      </c>
      <c r="BT256" s="803">
        <v>0.1010961889759924</v>
      </c>
      <c r="BW256" s="1138">
        <f>'2018'!R\Max</f>
        <v>0.9268597523718104</v>
      </c>
      <c r="BX256" s="1136">
        <f>'2019'!R\Max</f>
        <v>0.95143146790816213</v>
      </c>
      <c r="BY256" s="1136">
        <f>'2020'!R\Max</f>
        <v>0.48658345004430054</v>
      </c>
      <c r="BZ256" s="1136">
        <f>'2021'!R\Max</f>
        <v>0.99648541667786139</v>
      </c>
      <c r="CA256" s="1136">
        <f>'2022'!R\Max</f>
        <v>0.96904173991881404</v>
      </c>
      <c r="CB256" s="1136">
        <f>'2023'!R\Max</f>
        <v>0.96902634480464445</v>
      </c>
      <c r="CC256" s="1136">
        <f>'2024'!R\Max</f>
        <v>0.968998380943071</v>
      </c>
      <c r="CD256" s="1136">
        <f>'2025'!R\Max</f>
        <v>0.96907493942106171</v>
      </c>
      <c r="CE256" s="1136">
        <f>'2026'!R\Max</f>
        <v>0.96907156140082107</v>
      </c>
      <c r="CF256" s="1137">
        <f>'2027'!R\Max</f>
        <v>0.96906455666589941</v>
      </c>
    </row>
    <row r="257" spans="1:84" s="6" customFormat="1" ht="11.25" x14ac:dyDescent="0.2">
      <c r="A257" s="11">
        <v>43343</v>
      </c>
      <c r="B257" s="380">
        <f>'2022'!Maxi_hp</f>
        <v>51.639133296774915</v>
      </c>
      <c r="C257" s="85">
        <f>'2022'!An_max</f>
        <v>2021</v>
      </c>
      <c r="D257" s="1089">
        <f t="shared" si="97"/>
        <v>1.0108779739107316</v>
      </c>
      <c r="E257" s="749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838">
        <f t="shared" si="100"/>
        <v>0.21428571428571427</v>
      </c>
      <c r="J257" s="829">
        <f t="shared" si="101"/>
        <v>51.083448872667837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838">
        <f t="shared" si="105"/>
        <v>0.6071428571428571</v>
      </c>
      <c r="AT257" s="855">
        <f t="shared" si="106"/>
        <v>51.036885479734543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838">
        <f t="shared" si="110"/>
        <v>0.8928571428571429</v>
      </c>
      <c r="AY257" s="855">
        <f t="shared" si="111"/>
        <v>51.125250971141007</v>
      </c>
      <c r="AZ257" s="829">
        <f t="shared" si="115"/>
        <v>51.081068225437775</v>
      </c>
      <c r="BA257" s="662">
        <f t="shared" si="112"/>
        <v>1.0108779739107316</v>
      </c>
      <c r="BB257" s="657">
        <v>43343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926">
        <f>1+[2]!Salcycl*Ksac</f>
        <v>1.048324199124582</v>
      </c>
      <c r="BH257" s="1082">
        <f t="shared" si="113"/>
        <v>2.6811402372945983E-3</v>
      </c>
      <c r="BI257" s="11">
        <v>44439</v>
      </c>
      <c r="BJ257" s="803">
        <v>5.3020086187219122E-5</v>
      </c>
      <c r="BK257" s="803">
        <v>8.8250113156397179E-4</v>
      </c>
      <c r="BL257" s="803">
        <v>1.7555193219343176E-3</v>
      </c>
      <c r="BM257" s="803">
        <v>2.6810944011763532E-3</v>
      </c>
      <c r="BN257" s="803">
        <v>3.8918967315191345E-3</v>
      </c>
      <c r="BO257" s="804">
        <v>6.6619827171834414E-3</v>
      </c>
      <c r="BP257" s="803">
        <v>1.2598312109545375E-2</v>
      </c>
      <c r="BQ257" s="803">
        <v>2.3616786824017671E-2</v>
      </c>
      <c r="BR257" s="803">
        <v>4.1612231140726944E-2</v>
      </c>
      <c r="BS257" s="803">
        <v>6.8404904902441235E-2</v>
      </c>
      <c r="BT257" s="803">
        <v>0.10165164930233803</v>
      </c>
      <c r="BW257" s="1138">
        <f>'2018'!R\Max</f>
        <v>0.93098482887761147</v>
      </c>
      <c r="BX257" s="1136">
        <f>'2019'!R\Max</f>
        <v>0.92080621141362373</v>
      </c>
      <c r="BY257" s="1136">
        <f>'2020'!R\Max</f>
        <v>0.52844545802956067</v>
      </c>
      <c r="BZ257" s="1136">
        <f>'2021'!R\Max</f>
        <v>1.0108779739107316</v>
      </c>
      <c r="CA257" s="1136">
        <f>'2022'!R\Max</f>
        <v>0.44138712787890411</v>
      </c>
      <c r="CB257" s="1136">
        <f>'2023'!R\Max</f>
        <v>0.44125984853379779</v>
      </c>
      <c r="CC257" s="1136">
        <f>'2024'!R\Max</f>
        <v>0.4410271412314728</v>
      </c>
      <c r="CD257" s="1136">
        <f>'2025'!R\Max</f>
        <v>0.4416570554351123</v>
      </c>
      <c r="CE257" s="1136">
        <f>'2026'!R\Max</f>
        <v>0.44163110448754289</v>
      </c>
      <c r="CF257" s="1137">
        <f>'2027'!R\Max</f>
        <v>0.44157450071623705</v>
      </c>
    </row>
    <row r="258" spans="1:84" s="6" customFormat="1" ht="11.25" x14ac:dyDescent="0.2">
      <c r="A258" s="11">
        <v>43344</v>
      </c>
      <c r="B258" s="380">
        <f>'2022'!Maxi_hp</f>
        <v>52.083506608695828</v>
      </c>
      <c r="C258" s="85">
        <f>'2022'!An_max</f>
        <v>2018</v>
      </c>
      <c r="D258" s="1089">
        <f t="shared" si="97"/>
        <v>1.0219865731869024</v>
      </c>
      <c r="E258" s="749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838">
        <f t="shared" si="100"/>
        <v>0.14285714285714285</v>
      </c>
      <c r="J258" s="829">
        <f t="shared" si="101"/>
        <v>50.963004774399039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838">
        <f t="shared" si="105"/>
        <v>0.5714285714285714</v>
      </c>
      <c r="AT258" s="855">
        <f t="shared" si="106"/>
        <v>50.91998258398047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838">
        <f t="shared" si="110"/>
        <v>0.9285714285714286</v>
      </c>
      <c r="AY258" s="855">
        <f t="shared" si="111"/>
        <v>50.990764792908784</v>
      </c>
      <c r="AZ258" s="829">
        <f t="shared" si="115"/>
        <v>50.955373688444624</v>
      </c>
      <c r="BA258" s="662">
        <f t="shared" si="112"/>
        <v>1.0219865731869024</v>
      </c>
      <c r="BB258" s="657">
        <v>43344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926">
        <f>1+[2]!Salcycl*Ksac</f>
        <v>1.0482147698700481</v>
      </c>
      <c r="BH258" s="1082">
        <f t="shared" si="113"/>
        <v>2.366204635204434E-3</v>
      </c>
      <c r="BI258" s="11">
        <v>44440</v>
      </c>
      <c r="BJ258" s="803">
        <v>4.840157403689936E-5</v>
      </c>
      <c r="BK258" s="803">
        <v>7.906556456947529E-4</v>
      </c>
      <c r="BL258" s="803">
        <v>1.558178425051371E-3</v>
      </c>
      <c r="BM258" s="803">
        <v>2.3661615332959229E-3</v>
      </c>
      <c r="BN258" s="803">
        <v>3.504737251866613E-3</v>
      </c>
      <c r="BO258" s="804">
        <v>6.2373835827121728E-3</v>
      </c>
      <c r="BP258" s="803">
        <v>1.2217272729622959E-2</v>
      </c>
      <c r="BQ258" s="803">
        <v>2.3375675327490325E-2</v>
      </c>
      <c r="BR258" s="803">
        <v>4.1642468271283629E-2</v>
      </c>
      <c r="BS258" s="803">
        <v>6.8729733357584935E-2</v>
      </c>
      <c r="BT258" s="803">
        <v>0.10225618414678656</v>
      </c>
      <c r="BW258" s="1138">
        <f>'2018'!R\Max</f>
        <v>1.0219865731869024</v>
      </c>
      <c r="BX258" s="1136">
        <f>'2019'!R\Max</f>
        <v>0.3134067250489766</v>
      </c>
      <c r="BY258" s="1136">
        <f>'2020'!R\Max</f>
        <v>0.84600921988996325</v>
      </c>
      <c r="BZ258" s="1136">
        <f>'2021'!R\Max</f>
        <v>0.7364063007845727</v>
      </c>
      <c r="CA258" s="1136">
        <f>'2022'!R\Max</f>
        <v>0.89982937768420579</v>
      </c>
      <c r="CB258" s="1136">
        <f>'2023'!R\Max</f>
        <v>0.89978242673498399</v>
      </c>
      <c r="CC258" s="1136">
        <f>'2024'!R\Max</f>
        <v>0.89969602515204616</v>
      </c>
      <c r="CD258" s="1136">
        <f>'2025'!R\Max</f>
        <v>0.89992732966289801</v>
      </c>
      <c r="CE258" s="1136">
        <f>'2026'!R\Max</f>
        <v>0.89991840407855683</v>
      </c>
      <c r="CF258" s="1137">
        <f>'2027'!R\Max</f>
        <v>0.89989799762398315</v>
      </c>
    </row>
    <row r="259" spans="1:84" s="6" customFormat="1" ht="11.25" x14ac:dyDescent="0.2">
      <c r="A259" s="11">
        <v>43345</v>
      </c>
      <c r="B259" s="380">
        <f>'2022'!Maxi_hp</f>
        <v>50.502495754224739</v>
      </c>
      <c r="C259" s="85">
        <f>'2022'!An_max</f>
        <v>2018</v>
      </c>
      <c r="D259" s="1089">
        <f t="shared" si="97"/>
        <v>0.99338480525283646</v>
      </c>
      <c r="E259" s="749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838">
        <f t="shared" si="100"/>
        <v>7.1428571428571425E-2</v>
      </c>
      <c r="J259" s="829">
        <f t="shared" si="101"/>
        <v>50.838804345684387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838">
        <f t="shared" si="105"/>
        <v>0.5357142857142857</v>
      </c>
      <c r="AT259" s="855">
        <f t="shared" si="106"/>
        <v>50.801533121193231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838">
        <f t="shared" si="110"/>
        <v>0.9642857142857143</v>
      </c>
      <c r="AY259" s="855">
        <f t="shared" si="111"/>
        <v>50.852533016234105</v>
      </c>
      <c r="AZ259" s="829">
        <f t="shared" si="115"/>
        <v>50.827033068713668</v>
      </c>
      <c r="BA259" s="662">
        <f t="shared" si="112"/>
        <v>0.99338480525283646</v>
      </c>
      <c r="BB259" s="657">
        <v>43345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926">
        <f>1+[2]!Salcycl*Ksac</f>
        <v>1.0481002559656611</v>
      </c>
      <c r="BH259" s="1082">
        <f t="shared" si="113"/>
        <v>2.0893136886627616E-3</v>
      </c>
      <c r="BI259" s="11">
        <v>44441</v>
      </c>
      <c r="BJ259" s="803">
        <v>4.6583890567307864E-5</v>
      </c>
      <c r="BK259" s="803">
        <v>7.1035038664280707E-4</v>
      </c>
      <c r="BL259" s="803">
        <v>1.384053133587803E-3</v>
      </c>
      <c r="BM259" s="803">
        <v>2.0892727285447194E-3</v>
      </c>
      <c r="BN259" s="803">
        <v>3.1712711235998502E-3</v>
      </c>
      <c r="BO259" s="804">
        <v>5.8794703434508549E-3</v>
      </c>
      <c r="BP259" s="803">
        <v>1.19184359313132E-2</v>
      </c>
      <c r="BQ259" s="803">
        <v>2.323042738625546E-2</v>
      </c>
      <c r="BR259" s="803">
        <v>4.1780537311530912E-2</v>
      </c>
      <c r="BS259" s="803">
        <v>6.9145577390538712E-2</v>
      </c>
      <c r="BT259" s="803">
        <v>0.10290984187814195</v>
      </c>
      <c r="BW259" s="1138">
        <f>'2018'!R\Max</f>
        <v>0.99338480525283646</v>
      </c>
      <c r="BX259" s="1136">
        <f>'2019'!R\Max</f>
        <v>0.97016080611778843</v>
      </c>
      <c r="BY259" s="1136">
        <f>'2020'!R\Max</f>
        <v>0.85668160812999961</v>
      </c>
      <c r="BZ259" s="1136">
        <f>'2021'!R\Max</f>
        <v>0.37757442703838434</v>
      </c>
      <c r="CA259" s="1136">
        <f>'2022'!R\Max</f>
        <v>0.84126279813146021</v>
      </c>
      <c r="CB259" s="1136">
        <f>'2023'!R\Max</f>
        <v>0.84119244773826685</v>
      </c>
      <c r="CC259" s="1136">
        <f>'2024'!R\Max</f>
        <v>0.84106242874450021</v>
      </c>
      <c r="CD259" s="1136">
        <f>'2025'!R\Max</f>
        <v>0.84140760172902107</v>
      </c>
      <c r="CE259" s="1136">
        <f>'2026'!R\Max</f>
        <v>0.84139501483072288</v>
      </c>
      <c r="CF259" s="1137">
        <f>'2027'!R\Max</f>
        <v>0.84136502479415542</v>
      </c>
    </row>
    <row r="260" spans="1:84" s="6" customFormat="1" ht="11.25" x14ac:dyDescent="0.2">
      <c r="A260" s="11">
        <v>43346</v>
      </c>
      <c r="B260" s="380">
        <f>'2022'!Maxi_hp</f>
        <v>52.236523625300045</v>
      </c>
      <c r="C260" s="85">
        <f>'2022'!An_max</f>
        <v>2020</v>
      </c>
      <c r="D260" s="1089">
        <f t="shared" si="97"/>
        <v>1.0300959550205322</v>
      </c>
      <c r="E260" s="837">
        <f>AE$13/10</f>
        <v>50.710347293908853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838">
        <f t="shared" si="100"/>
        <v>0</v>
      </c>
      <c r="J260" s="829">
        <f t="shared" si="101"/>
        <v>50.710347294062373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838">
        <f t="shared" si="105"/>
        <v>0.5</v>
      </c>
      <c r="AT260" s="855">
        <f t="shared" si="106"/>
        <v>50.681247735070066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838">
        <f t="shared" si="110"/>
        <v>1</v>
      </c>
      <c r="AY260" s="855">
        <f t="shared" si="111"/>
        <v>50.710347294062373</v>
      </c>
      <c r="AZ260" s="829">
        <f t="shared" si="115"/>
        <v>50.695797514566223</v>
      </c>
      <c r="BA260" s="662">
        <f t="shared" si="112"/>
        <v>1.0300959550205322</v>
      </c>
      <c r="BB260" s="657">
        <v>43346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926">
        <f>1+[2]!Salcycl*Ksac</f>
        <v>1.0479804609127588</v>
      </c>
      <c r="BH260" s="1082">
        <f t="shared" si="113"/>
        <v>1.8504748011045585E-3</v>
      </c>
      <c r="BI260" s="11">
        <v>44442</v>
      </c>
      <c r="BJ260" s="803">
        <v>4.7568011900584294E-5</v>
      </c>
      <c r="BK260" s="803">
        <v>6.4158770237450263E-4</v>
      </c>
      <c r="BL260" s="803">
        <v>1.2331478589680791E-3</v>
      </c>
      <c r="BM260" s="803">
        <v>1.8504353901884808E-3</v>
      </c>
      <c r="BN260" s="803">
        <v>2.891510220573558E-3</v>
      </c>
      <c r="BO260" s="804">
        <v>5.5882594387748966E-3</v>
      </c>
      <c r="BP260" s="803">
        <v>1.1701826221349616E-2</v>
      </c>
      <c r="BQ260" s="803">
        <v>2.3181078090697582E-2</v>
      </c>
      <c r="BR260" s="803">
        <v>4.2026487698251784E-2</v>
      </c>
      <c r="BS260" s="803">
        <v>6.9652491751649268E-2</v>
      </c>
      <c r="BT260" s="803">
        <v>0.10361267362250183</v>
      </c>
      <c r="BW260" s="1138">
        <f>'2018'!R\Max</f>
        <v>1.0181154311950718</v>
      </c>
      <c r="BX260" s="1136">
        <f>'2019'!R\Max</f>
        <v>1.0244496211876524</v>
      </c>
      <c r="BY260" s="1136">
        <f>'2020'!R\Max</f>
        <v>1.0300959550205322</v>
      </c>
      <c r="BZ260" s="1136">
        <f>'2021'!R\Max</f>
        <v>0.58352890568433124</v>
      </c>
      <c r="CA260" s="1136">
        <f>'2022'!R\Max</f>
        <v>0.8016259171905995</v>
      </c>
      <c r="CB260" s="1136">
        <f>'2023'!R\Max</f>
        <v>0.80154097698985993</v>
      </c>
      <c r="CC260" s="1136">
        <f>'2024'!R\Max</f>
        <v>0.80138354040894921</v>
      </c>
      <c r="CD260" s="1136">
        <f>'2025'!R\Max</f>
        <v>0.80179878519984848</v>
      </c>
      <c r="CE260" s="1136">
        <f>'2026'!R\Max</f>
        <v>0.80178433978670915</v>
      </c>
      <c r="CF260" s="1137">
        <f>'2027'!R\Max</f>
        <v>0.80174873330091623</v>
      </c>
    </row>
    <row r="261" spans="1:84" s="6" customFormat="1" ht="11.25" x14ac:dyDescent="0.2">
      <c r="A261" s="11">
        <v>43347</v>
      </c>
      <c r="B261" s="380">
        <f>'2022'!Maxi_hp</f>
        <v>51.364733019215166</v>
      </c>
      <c r="C261" s="85">
        <f>'2022'!An_max</f>
        <v>2019</v>
      </c>
      <c r="D261" s="1089">
        <f t="shared" si="97"/>
        <v>1.0155329957627435</v>
      </c>
      <c r="E261" s="749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838">
        <f t="shared" si="100"/>
        <v>7.1428571428571425E-2</v>
      </c>
      <c r="J261" s="829">
        <f t="shared" si="101"/>
        <v>50.579088255656622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838">
        <f t="shared" si="105"/>
        <v>0.4642857142857143</v>
      </c>
      <c r="AT261" s="855">
        <f t="shared" si="106"/>
        <v>50.55883706720612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838">
        <f t="shared" si="110"/>
        <v>0.9642857142857143</v>
      </c>
      <c r="AY261" s="855">
        <f t="shared" si="111"/>
        <v>50.5655831137273</v>
      </c>
      <c r="AZ261" s="829">
        <f t="shared" si="115"/>
        <v>50.562210090466706</v>
      </c>
      <c r="BA261" s="662">
        <f t="shared" si="112"/>
        <v>1.0155329957627435</v>
      </c>
      <c r="BB261" s="657">
        <v>43347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926">
        <f>1+[2]!Salcycl*Ksac</f>
        <v>1.0478551803474718</v>
      </c>
      <c r="BH261" s="1082">
        <f t="shared" si="113"/>
        <v>1.649697070896331E-3</v>
      </c>
      <c r="BI261" s="11">
        <v>44443</v>
      </c>
      <c r="BJ261" s="803">
        <v>5.1355051885754609E-5</v>
      </c>
      <c r="BK261" s="803">
        <v>5.8437045750754386E-4</v>
      </c>
      <c r="BL261" s="803">
        <v>1.10546804325977E-3</v>
      </c>
      <c r="BM261" s="803">
        <v>1.6496586163965803E-3</v>
      </c>
      <c r="BN261" s="803">
        <v>2.6654688484356315E-3</v>
      </c>
      <c r="BO261" s="804">
        <v>5.3637703663939858E-3</v>
      </c>
      <c r="BP261" s="803">
        <v>1.1567471972984448E-2</v>
      </c>
      <c r="BQ261" s="803">
        <v>2.3227667176839412E-2</v>
      </c>
      <c r="BR261" s="803">
        <v>4.2380374295505042E-2</v>
      </c>
      <c r="BS261" s="803">
        <v>7.0250535963330654E-2</v>
      </c>
      <c r="BT261" s="803">
        <v>0.10436473334731677</v>
      </c>
      <c r="BW261" s="1138">
        <f>'2018'!R\Max</f>
        <v>0.9428509472959089</v>
      </c>
      <c r="BX261" s="1136">
        <f>'2019'!R\Max</f>
        <v>1.0155329957627435</v>
      </c>
      <c r="BY261" s="1136">
        <f>'2020'!R\Max</f>
        <v>0.99541256014330393</v>
      </c>
      <c r="BZ261" s="1136">
        <f>'2021'!R\Max</f>
        <v>0.7749693454396045</v>
      </c>
      <c r="CA261" s="1136">
        <f>'2022'!R\Max</f>
        <v>0.96075434562565698</v>
      </c>
      <c r="CB261" s="1136">
        <f>'2023'!R\Max</f>
        <v>0.96073387457274251</v>
      </c>
      <c r="CC261" s="1136">
        <f>'2024'!R\Max</f>
        <v>0.96069586326381351</v>
      </c>
      <c r="CD261" s="1136">
        <f>'2025'!R\Max</f>
        <v>0.96079561999095564</v>
      </c>
      <c r="CE261" s="1136">
        <f>'2026'!R\Max</f>
        <v>0.96079227386088339</v>
      </c>
      <c r="CF261" s="1137">
        <f>'2027'!R\Max</f>
        <v>0.96078381590425077</v>
      </c>
    </row>
    <row r="262" spans="1:84" s="6" customFormat="1" ht="11.25" x14ac:dyDescent="0.2">
      <c r="A262" s="11">
        <v>43348</v>
      </c>
      <c r="B262" s="380">
        <f>'2022'!Maxi_hp</f>
        <v>50.98450100113412</v>
      </c>
      <c r="C262" s="85">
        <f>'2022'!An_max</f>
        <v>2020</v>
      </c>
      <c r="D262" s="1089">
        <f t="shared" si="97"/>
        <v>1.0106628057359599</v>
      </c>
      <c r="E262" s="749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838">
        <f t="shared" si="100"/>
        <v>0.14285714285714285</v>
      </c>
      <c r="J262" s="829">
        <f t="shared" si="101"/>
        <v>50.446598718953986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838">
        <f t="shared" si="105"/>
        <v>0.42857142857142855</v>
      </c>
      <c r="AT262" s="855">
        <f t="shared" si="106"/>
        <v>50.434011762003806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838">
        <f t="shared" si="110"/>
        <v>0.9285714285714286</v>
      </c>
      <c r="AY262" s="855">
        <f t="shared" si="111"/>
        <v>50.419669402816467</v>
      </c>
      <c r="AZ262" s="829">
        <f t="shared" si="115"/>
        <v>50.426840582410136</v>
      </c>
      <c r="BA262" s="662">
        <f t="shared" si="112"/>
        <v>1.0106628057359599</v>
      </c>
      <c r="BB262" s="657">
        <v>43348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926">
        <f>1+[2]!Salcycl*Ksac</f>
        <v>1.0477242015493811</v>
      </c>
      <c r="BH262" s="1082">
        <f t="shared" si="113"/>
        <v>1.4984143068088496E-3</v>
      </c>
      <c r="BI262" s="11">
        <v>44444</v>
      </c>
      <c r="BJ262" s="803">
        <v>5.960008669202953E-5</v>
      </c>
      <c r="BK262" s="803">
        <v>5.4339053796153322E-4</v>
      </c>
      <c r="BL262" s="803">
        <v>1.0090365615993723E-3</v>
      </c>
      <c r="BM262" s="803">
        <v>1.4983761598023257E-3</v>
      </c>
      <c r="BN262" s="803">
        <v>2.5060636814135556E-3</v>
      </c>
      <c r="BO262" s="804">
        <v>5.2217137301766997E-3</v>
      </c>
      <c r="BP262" s="803">
        <v>1.1532727665922676E-2</v>
      </c>
      <c r="BQ262" s="803">
        <v>2.3387071250300474E-2</v>
      </c>
      <c r="BR262" s="803">
        <v>4.2846640697107176E-2</v>
      </c>
      <c r="BS262" s="803">
        <v>7.0932002698546895E-2</v>
      </c>
      <c r="BT262" s="803">
        <v>0.10514826245141898</v>
      </c>
      <c r="BW262" s="1138">
        <f>'2018'!R\Max</f>
        <v>0.8732764508726969</v>
      </c>
      <c r="BX262" s="1136">
        <f>'2019'!R\Max</f>
        <v>0.78182947203025843</v>
      </c>
      <c r="BY262" s="1136">
        <f>'2020'!R\Max</f>
        <v>1.0106628057359599</v>
      </c>
      <c r="BZ262" s="1136">
        <f>'2021'!R\Max</f>
        <v>0.9185580042624184</v>
      </c>
      <c r="CA262" s="1136">
        <f>'2022'!R\Max</f>
        <v>0.88439454287154318</v>
      </c>
      <c r="CB262" s="1136">
        <f>'2023'!R\Max</f>
        <v>0.88433798779148798</v>
      </c>
      <c r="CC262" s="1136">
        <f>'2024'!R\Max</f>
        <v>0.88423299566784208</v>
      </c>
      <c r="CD262" s="1136">
        <f>'2025'!R\Max</f>
        <v>0.88450786336722387</v>
      </c>
      <c r="CE262" s="1136">
        <f>'2026'!R\Max</f>
        <v>0.88449884729648254</v>
      </c>
      <c r="CF262" s="1137">
        <f>'2027'!R\Max</f>
        <v>0.88447571987531737</v>
      </c>
    </row>
    <row r="263" spans="1:84" s="6" customFormat="1" ht="11.25" x14ac:dyDescent="0.2">
      <c r="A263" s="11">
        <v>43349</v>
      </c>
      <c r="B263" s="380">
        <f>'2022'!Maxi_hp</f>
        <v>50.093779259666192</v>
      </c>
      <c r="C263" s="85">
        <f>'2022'!An_max</f>
        <v>2019</v>
      </c>
      <c r="D263" s="1089">
        <f t="shared" si="97"/>
        <v>0.99565169335313952</v>
      </c>
      <c r="E263" s="749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838">
        <f t="shared" si="100"/>
        <v>0.21428571428571427</v>
      </c>
      <c r="J263" s="829">
        <f t="shared" si="101"/>
        <v>50.312553671215262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838">
        <f t="shared" si="105"/>
        <v>0.39285714285714285</v>
      </c>
      <c r="AT263" s="855">
        <f t="shared" si="106"/>
        <v>50.306482461743457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838">
        <f t="shared" si="110"/>
        <v>0.8928571428571429</v>
      </c>
      <c r="AY263" s="855">
        <f t="shared" si="111"/>
        <v>50.272477977949059</v>
      </c>
      <c r="AZ263" s="829">
        <f t="shared" si="115"/>
        <v>50.289480219846254</v>
      </c>
      <c r="BA263" s="662">
        <f t="shared" si="112"/>
        <v>0.99565169335313952</v>
      </c>
      <c r="BB263" s="657">
        <v>43349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926">
        <f>1+[2]!Salcycl*Ksac</f>
        <v>1.0475873029701537</v>
      </c>
      <c r="BH263" s="1082">
        <f t="shared" si="113"/>
        <v>1.3752823126623641E-3</v>
      </c>
      <c r="BI263" s="11">
        <v>44445</v>
      </c>
      <c r="BJ263" s="803">
        <v>7.0855076739253866E-5</v>
      </c>
      <c r="BK263" s="803">
        <v>5.1243236072410602E-4</v>
      </c>
      <c r="BL263" s="803">
        <v>9.3102108851084045E-4</v>
      </c>
      <c r="BM263" s="803">
        <v>1.375244225075954E-3</v>
      </c>
      <c r="BN263" s="803">
        <v>2.3813621108825607E-3</v>
      </c>
      <c r="BO263" s="804">
        <v>5.1212175965428047E-3</v>
      </c>
      <c r="BP263" s="803">
        <v>1.1547926293240545E-2</v>
      </c>
      <c r="BQ263" s="803">
        <v>2.3601483732218011E-2</v>
      </c>
      <c r="BR263" s="803">
        <v>4.3357486448664349E-2</v>
      </c>
      <c r="BS263" s="803">
        <v>7.1627169881578204E-2</v>
      </c>
      <c r="BT263" s="803">
        <v>0.10590011101904795</v>
      </c>
      <c r="BW263" s="1138">
        <f>'2018'!R\Max</f>
        <v>0.6416820279521952</v>
      </c>
      <c r="BX263" s="1136">
        <f>'2019'!R\Max</f>
        <v>0.99565169335313952</v>
      </c>
      <c r="BY263" s="1136">
        <f>'2020'!R\Max</f>
        <v>0.90703094507704707</v>
      </c>
      <c r="BZ263" s="1136">
        <f>'2021'!R\Max</f>
        <v>0.99136440514842039</v>
      </c>
      <c r="CA263" s="1136">
        <f>'2022'!R\Max</f>
        <v>0.95492940671660387</v>
      </c>
      <c r="CB263" s="1136">
        <f>'2023'!R\Max</f>
        <v>0.95490512412871908</v>
      </c>
      <c r="CC263" s="1136">
        <f>'2024'!R\Max</f>
        <v>0.95486008245913934</v>
      </c>
      <c r="CD263" s="1136">
        <f>'2025'!R\Max</f>
        <v>0.95497780298763446</v>
      </c>
      <c r="CE263" s="1136">
        <f>'2026'!R\Max</f>
        <v>0.95497400826823431</v>
      </c>
      <c r="CF263" s="1137">
        <f>'2027'!R\Max</f>
        <v>0.95496416805209261</v>
      </c>
    </row>
    <row r="264" spans="1:84" s="6" customFormat="1" ht="11.25" x14ac:dyDescent="0.2">
      <c r="A264" s="11">
        <v>43350</v>
      </c>
      <c r="B264" s="380">
        <f>'2022'!Maxi_hp</f>
        <v>51.37719632099251</v>
      </c>
      <c r="C264" s="85">
        <f>'2022'!An_max</f>
        <v>2019</v>
      </c>
      <c r="D264" s="1089">
        <f t="shared" si="97"/>
        <v>1.02392684141227</v>
      </c>
      <c r="E264" s="749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838">
        <f t="shared" si="100"/>
        <v>0.2857142857142857</v>
      </c>
      <c r="J264" s="829">
        <f t="shared" si="101"/>
        <v>50.176628097891808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838">
        <f t="shared" si="105"/>
        <v>0.35714285714285715</v>
      </c>
      <c r="AT264" s="855">
        <f t="shared" si="106"/>
        <v>50.175959810035835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838">
        <f t="shared" si="110"/>
        <v>0.8571428571428571</v>
      </c>
      <c r="AY264" s="855">
        <f t="shared" si="111"/>
        <v>50.123880656595745</v>
      </c>
      <c r="AZ264" s="829">
        <f t="shared" si="115"/>
        <v>50.14992023331579</v>
      </c>
      <c r="BA264" s="662">
        <f t="shared" si="112"/>
        <v>1.02392684141227</v>
      </c>
      <c r="BB264" s="657">
        <v>43350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926">
        <f>1+[2]!Salcycl*Ksac</f>
        <v>1.0474442537989843</v>
      </c>
      <c r="BH264" s="1082">
        <f t="shared" si="113"/>
        <v>1.2803111178780358E-3</v>
      </c>
      <c r="BI264" s="11">
        <v>44446</v>
      </c>
      <c r="BJ264" s="803">
        <v>8.5121722683917538E-5</v>
      </c>
      <c r="BK264" s="803">
        <v>4.9149983818873874E-4</v>
      </c>
      <c r="BL264" s="803">
        <v>8.7142825701882803E-4</v>
      </c>
      <c r="BM264" s="803">
        <v>1.2802728415189505E-3</v>
      </c>
      <c r="BN264" s="803">
        <v>2.2913773274966577E-3</v>
      </c>
      <c r="BO264" s="804">
        <v>5.0622994264116093E-3</v>
      </c>
      <c r="BP264" s="803">
        <v>1.1613093314214526E-2</v>
      </c>
      <c r="BQ264" s="803">
        <v>2.3870939683866665E-2</v>
      </c>
      <c r="BR264" s="803">
        <v>4.3912952889037231E-2</v>
      </c>
      <c r="BS264" s="803">
        <v>7.2336074151707785E-2</v>
      </c>
      <c r="BT264" s="803">
        <v>0.10662030193597784</v>
      </c>
      <c r="BW264" s="1138">
        <f>'2018'!R\Max</f>
        <v>0.66259254456803407</v>
      </c>
      <c r="BX264" s="1136">
        <f>'2019'!R\Max</f>
        <v>1.02392684141227</v>
      </c>
      <c r="BY264" s="1136">
        <f>'2020'!R\Max</f>
        <v>0.54134325726669041</v>
      </c>
      <c r="BZ264" s="1136">
        <f>'2021'!R\Max</f>
        <v>0.79644395916970712</v>
      </c>
      <c r="CA264" s="1136">
        <f>'2022'!R\Max</f>
        <v>0.76596601349999283</v>
      </c>
      <c r="CB264" s="1136">
        <f>'2023'!R\Max</f>
        <v>0.76586277267932512</v>
      </c>
      <c r="CC264" s="1136">
        <f>'2024'!R\Max</f>
        <v>0.76567167146874549</v>
      </c>
      <c r="CD264" s="1136">
        <f>'2025'!R\Max</f>
        <v>0.76617099726837468</v>
      </c>
      <c r="CE264" s="1136">
        <f>'2026'!R\Max</f>
        <v>0.76615508281400535</v>
      </c>
      <c r="CF264" s="1137">
        <f>'2027'!R\Max</f>
        <v>0.76611353397137105</v>
      </c>
    </row>
    <row r="265" spans="1:84" s="6" customFormat="1" ht="11.25" x14ac:dyDescent="0.2">
      <c r="A265" s="11">
        <v>43351</v>
      </c>
      <c r="B265" s="380">
        <f>'2022'!Maxi_hp</f>
        <v>49.21838095853591</v>
      </c>
      <c r="C265" s="85">
        <f>'2022'!An_max</f>
        <v>2018</v>
      </c>
      <c r="D265" s="1089">
        <f t="shared" si="97"/>
        <v>0.9836102985322569</v>
      </c>
      <c r="E265" s="749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838">
        <f t="shared" si="100"/>
        <v>0.35714285714285715</v>
      </c>
      <c r="J265" s="829">
        <f t="shared" si="101"/>
        <v>50.038496986031532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838">
        <f t="shared" si="105"/>
        <v>0.32142857142857145</v>
      </c>
      <c r="AT265" s="855">
        <f t="shared" si="106"/>
        <v>50.042154449217819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838">
        <f t="shared" si="110"/>
        <v>0.8214285714285714</v>
      </c>
      <c r="AY265" s="855">
        <f t="shared" si="111"/>
        <v>49.973749255575243</v>
      </c>
      <c r="AZ265" s="829">
        <f t="shared" si="115"/>
        <v>50.007951852396531</v>
      </c>
      <c r="BA265" s="662">
        <f t="shared" si="112"/>
        <v>0.9836102985322569</v>
      </c>
      <c r="BB265" s="657">
        <v>43351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926">
        <f>1+[2]!Salcycl*Ksac</f>
        <v>1.0472948135816742</v>
      </c>
      <c r="BH265" s="1082">
        <f t="shared" si="113"/>
        <v>1.2135121817906742E-3</v>
      </c>
      <c r="BI265" s="11">
        <v>44447</v>
      </c>
      <c r="BJ265" s="803">
        <v>1.0240189495768672E-4</v>
      </c>
      <c r="BK265" s="803">
        <v>4.8059740066798521E-4</v>
      </c>
      <c r="BL265" s="803">
        <v>8.3026563731669004E-4</v>
      </c>
      <c r="BM265" s="803">
        <v>1.2134734683331557E-3</v>
      </c>
      <c r="BN265" s="803">
        <v>2.2361243029508124E-3</v>
      </c>
      <c r="BO265" s="804">
        <v>5.0449788459926027E-3</v>
      </c>
      <c r="BP265" s="803">
        <v>1.1728256880707224E-2</v>
      </c>
      <c r="BQ265" s="803">
        <v>2.4195477262089423E-2</v>
      </c>
      <c r="BR265" s="803">
        <v>4.4513084083905453E-2</v>
      </c>
      <c r="BS265" s="803">
        <v>7.3058753322933004E-2</v>
      </c>
      <c r="BT265" s="803">
        <v>0.10730885683823821</v>
      </c>
      <c r="BW265" s="1138">
        <f>'2018'!R\Max</f>
        <v>0.9836102985322569</v>
      </c>
      <c r="BX265" s="1136">
        <f>'2019'!R\Max</f>
        <v>0.88975699712556389</v>
      </c>
      <c r="BY265" s="1136">
        <f>'2020'!R\Max</f>
        <v>0.89264607171835764</v>
      </c>
      <c r="BZ265" s="1136">
        <f>'2021'!R\Max</f>
        <v>0.64769123944473839</v>
      </c>
      <c r="CA265" s="1136">
        <f>'2022'!R\Max</f>
        <v>0.84276031241031668</v>
      </c>
      <c r="CB265" s="1136">
        <f>'2023'!R\Max</f>
        <v>0.84268232620307393</v>
      </c>
      <c r="CC265" s="1136">
        <f>'2024'!R\Max</f>
        <v>0.84253832308916032</v>
      </c>
      <c r="CD265" s="1136">
        <f>'2025'!R\Max</f>
        <v>0.84291466165845963</v>
      </c>
      <c r="CE265" s="1136">
        <f>'2026'!R\Max</f>
        <v>0.84290274680931654</v>
      </c>
      <c r="CF265" s="1137">
        <f>'2027'!R\Max</f>
        <v>0.84287155071759134</v>
      </c>
    </row>
    <row r="266" spans="1:84" s="6" customFormat="1" ht="11.25" x14ac:dyDescent="0.2">
      <c r="A266" s="11">
        <v>43352</v>
      </c>
      <c r="B266" s="380">
        <f>'2022'!Maxi_hp</f>
        <v>48.849649959056784</v>
      </c>
      <c r="C266" s="85">
        <f>'2022'!An_max</f>
        <v>2020</v>
      </c>
      <c r="D266" s="1089">
        <f t="shared" si="97"/>
        <v>0.97899337006613074</v>
      </c>
      <c r="E266" s="749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838">
        <f t="shared" si="100"/>
        <v>0.42857142857142855</v>
      </c>
      <c r="J266" s="829">
        <f t="shared" si="101"/>
        <v>49.897835320127861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838">
        <f t="shared" si="105"/>
        <v>0.2857142857142857</v>
      </c>
      <c r="AT266" s="855">
        <f t="shared" si="106"/>
        <v>49.904777023143005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838">
        <f t="shared" si="110"/>
        <v>0.7857142857142857</v>
      </c>
      <c r="AY266" s="855">
        <f t="shared" si="111"/>
        <v>49.821955591546633</v>
      </c>
      <c r="AZ266" s="829">
        <f t="shared" si="115"/>
        <v>49.863366307344819</v>
      </c>
      <c r="BA266" s="662">
        <f t="shared" si="112"/>
        <v>0.97899337006613074</v>
      </c>
      <c r="BB266" s="657">
        <v>43352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926">
        <f>1+[2]!Salcycl*Ksac</f>
        <v>1.0471387319099719</v>
      </c>
      <c r="BH266" s="1082">
        <f t="shared" si="113"/>
        <v>1.1748984433672146E-3</v>
      </c>
      <c r="BI266" s="11">
        <v>44448</v>
      </c>
      <c r="BJ266" s="803">
        <v>1.2269763907031095E-4</v>
      </c>
      <c r="BK266" s="803">
        <v>4.7973001408717066E-4</v>
      </c>
      <c r="BL266" s="803">
        <v>8.0754176929099598E-4</v>
      </c>
      <c r="BM266" s="803">
        <v>1.1748590443388053E-3</v>
      </c>
      <c r="BN266" s="803">
        <v>2.2156198512669092E-3</v>
      </c>
      <c r="BO266" s="804">
        <v>5.069277720181932E-3</v>
      </c>
      <c r="BP266" s="803">
        <v>1.18934479253606E-2</v>
      </c>
      <c r="BQ266" s="803">
        <v>2.4575137816460525E-2</v>
      </c>
      <c r="BR266" s="803">
        <v>4.515792690461623E-2</v>
      </c>
      <c r="BS266" s="803">
        <v>7.3795246408591905E-2</v>
      </c>
      <c r="BT266" s="803">
        <v>0.10796579605707798</v>
      </c>
      <c r="BW266" s="1138">
        <f>'2018'!R\Max</f>
        <v>0.62895777632344674</v>
      </c>
      <c r="BX266" s="1136">
        <f>'2019'!R\Max</f>
        <v>0.84630571120803</v>
      </c>
      <c r="BY266" s="1136">
        <f>'2020'!R\Max</f>
        <v>0.97899337006613074</v>
      </c>
      <c r="BZ266" s="1136">
        <f>'2021'!R\Max</f>
        <v>0.37138265117051833</v>
      </c>
      <c r="CA266" s="1136">
        <f>'2022'!R\Max</f>
        <v>0.43714577571985697</v>
      </c>
      <c r="CB266" s="1136">
        <f>'2023'!R\Max</f>
        <v>0.43699772735312137</v>
      </c>
      <c r="CC266" s="1136">
        <f>'2024'!R\Max</f>
        <v>0.4367254407403498</v>
      </c>
      <c r="CD266" s="1136">
        <f>'2025'!R\Max</f>
        <v>0.43743841195614053</v>
      </c>
      <c r="CE266" s="1136">
        <f>'2026'!R\Max</f>
        <v>0.43741584191754229</v>
      </c>
      <c r="CF266" s="1137">
        <f>'2027'!R\Max</f>
        <v>0.43735681736877735</v>
      </c>
    </row>
    <row r="267" spans="1:84" s="6" customFormat="1" ht="11.25" x14ac:dyDescent="0.2">
      <c r="A267" s="11">
        <v>43353</v>
      </c>
      <c r="B267" s="380">
        <f>'2022'!Maxi_hp</f>
        <v>47.65643970170953</v>
      </c>
      <c r="C267" s="85">
        <f>'2022'!An_max</f>
        <v>2022</v>
      </c>
      <c r="D267" s="1089" t="str">
        <f t="shared" si="97"/>
        <v/>
      </c>
      <c r="E267" s="749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838">
        <f t="shared" si="100"/>
        <v>0.5</v>
      </c>
      <c r="J267" s="829">
        <f t="shared" si="101"/>
        <v>49.754318087361753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838">
        <f t="shared" si="105"/>
        <v>0.25</v>
      </c>
      <c r="AT267" s="855">
        <f t="shared" si="106"/>
        <v>49.763538174587303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838">
        <f t="shared" si="110"/>
        <v>0.75</v>
      </c>
      <c r="AY267" s="855">
        <f t="shared" si="111"/>
        <v>49.668371481914072</v>
      </c>
      <c r="AZ267" s="829">
        <f t="shared" si="115"/>
        <v>49.715954828250688</v>
      </c>
      <c r="BA267" s="662">
        <f t="shared" si="112"/>
        <v>0.95783524995823199</v>
      </c>
      <c r="BB267" s="657">
        <v>43353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926">
        <f>1+[2]!Salcycl*Ksac</f>
        <v>1.0469757481973758</v>
      </c>
      <c r="BH267" s="1082">
        <f t="shared" si="113"/>
        <v>1.1644843708678995E-3</v>
      </c>
      <c r="BI267" s="11">
        <v>44449</v>
      </c>
      <c r="BJ267" s="803">
        <v>1.4601118090940018E-4</v>
      </c>
      <c r="BK267" s="803">
        <v>4.8890319765657628E-4</v>
      </c>
      <c r="BL267" s="803">
        <v>8.0326619500719601E-4</v>
      </c>
      <c r="BM267" s="803">
        <v>1.1644440376352753E-3</v>
      </c>
      <c r="BN267" s="803">
        <v>2.2298826899794697E-3</v>
      </c>
      <c r="BO267" s="804">
        <v>5.1352202257412818E-3</v>
      </c>
      <c r="BP267" s="803">
        <v>1.2108700249295556E-2</v>
      </c>
      <c r="BQ267" s="803">
        <v>2.5009965985437439E-2</v>
      </c>
      <c r="BR267" s="803">
        <v>4.584753110517404E-2</v>
      </c>
      <c r="BS267" s="803">
        <v>7.4545593642919683E-2</v>
      </c>
      <c r="BT267" s="803">
        <v>0.10859113855939263</v>
      </c>
      <c r="BW267" s="1138">
        <f>'2018'!R\Max</f>
        <v>0.7674129506493409</v>
      </c>
      <c r="BX267" s="1136">
        <f>'2019'!R\Max</f>
        <v>0.29481677004666162</v>
      </c>
      <c r="BY267" s="1136">
        <f>'2020'!R\Max</f>
        <v>0.48227360517546758</v>
      </c>
      <c r="BZ267" s="1136">
        <f>'2021'!R\Max</f>
        <v>0.7827229603015885</v>
      </c>
      <c r="CA267" s="1136">
        <f>'2022'!R\Max</f>
        <v>0.95783524995823199</v>
      </c>
      <c r="CB267" s="1136">
        <f>'2023'!R\Max</f>
        <v>0.95781037068868546</v>
      </c>
      <c r="CC267" s="1136">
        <f>'2024'!R\Max</f>
        <v>0.95776475427112739</v>
      </c>
      <c r="CD267" s="1136">
        <f>'2025'!R\Max</f>
        <v>0.95788432970670589</v>
      </c>
      <c r="CE267" s="1136">
        <f>'2026'!R\Max</f>
        <v>0.9578805359243826</v>
      </c>
      <c r="CF267" s="1137">
        <f>'2027'!R\Max</f>
        <v>0.95787065955557504</v>
      </c>
    </row>
    <row r="268" spans="1:84" s="6" customFormat="1" ht="11.25" x14ac:dyDescent="0.2">
      <c r="A268" s="11">
        <v>43354</v>
      </c>
      <c r="B268" s="380">
        <f>'2022'!Maxi_hp</f>
        <v>48.554675543280503</v>
      </c>
      <c r="C268" s="85">
        <f>'2022'!An_max</f>
        <v>2022</v>
      </c>
      <c r="D268" s="1089">
        <f t="shared" si="97"/>
        <v>0.9787745365443079</v>
      </c>
      <c r="E268" s="749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838">
        <f t="shared" si="100"/>
        <v>0.5714285714285714</v>
      </c>
      <c r="J268" s="829">
        <f t="shared" si="101"/>
        <v>49.607620274541638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838">
        <f t="shared" si="105"/>
        <v>0.21428571428571427</v>
      </c>
      <c r="AT268" s="855">
        <f t="shared" si="106"/>
        <v>49.618148546399809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838">
        <f t="shared" si="110"/>
        <v>0.7142857142857143</v>
      </c>
      <c r="AY268" s="855">
        <f t="shared" si="111"/>
        <v>49.512868743176973</v>
      </c>
      <c r="AZ268" s="829">
        <f t="shared" si="115"/>
        <v>49.565508644788395</v>
      </c>
      <c r="BA268" s="662">
        <f t="shared" si="112"/>
        <v>0.9787745365443079</v>
      </c>
      <c r="BB268" s="657">
        <v>43354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926">
        <f>1+[2]!Salcycl*Ksac</f>
        <v>1.0468055915569632</v>
      </c>
      <c r="BH268" s="1082">
        <f t="shared" si="113"/>
        <v>1.1866799130527163E-3</v>
      </c>
      <c r="BI268" s="11">
        <v>44450</v>
      </c>
      <c r="BJ268" s="803">
        <v>1.738786326050181E-4</v>
      </c>
      <c r="BK268" s="803">
        <v>5.105006954375514E-4</v>
      </c>
      <c r="BL268" s="803">
        <v>8.207401852128774E-4</v>
      </c>
      <c r="BM268" s="803">
        <v>1.1866383727835612E-3</v>
      </c>
      <c r="BN268" s="803">
        <v>2.2839619817983129E-3</v>
      </c>
      <c r="BO268" s="804">
        <v>5.2509171097366476E-3</v>
      </c>
      <c r="BP268" s="803">
        <v>1.2380790936270697E-2</v>
      </c>
      <c r="BQ268" s="803">
        <v>2.5504312249742769E-2</v>
      </c>
      <c r="BR268" s="803">
        <v>4.6587321718546605E-2</v>
      </c>
      <c r="BS268" s="803">
        <v>7.5326284149104861E-2</v>
      </c>
      <c r="BT268" s="803">
        <v>0.10922007624197658</v>
      </c>
      <c r="BW268" s="1138">
        <f>'2018'!R\Max</f>
        <v>0.96812709502660566</v>
      </c>
      <c r="BX268" s="1136">
        <f>'2019'!R\Max</f>
        <v>0.90528873966167234</v>
      </c>
      <c r="BY268" s="1136">
        <f>'2020'!R\Max</f>
        <v>0.68930024052293637</v>
      </c>
      <c r="BZ268" s="1136">
        <f>'2021'!R\Max</f>
        <v>0.77593425937155769</v>
      </c>
      <c r="CA268" s="1136">
        <f>'2022'!R\Max</f>
        <v>0.9787745365443079</v>
      </c>
      <c r="CB268" s="1136">
        <f>'2023'!R\Max</f>
        <v>0.97876143081552613</v>
      </c>
      <c r="CC268" s="1136">
        <f>'2024'!R\Max</f>
        <v>0.97873751087883487</v>
      </c>
      <c r="CD268" s="1136">
        <f>'2025'!R\Max</f>
        <v>0.97880040112898914</v>
      </c>
      <c r="CE268" s="1136">
        <f>'2026'!R\Max</f>
        <v>0.97879838822982146</v>
      </c>
      <c r="CF268" s="1137">
        <f>'2027'!R\Max</f>
        <v>0.97879318808699489</v>
      </c>
    </row>
    <row r="269" spans="1:84" s="6" customFormat="1" ht="11.25" x14ac:dyDescent="0.2">
      <c r="A269" s="11">
        <v>43355</v>
      </c>
      <c r="B269" s="380">
        <f>'2022'!Maxi_hp</f>
        <v>49.547587041399964</v>
      </c>
      <c r="C269" s="85">
        <f>'2022'!An_max</f>
        <v>2019</v>
      </c>
      <c r="D269" s="1089">
        <f t="shared" si="97"/>
        <v>1.0018231881284128</v>
      </c>
      <c r="E269" s="749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838">
        <f t="shared" si="100"/>
        <v>0.6428571428571429</v>
      </c>
      <c r="J269" s="829">
        <f t="shared" si="101"/>
        <v>49.457416866107714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838">
        <f t="shared" si="105"/>
        <v>0.17857142857142858</v>
      </c>
      <c r="AT269" s="855">
        <f t="shared" si="106"/>
        <v>49.468318781253352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838">
        <f t="shared" si="110"/>
        <v>0.6785714285714286</v>
      </c>
      <c r="AY269" s="855">
        <f t="shared" si="111"/>
        <v>49.355319192180673</v>
      </c>
      <c r="AZ269" s="829">
        <f t="shared" si="115"/>
        <v>49.411818986717009</v>
      </c>
      <c r="BA269" s="662">
        <f t="shared" si="112"/>
        <v>1.0018231881284128</v>
      </c>
      <c r="BB269" s="657">
        <v>43355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926">
        <f>1+[2]!Salcycl*Ksac</f>
        <v>1.0466279807959624</v>
      </c>
      <c r="BH269" s="1082">
        <f t="shared" si="113"/>
        <v>1.2247283931763199E-3</v>
      </c>
      <c r="BI269" s="11">
        <v>44451</v>
      </c>
      <c r="BJ269" s="803">
        <v>2.0494915920974953E-4</v>
      </c>
      <c r="BK269" s="803">
        <v>5.3918461802243646E-4</v>
      </c>
      <c r="BL269" s="803">
        <v>8.4954726238452695E-4</v>
      </c>
      <c r="BM269" s="803">
        <v>1.2246855649609594E-3</v>
      </c>
      <c r="BN269" s="803">
        <v>2.3560314325451171E-3</v>
      </c>
      <c r="BO269" s="804">
        <v>5.3905062180251116E-3</v>
      </c>
      <c r="BP269" s="803">
        <v>1.2677199330370608E-2</v>
      </c>
      <c r="BQ269" s="803">
        <v>2.6020265744533009E-2</v>
      </c>
      <c r="BR269" s="803">
        <v>4.7337630173556446E-2</v>
      </c>
      <c r="BS269" s="803">
        <v>7.611669540589984E-2</v>
      </c>
      <c r="BT269" s="803">
        <v>0.10986767536245026</v>
      </c>
      <c r="BW269" s="1138">
        <f>'2018'!R\Max</f>
        <v>0.65103619182084105</v>
      </c>
      <c r="BX269" s="1136">
        <f>'2019'!R\Max</f>
        <v>1.0018231881284128</v>
      </c>
      <c r="BY269" s="1136">
        <f>'2020'!R\Max</f>
        <v>0.87577169512659181</v>
      </c>
      <c r="BZ269" s="1136">
        <f>'2021'!R\Max</f>
        <v>0.9735917563127684</v>
      </c>
      <c r="CA269" s="1136">
        <f>'2022'!R\Max</f>
        <v>0.69039655584661375</v>
      </c>
      <c r="CB269" s="1136">
        <f>'2023'!R\Max</f>
        <v>0.69025855330420605</v>
      </c>
      <c r="CC269" s="1136">
        <f>'2024'!R\Max</f>
        <v>0.69000798857358103</v>
      </c>
      <c r="CD269" s="1136">
        <f>'2025'!R\Max</f>
        <v>0.69066943543221027</v>
      </c>
      <c r="CE269" s="1136">
        <f>'2026'!R\Max</f>
        <v>0.69064803482276549</v>
      </c>
      <c r="CF269" s="1137">
        <f>'2027'!R\Max</f>
        <v>0.69059315321878156</v>
      </c>
    </row>
    <row r="270" spans="1:84" s="6" customFormat="1" ht="11.25" x14ac:dyDescent="0.2">
      <c r="A270" s="11">
        <v>43356</v>
      </c>
      <c r="B270" s="380">
        <f>'2022'!Maxi_hp</f>
        <v>47.552887947991515</v>
      </c>
      <c r="C270" s="85">
        <f>'2022'!An_max</f>
        <v>2020</v>
      </c>
      <c r="D270" s="1089" t="str">
        <f t="shared" si="97"/>
        <v/>
      </c>
      <c r="E270" s="749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838">
        <f t="shared" si="100"/>
        <v>0.7142857142857143</v>
      </c>
      <c r="J270" s="829">
        <f t="shared" si="101"/>
        <v>49.303382848948239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838">
        <f t="shared" si="105"/>
        <v>0.14285714285714285</v>
      </c>
      <c r="AT270" s="855">
        <f t="shared" si="106"/>
        <v>49.313759523111266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838">
        <f t="shared" si="110"/>
        <v>0.6428571428571429</v>
      </c>
      <c r="AY270" s="855">
        <f t="shared" si="111"/>
        <v>49.195594646728466</v>
      </c>
      <c r="AZ270" s="829">
        <f t="shared" si="115"/>
        <v>49.254677084919862</v>
      </c>
      <c r="BA270" s="662">
        <f t="shared" si="112"/>
        <v>0.96449544027597967</v>
      </c>
      <c r="BB270" s="657">
        <v>43356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926">
        <f>1+[2]!Salcycl*Ksac</f>
        <v>1.0464426245407421</v>
      </c>
      <c r="BH270" s="1082">
        <f t="shared" si="113"/>
        <v>1.278641123371959E-3</v>
      </c>
      <c r="BI270" s="11">
        <v>44452</v>
      </c>
      <c r="BJ270" s="803">
        <v>2.392257239437471E-4</v>
      </c>
      <c r="BK270" s="803">
        <v>5.7496036252457016E-4</v>
      </c>
      <c r="BL270" s="803">
        <v>8.8969555621866989E-4</v>
      </c>
      <c r="BM270" s="803">
        <v>1.2785969262049722E-3</v>
      </c>
      <c r="BN270" s="803">
        <v>2.4461048834826435E-3</v>
      </c>
      <c r="BO270" s="804">
        <v>5.5540075877042322E-3</v>
      </c>
      <c r="BP270" s="803">
        <v>1.2997951521514756E-2</v>
      </c>
      <c r="BQ270" s="803">
        <v>2.6557859463118994E-2</v>
      </c>
      <c r="BR270" s="803">
        <v>4.8098492822294177E-2</v>
      </c>
      <c r="BS270" s="803">
        <v>7.6916869149933662E-2</v>
      </c>
      <c r="BT270" s="803">
        <v>0.11053398464219731</v>
      </c>
      <c r="BW270" s="1138">
        <f>'2018'!R\Max</f>
        <v>0.54761520070362257</v>
      </c>
      <c r="BX270" s="1136">
        <f>'2019'!R\Max</f>
        <v>0.80214754947395117</v>
      </c>
      <c r="BY270" s="1136">
        <f>'2020'!R\Max</f>
        <v>0.96449544027597967</v>
      </c>
      <c r="BZ270" s="1136">
        <f>'2021'!R\Max</f>
        <v>0.7088438582431561</v>
      </c>
      <c r="CA270" s="1136">
        <f>'2022'!R\Max</f>
        <v>0.2501195255588719</v>
      </c>
      <c r="CB270" s="1136">
        <f>'2023'!R\Max</f>
        <v>0.25000384161534178</v>
      </c>
      <c r="CC270" s="1136">
        <f>'2024'!R\Max</f>
        <v>0.24979495423885192</v>
      </c>
      <c r="CD270" s="1136">
        <f>'2025'!R\Max</f>
        <v>0.25034896685475166</v>
      </c>
      <c r="CE270" s="1136">
        <f>'2026'!R\Max</f>
        <v>0.25033082298830112</v>
      </c>
      <c r="CF270" s="1137">
        <f>'2027'!R\Max</f>
        <v>0.25028461574707744</v>
      </c>
    </row>
    <row r="271" spans="1:84" s="6" customFormat="1" ht="11.25" x14ac:dyDescent="0.2">
      <c r="A271" s="11">
        <v>43357</v>
      </c>
      <c r="B271" s="380">
        <f>'2022'!Maxi_hp</f>
        <v>47.223329847400791</v>
      </c>
      <c r="C271" s="85">
        <f>'2022'!An_max</f>
        <v>2020</v>
      </c>
      <c r="D271" s="1089" t="str">
        <f t="shared" ref="D271:D334" si="116">IF($BA271&gt;$D$11,BA271,"")</f>
        <v/>
      </c>
      <c r="E271" s="749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838">
        <f t="shared" ref="I271:I334" si="119">($A271-H271)/(INDEX(x.2m,G271)-H271)</f>
        <v>0.7857142857142857</v>
      </c>
      <c r="J271" s="829">
        <f t="shared" ref="J271:J334" si="120">((1-I271)*(INDEX(a.m,F271)*$A271*$A271+INDEX(b.m,F271)*$A271+INDEX(c.m,F271))+I271*(INDEX(a.m,G271)*$A271*$A271+INDEX(b.m,G271)*$A271+INDEX(c.m,G271)))/10</f>
        <v>49.145193210457052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838">
        <f t="shared" ref="AS271:AS334" si="124">($A271-AR271)/(INDEX(x.2lg,AQ271)-AR271)</f>
        <v>0.10714285714285714</v>
      </c>
      <c r="AT271" s="855">
        <f t="shared" ref="AT271:AT334" si="125">((1-AS271)*(INDEX(a.lg,AP271)*$A271*$A271+INDEX(b.lg,AP271)*$A271+INDEX(c.lg,AP271))+AS271*(INDEX(a.lg,AQ271)*$A271*$A271+INDEX(b.lg,AQ271)*$A271+INDEX(c.lg,AQ271)))/10</f>
        <v>49.154181414732847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838">
        <f t="shared" ref="AX271:AX334" si="129">($A271-AW271)/(INDEX(x.2ld,AV271)-AW271)</f>
        <v>0.6071428571428571</v>
      </c>
      <c r="AY271" s="855">
        <f t="shared" ref="AY271:AY334" si="130">((1-AX271)*(INDEX(a.ld,AU271)*$A271*$A271+INDEX(b.ld,AU271)*$A271+INDEX(c.ld,AU271))+AX271*(INDEX(a.ld,AV271)*$A271*$A271+INDEX(b.ld,AV271)*$A271+INDEX(c.ld,AV271)))/10</f>
        <v>49.033566923466111</v>
      </c>
      <c r="AZ271" s="829">
        <f t="shared" si="115"/>
        <v>49.093874169099479</v>
      </c>
      <c r="BA271" s="662">
        <f t="shared" ref="BA271:BA334" si="131">+B271/J271</f>
        <v>0.96089417423131973</v>
      </c>
      <c r="BB271" s="657">
        <v>43357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926">
        <f>1+[2]!Salcycl*Ksac</f>
        <v>1.0462492215046542</v>
      </c>
      <c r="BH271" s="1082">
        <f t="shared" ref="BH271:BH334" si="132">INDEX($BJ271:$BT271,,$BH$10)*(1-Ratini)+INDEX($BJ271:$BT271,,$BH$10+1)*Ratini</f>
        <v>1.3484303939694403E-3</v>
      </c>
      <c r="BI271" s="11">
        <v>44453</v>
      </c>
      <c r="BJ271" s="803">
        <v>2.7671150361221423E-4</v>
      </c>
      <c r="BK271" s="803">
        <v>6.1783377127165627E-4</v>
      </c>
      <c r="BL271" s="803">
        <v>9.4119389682565432E-4</v>
      </c>
      <c r="BM271" s="803">
        <v>1.3483847467439501E-3</v>
      </c>
      <c r="BN271" s="803">
        <v>2.5541973049016831E-3</v>
      </c>
      <c r="BO271" s="804">
        <v>5.7414427835106585E-3</v>
      </c>
      <c r="BP271" s="803">
        <v>1.3343075254247093E-2</v>
      </c>
      <c r="BQ271" s="803">
        <v>2.7117128030137782E-2</v>
      </c>
      <c r="BR271" s="803">
        <v>4.8869947125350484E-2</v>
      </c>
      <c r="BS271" s="803">
        <v>7.7726848184758168E-2</v>
      </c>
      <c r="BT271" s="803">
        <v>0.11121905428537958</v>
      </c>
      <c r="BW271" s="1138">
        <f>'2018'!R\Max</f>
        <v>0.58967699625346182</v>
      </c>
      <c r="BX271" s="1136">
        <f>'2019'!R\Max</f>
        <v>0.85662427532663454</v>
      </c>
      <c r="BY271" s="1136">
        <f>'2020'!R\Max</f>
        <v>0.96089417423131973</v>
      </c>
      <c r="BZ271" s="1136">
        <f>'2021'!R\Max</f>
        <v>0.42740024076342009</v>
      </c>
      <c r="CA271" s="1136">
        <f>'2022'!R\Max</f>
        <v>0.75911060430405664</v>
      </c>
      <c r="CB271" s="1136">
        <f>'2023'!R\Max</f>
        <v>0.75898703355173525</v>
      </c>
      <c r="CC271" s="1136">
        <f>'2024'!R\Max</f>
        <v>0.758764799097844</v>
      </c>
      <c r="CD271" s="1136">
        <f>'2025'!R\Max</f>
        <v>0.75935621627309724</v>
      </c>
      <c r="CE271" s="1136">
        <f>'2026'!R\Max</f>
        <v>0.75933664410015034</v>
      </c>
      <c r="CF271" s="1137">
        <f>'2027'!R\Max</f>
        <v>0.75928710736923899</v>
      </c>
    </row>
    <row r="272" spans="1:84" s="6" customFormat="1" ht="11.25" x14ac:dyDescent="0.2">
      <c r="A272" s="11">
        <v>43358</v>
      </c>
      <c r="B272" s="380">
        <f>'2022'!Maxi_hp</f>
        <v>48.01660304214726</v>
      </c>
      <c r="C272" s="85">
        <f>'2022'!An_max</f>
        <v>2020</v>
      </c>
      <c r="D272" s="1089">
        <f t="shared" si="116"/>
        <v>0.98028031562074436</v>
      </c>
      <c r="E272" s="749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838">
        <f t="shared" si="119"/>
        <v>0.8571428571428571</v>
      </c>
      <c r="J272" s="829">
        <f t="shared" si="120"/>
        <v>48.982522934515558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838">
        <f t="shared" si="124"/>
        <v>7.1428571428571425E-2</v>
      </c>
      <c r="AT272" s="855">
        <f t="shared" si="125"/>
        <v>48.989295098484895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838">
        <f t="shared" si="129"/>
        <v>0.5714285714285714</v>
      </c>
      <c r="AY272" s="855">
        <f t="shared" si="130"/>
        <v>48.869107838134681</v>
      </c>
      <c r="AZ272" s="829">
        <f t="shared" ref="AZ272:AZ335" si="134">(AY272+AT272)/2</f>
        <v>48.929201468309785</v>
      </c>
      <c r="BA272" s="662">
        <f t="shared" si="131"/>
        <v>0.98028031562074436</v>
      </c>
      <c r="BB272" s="657">
        <v>43358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926">
        <f>1+[2]!Salcycl*Ksac</f>
        <v>1.0460474609097461</v>
      </c>
      <c r="BH272" s="1082">
        <f t="shared" si="132"/>
        <v>1.4341095013635152E-3</v>
      </c>
      <c r="BI272" s="11">
        <v>44454</v>
      </c>
      <c r="BJ272" s="803">
        <v>3.1740989422060452E-4</v>
      </c>
      <c r="BK272" s="803">
        <v>6.6781114425510226E-4</v>
      </c>
      <c r="BL272" s="803">
        <v>1.0040518346519675E-3</v>
      </c>
      <c r="BM272" s="803">
        <v>1.434062322865337E-3</v>
      </c>
      <c r="BN272" s="803">
        <v>2.6803248277012192E-3</v>
      </c>
      <c r="BO272" s="804">
        <v>5.9528349396717308E-3</v>
      </c>
      <c r="BP272" s="803">
        <v>1.3712599970039027E-2</v>
      </c>
      <c r="BQ272" s="803">
        <v>2.7698107738583038E-2</v>
      </c>
      <c r="BR272" s="803">
        <v>4.9652031668598912E-2</v>
      </c>
      <c r="BS272" s="803">
        <v>7.8546676395462187E-2</v>
      </c>
      <c r="BT272" s="803">
        <v>0.11192293600853993</v>
      </c>
      <c r="BW272" s="1138">
        <f>'2018'!R\Max</f>
        <v>0.82767693424481381</v>
      </c>
      <c r="BX272" s="1136">
        <f>'2019'!R\Max</f>
        <v>0.84701007487407687</v>
      </c>
      <c r="BY272" s="1136">
        <f>'2020'!R\Max</f>
        <v>0.98028031562074436</v>
      </c>
      <c r="BZ272" s="1136">
        <f>'2021'!R\Max</f>
        <v>0.61342100550549261</v>
      </c>
      <c r="CA272" s="1136">
        <f>'2022'!R\Max</f>
        <v>0.87433780726181254</v>
      </c>
      <c r="CB272" s="1136">
        <f>'2023'!R\Max</f>
        <v>0.87426188317360887</v>
      </c>
      <c r="CC272" s="1136">
        <f>'2024'!R\Max</f>
        <v>0.87412598161258248</v>
      </c>
      <c r="CD272" s="1136">
        <f>'2025'!R\Max</f>
        <v>0.87448925509411246</v>
      </c>
      <c r="CE272" s="1136">
        <f>'2026'!R\Max</f>
        <v>0.87447708461989848</v>
      </c>
      <c r="CF272" s="1137">
        <f>'2027'!R\Max</f>
        <v>0.87444646200582254</v>
      </c>
    </row>
    <row r="273" spans="1:84" s="6" customFormat="1" ht="11.25" x14ac:dyDescent="0.2">
      <c r="A273" s="11">
        <v>43359</v>
      </c>
      <c r="B273" s="380">
        <f>'2022'!Maxi_hp</f>
        <v>47.259197332077989</v>
      </c>
      <c r="C273" s="85">
        <f>'2022'!An_max</f>
        <v>2018</v>
      </c>
      <c r="D273" s="1089" t="str">
        <f t="shared" si="116"/>
        <v/>
      </c>
      <c r="E273" s="749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838">
        <f t="shared" si="119"/>
        <v>0.9285714285714286</v>
      </c>
      <c r="J273" s="829">
        <f t="shared" si="120"/>
        <v>48.815047009236046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838">
        <f t="shared" si="124"/>
        <v>3.5714285714285712E-2</v>
      </c>
      <c r="AT273" s="855">
        <f t="shared" si="125"/>
        <v>48.818811218473797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838">
        <f t="shared" si="129"/>
        <v>0.5357142857142857</v>
      </c>
      <c r="AY273" s="855">
        <f t="shared" si="130"/>
        <v>48.702089209588507</v>
      </c>
      <c r="AZ273" s="829">
        <f t="shared" si="134"/>
        <v>48.760450214031152</v>
      </c>
      <c r="BA273" s="662">
        <f t="shared" si="131"/>
        <v>0.9681276620124184</v>
      </c>
      <c r="BB273" s="657">
        <v>43359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926">
        <f>1+[2]!Salcycl*Ksac</f>
        <v>1.0458370230717819</v>
      </c>
      <c r="BH273" s="1082">
        <f t="shared" si="132"/>
        <v>1.5356927758927589E-3</v>
      </c>
      <c r="BI273" s="11">
        <v>44455</v>
      </c>
      <c r="BJ273" s="803">
        <v>3.6132451659124119E-4</v>
      </c>
      <c r="BK273" s="803">
        <v>7.2489925158382288E-4</v>
      </c>
      <c r="BL273" s="803">
        <v>1.0782796604097812E-3</v>
      </c>
      <c r="BM273" s="803">
        <v>1.53564398479441E-3</v>
      </c>
      <c r="BN273" s="803">
        <v>2.8245047749894496E-3</v>
      </c>
      <c r="BO273" s="804">
        <v>6.1882088018060432E-3</v>
      </c>
      <c r="BP273" s="803">
        <v>1.4106556849709568E-2</v>
      </c>
      <c r="BQ273" s="803">
        <v>2.8300836587078566E-2</v>
      </c>
      <c r="BR273" s="803">
        <v>5.0444786180424861E-2</v>
      </c>
      <c r="BS273" s="803">
        <v>7.9376398764008552E-2</v>
      </c>
      <c r="BT273" s="803">
        <v>0.11264568307125475</v>
      </c>
      <c r="BW273" s="1138">
        <f>'2018'!R\Max</f>
        <v>0.9681276620124184</v>
      </c>
      <c r="BX273" s="1136">
        <f>'2019'!R\Max</f>
        <v>0.8955185119140513</v>
      </c>
      <c r="BY273" s="1136">
        <f>'2020'!R\Max</f>
        <v>0.84952314621451719</v>
      </c>
      <c r="BZ273" s="1136">
        <f>'2021'!R\Max</f>
        <v>0.48822854577119718</v>
      </c>
      <c r="CA273" s="1136">
        <f>'2022'!R\Max</f>
        <v>0.58411790042818346</v>
      </c>
      <c r="CB273" s="1136">
        <f>'2023'!R\Max</f>
        <v>0.58394634434490089</v>
      </c>
      <c r="CC273" s="1136">
        <f>'2024'!R\Max</f>
        <v>0.5836409753154217</v>
      </c>
      <c r="CD273" s="1136">
        <f>'2025'!R\Max</f>
        <v>0.58446186120059951</v>
      </c>
      <c r="CE273" s="1136">
        <f>'2026'!R\Max</f>
        <v>0.58443396438558337</v>
      </c>
      <c r="CF273" s="1137">
        <f>'2027'!R\Max</f>
        <v>0.58436416429976545</v>
      </c>
    </row>
    <row r="274" spans="1:84" s="6" customFormat="1" ht="11.25" x14ac:dyDescent="0.2">
      <c r="A274" s="11">
        <v>43360</v>
      </c>
      <c r="B274" s="380">
        <f>'2022'!Maxi_hp</f>
        <v>50.32977490334271</v>
      </c>
      <c r="C274" s="85">
        <f>'2022'!An_max</f>
        <v>2022</v>
      </c>
      <c r="D274" s="1089">
        <f t="shared" si="116"/>
        <v>1.0346885244795196</v>
      </c>
      <c r="E274" s="837">
        <f>AF$13/10</f>
        <v>48.642440417059532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838">
        <f t="shared" si="119"/>
        <v>1</v>
      </c>
      <c r="J274" s="829">
        <f t="shared" si="120"/>
        <v>48.642440418154003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838">
        <f t="shared" si="124"/>
        <v>0</v>
      </c>
      <c r="AT274" s="855">
        <f t="shared" si="125"/>
        <v>48.642440417408942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838">
        <f t="shared" si="129"/>
        <v>0.5</v>
      </c>
      <c r="AY274" s="855">
        <f t="shared" si="130"/>
        <v>48.532382853329182</v>
      </c>
      <c r="AZ274" s="829">
        <f t="shared" si="134"/>
        <v>48.587411635369065</v>
      </c>
      <c r="BA274" s="662">
        <f t="shared" si="131"/>
        <v>1.0346885244795196</v>
      </c>
      <c r="BB274" s="657">
        <v>43360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926">
        <f>1+[2]!Salcycl*Ksac</f>
        <v>1.0456175801562704</v>
      </c>
      <c r="BH274" s="1082">
        <f t="shared" si="132"/>
        <v>1.6531956097408874E-3</v>
      </c>
      <c r="BI274" s="11">
        <v>44456</v>
      </c>
      <c r="BJ274" s="803">
        <v>4.0845922198565752E-4</v>
      </c>
      <c r="BK274" s="803">
        <v>7.8910534594884456E-4</v>
      </c>
      <c r="BL274" s="803">
        <v>1.1638884250223015E-3</v>
      </c>
      <c r="BM274" s="803">
        <v>1.6531451245954531E-3</v>
      </c>
      <c r="BN274" s="803">
        <v>2.9867556937257836E-3</v>
      </c>
      <c r="BO274" s="804">
        <v>6.447590768912906E-3</v>
      </c>
      <c r="BP274" s="803">
        <v>1.4524978856046837E-2</v>
      </c>
      <c r="BQ274" s="803">
        <v>2.8925354317553293E-2</v>
      </c>
      <c r="BR274" s="803">
        <v>5.124825154966603E-2</v>
      </c>
      <c r="BS274" s="803">
        <v>8.0216061385682394E-2</v>
      </c>
      <c r="BT274" s="803">
        <v>0.11338735030835351</v>
      </c>
      <c r="BW274" s="1138">
        <f>'2018'!R\Max</f>
        <v>0.92698578279978194</v>
      </c>
      <c r="BX274" s="1136">
        <f>'2019'!R\Max</f>
        <v>0.87987411532770698</v>
      </c>
      <c r="BY274" s="1136">
        <f>'2020'!R\Max</f>
        <v>0.87710968953536428</v>
      </c>
      <c r="BZ274" s="1136">
        <f>'2021'!R\Max</f>
        <v>0.92263096441684267</v>
      </c>
      <c r="CA274" s="1136">
        <f>'2022'!R\Max</f>
        <v>1.0346885244795196</v>
      </c>
      <c r="CB274" s="1136">
        <f>'2023'!R\Max</f>
        <v>1.0346885244795196</v>
      </c>
      <c r="CC274" s="1136">
        <f>'2024'!R\Max</f>
        <v>1.0346885244795196</v>
      </c>
      <c r="CD274" s="1136">
        <f>'2025'!R\Max</f>
        <v>1.0346885244795194</v>
      </c>
      <c r="CE274" s="1136">
        <f>'2026'!R\Max</f>
        <v>1.0346885244795196</v>
      </c>
      <c r="CF274" s="1137">
        <f>'2027'!R\Max</f>
        <v>1.0346885244795194</v>
      </c>
    </row>
    <row r="275" spans="1:84" s="6" customFormat="1" ht="11.25" x14ac:dyDescent="0.2">
      <c r="A275" s="11">
        <v>43361</v>
      </c>
      <c r="B275" s="380">
        <f>'2022'!Maxi_hp</f>
        <v>48.683153570955007</v>
      </c>
      <c r="C275" s="85">
        <f>'2022'!An_max</f>
        <v>2022</v>
      </c>
      <c r="D275" s="1089">
        <f t="shared" si="116"/>
        <v>1.0045005470226369</v>
      </c>
      <c r="E275" s="749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838">
        <f t="shared" si="119"/>
        <v>0.9285714285714286</v>
      </c>
      <c r="J275" s="829">
        <f t="shared" si="120"/>
        <v>48.465034404663101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838">
        <f t="shared" si="124"/>
        <v>3.5714285714285712E-2</v>
      </c>
      <c r="AT275" s="855">
        <f t="shared" si="125"/>
        <v>48.461019571178731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838">
        <f t="shared" si="129"/>
        <v>0.4642857142857143</v>
      </c>
      <c r="AY275" s="855">
        <f t="shared" si="130"/>
        <v>48.359860586641091</v>
      </c>
      <c r="AZ275" s="829">
        <f t="shared" si="134"/>
        <v>48.410440078909915</v>
      </c>
      <c r="BA275" s="662">
        <f t="shared" si="131"/>
        <v>1.0045005470226369</v>
      </c>
      <c r="BB275" s="657">
        <v>43361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926">
        <f>1+[2]!Salcycl*Ksac</f>
        <v>1.0453887971113371</v>
      </c>
      <c r="BH275" s="1082">
        <f t="shared" si="132"/>
        <v>1.7866344847945587E-3</v>
      </c>
      <c r="BI275" s="11">
        <v>44457</v>
      </c>
      <c r="BJ275" s="803">
        <v>4.5881809771725155E-4</v>
      </c>
      <c r="BK275" s="803">
        <v>8.6043717506761625E-4</v>
      </c>
      <c r="BL275" s="803">
        <v>1.2608899595386522E-3</v>
      </c>
      <c r="BM275" s="803">
        <v>1.7865822240294192E-3</v>
      </c>
      <c r="BN275" s="803">
        <v>3.1670973862812295E-3</v>
      </c>
      <c r="BO275" s="804">
        <v>6.7310089351802398E-3</v>
      </c>
      <c r="BP275" s="803">
        <v>1.4967900776010609E-2</v>
      </c>
      <c r="BQ275" s="803">
        <v>2.9571702452069599E-2</v>
      </c>
      <c r="BR275" s="803">
        <v>5.2062469842034477E-2</v>
      </c>
      <c r="BS275" s="803">
        <v>8.1065711483138139E-2</v>
      </c>
      <c r="BT275" s="803">
        <v>0.114147994158718</v>
      </c>
      <c r="BW275" s="1138">
        <f>'2018'!R\Max</f>
        <v>0.85888692972475555</v>
      </c>
      <c r="BX275" s="1136">
        <f>'2019'!R\Max</f>
        <v>0.55263494324036322</v>
      </c>
      <c r="BY275" s="1136">
        <f>'2020'!R\Max</f>
        <v>0.89752944930890033</v>
      </c>
      <c r="BZ275" s="1136">
        <f>'2021'!R\Max</f>
        <v>0.17152387224725027</v>
      </c>
      <c r="CA275" s="1136">
        <f>'2022'!R\Max</f>
        <v>1.0045005470226369</v>
      </c>
      <c r="CB275" s="1136">
        <f>'2023'!R\Max</f>
        <v>1.0045005470226371</v>
      </c>
      <c r="CC275" s="1136">
        <f>'2024'!R\Max</f>
        <v>1.0045005470226371</v>
      </c>
      <c r="CD275" s="1136">
        <f>'2025'!R\Max</f>
        <v>1.0045005470226369</v>
      </c>
      <c r="CE275" s="1136">
        <f>'2026'!R\Max</f>
        <v>1.0045005470226369</v>
      </c>
      <c r="CF275" s="1137">
        <f>'2027'!R\Max</f>
        <v>1.0045005470226371</v>
      </c>
    </row>
    <row r="276" spans="1:84" s="6" customFormat="1" ht="11.25" x14ac:dyDescent="0.2">
      <c r="A276" s="11">
        <v>43362</v>
      </c>
      <c r="B276" s="380">
        <f>'2022'!Maxi_hp</f>
        <v>48.086516498197845</v>
      </c>
      <c r="C276" s="85">
        <f>'2022'!An_max</f>
        <v>2022</v>
      </c>
      <c r="D276" s="1089">
        <f t="shared" si="116"/>
        <v>0.99592182048692468</v>
      </c>
      <c r="E276" s="749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838">
        <f t="shared" si="119"/>
        <v>0.8571428571428571</v>
      </c>
      <c r="J276" s="829">
        <f t="shared" si="120"/>
        <v>48.283424972742793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838">
        <f t="shared" si="124"/>
        <v>7.1428571428571425E-2</v>
      </c>
      <c r="AT276" s="855">
        <f t="shared" si="125"/>
        <v>48.275618804804978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838">
        <f t="shared" si="129"/>
        <v>0.42857142857142855</v>
      </c>
      <c r="AY276" s="855">
        <f t="shared" si="130"/>
        <v>48.184394226595757</v>
      </c>
      <c r="AZ276" s="829">
        <f t="shared" si="134"/>
        <v>48.230006515700367</v>
      </c>
      <c r="BA276" s="662">
        <f t="shared" si="131"/>
        <v>0.99592182048692468</v>
      </c>
      <c r="BB276" s="657">
        <v>43362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926">
        <f>1+[2]!Salcycl*Ksac</f>
        <v>1.0451503327812959</v>
      </c>
      <c r="BH276" s="1082">
        <f t="shared" si="132"/>
        <v>1.9460780967027308E-3</v>
      </c>
      <c r="BI276" s="11">
        <v>44458</v>
      </c>
      <c r="BJ276" s="803">
        <v>5.1317419339830294E-4</v>
      </c>
      <c r="BK276" s="803">
        <v>9.4046117285089199E-4</v>
      </c>
      <c r="BL276" s="803">
        <v>1.3746961760321824E-3</v>
      </c>
      <c r="BM276" s="803">
        <v>1.946023775134721E-3</v>
      </c>
      <c r="BN276" s="803">
        <v>3.3809769005842503E-3</v>
      </c>
      <c r="BO276" s="804">
        <v>7.0561509389743954E-3</v>
      </c>
      <c r="BP276" s="803">
        <v>1.5452521919194308E-2</v>
      </c>
      <c r="BQ276" s="803">
        <v>3.0253765305897361E-2</v>
      </c>
      <c r="BR276" s="803">
        <v>5.2900076368033976E-2</v>
      </c>
      <c r="BS276" s="803">
        <v>8.1936561280384804E-2</v>
      </c>
      <c r="BT276" s="803">
        <v>0.11493748315169809</v>
      </c>
      <c r="BW276" s="1138">
        <f>'2018'!R\Max</f>
        <v>0.76520196397627616</v>
      </c>
      <c r="BX276" s="1136">
        <f>'2019'!R\Max</f>
        <v>0.8723902671819469</v>
      </c>
      <c r="BY276" s="1136">
        <f>'2020'!R\Max</f>
        <v>0.41194329967092852</v>
      </c>
      <c r="BZ276" s="1136">
        <f>'2021'!R\Max</f>
        <v>0.63464357233811564</v>
      </c>
      <c r="CA276" s="1136">
        <f>'2022'!R\Max</f>
        <v>0.99592182048692468</v>
      </c>
      <c r="CB276" s="1136">
        <f>'2023'!R\Max</f>
        <v>0.99591876184743588</v>
      </c>
      <c r="CC276" s="1136">
        <f>'2024'!R\Max</f>
        <v>0.99591339760002728</v>
      </c>
      <c r="CD276" s="1136">
        <f>'2025'!R\Max</f>
        <v>0.99592805725371214</v>
      </c>
      <c r="CE276" s="1136">
        <f>'2026'!R\Max</f>
        <v>0.99592753587124605</v>
      </c>
      <c r="CF276" s="1137">
        <f>'2027'!R\Max</f>
        <v>0.99592625311363681</v>
      </c>
    </row>
    <row r="277" spans="1:84" s="6" customFormat="1" ht="11.25" x14ac:dyDescent="0.2">
      <c r="A277" s="11">
        <v>43363</v>
      </c>
      <c r="B277" s="380">
        <f>'2022'!Maxi_hp</f>
        <v>49.540571226766822</v>
      </c>
      <c r="C277" s="85">
        <f>'2022'!An_max</f>
        <v>2022</v>
      </c>
      <c r="D277" s="1089">
        <f t="shared" si="116"/>
        <v>1.029999094564813</v>
      </c>
      <c r="E277" s="749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838">
        <f t="shared" si="119"/>
        <v>0.7857142857142857</v>
      </c>
      <c r="J277" s="829">
        <f t="shared" si="120"/>
        <v>48.097684248643262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838">
        <f t="shared" si="124"/>
        <v>0.10714285714285714</v>
      </c>
      <c r="AT277" s="855">
        <f t="shared" si="125"/>
        <v>48.086298636107571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838">
        <f t="shared" si="129"/>
        <v>0.39285714285714285</v>
      </c>
      <c r="AY277" s="855">
        <f t="shared" si="130"/>
        <v>48.005855591049688</v>
      </c>
      <c r="AZ277" s="829">
        <f t="shared" si="134"/>
        <v>48.046077113578633</v>
      </c>
      <c r="BA277" s="662">
        <f t="shared" si="131"/>
        <v>1.029999094564813</v>
      </c>
      <c r="BB277" s="657">
        <v>43363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926">
        <f>1+[2]!Salcycl*Ksac</f>
        <v>1.0449018412026969</v>
      </c>
      <c r="BH277" s="1082">
        <f t="shared" si="132"/>
        <v>2.1200930810738672E-3</v>
      </c>
      <c r="BI277" s="11">
        <v>44459</v>
      </c>
      <c r="BJ277" s="803">
        <v>5.6987343790043188E-4</v>
      </c>
      <c r="BK277" s="803">
        <v>1.0244833957010395E-3</v>
      </c>
      <c r="BL277" s="803">
        <v>1.4972822397354771E-3</v>
      </c>
      <c r="BM277" s="803">
        <v>2.1200364692991187E-3</v>
      </c>
      <c r="BN277" s="803">
        <v>3.6154874676548212E-3</v>
      </c>
      <c r="BO277" s="804">
        <v>7.4073238125635203E-3</v>
      </c>
      <c r="BP277" s="803">
        <v>1.5961516227876133E-2</v>
      </c>
      <c r="BQ277" s="803">
        <v>3.0954712193351608E-2</v>
      </c>
      <c r="BR277" s="803">
        <v>5.3756729006212312E-2</v>
      </c>
      <c r="BS277" s="803">
        <v>8.2836467810124756E-2</v>
      </c>
      <c r="BT277" s="803">
        <v>0.11577376049492005</v>
      </c>
      <c r="BW277" s="1138">
        <f>'2018'!R\Max</f>
        <v>0.97326731485466234</v>
      </c>
      <c r="BX277" s="1136">
        <f>'2019'!R\Max</f>
        <v>0.97701984149973153</v>
      </c>
      <c r="BY277" s="1136">
        <f>'2020'!R\Max</f>
        <v>0.69210733094937338</v>
      </c>
      <c r="BZ277" s="1136">
        <f>'2021'!R\Max</f>
        <v>0.66462342153255027</v>
      </c>
      <c r="CA277" s="1136">
        <f>'2022'!R\Max</f>
        <v>1.029999094564813</v>
      </c>
      <c r="CB277" s="1136">
        <f>'2023'!R\Max</f>
        <v>1.029999094564813</v>
      </c>
      <c r="CC277" s="1136">
        <f>'2024'!R\Max</f>
        <v>1.029999094564813</v>
      </c>
      <c r="CD277" s="1136">
        <f>'2025'!R\Max</f>
        <v>1.029999094564813</v>
      </c>
      <c r="CE277" s="1136">
        <f>'2026'!R\Max</f>
        <v>1.029999094564813</v>
      </c>
      <c r="CF277" s="1137">
        <f>'2027'!R\Max</f>
        <v>1.0299990945648128</v>
      </c>
    </row>
    <row r="278" spans="1:84" s="6" customFormat="1" ht="11.25" x14ac:dyDescent="0.2">
      <c r="A278" s="11">
        <v>43364</v>
      </c>
      <c r="B278" s="380">
        <f>'2022'!Maxi_hp</f>
        <v>48.456509135701559</v>
      </c>
      <c r="C278" s="85">
        <f>'2022'!An_max</f>
        <v>2022</v>
      </c>
      <c r="D278" s="1089">
        <f t="shared" si="116"/>
        <v>1.0114516593581055</v>
      </c>
      <c r="E278" s="749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838">
        <f t="shared" si="119"/>
        <v>0.7142857142857143</v>
      </c>
      <c r="J278" s="829">
        <f t="shared" si="120"/>
        <v>47.907884363404342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838">
        <f t="shared" si="124"/>
        <v>0.14285714285714285</v>
      </c>
      <c r="AT278" s="855">
        <f t="shared" si="125"/>
        <v>47.89311958146947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838">
        <f t="shared" si="129"/>
        <v>0.35714285714285715</v>
      </c>
      <c r="AY278" s="855">
        <f t="shared" si="130"/>
        <v>47.824116494932341</v>
      </c>
      <c r="AZ278" s="829">
        <f t="shared" si="134"/>
        <v>47.858618038200902</v>
      </c>
      <c r="BA278" s="662">
        <f t="shared" si="131"/>
        <v>1.0114516593581055</v>
      </c>
      <c r="BB278" s="657">
        <v>43364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926">
        <f>1+[2]!Salcycl*Ksac</f>
        <v>1.0446429730824829</v>
      </c>
      <c r="BH278" s="1082">
        <f t="shared" si="132"/>
        <v>2.3086984092947388E-3</v>
      </c>
      <c r="BI278" s="11">
        <v>44460</v>
      </c>
      <c r="BJ278" s="803">
        <v>6.2891987077996823E-4</v>
      </c>
      <c r="BK278" s="803">
        <v>1.1125103222409307E-3</v>
      </c>
      <c r="BL278" s="803">
        <v>1.6286602046333201E-3</v>
      </c>
      <c r="BM278" s="803">
        <v>2.3086392776219965E-3</v>
      </c>
      <c r="BN278" s="803">
        <v>3.8706556501802007E-3</v>
      </c>
      <c r="BO278" s="804">
        <v>7.7845633500591331E-3</v>
      </c>
      <c r="BP278" s="803">
        <v>1.6494924606205323E-2</v>
      </c>
      <c r="BQ278" s="803">
        <v>3.1674587883977812E-2</v>
      </c>
      <c r="BR278" s="803">
        <v>5.4632481396886867E-2</v>
      </c>
      <c r="BS278" s="803">
        <v>8.3765499526264442E-2</v>
      </c>
      <c r="BT278" s="803">
        <v>0.11665691332733345</v>
      </c>
      <c r="BW278" s="1138">
        <f>'2018'!R\Max</f>
        <v>0.71551358279538479</v>
      </c>
      <c r="BX278" s="1136">
        <f>'2019'!R\Max</f>
        <v>0.721612701476126</v>
      </c>
      <c r="BY278" s="1136">
        <f>'2020'!R\Max</f>
        <v>0.64488291846070589</v>
      </c>
      <c r="BZ278" s="1136">
        <f>'2021'!R\Max</f>
        <v>0.29203910394097787</v>
      </c>
      <c r="CA278" s="1136">
        <f>'2022'!R\Max</f>
        <v>1.0114516593581055</v>
      </c>
      <c r="CB278" s="1136">
        <f>'2023'!R\Max</f>
        <v>1.0114516593581053</v>
      </c>
      <c r="CC278" s="1136">
        <f>'2024'!R\Max</f>
        <v>1.0114516593581055</v>
      </c>
      <c r="CD278" s="1136">
        <f>'2025'!R\Max</f>
        <v>1.0114516593581053</v>
      </c>
      <c r="CE278" s="1136">
        <f>'2026'!R\Max</f>
        <v>1.0114516593581053</v>
      </c>
      <c r="CF278" s="1137">
        <f>'2027'!R\Max</f>
        <v>1.0114516593581058</v>
      </c>
    </row>
    <row r="279" spans="1:84" s="6" customFormat="1" ht="11.25" x14ac:dyDescent="0.2">
      <c r="A279" s="11">
        <v>43365</v>
      </c>
      <c r="B279" s="380">
        <f>'2022'!Maxi_hp</f>
        <v>47.127554108694312</v>
      </c>
      <c r="C279" s="85">
        <f>'2022'!An_max</f>
        <v>2022</v>
      </c>
      <c r="D279" s="1089">
        <f t="shared" si="116"/>
        <v>0.98770712704130825</v>
      </c>
      <c r="E279" s="749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838">
        <f t="shared" si="119"/>
        <v>0.6428571428571429</v>
      </c>
      <c r="J279" s="829">
        <f t="shared" si="120"/>
        <v>47.714097446948287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838">
        <f t="shared" si="124"/>
        <v>0.17857142857142858</v>
      </c>
      <c r="AT279" s="855">
        <f t="shared" si="125"/>
        <v>47.696142157326854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838">
        <f t="shared" si="129"/>
        <v>0.32142857142857145</v>
      </c>
      <c r="AY279" s="855">
        <f t="shared" si="130"/>
        <v>47.639048757111389</v>
      </c>
      <c r="AZ279" s="829">
        <f t="shared" si="134"/>
        <v>47.667595457219122</v>
      </c>
      <c r="BA279" s="662">
        <f t="shared" si="131"/>
        <v>0.98770712704130825</v>
      </c>
      <c r="BB279" s="657">
        <v>43365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926">
        <f>1+[2]!Salcycl*Ksac</f>
        <v>1.0443733774556943</v>
      </c>
      <c r="BH279" s="1082">
        <f t="shared" si="132"/>
        <v>2.5119142844031665E-3</v>
      </c>
      <c r="BI279" s="11">
        <v>44461</v>
      </c>
      <c r="BJ279" s="803">
        <v>6.90317762258321E-4</v>
      </c>
      <c r="BK279" s="803">
        <v>1.2045488174610168E-3</v>
      </c>
      <c r="BL279" s="803">
        <v>1.7688428906603548E-3</v>
      </c>
      <c r="BM279" s="803">
        <v>2.5118524028336464E-3</v>
      </c>
      <c r="BN279" s="803">
        <v>4.1465097745449382E-3</v>
      </c>
      <c r="BO279" s="804">
        <v>8.1879077468104116E-3</v>
      </c>
      <c r="BP279" s="803">
        <v>1.7052790768344213E-2</v>
      </c>
      <c r="BQ279" s="803">
        <v>3.2413440432192679E-2</v>
      </c>
      <c r="BR279" s="803">
        <v>5.5527391667613529E-2</v>
      </c>
      <c r="BS279" s="803">
        <v>8.4723731457767973E-2</v>
      </c>
      <c r="BT279" s="803">
        <v>0.11758703808063475</v>
      </c>
      <c r="BW279" s="1138">
        <f>'2018'!R\Max</f>
        <v>0.96051768799876225</v>
      </c>
      <c r="BX279" s="1136">
        <f>'2019'!R\Max</f>
        <v>0.21175386123484879</v>
      </c>
      <c r="BY279" s="1136">
        <f>'2020'!R\Max</f>
        <v>0.61305763622449438</v>
      </c>
      <c r="BZ279" s="1136">
        <f>'2021'!R\Max</f>
        <v>0.9785245214702939</v>
      </c>
      <c r="CA279" s="1136">
        <f>'2022'!R\Max</f>
        <v>0.98770712704130825</v>
      </c>
      <c r="CB279" s="1136">
        <f>'2023'!R\Max</f>
        <v>0.9876974203436093</v>
      </c>
      <c r="CC279" s="1136">
        <f>'2024'!R\Max</f>
        <v>0.98768067093441769</v>
      </c>
      <c r="CD279" s="1136">
        <f>'2025'!R\Max</f>
        <v>0.987727423163406</v>
      </c>
      <c r="CE279" s="1136">
        <f>'2026'!R\Max</f>
        <v>0.98772563819412051</v>
      </c>
      <c r="CF279" s="1137">
        <f>'2027'!R\Max</f>
        <v>0.98772139015283478</v>
      </c>
    </row>
    <row r="280" spans="1:84" s="6" customFormat="1" ht="11.25" x14ac:dyDescent="0.2">
      <c r="A280" s="11">
        <v>43366</v>
      </c>
      <c r="B280" s="380">
        <f>'2022'!Maxi_hp</f>
        <v>46.242324699542912</v>
      </c>
      <c r="C280" s="85">
        <f>'2022'!An_max</f>
        <v>2018</v>
      </c>
      <c r="D280" s="1089">
        <f t="shared" si="116"/>
        <v>0.97318670937170504</v>
      </c>
      <c r="E280" s="749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838">
        <f t="shared" si="119"/>
        <v>0.5714285714285714</v>
      </c>
      <c r="J280" s="829">
        <f t="shared" si="120"/>
        <v>47.516395625046322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838">
        <f t="shared" si="124"/>
        <v>0.21428571428571427</v>
      </c>
      <c r="AT280" s="855">
        <f t="shared" si="125"/>
        <v>47.495426880461835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838">
        <f t="shared" si="129"/>
        <v>0.2857142857142857</v>
      </c>
      <c r="AY280" s="855">
        <f t="shared" si="130"/>
        <v>47.450524193261352</v>
      </c>
      <c r="AZ280" s="829">
        <f t="shared" si="134"/>
        <v>47.472975536861597</v>
      </c>
      <c r="BA280" s="662">
        <f t="shared" si="131"/>
        <v>0.97318670937170504</v>
      </c>
      <c r="BB280" s="657">
        <v>43366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926">
        <f>1+[2]!Salcycl*Ksac</f>
        <v>1.0440927035179295</v>
      </c>
      <c r="BH280" s="1082">
        <f t="shared" si="132"/>
        <v>2.7297767152343363E-3</v>
      </c>
      <c r="BI280" s="11">
        <v>44462</v>
      </c>
      <c r="BJ280" s="803">
        <v>7.5407563708777326E-4</v>
      </c>
      <c r="BK280" s="803">
        <v>1.3006130695938335E-3</v>
      </c>
      <c r="BL280" s="803">
        <v>1.9178541194957474E-3</v>
      </c>
      <c r="BM280" s="803">
        <v>2.7297118530960189E-3</v>
      </c>
      <c r="BN280" s="803">
        <v>4.4431036330410531E-3</v>
      </c>
      <c r="BO280" s="804">
        <v>8.6174435106052532E-3</v>
      </c>
      <c r="BP280" s="803">
        <v>1.7635255072102722E-2</v>
      </c>
      <c r="BQ280" s="803">
        <v>3.317149754793166E-2</v>
      </c>
      <c r="BR280" s="803">
        <v>5.6441822417790277E-2</v>
      </c>
      <c r="BS280" s="803">
        <v>8.5711700665182591E-2</v>
      </c>
      <c r="BT280" s="803">
        <v>0.11856487043025525</v>
      </c>
      <c r="BW280" s="1138">
        <f>'2018'!R\Max</f>
        <v>0.97318670937170504</v>
      </c>
      <c r="BX280" s="1136">
        <f>'2019'!R\Max</f>
        <v>0.8545887250691232</v>
      </c>
      <c r="BY280" s="1136">
        <f>'2020'!R\Max</f>
        <v>0.50001606986306091</v>
      </c>
      <c r="BZ280" s="1136">
        <f>'2021'!R\Max</f>
        <v>0.86418378065088641</v>
      </c>
      <c r="CA280" s="1136">
        <f>'2022'!R\Max</f>
        <v>0.65353328176865588</v>
      </c>
      <c r="CB280" s="1136">
        <f>'2023'!R\Max</f>
        <v>0.65334885489233729</v>
      </c>
      <c r="CC280" s="1136">
        <f>'2024'!R\Max</f>
        <v>0.65303257680879756</v>
      </c>
      <c r="CD280" s="1136">
        <f>'2025'!R\Max</f>
        <v>0.65392298043728825</v>
      </c>
      <c r="CE280" s="1136">
        <f>'2026'!R\Max</f>
        <v>0.65388799002367171</v>
      </c>
      <c r="CF280" s="1137">
        <f>'2027'!R\Max</f>
        <v>0.65380588297305886</v>
      </c>
    </row>
    <row r="281" spans="1:84" s="6" customFormat="1" ht="11.25" x14ac:dyDescent="0.2">
      <c r="A281" s="11">
        <v>43367</v>
      </c>
      <c r="B281" s="380">
        <f>'2022'!Maxi_hp</f>
        <v>42.341790799167022</v>
      </c>
      <c r="C281" s="85">
        <f>'2022'!An_max</f>
        <v>2021</v>
      </c>
      <c r="D281" s="1089" t="str">
        <f t="shared" si="116"/>
        <v/>
      </c>
      <c r="E281" s="749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838">
        <f t="shared" si="119"/>
        <v>0.5</v>
      </c>
      <c r="J281" s="829">
        <f t="shared" si="120"/>
        <v>47.314851029217245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838">
        <f t="shared" si="124"/>
        <v>0.25</v>
      </c>
      <c r="AT281" s="855">
        <f t="shared" si="125"/>
        <v>47.291034267935899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838">
        <f t="shared" si="129"/>
        <v>0.25</v>
      </c>
      <c r="AY281" s="855">
        <f t="shared" si="130"/>
        <v>47.258414621464908</v>
      </c>
      <c r="AZ281" s="829">
        <f t="shared" si="134"/>
        <v>47.274724444700404</v>
      </c>
      <c r="BA281" s="662">
        <f t="shared" si="131"/>
        <v>0.8948943065047521</v>
      </c>
      <c r="BB281" s="657">
        <v>43367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926">
        <f>1+[2]!Salcycl*Ksac</f>
        <v>1.0438006026255537</v>
      </c>
      <c r="BH281" s="1082">
        <f t="shared" si="132"/>
        <v>2.9623201129754186E-3</v>
      </c>
      <c r="BI281" s="11">
        <v>44463</v>
      </c>
      <c r="BJ281" s="803">
        <v>8.2020149873284257E-4</v>
      </c>
      <c r="BK281" s="803">
        <v>1.4007160905063366E-3</v>
      </c>
      <c r="BL281" s="803">
        <v>2.075716380484649E-3</v>
      </c>
      <c r="BM281" s="803">
        <v>2.9622520390146282E-3</v>
      </c>
      <c r="BN281" s="803">
        <v>4.7604870012327083E-3</v>
      </c>
      <c r="BO281" s="804">
        <v>9.0732452444197125E-3</v>
      </c>
      <c r="BP281" s="803">
        <v>1.8242425099601594E-2</v>
      </c>
      <c r="BQ281" s="803">
        <v>3.3948916245034662E-2</v>
      </c>
      <c r="BR281" s="803">
        <v>5.7376007405354201E-2</v>
      </c>
      <c r="BS281" s="803">
        <v>8.6729740685620824E-2</v>
      </c>
      <c r="BT281" s="803">
        <v>0.11959085746131154</v>
      </c>
      <c r="BW281" s="1138">
        <f>'2018'!R\Max</f>
        <v>0.72403774463940951</v>
      </c>
      <c r="BX281" s="1136">
        <f>'2019'!R\Max</f>
        <v>0.59052165819640645</v>
      </c>
      <c r="BY281" s="1136">
        <f>'2020'!R\Max</f>
        <v>0.82090622711971173</v>
      </c>
      <c r="BZ281" s="1136">
        <f>'2021'!R\Max</f>
        <v>0.8948943065047521</v>
      </c>
      <c r="CA281" s="1136">
        <f>'2022'!R\Max</f>
        <v>0.47960073663319358</v>
      </c>
      <c r="CB281" s="1136">
        <f>'2023'!R\Max</f>
        <v>0.47939368910829455</v>
      </c>
      <c r="CC281" s="1136">
        <f>'2024'!R\Max</f>
        <v>0.47904069411900124</v>
      </c>
      <c r="CD281" s="1136">
        <f>'2025'!R\Max</f>
        <v>0.48004293915675866</v>
      </c>
      <c r="CE281" s="1136">
        <f>'2026'!R\Max</f>
        <v>0.48000236431863252</v>
      </c>
      <c r="CF281" s="1137">
        <f>'2027'!R\Max</f>
        <v>0.4799085756700105</v>
      </c>
    </row>
    <row r="282" spans="1:84" s="6" customFormat="1" ht="11.25" x14ac:dyDescent="0.2">
      <c r="A282" s="11">
        <v>43368</v>
      </c>
      <c r="B282" s="380">
        <f>'2022'!Maxi_hp</f>
        <v>48.914209724554347</v>
      </c>
      <c r="C282" s="85">
        <f>'2022'!An_max</f>
        <v>2018</v>
      </c>
      <c r="D282" s="1089">
        <f t="shared" si="116"/>
        <v>1.0383080390468189</v>
      </c>
      <c r="E282" s="749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838">
        <f t="shared" si="119"/>
        <v>0.42857142857142855</v>
      </c>
      <c r="J282" s="829">
        <f t="shared" si="120"/>
        <v>47.109535788106065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838">
        <f t="shared" si="124"/>
        <v>0.2857142857142857</v>
      </c>
      <c r="AT282" s="855">
        <f t="shared" si="125"/>
        <v>47.083024836384823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838">
        <f t="shared" si="129"/>
        <v>0.21428571428571427</v>
      </c>
      <c r="AY282" s="855">
        <f t="shared" si="130"/>
        <v>47.062591857436516</v>
      </c>
      <c r="AZ282" s="829">
        <f t="shared" si="134"/>
        <v>47.072808346910669</v>
      </c>
      <c r="BA282" s="662">
        <f t="shared" si="131"/>
        <v>1.0383080390468189</v>
      </c>
      <c r="BB282" s="657">
        <v>43368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926">
        <f>1+[2]!Salcycl*Ksac</f>
        <v>1.043496730454434</v>
      </c>
      <c r="BH282" s="1082">
        <f t="shared" si="132"/>
        <v>3.2125063793356952E-3</v>
      </c>
      <c r="BI282" s="11">
        <v>44464</v>
      </c>
      <c r="BJ282" s="803">
        <v>8.9203159846294538E-4</v>
      </c>
      <c r="BK282" s="803">
        <v>1.5082023539305007E-3</v>
      </c>
      <c r="BL282" s="803">
        <v>2.2458219595879124E-3</v>
      </c>
      <c r="BM282" s="803">
        <v>3.2124348522557834E-3</v>
      </c>
      <c r="BN282" s="803">
        <v>5.1018870649591321E-3</v>
      </c>
      <c r="BO282" s="804">
        <v>9.5542189761161911E-3</v>
      </c>
      <c r="BP282" s="803">
        <v>1.8868549504288432E-2</v>
      </c>
      <c r="BQ282" s="803">
        <v>3.4730257511823029E-2</v>
      </c>
      <c r="BR282" s="803">
        <v>5.8291936769006188E-2</v>
      </c>
      <c r="BS282" s="803">
        <v>8.7715880962017587E-2</v>
      </c>
      <c r="BT282" s="803">
        <v>0.12058084560616612</v>
      </c>
      <c r="BW282" s="1138">
        <f>'2018'!R\Max</f>
        <v>1.0383080390468189</v>
      </c>
      <c r="BX282" s="1136">
        <f>'2019'!R\Max</f>
        <v>0.59046068962862408</v>
      </c>
      <c r="BY282" s="1136">
        <f>'2020'!R\Max</f>
        <v>0.48188666687963749</v>
      </c>
      <c r="BZ282" s="1136">
        <f>'2021'!R\Max</f>
        <v>0.74874450621273825</v>
      </c>
      <c r="CA282" s="1136">
        <f>'2022'!R\Max</f>
        <v>0.71081509929225317</v>
      </c>
      <c r="CB282" s="1136">
        <f>'2023'!R\Max</f>
        <v>0.71064152737300423</v>
      </c>
      <c r="CC282" s="1136">
        <f>'2024'!R\Max</f>
        <v>0.71034710692799885</v>
      </c>
      <c r="CD282" s="1136">
        <f>'2025'!R\Max</f>
        <v>0.71118953835692</v>
      </c>
      <c r="CE282" s="1136">
        <f>'2026'!R\Max</f>
        <v>0.71115439100453037</v>
      </c>
      <c r="CF282" s="1137">
        <f>'2027'!R\Max</f>
        <v>0.71107449486319496</v>
      </c>
    </row>
    <row r="283" spans="1:84" s="6" customFormat="1" ht="11.25" x14ac:dyDescent="0.2">
      <c r="A283" s="11">
        <v>43369</v>
      </c>
      <c r="B283" s="380">
        <f>'2022'!Maxi_hp</f>
        <v>47.979649608380406</v>
      </c>
      <c r="C283" s="85">
        <f>'2022'!An_max</f>
        <v>2018</v>
      </c>
      <c r="D283" s="1089">
        <f t="shared" si="116"/>
        <v>1.0230088607180976</v>
      </c>
      <c r="E283" s="749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838">
        <f t="shared" si="119"/>
        <v>0.35714285714285715</v>
      </c>
      <c r="J283" s="829">
        <f t="shared" si="120"/>
        <v>46.900522029399873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838">
        <f t="shared" si="124"/>
        <v>0.32142857142857145</v>
      </c>
      <c r="AT283" s="855">
        <f t="shared" si="125"/>
        <v>46.871459102630617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838">
        <f t="shared" si="129"/>
        <v>0.17857142857142858</v>
      </c>
      <c r="AY283" s="855">
        <f t="shared" si="130"/>
        <v>46.862927719391884</v>
      </c>
      <c r="AZ283" s="829">
        <f t="shared" si="134"/>
        <v>46.86719341101125</v>
      </c>
      <c r="BA283" s="662">
        <f t="shared" si="131"/>
        <v>1.0230088607180976</v>
      </c>
      <c r="BB283" s="657">
        <v>43369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926">
        <f>1+[2]!Salcycl*Ksac</f>
        <v>1.0431807493058287</v>
      </c>
      <c r="BH283" s="1082">
        <f t="shared" si="132"/>
        <v>3.4759523465742207E-3</v>
      </c>
      <c r="BI283" s="11">
        <v>44465</v>
      </c>
      <c r="BJ283" s="803">
        <v>9.6803488364443236E-4</v>
      </c>
      <c r="BK283" s="803">
        <v>1.6206963230103767E-3</v>
      </c>
      <c r="BL283" s="803">
        <v>2.424886349984349E-3</v>
      </c>
      <c r="BM283" s="803">
        <v>3.475877148828375E-3</v>
      </c>
      <c r="BN283" s="803">
        <v>5.4622933069222125E-3</v>
      </c>
      <c r="BO283" s="804">
        <v>1.005228909517388E-2</v>
      </c>
      <c r="BP283" s="803">
        <v>1.9506892766671672E-2</v>
      </c>
      <c r="BQ283" s="803">
        <v>3.5511207899907908E-2</v>
      </c>
      <c r="BR283" s="803">
        <v>5.9184178234073875E-2</v>
      </c>
      <c r="BS283" s="803">
        <v>8.8653520750867576E-2</v>
      </c>
      <c r="BT283" s="803">
        <v>0.12149938411075235</v>
      </c>
      <c r="BW283" s="1138">
        <f>'2018'!R\Max</f>
        <v>1.0230088607180976</v>
      </c>
      <c r="BX283" s="1136">
        <f>'2019'!R\Max</f>
        <v>0.76423647020490537</v>
      </c>
      <c r="BY283" s="1136">
        <f>'2020'!R\Max</f>
        <v>0.35812251347825497</v>
      </c>
      <c r="BZ283" s="1136">
        <f>'2021'!R\Max</f>
        <v>0.81992339089692257</v>
      </c>
      <c r="CA283" s="1136">
        <f>'2022'!R\Max</f>
        <v>0.74618427121966091</v>
      </c>
      <c r="CB283" s="1136">
        <f>'2023'!R\Max</f>
        <v>0.74602164106784064</v>
      </c>
      <c r="CC283" s="1136">
        <f>'2024'!R\Max</f>
        <v>0.74574733805960847</v>
      </c>
      <c r="CD283" s="1136">
        <f>'2025'!R\Max</f>
        <v>0.74653880098813274</v>
      </c>
      <c r="CE283" s="1136">
        <f>'2026'!R\Max</f>
        <v>0.74650469976604938</v>
      </c>
      <c r="CF283" s="1137">
        <f>'2027'!R\Max</f>
        <v>0.74642862096968199</v>
      </c>
    </row>
    <row r="284" spans="1:84" s="6" customFormat="1" ht="11.25" x14ac:dyDescent="0.2">
      <c r="A284" s="11">
        <v>43370</v>
      </c>
      <c r="B284" s="380">
        <f>'2022'!Maxi_hp</f>
        <v>46.988763169188566</v>
      </c>
      <c r="C284" s="85">
        <f>'2022'!An_max</f>
        <v>2018</v>
      </c>
      <c r="D284" s="1089">
        <f t="shared" si="116"/>
        <v>1.0064445263653861</v>
      </c>
      <c r="E284" s="749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838">
        <f t="shared" si="119"/>
        <v>0.2857142857142857</v>
      </c>
      <c r="J284" s="829">
        <f t="shared" si="120"/>
        <v>46.687881883446664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838">
        <f t="shared" si="124"/>
        <v>0.35714285714285715</v>
      </c>
      <c r="AT284" s="855">
        <f t="shared" si="125"/>
        <v>46.656397583069541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838">
        <f t="shared" si="129"/>
        <v>0.14285714285714285</v>
      </c>
      <c r="AY284" s="855">
        <f t="shared" si="130"/>
        <v>46.659294023151915</v>
      </c>
      <c r="AZ284" s="829">
        <f t="shared" si="134"/>
        <v>46.657845803110732</v>
      </c>
      <c r="BA284" s="662">
        <f t="shared" si="131"/>
        <v>1.0064445263653861</v>
      </c>
      <c r="BB284" s="657">
        <v>43370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926">
        <f>1+[2]!Salcycl*Ksac</f>
        <v>1.0428523305459694</v>
      </c>
      <c r="BH284" s="1082">
        <f t="shared" si="132"/>
        <v>3.7526831793365462E-3</v>
      </c>
      <c r="BI284" s="11">
        <v>44466</v>
      </c>
      <c r="BJ284" s="803">
        <v>1.0482190611462484E-3</v>
      </c>
      <c r="BK284" s="803">
        <v>1.7382078213144432E-3</v>
      </c>
      <c r="BL284" s="803">
        <v>2.6129265219395612E-3</v>
      </c>
      <c r="BM284" s="803">
        <v>3.7526040930195071E-3</v>
      </c>
      <c r="BN284" s="803">
        <v>5.8417403601195546E-3</v>
      </c>
      <c r="BO284" s="804">
        <v>1.0567489866842363E-2</v>
      </c>
      <c r="BP284" s="803">
        <v>2.0157479886836287E-2</v>
      </c>
      <c r="BQ284" s="803">
        <v>3.6291766728916507E-2</v>
      </c>
      <c r="BR284" s="803">
        <v>6.0052682547691118E-2</v>
      </c>
      <c r="BS284" s="803">
        <v>8.9542550426269393E-2</v>
      </c>
      <c r="BT284" s="803">
        <v>0.12234629796840601</v>
      </c>
      <c r="BW284" s="1138">
        <f>'2018'!R\Max</f>
        <v>1.0064445263653861</v>
      </c>
      <c r="BX284" s="1136">
        <f>'2019'!R\Max</f>
        <v>0.79916604783009992</v>
      </c>
      <c r="BY284" s="1136">
        <f>'2020'!R\Max</f>
        <v>0.32242203598161356</v>
      </c>
      <c r="BZ284" s="1136">
        <f>'2021'!R\Max</f>
        <v>0.55368854906254983</v>
      </c>
      <c r="CA284" s="1136">
        <f>'2022'!R\Max</f>
        <v>0.35986198978410366</v>
      </c>
      <c r="CB284" s="1136">
        <f>'2023'!R\Max</f>
        <v>0.35966105621556793</v>
      </c>
      <c r="CC284" s="1136">
        <f>'2024'!R\Max</f>
        <v>0.35932444078621795</v>
      </c>
      <c r="CD284" s="1136">
        <f>'2025'!R\Max</f>
        <v>0.36030513922346635</v>
      </c>
      <c r="CE284" s="1136">
        <f>'2026'!R\Max</f>
        <v>0.36026137870330638</v>
      </c>
      <c r="CF284" s="1137">
        <f>'2027'!R\Max</f>
        <v>0.36016574428904363</v>
      </c>
    </row>
    <row r="285" spans="1:84" s="6" customFormat="1" ht="11.25" x14ac:dyDescent="0.2">
      <c r="A285" s="11">
        <v>43371</v>
      </c>
      <c r="B285" s="380">
        <f>'2022'!Maxi_hp</f>
        <v>44.138858996476266</v>
      </c>
      <c r="C285" s="85">
        <f>'2022'!An_max</f>
        <v>2018</v>
      </c>
      <c r="D285" s="1089" t="str">
        <f t="shared" si="116"/>
        <v/>
      </c>
      <c r="E285" s="749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838">
        <f t="shared" si="119"/>
        <v>0.21428571428571427</v>
      </c>
      <c r="J285" s="829">
        <f t="shared" si="120"/>
        <v>46.47168747921075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838">
        <f t="shared" si="124"/>
        <v>0.39285714285714285</v>
      </c>
      <c r="AT285" s="855">
        <f t="shared" si="125"/>
        <v>46.437900795029215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838">
        <f t="shared" si="129"/>
        <v>0.10714285714285714</v>
      </c>
      <c r="AY285" s="855">
        <f t="shared" si="130"/>
        <v>46.45156258624047</v>
      </c>
      <c r="AZ285" s="829">
        <f t="shared" si="134"/>
        <v>46.444731690634839</v>
      </c>
      <c r="BA285" s="662">
        <f t="shared" si="131"/>
        <v>0.94980108084566361</v>
      </c>
      <c r="BB285" s="657">
        <v>43371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926">
        <f>1+[2]!Salcycl*Ksac</f>
        <v>1.0425111571638683</v>
      </c>
      <c r="BH285" s="1082">
        <f t="shared" si="132"/>
        <v>4.0427241679760369E-3</v>
      </c>
      <c r="BI285" s="11">
        <v>44467</v>
      </c>
      <c r="BJ285" s="803">
        <v>1.1325919083609776E-3</v>
      </c>
      <c r="BK285" s="803">
        <v>1.8607466616428106E-3</v>
      </c>
      <c r="BL285" s="803">
        <v>2.8099595258624533E-3</v>
      </c>
      <c r="BM285" s="803">
        <v>4.0426409748191153E-3</v>
      </c>
      <c r="BN285" s="803">
        <v>6.2402631148524802E-3</v>
      </c>
      <c r="BO285" s="804">
        <v>1.1099855008802553E-2</v>
      </c>
      <c r="BP285" s="803">
        <v>2.0820334208445521E-2</v>
      </c>
      <c r="BQ285" s="803">
        <v>3.7071929781179715E-2</v>
      </c>
      <c r="BR285" s="803">
        <v>6.089739412650521E-2</v>
      </c>
      <c r="BS285" s="803">
        <v>9.0382851384615256E-2</v>
      </c>
      <c r="BT285" s="803">
        <v>0.12312140102007375</v>
      </c>
      <c r="BW285" s="1138">
        <f>'2018'!R\Max</f>
        <v>0.94980108084566361</v>
      </c>
      <c r="BX285" s="1136">
        <f>'2019'!R\Max</f>
        <v>0.75717954194744719</v>
      </c>
      <c r="BY285" s="1136">
        <f>'2020'!R\Max</f>
        <v>0.28431956322689322</v>
      </c>
      <c r="BZ285" s="1136">
        <f>'2021'!R\Max</f>
        <v>0.58581472189344341</v>
      </c>
      <c r="CA285" s="1136">
        <f>'2022'!R\Max</f>
        <v>0.35357653146513252</v>
      </c>
      <c r="CB285" s="1136">
        <f>'2023'!R\Max</f>
        <v>0.35337410000435338</v>
      </c>
      <c r="CC285" s="1136">
        <f>'2024'!R\Max</f>
        <v>0.35303702497048312</v>
      </c>
      <c r="CD285" s="1136">
        <f>'2025'!R\Max</f>
        <v>0.35402772508635882</v>
      </c>
      <c r="CE285" s="1136">
        <f>'2026'!R\Max</f>
        <v>0.35398197050108682</v>
      </c>
      <c r="CF285" s="1137">
        <f>'2027'!R\Max</f>
        <v>0.35388413522672074</v>
      </c>
    </row>
    <row r="286" spans="1:84" s="6" customFormat="1" ht="11.25" x14ac:dyDescent="0.2">
      <c r="A286" s="11">
        <v>43372</v>
      </c>
      <c r="B286" s="380">
        <f>'2022'!Maxi_hp</f>
        <v>45.467806820564945</v>
      </c>
      <c r="C286" s="85">
        <f>'2022'!An_max</f>
        <v>2018</v>
      </c>
      <c r="D286" s="1089">
        <f t="shared" si="116"/>
        <v>0.98304497237688671</v>
      </c>
      <c r="E286" s="749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838">
        <f t="shared" si="119"/>
        <v>0.14285714285714285</v>
      </c>
      <c r="J286" s="829">
        <f t="shared" si="120"/>
        <v>46.252010943740608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838">
        <f t="shared" si="124"/>
        <v>0.42857142857142855</v>
      </c>
      <c r="AT286" s="855">
        <f t="shared" si="125"/>
        <v>46.216029254719615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838">
        <f t="shared" si="129"/>
        <v>7.1428571428571425E-2</v>
      </c>
      <c r="AY286" s="855">
        <f t="shared" si="130"/>
        <v>46.239605225223514</v>
      </c>
      <c r="AZ286" s="829">
        <f t="shared" si="134"/>
        <v>46.227817239971564</v>
      </c>
      <c r="BA286" s="662">
        <f t="shared" si="131"/>
        <v>0.98304497237688671</v>
      </c>
      <c r="BB286" s="657">
        <v>43372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926">
        <f>1+[2]!Salcycl*Ksac</f>
        <v>1.0421569264300203</v>
      </c>
      <c r="BH286" s="1082">
        <f t="shared" si="132"/>
        <v>4.3461005851813837E-3</v>
      </c>
      <c r="BI286" s="11">
        <v>44468</v>
      </c>
      <c r="BJ286" s="803">
        <v>1.221161228003012E-3</v>
      </c>
      <c r="BK286" s="803">
        <v>1.988322592040894E-3</v>
      </c>
      <c r="BL286" s="803">
        <v>3.016002395458758E-3</v>
      </c>
      <c r="BM286" s="803">
        <v>4.3460130665498344E-3</v>
      </c>
      <c r="BN286" s="803">
        <v>6.6578965131602608E-3</v>
      </c>
      <c r="BO286" s="804">
        <v>1.1649417508576261E-2</v>
      </c>
      <c r="BP286" s="803">
        <v>2.1495477292697403E-2</v>
      </c>
      <c r="BQ286" s="803">
        <v>3.7851689318607919E-2</v>
      </c>
      <c r="BR286" s="803">
        <v>6.1718251335330133E-2</v>
      </c>
      <c r="BS286" s="803">
        <v>9.1174296602185692E-2</v>
      </c>
      <c r="BT286" s="803">
        <v>0.12382449677036468</v>
      </c>
      <c r="BW286" s="1138">
        <f>'2018'!R\Max</f>
        <v>0.98304497237688671</v>
      </c>
      <c r="BX286" s="1136">
        <f>'2019'!R\Max</f>
        <v>0.95748399762176828</v>
      </c>
      <c r="BY286" s="1136">
        <f>'2020'!R\Max</f>
        <v>0.70281515449459275</v>
      </c>
      <c r="BZ286" s="1136">
        <f>'2021'!R\Max</f>
        <v>0.6284647638523071</v>
      </c>
      <c r="CA286" s="1136">
        <f>'2022'!R\Max</f>
        <v>0.512119022924586</v>
      </c>
      <c r="CB286" s="1136">
        <f>'2023'!R\Max</f>
        <v>0.5118944504903572</v>
      </c>
      <c r="CC286" s="1136">
        <f>'2024'!R\Max</f>
        <v>0.51152268087464858</v>
      </c>
      <c r="CD286" s="1136">
        <f>'2025'!R\Max</f>
        <v>0.51262463388095392</v>
      </c>
      <c r="CE286" s="1136">
        <f>'2026'!R\Max</f>
        <v>0.51257195668264544</v>
      </c>
      <c r="CF286" s="1137">
        <f>'2027'!R\Max</f>
        <v>0.51246186637823976</v>
      </c>
    </row>
    <row r="287" spans="1:84" s="6" customFormat="1" ht="11.25" x14ac:dyDescent="0.2">
      <c r="A287" s="11">
        <v>43373</v>
      </c>
      <c r="B287" s="380">
        <f>'2022'!Maxi_hp</f>
        <v>41.385817820684117</v>
      </c>
      <c r="C287" s="85">
        <f>'2022'!An_max</f>
        <v>2018</v>
      </c>
      <c r="D287" s="1089" t="str">
        <f t="shared" si="116"/>
        <v/>
      </c>
      <c r="E287" s="749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838">
        <f t="shared" si="119"/>
        <v>7.1428571428571425E-2</v>
      </c>
      <c r="J287" s="829">
        <f t="shared" si="120"/>
        <v>46.028924407597103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838">
        <f t="shared" si="124"/>
        <v>0.4642857142857143</v>
      </c>
      <c r="AT287" s="855">
        <f t="shared" si="125"/>
        <v>45.990843479029301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838">
        <f t="shared" si="129"/>
        <v>3.5714285714285712E-2</v>
      </c>
      <c r="AY287" s="855">
        <f t="shared" si="130"/>
        <v>46.02329375765153</v>
      </c>
      <c r="AZ287" s="829">
        <f t="shared" si="134"/>
        <v>46.007068618340412</v>
      </c>
      <c r="BA287" s="662">
        <f t="shared" si="131"/>
        <v>0.89912632878845555</v>
      </c>
      <c r="BB287" s="657">
        <v>43373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926">
        <f>1+[2]!Salcycl*Ksac</f>
        <v>1.0417893526369084</v>
      </c>
      <c r="BH287" s="1082">
        <f t="shared" si="132"/>
        <v>4.6628375426965608E-3</v>
      </c>
      <c r="BI287" s="11">
        <v>44469</v>
      </c>
      <c r="BJ287" s="803">
        <v>1.3139348029324257E-3</v>
      </c>
      <c r="BK287" s="803">
        <v>2.1209452418563261E-3</v>
      </c>
      <c r="BL287" s="803">
        <v>3.2310720509491236E-3</v>
      </c>
      <c r="BM287" s="803">
        <v>4.6627454795893069E-3</v>
      </c>
      <c r="BN287" s="803">
        <v>7.0946753434003619E-3</v>
      </c>
      <c r="BO287" s="804">
        <v>1.2216209441206697E-2</v>
      </c>
      <c r="BP287" s="803">
        <v>2.2182928792811547E-2</v>
      </c>
      <c r="BQ287" s="803">
        <v>3.8631034100537288E-2</v>
      </c>
      <c r="BR287" s="803">
        <v>6.2515186767422973E-2</v>
      </c>
      <c r="BS287" s="803">
        <v>9.1916751195181071E-2</v>
      </c>
      <c r="BT287" s="803">
        <v>0.12445537920694644</v>
      </c>
      <c r="BW287" s="1138">
        <f>'2018'!R\Max</f>
        <v>0.89912632878845555</v>
      </c>
      <c r="BX287" s="1136">
        <f>'2019'!R\Max</f>
        <v>0.57421330053195485</v>
      </c>
      <c r="BY287" s="1136">
        <f>'2020'!R\Max</f>
        <v>0.76429869831305752</v>
      </c>
      <c r="BZ287" s="1136">
        <f>'2021'!R\Max</f>
        <v>0.33037500534681707</v>
      </c>
      <c r="CA287" s="1136">
        <f>'2022'!R\Max</f>
        <v>0.74229857999990567</v>
      </c>
      <c r="CB287" s="1136">
        <f>'2023'!R\Max</f>
        <v>0.74212420075230967</v>
      </c>
      <c r="CC287" s="1136">
        <f>'2024'!R\Max</f>
        <v>0.74183719735956855</v>
      </c>
      <c r="CD287" s="1136">
        <f>'2025'!R\Max</f>
        <v>0.74269506797461238</v>
      </c>
      <c r="CE287" s="1136">
        <f>'2026'!R\Max</f>
        <v>0.7426526095800331</v>
      </c>
      <c r="CF287" s="1137">
        <f>'2027'!R\Max</f>
        <v>0.74256596269680686</v>
      </c>
    </row>
    <row r="288" spans="1:84" s="6" customFormat="1" ht="11.25" x14ac:dyDescent="0.2">
      <c r="A288" s="11">
        <v>43374</v>
      </c>
      <c r="B288" s="380">
        <f>'2022'!Maxi_hp</f>
        <v>43.981299080889379</v>
      </c>
      <c r="C288" s="85">
        <f>'2022'!An_max</f>
        <v>2020</v>
      </c>
      <c r="D288" s="1089" t="str">
        <f t="shared" si="116"/>
        <v/>
      </c>
      <c r="E288" s="837">
        <f>AG$13/10</f>
        <v>45.802499999999995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838">
        <f t="shared" si="119"/>
        <v>0</v>
      </c>
      <c r="J288" s="829">
        <f t="shared" si="120"/>
        <v>45.802500001341102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838">
        <f t="shared" si="124"/>
        <v>0.5</v>
      </c>
      <c r="AT288" s="855">
        <f t="shared" si="125"/>
        <v>45.762403984740374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838">
        <f t="shared" si="129"/>
        <v>0</v>
      </c>
      <c r="AY288" s="855">
        <f t="shared" si="130"/>
        <v>45.802500000223517</v>
      </c>
      <c r="AZ288" s="829">
        <f t="shared" si="134"/>
        <v>45.782451992481946</v>
      </c>
      <c r="BA288" s="662">
        <f t="shared" si="131"/>
        <v>0.96023795818135693</v>
      </c>
      <c r="BB288" s="657">
        <v>43374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926">
        <f>1+[2]!Salcycl*Ksac</f>
        <v>1.0414081699006479</v>
      </c>
      <c r="BH288" s="1082">
        <f t="shared" si="132"/>
        <v>4.9929598479901026E-3</v>
      </c>
      <c r="BI288" s="11">
        <v>44470</v>
      </c>
      <c r="BJ288" s="803">
        <v>1.4109203509646534E-3</v>
      </c>
      <c r="BK288" s="803">
        <v>2.2586240677725505E-3</v>
      </c>
      <c r="BL288" s="803">
        <v>3.455185202251966E-3</v>
      </c>
      <c r="BM288" s="803">
        <v>4.9928630210418134E-3</v>
      </c>
      <c r="BN288" s="803">
        <v>7.550634034750388E-3</v>
      </c>
      <c r="BO288" s="804">
        <v>1.2800261786799716E-2</v>
      </c>
      <c r="BP288" s="803">
        <v>2.2882706328254409E-2</v>
      </c>
      <c r="BQ288" s="803">
        <v>3.9409949401109909E-2</v>
      </c>
      <c r="BR288" s="803">
        <v>6.3288127523993792E-2</v>
      </c>
      <c r="BS288" s="803">
        <v>9.2610072978614941E-2</v>
      </c>
      <c r="BT288" s="803">
        <v>0.12501383361839047</v>
      </c>
      <c r="BW288" s="1138">
        <f>'2018'!R\Max</f>
        <v>0.68698695566027668</v>
      </c>
      <c r="BX288" s="1136">
        <f>'2019'!R\Max</f>
        <v>0.69421527286166906</v>
      </c>
      <c r="BY288" s="1136">
        <f>'2020'!R\Max</f>
        <v>0.96023795818135693</v>
      </c>
      <c r="BZ288" s="1136">
        <f>'2021'!R\Max</f>
        <v>0.72264174595670316</v>
      </c>
      <c r="CA288" s="1136">
        <f>'2022'!R\Max</f>
        <v>0.90348296993298316</v>
      </c>
      <c r="CB288" s="1136">
        <f>'2023'!R\Max</f>
        <v>0.90340240678929262</v>
      </c>
      <c r="CC288" s="1136">
        <f>'2024'!R\Max</f>
        <v>0.90327062399640912</v>
      </c>
      <c r="CD288" s="1136">
        <f>'2025'!R\Max</f>
        <v>0.90366799555523314</v>
      </c>
      <c r="CE288" s="1136">
        <f>'2026'!R\Max</f>
        <v>0.90364761868435983</v>
      </c>
      <c r="CF288" s="1137">
        <f>'2027'!R\Max</f>
        <v>0.90360704731173747</v>
      </c>
    </row>
    <row r="289" spans="1:84" s="6" customFormat="1" ht="11.25" x14ac:dyDescent="0.2">
      <c r="A289" s="11">
        <v>43375</v>
      </c>
      <c r="B289" s="380">
        <f>'2022'!Maxi_hp</f>
        <v>47.647904130278036</v>
      </c>
      <c r="C289" s="85">
        <f>'2022'!An_max</f>
        <v>2018</v>
      </c>
      <c r="D289" s="1089">
        <f t="shared" si="116"/>
        <v>1.0455493472194759</v>
      </c>
      <c r="E289" s="749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838">
        <f t="shared" si="119"/>
        <v>7.1428571428571425E-2</v>
      </c>
      <c r="J289" s="829">
        <f t="shared" si="120"/>
        <v>45.572123646762755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838">
        <f t="shared" si="124"/>
        <v>0.5357142857142857</v>
      </c>
      <c r="AT289" s="855">
        <f t="shared" si="125"/>
        <v>45.530771288754678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838">
        <f t="shared" si="129"/>
        <v>3.5714285714285712E-2</v>
      </c>
      <c r="AY289" s="855">
        <f t="shared" si="130"/>
        <v>45.576614416457183</v>
      </c>
      <c r="AZ289" s="829">
        <f t="shared" si="134"/>
        <v>45.553692852605934</v>
      </c>
      <c r="BA289" s="662">
        <f t="shared" si="131"/>
        <v>1.0455493472194759</v>
      </c>
      <c r="BB289" s="657">
        <v>43375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926">
        <f>1+[2]!Salcycl*Ksac</f>
        <v>1.0410131350016905</v>
      </c>
      <c r="BH289" s="1082">
        <f t="shared" si="132"/>
        <v>5.3364918609825991E-3</v>
      </c>
      <c r="BI289" s="11">
        <v>44471</v>
      </c>
      <c r="BJ289" s="803">
        <v>1.5121254796965362E-3</v>
      </c>
      <c r="BK289" s="803">
        <v>2.4013682998690025E-3</v>
      </c>
      <c r="BL289" s="803">
        <v>3.6883582522067109E-3</v>
      </c>
      <c r="BM289" s="803">
        <v>5.3363900504681226E-3</v>
      </c>
      <c r="BN289" s="803">
        <v>8.0258064517990026E-3</v>
      </c>
      <c r="BO289" s="804">
        <v>1.3401604248219998E-2</v>
      </c>
      <c r="BP289" s="803">
        <v>2.3594825359248988E-2</v>
      </c>
      <c r="BQ289" s="803">
        <v>4.0188417027153166E-2</v>
      </c>
      <c r="BR289" s="803">
        <v>6.4036995494527987E-2</v>
      </c>
      <c r="BS289" s="803">
        <v>9.325411302640553E-2</v>
      </c>
      <c r="BT289" s="803">
        <v>0.12549963741364234</v>
      </c>
      <c r="BW289" s="1138">
        <f>'2018'!R\Max</f>
        <v>1.0455493472194759</v>
      </c>
      <c r="BX289" s="1136">
        <f>'2019'!R\Max</f>
        <v>0.51234728185793343</v>
      </c>
      <c r="BY289" s="1136">
        <f>'2020'!R\Max</f>
        <v>0.18325412117354789</v>
      </c>
      <c r="BZ289" s="1136">
        <f>'2021'!R\Max</f>
        <v>0.92039889566499755</v>
      </c>
      <c r="CA289" s="1136">
        <f>'2022'!R\Max</f>
        <v>0.8942815625201852</v>
      </c>
      <c r="CB289" s="1136">
        <f>'2023'!R\Max</f>
        <v>0.8941931106988833</v>
      </c>
      <c r="CC289" s="1136">
        <f>'2024'!R\Max</f>
        <v>0.89404939640849668</v>
      </c>
      <c r="CD289" s="1136">
        <f>'2025'!R\Max</f>
        <v>0.89448686504800889</v>
      </c>
      <c r="CE289" s="1136">
        <f>'2026'!R\Max</f>
        <v>0.89446359738159831</v>
      </c>
      <c r="CF289" s="1137">
        <f>'2027'!R\Max</f>
        <v>0.89441843390982378</v>
      </c>
    </row>
    <row r="290" spans="1:84" s="6" customFormat="1" ht="11.25" x14ac:dyDescent="0.2">
      <c r="A290" s="11">
        <v>43376</v>
      </c>
      <c r="B290" s="380">
        <f>'2022'!Maxi_hp</f>
        <v>43.351504842538631</v>
      </c>
      <c r="C290" s="85">
        <f>'2022'!An_max</f>
        <v>2018</v>
      </c>
      <c r="D290" s="1089" t="str">
        <f t="shared" si="116"/>
        <v/>
      </c>
      <c r="E290" s="749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838">
        <f t="shared" si="119"/>
        <v>0.14285714285714285</v>
      </c>
      <c r="J290" s="829">
        <f t="shared" si="120"/>
        <v>45.337288841498754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838">
        <f t="shared" si="124"/>
        <v>0.5714285714285714</v>
      </c>
      <c r="AT290" s="855">
        <f t="shared" si="125"/>
        <v>45.296005907814411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838">
        <f t="shared" si="129"/>
        <v>7.1428571428571425E-2</v>
      </c>
      <c r="AY290" s="855">
        <f t="shared" si="130"/>
        <v>45.345276021678004</v>
      </c>
      <c r="AZ290" s="829">
        <f t="shared" si="134"/>
        <v>45.320640964746204</v>
      </c>
      <c r="BA290" s="662">
        <f t="shared" si="131"/>
        <v>0.95619976293901221</v>
      </c>
      <c r="BB290" s="657">
        <v>43376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926">
        <f>1+[2]!Salcycl*Ksac</f>
        <v>1.0406040302412958</v>
      </c>
      <c r="BH290" s="1082">
        <f t="shared" si="132"/>
        <v>5.6755287886572333E-3</v>
      </c>
      <c r="BI290" s="11">
        <v>44472</v>
      </c>
      <c r="BJ290" s="803">
        <v>1.6184079391061085E-3</v>
      </c>
      <c r="BK290" s="803">
        <v>2.547892887685818E-3</v>
      </c>
      <c r="BL290" s="803">
        <v>3.9213855671609956E-3</v>
      </c>
      <c r="BM290" s="803">
        <v>5.6754221042934474E-3</v>
      </c>
      <c r="BN290" s="803">
        <v>8.4935856231157549E-3</v>
      </c>
      <c r="BO290" s="804">
        <v>1.3988007677284331E-2</v>
      </c>
      <c r="BP290" s="803">
        <v>2.4281466866337347E-2</v>
      </c>
      <c r="BQ290" s="803">
        <v>4.0921610505261517E-2</v>
      </c>
      <c r="BR290" s="803">
        <v>6.4710917675946653E-2</v>
      </c>
      <c r="BS290" s="803">
        <v>9.385193480101435E-2</v>
      </c>
      <c r="BT290" s="803">
        <v>0.12603090563527883</v>
      </c>
      <c r="BW290" s="1138">
        <f>'2018'!R\Max</f>
        <v>0.95619976293901221</v>
      </c>
      <c r="BX290" s="1136">
        <f>'2019'!R\Max</f>
        <v>0.7684092063385336</v>
      </c>
      <c r="BY290" s="1136">
        <f>'2020'!R\Max</f>
        <v>0.11883750418964328</v>
      </c>
      <c r="BZ290" s="1136">
        <f>'2021'!R\Max</f>
        <v>0.1539651108223215</v>
      </c>
      <c r="CA290" s="1136">
        <f>'2022'!R\Max</f>
        <v>0.84037660088062383</v>
      </c>
      <c r="CB290" s="1136">
        <f>'2023'!R\Max</f>
        <v>0.84024965968228349</v>
      </c>
      <c r="CC290" s="1136">
        <f>'2024'!R\Max</f>
        <v>0.84004483302773414</v>
      </c>
      <c r="CD290" s="1136">
        <f>'2025'!R\Max</f>
        <v>0.84067426610336904</v>
      </c>
      <c r="CE290" s="1136">
        <f>'2026'!R\Max</f>
        <v>0.84063960815796734</v>
      </c>
      <c r="CF290" s="1137">
        <f>'2027'!R\Max</f>
        <v>0.84057393189756968</v>
      </c>
    </row>
    <row r="291" spans="1:84" s="6" customFormat="1" ht="11.25" x14ac:dyDescent="0.2">
      <c r="A291" s="11">
        <v>43377</v>
      </c>
      <c r="B291" s="380">
        <f>'2022'!Maxi_hp</f>
        <v>44.844605022343991</v>
      </c>
      <c r="C291" s="85">
        <f>'2022'!An_max</f>
        <v>2018</v>
      </c>
      <c r="D291" s="1089">
        <f t="shared" si="116"/>
        <v>0.994376186132363</v>
      </c>
      <c r="E291" s="749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838">
        <f t="shared" si="119"/>
        <v>0.21428571428571427</v>
      </c>
      <c r="J291" s="829">
        <f t="shared" si="120"/>
        <v>45.09822906838464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838">
        <f t="shared" si="124"/>
        <v>0.6071428571428571</v>
      </c>
      <c r="AT291" s="855">
        <f t="shared" si="125"/>
        <v>45.058168358369059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838">
        <f t="shared" si="129"/>
        <v>0.10714285714285714</v>
      </c>
      <c r="AY291" s="855">
        <f t="shared" si="130"/>
        <v>45.108729462405407</v>
      </c>
      <c r="AZ291" s="829">
        <f t="shared" si="134"/>
        <v>45.083448910387233</v>
      </c>
      <c r="BA291" s="662">
        <f t="shared" si="131"/>
        <v>0.994376186132363</v>
      </c>
      <c r="BB291" s="657">
        <v>43377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926">
        <f>1+[2]!Salcycl*Ksac</f>
        <v>1.0401806662894686</v>
      </c>
      <c r="BH291" s="1082">
        <f t="shared" si="132"/>
        <v>5.9999556655017062E-3</v>
      </c>
      <c r="BI291" s="11">
        <v>44473</v>
      </c>
      <c r="BJ291" s="803">
        <v>1.7290028934952865E-3</v>
      </c>
      <c r="BK291" s="803">
        <v>2.6966369881772836E-3</v>
      </c>
      <c r="BL291" s="803">
        <v>4.1488372852052412E-3</v>
      </c>
      <c r="BM291" s="803">
        <v>5.9998444218503843E-3</v>
      </c>
      <c r="BN291" s="803">
        <v>8.9384456257168496E-3</v>
      </c>
      <c r="BO291" s="804">
        <v>1.4541687071634639E-2</v>
      </c>
      <c r="BP291" s="803">
        <v>2.4925319908071369E-2</v>
      </c>
      <c r="BQ291" s="803">
        <v>4.1595514411857472E-2</v>
      </c>
      <c r="BR291" s="803">
        <v>6.5297063622918469E-2</v>
      </c>
      <c r="BS291" s="803">
        <v>9.4392151340003602E-2</v>
      </c>
      <c r="BT291" s="803">
        <v>0.1265977076715202</v>
      </c>
      <c r="BW291" s="1138">
        <f>'2018'!R\Max</f>
        <v>0.994376186132363</v>
      </c>
      <c r="BX291" s="1136">
        <f>'2019'!R\Max</f>
        <v>0.24634442977576079</v>
      </c>
      <c r="BY291" s="1136">
        <f>'2020'!R\Max</f>
        <v>0.38737654151728546</v>
      </c>
      <c r="BZ291" s="1136">
        <f>'2021'!R\Max</f>
        <v>0.789730378639808</v>
      </c>
      <c r="CA291" s="1136">
        <f>'2022'!R\Max</f>
        <v>0.9899259443226115</v>
      </c>
      <c r="CB291" s="1136">
        <f>'2023'!R\Max</f>
        <v>0.98991640749901444</v>
      </c>
      <c r="CC291" s="1136">
        <f>'2024'!R\Max</f>
        <v>0.98990111698971239</v>
      </c>
      <c r="CD291" s="1136">
        <f>'2025'!R\Max</f>
        <v>0.98994850236104104</v>
      </c>
      <c r="CE291" s="1136">
        <f>'2026'!R\Max</f>
        <v>0.98994581310743035</v>
      </c>
      <c r="CF291" s="1137">
        <f>'2027'!R\Max</f>
        <v>0.98994082413694195</v>
      </c>
    </row>
    <row r="292" spans="1:84" s="6" customFormat="1" ht="11.25" x14ac:dyDescent="0.2">
      <c r="A292" s="11">
        <v>43378</v>
      </c>
      <c r="B292" s="380">
        <f>'2022'!Maxi_hp</f>
        <v>44.683643039833356</v>
      </c>
      <c r="C292" s="85">
        <f>'2022'!An_max</f>
        <v>2018</v>
      </c>
      <c r="D292" s="1089">
        <f t="shared" si="116"/>
        <v>0.99617580888278223</v>
      </c>
      <c r="E292" s="749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838">
        <f t="shared" si="119"/>
        <v>0.2857142857142857</v>
      </c>
      <c r="J292" s="829">
        <f t="shared" si="120"/>
        <v>44.855177812384703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838">
        <f t="shared" si="124"/>
        <v>0.6428571428571429</v>
      </c>
      <c r="AT292" s="855">
        <f t="shared" si="125"/>
        <v>44.817319157506738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838">
        <f t="shared" si="129"/>
        <v>0.14285714285714285</v>
      </c>
      <c r="AY292" s="855">
        <f t="shared" si="130"/>
        <v>44.867219384121043</v>
      </c>
      <c r="AZ292" s="829">
        <f t="shared" si="134"/>
        <v>44.842269270813887</v>
      </c>
      <c r="BA292" s="662">
        <f t="shared" si="131"/>
        <v>0.99617580888278223</v>
      </c>
      <c r="BB292" s="657">
        <v>43378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926">
        <f>1+[2]!Salcycl*Ksac</f>
        <v>1.0397428849992889</v>
      </c>
      <c r="BH292" s="1082">
        <f t="shared" si="132"/>
        <v>6.3097521629505958E-3</v>
      </c>
      <c r="BI292" s="11">
        <v>44474</v>
      </c>
      <c r="BJ292" s="803">
        <v>1.8439174849594086E-3</v>
      </c>
      <c r="BK292" s="803">
        <v>2.8476045052337278E-3</v>
      </c>
      <c r="BL292" s="803">
        <v>4.3707061081396962E-3</v>
      </c>
      <c r="BM292" s="803">
        <v>6.3096366750506712E-3</v>
      </c>
      <c r="BN292" s="803">
        <v>9.3603535269490903E-3</v>
      </c>
      <c r="BO292" s="804">
        <v>1.5062591409521908E-2</v>
      </c>
      <c r="BP292" s="803">
        <v>2.5526309165138206E-2</v>
      </c>
      <c r="BQ292" s="803">
        <v>4.2210011093588656E-2</v>
      </c>
      <c r="BR292" s="803">
        <v>6.5795244867347988E-2</v>
      </c>
      <c r="BS292" s="803">
        <v>9.4874584914094132E-2</v>
      </c>
      <c r="BT292" s="803">
        <v>0.12719996776518336</v>
      </c>
      <c r="BW292" s="1138">
        <f>'2018'!R\Max</f>
        <v>0.99617580888278223</v>
      </c>
      <c r="BX292" s="1136">
        <f>'2019'!R\Max</f>
        <v>0.78167478563190007</v>
      </c>
      <c r="BY292" s="1136">
        <f>'2020'!R\Max</f>
        <v>0.41967803957576111</v>
      </c>
      <c r="BZ292" s="1136">
        <f>'2021'!R\Max</f>
        <v>0.27924465988951691</v>
      </c>
      <c r="CA292" s="1136">
        <f>'2022'!R\Max</f>
        <v>0.99411791627076229</v>
      </c>
      <c r="CB292" s="1136">
        <f>'2023'!R\Max</f>
        <v>0.99411227198711338</v>
      </c>
      <c r="CC292" s="1136">
        <f>'2024'!R\Max</f>
        <v>0.99410328280109839</v>
      </c>
      <c r="CD292" s="1136">
        <f>'2025'!R\Max</f>
        <v>0.99413137872873358</v>
      </c>
      <c r="CE292" s="1136">
        <f>'2026'!R\Max</f>
        <v>0.99412973916579184</v>
      </c>
      <c r="CF292" s="1137">
        <f>'2027'!R\Max</f>
        <v>0.99412675513590409</v>
      </c>
    </row>
    <row r="293" spans="1:84" s="6" customFormat="1" ht="11.25" x14ac:dyDescent="0.2">
      <c r="A293" s="11">
        <v>43379</v>
      </c>
      <c r="B293" s="380">
        <f>'2022'!Maxi_hp</f>
        <v>42.282942542755286</v>
      </c>
      <c r="C293" s="85">
        <f>'2022'!An_max</f>
        <v>2018</v>
      </c>
      <c r="D293" s="1089" t="str">
        <f t="shared" si="116"/>
        <v/>
      </c>
      <c r="E293" s="749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838">
        <f t="shared" si="119"/>
        <v>0.35714285714285715</v>
      </c>
      <c r="J293" s="829">
        <f t="shared" si="120"/>
        <v>44.608368555190303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838">
        <f t="shared" si="124"/>
        <v>0.6785714285714286</v>
      </c>
      <c r="AT293" s="855">
        <f t="shared" si="125"/>
        <v>44.573518821836579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838">
        <f t="shared" si="129"/>
        <v>0.17857142857142858</v>
      </c>
      <c r="AY293" s="855">
        <f t="shared" si="130"/>
        <v>44.62099043164136</v>
      </c>
      <c r="AZ293" s="829">
        <f t="shared" si="134"/>
        <v>44.597254626738973</v>
      </c>
      <c r="BA293" s="662">
        <f t="shared" si="131"/>
        <v>0.94787018472648343</v>
      </c>
      <c r="BB293" s="657">
        <v>43379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926">
        <f>1+[2]!Salcycl*Ksac</f>
        <v>1.0392905621619961</v>
      </c>
      <c r="BH293" s="1082">
        <f t="shared" si="132"/>
        <v>6.6048958602906932E-3</v>
      </c>
      <c r="BI293" s="11">
        <v>44475</v>
      </c>
      <c r="BJ293" s="803">
        <v>1.9631585640822609E-3</v>
      </c>
      <c r="BK293" s="803">
        <v>3.0007987886455701E-3</v>
      </c>
      <c r="BL293" s="803">
        <v>4.5869834829547736E-3</v>
      </c>
      <c r="BM293" s="803">
        <v>6.6047764436925711E-3</v>
      </c>
      <c r="BN293" s="803">
        <v>9.7592733955151542E-3</v>
      </c>
      <c r="BO293" s="804">
        <v>1.5550665752330156E-2</v>
      </c>
      <c r="BP293" s="803">
        <v>2.6084354562518869E-2</v>
      </c>
      <c r="BQ293" s="803">
        <v>4.2764977287904758E-2</v>
      </c>
      <c r="BR293" s="803">
        <v>6.6205266468848514E-2</v>
      </c>
      <c r="BS293" s="803">
        <v>9.5299052947918003E-2</v>
      </c>
      <c r="BT293" s="803">
        <v>0.12783760948419429</v>
      </c>
      <c r="BW293" s="1138">
        <f>'2018'!R\Max</f>
        <v>0.94787018472648343</v>
      </c>
      <c r="BX293" s="1136">
        <f>'2019'!R\Max</f>
        <v>0.4268730251165182</v>
      </c>
      <c r="BY293" s="1136">
        <f>'2020'!R\Max</f>
        <v>0.68418022341948848</v>
      </c>
      <c r="BZ293" s="1136">
        <f>'2021'!R\Max</f>
        <v>0.92537133952109651</v>
      </c>
      <c r="CA293" s="1136">
        <f>'2022'!R\Max</f>
        <v>0.37009340660162848</v>
      </c>
      <c r="CB293" s="1136">
        <f>'2023'!R\Max</f>
        <v>0.36986665552444981</v>
      </c>
      <c r="CC293" s="1136">
        <f>'2024'!R\Max</f>
        <v>0.36950849693096899</v>
      </c>
      <c r="CD293" s="1136">
        <f>'2025'!R\Max</f>
        <v>0.37063948991883461</v>
      </c>
      <c r="CE293" s="1136">
        <f>'2026'!R\Max</f>
        <v>0.37057161109039005</v>
      </c>
      <c r="CF293" s="1137">
        <f>'2027'!R\Max</f>
        <v>0.3704502387036106</v>
      </c>
    </row>
    <row r="294" spans="1:84" s="6" customFormat="1" ht="11.25" x14ac:dyDescent="0.2">
      <c r="A294" s="11">
        <v>43380</v>
      </c>
      <c r="B294" s="380">
        <f>'2022'!Maxi_hp</f>
        <v>44.5855001708373</v>
      </c>
      <c r="C294" s="85">
        <f>'2022'!An_max</f>
        <v>2021</v>
      </c>
      <c r="D294" s="1089">
        <f t="shared" si="116"/>
        <v>1.0051279410966996</v>
      </c>
      <c r="E294" s="749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838">
        <f t="shared" si="119"/>
        <v>0.42857142857142855</v>
      </c>
      <c r="J294" s="829">
        <f t="shared" si="120"/>
        <v>44.358034781313371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838">
        <f t="shared" si="124"/>
        <v>0.7142857142857143</v>
      </c>
      <c r="AT294" s="855">
        <f t="shared" si="125"/>
        <v>44.326827868766017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838">
        <f t="shared" si="129"/>
        <v>0.21428571428571427</v>
      </c>
      <c r="AY294" s="855">
        <f t="shared" si="130"/>
        <v>44.370287250567756</v>
      </c>
      <c r="AZ294" s="829">
        <f t="shared" si="134"/>
        <v>44.348557559666887</v>
      </c>
      <c r="BA294" s="662">
        <f t="shared" si="131"/>
        <v>1.0051279410966996</v>
      </c>
      <c r="BB294" s="657">
        <v>43380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926">
        <f>1+[2]!Salcycl*Ksac</f>
        <v>1.0388236101769062</v>
      </c>
      <c r="BH294" s="1082">
        <f t="shared" si="132"/>
        <v>6.8853624091220625E-3</v>
      </c>
      <c r="BI294" s="11">
        <v>44476</v>
      </c>
      <c r="BJ294" s="803">
        <v>2.0867326438980642E-3</v>
      </c>
      <c r="BK294" s="803">
        <v>3.1562226115468147E-3</v>
      </c>
      <c r="BL294" s="803">
        <v>4.7976596658619369E-3</v>
      </c>
      <c r="BM294" s="803">
        <v>6.8852393799184314E-3</v>
      </c>
      <c r="BN294" s="803">
        <v>1.0135166558745119E-2</v>
      </c>
      <c r="BO294" s="804">
        <v>1.6005851611205432E-2</v>
      </c>
      <c r="BP294" s="803">
        <v>2.6599371748560419E-2</v>
      </c>
      <c r="BQ294" s="803">
        <v>4.3260284785203516E-2</v>
      </c>
      <c r="BR294" s="803">
        <v>6.6526927990996174E-2</v>
      </c>
      <c r="BS294" s="803">
        <v>9.5665368667021952E-2</v>
      </c>
      <c r="BT294" s="803">
        <v>0.12851055534875705</v>
      </c>
      <c r="BW294" s="1138">
        <f>'2018'!R\Max</f>
        <v>0.24346245743266806</v>
      </c>
      <c r="BX294" s="1136">
        <f>'2019'!R\Max</f>
        <v>0.74812670391564862</v>
      </c>
      <c r="BY294" s="1136">
        <f>'2020'!R\Max</f>
        <v>0.14543980378726823</v>
      </c>
      <c r="BZ294" s="1136">
        <f>'2021'!R\Max</f>
        <v>1.0051279410966996</v>
      </c>
      <c r="CA294" s="1136">
        <f>'2022'!R\Max</f>
        <v>0.74292366124570142</v>
      </c>
      <c r="CB294" s="1136">
        <f>'2023'!R\Max</f>
        <v>0.74273648091285394</v>
      </c>
      <c r="CC294" s="1136">
        <f>'2024'!R\Max</f>
        <v>0.7424425236436375</v>
      </c>
      <c r="CD294" s="1136">
        <f>'2025'!R\Max</f>
        <v>0.7433770053278409</v>
      </c>
      <c r="CE294" s="1136">
        <f>'2026'!R\Max</f>
        <v>0.74331971941667707</v>
      </c>
      <c r="CF294" s="1137">
        <f>'2027'!R\Max</f>
        <v>0.74321883598725424</v>
      </c>
    </row>
    <row r="295" spans="1:84" s="6" customFormat="1" ht="11.25" x14ac:dyDescent="0.2">
      <c r="A295" s="11">
        <v>43381</v>
      </c>
      <c r="B295" s="380">
        <f>'2022'!Maxi_hp</f>
        <v>41.761638375375632</v>
      </c>
      <c r="C295" s="85">
        <f>'2022'!An_max</f>
        <v>2021</v>
      </c>
      <c r="D295" s="1089" t="str">
        <f t="shared" si="116"/>
        <v/>
      </c>
      <c r="E295" s="749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838">
        <f t="shared" si="119"/>
        <v>0.5</v>
      </c>
      <c r="J295" s="829">
        <f t="shared" si="120"/>
        <v>44.104409974068403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838">
        <f t="shared" si="124"/>
        <v>0.75</v>
      </c>
      <c r="AT295" s="855">
        <f t="shared" si="125"/>
        <v>44.077306813653557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838">
        <f t="shared" si="129"/>
        <v>0.25</v>
      </c>
      <c r="AY295" s="855">
        <f t="shared" si="130"/>
        <v>44.115354487532748</v>
      </c>
      <c r="AZ295" s="829">
        <f t="shared" si="134"/>
        <v>44.096330650593153</v>
      </c>
      <c r="BA295" s="662">
        <f t="shared" si="131"/>
        <v>0.94688123931211809</v>
      </c>
      <c r="BB295" s="657">
        <v>43381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926">
        <f>1+[2]!Salcycl*Ksac</f>
        <v>1.0383419806101646</v>
      </c>
      <c r="BH295" s="1082">
        <f t="shared" si="132"/>
        <v>7.1511256978804942E-3</v>
      </c>
      <c r="BI295" s="11">
        <v>44477</v>
      </c>
      <c r="BJ295" s="803">
        <v>2.2146458538717709E-3</v>
      </c>
      <c r="BK295" s="803">
        <v>3.3138781478865183E-3</v>
      </c>
      <c r="BL295" s="803">
        <v>5.0027237863672618E-3</v>
      </c>
      <c r="BM295" s="803">
        <v>7.1509993727336104E-3</v>
      </c>
      <c r="BN295" s="803">
        <v>1.0487991859958752E-2</v>
      </c>
      <c r="BO295" s="804">
        <v>1.6428087313829786E-2</v>
      </c>
      <c r="BP295" s="803">
        <v>2.7071272574292007E-2</v>
      </c>
      <c r="BQ295" s="803">
        <v>4.369580109137744E-2</v>
      </c>
      <c r="BR295" s="803">
        <v>6.6760024478205324E-2</v>
      </c>
      <c r="BS295" s="803">
        <v>9.5973341745766882E-2</v>
      </c>
      <c r="BT295" s="803">
        <v>0.12921872645972543</v>
      </c>
      <c r="BW295" s="1138">
        <f>'2018'!R\Max</f>
        <v>0.30739804003445448</v>
      </c>
      <c r="BX295" s="1136">
        <f>'2019'!R\Max</f>
        <v>0.92730165649528118</v>
      </c>
      <c r="BY295" s="1136">
        <f>'2020'!R\Max</f>
        <v>0.77347231718226028</v>
      </c>
      <c r="BZ295" s="1136">
        <f>'2021'!R\Max</f>
        <v>0.94688123931211809</v>
      </c>
      <c r="CA295" s="1136">
        <f>'2022'!R\Max</f>
        <v>0.43187574317146632</v>
      </c>
      <c r="CB295" s="1136">
        <f>'2023'!R\Max</f>
        <v>0.43163385720131153</v>
      </c>
      <c r="CC295" s="1136">
        <f>'2024'!R\Max</f>
        <v>0.43125682859515485</v>
      </c>
      <c r="CD295" s="1136">
        <f>'2025'!R\Max</f>
        <v>0.43246586859399194</v>
      </c>
      <c r="CE295" s="1136">
        <f>'2026'!R\Max</f>
        <v>0.43239008440093646</v>
      </c>
      <c r="CF295" s="1137">
        <f>'2027'!R\Max</f>
        <v>0.43225852281499627</v>
      </c>
    </row>
    <row r="296" spans="1:84" s="6" customFormat="1" ht="11.25" x14ac:dyDescent="0.2">
      <c r="A296" s="11">
        <v>43382</v>
      </c>
      <c r="B296" s="380">
        <f>'2022'!Maxi_hp</f>
        <v>41.612826498189825</v>
      </c>
      <c r="C296" s="85">
        <f>'2022'!An_max</f>
        <v>2022</v>
      </c>
      <c r="D296" s="1089" t="str">
        <f t="shared" si="116"/>
        <v/>
      </c>
      <c r="E296" s="749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838">
        <f t="shared" si="119"/>
        <v>0.5714285714285714</v>
      </c>
      <c r="J296" s="829">
        <f t="shared" si="120"/>
        <v>43.847727616557052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838">
        <f t="shared" si="124"/>
        <v>0.7857142857142857</v>
      </c>
      <c r="AT296" s="855">
        <f t="shared" si="125"/>
        <v>43.82501617419932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838">
        <f t="shared" si="129"/>
        <v>0.2857142857142857</v>
      </c>
      <c r="AY296" s="855">
        <f t="shared" si="130"/>
        <v>43.856436786055568</v>
      </c>
      <c r="AZ296" s="829">
        <f t="shared" si="134"/>
        <v>43.840726480127444</v>
      </c>
      <c r="BA296" s="662">
        <f t="shared" si="131"/>
        <v>0.949030400436913</v>
      </c>
      <c r="BB296" s="657">
        <v>43382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926">
        <f>1+[2]!Salcycl*Ksac</f>
        <v>1.0378456666165599</v>
      </c>
      <c r="BH296" s="1082">
        <f t="shared" si="132"/>
        <v>7.3903298797249059E-3</v>
      </c>
      <c r="BI296" s="11">
        <v>44478</v>
      </c>
      <c r="BJ296" s="803">
        <v>2.337787302373732E-3</v>
      </c>
      <c r="BK296" s="803">
        <v>3.4640949797597968E-3</v>
      </c>
      <c r="BL296" s="803">
        <v>5.1916291345487009E-3</v>
      </c>
      <c r="BM296" s="803">
        <v>7.3902007084332803E-3</v>
      </c>
      <c r="BN296" s="803">
        <v>1.0802376671447641E-2</v>
      </c>
      <c r="BO296" s="804">
        <v>1.6800047398405668E-2</v>
      </c>
      <c r="BP296" s="803">
        <v>2.7479017791384064E-2</v>
      </c>
      <c r="BQ296" s="803">
        <v>4.4049402592711374E-2</v>
      </c>
      <c r="BR296" s="803">
        <v>6.6936903742479584E-2</v>
      </c>
      <c r="BS296" s="803">
        <v>9.6372536862233682E-2</v>
      </c>
      <c r="BT296" s="803">
        <v>0.13028929696489014</v>
      </c>
      <c r="BW296" s="1138">
        <f>'2018'!R\Max</f>
        <v>0.83711320685961066</v>
      </c>
      <c r="BX296" s="1136">
        <f>'2019'!R\Max</f>
        <v>0.2189262741435736</v>
      </c>
      <c r="BY296" s="1136">
        <f>'2020'!R\Max</f>
        <v>0.85290662984811183</v>
      </c>
      <c r="BZ296" s="1136">
        <f>'2021'!R\Max</f>
        <v>0.35128795173739014</v>
      </c>
      <c r="CA296" s="1136">
        <f>'2022'!R\Max</f>
        <v>0.949030400436913</v>
      </c>
      <c r="CB296" s="1136">
        <f>'2023'!R\Max</f>
        <v>0.9489824585556299</v>
      </c>
      <c r="CC296" s="1136">
        <f>'2024'!R\Max</f>
        <v>0.94890811750813564</v>
      </c>
      <c r="CD296" s="1136">
        <f>'2025'!R\Max</f>
        <v>0.94914780537317522</v>
      </c>
      <c r="CE296" s="1136">
        <f>'2026'!R\Max</f>
        <v>0.94913254180136453</v>
      </c>
      <c r="CF296" s="1137">
        <f>'2027'!R\Max</f>
        <v>0.94910635100760621</v>
      </c>
    </row>
    <row r="297" spans="1:84" s="6" customFormat="1" ht="11.25" x14ac:dyDescent="0.2">
      <c r="A297" s="11">
        <v>43383</v>
      </c>
      <c r="B297" s="380">
        <f>'2022'!Maxi_hp</f>
        <v>33.955585399712518</v>
      </c>
      <c r="C297" s="85">
        <f>'2022'!An_max</f>
        <v>2022</v>
      </c>
      <c r="D297" s="1089" t="str">
        <f t="shared" si="116"/>
        <v/>
      </c>
      <c r="E297" s="749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838">
        <f t="shared" si="119"/>
        <v>0.6428571428571429</v>
      </c>
      <c r="J297" s="829">
        <f t="shared" si="120"/>
        <v>43.588221192359924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838">
        <f t="shared" si="124"/>
        <v>0.8214285714285714</v>
      </c>
      <c r="AT297" s="855">
        <f t="shared" si="125"/>
        <v>43.570016467039075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838">
        <f t="shared" si="129"/>
        <v>0.32142857142857145</v>
      </c>
      <c r="AY297" s="855">
        <f t="shared" si="130"/>
        <v>43.593778793314208</v>
      </c>
      <c r="AZ297" s="829">
        <f t="shared" si="134"/>
        <v>43.581897630176641</v>
      </c>
      <c r="BA297" s="662">
        <f t="shared" si="131"/>
        <v>0.77900828413856449</v>
      </c>
      <c r="BB297" s="657">
        <v>43383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926">
        <f>1+[2]!Salcycl*Ksac</f>
        <v>1.0373347051990596</v>
      </c>
      <c r="BH297" s="1082">
        <f t="shared" si="132"/>
        <v>7.5999702831700822E-3</v>
      </c>
      <c r="BI297" s="11">
        <v>44479</v>
      </c>
      <c r="BJ297" s="803">
        <v>2.4527934264437683E-3</v>
      </c>
      <c r="BK297" s="803">
        <v>3.6034991951834163E-3</v>
      </c>
      <c r="BL297" s="803">
        <v>5.360946221837277E-3</v>
      </c>
      <c r="BM297" s="803">
        <v>7.599838726109906E-3</v>
      </c>
      <c r="BN297" s="803">
        <v>1.1075036913306385E-2</v>
      </c>
      <c r="BO297" s="804">
        <v>1.7122784125667947E-2</v>
      </c>
      <c r="BP297" s="803">
        <v>2.7828313731131319E-2</v>
      </c>
      <c r="BQ297" s="803">
        <v>4.4336492062806765E-2</v>
      </c>
      <c r="BR297" s="803">
        <v>6.7095696100659394E-2</v>
      </c>
      <c r="BS297" s="803">
        <v>9.6925396727350829E-2</v>
      </c>
      <c r="BT297" s="803">
        <v>0.1318074228375751</v>
      </c>
      <c r="BW297" s="1138">
        <f>'2018'!R\Max</f>
        <v>0.54230049648259637</v>
      </c>
      <c r="BX297" s="1136">
        <f>'2019'!R\Max</f>
        <v>0.7299443710477006</v>
      </c>
      <c r="BY297" s="1136">
        <f>'2020'!R\Max</f>
        <v>0.59106206952240981</v>
      </c>
      <c r="BZ297" s="1136">
        <f>'2021'!R\Max</f>
        <v>0.73756552724092506</v>
      </c>
      <c r="CA297" s="1136">
        <f>'2022'!R\Max</f>
        <v>0.77900828413856449</v>
      </c>
      <c r="CB297" s="1136">
        <f>'2023'!R\Max</f>
        <v>0.77883702253379794</v>
      </c>
      <c r="CC297" s="1136">
        <f>'2024'!R\Max</f>
        <v>0.7785731899543491</v>
      </c>
      <c r="CD297" s="1136">
        <f>'2025'!R\Max</f>
        <v>0.77943000071612534</v>
      </c>
      <c r="CE297" s="1136">
        <f>'2026'!R\Max</f>
        <v>0.77937455469313277</v>
      </c>
      <c r="CF297" s="1137">
        <f>'2027'!R\Max</f>
        <v>0.77928033091015059</v>
      </c>
    </row>
    <row r="298" spans="1:84" s="6" customFormat="1" ht="11.25" x14ac:dyDescent="0.2">
      <c r="A298" s="11">
        <v>43384</v>
      </c>
      <c r="B298" s="380">
        <f>'2022'!Maxi_hp</f>
        <v>43.516621662814977</v>
      </c>
      <c r="C298" s="85">
        <f>'2022'!An_max</f>
        <v>2021</v>
      </c>
      <c r="D298" s="1089">
        <f t="shared" si="116"/>
        <v>1.0043968270975496</v>
      </c>
      <c r="E298" s="749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838">
        <f t="shared" si="119"/>
        <v>0.7142857142857143</v>
      </c>
      <c r="J298" s="829">
        <f t="shared" si="120"/>
        <v>43.326124185962335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838">
        <f t="shared" si="124"/>
        <v>0.8571428571428571</v>
      </c>
      <c r="AT298" s="855">
        <f t="shared" si="125"/>
        <v>43.31236820886177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838">
        <f t="shared" si="129"/>
        <v>0.35714285714285715</v>
      </c>
      <c r="AY298" s="855">
        <f t="shared" si="130"/>
        <v>43.327625154184972</v>
      </c>
      <c r="AZ298" s="829">
        <f t="shared" si="134"/>
        <v>43.319996681523371</v>
      </c>
      <c r="BA298" s="662">
        <f t="shared" si="131"/>
        <v>1.0043968270975496</v>
      </c>
      <c r="BB298" s="657">
        <v>43384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926">
        <f>1+[2]!Salcycl*Ksac</f>
        <v>1.0368091792814609</v>
      </c>
      <c r="BH298" s="1082">
        <f t="shared" si="132"/>
        <v>7.7799932490726694E-3</v>
      </c>
      <c r="BI298" s="11">
        <v>44480</v>
      </c>
      <c r="BJ298" s="803">
        <v>2.5596493259999772E-3</v>
      </c>
      <c r="BK298" s="803">
        <v>3.7320705508146861E-3</v>
      </c>
      <c r="BL298" s="803">
        <v>5.51063927675495E-3</v>
      </c>
      <c r="BM298" s="803">
        <v>7.7798597674743021E-3</v>
      </c>
      <c r="BN298" s="803">
        <v>1.130589636367184E-2</v>
      </c>
      <c r="BO298" s="804">
        <v>1.7396203116292818E-2</v>
      </c>
      <c r="BP298" s="803">
        <v>2.8119039921740658E-2</v>
      </c>
      <c r="BQ298" s="803">
        <v>4.4556917965726993E-2</v>
      </c>
      <c r="BR298" s="803">
        <v>6.7236300164067064E-2</v>
      </c>
      <c r="BS298" s="803">
        <v>9.7632057703156708E-2</v>
      </c>
      <c r="BT298" s="803">
        <v>0.133773666380433</v>
      </c>
      <c r="BW298" s="1138">
        <f>'2018'!R\Max</f>
        <v>0.73287050380535934</v>
      </c>
      <c r="BX298" s="1136">
        <f>'2019'!R\Max</f>
        <v>0.99168658134839716</v>
      </c>
      <c r="BY298" s="1136">
        <f>'2020'!R\Max</f>
        <v>0.52475816682521514</v>
      </c>
      <c r="BZ298" s="1136">
        <f>'2021'!R\Max</f>
        <v>1.0043968270975496</v>
      </c>
      <c r="CA298" s="1136">
        <f>'2022'!R\Max</f>
        <v>0.55858225430313813</v>
      </c>
      <c r="CB298" s="1136">
        <f>'2023'!R\Max</f>
        <v>0.55833628986239092</v>
      </c>
      <c r="CC298" s="1136">
        <f>'2024'!R\Max</f>
        <v>0.55795976456602192</v>
      </c>
      <c r="CD298" s="1136">
        <f>'2025'!R\Max</f>
        <v>0.5591910176278384</v>
      </c>
      <c r="CE298" s="1136">
        <f>'2026'!R\Max</f>
        <v>0.55911025357356081</v>
      </c>
      <c r="CF298" s="1137">
        <f>'2027'!R\Max</f>
        <v>0.55897400805294828</v>
      </c>
    </row>
    <row r="299" spans="1:84" s="6" customFormat="1" ht="11.25" x14ac:dyDescent="0.2">
      <c r="A299" s="11">
        <v>43385</v>
      </c>
      <c r="B299" s="380">
        <f>'2022'!Maxi_hp</f>
        <v>42.807452061099632</v>
      </c>
      <c r="C299" s="85">
        <f>'2022'!An_max</f>
        <v>2021</v>
      </c>
      <c r="D299" s="1089">
        <f t="shared" si="116"/>
        <v>0.99409641988741404</v>
      </c>
      <c r="E299" s="749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838">
        <f t="shared" si="119"/>
        <v>0.7857142857142857</v>
      </c>
      <c r="J299" s="829">
        <f t="shared" si="120"/>
        <v>43.061670080199839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838">
        <f t="shared" si="124"/>
        <v>0.8928571428571429</v>
      </c>
      <c r="AT299" s="855">
        <f t="shared" si="125"/>
        <v>43.052131916077016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838">
        <f t="shared" si="129"/>
        <v>0.39285714285714285</v>
      </c>
      <c r="AY299" s="855">
        <f t="shared" si="130"/>
        <v>43.058220514295883</v>
      </c>
      <c r="AZ299" s="829">
        <f t="shared" si="134"/>
        <v>43.055176215186449</v>
      </c>
      <c r="BA299" s="662">
        <f t="shared" si="131"/>
        <v>0.99409641988741404</v>
      </c>
      <c r="BB299" s="657">
        <v>43385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926">
        <f>1+[2]!Salcycl*Ksac</f>
        <v>1.0362692195704986</v>
      </c>
      <c r="BH299" s="1082">
        <f t="shared" si="132"/>
        <v>7.9303440426857653E-3</v>
      </c>
      <c r="BI299" s="11">
        <v>44481</v>
      </c>
      <c r="BJ299" s="803">
        <v>2.6583395545074231E-3</v>
      </c>
      <c r="BK299" s="803">
        <v>3.8497881367700153E-3</v>
      </c>
      <c r="BL299" s="803">
        <v>5.6406716825513235E-3</v>
      </c>
      <c r="BM299" s="803">
        <v>7.9302090986466001E-3</v>
      </c>
      <c r="BN299" s="803">
        <v>1.1494877385204045E-2</v>
      </c>
      <c r="BO299" s="804">
        <v>1.7620208325599133E-2</v>
      </c>
      <c r="BP299" s="803">
        <v>2.8351074079715679E-2</v>
      </c>
      <c r="BQ299" s="803">
        <v>4.4710527216671465E-2</v>
      </c>
      <c r="BR299" s="803">
        <v>6.7358613893973823E-2</v>
      </c>
      <c r="BS299" s="803">
        <v>9.8492654851244185E-2</v>
      </c>
      <c r="BT299" s="803">
        <v>0.13618858617040691</v>
      </c>
      <c r="BW299" s="1138">
        <f>'2018'!R\Max</f>
        <v>0.93986014637188831</v>
      </c>
      <c r="BX299" s="1136">
        <f>'2019'!R\Max</f>
        <v>0.49659546713674912</v>
      </c>
      <c r="BY299" s="1136">
        <f>'2020'!R\Max</f>
        <v>0.37799649108383315</v>
      </c>
      <c r="BZ299" s="1136">
        <f>'2021'!R\Max</f>
        <v>0.99409641988741404</v>
      </c>
      <c r="CA299" s="1136">
        <f>'2022'!R\Max</f>
        <v>0.78642249562712319</v>
      </c>
      <c r="CB299" s="1136">
        <f>'2023'!R\Max</f>
        <v>0.78625456465872368</v>
      </c>
      <c r="CC299" s="1136">
        <f>'2024'!R\Max</f>
        <v>0.78599873716711854</v>
      </c>
      <c r="CD299" s="1136">
        <f>'2025'!R\Max</f>
        <v>0.7868393683133067</v>
      </c>
      <c r="CE299" s="1136">
        <f>'2026'!R\Max</f>
        <v>0.78678373648326183</v>
      </c>
      <c r="CF299" s="1137">
        <f>'2027'!R\Max</f>
        <v>0.7866903259066379</v>
      </c>
    </row>
    <row r="300" spans="1:84" s="6" customFormat="1" ht="11.25" x14ac:dyDescent="0.2">
      <c r="A300" s="11">
        <v>43386</v>
      </c>
      <c r="B300" s="380">
        <f>'2022'!Maxi_hp</f>
        <v>41.038729599738197</v>
      </c>
      <c r="C300" s="85">
        <f>'2022'!An_max</f>
        <v>2019</v>
      </c>
      <c r="D300" s="1089" t="str">
        <f t="shared" si="116"/>
        <v/>
      </c>
      <c r="E300" s="749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838">
        <f t="shared" si="119"/>
        <v>0.8571428571428571</v>
      </c>
      <c r="J300" s="829">
        <f t="shared" si="120"/>
        <v>42.795092358120854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838">
        <f t="shared" si="124"/>
        <v>0.9285714285714286</v>
      </c>
      <c r="AT300" s="855">
        <f t="shared" si="125"/>
        <v>42.789368105892628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838">
        <f t="shared" si="129"/>
        <v>0.42857142857142855</v>
      </c>
      <c r="AY300" s="855">
        <f t="shared" si="130"/>
        <v>42.785809518875816</v>
      </c>
      <c r="AZ300" s="829">
        <f t="shared" si="134"/>
        <v>42.787588812384222</v>
      </c>
      <c r="BA300" s="662">
        <f t="shared" si="131"/>
        <v>0.95895878098159149</v>
      </c>
      <c r="BB300" s="657">
        <v>43386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926">
        <f>1+[2]!Salcycl*Ksac</f>
        <v>1.0357150061849709</v>
      </c>
      <c r="BH300" s="1082">
        <f t="shared" si="132"/>
        <v>8.0509671799251035E-3</v>
      </c>
      <c r="BI300" s="11">
        <v>44482</v>
      </c>
      <c r="BJ300" s="803">
        <v>2.7488482094173657E-3</v>
      </c>
      <c r="BK300" s="803">
        <v>3.9566304966804086E-3</v>
      </c>
      <c r="BL300" s="803">
        <v>5.7510061937312562E-3</v>
      </c>
      <c r="BM300" s="803">
        <v>8.0508312364173593E-3</v>
      </c>
      <c r="BN300" s="803">
        <v>1.1641901385301363E-2</v>
      </c>
      <c r="BO300" s="804">
        <v>1.7794702586557357E-2</v>
      </c>
      <c r="BP300" s="803">
        <v>2.8524292754387615E-2</v>
      </c>
      <c r="BQ300" s="803">
        <v>4.4797165914383812E-2</v>
      </c>
      <c r="BR300" s="803">
        <v>6.7462534802649812E-2</v>
      </c>
      <c r="BS300" s="803">
        <v>9.9507320257974083E-2</v>
      </c>
      <c r="BT300" s="803">
        <v>0.13905273217715353</v>
      </c>
      <c r="BW300" s="1138">
        <f>'2018'!R\Max</f>
        <v>0.74008628307961988</v>
      </c>
      <c r="BX300" s="1136">
        <f>'2019'!R\Max</f>
        <v>0.95895878098159149</v>
      </c>
      <c r="BY300" s="1136">
        <f>'2020'!R\Max</f>
        <v>0.60069207065367813</v>
      </c>
      <c r="BZ300" s="1136">
        <f>'2021'!R\Max</f>
        <v>0.94839016141963539</v>
      </c>
      <c r="CA300" s="1136">
        <f>'2022'!R\Max</f>
        <v>0.57239600911053612</v>
      </c>
      <c r="CB300" s="1136">
        <f>'2023'!R\Max</f>
        <v>0.57215107797370013</v>
      </c>
      <c r="CC300" s="1136">
        <f>'2024'!R\Max</f>
        <v>0.57178004109068081</v>
      </c>
      <c r="CD300" s="1136">
        <f>'2025'!R\Max</f>
        <v>0.57300645048217591</v>
      </c>
      <c r="CE300" s="1136">
        <f>'2026'!R\Max</f>
        <v>0.57292460132181955</v>
      </c>
      <c r="CF300" s="1137">
        <f>'2027'!R\Max</f>
        <v>0.57278756655539242</v>
      </c>
    </row>
    <row r="301" spans="1:84" s="6" customFormat="1" ht="11.25" x14ac:dyDescent="0.2">
      <c r="A301" s="11">
        <v>43387</v>
      </c>
      <c r="B301" s="380">
        <f>'2022'!Maxi_hp</f>
        <v>44.446308487241133</v>
      </c>
      <c r="C301" s="85">
        <f>'2022'!An_max</f>
        <v>2021</v>
      </c>
      <c r="D301" s="1089">
        <f t="shared" si="116"/>
        <v>1.0451407560811183</v>
      </c>
      <c r="E301" s="749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838">
        <f t="shared" si="119"/>
        <v>0.9285714285714286</v>
      </c>
      <c r="J301" s="829">
        <f t="shared" si="120"/>
        <v>42.52662450357208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838">
        <f t="shared" si="124"/>
        <v>0.9642857142857143</v>
      </c>
      <c r="AT301" s="855">
        <f t="shared" si="125"/>
        <v>42.524137294997594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838">
        <f t="shared" si="129"/>
        <v>0.4642857142857143</v>
      </c>
      <c r="AY301" s="855">
        <f t="shared" si="130"/>
        <v>42.510636813466306</v>
      </c>
      <c r="AZ301" s="829">
        <f t="shared" si="134"/>
        <v>42.517387054231946</v>
      </c>
      <c r="BA301" s="662">
        <f t="shared" si="131"/>
        <v>1.0451407560811183</v>
      </c>
      <c r="BB301" s="657">
        <v>43387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926">
        <f>1+[2]!Salcycl*Ksac</f>
        <v>1.0351467700308898</v>
      </c>
      <c r="BH301" s="1082">
        <f t="shared" si="132"/>
        <v>8.1418067537111227E-3</v>
      </c>
      <c r="BI301" s="11">
        <v>44483</v>
      </c>
      <c r="BJ301" s="803">
        <v>2.8311590226319139E-3</v>
      </c>
      <c r="BK301" s="803">
        <v>4.0525757477837517E-3</v>
      </c>
      <c r="BL301" s="803">
        <v>5.8416051526364353E-3</v>
      </c>
      <c r="BM301" s="803">
        <v>8.141670274584574E-3</v>
      </c>
      <c r="BN301" s="803">
        <v>1.174688927642562E-2</v>
      </c>
      <c r="BO301" s="804">
        <v>1.7919588152967011E-2</v>
      </c>
      <c r="BP301" s="803">
        <v>2.863857197271728E-2</v>
      </c>
      <c r="BQ301" s="803">
        <v>4.4816680073987453E-2</v>
      </c>
      <c r="BR301" s="803">
        <v>6.7547960155057526E-2</v>
      </c>
      <c r="BS301" s="803">
        <v>0.1006761813606281</v>
      </c>
      <c r="BT301" s="803">
        <v>0.14236664088276332</v>
      </c>
      <c r="BW301" s="1138">
        <f>'2018'!R\Max</f>
        <v>0.83299235888553802</v>
      </c>
      <c r="BX301" s="1136">
        <f>'2019'!R\Max</f>
        <v>0.28534816635905613</v>
      </c>
      <c r="BY301" s="1136">
        <f>'2020'!R\Max</f>
        <v>0.50201999326071634</v>
      </c>
      <c r="BZ301" s="1136">
        <f>'2021'!R\Max</f>
        <v>1.0451407560811183</v>
      </c>
      <c r="CA301" s="1136">
        <f>'2022'!R\Max</f>
        <v>0.43014979787504387</v>
      </c>
      <c r="CB301" s="1136">
        <f>'2023'!R\Max</f>
        <v>0.42990449952374415</v>
      </c>
      <c r="CC301" s="1136">
        <f>'2024'!R\Max</f>
        <v>0.4295348017027571</v>
      </c>
      <c r="CD301" s="1136">
        <f>'2025'!R\Max</f>
        <v>0.43076311180799393</v>
      </c>
      <c r="CE301" s="1136">
        <f>'2026'!R\Max</f>
        <v>0.43068066938153893</v>
      </c>
      <c r="CF301" s="1137">
        <f>'2027'!R\Max</f>
        <v>0.43054273892952111</v>
      </c>
    </row>
    <row r="302" spans="1:84" s="6" customFormat="1" ht="11.25" x14ac:dyDescent="0.2">
      <c r="A302" s="11">
        <v>43388</v>
      </c>
      <c r="B302" s="380">
        <f>'2022'!Maxi_hp</f>
        <v>40.917116605876139</v>
      </c>
      <c r="C302" s="85">
        <f>'2022'!An_max</f>
        <v>2022</v>
      </c>
      <c r="D302" s="1089" t="str">
        <f t="shared" si="116"/>
        <v/>
      </c>
      <c r="E302" s="837">
        <f>AH$13/10</f>
        <v>42.256500000000003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838">
        <f t="shared" si="119"/>
        <v>1</v>
      </c>
      <c r="J302" s="829">
        <f t="shared" si="120"/>
        <v>42.25650000013411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838">
        <f t="shared" si="124"/>
        <v>1</v>
      </c>
      <c r="AT302" s="855">
        <f t="shared" si="125"/>
        <v>42.25650000013411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838">
        <f t="shared" si="129"/>
        <v>0.5</v>
      </c>
      <c r="AY302" s="855">
        <f t="shared" si="130"/>
        <v>42.232947044074535</v>
      </c>
      <c r="AZ302" s="829">
        <f t="shared" si="134"/>
        <v>42.244723522104323</v>
      </c>
      <c r="BA302" s="662">
        <f t="shared" si="131"/>
        <v>0.96830349427298235</v>
      </c>
      <c r="BB302" s="657">
        <v>43388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926">
        <f>1+[2]!Salcycl*Ksac</f>
        <v>1.0345647939033349</v>
      </c>
      <c r="BH302" s="1082">
        <f t="shared" si="132"/>
        <v>8.2028067602335029E-3</v>
      </c>
      <c r="BI302" s="11">
        <v>44484</v>
      </c>
      <c r="BJ302" s="803">
        <v>2.9052554509430826E-3</v>
      </c>
      <c r="BK302" s="803">
        <v>4.1376017009798587E-3</v>
      </c>
      <c r="BL302" s="803">
        <v>5.912430705971969E-3</v>
      </c>
      <c r="BM302" s="803">
        <v>8.2026702102131269E-3</v>
      </c>
      <c r="BN302" s="803">
        <v>1.1809761936314582E-2</v>
      </c>
      <c r="BO302" s="804">
        <v>1.7994767242461015E-2</v>
      </c>
      <c r="BP302" s="803">
        <v>2.8693787883817545E-2</v>
      </c>
      <c r="BQ302" s="803">
        <v>4.4768916359378887E-2</v>
      </c>
      <c r="BR302" s="803">
        <v>6.7614787169878662E-2</v>
      </c>
      <c r="BS302" s="803">
        <v>0.1019993592725945</v>
      </c>
      <c r="BT302" s="803">
        <v>0.14613083040015587</v>
      </c>
      <c r="BW302" s="1138">
        <f>'2018'!R\Max</f>
        <v>0.28393004642440545</v>
      </c>
      <c r="BX302" s="1136">
        <f>'2019'!R\Max</f>
        <v>0.74310919382532747</v>
      </c>
      <c r="BY302" s="1136">
        <f>'2020'!R\Max</f>
        <v>0.37852861657454934</v>
      </c>
      <c r="BZ302" s="1136">
        <f>'2021'!R\Max</f>
        <v>0.88739216735312387</v>
      </c>
      <c r="CA302" s="1136">
        <f>'2022'!R\Max</f>
        <v>0.96830349427298235</v>
      </c>
      <c r="CB302" s="1136">
        <f>'2023'!R\Max</f>
        <v>0.96827278789636817</v>
      </c>
      <c r="CC302" s="1136">
        <f>'2024'!R\Max</f>
        <v>0.96822665178939504</v>
      </c>
      <c r="CD302" s="1136">
        <f>'2025'!R\Max</f>
        <v>0.96838029088650757</v>
      </c>
      <c r="CE302" s="1136">
        <f>'2026'!R\Max</f>
        <v>0.96836997767354027</v>
      </c>
      <c r="CF302" s="1137">
        <f>'2027'!R\Max</f>
        <v>0.9683526885102075</v>
      </c>
    </row>
    <row r="303" spans="1:84" s="6" customFormat="1" ht="11.25" x14ac:dyDescent="0.2">
      <c r="A303" s="11">
        <v>43389</v>
      </c>
      <c r="B303" s="380">
        <f>'2022'!Maxi_hp</f>
        <v>39.359495276629886</v>
      </c>
      <c r="C303" s="85">
        <f>'2022'!An_max</f>
        <v>2021</v>
      </c>
      <c r="D303" s="1089" t="str">
        <f t="shared" si="116"/>
        <v/>
      </c>
      <c r="E303" s="749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838">
        <f t="shared" si="119"/>
        <v>0.9285714285714286</v>
      </c>
      <c r="J303" s="829">
        <f t="shared" si="120"/>
        <v>41.984601949181936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838">
        <f t="shared" si="124"/>
        <v>0.9642857142857143</v>
      </c>
      <c r="AT303" s="855">
        <f t="shared" si="125"/>
        <v>41.983488166079454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838">
        <f t="shared" si="129"/>
        <v>0.5357142857142857</v>
      </c>
      <c r="AY303" s="855">
        <f t="shared" si="130"/>
        <v>41.952984855882825</v>
      </c>
      <c r="AZ303" s="829">
        <f t="shared" si="134"/>
        <v>41.968236510981143</v>
      </c>
      <c r="BA303" s="662">
        <f t="shared" si="131"/>
        <v>0.93747453707601003</v>
      </c>
      <c r="BB303" s="657">
        <v>43389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926">
        <f>1+[2]!Salcycl*Ksac</f>
        <v>1.0339694132975772</v>
      </c>
      <c r="BH303" s="1082">
        <f t="shared" si="132"/>
        <v>8.2339114252448602E-3</v>
      </c>
      <c r="BI303" s="11">
        <v>44485</v>
      </c>
      <c r="BJ303" s="803">
        <v>2.9711207664813574E-3</v>
      </c>
      <c r="BK303" s="803">
        <v>4.2116859808994126E-3</v>
      </c>
      <c r="BL303" s="803">
        <v>5.9634450213536293E-3</v>
      </c>
      <c r="BM303" s="803">
        <v>8.2337752699234226E-3</v>
      </c>
      <c r="BN303" s="803">
        <v>1.183044066823693E-2</v>
      </c>
      <c r="BO303" s="804">
        <v>1.8020142579575654E-2</v>
      </c>
      <c r="BP303" s="803">
        <v>2.8689817403582285E-2</v>
      </c>
      <c r="BQ303" s="803">
        <v>4.465372281579022E-2</v>
      </c>
      <c r="BR303" s="803">
        <v>6.7662913220797039E-2</v>
      </c>
      <c r="BS303" s="803">
        <v>0.10347696710892433</v>
      </c>
      <c r="BT303" s="803">
        <v>0.15034579559198011</v>
      </c>
      <c r="BW303" s="1138">
        <f>'2018'!R\Max</f>
        <v>0.62034648151733207</v>
      </c>
      <c r="BX303" s="1136">
        <f>'2019'!R\Max</f>
        <v>0.85384744748904307</v>
      </c>
      <c r="BY303" s="1136">
        <f>'2020'!R\Max</f>
        <v>0.40777989618327548</v>
      </c>
      <c r="BZ303" s="1136">
        <f>'2021'!R\Max</f>
        <v>0.93747453707601003</v>
      </c>
      <c r="CA303" s="1136">
        <f>'2022'!R\Max</f>
        <v>0.87976409320550009</v>
      </c>
      <c r="CB303" s="1136">
        <f>'2023'!R\Max</f>
        <v>0.8796584573650077</v>
      </c>
      <c r="CC303" s="1136">
        <f>'2024'!R\Max</f>
        <v>0.87950042737286871</v>
      </c>
      <c r="CD303" s="1136">
        <f>'2025'!R\Max</f>
        <v>0.88002880816141993</v>
      </c>
      <c r="CE303" s="1136">
        <f>'2026'!R\Max</f>
        <v>0.87999331613626319</v>
      </c>
      <c r="CF303" s="1137">
        <f>'2027'!R\Max</f>
        <v>0.87993360555029687</v>
      </c>
    </row>
    <row r="304" spans="1:84" s="6" customFormat="1" ht="11.25" x14ac:dyDescent="0.2">
      <c r="A304" s="11">
        <v>43390</v>
      </c>
      <c r="B304" s="380">
        <f>'2022'!Maxi_hp</f>
        <v>39.909622414686694</v>
      </c>
      <c r="C304" s="85">
        <f>'2022'!An_max</f>
        <v>2021</v>
      </c>
      <c r="D304" s="1089" t="str">
        <f t="shared" si="116"/>
        <v/>
      </c>
      <c r="E304" s="749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838">
        <f t="shared" si="119"/>
        <v>0.8571428571428571</v>
      </c>
      <c r="J304" s="829">
        <f t="shared" si="120"/>
        <v>41.710586005236422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838">
        <f t="shared" si="124"/>
        <v>0.9285714285714286</v>
      </c>
      <c r="AT304" s="855">
        <f t="shared" si="125"/>
        <v>41.702498737403332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838">
        <f t="shared" si="129"/>
        <v>0.5714285714285714</v>
      </c>
      <c r="AY304" s="855">
        <f t="shared" si="130"/>
        <v>41.670994894312962</v>
      </c>
      <c r="AZ304" s="829">
        <f t="shared" si="134"/>
        <v>41.686746815858143</v>
      </c>
      <c r="BA304" s="662">
        <f t="shared" si="131"/>
        <v>0.9568223858009659</v>
      </c>
      <c r="BB304" s="657">
        <v>43390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926">
        <f>1+[2]!Salcycl*Ksac</f>
        <v>1.0333610169141274</v>
      </c>
      <c r="BH304" s="1082">
        <f t="shared" si="132"/>
        <v>8.2348571704497792E-3</v>
      </c>
      <c r="BI304" s="11">
        <v>44486</v>
      </c>
      <c r="BJ304" s="803">
        <v>3.025617270541845E-3</v>
      </c>
      <c r="BK304" s="803">
        <v>4.2713654703555731E-3</v>
      </c>
      <c r="BL304" s="803">
        <v>5.9930724747399656E-3</v>
      </c>
      <c r="BM304" s="803">
        <v>8.2347218357349174E-3</v>
      </c>
      <c r="BN304" s="803">
        <v>1.180971017254445E-2</v>
      </c>
      <c r="BO304" s="804">
        <v>1.7994616085637554E-2</v>
      </c>
      <c r="BP304" s="803">
        <v>2.8623523598750134E-2</v>
      </c>
      <c r="BQ304" s="803">
        <v>4.4487774174056437E-2</v>
      </c>
      <c r="BR304" s="803">
        <v>6.7808408832589304E-2</v>
      </c>
      <c r="BS304" s="803">
        <v>0.1052666047331597</v>
      </c>
      <c r="BT304" s="803">
        <v>0.15513055868615705</v>
      </c>
      <c r="BW304" s="1138">
        <f>'2018'!R\Max</f>
        <v>0.56287395255585071</v>
      </c>
      <c r="BX304" s="1136">
        <f>'2019'!R\Max</f>
        <v>0.49438069591895578</v>
      </c>
      <c r="BY304" s="1136">
        <f>'2020'!R\Max</f>
        <v>0.25895105978790145</v>
      </c>
      <c r="BZ304" s="1136">
        <f>'2021'!R\Max</f>
        <v>0.9568223858009659</v>
      </c>
      <c r="CA304" s="1136">
        <f>'2022'!R\Max</f>
        <v>0.59596957272069373</v>
      </c>
      <c r="CB304" s="1136">
        <f>'2023'!R\Max</f>
        <v>0.59572986930088423</v>
      </c>
      <c r="CC304" s="1136">
        <f>'2024'!R\Max</f>
        <v>0.59537237420336031</v>
      </c>
      <c r="CD304" s="1136">
        <f>'2025'!R\Max</f>
        <v>0.59657154276174507</v>
      </c>
      <c r="CE304" s="1136">
        <f>'2026'!R\Max</f>
        <v>0.59649105480349129</v>
      </c>
      <c r="CF304" s="1137">
        <f>'2027'!R\Max</f>
        <v>0.59635497502296697</v>
      </c>
    </row>
    <row r="305" spans="1:84" s="6" customFormat="1" ht="11.25" x14ac:dyDescent="0.2">
      <c r="A305" s="11">
        <v>43391</v>
      </c>
      <c r="B305" s="380">
        <f>'2022'!Maxi_hp</f>
        <v>40.636688636439388</v>
      </c>
      <c r="C305" s="85">
        <f>'2022'!An_max</f>
        <v>2020</v>
      </c>
      <c r="D305" s="1089">
        <f t="shared" si="116"/>
        <v>0.98074892092461274</v>
      </c>
      <c r="E305" s="749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838">
        <f t="shared" si="119"/>
        <v>0.7857142857142857</v>
      </c>
      <c r="J305" s="829">
        <f t="shared" si="120"/>
        <v>41.434344478430489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838">
        <f t="shared" si="124"/>
        <v>0.8928571428571429</v>
      </c>
      <c r="AT305" s="855">
        <f t="shared" si="125"/>
        <v>41.41413973032364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838">
        <f t="shared" si="129"/>
        <v>0.6071428571428571</v>
      </c>
      <c r="AY305" s="855">
        <f t="shared" si="130"/>
        <v>41.38722180470026</v>
      </c>
      <c r="AZ305" s="829">
        <f t="shared" si="134"/>
        <v>41.40068076751195</v>
      </c>
      <c r="BA305" s="662">
        <f t="shared" si="131"/>
        <v>0.98074892092461274</v>
      </c>
      <c r="BB305" s="657">
        <v>43391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926">
        <f>1+[2]!Salcycl*Ksac</f>
        <v>1.0327400468446191</v>
      </c>
      <c r="BH305" s="1082">
        <f t="shared" si="132"/>
        <v>8.2236562425359819E-3</v>
      </c>
      <c r="BI305" s="11">
        <v>44487</v>
      </c>
      <c r="BJ305" s="803">
        <v>3.0678666000202828E-3</v>
      </c>
      <c r="BK305" s="803">
        <v>4.3179166076925202E-3</v>
      </c>
      <c r="BL305" s="803">
        <v>6.0105664043246841E-3</v>
      </c>
      <c r="BM305" s="803">
        <v>8.2235218227725889E-3</v>
      </c>
      <c r="BN305" s="803">
        <v>1.1774340892799823E-2</v>
      </c>
      <c r="BO305" s="804">
        <v>1.7950597909259514E-2</v>
      </c>
      <c r="BP305" s="803">
        <v>2.8532906432703189E-2</v>
      </c>
      <c r="BQ305" s="803">
        <v>4.4316099198390156E-2</v>
      </c>
      <c r="BR305" s="803">
        <v>6.8102528302131538E-2</v>
      </c>
      <c r="BS305" s="803">
        <v>0.10736535695102423</v>
      </c>
      <c r="BT305" s="803">
        <v>0.1603664733180484</v>
      </c>
      <c r="BW305" s="1138">
        <f>'2018'!R\Max</f>
        <v>0.26148511510776073</v>
      </c>
      <c r="BX305" s="1136">
        <f>'2019'!R\Max</f>
        <v>0.38922588688156606</v>
      </c>
      <c r="BY305" s="1136">
        <f>'2020'!R\Max</f>
        <v>0.98074892092461274</v>
      </c>
      <c r="BZ305" s="1136">
        <f>'2021'!R\Max</f>
        <v>0.90488492305084489</v>
      </c>
      <c r="CA305" s="1136">
        <f>'2022'!R\Max</f>
        <v>0.91907840024585974</v>
      </c>
      <c r="CB305" s="1136">
        <f>'2023'!R\Max</f>
        <v>0.91900459755258723</v>
      </c>
      <c r="CC305" s="1136">
        <f>'2024'!R\Max</f>
        <v>0.91889451293129032</v>
      </c>
      <c r="CD305" s="1136">
        <f>'2025'!R\Max</f>
        <v>0.91926373817081786</v>
      </c>
      <c r="CE305" s="1136">
        <f>'2026'!R\Max</f>
        <v>0.91923906071021255</v>
      </c>
      <c r="CF305" s="1137">
        <f>'2027'!R\Max</f>
        <v>0.91919710516352182</v>
      </c>
    </row>
    <row r="306" spans="1:84" s="6" customFormat="1" ht="11.25" x14ac:dyDescent="0.2">
      <c r="A306" s="11">
        <v>43392</v>
      </c>
      <c r="B306" s="380">
        <f>'2022'!Maxi_hp</f>
        <v>39.555235344496339</v>
      </c>
      <c r="C306" s="85">
        <f>'2022'!An_max</f>
        <v>2020</v>
      </c>
      <c r="D306" s="1089" t="str">
        <f t="shared" si="116"/>
        <v/>
      </c>
      <c r="E306" s="749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838">
        <f t="shared" si="119"/>
        <v>0.7142857142857143</v>
      </c>
      <c r="J306" s="829">
        <f t="shared" si="120"/>
        <v>41.155769678897094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838">
        <f t="shared" si="124"/>
        <v>0.8571428571428571</v>
      </c>
      <c r="AT306" s="855">
        <f t="shared" si="125"/>
        <v>41.119019162016258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838">
        <f t="shared" si="129"/>
        <v>0.6428571428571429</v>
      </c>
      <c r="AY306" s="855">
        <f t="shared" si="130"/>
        <v>41.101910233337968</v>
      </c>
      <c r="AZ306" s="829">
        <f t="shared" si="134"/>
        <v>41.110464697677116</v>
      </c>
      <c r="BA306" s="662">
        <f t="shared" si="131"/>
        <v>0.96111032919835193</v>
      </c>
      <c r="BB306" s="657">
        <v>43392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926">
        <f>1+[2]!Salcycl*Ksac</f>
        <v>1.0321069984278735</v>
      </c>
      <c r="BH306" s="1082">
        <f t="shared" si="132"/>
        <v>8.200281882604462E-3</v>
      </c>
      <c r="BI306" s="11">
        <v>44488</v>
      </c>
      <c r="BJ306" s="803">
        <v>3.0978462102553127E-3</v>
      </c>
      <c r="BK306" s="803">
        <v>4.3513140984148832E-3</v>
      </c>
      <c r="BL306" s="803">
        <v>6.0159018209561864E-3</v>
      </c>
      <c r="BM306" s="803">
        <v>8.200148472402918E-3</v>
      </c>
      <c r="BN306" s="803">
        <v>1.1724299057254162E-2</v>
      </c>
      <c r="BO306" s="804">
        <v>1.7888042085331107E-2</v>
      </c>
      <c r="BP306" s="803">
        <v>2.841790088493527E-2</v>
      </c>
      <c r="BQ306" s="803">
        <v>4.4138645606663529E-2</v>
      </c>
      <c r="BR306" s="803">
        <v>6.8545415253433092E-2</v>
      </c>
      <c r="BS306" s="803">
        <v>0.1097735271870199</v>
      </c>
      <c r="BT306" s="803">
        <v>0.16605393173799463</v>
      </c>
      <c r="BW306" s="1138">
        <f>'2018'!R\Max</f>
        <v>0.62001804288008999</v>
      </c>
      <c r="BX306" s="1136">
        <f>'2019'!R\Max</f>
        <v>0.80768746882684073</v>
      </c>
      <c r="BY306" s="1136">
        <f>'2020'!R\Max</f>
        <v>0.96111032919835193</v>
      </c>
      <c r="BZ306" s="1136">
        <f>'2021'!R\Max</f>
        <v>0.88666053377500043</v>
      </c>
      <c r="CA306" s="1136">
        <f>'2022'!R\Max</f>
        <v>0.39339532812083822</v>
      </c>
      <c r="CB306" s="1136">
        <f>'2023'!R\Max</f>
        <v>0.39315962010044181</v>
      </c>
      <c r="CC306" s="1136">
        <f>'2024'!R\Max</f>
        <v>0.39280811903689444</v>
      </c>
      <c r="CD306" s="1136">
        <f>'2025'!R\Max</f>
        <v>0.3939889650291985</v>
      </c>
      <c r="CE306" s="1136">
        <f>'2026'!R\Max</f>
        <v>0.39391011963115352</v>
      </c>
      <c r="CF306" s="1137">
        <f>'2027'!R\Max</f>
        <v>0.39377540532969874</v>
      </c>
    </row>
    <row r="307" spans="1:84" s="6" customFormat="1" ht="11.25" x14ac:dyDescent="0.2">
      <c r="A307" s="11">
        <v>43393</v>
      </c>
      <c r="B307" s="380">
        <f>'2022'!Maxi_hp</f>
        <v>32.753589060137877</v>
      </c>
      <c r="C307" s="85">
        <f>'2022'!An_max</f>
        <v>2020</v>
      </c>
      <c r="D307" s="1089" t="str">
        <f t="shared" si="116"/>
        <v/>
      </c>
      <c r="E307" s="749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838">
        <f t="shared" si="119"/>
        <v>0.6428571428571429</v>
      </c>
      <c r="J307" s="829">
        <f t="shared" si="120"/>
        <v>40.87475391700864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838">
        <f t="shared" si="124"/>
        <v>0.8214285714285714</v>
      </c>
      <c r="AT307" s="855">
        <f t="shared" si="125"/>
        <v>40.817745048273352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838">
        <f t="shared" si="129"/>
        <v>0.6785714285714286</v>
      </c>
      <c r="AY307" s="855">
        <f t="shared" si="130"/>
        <v>40.815304824536938</v>
      </c>
      <c r="AZ307" s="829">
        <f t="shared" si="134"/>
        <v>40.816524936405145</v>
      </c>
      <c r="BA307" s="662">
        <f t="shared" si="131"/>
        <v>0.80131587156806305</v>
      </c>
      <c r="BB307" s="657">
        <v>43393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926">
        <f>1+[2]!Salcycl*Ksac</f>
        <v>1.031462419768042</v>
      </c>
      <c r="BH307" s="1082">
        <f t="shared" si="132"/>
        <v>8.1647079600923097E-3</v>
      </c>
      <c r="BI307" s="11">
        <v>44489</v>
      </c>
      <c r="BJ307" s="803">
        <v>3.1155339494800434E-3</v>
      </c>
      <c r="BK307" s="803">
        <v>4.3715330656612659E-3</v>
      </c>
      <c r="BL307" s="803">
        <v>6.0090542353334582E-3</v>
      </c>
      <c r="BM307" s="803">
        <v>8.1645756543199024E-3</v>
      </c>
      <c r="BN307" s="803">
        <v>1.1659551749199309E-2</v>
      </c>
      <c r="BO307" s="804">
        <v>1.7806903731701827E-2</v>
      </c>
      <c r="BP307" s="803">
        <v>2.8278443509687889E-2</v>
      </c>
      <c r="BQ307" s="803">
        <v>4.3955362205807098E-2</v>
      </c>
      <c r="BR307" s="803">
        <v>6.9137205258626225E-2</v>
      </c>
      <c r="BS307" s="803">
        <v>0.11249139564178801</v>
      </c>
      <c r="BT307" s="803">
        <v>0.17219328293688793</v>
      </c>
      <c r="BW307" s="1138">
        <f>'2018'!R\Max</f>
        <v>0.24272563512724563</v>
      </c>
      <c r="BX307" s="1136">
        <f>'2019'!R\Max</f>
        <v>0.33473268746396462</v>
      </c>
      <c r="BY307" s="1136">
        <f>'2020'!R\Max</f>
        <v>0.80131587156806305</v>
      </c>
      <c r="BZ307" s="1136">
        <f>'2021'!R\Max</f>
        <v>0.73451516885967327</v>
      </c>
      <c r="CA307" s="1136">
        <f>'2022'!R\Max</f>
        <v>0.22715229408431112</v>
      </c>
      <c r="CB307" s="1136">
        <f>'2023'!R\Max</f>
        <v>0.22699586512052147</v>
      </c>
      <c r="CC307" s="1136">
        <f>'2024'!R\Max</f>
        <v>0.22676198583042045</v>
      </c>
      <c r="CD307" s="1136">
        <f>'2025'!R\Max</f>
        <v>0.22754679057323293</v>
      </c>
      <c r="CE307" s="1136">
        <f>'2026'!R\Max</f>
        <v>0.22749458091729097</v>
      </c>
      <c r="CF307" s="1137">
        <f>'2027'!R\Max</f>
        <v>0.22740488697626993</v>
      </c>
    </row>
    <row r="308" spans="1:84" s="6" customFormat="1" ht="11.25" x14ac:dyDescent="0.2">
      <c r="A308" s="11">
        <v>43394</v>
      </c>
      <c r="B308" s="380">
        <f>'2022'!Maxi_hp</f>
        <v>25.301063614108177</v>
      </c>
      <c r="C308" s="85">
        <f>'2022'!An_max</f>
        <v>2019</v>
      </c>
      <c r="D308" s="1089" t="str">
        <f t="shared" si="116"/>
        <v/>
      </c>
      <c r="E308" s="749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838">
        <f t="shared" si="119"/>
        <v>0.5714285714285714</v>
      </c>
      <c r="J308" s="829">
        <f t="shared" si="120"/>
        <v>40.591189503722958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838">
        <f t="shared" si="124"/>
        <v>0.7857142857142857</v>
      </c>
      <c r="AT308" s="855">
        <f t="shared" si="125"/>
        <v>40.510925406297403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838">
        <f t="shared" si="129"/>
        <v>0.7142857142857143</v>
      </c>
      <c r="AY308" s="855">
        <f t="shared" si="130"/>
        <v>40.527650224710143</v>
      </c>
      <c r="AZ308" s="829">
        <f t="shared" si="134"/>
        <v>40.519287815503773</v>
      </c>
      <c r="BA308" s="662">
        <f t="shared" si="131"/>
        <v>0.62331417047503879</v>
      </c>
      <c r="BB308" s="657">
        <v>43394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926">
        <f>1+[2]!Salcycl*Ksac</f>
        <v>1.0308069109094153</v>
      </c>
      <c r="BH308" s="1082">
        <f t="shared" si="132"/>
        <v>8.1169091045351846E-3</v>
      </c>
      <c r="BI308" s="11">
        <v>44490</v>
      </c>
      <c r="BJ308" s="803">
        <v>3.1209081926337114E-3</v>
      </c>
      <c r="BK308" s="803">
        <v>4.3785491935849829E-3</v>
      </c>
      <c r="BL308" s="803">
        <v>5.9899997900977704E-3</v>
      </c>
      <c r="BM308" s="803">
        <v>8.1167779983065142E-3</v>
      </c>
      <c r="BN308" s="803">
        <v>1.1580067065391069E-2</v>
      </c>
      <c r="BO308" s="804">
        <v>1.7707139249091487E-2</v>
      </c>
      <c r="BP308" s="803">
        <v>2.8114472698198067E-2</v>
      </c>
      <c r="BQ308" s="803">
        <v>4.3766198949240741E-2</v>
      </c>
      <c r="BR308" s="803">
        <v>6.9878024215593873E-2</v>
      </c>
      <c r="BS308" s="803">
        <v>0.11551921593665189</v>
      </c>
      <c r="BT308" s="803">
        <v>0.17878482777261437</v>
      </c>
      <c r="BW308" s="1138">
        <f>'2018'!R\Max</f>
        <v>0.45878095981023626</v>
      </c>
      <c r="BX308" s="1136">
        <f>'2019'!R\Max</f>
        <v>0.62331417047503879</v>
      </c>
      <c r="BY308" s="1136">
        <f>'2020'!R\Max</f>
        <v>0.15946553192224341</v>
      </c>
      <c r="BZ308" s="1136">
        <f>'2021'!R\Max</f>
        <v>0.35647655810618095</v>
      </c>
      <c r="CA308" s="1136">
        <f>'2022'!R\Max</f>
        <v>0.41825959723571871</v>
      </c>
      <c r="CB308" s="1136">
        <f>'2023'!R\Max</f>
        <v>0.41802167643324506</v>
      </c>
      <c r="CC308" s="1136">
        <f>'2024'!R\Max</f>
        <v>0.41766421735957604</v>
      </c>
      <c r="CD308" s="1136">
        <f>'2025'!R\Max</f>
        <v>0.41885993819437045</v>
      </c>
      <c r="CE308" s="1136">
        <f>'2026'!R\Max</f>
        <v>0.41878081691750363</v>
      </c>
      <c r="CF308" s="1137">
        <f>'2027'!R\Max</f>
        <v>0.41864409855106505</v>
      </c>
    </row>
    <row r="309" spans="1:84" s="6" customFormat="1" ht="11.25" x14ac:dyDescent="0.2">
      <c r="A309" s="11">
        <v>43395</v>
      </c>
      <c r="B309" s="380">
        <f>'2022'!Maxi_hp</f>
        <v>36.678022887150242</v>
      </c>
      <c r="C309" s="85">
        <f>'2022'!An_max</f>
        <v>2022</v>
      </c>
      <c r="D309" s="1089" t="str">
        <f t="shared" si="116"/>
        <v/>
      </c>
      <c r="E309" s="749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838">
        <f t="shared" si="119"/>
        <v>0.5</v>
      </c>
      <c r="J309" s="829">
        <f t="shared" si="120"/>
        <v>40.304968749359247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838">
        <f t="shared" si="124"/>
        <v>0.75</v>
      </c>
      <c r="AT309" s="855">
        <f t="shared" si="125"/>
        <v>40.19916825192049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838">
        <f t="shared" si="129"/>
        <v>0.75</v>
      </c>
      <c r="AY309" s="855">
        <f t="shared" si="130"/>
        <v>40.239191078906877</v>
      </c>
      <c r="AZ309" s="829">
        <f t="shared" si="134"/>
        <v>40.219179665413684</v>
      </c>
      <c r="BA309" s="662">
        <f t="shared" si="131"/>
        <v>0.91001243829852452</v>
      </c>
      <c r="BB309" s="657">
        <v>43395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926">
        <f>1+[2]!Salcycl*Ksac</f>
        <v>1.0301411226652488</v>
      </c>
      <c r="BH309" s="1082">
        <f t="shared" si="132"/>
        <v>8.0568608372976937E-3</v>
      </c>
      <c r="BI309" s="11">
        <v>44491</v>
      </c>
      <c r="BJ309" s="803">
        <v>3.1139479751615862E-3</v>
      </c>
      <c r="BK309" s="803">
        <v>4.3723388707181884E-3</v>
      </c>
      <c r="BL309" s="803">
        <v>5.9587153919010228E-3</v>
      </c>
      <c r="BM309" s="803">
        <v>8.0567310259640756E-3</v>
      </c>
      <c r="BN309" s="803">
        <v>1.1485814274426506E-2</v>
      </c>
      <c r="BO309" s="804">
        <v>1.7588706520930492E-2</v>
      </c>
      <c r="BP309" s="803">
        <v>2.7925928940834625E-2</v>
      </c>
      <c r="BQ309" s="803">
        <v>4.3571106994131796E-2</v>
      </c>
      <c r="BR309" s="803">
        <v>7.076798672533674E-2</v>
      </c>
      <c r="BS309" s="803">
        <v>0.11885721175775917</v>
      </c>
      <c r="BT309" s="803">
        <v>0.18582881409591034</v>
      </c>
      <c r="BW309" s="1138">
        <f>'2018'!R\Max</f>
        <v>0.60533392479820713</v>
      </c>
      <c r="BX309" s="1136">
        <f>'2019'!R\Max</f>
        <v>0.11195873028569872</v>
      </c>
      <c r="BY309" s="1136">
        <f>'2020'!R\Max</f>
        <v>0.69359370312434054</v>
      </c>
      <c r="BZ309" s="1136">
        <f>'2021'!R\Max</f>
        <v>0.36999718986441532</v>
      </c>
      <c r="CA309" s="1136">
        <f>'2022'!R\Max</f>
        <v>0.91001243829852452</v>
      </c>
      <c r="CB309" s="1136">
        <f>'2023'!R\Max</f>
        <v>0.90993280624627615</v>
      </c>
      <c r="CC309" s="1136">
        <f>'2024'!R\Max</f>
        <v>0.90981225403934574</v>
      </c>
      <c r="CD309" s="1136">
        <f>'2025'!R\Max</f>
        <v>0.91021321830581714</v>
      </c>
      <c r="CE309" s="1136">
        <f>'2026'!R\Max</f>
        <v>0.91018689209554304</v>
      </c>
      <c r="CF309" s="1137">
        <f>'2027'!R\Max</f>
        <v>0.91014111420478294</v>
      </c>
    </row>
    <row r="310" spans="1:84" s="6" customFormat="1" ht="11.25" x14ac:dyDescent="0.2">
      <c r="A310" s="11">
        <v>43396</v>
      </c>
      <c r="B310" s="380">
        <f>'2022'!Maxi_hp</f>
        <v>40.417600881584974</v>
      </c>
      <c r="C310" s="85">
        <f>'2022'!An_max</f>
        <v>2021</v>
      </c>
      <c r="D310" s="1089">
        <f t="shared" si="116"/>
        <v>1.0100364123815417</v>
      </c>
      <c r="E310" s="749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838">
        <f t="shared" si="119"/>
        <v>0.42857142857142855</v>
      </c>
      <c r="J310" s="829">
        <f t="shared" si="120"/>
        <v>40.01598396466246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838">
        <f t="shared" si="124"/>
        <v>0.7142857142857143</v>
      </c>
      <c r="AT310" s="855">
        <f t="shared" si="125"/>
        <v>39.883081602145516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838">
        <f t="shared" si="129"/>
        <v>0.7857142857142857</v>
      </c>
      <c r="AY310" s="855">
        <f t="shared" si="130"/>
        <v>39.950172033107705</v>
      </c>
      <c r="AZ310" s="829">
        <f t="shared" si="134"/>
        <v>39.916626817626607</v>
      </c>
      <c r="BA310" s="662">
        <f t="shared" si="131"/>
        <v>1.0100364123815417</v>
      </c>
      <c r="BB310" s="657">
        <v>43396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926">
        <f>1+[2]!Salcycl*Ksac</f>
        <v>1.0294657551007962</v>
      </c>
      <c r="BH310" s="1082">
        <f t="shared" si="132"/>
        <v>7.9819622512828318E-3</v>
      </c>
      <c r="BI310" s="11">
        <v>44492</v>
      </c>
      <c r="BJ310" s="803">
        <v>3.0970097581969548E-3</v>
      </c>
      <c r="BK310" s="803">
        <v>4.3534191348895352E-3</v>
      </c>
      <c r="BL310" s="803">
        <v>5.9137495299431547E-3</v>
      </c>
      <c r="BM310" s="803">
        <v>7.9818338047489227E-3</v>
      </c>
      <c r="BN310" s="803">
        <v>1.1374864640164151E-2</v>
      </c>
      <c r="BO310" s="804">
        <v>1.7449954064279977E-2</v>
      </c>
      <c r="BP310" s="803">
        <v>2.7713209357712727E-2</v>
      </c>
      <c r="BQ310" s="803">
        <v>4.3478197153647036E-2</v>
      </c>
      <c r="BR310" s="803">
        <v>7.1941866374782767E-2</v>
      </c>
      <c r="BS310" s="803">
        <v>0.12255303616655633</v>
      </c>
      <c r="BT310" s="803">
        <v>0.19306724779061477</v>
      </c>
      <c r="BW310" s="1138">
        <f>'2018'!R\Max</f>
        <v>0.99550403542653865</v>
      </c>
      <c r="BX310" s="1136">
        <f>'2019'!R\Max</f>
        <v>0.4895510047690973</v>
      </c>
      <c r="BY310" s="1136">
        <f>'2020'!R\Max</f>
        <v>0.14621597585054216</v>
      </c>
      <c r="BZ310" s="1136">
        <f>'2021'!R\Max</f>
        <v>1.0100364123815417</v>
      </c>
      <c r="CA310" s="1136">
        <f>'2022'!R\Max</f>
        <v>0.5215702025341552</v>
      </c>
      <c r="CB310" s="1136">
        <f>'2023'!R\Max</f>
        <v>0.52132919575786785</v>
      </c>
      <c r="CC310" s="1136">
        <f>'2024'!R\Max</f>
        <v>0.5209592432132274</v>
      </c>
      <c r="CD310" s="1136">
        <f>'2025'!R\Max</f>
        <v>0.52217916196691205</v>
      </c>
      <c r="CE310" s="1136">
        <f>'2026'!R\Max</f>
        <v>0.52209958295646919</v>
      </c>
      <c r="CF310" s="1137">
        <f>'2027'!R\Max</f>
        <v>0.52196043536951431</v>
      </c>
    </row>
    <row r="311" spans="1:84" s="6" customFormat="1" ht="11.25" x14ac:dyDescent="0.2">
      <c r="A311" s="11">
        <v>43397</v>
      </c>
      <c r="B311" s="380">
        <f>'2022'!Maxi_hp</f>
        <v>41.588960428568228</v>
      </c>
      <c r="C311" s="85">
        <f>'2022'!An_max</f>
        <v>2021</v>
      </c>
      <c r="D311" s="1089">
        <f t="shared" si="116"/>
        <v>1.0469445923345255</v>
      </c>
      <c r="E311" s="749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838">
        <f t="shared" si="119"/>
        <v>0.35714285714285715</v>
      </c>
      <c r="J311" s="829">
        <f t="shared" si="120"/>
        <v>39.724127459153536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838">
        <f t="shared" si="124"/>
        <v>0.6785714285714286</v>
      </c>
      <c r="AT311" s="855">
        <f t="shared" si="125"/>
        <v>39.563273473456505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838">
        <f t="shared" si="129"/>
        <v>0.8214285714285714</v>
      </c>
      <c r="AY311" s="855">
        <f t="shared" si="130"/>
        <v>39.66083773229537</v>
      </c>
      <c r="AZ311" s="829">
        <f t="shared" si="134"/>
        <v>39.612055602875941</v>
      </c>
      <c r="BA311" s="662">
        <f t="shared" si="131"/>
        <v>1.0469445923345255</v>
      </c>
      <c r="BB311" s="657">
        <v>43397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926">
        <f>1+[2]!Salcycl*Ksac</f>
        <v>1.0287815556736208</v>
      </c>
      <c r="BH311" s="1082">
        <f t="shared" si="132"/>
        <v>7.9041998249703913E-3</v>
      </c>
      <c r="BI311" s="11">
        <v>44493</v>
      </c>
      <c r="BJ311" s="803">
        <v>3.0792993821869238E-3</v>
      </c>
      <c r="BK311" s="803">
        <v>4.3315655723740881E-3</v>
      </c>
      <c r="BL311" s="803">
        <v>5.8657636277579641E-3</v>
      </c>
      <c r="BM311" s="803">
        <v>7.9040726782475795E-3</v>
      </c>
      <c r="BN311" s="803">
        <v>1.12627678333181E-2</v>
      </c>
      <c r="BO311" s="804">
        <v>1.730844064331272E-2</v>
      </c>
      <c r="BP311" s="803">
        <v>2.7497697155420595E-2</v>
      </c>
      <c r="BQ311" s="803">
        <v>4.3510243818525661E-2</v>
      </c>
      <c r="BR311" s="803">
        <v>7.3368016591392332E-2</v>
      </c>
      <c r="BS311" s="803">
        <v>0.12645756135657779</v>
      </c>
      <c r="BT311" s="803">
        <v>0.20017264408415925</v>
      </c>
      <c r="BW311" s="1138">
        <f>'2018'!R\Max</f>
        <v>0.92543753677702678</v>
      </c>
      <c r="BX311" s="1136">
        <f>'2019'!R\Max</f>
        <v>0.43422815592654723</v>
      </c>
      <c r="BY311" s="1136">
        <f>'2020'!R\Max</f>
        <v>0.2745974373053825</v>
      </c>
      <c r="BZ311" s="1136">
        <f>'2021'!R\Max</f>
        <v>1.0469445923345255</v>
      </c>
      <c r="CA311" s="1136">
        <f>'2022'!R\Max</f>
        <v>0.70132779822770219</v>
      </c>
      <c r="CB311" s="1136">
        <f>'2023'!R\Max</f>
        <v>0.70112676481714709</v>
      </c>
      <c r="CC311" s="1136">
        <f>'2024'!R\Max</f>
        <v>0.70081090732193319</v>
      </c>
      <c r="CD311" s="1136">
        <f>'2025'!R\Max</f>
        <v>0.70183583189368659</v>
      </c>
      <c r="CE311" s="1136">
        <f>'2026'!R\Max</f>
        <v>0.70176971127266374</v>
      </c>
      <c r="CF311" s="1137">
        <f>'2027'!R\Max</f>
        <v>0.70165347247094922</v>
      </c>
    </row>
    <row r="312" spans="1:84" s="6" customFormat="1" ht="11.25" x14ac:dyDescent="0.2">
      <c r="A312" s="11">
        <v>43398</v>
      </c>
      <c r="B312" s="380">
        <f>'2022'!Maxi_hp</f>
        <v>39.380465592356508</v>
      </c>
      <c r="C312" s="85">
        <f>'2022'!An_max</f>
        <v>2018</v>
      </c>
      <c r="D312" s="1089">
        <f t="shared" si="116"/>
        <v>0.99876168323739611</v>
      </c>
      <c r="E312" s="749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838">
        <f t="shared" si="119"/>
        <v>0.2857142857142857</v>
      </c>
      <c r="J312" s="829">
        <f t="shared" si="120"/>
        <v>39.429291545014294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838">
        <f t="shared" si="124"/>
        <v>0.6428571428571429</v>
      </c>
      <c r="AT312" s="855">
        <f t="shared" si="125"/>
        <v>39.240351882470506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838">
        <f t="shared" si="129"/>
        <v>0.8571428571428571</v>
      </c>
      <c r="AY312" s="855">
        <f t="shared" si="130"/>
        <v>39.371432822304115</v>
      </c>
      <c r="AZ312" s="829">
        <f t="shared" si="134"/>
        <v>39.30589235238731</v>
      </c>
      <c r="BA312" s="662">
        <f t="shared" si="131"/>
        <v>0.99876168323739611</v>
      </c>
      <c r="BB312" s="657">
        <v>43398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926">
        <f>1+[2]!Salcycl*Ksac</f>
        <v>1.0280893170371455</v>
      </c>
      <c r="BH312" s="1082">
        <f t="shared" si="132"/>
        <v>7.8236273668842813E-3</v>
      </c>
      <c r="BI312" s="11">
        <v>44494</v>
      </c>
      <c r="BJ312" s="803">
        <v>3.0608383316223921E-3</v>
      </c>
      <c r="BK312" s="803">
        <v>4.306805908370002E-3</v>
      </c>
      <c r="BL312" s="803">
        <v>5.814796444258339E-3</v>
      </c>
      <c r="BM312" s="803">
        <v>7.8235014539677437E-3</v>
      </c>
      <c r="BN312" s="803">
        <v>1.1149604505436053E-2</v>
      </c>
      <c r="BO312" s="804">
        <v>1.7164288981330905E-2</v>
      </c>
      <c r="BP312" s="803">
        <v>2.7279589508637542E-2</v>
      </c>
      <c r="BQ312" s="803">
        <v>4.3667736365380093E-2</v>
      </c>
      <c r="BR312" s="803">
        <v>7.5047325060485129E-2</v>
      </c>
      <c r="BS312" s="803">
        <v>0.13057201654060496</v>
      </c>
      <c r="BT312" s="803">
        <v>0.20714632330521304</v>
      </c>
      <c r="BW312" s="1138">
        <f>'2018'!R\Max</f>
        <v>0.99876168323739611</v>
      </c>
      <c r="BX312" s="1136">
        <f>'2019'!R\Max</f>
        <v>0.81772058024472716</v>
      </c>
      <c r="BY312" s="1136">
        <f>'2020'!R\Max</f>
        <v>0.85067739812772758</v>
      </c>
      <c r="BZ312" s="1136">
        <f>'2021'!R\Max</f>
        <v>0.92779501802744635</v>
      </c>
      <c r="CA312" s="1136">
        <f>'2022'!R\Max</f>
        <v>0.62394998034438498</v>
      </c>
      <c r="CB312" s="1136">
        <f>'2023'!R\Max</f>
        <v>0.62372627472012065</v>
      </c>
      <c r="CC312" s="1136">
        <f>'2024'!R\Max</f>
        <v>0.6233639886467981</v>
      </c>
      <c r="CD312" s="1136">
        <f>'2025'!R\Max</f>
        <v>0.62451586199888753</v>
      </c>
      <c r="CE312" s="1136">
        <f>'2026'!R\Max</f>
        <v>0.62444243368930052</v>
      </c>
      <c r="CF312" s="1137">
        <f>'2027'!R\Max</f>
        <v>0.62431276952402659</v>
      </c>
    </row>
    <row r="313" spans="1:84" s="6" customFormat="1" ht="11.25" x14ac:dyDescent="0.2">
      <c r="A313" s="11">
        <v>43399</v>
      </c>
      <c r="B313" s="380">
        <f>'2022'!Maxi_hp</f>
        <v>38.95254653773808</v>
      </c>
      <c r="C313" s="85">
        <f>'2022'!An_max</f>
        <v>2019</v>
      </c>
      <c r="D313" s="1089">
        <f t="shared" si="116"/>
        <v>0.99543021366786899</v>
      </c>
      <c r="E313" s="749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838">
        <f t="shared" si="119"/>
        <v>0.21428571428571427</v>
      </c>
      <c r="J313" s="829">
        <f t="shared" si="120"/>
        <v>39.131368530807748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838">
        <f t="shared" si="124"/>
        <v>0.6071428571428571</v>
      </c>
      <c r="AT313" s="855">
        <f t="shared" si="125"/>
        <v>38.91492484561833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838">
        <f t="shared" si="129"/>
        <v>0.8928571428571429</v>
      </c>
      <c r="AY313" s="855">
        <f t="shared" si="130"/>
        <v>39.0822019483495</v>
      </c>
      <c r="AZ313" s="829">
        <f t="shared" si="134"/>
        <v>38.998563396983911</v>
      </c>
      <c r="BA313" s="662">
        <f t="shared" si="131"/>
        <v>0.99543021366786899</v>
      </c>
      <c r="BB313" s="657">
        <v>43399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926">
        <f>1+[2]!Salcycl*Ksac</f>
        <v>1.0273898745162759</v>
      </c>
      <c r="BH313" s="1082">
        <f t="shared" si="132"/>
        <v>7.7402322050457951E-3</v>
      </c>
      <c r="BI313" s="11">
        <v>44495</v>
      </c>
      <c r="BJ313" s="803">
        <v>3.0416223634772478E-3</v>
      </c>
      <c r="BK313" s="803">
        <v>4.2791316607259551E-3</v>
      </c>
      <c r="BL313" s="803">
        <v>5.7608375000255917E-3</v>
      </c>
      <c r="BM313" s="803">
        <v>7.7401074599811491E-3</v>
      </c>
      <c r="BN313" s="803">
        <v>1.1035360652320433E-2</v>
      </c>
      <c r="BO313" s="804">
        <v>1.7017476700010813E-2</v>
      </c>
      <c r="BP313" s="803">
        <v>2.7058853238906718E-2</v>
      </c>
      <c r="BQ313" s="803">
        <v>4.3950808407488516E-2</v>
      </c>
      <c r="BR313" s="803">
        <v>7.6980098428250862E-2</v>
      </c>
      <c r="BS313" s="803">
        <v>0.13489664109122165</v>
      </c>
      <c r="BT313" s="803">
        <v>0.21398803665751134</v>
      </c>
      <c r="BW313" s="1138">
        <f>'2018'!R\Max</f>
        <v>0.11677491022829266</v>
      </c>
      <c r="BX313" s="1136">
        <f>'2019'!R\Max</f>
        <v>0.99543021366786899</v>
      </c>
      <c r="BY313" s="1136">
        <f>'2020'!R\Max</f>
        <v>0.61952459796905068</v>
      </c>
      <c r="BZ313" s="1136">
        <f>'2021'!R\Max</f>
        <v>0.79244347915437086</v>
      </c>
      <c r="CA313" s="1136">
        <f>'2022'!R\Max</f>
        <v>0.351215832842252</v>
      </c>
      <c r="CB313" s="1136">
        <f>'2023'!R\Max</f>
        <v>0.35100006256031901</v>
      </c>
      <c r="CC313" s="1136">
        <f>'2024'!R\Max</f>
        <v>0.35063748485758889</v>
      </c>
      <c r="CD313" s="1136">
        <f>'2025'!R\Max</f>
        <v>0.35176250536984388</v>
      </c>
      <c r="CE313" s="1136">
        <f>'2026'!R\Max</f>
        <v>0.35169171650502157</v>
      </c>
      <c r="CF313" s="1137">
        <f>'2027'!R\Max</f>
        <v>0.35156626220654985</v>
      </c>
    </row>
    <row r="314" spans="1:84" s="6" customFormat="1" ht="11.25" x14ac:dyDescent="0.2">
      <c r="A314" s="11">
        <v>43400</v>
      </c>
      <c r="B314" s="380">
        <f>'2022'!Maxi_hp</f>
        <v>33.191570367929572</v>
      </c>
      <c r="C314" s="85">
        <f>'2022'!An_max</f>
        <v>2021</v>
      </c>
      <c r="D314" s="1089" t="str">
        <f t="shared" si="116"/>
        <v/>
      </c>
      <c r="E314" s="749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838">
        <f t="shared" si="119"/>
        <v>0.14285714285714285</v>
      </c>
      <c r="J314" s="829">
        <f t="shared" si="120"/>
        <v>38.830250728343216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838">
        <f t="shared" si="124"/>
        <v>0.5714285714285714</v>
      </c>
      <c r="AT314" s="855">
        <f t="shared" si="125"/>
        <v>38.587600378958243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838">
        <f t="shared" si="129"/>
        <v>0.9285714285714286</v>
      </c>
      <c r="AY314" s="855">
        <f t="shared" si="130"/>
        <v>38.793389756751381</v>
      </c>
      <c r="AZ314" s="829">
        <f t="shared" si="134"/>
        <v>38.690495067854812</v>
      </c>
      <c r="BA314" s="662">
        <f t="shared" si="131"/>
        <v>0.85478640352178248</v>
      </c>
      <c r="BB314" s="657">
        <v>43400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926">
        <f>1+[2]!Salcycl*Ksac</f>
        <v>1.0266841032667804</v>
      </c>
      <c r="BH314" s="1082">
        <f t="shared" si="132"/>
        <v>7.6540018857645395E-3</v>
      </c>
      <c r="BI314" s="11">
        <v>44496</v>
      </c>
      <c r="BJ314" s="803">
        <v>3.0216472830612378E-3</v>
      </c>
      <c r="BK314" s="803">
        <v>4.2485343493104608E-3</v>
      </c>
      <c r="BL314" s="803">
        <v>5.7038764150040486E-3</v>
      </c>
      <c r="BM314" s="803">
        <v>7.653878242640859E-3</v>
      </c>
      <c r="BN314" s="803">
        <v>1.092002267228895E-2</v>
      </c>
      <c r="BO314" s="804">
        <v>1.6867981895617903E-2</v>
      </c>
      <c r="BP314" s="803">
        <v>2.683545593416907E-2</v>
      </c>
      <c r="BQ314" s="803">
        <v>4.4359597203859069E-2</v>
      </c>
      <c r="BR314" s="803">
        <v>7.9166645607719535E-2</v>
      </c>
      <c r="BS314" s="803">
        <v>0.139431666223086</v>
      </c>
      <c r="BT314" s="803">
        <v>0.22069750529853582</v>
      </c>
      <c r="BW314" s="1138">
        <f>'2018'!R\Max</f>
        <v>0.22421882637526563</v>
      </c>
      <c r="BX314" s="1136">
        <f>'2019'!R\Max</f>
        <v>0.67880703133523146</v>
      </c>
      <c r="BY314" s="1136">
        <f>'2020'!R\Max</f>
        <v>0.64563118300550737</v>
      </c>
      <c r="BZ314" s="1136">
        <f>'2021'!R\Max</f>
        <v>0.85478640352178248</v>
      </c>
      <c r="CA314" s="1136">
        <f>'2022'!R\Max</f>
        <v>0.38787161114230034</v>
      </c>
      <c r="CB314" s="1136">
        <f>'2023'!R\Max</f>
        <v>0.38764825262636465</v>
      </c>
      <c r="CC314" s="1136">
        <f>'2024'!R\Max</f>
        <v>0.387255958789118</v>
      </c>
      <c r="CD314" s="1136">
        <f>'2025'!R\Max</f>
        <v>0.38843778912605786</v>
      </c>
      <c r="CE314" s="1136">
        <f>'2026'!R\Max</f>
        <v>0.38836463390847853</v>
      </c>
      <c r="CF314" s="1137">
        <f>'2027'!R\Max</f>
        <v>0.38823457717961962</v>
      </c>
    </row>
    <row r="315" spans="1:84" s="6" customFormat="1" ht="11.25" x14ac:dyDescent="0.2">
      <c r="A315" s="11">
        <v>43401</v>
      </c>
      <c r="B315" s="380">
        <f>'2022'!Maxi_hp</f>
        <v>38.41572407667438</v>
      </c>
      <c r="C315" s="85">
        <f>'2022'!An_max</f>
        <v>2021</v>
      </c>
      <c r="D315" s="1089">
        <f t="shared" si="116"/>
        <v>0.99714201174397965</v>
      </c>
      <c r="E315" s="749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838">
        <f t="shared" si="119"/>
        <v>7.1428571428571425E-2</v>
      </c>
      <c r="J315" s="829">
        <f t="shared" si="120"/>
        <v>38.525830447647188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838">
        <f t="shared" si="124"/>
        <v>0.5357142857142857</v>
      </c>
      <c r="AT315" s="855">
        <f t="shared" si="125"/>
        <v>38.25898649999872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838">
        <f t="shared" si="129"/>
        <v>0.9642857142857143</v>
      </c>
      <c r="AY315" s="855">
        <f t="shared" si="130"/>
        <v>38.505240891973621</v>
      </c>
      <c r="AZ315" s="829">
        <f t="shared" si="134"/>
        <v>38.38211369598617</v>
      </c>
      <c r="BA315" s="662">
        <f t="shared" si="131"/>
        <v>0.99714201174397965</v>
      </c>
      <c r="BB315" s="657">
        <v>43401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926">
        <f>1+[2]!Salcycl*Ksac</f>
        <v>1.0259729151328667</v>
      </c>
      <c r="BH315" s="1082">
        <f t="shared" si="132"/>
        <v>7.5649241994101392E-3</v>
      </c>
      <c r="BI315" s="11">
        <v>44497</v>
      </c>
      <c r="BJ315" s="803">
        <v>3.0009089509888502E-3</v>
      </c>
      <c r="BK315" s="803">
        <v>4.2150055229228179E-3</v>
      </c>
      <c r="BL315" s="803">
        <v>5.6439029359800193E-3</v>
      </c>
      <c r="BM315" s="803">
        <v>7.5648015923535971E-3</v>
      </c>
      <c r="BN315" s="803">
        <v>1.0803577375764076E-2</v>
      </c>
      <c r="BO315" s="804">
        <v>1.6715783163227232E-2</v>
      </c>
      <c r="BP315" s="803">
        <v>2.6609365972585064E-2</v>
      </c>
      <c r="BQ315" s="803">
        <v>4.4894242503891145E-2</v>
      </c>
      <c r="BR315" s="803">
        <v>8.1607275457742212E-2</v>
      </c>
      <c r="BS315" s="803">
        <v>0.14417731309501058</v>
      </c>
      <c r="BT315" s="803">
        <v>0.22727442162728914</v>
      </c>
      <c r="BW315" s="1138">
        <f>'2018'!R\Max</f>
        <v>9.7604978898193126E-2</v>
      </c>
      <c r="BX315" s="1136">
        <f>'2019'!R\Max</f>
        <v>0.25603831695946633</v>
      </c>
      <c r="BY315" s="1136">
        <f>'2020'!R\Max</f>
        <v>0.6329881745421353</v>
      </c>
      <c r="BZ315" s="1136">
        <f>'2021'!R\Max</f>
        <v>0.99714201174397965</v>
      </c>
      <c r="CA315" s="1136">
        <f>'2022'!R\Max</f>
        <v>0.49265380288118549</v>
      </c>
      <c r="CB315" s="1136">
        <f>'2023'!R\Max</f>
        <v>0.49242019033255346</v>
      </c>
      <c r="CC315" s="1136">
        <f>'2024'!R\Max</f>
        <v>0.49198876350882675</v>
      </c>
      <c r="CD315" s="1136">
        <f>'2025'!R\Max</f>
        <v>0.49324610526222018</v>
      </c>
      <c r="CE315" s="1136">
        <f>'2026'!R\Max</f>
        <v>0.49316970885870554</v>
      </c>
      <c r="CF315" s="1137">
        <f>'2027'!R\Max</f>
        <v>0.49303355471297056</v>
      </c>
    </row>
    <row r="316" spans="1:84" s="6" customFormat="1" ht="11.25" x14ac:dyDescent="0.2">
      <c r="A316" s="11">
        <v>43402</v>
      </c>
      <c r="B316" s="380">
        <f>'2022'!Maxi_hp</f>
        <v>30.720187323726929</v>
      </c>
      <c r="C316" s="85">
        <f>'2022'!An_max</f>
        <v>2019</v>
      </c>
      <c r="D316" s="1089" t="str">
        <f t="shared" si="116"/>
        <v/>
      </c>
      <c r="E316" s="837">
        <f>AI$13/10</f>
        <v>38.218000000000004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838">
        <f t="shared" si="119"/>
        <v>0</v>
      </c>
      <c r="J316" s="829">
        <f t="shared" si="120"/>
        <v>38.217999998852612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838">
        <f t="shared" si="124"/>
        <v>0.5</v>
      </c>
      <c r="AT316" s="855">
        <f t="shared" si="125"/>
        <v>37.929691224172714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838">
        <f t="shared" si="129"/>
        <v>1</v>
      </c>
      <c r="AY316" s="855">
        <f t="shared" si="130"/>
        <v>38.217999999970196</v>
      </c>
      <c r="AZ316" s="829">
        <f t="shared" si="134"/>
        <v>38.073845612071452</v>
      </c>
      <c r="BA316" s="662">
        <f t="shared" si="131"/>
        <v>0.80381462464412623</v>
      </c>
      <c r="BB316" s="657">
        <v>43402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926">
        <f>1+[2]!Salcycl*Ksac</f>
        <v>1.0252572552200814</v>
      </c>
      <c r="BH316" s="1082">
        <f t="shared" si="132"/>
        <v>7.4729872061602672E-3</v>
      </c>
      <c r="BI316" s="11">
        <v>44498</v>
      </c>
      <c r="BJ316" s="803">
        <v>2.9794032901389158E-3</v>
      </c>
      <c r="BK316" s="803">
        <v>4.1785367861909943E-3</v>
      </c>
      <c r="BL316" s="803">
        <v>5.5809069640431787E-3</v>
      </c>
      <c r="BM316" s="803">
        <v>7.4728655693283852E-3</v>
      </c>
      <c r="BN316" s="803">
        <v>1.0686011994828755E-2</v>
      </c>
      <c r="BO316" s="804">
        <v>1.6560859620891905E-2</v>
      </c>
      <c r="BP316" s="803">
        <v>2.6380552546273878E-2</v>
      </c>
      <c r="BQ316" s="803">
        <v>4.5554885391903839E-2</v>
      </c>
      <c r="BR316" s="803">
        <v>8.4302294461741187E-2</v>
      </c>
      <c r="BS316" s="803">
        <v>0.14913379091163975</v>
      </c>
      <c r="BT316" s="803">
        <v>0.23371845057142979</v>
      </c>
      <c r="BW316" s="1138">
        <f>'2018'!R\Max</f>
        <v>0.12362671662008812</v>
      </c>
      <c r="BX316" s="1136">
        <f>'2019'!R\Max</f>
        <v>0.80381462464412623</v>
      </c>
      <c r="BY316" s="1136">
        <f>'2020'!R\Max</f>
        <v>0.34567370413291082</v>
      </c>
      <c r="BZ316" s="1136">
        <f>'2021'!R\Max</f>
        <v>0.48157991333791733</v>
      </c>
      <c r="CA316" s="1136">
        <f>'2022'!R\Max</f>
        <v>0.74225189358807142</v>
      </c>
      <c r="CB316" s="1136">
        <f>'2023'!R\Max</f>
        <v>0.74207421573529986</v>
      </c>
      <c r="CC316" s="1136">
        <f>'2024'!R\Max</f>
        <v>0.74172729984599739</v>
      </c>
      <c r="CD316" s="1136">
        <f>'2025'!R\Max</f>
        <v>0.74270224502003679</v>
      </c>
      <c r="CE316" s="1136">
        <f>'2026'!R\Max</f>
        <v>0.74264424343716873</v>
      </c>
      <c r="CF316" s="1137">
        <f>'2027'!R\Max</f>
        <v>0.74254068359204461</v>
      </c>
    </row>
    <row r="317" spans="1:84" s="6" customFormat="1" ht="11.25" x14ac:dyDescent="0.2">
      <c r="A317" s="11">
        <v>43403</v>
      </c>
      <c r="B317" s="380">
        <f>'2022'!Maxi_hp</f>
        <v>35.207799824990232</v>
      </c>
      <c r="C317" s="85">
        <f>'2022'!An_max</f>
        <v>2018</v>
      </c>
      <c r="D317" s="1089" t="str">
        <f t="shared" si="116"/>
        <v/>
      </c>
      <c r="E317" s="749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838">
        <f t="shared" si="119"/>
        <v>7.1428571428571425E-2</v>
      </c>
      <c r="J317" s="829">
        <f t="shared" si="120"/>
        <v>37.903654335758517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838">
        <f t="shared" si="124"/>
        <v>0.4642857142857143</v>
      </c>
      <c r="AT317" s="855">
        <f t="shared" si="125"/>
        <v>37.600322568496424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838">
        <f t="shared" si="129"/>
        <v>0.9642857142857143</v>
      </c>
      <c r="AY317" s="855">
        <f t="shared" si="130"/>
        <v>37.926488998745171</v>
      </c>
      <c r="AZ317" s="829">
        <f t="shared" si="134"/>
        <v>37.763405783620797</v>
      </c>
      <c r="BA317" s="662">
        <f t="shared" si="131"/>
        <v>0.92887613191889518</v>
      </c>
      <c r="BB317" s="657">
        <v>43403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926">
        <f>1+[2]!Salcycl*Ksac</f>
        <v>1.0245380982032151</v>
      </c>
      <c r="BH317" s="1082">
        <f t="shared" si="132"/>
        <v>7.3781792617659209E-3</v>
      </c>
      <c r="BI317" s="11">
        <v>44499</v>
      </c>
      <c r="BJ317" s="803">
        <v>2.9571262926210164E-3</v>
      </c>
      <c r="BK317" s="803">
        <v>4.1391198264790754E-3</v>
      </c>
      <c r="BL317" s="803">
        <v>5.514878582060765E-3</v>
      </c>
      <c r="BM317" s="803">
        <v>7.3780585293424352E-3</v>
      </c>
      <c r="BN317" s="803">
        <v>1.0567314192806723E-2</v>
      </c>
      <c r="BO317" s="804">
        <v>1.6403190933849496E-2</v>
      </c>
      <c r="BP317" s="803">
        <v>2.6148985685112969E-2</v>
      </c>
      <c r="BQ317" s="803">
        <v>4.6341667131763853E-2</v>
      </c>
      <c r="BR317" s="803">
        <v>8.7252004406636607E-2</v>
      </c>
      <c r="BS317" s="803">
        <v>0.15430129502543663</v>
      </c>
      <c r="BT317" s="803">
        <v>0.240029230874897</v>
      </c>
      <c r="BW317" s="1138">
        <f>'2018'!R\Max</f>
        <v>0.92887613191889518</v>
      </c>
      <c r="BX317" s="1136">
        <f>'2019'!R\Max</f>
        <v>0.57847182379591711</v>
      </c>
      <c r="BY317" s="1136">
        <f>'2020'!R\Max</f>
        <v>0.84510125091950028</v>
      </c>
      <c r="BZ317" s="1136">
        <f>'2021'!R\Max</f>
        <v>0.32348159565757972</v>
      </c>
      <c r="CA317" s="1136">
        <f>'2022'!R\Max</f>
        <v>0.61271148577106771</v>
      </c>
      <c r="CB317" s="1136">
        <f>'2023'!R\Max</f>
        <v>0.61249255790262114</v>
      </c>
      <c r="CC317" s="1136">
        <f>'2024'!R\Max</f>
        <v>0.61203914037247276</v>
      </c>
      <c r="CD317" s="1136">
        <f>'2025'!R\Max</f>
        <v>0.61326689117190269</v>
      </c>
      <c r="CE317" s="1136">
        <f>'2026'!R\Max</f>
        <v>0.61319536720933032</v>
      </c>
      <c r="CF317" s="1137">
        <f>'2027'!R\Max</f>
        <v>0.61306757043378357</v>
      </c>
    </row>
    <row r="318" spans="1:84" s="6" customFormat="1" ht="11.25" x14ac:dyDescent="0.2">
      <c r="A318" s="11">
        <v>43404</v>
      </c>
      <c r="B318" s="380">
        <f>'2022'!Maxi_hp</f>
        <v>35.869115091380415</v>
      </c>
      <c r="C318" s="85">
        <f>'2022'!An_max</f>
        <v>2020</v>
      </c>
      <c r="D318" s="1089" t="str">
        <f t="shared" si="116"/>
        <v/>
      </c>
      <c r="E318" s="749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838">
        <f t="shared" si="119"/>
        <v>0.14285714285714285</v>
      </c>
      <c r="J318" s="829">
        <f t="shared" si="120"/>
        <v>37.580765305246629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838">
        <f t="shared" si="124"/>
        <v>0.42857142857142855</v>
      </c>
      <c r="AT318" s="855">
        <f t="shared" si="125"/>
        <v>37.27148854950709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838">
        <f t="shared" si="129"/>
        <v>0.9285714285714286</v>
      </c>
      <c r="AY318" s="855">
        <f t="shared" si="130"/>
        <v>37.625994897926496</v>
      </c>
      <c r="AZ318" s="829">
        <f t="shared" si="134"/>
        <v>37.448741723716793</v>
      </c>
      <c r="BA318" s="662">
        <f t="shared" si="131"/>
        <v>0.95445408841561696</v>
      </c>
      <c r="BB318" s="657">
        <v>43404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926">
        <f>1+[2]!Salcycl*Ksac</f>
        <v>1.0238164443913023</v>
      </c>
      <c r="BH318" s="1082">
        <f t="shared" si="132"/>
        <v>7.2815704992644954E-3</v>
      </c>
      <c r="BI318" s="11">
        <v>44500</v>
      </c>
      <c r="BJ318" s="803">
        <v>2.9312551396421501E-3</v>
      </c>
      <c r="BK318" s="803">
        <v>4.0943950418386435E-3</v>
      </c>
      <c r="BL318" s="803">
        <v>5.4446463715668095E-3</v>
      </c>
      <c r="BM318" s="803">
        <v>7.2814505698929081E-3</v>
      </c>
      <c r="BN318" s="803">
        <v>1.0449492894469498E-2</v>
      </c>
      <c r="BO318" s="804">
        <v>1.6246548745509206E-2</v>
      </c>
      <c r="BP318" s="803">
        <v>2.5986968012504847E-2</v>
      </c>
      <c r="BQ318" s="803">
        <v>4.7376409217724659E-2</v>
      </c>
      <c r="BR318" s="803">
        <v>9.0482787380314275E-2</v>
      </c>
      <c r="BS318" s="803">
        <v>0.1594869942734107</v>
      </c>
      <c r="BT318" s="803">
        <v>0.24575861995149853</v>
      </c>
      <c r="BW318" s="1138">
        <f>'2018'!R\Max</f>
        <v>0.2070841838172805</v>
      </c>
      <c r="BX318" s="1136">
        <f>'2019'!R\Max</f>
        <v>0.47329370479797855</v>
      </c>
      <c r="BY318" s="1136">
        <f>'2020'!R\Max</f>
        <v>0.95445408841561696</v>
      </c>
      <c r="BZ318" s="1136">
        <f>'2021'!R\Max</f>
        <v>0.57697018923820753</v>
      </c>
      <c r="CA318" s="1136">
        <f>'2022'!R\Max</f>
        <v>0.63902275903429395</v>
      </c>
      <c r="CB318" s="1136">
        <f>'2023'!R\Max</f>
        <v>0.63880978264063892</v>
      </c>
      <c r="CC318" s="1136">
        <f>'2024'!R\Max</f>
        <v>0.63834223991126171</v>
      </c>
      <c r="CD318" s="1136">
        <f>'2025'!R\Max</f>
        <v>0.63956103514847884</v>
      </c>
      <c r="CE318" s="1136">
        <f>'2026'!R\Max</f>
        <v>0.63949188957946024</v>
      </c>
      <c r="CF318" s="1137">
        <f>'2027'!R\Max</f>
        <v>0.63936833324990539</v>
      </c>
    </row>
    <row r="319" spans="1:84" s="6" customFormat="1" ht="11.25" x14ac:dyDescent="0.2">
      <c r="A319" s="11">
        <v>43405</v>
      </c>
      <c r="B319" s="380">
        <f>'2022'!Maxi_hp</f>
        <v>32.156200585342432</v>
      </c>
      <c r="C319" s="85">
        <f>'2022'!An_max</f>
        <v>2020</v>
      </c>
      <c r="D319" s="1089" t="str">
        <f t="shared" si="116"/>
        <v/>
      </c>
      <c r="E319" s="749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838">
        <f t="shared" si="119"/>
        <v>0.21428571428571427</v>
      </c>
      <c r="J319" s="829">
        <f t="shared" si="120"/>
        <v>37.250840560160576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838">
        <f t="shared" si="124"/>
        <v>0.39285714285714285</v>
      </c>
      <c r="AT319" s="855">
        <f t="shared" si="125"/>
        <v>36.943797183715347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838">
        <f t="shared" si="129"/>
        <v>0.8928571428571429</v>
      </c>
      <c r="AY319" s="855">
        <f t="shared" si="130"/>
        <v>37.317459980824161</v>
      </c>
      <c r="AZ319" s="829">
        <f t="shared" si="134"/>
        <v>37.13062858226975</v>
      </c>
      <c r="BA319" s="662">
        <f t="shared" si="131"/>
        <v>0.86323422778634384</v>
      </c>
      <c r="BB319" s="657">
        <v>43405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926">
        <f>1+[2]!Salcycl*Ksac</f>
        <v>1.0230933155740607</v>
      </c>
      <c r="BH319" s="1082">
        <f t="shared" si="132"/>
        <v>7.1833613275462819E-3</v>
      </c>
      <c r="BI319" s="11">
        <v>44501</v>
      </c>
      <c r="BJ319" s="803">
        <v>2.9049249724495529E-3</v>
      </c>
      <c r="BK319" s="803">
        <v>4.0478160921978111E-3</v>
      </c>
      <c r="BL319" s="803">
        <v>5.3717481423165543E-3</v>
      </c>
      <c r="BM319" s="803">
        <v>7.1832421406650979E-3</v>
      </c>
      <c r="BN319" s="803">
        <v>1.0331670912765042E-2</v>
      </c>
      <c r="BO319" s="804">
        <v>1.6091928271310584E-2</v>
      </c>
      <c r="BP319" s="803">
        <v>2.5897611391116068E-2</v>
      </c>
      <c r="BQ319" s="803">
        <v>4.8642479854810072E-2</v>
      </c>
      <c r="BR319" s="803">
        <v>9.3877969022903615E-2</v>
      </c>
      <c r="BS319" s="803">
        <v>0.16453216068285983</v>
      </c>
      <c r="BT319" s="803">
        <v>0.25078617106791162</v>
      </c>
      <c r="BW319" s="1138">
        <f>'2018'!R\Max</f>
        <v>0.6816531126440849</v>
      </c>
      <c r="BX319" s="1136">
        <f>'2019'!R\Max</f>
        <v>0.22367763263688387</v>
      </c>
      <c r="BY319" s="1136">
        <f>'2020'!R\Max</f>
        <v>0.86323422778634384</v>
      </c>
      <c r="BZ319" s="1136">
        <f>'2021'!R\Max</f>
        <v>0.46283109730060523</v>
      </c>
      <c r="CA319" s="1136">
        <f>'2022'!R\Max</f>
        <v>0.69482868126619823</v>
      </c>
      <c r="CB319" s="1136">
        <f>'2023'!R\Max</f>
        <v>0.69463129347485375</v>
      </c>
      <c r="CC319" s="1136">
        <f>'2024'!R\Max</f>
        <v>0.69417347652364847</v>
      </c>
      <c r="CD319" s="1136">
        <f>'2025'!R\Max</f>
        <v>0.69532357613045792</v>
      </c>
      <c r="CE319" s="1136">
        <f>'2026'!R\Max</f>
        <v>0.69526033118048169</v>
      </c>
      <c r="CF319" s="1137">
        <f>'2027'!R\Max</f>
        <v>0.69514732498520493</v>
      </c>
    </row>
    <row r="320" spans="1:84" s="6" customFormat="1" ht="11.25" x14ac:dyDescent="0.2">
      <c r="A320" s="11">
        <v>43406</v>
      </c>
      <c r="B320" s="380">
        <f>'2022'!Maxi_hp</f>
        <v>32.454794639205154</v>
      </c>
      <c r="C320" s="85">
        <f>'2022'!An_max</f>
        <v>2022</v>
      </c>
      <c r="D320" s="1089" t="str">
        <f t="shared" si="116"/>
        <v/>
      </c>
      <c r="E320" s="749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838">
        <f t="shared" si="119"/>
        <v>0.2857142857142857</v>
      </c>
      <c r="J320" s="829">
        <f t="shared" si="120"/>
        <v>36.915387754461591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838">
        <f t="shared" si="124"/>
        <v>0.35714285714285715</v>
      </c>
      <c r="AT320" s="855">
        <f t="shared" si="125"/>
        <v>36.617856487871279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838">
        <f t="shared" si="129"/>
        <v>0.8571428571428571</v>
      </c>
      <c r="AY320" s="855">
        <f t="shared" si="130"/>
        <v>37.001826530482084</v>
      </c>
      <c r="AZ320" s="829">
        <f t="shared" si="134"/>
        <v>36.809841509176678</v>
      </c>
      <c r="BA320" s="662">
        <f t="shared" si="131"/>
        <v>0.87916710654847907</v>
      </c>
      <c r="BB320" s="657">
        <v>43406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926">
        <f>1+[2]!Salcycl*Ksac</f>
        <v>1.0223697506761618</v>
      </c>
      <c r="BH320" s="1082">
        <f t="shared" si="132"/>
        <v>7.0835429855311454E-3</v>
      </c>
      <c r="BI320" s="11">
        <v>44502</v>
      </c>
      <c r="BJ320" s="803">
        <v>2.8781324986218498E-3</v>
      </c>
      <c r="BK320" s="803">
        <v>3.9993766670067951E-3</v>
      </c>
      <c r="BL320" s="803">
        <v>5.2961752414168442E-3</v>
      </c>
      <c r="BM320" s="803">
        <v>7.0834244806009111E-3</v>
      </c>
      <c r="BN320" s="803">
        <v>1.021383890437981E-2</v>
      </c>
      <c r="BO320" s="804">
        <v>1.5939317810732771E-2</v>
      </c>
      <c r="BP320" s="803">
        <v>2.5880996002492402E-2</v>
      </c>
      <c r="BQ320" s="803">
        <v>5.0140163271696618E-2</v>
      </c>
      <c r="BR320" s="803">
        <v>9.7437693308523074E-2</v>
      </c>
      <c r="BS320" s="803">
        <v>0.16943643497699198</v>
      </c>
      <c r="BT320" s="803">
        <v>0.2551106431117483</v>
      </c>
      <c r="BW320" s="1138">
        <f>'2018'!R\Max</f>
        <v>0.19991323627544494</v>
      </c>
      <c r="BX320" s="1136">
        <f>'2019'!R\Max</f>
        <v>0.1725382826338413</v>
      </c>
      <c r="BY320" s="1136">
        <f>'2020'!R\Max</f>
        <v>0.84828133759356306</v>
      </c>
      <c r="BZ320" s="1136">
        <f>'2021'!R\Max</f>
        <v>0.82493989616071706</v>
      </c>
      <c r="CA320" s="1136">
        <f>'2022'!R\Max</f>
        <v>0.87916710654847907</v>
      </c>
      <c r="CB320" s="1136">
        <f>'2023'!R\Max</f>
        <v>0.87906666115712173</v>
      </c>
      <c r="CC320" s="1136">
        <f>'2024'!R\Max</f>
        <v>0.87882141227751798</v>
      </c>
      <c r="CD320" s="1136">
        <f>'2025'!R\Max</f>
        <v>0.87941583078333074</v>
      </c>
      <c r="CE320" s="1136">
        <f>'2026'!R\Max</f>
        <v>0.87938430040078863</v>
      </c>
      <c r="CF320" s="1137">
        <f>'2027'!R\Max</f>
        <v>0.87932796789824175</v>
      </c>
    </row>
    <row r="321" spans="1:84" s="6" customFormat="1" ht="11.25" x14ac:dyDescent="0.2">
      <c r="A321" s="11">
        <v>43407</v>
      </c>
      <c r="B321" s="380">
        <f>'2022'!Maxi_hp</f>
        <v>31.18806335046073</v>
      </c>
      <c r="C321" s="85">
        <f>'2022'!An_max</f>
        <v>2018</v>
      </c>
      <c r="D321" s="1089" t="str">
        <f t="shared" si="116"/>
        <v/>
      </c>
      <c r="E321" s="749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838">
        <f t="shared" si="119"/>
        <v>0.35714285714285715</v>
      </c>
      <c r="J321" s="829">
        <f t="shared" si="120"/>
        <v>36.575914540221646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838">
        <f t="shared" si="124"/>
        <v>0.32142857142857145</v>
      </c>
      <c r="AT321" s="855">
        <f t="shared" si="125"/>
        <v>36.294274478778242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838">
        <f t="shared" si="129"/>
        <v>0.8214285714285714</v>
      </c>
      <c r="AY321" s="855">
        <f t="shared" si="130"/>
        <v>36.680036830236872</v>
      </c>
      <c r="AZ321" s="829">
        <f t="shared" si="134"/>
        <v>36.487155654507561</v>
      </c>
      <c r="BA321" s="662">
        <f t="shared" si="131"/>
        <v>0.85269401305506587</v>
      </c>
      <c r="BB321" s="657">
        <v>43407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926">
        <f>1+[2]!Salcycl*Ksac</f>
        <v>1.0216468012475763</v>
      </c>
      <c r="BH321" s="1082">
        <f t="shared" si="132"/>
        <v>6.982107094815314E-3</v>
      </c>
      <c r="BI321" s="11">
        <v>44503</v>
      </c>
      <c r="BJ321" s="803">
        <v>2.8508745302184449E-3</v>
      </c>
      <c r="BK321" s="803">
        <v>3.9490706444371233E-3</v>
      </c>
      <c r="BL321" s="803">
        <v>5.217919308328791E-3</v>
      </c>
      <c r="BM321" s="803">
        <v>6.9819892113160168E-3</v>
      </c>
      <c r="BN321" s="803">
        <v>1.0095987977413496E-2</v>
      </c>
      <c r="BO321" s="804">
        <v>1.5788706248831979E-2</v>
      </c>
      <c r="BP321" s="803">
        <v>2.5937201997463036E-2</v>
      </c>
      <c r="BQ321" s="803">
        <v>5.1869737837862216E-2</v>
      </c>
      <c r="BR321" s="803">
        <v>0.10116209097452773</v>
      </c>
      <c r="BS321" s="803">
        <v>0.17419944039700561</v>
      </c>
      <c r="BT321" s="803">
        <v>0.25873078083137396</v>
      </c>
      <c r="BW321" s="1138">
        <f>'2018'!R\Max</f>
        <v>0.85269401305506587</v>
      </c>
      <c r="BX321" s="1136">
        <f>'2019'!R\Max</f>
        <v>0.28828782379036855</v>
      </c>
      <c r="BY321" s="1136">
        <f>'2020'!R\Max</f>
        <v>0.84343973966313868</v>
      </c>
      <c r="BZ321" s="1136">
        <f>'2021'!R\Max</f>
        <v>0.54174058933225666</v>
      </c>
      <c r="CA321" s="1136">
        <f>'2022'!R\Max</f>
        <v>0.30816418234720422</v>
      </c>
      <c r="CB321" s="1136">
        <f>'2023'!R\Max</f>
        <v>0.30795814566420171</v>
      </c>
      <c r="CC321" s="1136">
        <f>'2024'!R\Max</f>
        <v>0.30743230624357076</v>
      </c>
      <c r="CD321" s="1136">
        <f>'2025'!R\Max</f>
        <v>0.30866743858737594</v>
      </c>
      <c r="CE321" s="1136">
        <f>'2026'!R\Max</f>
        <v>0.30860422056588666</v>
      </c>
      <c r="CF321" s="1137">
        <f>'2027'!R\Max</f>
        <v>0.30849137522906833</v>
      </c>
    </row>
    <row r="322" spans="1:84" s="6" customFormat="1" ht="11.25" x14ac:dyDescent="0.2">
      <c r="A322" s="11">
        <v>43408</v>
      </c>
      <c r="B322" s="380">
        <f>'2022'!Maxi_hp</f>
        <v>29.822160701304174</v>
      </c>
      <c r="C322" s="85">
        <f>'2022'!An_max</f>
        <v>2018</v>
      </c>
      <c r="D322" s="1089" t="str">
        <f t="shared" si="116"/>
        <v/>
      </c>
      <c r="E322" s="749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838">
        <f t="shared" si="119"/>
        <v>0.42857142857142855</v>
      </c>
      <c r="J322" s="829">
        <f t="shared" si="120"/>
        <v>36.233928571002821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838">
        <f t="shared" si="124"/>
        <v>0.2857142857142857</v>
      </c>
      <c r="AT322" s="855">
        <f t="shared" si="125"/>
        <v>35.973659171323689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838">
        <f t="shared" si="129"/>
        <v>0.7857142857142857</v>
      </c>
      <c r="AY322" s="855">
        <f t="shared" si="130"/>
        <v>36.353033163212238</v>
      </c>
      <c r="AZ322" s="829">
        <f t="shared" si="134"/>
        <v>36.16334616726796</v>
      </c>
      <c r="BA322" s="662">
        <f t="shared" si="131"/>
        <v>0.82304519210125515</v>
      </c>
      <c r="BB322" s="657">
        <v>43408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926">
        <f>1+[2]!Salcycl*Ksac</f>
        <v>1.0209255268198572</v>
      </c>
      <c r="BH322" s="1082">
        <f t="shared" si="132"/>
        <v>6.8790456735541121E-3</v>
      </c>
      <c r="BI322" s="11">
        <v>44504</v>
      </c>
      <c r="BJ322" s="803">
        <v>2.8231479877777943E-3</v>
      </c>
      <c r="BK322" s="803">
        <v>3.896892108053765E-3</v>
      </c>
      <c r="BL322" s="803">
        <v>5.1369722987876232E-3</v>
      </c>
      <c r="BM322" s="803">
        <v>6.8789283509831404E-3</v>
      </c>
      <c r="BN322" s="803">
        <v>9.978109690355454E-3</v>
      </c>
      <c r="BO322" s="804">
        <v>1.5640083036268616E-2</v>
      </c>
      <c r="BP322" s="803">
        <v>2.6066308826064939E-2</v>
      </c>
      <c r="BQ322" s="803">
        <v>5.3831473943891317E-2</v>
      </c>
      <c r="BR322" s="803">
        <v>0.10505127803704943</v>
      </c>
      <c r="BS322" s="803">
        <v>0.17882078404097534</v>
      </c>
      <c r="BT322" s="803">
        <v>0.26164532134503515</v>
      </c>
      <c r="BW322" s="1138">
        <f>'2018'!R\Max</f>
        <v>0.82304519210125515</v>
      </c>
      <c r="BX322" s="1136">
        <f>'2019'!R\Max</f>
        <v>0.37957320789764565</v>
      </c>
      <c r="BY322" s="1136">
        <f>'2020'!R\Max</f>
        <v>0.14814242779530706</v>
      </c>
      <c r="BZ322" s="1136">
        <f>'2021'!R\Max</f>
        <v>0.46734919970779581</v>
      </c>
      <c r="CA322" s="1136">
        <f>'2022'!R\Max</f>
        <v>0.36325991610483754</v>
      </c>
      <c r="CB322" s="1136">
        <f>'2023'!R\Max</f>
        <v>0.36302981492574005</v>
      </c>
      <c r="CC322" s="1136">
        <f>'2024'!R\Max</f>
        <v>0.36241766480846549</v>
      </c>
      <c r="CD322" s="1136">
        <f>'2025'!R\Max</f>
        <v>0.36381130857361516</v>
      </c>
      <c r="CE322" s="1136">
        <f>'2026'!R\Max</f>
        <v>0.36374293517365147</v>
      </c>
      <c r="CF322" s="1137">
        <f>'2027'!R\Max</f>
        <v>0.36362095272023687</v>
      </c>
    </row>
    <row r="323" spans="1:84" s="6" customFormat="1" ht="11.25" x14ac:dyDescent="0.2">
      <c r="A323" s="11">
        <v>43409</v>
      </c>
      <c r="B323" s="380">
        <f>'2022'!Maxi_hp</f>
        <v>34.642381012250276</v>
      </c>
      <c r="C323" s="85">
        <f>'2022'!An_max</f>
        <v>2022</v>
      </c>
      <c r="D323" s="1089" t="str">
        <f t="shared" si="116"/>
        <v/>
      </c>
      <c r="E323" s="749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838">
        <f t="shared" si="119"/>
        <v>0.5</v>
      </c>
      <c r="J323" s="829">
        <f t="shared" si="120"/>
        <v>35.890937499329446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838">
        <f t="shared" si="124"/>
        <v>0.25</v>
      </c>
      <c r="AT323" s="855">
        <f t="shared" si="125"/>
        <v>35.656618584040551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838">
        <f t="shared" si="129"/>
        <v>0.75</v>
      </c>
      <c r="AY323" s="855">
        <f t="shared" si="130"/>
        <v>36.02175781223923</v>
      </c>
      <c r="AZ323" s="829">
        <f t="shared" si="134"/>
        <v>35.839188198139894</v>
      </c>
      <c r="BA323" s="662">
        <f t="shared" si="131"/>
        <v>0.96521248610174926</v>
      </c>
      <c r="BB323" s="657">
        <v>43409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926">
        <f>1+[2]!Salcycl*Ksac</f>
        <v>1.0202069901595878</v>
      </c>
      <c r="BH323" s="1082">
        <f t="shared" si="132"/>
        <v>6.7743511502866127E-3</v>
      </c>
      <c r="BI323" s="11">
        <v>44505</v>
      </c>
      <c r="BJ323" s="803">
        <v>2.7949499042918538E-3</v>
      </c>
      <c r="BK323" s="803">
        <v>3.8428353634543458E-3</v>
      </c>
      <c r="BL323" s="803">
        <v>5.0533265086790888E-3</v>
      </c>
      <c r="BM323" s="803">
        <v>6.7742343281572831E-3</v>
      </c>
      <c r="BN323" s="803">
        <v>9.8601960509769621E-3</v>
      </c>
      <c r="BO323" s="804">
        <v>1.5493438169202534E-2</v>
      </c>
      <c r="BP323" s="803">
        <v>2.6268394567249203E-2</v>
      </c>
      <c r="BQ323" s="803">
        <v>5.6025631881336024E-2</v>
      </c>
      <c r="BR323" s="803">
        <v>0.10910535430566722</v>
      </c>
      <c r="BS323" s="803">
        <v>0.18330005820124751</v>
      </c>
      <c r="BT323" s="803">
        <v>0.26385300064779138</v>
      </c>
      <c r="BW323" s="1138">
        <f>'2018'!R\Max</f>
        <v>0.34584479864279516</v>
      </c>
      <c r="BX323" s="1136">
        <f>'2019'!R\Max</f>
        <v>0.33122908754773478</v>
      </c>
      <c r="BY323" s="1136">
        <f>'2020'!R\Max</f>
        <v>0.43134604688335798</v>
      </c>
      <c r="BZ323" s="1136">
        <f>'2021'!R\Max</f>
        <v>0.30487901486568886</v>
      </c>
      <c r="CA323" s="1136">
        <f>'2022'!R\Max</f>
        <v>0.96521248610174926</v>
      </c>
      <c r="CB323" s="1136">
        <f>'2023'!R\Max</f>
        <v>0.96517787504392916</v>
      </c>
      <c r="CC323" s="1136">
        <f>'2024'!R\Max</f>
        <v>0.96508215721412904</v>
      </c>
      <c r="CD323" s="1136">
        <f>'2025'!R\Max</f>
        <v>0.96529346293393137</v>
      </c>
      <c r="CE323" s="1136">
        <f>'2026'!R\Max</f>
        <v>0.9652835869273938</v>
      </c>
      <c r="CF323" s="1137">
        <f>'2027'!R\Max</f>
        <v>0.96526597194026398</v>
      </c>
    </row>
    <row r="324" spans="1:84" s="6" customFormat="1" ht="11.25" x14ac:dyDescent="0.2">
      <c r="A324" s="11">
        <v>43410</v>
      </c>
      <c r="B324" s="380">
        <f>'2022'!Maxi_hp</f>
        <v>34.243535630219014</v>
      </c>
      <c r="C324" s="85">
        <f>'2022'!An_max</f>
        <v>2022</v>
      </c>
      <c r="D324" s="1089" t="str">
        <f t="shared" si="116"/>
        <v/>
      </c>
      <c r="E324" s="749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838">
        <f t="shared" si="119"/>
        <v>0.5714285714285714</v>
      </c>
      <c r="J324" s="829">
        <f t="shared" si="120"/>
        <v>35.548448978949871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838">
        <f t="shared" si="124"/>
        <v>0.21428571428571427</v>
      </c>
      <c r="AT324" s="855">
        <f t="shared" si="125"/>
        <v>35.343760732188819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838">
        <f t="shared" si="129"/>
        <v>0.7142857142857143</v>
      </c>
      <c r="AY324" s="855">
        <f t="shared" si="130"/>
        <v>35.687153060840707</v>
      </c>
      <c r="AZ324" s="829">
        <f t="shared" si="134"/>
        <v>35.515456896514763</v>
      </c>
      <c r="BA324" s="662">
        <f t="shared" si="131"/>
        <v>0.96329197514345655</v>
      </c>
      <c r="BB324" s="657">
        <v>43410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926">
        <f>1+[2]!Salcycl*Ksac</f>
        <v>1.0194922524513546</v>
      </c>
      <c r="BH324" s="1082">
        <f t="shared" si="132"/>
        <v>6.6729052959383804E-3</v>
      </c>
      <c r="BI324" s="11">
        <v>44506</v>
      </c>
      <c r="BJ324" s="803">
        <v>2.7657118951183932E-3</v>
      </c>
      <c r="BK324" s="803">
        <v>3.7878010572236164E-3</v>
      </c>
      <c r="BL324" s="803">
        <v>4.9694101826219042E-3</v>
      </c>
      <c r="BM324" s="803">
        <v>6.6727887997094391E-3</v>
      </c>
      <c r="BN324" s="803">
        <v>9.7501415703650212E-3</v>
      </c>
      <c r="BO324" s="804">
        <v>1.5360536181695444E-2</v>
      </c>
      <c r="BP324" s="803">
        <v>2.6616671226727045E-2</v>
      </c>
      <c r="BQ324" s="803">
        <v>5.8391746827141454E-2</v>
      </c>
      <c r="BR324" s="803">
        <v>0.11315728969647432</v>
      </c>
      <c r="BS324" s="803">
        <v>0.18735392037852186</v>
      </c>
      <c r="BT324" s="803">
        <v>0.26519736899468255</v>
      </c>
      <c r="BW324" s="1138">
        <f>'2018'!R\Max</f>
        <v>0.60990608305141747</v>
      </c>
      <c r="BX324" s="1136">
        <f>'2019'!R\Max</f>
        <v>0.33054174450077062</v>
      </c>
      <c r="BY324" s="1136">
        <f>'2020'!R\Max</f>
        <v>0.67459007196620002</v>
      </c>
      <c r="BZ324" s="1136">
        <f>'2021'!R\Max</f>
        <v>0.53452468997066083</v>
      </c>
      <c r="CA324" s="1136">
        <f>'2022'!R\Max</f>
        <v>0.96329197514345655</v>
      </c>
      <c r="CB324" s="1136">
        <f>'2023'!R\Max</f>
        <v>0.96325381818046385</v>
      </c>
      <c r="CC324" s="1136">
        <f>'2024'!R\Max</f>
        <v>0.96314593354563305</v>
      </c>
      <c r="CD324" s="1136">
        <f>'2025'!R\Max</f>
        <v>0.96337886866928268</v>
      </c>
      <c r="CE324" s="1136">
        <f>'2026'!R\Max</f>
        <v>0.96336847622953858</v>
      </c>
      <c r="CF324" s="1137">
        <f>'2027'!R\Max</f>
        <v>0.96334996223438774</v>
      </c>
    </row>
    <row r="325" spans="1:84" s="6" customFormat="1" ht="11.25" x14ac:dyDescent="0.2">
      <c r="A325" s="11">
        <v>43411</v>
      </c>
      <c r="B325" s="380">
        <f>'2022'!Maxi_hp</f>
        <v>32.735646206906857</v>
      </c>
      <c r="C325" s="85">
        <f>'2022'!An_max</f>
        <v>2022</v>
      </c>
      <c r="D325" s="1089" t="str">
        <f t="shared" si="116"/>
        <v/>
      </c>
      <c r="E325" s="749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838">
        <f t="shared" si="119"/>
        <v>0.6428571428571429</v>
      </c>
      <c r="J325" s="829">
        <f t="shared" si="120"/>
        <v>35.207970662920602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838">
        <f t="shared" si="124"/>
        <v>0.17857142857142858</v>
      </c>
      <c r="AT325" s="855">
        <f t="shared" si="125"/>
        <v>35.03569363265165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838">
        <f t="shared" si="129"/>
        <v>0.6785714285714286</v>
      </c>
      <c r="AY325" s="855">
        <f t="shared" si="130"/>
        <v>35.350161192439764</v>
      </c>
      <c r="AZ325" s="829">
        <f t="shared" si="134"/>
        <v>35.192927412545707</v>
      </c>
      <c r="BA325" s="662">
        <f t="shared" si="131"/>
        <v>0.92977941047259838</v>
      </c>
      <c r="BB325" s="657">
        <v>43411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926">
        <f>1+[2]!Salcycl*Ksac</f>
        <v>1.0187823684434278</v>
      </c>
      <c r="BH325" s="1082">
        <f t="shared" si="132"/>
        <v>6.5773045434338075E-3</v>
      </c>
      <c r="BI325" s="11">
        <v>44507</v>
      </c>
      <c r="BJ325" s="803">
        <v>2.7330374034748753E-3</v>
      </c>
      <c r="BK325" s="803">
        <v>3.7312420792058646E-3</v>
      </c>
      <c r="BL325" s="803">
        <v>4.8866597032562915E-3</v>
      </c>
      <c r="BM325" s="803">
        <v>6.5771882242613251E-3</v>
      </c>
      <c r="BN325" s="803">
        <v>9.6498638891606096E-3</v>
      </c>
      <c r="BO325" s="804">
        <v>1.5243008466375788E-2</v>
      </c>
      <c r="BP325" s="803">
        <v>2.7110857969523356E-2</v>
      </c>
      <c r="BQ325" s="803">
        <v>6.0821053490596189E-2</v>
      </c>
      <c r="BR325" s="803">
        <v>0.11707130469110816</v>
      </c>
      <c r="BS325" s="803">
        <v>0.19093376439707654</v>
      </c>
      <c r="BT325" s="803">
        <v>0.26593698882087413</v>
      </c>
      <c r="BW325" s="1138">
        <f>'2018'!R\Max</f>
        <v>0.29807647556248545</v>
      </c>
      <c r="BX325" s="1136">
        <f>'2019'!R\Max</f>
        <v>0.11264231145739799</v>
      </c>
      <c r="BY325" s="1136">
        <f>'2020'!R\Max</f>
        <v>0.48667833496012985</v>
      </c>
      <c r="BZ325" s="1136">
        <f>'2021'!R\Max</f>
        <v>0.29394662005710898</v>
      </c>
      <c r="CA325" s="1136">
        <f>'2022'!R\Max</f>
        <v>0.92977941047259838</v>
      </c>
      <c r="CB325" s="1136">
        <f>'2023'!R\Max</f>
        <v>0.92970497188311896</v>
      </c>
      <c r="CC325" s="1136">
        <f>'2024'!R\Max</f>
        <v>0.9294931804591986</v>
      </c>
      <c r="CD325" s="1136">
        <f>'2025'!R\Max</f>
        <v>0.92994377548563989</v>
      </c>
      <c r="CE325" s="1136">
        <f>'2026'!R\Max</f>
        <v>0.9299245741270995</v>
      </c>
      <c r="CF325" s="1137">
        <f>'2027'!R\Max</f>
        <v>0.92989041843201325</v>
      </c>
    </row>
    <row r="326" spans="1:84" s="6" customFormat="1" ht="11.25" x14ac:dyDescent="0.2">
      <c r="A326" s="11">
        <v>43412</v>
      </c>
      <c r="B326" s="380">
        <f>'2022'!Maxi_hp</f>
        <v>27.419796880522092</v>
      </c>
      <c r="C326" s="85">
        <f>'2022'!An_max</f>
        <v>2021</v>
      </c>
      <c r="D326" s="1089" t="str">
        <f t="shared" si="116"/>
        <v/>
      </c>
      <c r="E326" s="749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838">
        <f t="shared" si="119"/>
        <v>0.7142857142857143</v>
      </c>
      <c r="J326" s="829">
        <f t="shared" si="120"/>
        <v>34.871010203446659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838">
        <f t="shared" si="124"/>
        <v>0.14285714285714285</v>
      </c>
      <c r="AT326" s="855">
        <f t="shared" si="125"/>
        <v>34.733025302258987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838">
        <f t="shared" si="129"/>
        <v>0.6428571428571429</v>
      </c>
      <c r="AY326" s="855">
        <f t="shared" si="130"/>
        <v>35.011724489488238</v>
      </c>
      <c r="AZ326" s="829">
        <f t="shared" si="134"/>
        <v>34.872374895873612</v>
      </c>
      <c r="BA326" s="662">
        <f t="shared" si="131"/>
        <v>0.78632069218952294</v>
      </c>
      <c r="BB326" s="657">
        <v>43412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926">
        <f>1+[2]!Salcycl*Ksac</f>
        <v>1.0180783815899199</v>
      </c>
      <c r="BH326" s="1082">
        <f t="shared" si="132"/>
        <v>6.4875526874553554E-3</v>
      </c>
      <c r="BI326" s="11">
        <v>44508</v>
      </c>
      <c r="BJ326" s="803">
        <v>2.6969198265181043E-3</v>
      </c>
      <c r="BK326" s="803">
        <v>3.6731539766478327E-3</v>
      </c>
      <c r="BL326" s="803">
        <v>4.8050737364609842E-3</v>
      </c>
      <c r="BM326" s="803">
        <v>6.4874363963928214E-3</v>
      </c>
      <c r="BN326" s="803">
        <v>9.5593695116930558E-3</v>
      </c>
      <c r="BO326" s="804">
        <v>1.5140864474158591E-2</v>
      </c>
      <c r="BP326" s="803">
        <v>2.7751121884909458E-2</v>
      </c>
      <c r="BQ326" s="803">
        <v>6.3313540473821511E-2</v>
      </c>
      <c r="BR326" s="803">
        <v>0.12084703451648167</v>
      </c>
      <c r="BS326" s="803">
        <v>0.19403870326856598</v>
      </c>
      <c r="BT326" s="803">
        <v>0.26607077655283534</v>
      </c>
      <c r="BW326" s="1138">
        <f>'2018'!R\Max</f>
        <v>0.51378376410161752</v>
      </c>
      <c r="BX326" s="1136">
        <f>'2019'!R\Max</f>
        <v>0.40309628351128007</v>
      </c>
      <c r="BY326" s="1136">
        <f>'2020'!R\Max</f>
        <v>0.1242666682520802</v>
      </c>
      <c r="BZ326" s="1136">
        <f>'2021'!R\Max</f>
        <v>0.78632069218952294</v>
      </c>
      <c r="CA326" s="1136">
        <f>'2022'!R\Max</f>
        <v>0.64179368889413146</v>
      </c>
      <c r="CB326" s="1136">
        <f>'2023'!R\Max</f>
        <v>0.6415146788179189</v>
      </c>
      <c r="CC326" s="1136">
        <f>'2024'!R\Max</f>
        <v>0.64072740753123703</v>
      </c>
      <c r="CD326" s="1136">
        <f>'2025'!R\Max</f>
        <v>0.64238993465468053</v>
      </c>
      <c r="CE326" s="1136">
        <f>'2026'!R\Max</f>
        <v>0.64232210814117241</v>
      </c>
      <c r="CF326" s="1137">
        <f>'2027'!R\Max</f>
        <v>0.64220169660017701</v>
      </c>
    </row>
    <row r="327" spans="1:84" s="6" customFormat="1" ht="11.25" x14ac:dyDescent="0.2">
      <c r="A327" s="11">
        <v>43413</v>
      </c>
      <c r="B327" s="380">
        <f>'2022'!Maxi_hp</f>
        <v>26.175340990445164</v>
      </c>
      <c r="C327" s="85">
        <f>'2022'!An_max</f>
        <v>2020</v>
      </c>
      <c r="D327" s="1089" t="str">
        <f t="shared" si="116"/>
        <v/>
      </c>
      <c r="E327" s="749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838">
        <f t="shared" si="119"/>
        <v>0.7857142857142857</v>
      </c>
      <c r="J327" s="829">
        <f t="shared" si="120"/>
        <v>34.539075255048061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838">
        <f t="shared" si="124"/>
        <v>0.10714285714285714</v>
      </c>
      <c r="AT327" s="855">
        <f t="shared" si="125"/>
        <v>34.436363757188829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838">
        <f t="shared" si="129"/>
        <v>0.6071428571428571</v>
      </c>
      <c r="AY327" s="855">
        <f t="shared" si="130"/>
        <v>34.672785236905995</v>
      </c>
      <c r="AZ327" s="829">
        <f t="shared" si="134"/>
        <v>34.554574497047412</v>
      </c>
      <c r="BA327" s="662">
        <f t="shared" si="131"/>
        <v>0.75784718603951351</v>
      </c>
      <c r="BB327" s="657">
        <v>43413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926">
        <f>1+[2]!Salcycl*Ksac</f>
        <v>1.0173813192234564</v>
      </c>
      <c r="BH327" s="1082">
        <f t="shared" si="132"/>
        <v>6.4036536542098101E-3</v>
      </c>
      <c r="BI327" s="11">
        <v>44509</v>
      </c>
      <c r="BJ327" s="803">
        <v>2.6573528169423115E-3</v>
      </c>
      <c r="BK327" s="803">
        <v>3.6135325668136854E-3</v>
      </c>
      <c r="BL327" s="803">
        <v>4.7246512111568115E-3</v>
      </c>
      <c r="BM327" s="803">
        <v>6.403537242213069E-3</v>
      </c>
      <c r="BN327" s="803">
        <v>9.4786649434651128E-3</v>
      </c>
      <c r="BO327" s="804">
        <v>1.5054113511852256E-2</v>
      </c>
      <c r="BP327" s="803">
        <v>2.8537622669367536E-2</v>
      </c>
      <c r="BQ327" s="803">
        <v>6.5869185192807364E-2</v>
      </c>
      <c r="BR327" s="803">
        <v>0.12448410566343886</v>
      </c>
      <c r="BS327" s="803">
        <v>0.19666785557222025</v>
      </c>
      <c r="BT327" s="803">
        <v>0.26559766967190523</v>
      </c>
      <c r="BW327" s="1138">
        <f>'2018'!R\Max</f>
        <v>0.15555134602828841</v>
      </c>
      <c r="BX327" s="1136">
        <f>'2019'!R\Max</f>
        <v>0.57288475604038658</v>
      </c>
      <c r="BY327" s="1136">
        <f>'2020'!R\Max</f>
        <v>0.75784718603951351</v>
      </c>
      <c r="BZ327" s="1136">
        <f>'2021'!R\Max</f>
        <v>0.73072295162604894</v>
      </c>
      <c r="CA327" s="1136">
        <f>'2022'!R\Max</f>
        <v>0.34249338429568094</v>
      </c>
      <c r="CB327" s="1136">
        <f>'2023'!R\Max</f>
        <v>0.342200651641138</v>
      </c>
      <c r="CC327" s="1136">
        <f>'2024'!R\Max</f>
        <v>0.34139078921950727</v>
      </c>
      <c r="CD327" s="1136">
        <f>'2025'!R\Max</f>
        <v>0.34309785684683147</v>
      </c>
      <c r="CE327" s="1136">
        <f>'2026'!R\Max</f>
        <v>0.3430311128711932</v>
      </c>
      <c r="CF327" s="1137">
        <f>'2027'!R\Max</f>
        <v>0.34291289174296352</v>
      </c>
    </row>
    <row r="328" spans="1:84" s="6" customFormat="1" ht="11.25" x14ac:dyDescent="0.2">
      <c r="A328" s="11">
        <v>43414</v>
      </c>
      <c r="B328" s="380">
        <f>'2022'!Maxi_hp</f>
        <v>26.422176031713878</v>
      </c>
      <c r="C328" s="85">
        <f>'2022'!An_max</f>
        <v>2022</v>
      </c>
      <c r="D328" s="1089" t="str">
        <f t="shared" si="116"/>
        <v/>
      </c>
      <c r="E328" s="749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838">
        <f t="shared" si="119"/>
        <v>0.8571428571428571</v>
      </c>
      <c r="J328" s="829">
        <f t="shared" si="120"/>
        <v>34.213673468945288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838">
        <f t="shared" si="124"/>
        <v>7.1428571428571425E-2</v>
      </c>
      <c r="AT328" s="855">
        <f t="shared" si="125"/>
        <v>34.146317014044953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838">
        <f t="shared" si="129"/>
        <v>0.5714285714285714</v>
      </c>
      <c r="AY328" s="855">
        <f t="shared" si="130"/>
        <v>34.334285715115918</v>
      </c>
      <c r="AZ328" s="829">
        <f t="shared" si="134"/>
        <v>34.240301364580432</v>
      </c>
      <c r="BA328" s="662">
        <f t="shared" si="131"/>
        <v>0.77226948622446179</v>
      </c>
      <c r="BB328" s="657">
        <v>43414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926">
        <f>1+[2]!Salcycl*Ksac</f>
        <v>1.0166921877923896</v>
      </c>
      <c r="BH328" s="1082">
        <f t="shared" si="132"/>
        <v>6.3256114466140002E-3</v>
      </c>
      <c r="BI328" s="11">
        <v>44510</v>
      </c>
      <c r="BJ328" s="803">
        <v>2.6143303141359553E-3</v>
      </c>
      <c r="BK328" s="803">
        <v>3.5523739503308411E-3</v>
      </c>
      <c r="BL328" s="803">
        <v>4.645391307661906E-3</v>
      </c>
      <c r="BM328" s="803">
        <v>6.3254947645475608E-3</v>
      </c>
      <c r="BN328" s="803">
        <v>9.4077566000394658E-3</v>
      </c>
      <c r="BO328" s="804">
        <v>1.4982764599218596E-2</v>
      </c>
      <c r="BP328" s="803">
        <v>2.9470511289295554E-2</v>
      </c>
      <c r="BQ328" s="803">
        <v>6.8487953314758723E-2</v>
      </c>
      <c r="BR328" s="803">
        <v>0.12798213718130658</v>
      </c>
      <c r="BS328" s="803">
        <v>0.19882034983015995</v>
      </c>
      <c r="BT328" s="803">
        <v>0.26451663226266237</v>
      </c>
      <c r="BW328" s="1138">
        <f>'2018'!R\Max</f>
        <v>0.63311451635592686</v>
      </c>
      <c r="BX328" s="1136">
        <f>'2019'!R\Max</f>
        <v>0.61489568443712306</v>
      </c>
      <c r="BY328" s="1136">
        <f>'2020'!R\Max</f>
        <v>0.62829177011599491</v>
      </c>
      <c r="BZ328" s="1136">
        <f>'2021'!R\Max</f>
        <v>0.20971791242356264</v>
      </c>
      <c r="CA328" s="1136">
        <f>'2022'!R\Max</f>
        <v>0.77226948622446179</v>
      </c>
      <c r="CB328" s="1136">
        <f>'2023'!R\Max</f>
        <v>0.77202319588515878</v>
      </c>
      <c r="CC328" s="1136">
        <f>'2024'!R\Max</f>
        <v>0.77135888613407433</v>
      </c>
      <c r="CD328" s="1136">
        <f>'2025'!R\Max</f>
        <v>0.77275909090727346</v>
      </c>
      <c r="CE328" s="1136">
        <f>'2026'!R\Max</f>
        <v>0.77270685786570625</v>
      </c>
      <c r="CF328" s="1137">
        <f>'2027'!R\Max</f>
        <v>0.77261451846283991</v>
      </c>
    </row>
    <row r="329" spans="1:84" s="6" customFormat="1" ht="11.25" x14ac:dyDescent="0.2">
      <c r="A329" s="11">
        <v>43415</v>
      </c>
      <c r="B329" s="380">
        <f>'2022'!Maxi_hp</f>
        <v>32.960695638273201</v>
      </c>
      <c r="C329" s="85">
        <f>'2022'!An_max</f>
        <v>2022</v>
      </c>
      <c r="D329" s="1089">
        <f t="shared" si="116"/>
        <v>0.97239768009457328</v>
      </c>
      <c r="E329" s="749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838">
        <f t="shared" si="119"/>
        <v>0.9285714285714286</v>
      </c>
      <c r="J329" s="829">
        <f t="shared" si="120"/>
        <v>33.896312499498677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838">
        <f t="shared" si="124"/>
        <v>3.5714285714285712E-2</v>
      </c>
      <c r="AT329" s="855">
        <f t="shared" si="125"/>
        <v>33.863493089630666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838">
        <f t="shared" si="129"/>
        <v>0.5357142857142857</v>
      </c>
      <c r="AY329" s="855">
        <f t="shared" si="130"/>
        <v>33.997168208319422</v>
      </c>
      <c r="AZ329" s="829">
        <f t="shared" si="134"/>
        <v>33.930330648975044</v>
      </c>
      <c r="BA329" s="662">
        <f t="shared" si="131"/>
        <v>0.97239768009457328</v>
      </c>
      <c r="BB329" s="657">
        <v>43415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926">
        <f>1+[2]!Salcycl*Ksac</f>
        <v>1.0160119681962887</v>
      </c>
      <c r="BH329" s="1082">
        <f t="shared" si="132"/>
        <v>6.2534300894213505E-3</v>
      </c>
      <c r="BI329" s="11">
        <v>44511</v>
      </c>
      <c r="BJ329" s="803">
        <v>2.5678465753140012E-3</v>
      </c>
      <c r="BK329" s="803">
        <v>3.4896745245024036E-3</v>
      </c>
      <c r="BL329" s="803">
        <v>4.5672934460031711E-3</v>
      </c>
      <c r="BM329" s="803">
        <v>6.2533129880660678E-3</v>
      </c>
      <c r="BN329" s="803">
        <v>9.3466507158379234E-3</v>
      </c>
      <c r="BO329" s="804">
        <v>1.4926826325894496E-2</v>
      </c>
      <c r="BP329" s="803">
        <v>3.0549928643454755E-2</v>
      </c>
      <c r="BQ329" s="803">
        <v>7.1169798194856124E-2</v>
      </c>
      <c r="BR329" s="803">
        <v>0.13134074197133513</v>
      </c>
      <c r="BS329" s="803">
        <v>0.20049532888093657</v>
      </c>
      <c r="BT329" s="803">
        <v>0.26282666055887</v>
      </c>
      <c r="BW329" s="1138">
        <f>'2018'!R\Max</f>
        <v>0.86009113150075711</v>
      </c>
      <c r="BX329" s="1136">
        <f>'2019'!R\Max</f>
        <v>0.75963603387591472</v>
      </c>
      <c r="BY329" s="1136">
        <f>'2020'!R\Max</f>
        <v>0.49469469307056169</v>
      </c>
      <c r="BZ329" s="1136">
        <f>'2021'!R\Max</f>
        <v>0.28419129902317208</v>
      </c>
      <c r="CA329" s="1136">
        <f>'2022'!R\Max</f>
        <v>0.97239768009457328</v>
      </c>
      <c r="CB329" s="1136">
        <f>'2023'!R\Max</f>
        <v>0.97235705428655372</v>
      </c>
      <c r="CC329" s="1136">
        <f>'2024'!R\Max</f>
        <v>0.97225112941900727</v>
      </c>
      <c r="CD329" s="1136">
        <f>'2025'!R\Max</f>
        <v>0.97247549627137353</v>
      </c>
      <c r="CE329" s="1136">
        <f>'2026'!R\Max</f>
        <v>0.97246749036291835</v>
      </c>
      <c r="CF329" s="1137">
        <f>'2027'!R\Max</f>
        <v>0.97245337091438866</v>
      </c>
    </row>
    <row r="330" spans="1:84" s="6" customFormat="1" ht="11.25" x14ac:dyDescent="0.2">
      <c r="A330" s="11">
        <v>43416</v>
      </c>
      <c r="B330" s="380">
        <f>'2022'!Maxi_hp</f>
        <v>32.840746587016881</v>
      </c>
      <c r="C330" s="85">
        <f>'2022'!An_max</f>
        <v>2020</v>
      </c>
      <c r="D330" s="1089">
        <f t="shared" si="116"/>
        <v>0.97773781466720222</v>
      </c>
      <c r="E330" s="837">
        <f>AJ$13/10</f>
        <v>33.588499999999996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838">
        <f t="shared" si="119"/>
        <v>1</v>
      </c>
      <c r="J330" s="829">
        <f t="shared" si="120"/>
        <v>33.588499999046327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838">
        <f t="shared" si="124"/>
        <v>0</v>
      </c>
      <c r="AT330" s="855">
        <f t="shared" si="125"/>
        <v>33.588499999791381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838">
        <f t="shared" si="129"/>
        <v>0.5</v>
      </c>
      <c r="AY330" s="855">
        <f t="shared" si="130"/>
        <v>33.662375000584873</v>
      </c>
      <c r="AZ330" s="829">
        <f t="shared" si="134"/>
        <v>33.625437500188127</v>
      </c>
      <c r="BA330" s="662">
        <f t="shared" si="131"/>
        <v>0.97773781466720222</v>
      </c>
      <c r="BB330" s="657">
        <v>43416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926">
        <f>1+[2]!Salcycl*Ksac</f>
        <v>1.0153416112528404</v>
      </c>
      <c r="BH330" s="1082">
        <f t="shared" si="132"/>
        <v>6.1871135744283341E-3</v>
      </c>
      <c r="BI330" s="11">
        <v>44512</v>
      </c>
      <c r="BJ330" s="803">
        <v>2.5178962066832542E-3</v>
      </c>
      <c r="BK330" s="803">
        <v>3.4254309966645128E-3</v>
      </c>
      <c r="BL330" s="803">
        <v>4.4903572742865088E-3</v>
      </c>
      <c r="BM330" s="803">
        <v>6.1869959044904693E-3</v>
      </c>
      <c r="BN330" s="803">
        <v>9.295353253059262E-3</v>
      </c>
      <c r="BO330" s="804">
        <v>1.4886306708502328E-2</v>
      </c>
      <c r="BP330" s="803">
        <v>3.1776004225784027E-2</v>
      </c>
      <c r="BQ330" s="803">
        <v>7.3914660313865607E-2</v>
      </c>
      <c r="BR330" s="803">
        <v>0.1345595280817305</v>
      </c>
      <c r="BS330" s="803">
        <v>0.20169195425556063</v>
      </c>
      <c r="BT330" s="803">
        <v>0.26052678849274907</v>
      </c>
      <c r="BW330" s="1138">
        <f>'2018'!R\Max</f>
        <v>0.82823729637265686</v>
      </c>
      <c r="BX330" s="1136">
        <f>'2019'!R\Max</f>
        <v>0.53994086892856641</v>
      </c>
      <c r="BY330" s="1136">
        <f>'2020'!R\Max</f>
        <v>0.97773781466720222</v>
      </c>
      <c r="BZ330" s="1136">
        <f>'2021'!R\Max</f>
        <v>0.34587553056452613</v>
      </c>
      <c r="CA330" s="1136">
        <f>'2022'!R\Max</f>
        <v>0.93710988914026672</v>
      </c>
      <c r="CB330" s="1136">
        <f>'2023'!R\Max</f>
        <v>0.93701327826602687</v>
      </c>
      <c r="CC330" s="1136">
        <f>'2024'!R\Max</f>
        <v>0.93677154741771251</v>
      </c>
      <c r="CD330" s="1136">
        <f>'2025'!R\Max</f>
        <v>0.93728849449412932</v>
      </c>
      <c r="CE330" s="1136">
        <f>'2026'!R\Max</f>
        <v>0.93727079812998793</v>
      </c>
      <c r="CF330" s="1137">
        <f>'2027'!R\Max</f>
        <v>0.93723967630100091</v>
      </c>
    </row>
    <row r="331" spans="1:84" s="6" customFormat="1" ht="11.25" x14ac:dyDescent="0.2">
      <c r="A331" s="11">
        <v>43417</v>
      </c>
      <c r="B331" s="380">
        <f>'2022'!Maxi_hp</f>
        <v>31.691903081077836</v>
      </c>
      <c r="C331" s="85">
        <f>'2022'!An_max</f>
        <v>2022</v>
      </c>
      <c r="D331" s="1089" t="str">
        <f t="shared" si="116"/>
        <v/>
      </c>
      <c r="E331" s="749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838">
        <f t="shared" si="119"/>
        <v>0.9285714285714286</v>
      </c>
      <c r="J331" s="829">
        <f t="shared" si="120"/>
        <v>33.287041180474418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838">
        <f t="shared" si="124"/>
        <v>3.5714285714285712E-2</v>
      </c>
      <c r="AT331" s="855">
        <f t="shared" si="125"/>
        <v>33.314630565326659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838">
        <f t="shared" si="129"/>
        <v>0.4642857142857143</v>
      </c>
      <c r="AY331" s="855">
        <f t="shared" si="130"/>
        <v>33.330848374284265</v>
      </c>
      <c r="AZ331" s="829">
        <f t="shared" si="134"/>
        <v>33.322739469805462</v>
      </c>
      <c r="BA331" s="662">
        <f t="shared" si="131"/>
        <v>0.95207930645598315</v>
      </c>
      <c r="BB331" s="657">
        <v>43417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926">
        <f>1+[2]!Salcycl*Ksac</f>
        <v>1.014682033328427</v>
      </c>
      <c r="BH331" s="1082">
        <f t="shared" si="132"/>
        <v>6.1266658055831331E-3</v>
      </c>
      <c r="BI331" s="11">
        <v>44513</v>
      </c>
      <c r="BJ331" s="803">
        <v>2.4644741945672897E-3</v>
      </c>
      <c r="BK331" s="803">
        <v>3.359640397488805E-3</v>
      </c>
      <c r="BL331" s="803">
        <v>4.4145826569952631E-3</v>
      </c>
      <c r="BM331" s="803">
        <v>6.1265474177047878E-3</v>
      </c>
      <c r="BN331" s="803">
        <v>9.2538698104515597E-3</v>
      </c>
      <c r="BO331" s="804">
        <v>1.4861213047528609E-2</v>
      </c>
      <c r="BP331" s="803">
        <v>3.314885478775733E-2</v>
      </c>
      <c r="BQ331" s="803">
        <v>7.6722466714686813E-2</v>
      </c>
      <c r="BR331" s="803">
        <v>0.13763810000070467</v>
      </c>
      <c r="BS331" s="803">
        <v>0.20240941055045339</v>
      </c>
      <c r="BT331" s="803">
        <v>0.25761609324016249</v>
      </c>
      <c r="BW331" s="1138">
        <f>'2018'!R\Max</f>
        <v>0.2601612110291146</v>
      </c>
      <c r="BX331" s="1136">
        <f>'2019'!R\Max</f>
        <v>0.58598053400864392</v>
      </c>
      <c r="BY331" s="1136">
        <f>'2020'!R\Max</f>
        <v>0.92553991574410055</v>
      </c>
      <c r="BZ331" s="1136">
        <f>'2021'!R\Max</f>
        <v>0.18406881058413677</v>
      </c>
      <c r="CA331" s="1136">
        <f>'2022'!R\Max</f>
        <v>0.95207930645598315</v>
      </c>
      <c r="CB331" s="1136">
        <f>'2023'!R\Max</f>
        <v>0.95199817410117316</v>
      </c>
      <c r="CC331" s="1136">
        <f>'2024'!R\Max</f>
        <v>0.95180424013641007</v>
      </c>
      <c r="CD331" s="1136">
        <f>'2025'!R\Max</f>
        <v>0.95222420710489453</v>
      </c>
      <c r="CE331" s="1136">
        <f>'2026'!R\Max</f>
        <v>0.95221040363070553</v>
      </c>
      <c r="CF331" s="1137">
        <f>'2027'!R\Max</f>
        <v>0.95218620117900776</v>
      </c>
    </row>
    <row r="332" spans="1:84" s="6" customFormat="1" ht="11.25" x14ac:dyDescent="0.2">
      <c r="A332" s="11">
        <v>43418</v>
      </c>
      <c r="B332" s="380">
        <f>'2022'!Maxi_hp</f>
        <v>20.754830581758107</v>
      </c>
      <c r="C332" s="85">
        <f>'2022'!An_max</f>
        <v>2020</v>
      </c>
      <c r="D332" s="1089" t="str">
        <f t="shared" si="116"/>
        <v/>
      </c>
      <c r="E332" s="749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838">
        <f t="shared" si="119"/>
        <v>0.8571428571428571</v>
      </c>
      <c r="J332" s="829">
        <f t="shared" si="120"/>
        <v>32.988023323672152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838">
        <f t="shared" si="124"/>
        <v>7.1428571428571425E-2</v>
      </c>
      <c r="AT332" s="855">
        <f t="shared" si="125"/>
        <v>33.035420625417359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838">
        <f t="shared" si="129"/>
        <v>0.42857142857142855</v>
      </c>
      <c r="AY332" s="855">
        <f t="shared" si="130"/>
        <v>33.003530612534711</v>
      </c>
      <c r="AZ332" s="829">
        <f t="shared" si="134"/>
        <v>33.019475618976031</v>
      </c>
      <c r="BA332" s="662">
        <f t="shared" si="131"/>
        <v>0.62916260177567152</v>
      </c>
      <c r="BB332" s="657">
        <v>43418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926">
        <f>1+[2]!Salcycl*Ksac</f>
        <v>1.0140341121634935</v>
      </c>
      <c r="BH332" s="1082">
        <f t="shared" si="132"/>
        <v>6.0721190688826695E-3</v>
      </c>
      <c r="BI332" s="11">
        <v>44514</v>
      </c>
      <c r="BJ332" s="803">
        <v>2.4106040216054546E-3</v>
      </c>
      <c r="BK332" s="803">
        <v>3.2947350703470464E-3</v>
      </c>
      <c r="BL332" s="803">
        <v>4.3415286429854165E-3</v>
      </c>
      <c r="BM332" s="803">
        <v>6.071999839453268E-3</v>
      </c>
      <c r="BN332" s="803">
        <v>9.2215525610007381E-3</v>
      </c>
      <c r="BO332" s="804">
        <v>1.489237690780488E-2</v>
      </c>
      <c r="BP332" s="803">
        <v>3.4637995406976145E-2</v>
      </c>
      <c r="BQ332" s="803">
        <v>7.9484348562446613E-2</v>
      </c>
      <c r="BR332" s="803">
        <v>0.14040909686977779</v>
      </c>
      <c r="BS332" s="803">
        <v>0.20258850002729364</v>
      </c>
      <c r="BT332" s="803">
        <v>0.25420321635716969</v>
      </c>
      <c r="BW332" s="1138">
        <f>'2018'!R\Max</f>
        <v>0.58206417180416414</v>
      </c>
      <c r="BX332" s="1136">
        <f>'2019'!R\Max</f>
        <v>0.18058374886007303</v>
      </c>
      <c r="BY332" s="1136">
        <f>'2020'!R\Max</f>
        <v>0.62916260177567152</v>
      </c>
      <c r="BZ332" s="1136">
        <f>'2021'!R\Max</f>
        <v>0.15542582157348658</v>
      </c>
      <c r="CA332" s="1136">
        <f>'2022'!R\Max</f>
        <v>0.35840031091576818</v>
      </c>
      <c r="CB332" s="1136">
        <f>'2023'!R\Max</f>
        <v>0.35795844803492632</v>
      </c>
      <c r="CC332" s="1136">
        <f>'2024'!R\Max</f>
        <v>0.35695517178581332</v>
      </c>
      <c r="CD332" s="1136">
        <f>'2025'!R\Max</f>
        <v>0.35916930236192285</v>
      </c>
      <c r="CE332" s="1136">
        <f>'2026'!R\Max</f>
        <v>0.35909885701767036</v>
      </c>
      <c r="CF332" s="1137">
        <f>'2027'!R\Max</f>
        <v>0.35897489706840735</v>
      </c>
    </row>
    <row r="333" spans="1:84" s="6" customFormat="1" ht="11.25" x14ac:dyDescent="0.2">
      <c r="A333" s="11">
        <v>43419</v>
      </c>
      <c r="B333" s="380">
        <f>'2022'!Maxi_hp</f>
        <v>29.501536808911666</v>
      </c>
      <c r="C333" s="85">
        <f>'2022'!An_max</f>
        <v>2020</v>
      </c>
      <c r="D333" s="1089" t="str">
        <f t="shared" si="116"/>
        <v/>
      </c>
      <c r="E333" s="749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838">
        <f t="shared" si="119"/>
        <v>0.7857142857142857</v>
      </c>
      <c r="J333" s="829">
        <f t="shared" si="120"/>
        <v>32.691877186458029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838">
        <f t="shared" si="124"/>
        <v>0.10714285714285714</v>
      </c>
      <c r="AT333" s="855">
        <f t="shared" si="125"/>
        <v>32.751842723853358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838">
        <f t="shared" si="129"/>
        <v>0.39285714285714285</v>
      </c>
      <c r="AY333" s="855">
        <f t="shared" si="130"/>
        <v>32.681363999357984</v>
      </c>
      <c r="AZ333" s="829">
        <f t="shared" si="134"/>
        <v>32.716603361605671</v>
      </c>
      <c r="BA333" s="662">
        <f t="shared" si="131"/>
        <v>0.90241183278187831</v>
      </c>
      <c r="BB333" s="657">
        <v>43419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926">
        <f>1+[2]!Salcycl*Ksac</f>
        <v>1.0133986829223893</v>
      </c>
      <c r="BH333" s="1082">
        <f t="shared" si="132"/>
        <v>6.022388296224093E-3</v>
      </c>
      <c r="BI333" s="11">
        <v>44515</v>
      </c>
      <c r="BJ333" s="803">
        <v>2.3591226726912841E-3</v>
      </c>
      <c r="BK333" s="803">
        <v>3.2330825939303463E-3</v>
      </c>
      <c r="BL333" s="803">
        <v>4.2723667341728264E-3</v>
      </c>
      <c r="BM333" s="803">
        <v>6.0222681374224067E-3</v>
      </c>
      <c r="BN333" s="803">
        <v>9.1963710646121976E-3</v>
      </c>
      <c r="BO333" s="804">
        <v>1.497603380767451E-2</v>
      </c>
      <c r="BP333" s="803">
        <v>3.6170664436886074E-2</v>
      </c>
      <c r="BQ333" s="803">
        <v>8.2077587457804427E-2</v>
      </c>
      <c r="BR333" s="803">
        <v>0.14284566750663025</v>
      </c>
      <c r="BS333" s="803">
        <v>0.20242269694320289</v>
      </c>
      <c r="BT333" s="803">
        <v>0.25073820459267321</v>
      </c>
      <c r="BW333" s="1138">
        <f>'2018'!R\Max</f>
        <v>0.66839313907897879</v>
      </c>
      <c r="BX333" s="1136">
        <f>'2019'!R\Max</f>
        <v>0.41009353376902546</v>
      </c>
      <c r="BY333" s="1136">
        <f>'2020'!R\Max</f>
        <v>0.90241183278187831</v>
      </c>
      <c r="BZ333" s="1136">
        <f>'2021'!R\Max</f>
        <v>0.23268409052822983</v>
      </c>
      <c r="CA333" s="1136">
        <f>'2022'!R\Max</f>
        <v>0.43206946593172324</v>
      </c>
      <c r="CB333" s="1136">
        <f>'2023'!R\Max</f>
        <v>0.43156228265814039</v>
      </c>
      <c r="CC333" s="1136">
        <f>'2024'!R\Max</f>
        <v>0.43046343962868083</v>
      </c>
      <c r="CD333" s="1136">
        <f>'2025'!R\Max</f>
        <v>0.43293189567545881</v>
      </c>
      <c r="CE333" s="1136">
        <f>'2026'!R\Max</f>
        <v>0.43285602866575029</v>
      </c>
      <c r="CF333" s="1137">
        <f>'2027'!R\Max</f>
        <v>0.43272104984646914</v>
      </c>
    </row>
    <row r="334" spans="1:84" s="6" customFormat="1" ht="11.25" x14ac:dyDescent="0.2">
      <c r="A334" s="11">
        <v>43420</v>
      </c>
      <c r="B334" s="380">
        <f>'2022'!Maxi_hp</f>
        <v>31.368252603975634</v>
      </c>
      <c r="C334" s="85">
        <f>'2022'!An_max</f>
        <v>2022</v>
      </c>
      <c r="D334" s="1089" t="str">
        <f t="shared" si="116"/>
        <v/>
      </c>
      <c r="E334" s="749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838">
        <f t="shared" si="119"/>
        <v>0.7142857142857143</v>
      </c>
      <c r="J334" s="829">
        <f t="shared" si="120"/>
        <v>32.399033528034174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838">
        <f t="shared" si="124"/>
        <v>0.14285714285714285</v>
      </c>
      <c r="AT334" s="855">
        <f t="shared" si="125"/>
        <v>32.464869405542103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838">
        <f t="shared" si="129"/>
        <v>0.35714285714285715</v>
      </c>
      <c r="AY334" s="855">
        <f t="shared" si="130"/>
        <v>32.365290816048422</v>
      </c>
      <c r="AZ334" s="829">
        <f t="shared" si="134"/>
        <v>32.415080110795259</v>
      </c>
      <c r="BA334" s="662">
        <f t="shared" si="131"/>
        <v>0.96818482492181046</v>
      </c>
      <c r="BB334" s="657">
        <v>43420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926">
        <f>1+[2]!Salcycl*Ksac</f>
        <v>1.0127765344957014</v>
      </c>
      <c r="BH334" s="1082">
        <f t="shared" si="132"/>
        <v>5.977475626850655E-3</v>
      </c>
      <c r="BI334" s="11">
        <v>44516</v>
      </c>
      <c r="BJ334" s="803">
        <v>2.310032820161408E-3</v>
      </c>
      <c r="BK334" s="803">
        <v>3.1746862563396421E-3</v>
      </c>
      <c r="BL334" s="803">
        <v>4.207100325991941E-3</v>
      </c>
      <c r="BM334" s="803">
        <v>5.9773544508978553E-3</v>
      </c>
      <c r="BN334" s="803">
        <v>9.1783263404974936E-3</v>
      </c>
      <c r="BO334" s="804">
        <v>1.5112227294537782E-2</v>
      </c>
      <c r="BP334" s="803">
        <v>3.7746819377127989E-2</v>
      </c>
      <c r="BQ334" s="803">
        <v>8.4501815618782006E-2</v>
      </c>
      <c r="BR334" s="803">
        <v>0.14494720670049854</v>
      </c>
      <c r="BS334" s="803">
        <v>0.20191143377292783</v>
      </c>
      <c r="BT334" s="803">
        <v>0.2472209126471131</v>
      </c>
      <c r="BW334" s="1138">
        <f>'2018'!R\Max</f>
        <v>0.81404167210692902</v>
      </c>
      <c r="BX334" s="1136">
        <f>'2019'!R\Max</f>
        <v>0.45720114656986416</v>
      </c>
      <c r="BY334" s="1136">
        <f>'2020'!R\Max</f>
        <v>0.6537191759656642</v>
      </c>
      <c r="BZ334" s="1136">
        <f>'2021'!R\Max</f>
        <v>0.2504476128817783</v>
      </c>
      <c r="CA334" s="1136">
        <f>'2022'!R\Max</f>
        <v>0.96818482492181046</v>
      </c>
      <c r="CB334" s="1136">
        <f>'2023'!R\Max</f>
        <v>0.96811661435728669</v>
      </c>
      <c r="CC334" s="1136">
        <f>'2024'!R\Max</f>
        <v>0.96797515045663907</v>
      </c>
      <c r="CD334" s="1136">
        <f>'2025'!R\Max</f>
        <v>0.96829841718914889</v>
      </c>
      <c r="CE334" s="1136">
        <f>'2026'!R\Max</f>
        <v>0.96828883062567805</v>
      </c>
      <c r="CF334" s="1137">
        <f>'2027'!R\Max</f>
        <v>0.96827146666483221</v>
      </c>
    </row>
    <row r="335" spans="1:84" s="6" customFormat="1" ht="11.25" x14ac:dyDescent="0.2">
      <c r="A335" s="11">
        <v>43421</v>
      </c>
      <c r="B335" s="380">
        <f>'2022'!Maxi_hp</f>
        <v>31.482813740825435</v>
      </c>
      <c r="C335" s="85">
        <f>'2022'!An_max</f>
        <v>2018</v>
      </c>
      <c r="D335" s="1089">
        <f t="shared" ref="D335:D380" si="135">IF($BA335&gt;$D$11,BA335,"")</f>
        <v>0.98046992010709288</v>
      </c>
      <c r="E335" s="749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838">
        <f t="shared" ref="I335:I380" si="138">($A335-H335)/(INDEX(x.2m,G335)-H335)</f>
        <v>0.6428571428571429</v>
      </c>
      <c r="J335" s="829">
        <f t="shared" ref="J335:J380" si="139">((1-I335)*(INDEX(a.m,F335)*$A335*$A335+INDEX(b.m,F335)*$A335+INDEX(c.m,F335))+I335*(INDEX(a.m,G335)*$A335*$A335+INDEX(b.m,G335)*$A335+INDEX(c.m,G335)))/10</f>
        <v>32.10992310440966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838">
        <f t="shared" ref="AS335:AS380" si="143">($A335-AR335)/(INDEX(x.2lg,AQ335)-AR335)</f>
        <v>0.17857142857142858</v>
      </c>
      <c r="AT335" s="855">
        <f t="shared" ref="AT335:AT380" si="144">((1-AS335)*(INDEX(a.lg,AP335)*$A335*$A335+INDEX(b.lg,AP335)*$A335+INDEX(c.lg,AP335))+AS335*(INDEX(a.lg,AQ335)*$A335*$A335+INDEX(b.lg,AQ335)*$A335+INDEX(c.lg,AQ335)))/10</f>
        <v>32.175473214047294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838">
        <f t="shared" ref="AX335:AX380" si="148">($A335-AW335)/(INDEX(x.2ld,AV335)-AW335)</f>
        <v>0.32142857142857145</v>
      </c>
      <c r="AY335" s="855">
        <f t="shared" ref="AY335:AY380" si="149">((1-AX335)*(INDEX(a.ld,AU335)*$A335*$A335+INDEX(b.ld,AU335)*$A335+INDEX(c.ld,AU335))+AX335*(INDEX(a.ld,AV335)*$A335*$A335+INDEX(b.ld,AV335)*$A335+INDEX(c.ld,AV335)))/10</f>
        <v>32.056253347725473</v>
      </c>
      <c r="AZ335" s="829">
        <f t="shared" si="134"/>
        <v>32.115863280886387</v>
      </c>
      <c r="BA335" s="662">
        <f t="shared" ref="BA335:BA380" si="150">+B335/J335</f>
        <v>0.98046992010709288</v>
      </c>
      <c r="BB335" s="657">
        <v>43421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926">
        <f>1+[2]!Salcycl*Ksac</f>
        <v>1.0121684060811635</v>
      </c>
      <c r="BH335" s="1082">
        <f t="shared" ref="BH335:BH380" si="151">INDEX($BJ335:$BT335,,$BH$10)*(1-Ratini)+INDEX($BJ335:$BT335,,$BH$10+1)*Ratini</f>
        <v>5.9373829838771045E-3</v>
      </c>
      <c r="BI335" s="11">
        <v>44517</v>
      </c>
      <c r="BJ335" s="803">
        <v>2.2633371253255249E-3</v>
      </c>
      <c r="BK335" s="803">
        <v>3.1195493002935926E-3</v>
      </c>
      <c r="BL335" s="803">
        <v>4.1457327431531736E-3</v>
      </c>
      <c r="BM335" s="803">
        <v>5.9372607030473042E-3</v>
      </c>
      <c r="BN335" s="803">
        <v>9.1674189133641379E-3</v>
      </c>
      <c r="BO335" s="804">
        <v>1.5300996293604449E-2</v>
      </c>
      <c r="BP335" s="803">
        <v>3.936640864229856E-2</v>
      </c>
      <c r="BQ335" s="803">
        <v>8.6756669868712721E-2</v>
      </c>
      <c r="BR335" s="803">
        <v>0.1467131280936762</v>
      </c>
      <c r="BS335" s="803">
        <v>0.20105417208204215</v>
      </c>
      <c r="BT335" s="803">
        <v>0.24365121205869059</v>
      </c>
      <c r="BW335" s="1138">
        <f>'2018'!R\Max</f>
        <v>0.98046992010709288</v>
      </c>
      <c r="BX335" s="1136">
        <f>'2019'!R\Max</f>
        <v>0.28652510784812668</v>
      </c>
      <c r="BY335" s="1136">
        <f>'2020'!R\Max</f>
        <v>0.72819697379240678</v>
      </c>
      <c r="BZ335" s="1136">
        <f>'2021'!R\Max</f>
        <v>0.1041741011111141</v>
      </c>
      <c r="CA335" s="1136">
        <f>'2022'!R\Max</f>
        <v>0.52112940711900035</v>
      </c>
      <c r="CB335" s="1136">
        <f>'2023'!R\Max</f>
        <v>0.52054119383348019</v>
      </c>
      <c r="CC335" s="1136">
        <f>'2024'!R\Max</f>
        <v>0.51938163180598484</v>
      </c>
      <c r="CD335" s="1136">
        <f>'2025'!R\Max</f>
        <v>0.52209850857763063</v>
      </c>
      <c r="CE335" s="1136">
        <f>'2026'!R\Max</f>
        <v>0.52201972795310347</v>
      </c>
      <c r="CF335" s="1137">
        <f>'2027'!R\Max</f>
        <v>0.52187371522163484</v>
      </c>
    </row>
    <row r="336" spans="1:84" s="6" customFormat="1" ht="11.25" x14ac:dyDescent="0.2">
      <c r="A336" s="11">
        <v>43422</v>
      </c>
      <c r="B336" s="380">
        <f>'2022'!Maxi_hp</f>
        <v>29.94043779612808</v>
      </c>
      <c r="C336" s="85">
        <f>'2022'!An_max</f>
        <v>2020</v>
      </c>
      <c r="D336" s="1089" t="str">
        <f t="shared" si="135"/>
        <v/>
      </c>
      <c r="E336" s="749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838">
        <f t="shared" si="138"/>
        <v>0.5714285714285714</v>
      </c>
      <c r="J336" s="829">
        <f t="shared" si="139"/>
        <v>31.824976676702498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838">
        <f t="shared" si="143"/>
        <v>0.21428571428571427</v>
      </c>
      <c r="AT336" s="855">
        <f t="shared" si="144"/>
        <v>31.884626694635621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838">
        <f t="shared" si="148"/>
        <v>0.2857142857142857</v>
      </c>
      <c r="AY336" s="855">
        <f t="shared" si="149"/>
        <v>31.755193877592681</v>
      </c>
      <c r="AZ336" s="829">
        <f t="shared" ref="AZ336:AZ380" si="153">(AY336+AT336)/2</f>
        <v>31.819910286114151</v>
      </c>
      <c r="BA336" s="662">
        <f t="shared" si="150"/>
        <v>0.94078428085843668</v>
      </c>
      <c r="BB336" s="657">
        <v>43422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926">
        <f>1+[2]!Salcycl*Ksac</f>
        <v>1.0115749840670962</v>
      </c>
      <c r="BH336" s="1082">
        <f t="shared" si="151"/>
        <v>5.9021120291603852E-3</v>
      </c>
      <c r="BI336" s="11">
        <v>44518</v>
      </c>
      <c r="BJ336" s="803">
        <v>2.2190382159598598E-3</v>
      </c>
      <c r="BK336" s="803">
        <v>3.0676748925400807E-3</v>
      </c>
      <c r="BL336" s="803">
        <v>4.0882672030300759E-3</v>
      </c>
      <c r="BM336" s="803">
        <v>5.9019885557919857E-3</v>
      </c>
      <c r="BN336" s="803">
        <v>9.1636487468665876E-3</v>
      </c>
      <c r="BO336" s="804">
        <v>1.5542374626308674E-2</v>
      </c>
      <c r="BP336" s="803">
        <v>4.1029371170440539E-2</v>
      </c>
      <c r="BQ336" s="803">
        <v>8.8841793189143523E-2</v>
      </c>
      <c r="BR336" s="803">
        <v>0.14814286724375356</v>
      </c>
      <c r="BS336" s="803">
        <v>0.19985040565939619</v>
      </c>
      <c r="BT336" s="803">
        <v>0.24002899162685806</v>
      </c>
      <c r="BW336" s="1138">
        <f>'2018'!R\Max</f>
        <v>0.72706638718428773</v>
      </c>
      <c r="BX336" s="1136">
        <f>'2019'!R\Max</f>
        <v>0.38429081511857988</v>
      </c>
      <c r="BY336" s="1136">
        <f>'2020'!R\Max</f>
        <v>0.94078428085843668</v>
      </c>
      <c r="BZ336" s="1136">
        <f>'2021'!R\Max</f>
        <v>0.60128885356715311</v>
      </c>
      <c r="CA336" s="1136">
        <f>'2022'!R\Max</f>
        <v>0.4800637948714101</v>
      </c>
      <c r="CB336" s="1136">
        <f>'2023'!R\Max</f>
        <v>0.47943940673780394</v>
      </c>
      <c r="CC336" s="1136">
        <f>'2024'!R\Max</f>
        <v>0.4782670683251819</v>
      </c>
      <c r="CD336" s="1136">
        <f>'2025'!R\Max</f>
        <v>0.48108289449628971</v>
      </c>
      <c r="CE336" s="1136">
        <f>'2026'!R\Max</f>
        <v>0.48100313889751695</v>
      </c>
      <c r="CF336" s="1137">
        <f>'2027'!R\Max</f>
        <v>0.48085101801563435</v>
      </c>
    </row>
    <row r="337" spans="1:84" s="6" customFormat="1" ht="11.25" x14ac:dyDescent="0.2">
      <c r="A337" s="11">
        <v>43423</v>
      </c>
      <c r="B337" s="380">
        <f>'2022'!Maxi_hp</f>
        <v>31.549585507891482</v>
      </c>
      <c r="C337" s="85">
        <f>'2022'!An_max</f>
        <v>2021</v>
      </c>
      <c r="D337" s="1089">
        <f t="shared" si="135"/>
        <v>1.0001572536678087</v>
      </c>
      <c r="E337" s="749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838">
        <f t="shared" si="138"/>
        <v>0.5</v>
      </c>
      <c r="J337" s="829">
        <f t="shared" si="139"/>
        <v>31.544624999910592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838">
        <f t="shared" si="143"/>
        <v>0.25</v>
      </c>
      <c r="AT337" s="855">
        <f t="shared" si="144"/>
        <v>31.593302390817552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838">
        <f t="shared" si="148"/>
        <v>0.25</v>
      </c>
      <c r="AY337" s="855">
        <f t="shared" si="149"/>
        <v>31.463054686691613</v>
      </c>
      <c r="AZ337" s="829">
        <f t="shared" si="153"/>
        <v>31.528178538754581</v>
      </c>
      <c r="BA337" s="662">
        <f t="shared" si="150"/>
        <v>1.0001572536678087</v>
      </c>
      <c r="BB337" s="657">
        <v>43423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926">
        <f>1+[2]!Salcycl*Ksac</f>
        <v>1.0109968992399678</v>
      </c>
      <c r="BH337" s="1082">
        <f t="shared" si="151"/>
        <v>5.8716641181944026E-3</v>
      </c>
      <c r="BI337" s="11">
        <v>44519</v>
      </c>
      <c r="BJ337" s="803">
        <v>2.1771386638090306E-3</v>
      </c>
      <c r="BK337" s="803">
        <v>3.0190660932795377E-3</v>
      </c>
      <c r="BL337" s="803">
        <v>4.0347067790625002E-3</v>
      </c>
      <c r="BM337" s="803">
        <v>5.8715393647022539E-3</v>
      </c>
      <c r="BN337" s="803">
        <v>9.1670151770956269E-3</v>
      </c>
      <c r="BO337" s="804">
        <v>1.5836390528793143E-2</v>
      </c>
      <c r="BP337" s="803">
        <v>4.2735636031738973E-2</v>
      </c>
      <c r="BQ337" s="803">
        <v>9.0756836273158156E-2</v>
      </c>
      <c r="BR337" s="803">
        <v>0.14923588468651983</v>
      </c>
      <c r="BS337" s="803">
        <v>0.19829966365039295</v>
      </c>
      <c r="BT337" s="803">
        <v>0.23635415783674901</v>
      </c>
      <c r="BW337" s="1138">
        <f>'2018'!R\Max</f>
        <v>0.7321234643615524</v>
      </c>
      <c r="BX337" s="1136">
        <f>'2019'!R\Max</f>
        <v>0.64951961790088475</v>
      </c>
      <c r="BY337" s="1136">
        <f>'2020'!R\Max</f>
        <v>0.97547189377022403</v>
      </c>
      <c r="BZ337" s="1136">
        <f>'2021'!R\Max</f>
        <v>1.0001572536678087</v>
      </c>
      <c r="CA337" s="1136">
        <f>'2022'!R\Max</f>
        <v>0.20873971000994249</v>
      </c>
      <c r="CB337" s="1136">
        <f>'2023'!R\Max</f>
        <v>0.20835271817446696</v>
      </c>
      <c r="CC337" s="1136">
        <f>'2024'!R\Max</f>
        <v>0.20766211777661883</v>
      </c>
      <c r="CD337" s="1136">
        <f>'2025'!R\Max</f>
        <v>0.20936808490325384</v>
      </c>
      <c r="CE337" s="1136">
        <f>'2026'!R\Max</f>
        <v>0.20932067382500397</v>
      </c>
      <c r="CF337" s="1137">
        <f>'2027'!R\Max</f>
        <v>0.2092271918444327</v>
      </c>
    </row>
    <row r="338" spans="1:84" s="6" customFormat="1" ht="11.25" x14ac:dyDescent="0.2">
      <c r="A338" s="11">
        <v>43424</v>
      </c>
      <c r="B338" s="380">
        <f>'2022'!Maxi_hp</f>
        <v>31.724603682982458</v>
      </c>
      <c r="C338" s="85">
        <f>'2022'!An_max</f>
        <v>2019</v>
      </c>
      <c r="D338" s="1089">
        <f t="shared" si="135"/>
        <v>1.0145607629823961</v>
      </c>
      <c r="E338" s="749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838">
        <f t="shared" si="138"/>
        <v>0.42857142857142855</v>
      </c>
      <c r="J338" s="829">
        <f t="shared" si="139"/>
        <v>31.269298834034373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838">
        <f t="shared" si="143"/>
        <v>0.2857142857142857</v>
      </c>
      <c r="AT338" s="855">
        <f t="shared" si="144"/>
        <v>31.302472847487245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838">
        <f t="shared" si="148"/>
        <v>0.21428571428571427</v>
      </c>
      <c r="AY338" s="855">
        <f t="shared" si="149"/>
        <v>31.18077806028138</v>
      </c>
      <c r="AZ338" s="829">
        <f t="shared" si="153"/>
        <v>31.241625453884311</v>
      </c>
      <c r="BA338" s="662">
        <f t="shared" si="150"/>
        <v>1.0145607629823961</v>
      </c>
      <c r="BB338" s="657">
        <v>43424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926">
        <f>1+[2]!Salcycl*Ksac</f>
        <v>1.0104347243351413</v>
      </c>
      <c r="BH338" s="1082">
        <f t="shared" si="151"/>
        <v>5.8733091828483365E-3</v>
      </c>
      <c r="BI338" s="11">
        <v>44520</v>
      </c>
      <c r="BJ338" s="803">
        <v>2.1631789899091056E-3</v>
      </c>
      <c r="BK338" s="803">
        <v>3.0006267193023878E-3</v>
      </c>
      <c r="BL338" s="803">
        <v>4.0134793186059857E-3</v>
      </c>
      <c r="BM338" s="803">
        <v>5.873183225956387E-3</v>
      </c>
      <c r="BN338" s="803">
        <v>9.2004479275553074E-3</v>
      </c>
      <c r="BO338" s="804">
        <v>1.6226979704683425E-2</v>
      </c>
      <c r="BP338" s="803">
        <v>4.4452444631218023E-2</v>
      </c>
      <c r="BQ338" s="803">
        <v>9.2477365258960206E-2</v>
      </c>
      <c r="BR338" s="803">
        <v>0.14995123313844935</v>
      </c>
      <c r="BS338" s="803">
        <v>0.19644462470489402</v>
      </c>
      <c r="BT338" s="803">
        <v>0.23267099320398324</v>
      </c>
      <c r="BW338" s="1138">
        <f>'2018'!R\Max</f>
        <v>0.33851891805066542</v>
      </c>
      <c r="BX338" s="1136">
        <f>'2019'!R\Max</f>
        <v>1.0145607629823961</v>
      </c>
      <c r="BY338" s="1136">
        <f>'2020'!R\Max</f>
        <v>0.30208529879167417</v>
      </c>
      <c r="BZ338" s="1136">
        <f>'2021'!R\Max</f>
        <v>0.7517202521265357</v>
      </c>
      <c r="CA338" s="1136">
        <f>'2022'!R\Max</f>
        <v>0.62470508124323876</v>
      </c>
      <c r="CB338" s="1136">
        <f>'2023'!R\Max</f>
        <v>0.62405234184382252</v>
      </c>
      <c r="CC338" s="1136">
        <f>'2024'!R\Max</f>
        <v>0.62293937733441906</v>
      </c>
      <c r="CD338" s="1136">
        <f>'2025'!R\Max</f>
        <v>0.62576061715086762</v>
      </c>
      <c r="CE338" s="1136">
        <f>'2026'!R\Max</f>
        <v>0.62568395798817777</v>
      </c>
      <c r="CF338" s="1137">
        <f>'2027'!R\Max</f>
        <v>0.62552634739672319</v>
      </c>
    </row>
    <row r="339" spans="1:84" s="6" customFormat="1" ht="11.25" x14ac:dyDescent="0.2">
      <c r="A339" s="11">
        <v>43425</v>
      </c>
      <c r="B339" s="380">
        <f>'2022'!Maxi_hp</f>
        <v>30.885830486283265</v>
      </c>
      <c r="C339" s="85">
        <f>'2022'!An_max</f>
        <v>2018</v>
      </c>
      <c r="D339" s="1089">
        <f t="shared" si="135"/>
        <v>0.99633546636946158</v>
      </c>
      <c r="E339" s="749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838">
        <f t="shared" si="138"/>
        <v>0.35714285714285715</v>
      </c>
      <c r="J339" s="829">
        <f t="shared" si="139"/>
        <v>30.999428936147261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838">
        <f t="shared" si="143"/>
        <v>0.32142857142857145</v>
      </c>
      <c r="AT339" s="855">
        <f t="shared" si="144"/>
        <v>31.013110609153024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838">
        <f t="shared" si="148"/>
        <v>0.17857142857142858</v>
      </c>
      <c r="AY339" s="855">
        <f t="shared" si="149"/>
        <v>30.909306282982499</v>
      </c>
      <c r="AZ339" s="829">
        <f t="shared" si="153"/>
        <v>30.961208446067761</v>
      </c>
      <c r="BA339" s="662">
        <f t="shared" si="150"/>
        <v>0.99633546636946158</v>
      </c>
      <c r="BB339" s="657">
        <v>43425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926">
        <f>1+[2]!Salcycl*Ksac</f>
        <v>1.0098889719471693</v>
      </c>
      <c r="BH339" s="1082">
        <f t="shared" si="151"/>
        <v>5.9021539969155582E-3</v>
      </c>
      <c r="BI339" s="11">
        <v>44521</v>
      </c>
      <c r="BJ339" s="803">
        <v>2.1777523844013057E-3</v>
      </c>
      <c r="BK339" s="803">
        <v>3.0114713160926967E-3</v>
      </c>
      <c r="BL339" s="803">
        <v>4.022162236567998E-3</v>
      </c>
      <c r="BM339" s="803">
        <v>5.9020270283241917E-3</v>
      </c>
      <c r="BN339" s="803">
        <v>9.2560166808705376E-3</v>
      </c>
      <c r="BO339" s="804">
        <v>1.6702353197153439E-2</v>
      </c>
      <c r="BP339" s="803">
        <v>4.6106116400547216E-2</v>
      </c>
      <c r="BQ339" s="803">
        <v>9.4064095583239082E-2</v>
      </c>
      <c r="BR339" s="803">
        <v>0.1504564799449242</v>
      </c>
      <c r="BS339" s="803">
        <v>0.19456949917374586</v>
      </c>
      <c r="BT339" s="803">
        <v>0.22913557121052414</v>
      </c>
      <c r="BW339" s="1138">
        <f>'2018'!R\Max</f>
        <v>0.99633546636946158</v>
      </c>
      <c r="BX339" s="1136">
        <f>'2019'!R\Max</f>
        <v>0.98008829364893713</v>
      </c>
      <c r="BY339" s="1136">
        <f>'2020'!R\Max</f>
        <v>0.7482781062876972</v>
      </c>
      <c r="BZ339" s="1136">
        <f>'2021'!R\Max</f>
        <v>0.34186034796809472</v>
      </c>
      <c r="CA339" s="1136">
        <f>'2022'!R\Max</f>
        <v>0.12558412839459648</v>
      </c>
      <c r="CB339" s="1136">
        <f>'2023'!R\Max</f>
        <v>0.12532840744119331</v>
      </c>
      <c r="CC339" s="1136">
        <f>'2024'!R\Max</f>
        <v>0.12491144818278387</v>
      </c>
      <c r="CD339" s="1136">
        <f>'2025'!R\Max</f>
        <v>0.12599982006761243</v>
      </c>
      <c r="CE339" s="1136">
        <f>'2026'!R\Max</f>
        <v>0.12597065082741277</v>
      </c>
      <c r="CF339" s="1137">
        <f>'2027'!R\Max</f>
        <v>0.12590769727870407</v>
      </c>
    </row>
    <row r="340" spans="1:84" s="6" customFormat="1" ht="11.25" x14ac:dyDescent="0.2">
      <c r="A340" s="11">
        <v>43426</v>
      </c>
      <c r="B340" s="380">
        <f>'2022'!Maxi_hp</f>
        <v>31.571381737013635</v>
      </c>
      <c r="C340" s="85">
        <f>'2022'!An_max</f>
        <v>2020</v>
      </c>
      <c r="D340" s="1089">
        <f t="shared" si="135"/>
        <v>1.0271977726257622</v>
      </c>
      <c r="E340" s="749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838">
        <f t="shared" si="138"/>
        <v>0.2857142857142857</v>
      </c>
      <c r="J340" s="829">
        <f t="shared" si="139"/>
        <v>30.735446063429116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838">
        <f t="shared" si="143"/>
        <v>0.35714285714285715</v>
      </c>
      <c r="AT340" s="855">
        <f t="shared" si="144"/>
        <v>30.726188220003884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838">
        <f t="shared" si="148"/>
        <v>0.14285714285714285</v>
      </c>
      <c r="AY340" s="855">
        <f t="shared" si="149"/>
        <v>30.649581634279873</v>
      </c>
      <c r="AZ340" s="829">
        <f t="shared" si="153"/>
        <v>30.68788492714188</v>
      </c>
      <c r="BA340" s="662">
        <f t="shared" si="150"/>
        <v>1.0271977726257622</v>
      </c>
      <c r="BB340" s="657">
        <v>43426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926">
        <f>1+[2]!Salcycl*Ksac</f>
        <v>1.009360092813167</v>
      </c>
      <c r="BH340" s="1082">
        <f t="shared" si="151"/>
        <v>5.9582148071320043E-3</v>
      </c>
      <c r="BI340" s="11">
        <v>44522</v>
      </c>
      <c r="BJ340" s="803">
        <v>2.2208805313672975E-3</v>
      </c>
      <c r="BK340" s="803">
        <v>3.0516216364818807E-3</v>
      </c>
      <c r="BL340" s="803">
        <v>4.06077699434617E-3</v>
      </c>
      <c r="BM340" s="803">
        <v>5.9580870188818275E-3</v>
      </c>
      <c r="BN340" s="803">
        <v>9.3337286968502142E-3</v>
      </c>
      <c r="BO340" s="804">
        <v>1.7262541892323471E-2</v>
      </c>
      <c r="BP340" s="803">
        <v>4.7696462118888637E-2</v>
      </c>
      <c r="BQ340" s="803">
        <v>9.551673589320836E-2</v>
      </c>
      <c r="BR340" s="803">
        <v>0.15075127503619348</v>
      </c>
      <c r="BS340" s="803">
        <v>0.19267419078194672</v>
      </c>
      <c r="BT340" s="803">
        <v>0.22574799938576554</v>
      </c>
      <c r="BW340" s="1138">
        <f>'2018'!R\Max</f>
        <v>0.75729332490789614</v>
      </c>
      <c r="BX340" s="1136">
        <f>'2019'!R\Max</f>
        <v>0.42736429949329402</v>
      </c>
      <c r="BY340" s="1136">
        <f>'2020'!R\Max</f>
        <v>1.0271977726257622</v>
      </c>
      <c r="BZ340" s="1136">
        <f>'2021'!R\Max</f>
        <v>0.60950868298572614</v>
      </c>
      <c r="CA340" s="1136">
        <f>'2022'!R\Max</f>
        <v>0.28060424103546283</v>
      </c>
      <c r="CB340" s="1136">
        <f>'2023'!R\Max</f>
        <v>0.28001138980522716</v>
      </c>
      <c r="CC340" s="1136">
        <f>'2024'!R\Max</f>
        <v>0.27908010048072934</v>
      </c>
      <c r="CD340" s="1136">
        <f>'2025'!R\Max</f>
        <v>0.28157465714240765</v>
      </c>
      <c r="CE340" s="1136">
        <f>'2026'!R\Max</f>
        <v>0.28150889981286481</v>
      </c>
      <c r="CF340" s="1137">
        <f>'2027'!R\Max</f>
        <v>0.28135894428185892</v>
      </c>
    </row>
    <row r="341" spans="1:84" s="6" customFormat="1" ht="11.25" x14ac:dyDescent="0.2">
      <c r="A341" s="11">
        <v>43427</v>
      </c>
      <c r="B341" s="380">
        <f>'2022'!Maxi_hp</f>
        <v>31.553325364511156</v>
      </c>
      <c r="C341" s="85">
        <f>'2022'!An_max</f>
        <v>2020</v>
      </c>
      <c r="D341" s="1089">
        <f t="shared" si="135"/>
        <v>1.0352894585271946</v>
      </c>
      <c r="E341" s="749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838">
        <f t="shared" si="138"/>
        <v>0.21428571428571427</v>
      </c>
      <c r="J341" s="829">
        <f t="shared" si="139"/>
        <v>30.477780976731861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838">
        <f t="shared" si="143"/>
        <v>0.39285714285714285</v>
      </c>
      <c r="AT341" s="855">
        <f t="shared" si="144"/>
        <v>30.442678225040435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838">
        <f t="shared" si="148"/>
        <v>0.10714285714285714</v>
      </c>
      <c r="AY341" s="855">
        <f t="shared" si="149"/>
        <v>30.402546398481356</v>
      </c>
      <c r="AZ341" s="829">
        <f t="shared" si="153"/>
        <v>30.422612311760894</v>
      </c>
      <c r="BA341" s="662">
        <f t="shared" si="150"/>
        <v>1.0352894585271946</v>
      </c>
      <c r="BB341" s="657">
        <v>43427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926">
        <f>1+[2]!Salcycl*Ksac</f>
        <v>1.0088484744798363</v>
      </c>
      <c r="BH341" s="1082">
        <f t="shared" si="151"/>
        <v>6.0414670245154739E-3</v>
      </c>
      <c r="BI341" s="11">
        <v>44523</v>
      </c>
      <c r="BJ341" s="803">
        <v>2.292567500022059E-3</v>
      </c>
      <c r="BK341" s="803">
        <v>3.1210765920038235E-3</v>
      </c>
      <c r="BL341" s="803">
        <v>4.1293158759875418E-3</v>
      </c>
      <c r="BM341" s="803">
        <v>6.0413386097678363E-3</v>
      </c>
      <c r="BN341" s="803">
        <v>9.4335297821915558E-3</v>
      </c>
      <c r="BO341" s="804">
        <v>1.790745366781232E-2</v>
      </c>
      <c r="BP341" s="803">
        <v>4.9222987358973978E-2</v>
      </c>
      <c r="BQ341" s="803">
        <v>9.6834401879173096E-2</v>
      </c>
      <c r="BR341" s="803">
        <v>0.1508343524151112</v>
      </c>
      <c r="BS341" s="803">
        <v>0.19075742609375909</v>
      </c>
      <c r="BT341" s="803">
        <v>0.22250699752798644</v>
      </c>
      <c r="BW341" s="1138">
        <f>'2018'!R\Max</f>
        <v>0.43656789618823549</v>
      </c>
      <c r="BX341" s="1136">
        <f>'2019'!R\Max</f>
        <v>0.2766147445730569</v>
      </c>
      <c r="BY341" s="1136">
        <f>'2020'!R\Max</f>
        <v>1.0352894585271946</v>
      </c>
      <c r="BZ341" s="1136">
        <f>'2021'!R\Max</f>
        <v>0.37980313622448764</v>
      </c>
      <c r="CA341" s="1136">
        <f>'2022'!R\Max</f>
        <v>0.43943330316249446</v>
      </c>
      <c r="CB341" s="1136">
        <f>'2023'!R\Max</f>
        <v>0.438667292836246</v>
      </c>
      <c r="CC341" s="1136">
        <f>'2024'!R\Max</f>
        <v>0.43750165760657245</v>
      </c>
      <c r="CD341" s="1136">
        <f>'2025'!R\Max</f>
        <v>0.44069906294334388</v>
      </c>
      <c r="CE341" s="1136">
        <f>'2026'!R\Max</f>
        <v>0.44061623856101056</v>
      </c>
      <c r="CF341" s="1137">
        <f>'2027'!R\Max</f>
        <v>0.44041559084354598</v>
      </c>
    </row>
    <row r="342" spans="1:84" s="6" customFormat="1" ht="11.25" x14ac:dyDescent="0.2">
      <c r="A342" s="11">
        <v>43428</v>
      </c>
      <c r="B342" s="380">
        <f>'2022'!Maxi_hp</f>
        <v>29.21125181785667</v>
      </c>
      <c r="C342" s="85">
        <f>'2022'!An_max</f>
        <v>2020</v>
      </c>
      <c r="D342" s="1089" t="str">
        <f t="shared" si="135"/>
        <v/>
      </c>
      <c r="E342" s="749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838">
        <f t="shared" si="138"/>
        <v>0.14285714285714285</v>
      </c>
      <c r="J342" s="829">
        <f t="shared" si="139"/>
        <v>30.2268644310534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838">
        <f t="shared" si="143"/>
        <v>0.42857142857142855</v>
      </c>
      <c r="AT342" s="855">
        <f t="shared" si="144"/>
        <v>30.163553167453834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838">
        <f t="shared" si="148"/>
        <v>7.1428571428571425E-2</v>
      </c>
      <c r="AY342" s="855">
        <f t="shared" si="149"/>
        <v>30.169142858750586</v>
      </c>
      <c r="AZ342" s="829">
        <f t="shared" si="153"/>
        <v>30.166348013102208</v>
      </c>
      <c r="BA342" s="662">
        <f t="shared" si="150"/>
        <v>0.96640033187983121</v>
      </c>
      <c r="BB342" s="657">
        <v>43428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926">
        <f>1+[2]!Salcycl*Ksac</f>
        <v>1.0083544403616933</v>
      </c>
      <c r="BH342" s="1082">
        <f t="shared" si="151"/>
        <v>6.1519053076712002E-3</v>
      </c>
      <c r="BI342" s="11">
        <v>44524</v>
      </c>
      <c r="BJ342" s="803">
        <v>2.3928211581950593E-3</v>
      </c>
      <c r="BK342" s="803">
        <v>3.219842279734242E-3</v>
      </c>
      <c r="BL342" s="803">
        <v>4.2277824683698969E-3</v>
      </c>
      <c r="BM342" s="803">
        <v>6.151776460164439E-3</v>
      </c>
      <c r="BN342" s="803">
        <v>9.5553993544731184E-3</v>
      </c>
      <c r="BO342" s="804">
        <v>1.8637043108529105E-2</v>
      </c>
      <c r="BP342" s="803">
        <v>5.0685373130286128E-2</v>
      </c>
      <c r="BQ342" s="803">
        <v>9.8016597038822414E-2</v>
      </c>
      <c r="BR342" s="803">
        <v>0.15070509870444401</v>
      </c>
      <c r="BS342" s="803">
        <v>0.18881877262331115</v>
      </c>
      <c r="BT342" s="803">
        <v>0.21941226731337979</v>
      </c>
      <c r="BW342" s="1138">
        <f>'2018'!R\Max</f>
        <v>0.77569864891560136</v>
      </c>
      <c r="BX342" s="1136">
        <f>'2019'!R\Max</f>
        <v>0.33951272008727923</v>
      </c>
      <c r="BY342" s="1136">
        <f>'2020'!R\Max</f>
        <v>0.96640033187983121</v>
      </c>
      <c r="BZ342" s="1136">
        <f>'2021'!R\Max</f>
        <v>5.1831111196642743E-2</v>
      </c>
      <c r="CA342" s="1136">
        <f>'2022'!R\Max</f>
        <v>0.52367511437205971</v>
      </c>
      <c r="CB342" s="1136">
        <f>'2023'!R\Max</f>
        <v>0.52287912507833101</v>
      </c>
      <c r="CC342" s="1136">
        <f>'2024'!R\Max</f>
        <v>0.52170170437201313</v>
      </c>
      <c r="CD342" s="1136">
        <f>'2025'!R\Max</f>
        <v>0.52500797287062728</v>
      </c>
      <c r="CE342" s="1136">
        <f>'2026'!R\Max</f>
        <v>0.52492369365211211</v>
      </c>
      <c r="CF342" s="1137">
        <f>'2027'!R\Max</f>
        <v>0.52470587450890871</v>
      </c>
    </row>
    <row r="343" spans="1:84" s="6" customFormat="1" ht="11.25" x14ac:dyDescent="0.2">
      <c r="A343" s="11">
        <v>43429</v>
      </c>
      <c r="B343" s="380">
        <f>'2022'!Maxi_hp</f>
        <v>27.276647569608237</v>
      </c>
      <c r="C343" s="85">
        <f>'2022'!An_max</f>
        <v>2020</v>
      </c>
      <c r="D343" s="1089" t="str">
        <f t="shared" si="135"/>
        <v/>
      </c>
      <c r="E343" s="749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838">
        <f t="shared" si="138"/>
        <v>7.1428571428571425E-2</v>
      </c>
      <c r="J343" s="829">
        <f t="shared" si="139"/>
        <v>29.983127186553816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838">
        <f t="shared" si="143"/>
        <v>0.4642857142857143</v>
      </c>
      <c r="AT343" s="855">
        <f t="shared" si="144"/>
        <v>29.889785590967431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838">
        <f t="shared" si="148"/>
        <v>3.5714285714285712E-2</v>
      </c>
      <c r="AY343" s="855">
        <f t="shared" si="149"/>
        <v>29.950313298171388</v>
      </c>
      <c r="AZ343" s="829">
        <f t="shared" si="153"/>
        <v>29.920049444569408</v>
      </c>
      <c r="BA343" s="662">
        <f t="shared" si="150"/>
        <v>0.90973324429750202</v>
      </c>
      <c r="BB343" s="657">
        <v>43429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926">
        <f>1+[2]!Salcycl*Ksac</f>
        <v>1.007878249194941</v>
      </c>
      <c r="BH343" s="1082">
        <f t="shared" si="151"/>
        <v>6.289550613476665E-3</v>
      </c>
      <c r="BI343" s="11">
        <v>44525</v>
      </c>
      <c r="BJ343" s="803">
        <v>2.5216562562895149E-3</v>
      </c>
      <c r="BK343" s="803">
        <v>3.3479358053259338E-3</v>
      </c>
      <c r="BL343" s="803">
        <v>4.3561964324507476E-3</v>
      </c>
      <c r="BM343" s="803">
        <v>6.2894215268372092E-3</v>
      </c>
      <c r="BN343" s="803">
        <v>9.69936132654922E-3</v>
      </c>
      <c r="BO343" s="804">
        <v>1.9451341333189993E-2</v>
      </c>
      <c r="BP343" s="803">
        <v>5.2083560441115138E-2</v>
      </c>
      <c r="BQ343" s="803">
        <v>9.9063341019381079E-2</v>
      </c>
      <c r="BR343" s="803">
        <v>0.15036370837842417</v>
      </c>
      <c r="BS343" s="803">
        <v>0.18685878246126575</v>
      </c>
      <c r="BT343" s="803">
        <v>0.21646463227795448</v>
      </c>
      <c r="BW343" s="1138">
        <f>'2018'!R\Max</f>
        <v>0.40168500124508366</v>
      </c>
      <c r="BX343" s="1136">
        <f>'2019'!R\Max</f>
        <v>0.45338250452943857</v>
      </c>
      <c r="BY343" s="1136">
        <f>'2020'!R\Max</f>
        <v>0.90973324429750202</v>
      </c>
      <c r="BZ343" s="1136">
        <f>'2021'!R\Max</f>
        <v>0.46681403794359139</v>
      </c>
      <c r="CA343" s="1136">
        <f>'2022'!R\Max</f>
        <v>0.16218308597313816</v>
      </c>
      <c r="CB343" s="1136">
        <f>'2023'!R\Max</f>
        <v>0.16181291456599342</v>
      </c>
      <c r="CC343" s="1136">
        <f>'2024'!R\Max</f>
        <v>0.16128008551828787</v>
      </c>
      <c r="CD343" s="1136">
        <f>'2025'!R\Max</f>
        <v>0.16281492167135969</v>
      </c>
      <c r="CE343" s="1136">
        <f>'2026'!R\Max</f>
        <v>0.16277624020106909</v>
      </c>
      <c r="CF343" s="1137">
        <f>'2027'!R\Max</f>
        <v>0.16266925468213916</v>
      </c>
    </row>
    <row r="344" spans="1:84" s="6" customFormat="1" ht="11.25" x14ac:dyDescent="0.2">
      <c r="A344" s="11">
        <v>43430</v>
      </c>
      <c r="B344" s="380">
        <f>'2022'!Maxi_hp</f>
        <v>27.777098112719983</v>
      </c>
      <c r="C344" s="85">
        <f>'2022'!An_max</f>
        <v>2020</v>
      </c>
      <c r="D344" s="1089" t="str">
        <f t="shared" si="135"/>
        <v/>
      </c>
      <c r="E344" s="837">
        <f>AK$13/10</f>
        <v>29.746999999999996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838">
        <f t="shared" si="138"/>
        <v>0</v>
      </c>
      <c r="J344" s="829">
        <f t="shared" si="139"/>
        <v>29.746999999135731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838">
        <f t="shared" si="143"/>
        <v>0.5</v>
      </c>
      <c r="AT344" s="855">
        <f t="shared" si="144"/>
        <v>29.622348041646184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838">
        <f t="shared" si="148"/>
        <v>0</v>
      </c>
      <c r="AY344" s="855">
        <f t="shared" si="149"/>
        <v>29.747000001370907</v>
      </c>
      <c r="AZ344" s="829">
        <f t="shared" si="153"/>
        <v>29.684674021508545</v>
      </c>
      <c r="BA344" s="662">
        <f t="shared" si="150"/>
        <v>0.93377813270336563</v>
      </c>
      <c r="BB344" s="657">
        <v>43430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926">
        <f>1+[2]!Salcycl*Ksac</f>
        <v>1.007420094888319</v>
      </c>
      <c r="BH344" s="1082">
        <f t="shared" si="151"/>
        <v>6.4544204832686575E-3</v>
      </c>
      <c r="BI344" s="11">
        <v>44526</v>
      </c>
      <c r="BJ344" s="803">
        <v>2.6790838490437941E-3</v>
      </c>
      <c r="BK344" s="803">
        <v>3.5053704431696371E-3</v>
      </c>
      <c r="BL344" s="803">
        <v>4.5145734912791467E-3</v>
      </c>
      <c r="BM344" s="803">
        <v>6.4542913509775465E-3</v>
      </c>
      <c r="BN344" s="803">
        <v>9.865437080266307E-3</v>
      </c>
      <c r="BO344" s="804">
        <v>2.0350372065784144E-2</v>
      </c>
      <c r="BP344" s="803">
        <v>5.3417512419721175E-2</v>
      </c>
      <c r="BQ344" s="803">
        <v>9.9974684224189828E-2</v>
      </c>
      <c r="BR344" s="803">
        <v>0.14981040747833527</v>
      </c>
      <c r="BS344" s="803">
        <v>0.18487799366400534</v>
      </c>
      <c r="BT344" s="803">
        <v>0.2136648653883027</v>
      </c>
      <c r="BW344" s="1138">
        <f>'2018'!R\Max</f>
        <v>0.14857027896145167</v>
      </c>
      <c r="BX344" s="1136">
        <f>'2019'!R\Max</f>
        <v>0.75017381380241255</v>
      </c>
      <c r="BY344" s="1136">
        <f>'2020'!R\Max</f>
        <v>0.93377813270336563</v>
      </c>
      <c r="BZ344" s="1136">
        <f>'2021'!R\Max</f>
        <v>0.27740979879653049</v>
      </c>
      <c r="CA344" s="1136">
        <f>'2022'!R\Max</f>
        <v>0.50776267111562456</v>
      </c>
      <c r="CB344" s="1136">
        <f>'2023'!R\Max</f>
        <v>0.50693571310985486</v>
      </c>
      <c r="CC344" s="1136">
        <f>'2024'!R\Max</f>
        <v>0.50576963802341213</v>
      </c>
      <c r="CD344" s="1136">
        <f>'2025'!R\Max</f>
        <v>0.50920048380691874</v>
      </c>
      <c r="CE344" s="1136">
        <f>'2026'!R\Max</f>
        <v>0.50911543413673122</v>
      </c>
      <c r="CF344" s="1137">
        <f>'2027'!R\Max</f>
        <v>0.50886285575323709</v>
      </c>
    </row>
    <row r="345" spans="1:84" s="6" customFormat="1" ht="11.25" x14ac:dyDescent="0.2">
      <c r="A345" s="11">
        <v>43431</v>
      </c>
      <c r="B345" s="380">
        <f>'2022'!Maxi_hp</f>
        <v>27.662208875171967</v>
      </c>
      <c r="C345" s="85">
        <f>'2022'!An_max</f>
        <v>2018</v>
      </c>
      <c r="D345" s="1089" t="str">
        <f t="shared" si="135"/>
        <v/>
      </c>
      <c r="E345" s="749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838">
        <f t="shared" si="138"/>
        <v>7.1428571428571425E-2</v>
      </c>
      <c r="J345" s="829">
        <f t="shared" si="139"/>
        <v>29.513870171351094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838">
        <f t="shared" si="143"/>
        <v>0.5357142857142857</v>
      </c>
      <c r="AT345" s="855">
        <f t="shared" si="144"/>
        <v>29.362213063758929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838">
        <f t="shared" si="148"/>
        <v>3.5714285714285712E-2</v>
      </c>
      <c r="AY345" s="855">
        <f t="shared" si="149"/>
        <v>29.554063230540073</v>
      </c>
      <c r="AZ345" s="829">
        <f t="shared" si="153"/>
        <v>29.458138147149501</v>
      </c>
      <c r="BA345" s="662">
        <f t="shared" si="150"/>
        <v>0.93726131864683326</v>
      </c>
      <c r="BB345" s="657">
        <v>43431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926">
        <f>1+[2]!Salcycl*Ksac</f>
        <v>1.0069801067691218</v>
      </c>
      <c r="BH345" s="1082">
        <f t="shared" si="151"/>
        <v>6.6465296115164139E-3</v>
      </c>
      <c r="BI345" s="11">
        <v>44527</v>
      </c>
      <c r="BJ345" s="803">
        <v>2.8651118907965581E-3</v>
      </c>
      <c r="BK345" s="803">
        <v>3.6921562476641945E-3</v>
      </c>
      <c r="BL345" s="803">
        <v>4.7029260547217927E-3</v>
      </c>
      <c r="BM345" s="803">
        <v>6.6464006268797697E-3</v>
      </c>
      <c r="BN345" s="803">
        <v>1.0053645930504089E-2</v>
      </c>
      <c r="BO345" s="804">
        <v>2.1334153402644652E-2</v>
      </c>
      <c r="BP345" s="803">
        <v>5.468721299449663E-2</v>
      </c>
      <c r="BQ345" s="803">
        <v>0.10075070503881833</v>
      </c>
      <c r="BR345" s="803">
        <v>0.14904544928306043</v>
      </c>
      <c r="BS345" s="803">
        <v>0.18287692993085303</v>
      </c>
      <c r="BT345" s="803">
        <v>0.21101369225042013</v>
      </c>
      <c r="BW345" s="1138">
        <f>'2018'!R\Max</f>
        <v>0.93726131864683326</v>
      </c>
      <c r="BX345" s="1136">
        <f>'2019'!R\Max</f>
        <v>0.72985170946674827</v>
      </c>
      <c r="BY345" s="1136">
        <f>'2020'!R\Max</f>
        <v>0.74454748428867834</v>
      </c>
      <c r="BZ345" s="1136">
        <f>'2021'!R\Max</f>
        <v>0.48730371641485154</v>
      </c>
      <c r="CA345" s="1136">
        <f>'2022'!R\Max</f>
        <v>0.54530153291377748</v>
      </c>
      <c r="CB345" s="1136">
        <f>'2023'!R\Max</f>
        <v>0.54447180971968945</v>
      </c>
      <c r="CC345" s="1136">
        <f>'2024'!R\Max</f>
        <v>0.54332379970201716</v>
      </c>
      <c r="CD345" s="1136">
        <f>'2025'!R\Max</f>
        <v>0.54677772682911796</v>
      </c>
      <c r="CE345" s="1136">
        <f>'2026'!R\Max</f>
        <v>0.54669327618784724</v>
      </c>
      <c r="CF345" s="1137">
        <f>'2027'!R\Max</f>
        <v>0.54642344048509617</v>
      </c>
    </row>
    <row r="346" spans="1:84" s="6" customFormat="1" ht="11.25" x14ac:dyDescent="0.2">
      <c r="A346" s="11">
        <v>43432</v>
      </c>
      <c r="B346" s="380">
        <f>'2022'!Maxi_hp</f>
        <v>20.343286490073936</v>
      </c>
      <c r="C346" s="85">
        <f>'2022'!An_max</f>
        <v>2018</v>
      </c>
      <c r="D346" s="1089" t="str">
        <f t="shared" si="135"/>
        <v/>
      </c>
      <c r="E346" s="749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838">
        <f t="shared" si="138"/>
        <v>0.14285714285714285</v>
      </c>
      <c r="J346" s="829">
        <f t="shared" si="139"/>
        <v>29.280058308584351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838">
        <f t="shared" si="143"/>
        <v>0.5714285714285714</v>
      </c>
      <c r="AT346" s="855">
        <f t="shared" si="144"/>
        <v>29.110353200776238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838">
        <f t="shared" si="148"/>
        <v>7.1428571428571425E-2</v>
      </c>
      <c r="AY346" s="855">
        <f t="shared" si="149"/>
        <v>29.365961383708889</v>
      </c>
      <c r="AZ346" s="829">
        <f t="shared" si="153"/>
        <v>29.238157292242562</v>
      </c>
      <c r="BA346" s="662">
        <f t="shared" si="150"/>
        <v>0.69478299106083663</v>
      </c>
      <c r="BB346" s="657">
        <v>43432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926">
        <f>1+[2]!Salcycl*Ksac</f>
        <v>1.0065583502194819</v>
      </c>
      <c r="BH346" s="1082">
        <f t="shared" si="151"/>
        <v>6.8944288961872435E-3</v>
      </c>
      <c r="BI346" s="11">
        <v>44528</v>
      </c>
      <c r="BJ346" s="803">
        <v>3.1010385553712216E-3</v>
      </c>
      <c r="BK346" s="803">
        <v>3.9321279324522444E-3</v>
      </c>
      <c r="BL346" s="803">
        <v>4.9476161207362909E-3</v>
      </c>
      <c r="BM346" s="803">
        <v>6.8943001610464946E-3</v>
      </c>
      <c r="BN346" s="803">
        <v>1.0294954805975953E-2</v>
      </c>
      <c r="BO346" s="804">
        <v>2.2377902093478067E-2</v>
      </c>
      <c r="BP346" s="803">
        <v>5.5855099430446697E-2</v>
      </c>
      <c r="BQ346" s="803">
        <v>0.10134409520869932</v>
      </c>
      <c r="BR346" s="803">
        <v>0.14807281374012063</v>
      </c>
      <c r="BS346" s="803">
        <v>0.18087037334195713</v>
      </c>
      <c r="BT346" s="803">
        <v>0.20853552467309425</v>
      </c>
      <c r="BW346" s="1138">
        <f>'2018'!R\Max</f>
        <v>0.69478299106083663</v>
      </c>
      <c r="BX346" s="1136">
        <f>'2019'!R\Max</f>
        <v>0.28497263928776906</v>
      </c>
      <c r="BY346" s="1136">
        <f>'2020'!R\Max</f>
        <v>0.64749096867332834</v>
      </c>
      <c r="BZ346" s="1136">
        <f>'2021'!R\Max</f>
        <v>0.21939077570201071</v>
      </c>
      <c r="CA346" s="1136">
        <f>'2022'!R\Max</f>
        <v>0.35443990506024414</v>
      </c>
      <c r="CB346" s="1136">
        <f>'2023'!R\Max</f>
        <v>0.35366964661662614</v>
      </c>
      <c r="CC346" s="1136">
        <f>'2024'!R\Max</f>
        <v>0.3526226847279979</v>
      </c>
      <c r="CD346" s="1136">
        <f>'2025'!R\Max</f>
        <v>0.35584725667366074</v>
      </c>
      <c r="CE346" s="1136">
        <f>'2026'!R\Max</f>
        <v>0.35576907976722905</v>
      </c>
      <c r="CF346" s="1137">
        <f>'2027'!R\Max</f>
        <v>0.35550135601480926</v>
      </c>
    </row>
    <row r="347" spans="1:84" s="6" customFormat="1" ht="11.25" x14ac:dyDescent="0.2">
      <c r="A347" s="11">
        <v>43433</v>
      </c>
      <c r="B347" s="380">
        <f>'2022'!Maxi_hp</f>
        <v>29.549892661364552</v>
      </c>
      <c r="C347" s="85">
        <f>'2022'!An_max</f>
        <v>2018</v>
      </c>
      <c r="D347" s="1089">
        <f t="shared" si="135"/>
        <v>1.0172992284558136</v>
      </c>
      <c r="E347" s="749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838">
        <f t="shared" si="138"/>
        <v>0.21428571428571427</v>
      </c>
      <c r="J347" s="829">
        <f t="shared" si="139"/>
        <v>29.047395136845967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838">
        <f t="shared" si="143"/>
        <v>0.6071428571428571</v>
      </c>
      <c r="AT347" s="855">
        <f t="shared" si="144"/>
        <v>28.867740997791827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838">
        <f t="shared" si="148"/>
        <v>0.10714285714285714</v>
      </c>
      <c r="AY347" s="855">
        <f t="shared" si="149"/>
        <v>29.183033937854429</v>
      </c>
      <c r="AZ347" s="829">
        <f t="shared" si="153"/>
        <v>29.02538746782313</v>
      </c>
      <c r="BA347" s="662">
        <f t="shared" si="150"/>
        <v>1.0172992284558136</v>
      </c>
      <c r="BB347" s="657">
        <v>43433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926">
        <f>1+[2]!Salcycl*Ksac</f>
        <v>1.0061548276949595</v>
      </c>
      <c r="BH347" s="1082">
        <f t="shared" si="151"/>
        <v>7.1981087885571796E-3</v>
      </c>
      <c r="BI347" s="11">
        <v>44529</v>
      </c>
      <c r="BJ347" s="803">
        <v>3.3838340940877173E-3</v>
      </c>
      <c r="BK347" s="803">
        <v>4.2228537540757059E-3</v>
      </c>
      <c r="BL347" s="803">
        <v>5.2470942061774188E-3</v>
      </c>
      <c r="BM347" s="803">
        <v>7.197980378607618E-3</v>
      </c>
      <c r="BN347" s="803">
        <v>1.0590044805544896E-2</v>
      </c>
      <c r="BO347" s="804">
        <v>2.3440643466226551E-2</v>
      </c>
      <c r="BP347" s="803">
        <v>5.6951885557230443E-2</v>
      </c>
      <c r="BQ347" s="803">
        <v>0.10186416017150017</v>
      </c>
      <c r="BR347" s="803">
        <v>0.14706039129288551</v>
      </c>
      <c r="BS347" s="803">
        <v>0.17891745280883833</v>
      </c>
      <c r="BT347" s="803">
        <v>0.20612108033195534</v>
      </c>
      <c r="BW347" s="1138">
        <f>'2018'!R\Max</f>
        <v>1.0172992284558136</v>
      </c>
      <c r="BX347" s="1136">
        <f>'2019'!R\Max</f>
        <v>0.70005252425280573</v>
      </c>
      <c r="BY347" s="1136">
        <f>'2020'!R\Max</f>
        <v>0.39172828273998145</v>
      </c>
      <c r="BZ347" s="1136">
        <f>'2021'!R\Max</f>
        <v>0.30028963576858186</v>
      </c>
      <c r="CA347" s="1136">
        <f>'2022'!R\Max</f>
        <v>0.50323554192933595</v>
      </c>
      <c r="CB347" s="1136">
        <f>'2023'!R\Max</f>
        <v>0.50239010579245924</v>
      </c>
      <c r="CC347" s="1136">
        <f>'2024'!R\Max</f>
        <v>0.501255331400285</v>
      </c>
      <c r="CD347" s="1136">
        <f>'2025'!R\Max</f>
        <v>0.50481575199879281</v>
      </c>
      <c r="CE347" s="1136">
        <f>'2026'!R\Max</f>
        <v>0.50473044983201532</v>
      </c>
      <c r="CF347" s="1137">
        <f>'2027'!R\Max</f>
        <v>0.50441918067000802</v>
      </c>
    </row>
    <row r="348" spans="1:84" s="6" customFormat="1" ht="11.25" x14ac:dyDescent="0.2">
      <c r="A348" s="11">
        <v>43434</v>
      </c>
      <c r="B348" s="380">
        <f>'2022'!Maxi_hp</f>
        <v>27.333508248606524</v>
      </c>
      <c r="C348" s="85">
        <f>'2022'!An_max</f>
        <v>2020</v>
      </c>
      <c r="D348" s="1089" t="str">
        <f t="shared" si="135"/>
        <v/>
      </c>
      <c r="E348" s="749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838">
        <f t="shared" si="138"/>
        <v>0.2857142857142857</v>
      </c>
      <c r="J348" s="829">
        <f t="shared" si="139"/>
        <v>28.817711371289828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838">
        <f t="shared" si="143"/>
        <v>0.6428571428571429</v>
      </c>
      <c r="AT348" s="855">
        <f t="shared" si="144"/>
        <v>28.635348999127746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838">
        <f t="shared" si="148"/>
        <v>0.14285714285714285</v>
      </c>
      <c r="AY348" s="855">
        <f t="shared" si="149"/>
        <v>29.0056203697409</v>
      </c>
      <c r="AZ348" s="829">
        <f t="shared" si="153"/>
        <v>28.820484684434323</v>
      </c>
      <c r="BA348" s="662">
        <f t="shared" si="150"/>
        <v>0.94849684266870793</v>
      </c>
      <c r="BB348" s="657">
        <v>43434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926">
        <f>1+[2]!Salcycl*Ksac</f>
        <v>1.0057694801145109</v>
      </c>
      <c r="BH348" s="1082">
        <f t="shared" si="151"/>
        <v>7.5575843734722523E-3</v>
      </c>
      <c r="BI348" s="11">
        <v>44530</v>
      </c>
      <c r="BJ348" s="803">
        <v>3.713504114158191E-3</v>
      </c>
      <c r="BK348" s="803">
        <v>4.5643417928408012E-3</v>
      </c>
      <c r="BL348" s="803">
        <v>5.6013712510887522E-3</v>
      </c>
      <c r="BM348" s="803">
        <v>7.5574563641454583E-3</v>
      </c>
      <c r="BN348" s="803">
        <v>1.0938937979989788E-2</v>
      </c>
      <c r="BO348" s="804">
        <v>2.4522374556599291E-2</v>
      </c>
      <c r="BP348" s="803">
        <v>5.7977609993027569E-2</v>
      </c>
      <c r="BQ348" s="803">
        <v>0.10231106303790986</v>
      </c>
      <c r="BR348" s="803">
        <v>0.14600853250202142</v>
      </c>
      <c r="BS348" s="803">
        <v>0.17701866407975997</v>
      </c>
      <c r="BT348" s="803">
        <v>0.20377093984161151</v>
      </c>
      <c r="BW348" s="1138">
        <f>'2018'!R\Max</f>
        <v>0.38221264312649572</v>
      </c>
      <c r="BX348" s="1136">
        <f>'2019'!R\Max</f>
        <v>0.42118952047370906</v>
      </c>
      <c r="BY348" s="1136">
        <f>'2020'!R\Max</f>
        <v>0.94849684266870793</v>
      </c>
      <c r="BZ348" s="1136">
        <f>'2021'!R\Max</f>
        <v>0.77963497809151416</v>
      </c>
      <c r="CA348" s="1136">
        <f>'2022'!R\Max</f>
        <v>0.16477605631728537</v>
      </c>
      <c r="CB348" s="1136">
        <f>'2023'!R\Max</f>
        <v>0.16438483910779086</v>
      </c>
      <c r="CC348" s="1136">
        <f>'2024'!R\Max</f>
        <v>0.16386646711259345</v>
      </c>
      <c r="CD348" s="1136">
        <f>'2025'!R\Max</f>
        <v>0.16552632988203023</v>
      </c>
      <c r="CE348" s="1136">
        <f>'2026'!R\Max</f>
        <v>0.16548678767632011</v>
      </c>
      <c r="CF348" s="1137">
        <f>'2027'!R\Max</f>
        <v>0.16533395752157357</v>
      </c>
    </row>
    <row r="349" spans="1:84" s="6" customFormat="1" ht="11.25" x14ac:dyDescent="0.2">
      <c r="A349" s="11">
        <v>43435</v>
      </c>
      <c r="B349" s="380">
        <f>'2022'!Maxi_hp</f>
        <v>28.263329653266126</v>
      </c>
      <c r="C349" s="85">
        <f>'2022'!An_max</f>
        <v>2020</v>
      </c>
      <c r="D349" s="1089">
        <f t="shared" si="135"/>
        <v>0.98847585235940016</v>
      </c>
      <c r="E349" s="749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838">
        <f t="shared" si="138"/>
        <v>0.35714285714285715</v>
      </c>
      <c r="J349" s="829">
        <f t="shared" si="139"/>
        <v>28.592837736808825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838">
        <f t="shared" si="143"/>
        <v>0.6785714285714286</v>
      </c>
      <c r="AT349" s="855">
        <f t="shared" si="144"/>
        <v>28.414149748334399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838">
        <f t="shared" si="148"/>
        <v>0.17857142857142858</v>
      </c>
      <c r="AY349" s="855">
        <f t="shared" si="149"/>
        <v>28.834060157037207</v>
      </c>
      <c r="AZ349" s="829">
        <f t="shared" si="153"/>
        <v>28.624104952685805</v>
      </c>
      <c r="BA349" s="662">
        <f t="shared" si="150"/>
        <v>0.98847585235940016</v>
      </c>
      <c r="BB349" s="657">
        <v>43435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926">
        <f>1+[2]!Salcycl*Ksac</f>
        <v>1.0054021886080418</v>
      </c>
      <c r="BH349" s="1082">
        <f t="shared" si="151"/>
        <v>7.9728679084676013E-3</v>
      </c>
      <c r="BI349" s="11">
        <v>44531</v>
      </c>
      <c r="BJ349" s="803">
        <v>4.0900520846860388E-3</v>
      </c>
      <c r="BK349" s="803">
        <v>4.9565976828272124E-3</v>
      </c>
      <c r="BL349" s="803">
        <v>6.0104554333096005E-3</v>
      </c>
      <c r="BM349" s="803">
        <v>7.9727403749272428E-3</v>
      </c>
      <c r="BN349" s="803">
        <v>1.1341653663730392E-2</v>
      </c>
      <c r="BO349" s="804">
        <v>2.5623099386213419E-2</v>
      </c>
      <c r="BP349" s="803">
        <v>5.8932327166308689E-2</v>
      </c>
      <c r="BQ349" s="803">
        <v>0.10268497801311606</v>
      </c>
      <c r="BR349" s="803">
        <v>0.14491758290754883</v>
      </c>
      <c r="BS349" s="803">
        <v>0.17517448100583569</v>
      </c>
      <c r="BT349" s="803">
        <v>0.20148565703199961</v>
      </c>
      <c r="BW349" s="1138">
        <f>'2018'!R\Max</f>
        <v>0.7074002676695258</v>
      </c>
      <c r="BX349" s="1136">
        <f>'2019'!R\Max</f>
        <v>0.39272547785070194</v>
      </c>
      <c r="BY349" s="1136">
        <f>'2020'!R\Max</f>
        <v>0.98847585235940016</v>
      </c>
      <c r="BZ349" s="1136">
        <f>'2021'!R\Max</f>
        <v>0.14970825598759888</v>
      </c>
      <c r="CA349" s="1136">
        <f>'2022'!R\Max</f>
        <v>0.1343261382416438</v>
      </c>
      <c r="CB349" s="1136">
        <f>'2023'!R\Max</f>
        <v>0.13400753338762575</v>
      </c>
      <c r="CC349" s="1136">
        <f>'2024'!R\Max</f>
        <v>0.13358907438788617</v>
      </c>
      <c r="CD349" s="1136">
        <f>'2025'!R\Max</f>
        <v>0.13495167484418183</v>
      </c>
      <c r="CE349" s="1136">
        <f>'2026'!R\Max</f>
        <v>0.13491945097716018</v>
      </c>
      <c r="CF349" s="1137">
        <f>'2027'!R\Max</f>
        <v>0.13478810401075517</v>
      </c>
    </row>
    <row r="350" spans="1:84" s="6" customFormat="1" ht="11.25" x14ac:dyDescent="0.2">
      <c r="A350" s="11">
        <v>43436</v>
      </c>
      <c r="B350" s="380">
        <f>'2022'!Maxi_hp</f>
        <v>11.458603807529059</v>
      </c>
      <c r="C350" s="85">
        <f>'2022'!An_max</f>
        <v>2021</v>
      </c>
      <c r="D350" s="1089" t="str">
        <f t="shared" si="135"/>
        <v/>
      </c>
      <c r="E350" s="749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838">
        <f t="shared" si="138"/>
        <v>0.42857142857142855</v>
      </c>
      <c r="J350" s="829">
        <f t="shared" si="139"/>
        <v>28.37460495531559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838">
        <f t="shared" si="143"/>
        <v>0.7142857142857143</v>
      </c>
      <c r="AT350" s="855">
        <f t="shared" si="144"/>
        <v>28.205115793432508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838">
        <f t="shared" si="148"/>
        <v>0.21428571428571427</v>
      </c>
      <c r="AY350" s="855">
        <f t="shared" si="149"/>
        <v>28.668692777199404</v>
      </c>
      <c r="AZ350" s="829">
        <f t="shared" si="153"/>
        <v>28.436904285315954</v>
      </c>
      <c r="BA350" s="662">
        <f t="shared" si="150"/>
        <v>0.40383306923828899</v>
      </c>
      <c r="BB350" s="657">
        <v>43436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926">
        <f>1+[2]!Salcycl*Ksac</f>
        <v>1.0050527766050199</v>
      </c>
      <c r="BH350" s="1082">
        <f t="shared" si="151"/>
        <v>8.4439699855817073E-3</v>
      </c>
      <c r="BI350" s="11">
        <v>44532</v>
      </c>
      <c r="BJ350" s="803">
        <v>4.513480311668345E-3</v>
      </c>
      <c r="BK350" s="803">
        <v>5.3996256680125627E-3</v>
      </c>
      <c r="BL350" s="803">
        <v>6.4743533088831321E-3</v>
      </c>
      <c r="BM350" s="803">
        <v>8.4438430027208595E-3</v>
      </c>
      <c r="BN350" s="803">
        <v>1.1798209596439013E-2</v>
      </c>
      <c r="BO350" s="804">
        <v>2.674282936188678E-2</v>
      </c>
      <c r="BP350" s="803">
        <v>5.9816105854085533E-2</v>
      </c>
      <c r="BQ350" s="803">
        <v>0.10298608890946435</v>
      </c>
      <c r="BR350" s="803">
        <v>0.14378788226465403</v>
      </c>
      <c r="BS350" s="803">
        <v>0.17338535673760327</v>
      </c>
      <c r="BT350" s="803">
        <v>0.19926576036788463</v>
      </c>
      <c r="BW350" s="1138">
        <f>'2018'!R\Max</f>
        <v>0.27534673990414443</v>
      </c>
      <c r="BX350" s="1136">
        <f>'2019'!R\Max</f>
        <v>0.15289809827689652</v>
      </c>
      <c r="BY350" s="1136">
        <f>'2020'!R\Max</f>
        <v>0.15465315538959704</v>
      </c>
      <c r="BZ350" s="1136">
        <f>'2021'!R\Max</f>
        <v>0.40383306923828899</v>
      </c>
      <c r="CA350" s="1136">
        <f>'2022'!R\Max</f>
        <v>0.2556637787353826</v>
      </c>
      <c r="CB350" s="1136">
        <f>'2023'!R\Max</f>
        <v>0.25505962192283055</v>
      </c>
      <c r="CC350" s="1136">
        <f>'2024'!R\Max</f>
        <v>0.25427109041420998</v>
      </c>
      <c r="CD350" s="1136">
        <f>'2025'!R\Max</f>
        <v>0.25687807777129801</v>
      </c>
      <c r="CE350" s="1136">
        <f>'2026'!R\Max</f>
        <v>0.25681680281930253</v>
      </c>
      <c r="CF350" s="1137">
        <f>'2027'!R\Max</f>
        <v>0.25655446062370918</v>
      </c>
    </row>
    <row r="351" spans="1:84" s="6" customFormat="1" ht="11.25" x14ac:dyDescent="0.2">
      <c r="A351" s="11">
        <v>43437</v>
      </c>
      <c r="B351" s="380">
        <f>'2022'!Maxi_hp</f>
        <v>16.674095051480148</v>
      </c>
      <c r="C351" s="85">
        <f>'2022'!An_max</f>
        <v>2021</v>
      </c>
      <c r="D351" s="1089" t="str">
        <f t="shared" si="135"/>
        <v/>
      </c>
      <c r="E351" s="749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838">
        <f t="shared" si="138"/>
        <v>0.5</v>
      </c>
      <c r="J351" s="829">
        <f t="shared" si="139"/>
        <v>28.16484375037253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838">
        <f t="shared" si="143"/>
        <v>0.75</v>
      </c>
      <c r="AT351" s="855">
        <f t="shared" si="144"/>
        <v>28.009219673462212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838">
        <f t="shared" si="148"/>
        <v>0.25</v>
      </c>
      <c r="AY351" s="855">
        <f t="shared" si="149"/>
        <v>28.509857708960773</v>
      </c>
      <c r="AZ351" s="829">
        <f t="shared" si="153"/>
        <v>28.259538691211493</v>
      </c>
      <c r="BA351" s="662">
        <f t="shared" si="150"/>
        <v>0.59201802073762977</v>
      </c>
      <c r="BB351" s="657">
        <v>43437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926">
        <f>1+[2]!Salcycl*Ksac</f>
        <v>1.0047210122450463</v>
      </c>
      <c r="BH351" s="1082">
        <f t="shared" si="151"/>
        <v>8.9709006930741835E-3</v>
      </c>
      <c r="BI351" s="11">
        <v>44533</v>
      </c>
      <c r="BJ351" s="803">
        <v>4.9837909129522998E-3</v>
      </c>
      <c r="BK351" s="803">
        <v>5.8934296583397563E-3</v>
      </c>
      <c r="BL351" s="803">
        <v>6.9930709523937902E-3</v>
      </c>
      <c r="BM351" s="803">
        <v>8.970774335514178E-3</v>
      </c>
      <c r="BN351" s="803">
        <v>1.2308623044511052E-2</v>
      </c>
      <c r="BO351" s="804">
        <v>2.7881583674618956E-2</v>
      </c>
      <c r="BP351" s="803">
        <v>6.0629027719409423E-2</v>
      </c>
      <c r="BQ351" s="803">
        <v>0.10321458765777625</v>
      </c>
      <c r="BR351" s="803">
        <v>0.1426197637775686</v>
      </c>
      <c r="BS351" s="803">
        <v>0.17165172491924782</v>
      </c>
      <c r="BT351" s="803">
        <v>0.19711175436565148</v>
      </c>
      <c r="BW351" s="1138">
        <f>'2018'!R\Max</f>
        <v>0.36191343219245942</v>
      </c>
      <c r="BX351" s="1136">
        <f>'2019'!R\Max</f>
        <v>0.15309348078409632</v>
      </c>
      <c r="BY351" s="1136">
        <f>'2020'!R\Max</f>
        <v>4.0606740834359709E-2</v>
      </c>
      <c r="BZ351" s="1136">
        <f>'2021'!R\Max</f>
        <v>0.59201802073762977</v>
      </c>
      <c r="CA351" s="1136">
        <f>'2022'!R\Max</f>
        <v>0.28992088222987478</v>
      </c>
      <c r="CB351" s="1136">
        <f>'2023'!R\Max</f>
        <v>0.28924024750793409</v>
      </c>
      <c r="CC351" s="1136">
        <f>'2024'!R\Max</f>
        <v>0.28835519865101916</v>
      </c>
      <c r="CD351" s="1136">
        <f>'2025'!R\Max</f>
        <v>0.29132151368914772</v>
      </c>
      <c r="CE351" s="1136">
        <f>'2026'!R\Max</f>
        <v>0.29125213863426341</v>
      </c>
      <c r="CF351" s="1137">
        <f>'2027'!R\Max</f>
        <v>0.29094125395213533</v>
      </c>
    </row>
    <row r="352" spans="1:84" s="6" customFormat="1" ht="11.25" x14ac:dyDescent="0.2">
      <c r="A352" s="11">
        <v>43438</v>
      </c>
      <c r="B352" s="380">
        <f>'2022'!Maxi_hp</f>
        <v>22.718598960816383</v>
      </c>
      <c r="C352" s="85">
        <f>'2022'!An_max</f>
        <v>2022</v>
      </c>
      <c r="D352" s="1089" t="str">
        <f t="shared" si="135"/>
        <v/>
      </c>
      <c r="E352" s="749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838">
        <f t="shared" si="138"/>
        <v>0.5714285714285714</v>
      </c>
      <c r="J352" s="829">
        <f t="shared" si="139"/>
        <v>27.965384840433085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838">
        <f t="shared" si="143"/>
        <v>0.7857142857142857</v>
      </c>
      <c r="AT352" s="855">
        <f t="shared" si="144"/>
        <v>27.827433934488464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838">
        <f t="shared" si="148"/>
        <v>0.2857142857142857</v>
      </c>
      <c r="AY352" s="855">
        <f t="shared" si="149"/>
        <v>28.357894431267464</v>
      </c>
      <c r="AZ352" s="829">
        <f t="shared" si="153"/>
        <v>28.092664182877964</v>
      </c>
      <c r="BA352" s="662">
        <f t="shared" si="150"/>
        <v>0.8123828472393928</v>
      </c>
      <c r="BB352" s="657">
        <v>43438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926">
        <f>1+[2]!Salcycl*Ksac</f>
        <v>1.004406611088877</v>
      </c>
      <c r="BH352" s="1082">
        <f t="shared" si="151"/>
        <v>9.5250394848635962E-3</v>
      </c>
      <c r="BI352" s="11">
        <v>44534</v>
      </c>
      <c r="BJ352" s="803">
        <v>5.4763922845132299E-3</v>
      </c>
      <c r="BK352" s="803">
        <v>6.4118159349184391E-3</v>
      </c>
      <c r="BL352" s="803">
        <v>7.5388506900941179E-3</v>
      </c>
      <c r="BM352" s="803">
        <v>9.5249137699910946E-3</v>
      </c>
      <c r="BN352" s="803">
        <v>1.2845785309963005E-2</v>
      </c>
      <c r="BO352" s="804">
        <v>2.8986212989353406E-2</v>
      </c>
      <c r="BP352" s="803">
        <v>6.133097904626339E-2</v>
      </c>
      <c r="BQ352" s="803">
        <v>0.10334730885989474</v>
      </c>
      <c r="BR352" s="803">
        <v>0.14144000339188947</v>
      </c>
      <c r="BS352" s="803">
        <v>0.17001517819770476</v>
      </c>
      <c r="BT352" s="803">
        <v>0.19507834949719816</v>
      </c>
      <c r="BW352" s="1138">
        <f>'2018'!R\Max</f>
        <v>0.21843279605780436</v>
      </c>
      <c r="BX352" s="1136">
        <f>'2019'!R\Max</f>
        <v>0.22683911592024592</v>
      </c>
      <c r="BY352" s="1136">
        <f>'2020'!R\Max</f>
        <v>0.49325712389260989</v>
      </c>
      <c r="BZ352" s="1136">
        <f>'2021'!R\Max</f>
        <v>0.27110080451427321</v>
      </c>
      <c r="CA352" s="1136">
        <f>'2022'!R\Max</f>
        <v>0.8123828472393928</v>
      </c>
      <c r="CB352" s="1136">
        <f>'2023'!R\Max</f>
        <v>0.81187657002122826</v>
      </c>
      <c r="CC352" s="1136">
        <f>'2024'!R\Max</f>
        <v>0.81121636553883014</v>
      </c>
      <c r="CD352" s="1136">
        <f>'2025'!R\Max</f>
        <v>0.81344322706728234</v>
      </c>
      <c r="CE352" s="1136">
        <f>'2026'!R\Max</f>
        <v>0.81339169703960856</v>
      </c>
      <c r="CF352" s="1137">
        <f>'2027'!R\Max</f>
        <v>0.81315100643185156</v>
      </c>
    </row>
    <row r="353" spans="1:84" s="6" customFormat="1" ht="11.25" x14ac:dyDescent="0.2">
      <c r="A353" s="11">
        <v>43439</v>
      </c>
      <c r="B353" s="380">
        <f>'2022'!Maxi_hp</f>
        <v>28.890668936148145</v>
      </c>
      <c r="C353" s="85">
        <f>'2022'!An_max</f>
        <v>2022</v>
      </c>
      <c r="D353" s="1089">
        <f t="shared" si="135"/>
        <v>1.0400535542439435</v>
      </c>
      <c r="E353" s="749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838">
        <f t="shared" si="138"/>
        <v>0.6428571428571429</v>
      </c>
      <c r="J353" s="829">
        <f t="shared" si="139"/>
        <v>27.778058945387603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838">
        <f t="shared" si="143"/>
        <v>0.8214285714285714</v>
      </c>
      <c r="AT353" s="855">
        <f t="shared" si="144"/>
        <v>27.660731121312295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838">
        <f t="shared" si="148"/>
        <v>0.32142857142857145</v>
      </c>
      <c r="AY353" s="855">
        <f t="shared" si="149"/>
        <v>28.213142416573</v>
      </c>
      <c r="AZ353" s="829">
        <f t="shared" si="153"/>
        <v>27.936936768942648</v>
      </c>
      <c r="BA353" s="662">
        <f t="shared" si="150"/>
        <v>1.0400535542439435</v>
      </c>
      <c r="BB353" s="657">
        <v>43439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926">
        <f>1+[2]!Salcycl*Ksac</f>
        <v>1.0041092391061979</v>
      </c>
      <c r="BH353" s="1082">
        <f t="shared" si="151"/>
        <v>1.0079072456699542E-2</v>
      </c>
      <c r="BI353" s="11">
        <v>44535</v>
      </c>
      <c r="BJ353" s="803">
        <v>5.9656973690614739E-3</v>
      </c>
      <c r="BK353" s="803">
        <v>6.9278334272320852E-3</v>
      </c>
      <c r="BL353" s="803">
        <v>8.0832163002811392E-3</v>
      </c>
      <c r="BM353" s="803">
        <v>1.0078947237075598E-2</v>
      </c>
      <c r="BN353" s="803">
        <v>1.3386736340512684E-2</v>
      </c>
      <c r="BO353" s="804">
        <v>3.001274644540285E-2</v>
      </c>
      <c r="BP353" s="803">
        <v>6.1954802734615726E-2</v>
      </c>
      <c r="BQ353" s="803">
        <v>0.10340859662902309</v>
      </c>
      <c r="BR353" s="803">
        <v>0.14028943870034927</v>
      </c>
      <c r="BS353" s="803">
        <v>0.16843292035043236</v>
      </c>
      <c r="BT353" s="803">
        <v>0.19312156391292173</v>
      </c>
      <c r="BW353" s="1138">
        <f>'2018'!R\Max</f>
        <v>0.77783057365518871</v>
      </c>
      <c r="BX353" s="1136">
        <f>'2019'!R\Max</f>
        <v>0.37094625537739967</v>
      </c>
      <c r="BY353" s="1136">
        <f>'2020'!R\Max</f>
        <v>0.3543277131891362</v>
      </c>
      <c r="BZ353" s="1136">
        <f>'2021'!R\Max</f>
        <v>0.24937992958510288</v>
      </c>
      <c r="CA353" s="1136">
        <f>'2022'!R\Max</f>
        <v>1.0400535542439435</v>
      </c>
      <c r="CB353" s="1136">
        <f>'2023'!R\Max</f>
        <v>1.0400535542439437</v>
      </c>
      <c r="CC353" s="1136">
        <f>'2024'!R\Max</f>
        <v>1.0400535542439437</v>
      </c>
      <c r="CD353" s="1136">
        <f>'2025'!R\Max</f>
        <v>1.0400535542439433</v>
      </c>
      <c r="CE353" s="1136">
        <f>'2026'!R\Max</f>
        <v>1.0400535542439437</v>
      </c>
      <c r="CF353" s="1137">
        <f>'2027'!R\Max</f>
        <v>1.0400535542439433</v>
      </c>
    </row>
    <row r="354" spans="1:84" s="6" customFormat="1" ht="11.25" x14ac:dyDescent="0.2">
      <c r="A354" s="11">
        <v>43440</v>
      </c>
      <c r="B354" s="380">
        <f>'2022'!Maxi_hp</f>
        <v>23.022498392650729</v>
      </c>
      <c r="C354" s="85">
        <f>'2022'!An_max</f>
        <v>2020</v>
      </c>
      <c r="D354" s="1089" t="str">
        <f t="shared" si="135"/>
        <v/>
      </c>
      <c r="E354" s="749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838">
        <f t="shared" si="138"/>
        <v>0.7142857142857143</v>
      </c>
      <c r="J354" s="829">
        <f t="shared" si="139"/>
        <v>27.604696795557224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838">
        <f t="shared" si="143"/>
        <v>0.8571428571428571</v>
      </c>
      <c r="AT354" s="855">
        <f t="shared" si="144"/>
        <v>27.510083779000809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838">
        <f t="shared" si="148"/>
        <v>0.35714285714285715</v>
      </c>
      <c r="AY354" s="855">
        <f t="shared" si="149"/>
        <v>28.075941147229504</v>
      </c>
      <c r="AZ354" s="829">
        <f t="shared" si="153"/>
        <v>27.793012463115154</v>
      </c>
      <c r="BA354" s="662">
        <f t="shared" si="150"/>
        <v>0.83400656646067683</v>
      </c>
      <c r="BB354" s="657">
        <v>43440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926">
        <f>1+[2]!Salcycl*Ksac</f>
        <v>1.0038285159144638</v>
      </c>
      <c r="BH354" s="1082">
        <f t="shared" si="151"/>
        <v>1.0633011326799871E-2</v>
      </c>
      <c r="BI354" s="11">
        <v>44536</v>
      </c>
      <c r="BJ354" s="803">
        <v>6.4517101219703664E-3</v>
      </c>
      <c r="BK354" s="803">
        <v>7.4414877296338708E-3</v>
      </c>
      <c r="BL354" s="803">
        <v>8.6261753934454722E-3</v>
      </c>
      <c r="BM354" s="803">
        <v>1.0632886454703604E-2</v>
      </c>
      <c r="BN354" s="803">
        <v>1.3931495301725348E-2</v>
      </c>
      <c r="BO354" s="804">
        <v>3.0961222373869446E-2</v>
      </c>
      <c r="BP354" s="803">
        <v>6.2500610277238078E-2</v>
      </c>
      <c r="BQ354" s="803">
        <v>0.10339865867365682</v>
      </c>
      <c r="BR354" s="803">
        <v>0.13916838334369142</v>
      </c>
      <c r="BS354" s="803">
        <v>0.16690533300809027</v>
      </c>
      <c r="BT354" s="803">
        <v>0.1912418388459256</v>
      </c>
      <c r="BW354" s="1138">
        <f>'2018'!R\Max</f>
        <v>0.3975576076306182</v>
      </c>
      <c r="BX354" s="1136">
        <f>'2019'!R\Max</f>
        <v>0.47404647673596834</v>
      </c>
      <c r="BY354" s="1136">
        <f>'2020'!R\Max</f>
        <v>0.83400656646067683</v>
      </c>
      <c r="BZ354" s="1136">
        <f>'2021'!R\Max</f>
        <v>0.39940996584033622</v>
      </c>
      <c r="CA354" s="1136">
        <f>'2022'!R\Max</f>
        <v>0.45490034730409457</v>
      </c>
      <c r="CB354" s="1136">
        <f>'2023'!R\Max</f>
        <v>0.4540935482067186</v>
      </c>
      <c r="CC354" s="1136">
        <f>'2024'!R\Max</f>
        <v>0.45304618009862729</v>
      </c>
      <c r="CD354" s="1136">
        <f>'2025'!R\Max</f>
        <v>0.45666397653446672</v>
      </c>
      <c r="CE354" s="1136">
        <f>'2026'!R\Max</f>
        <v>0.45657982192267643</v>
      </c>
      <c r="CF354" s="1137">
        <f>'2027'!R\Max</f>
        <v>0.45616281362283417</v>
      </c>
    </row>
    <row r="355" spans="1:84" s="6" customFormat="1" ht="11.25" x14ac:dyDescent="0.2">
      <c r="A355" s="11">
        <v>43441</v>
      </c>
      <c r="B355" s="380">
        <f>'2022'!Maxi_hp</f>
        <v>23.615013833101326</v>
      </c>
      <c r="C355" s="85">
        <f>'2022'!An_max</f>
        <v>2018</v>
      </c>
      <c r="D355" s="1089" t="str">
        <f t="shared" si="135"/>
        <v/>
      </c>
      <c r="E355" s="749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838">
        <f t="shared" si="138"/>
        <v>0.7857142857142857</v>
      </c>
      <c r="J355" s="829">
        <f t="shared" si="139"/>
        <v>27.447129101998041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838">
        <f t="shared" si="143"/>
        <v>0.8928571428571429</v>
      </c>
      <c r="AT355" s="855">
        <f t="shared" si="144"/>
        <v>27.376464451024578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838">
        <f t="shared" si="148"/>
        <v>0.39285714285714285</v>
      </c>
      <c r="AY355" s="855">
        <f t="shared" si="149"/>
        <v>27.946630097712791</v>
      </c>
      <c r="AZ355" s="829">
        <f t="shared" si="153"/>
        <v>27.661547274368687</v>
      </c>
      <c r="BA355" s="662">
        <f t="shared" si="150"/>
        <v>0.86038192720790785</v>
      </c>
      <c r="BB355" s="657">
        <v>43441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926">
        <f>1+[2]!Salcycl*Ksac</f>
        <v>1.0035640182413659</v>
      </c>
      <c r="BH355" s="1082">
        <f t="shared" si="151"/>
        <v>1.1186872420618072E-2</v>
      </c>
      <c r="BI355" s="11">
        <v>44537</v>
      </c>
      <c r="BJ355" s="803">
        <v>6.9344386355182398E-3</v>
      </c>
      <c r="BK355" s="803">
        <v>7.9527887758784003E-3</v>
      </c>
      <c r="BL355" s="803">
        <v>9.167740134943321E-3</v>
      </c>
      <c r="BM355" s="803">
        <v>1.11867477480539E-2</v>
      </c>
      <c r="BN355" s="803">
        <v>1.4480085775068985E-2</v>
      </c>
      <c r="BO355" s="804">
        <v>3.183168926354682E-2</v>
      </c>
      <c r="BP355" s="803">
        <v>6.2968519963249467E-2</v>
      </c>
      <c r="BQ355" s="803">
        <v>0.10331770466383404</v>
      </c>
      <c r="BR355" s="803">
        <v>0.13807714072958513</v>
      </c>
      <c r="BS355" s="803">
        <v>0.16543278344297596</v>
      </c>
      <c r="BT355" s="803">
        <v>0.18943959758015047</v>
      </c>
      <c r="BW355" s="1138">
        <f>'2018'!R\Max</f>
        <v>0.86038192720790785</v>
      </c>
      <c r="BX355" s="1136">
        <f>'2019'!R\Max</f>
        <v>0.56302267349588453</v>
      </c>
      <c r="BY355" s="1136">
        <f>'2020'!R\Max</f>
        <v>0.5035029563708906</v>
      </c>
      <c r="BZ355" s="1136">
        <f>'2021'!R\Max</f>
        <v>0.22992340449641135</v>
      </c>
      <c r="CA355" s="1136">
        <f>'2022'!R\Max</f>
        <v>0.8242746080143255</v>
      </c>
      <c r="CB355" s="1136">
        <f>'2023'!R\Max</f>
        <v>0.82380768099103685</v>
      </c>
      <c r="CC355" s="1136">
        <f>'2024'!R\Max</f>
        <v>0.8232002746249355</v>
      </c>
      <c r="CD355" s="1136">
        <f>'2025'!R\Max</f>
        <v>0.82530806154939018</v>
      </c>
      <c r="CE355" s="1136">
        <f>'2026'!R\Max</f>
        <v>0.82525911885113989</v>
      </c>
      <c r="CF355" s="1137">
        <f>'2027'!R\Max</f>
        <v>0.82501147151929954</v>
      </c>
    </row>
    <row r="356" spans="1:84" s="6" customFormat="1" ht="11.25" x14ac:dyDescent="0.2">
      <c r="A356" s="11">
        <v>43442</v>
      </c>
      <c r="B356" s="380">
        <f>'2022'!Maxi_hp</f>
        <v>18.625313050324355</v>
      </c>
      <c r="C356" s="85">
        <f>'2022'!An_max</f>
        <v>2019</v>
      </c>
      <c r="D356" s="1089" t="str">
        <f t="shared" si="135"/>
        <v/>
      </c>
      <c r="E356" s="749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838">
        <f t="shared" si="138"/>
        <v>0.8571428571428571</v>
      </c>
      <c r="J356" s="829">
        <f t="shared" si="139"/>
        <v>27.307186588219235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838">
        <f t="shared" si="143"/>
        <v>0.9285714285714286</v>
      </c>
      <c r="AT356" s="855">
        <f t="shared" si="144"/>
        <v>27.260845682876447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838">
        <f t="shared" si="148"/>
        <v>0.42857142857142855</v>
      </c>
      <c r="AY356" s="855">
        <f t="shared" si="149"/>
        <v>27.825548749736377</v>
      </c>
      <c r="AZ356" s="829">
        <f t="shared" si="153"/>
        <v>27.54319721630641</v>
      </c>
      <c r="BA356" s="662">
        <f t="shared" si="150"/>
        <v>0.68206634873032357</v>
      </c>
      <c r="BB356" s="657">
        <v>43442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926">
        <f>1+[2]!Salcycl*Ksac</f>
        <v>1.0033152835819996</v>
      </c>
      <c r="BH356" s="1082">
        <f t="shared" si="151"/>
        <v>1.1740676669176019E-2</v>
      </c>
      <c r="BI356" s="11">
        <v>44538</v>
      </c>
      <c r="BJ356" s="803">
        <v>7.4138950704240782E-3</v>
      </c>
      <c r="BK356" s="803">
        <v>8.4617507900330638E-3</v>
      </c>
      <c r="BL356" s="803">
        <v>9.7079272158716191E-3</v>
      </c>
      <c r="BM356" s="803">
        <v>1.1740552047877835E-2</v>
      </c>
      <c r="BN356" s="803">
        <v>1.5032535837692229E-2</v>
      </c>
      <c r="BO356" s="804">
        <v>3.2624204139524826E-2</v>
      </c>
      <c r="BP356" s="803">
        <v>6.3358655260932151E-2</v>
      </c>
      <c r="BQ356" s="803">
        <v>0.1031659447595303</v>
      </c>
      <c r="BR356" s="803">
        <v>0.13701600466019789</v>
      </c>
      <c r="BS356" s="803">
        <v>0.16401562572278361</v>
      </c>
      <c r="BT356" s="803">
        <v>0.18771524707232348</v>
      </c>
      <c r="BW356" s="1138">
        <f>'2018'!R\Max</f>
        <v>0.66081534313372825</v>
      </c>
      <c r="BX356" s="1136">
        <f>'2019'!R\Max</f>
        <v>0.68206634873032357</v>
      </c>
      <c r="BY356" s="1136">
        <f>'2020'!R\Max</f>
        <v>9.0280819210011951E-2</v>
      </c>
      <c r="BZ356" s="1136">
        <f>'2021'!R\Max</f>
        <v>0.32972837725251081</v>
      </c>
      <c r="CA356" s="1136">
        <f>'2022'!R\Max</f>
        <v>0.18929437952584405</v>
      </c>
      <c r="CB356" s="1136">
        <f>'2023'!R\Max</f>
        <v>0.18887169664773662</v>
      </c>
      <c r="CC356" s="1136">
        <f>'2024'!R\Max</f>
        <v>0.18832426019973922</v>
      </c>
      <c r="CD356" s="1136">
        <f>'2025'!R\Max</f>
        <v>0.19024839724441145</v>
      </c>
      <c r="CE356" s="1136">
        <f>'2026'!R\Max</f>
        <v>0.19020312345125132</v>
      </c>
      <c r="CF356" s="1137">
        <f>'2027'!R\Max</f>
        <v>0.18997105397125688</v>
      </c>
    </row>
    <row r="357" spans="1:84" s="6" customFormat="1" ht="11.25" x14ac:dyDescent="0.2">
      <c r="A357" s="11">
        <v>43443</v>
      </c>
      <c r="B357" s="380">
        <f>'2022'!Maxi_hp</f>
        <v>9.4747658981708156</v>
      </c>
      <c r="C357" s="85">
        <f>'2022'!An_max</f>
        <v>2019</v>
      </c>
      <c r="D357" s="1089" t="str">
        <f t="shared" si="135"/>
        <v/>
      </c>
      <c r="E357" s="749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838">
        <f t="shared" si="138"/>
        <v>0.9285714285714286</v>
      </c>
      <c r="J357" s="829">
        <f t="shared" si="139"/>
        <v>27.186699982838974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838">
        <f t="shared" si="143"/>
        <v>0.9642857142857143</v>
      </c>
      <c r="AT357" s="855">
        <f t="shared" si="144"/>
        <v>27.164200017800823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838">
        <f t="shared" si="148"/>
        <v>0.4642857142857143</v>
      </c>
      <c r="AY357" s="855">
        <f t="shared" si="149"/>
        <v>27.713036575487685</v>
      </c>
      <c r="AZ357" s="829">
        <f t="shared" si="153"/>
        <v>27.438618296644254</v>
      </c>
      <c r="BA357" s="662">
        <f t="shared" si="150"/>
        <v>0.34850739163456984</v>
      </c>
      <c r="BB357" s="657">
        <v>43443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926">
        <f>1+[2]!Salcycl*Ksac</f>
        <v>1.0030818140205524</v>
      </c>
      <c r="BH357" s="1082">
        <f t="shared" si="151"/>
        <v>1.2294449607400107E-2</v>
      </c>
      <c r="BI357" s="11">
        <v>44539</v>
      </c>
      <c r="BJ357" s="803">
        <v>7.8900955873883061E-3</v>
      </c>
      <c r="BK357" s="803">
        <v>8.9683922373943424E-3</v>
      </c>
      <c r="BL357" s="803">
        <v>1.024675782394785E-2</v>
      </c>
      <c r="BM357" s="803">
        <v>1.2294324888832342E-2</v>
      </c>
      <c r="BN357" s="803">
        <v>1.5588878142202861E-2</v>
      </c>
      <c r="BO357" s="804">
        <v>3.3338830941788251E-2</v>
      </c>
      <c r="BP357" s="803">
        <v>6.3671143200508012E-2</v>
      </c>
      <c r="BQ357" s="803">
        <v>0.10294358813896982</v>
      </c>
      <c r="BR357" s="803">
        <v>0.13598525995963517</v>
      </c>
      <c r="BS357" s="803">
        <v>0.1626542018641994</v>
      </c>
      <c r="BT357" s="803">
        <v>0.18606917957371791</v>
      </c>
      <c r="BW357" s="1138">
        <f>'2018'!R\Max</f>
        <v>0.17269881570341919</v>
      </c>
      <c r="BX357" s="1136">
        <f>'2019'!R\Max</f>
        <v>0.34850739163456984</v>
      </c>
      <c r="BY357" s="1136">
        <f>'2020'!R\Max</f>
        <v>0.30278819415620284</v>
      </c>
      <c r="BZ357" s="1136">
        <f>'2021'!R\Max</f>
        <v>0.31529165510729978</v>
      </c>
      <c r="CA357" s="1136">
        <f>'2022'!R\Max</f>
        <v>0.23154358448257614</v>
      </c>
      <c r="CB357" s="1136">
        <f>'2023'!R\Max</f>
        <v>0.23103259218942243</v>
      </c>
      <c r="CC357" s="1136">
        <f>'2024'!R\Max</f>
        <v>0.23037101420635231</v>
      </c>
      <c r="CD357" s="1136">
        <f>'2025'!R\Max</f>
        <v>0.23271082785801425</v>
      </c>
      <c r="CE357" s="1136">
        <f>'2026'!R\Max</f>
        <v>0.23265532627582369</v>
      </c>
      <c r="CF357" s="1137">
        <f>'2027'!R\Max</f>
        <v>0.23236851120371257</v>
      </c>
    </row>
    <row r="358" spans="1:84" s="6" customFormat="1" ht="11.25" x14ac:dyDescent="0.2">
      <c r="A358" s="11">
        <v>43444</v>
      </c>
      <c r="B358" s="380">
        <f>'2022'!Maxi_hp</f>
        <v>22.134135091685113</v>
      </c>
      <c r="C358" s="85">
        <f>'2022'!An_max</f>
        <v>2019</v>
      </c>
      <c r="D358" s="1089" t="str">
        <f t="shared" si="135"/>
        <v/>
      </c>
      <c r="E358" s="837">
        <f>AL$13/10</f>
        <v>27.087499999999999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838">
        <f t="shared" si="138"/>
        <v>1</v>
      </c>
      <c r="J358" s="829">
        <f t="shared" si="139"/>
        <v>27.087499999999999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838">
        <f t="shared" si="143"/>
        <v>1</v>
      </c>
      <c r="AT358" s="855">
        <f t="shared" si="144"/>
        <v>27.087499999999999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838">
        <f t="shared" si="148"/>
        <v>0.5</v>
      </c>
      <c r="AY358" s="855">
        <f t="shared" si="149"/>
        <v>27.609433057904244</v>
      </c>
      <c r="AZ358" s="829">
        <f t="shared" si="153"/>
        <v>27.348466528952123</v>
      </c>
      <c r="BA358" s="662">
        <f t="shared" si="150"/>
        <v>0.81713465959151321</v>
      </c>
      <c r="BB358" s="657">
        <v>43444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926">
        <f>1+[2]!Salcycl*Ksac</f>
        <v>1.0028630801853782</v>
      </c>
      <c r="BH358" s="1082">
        <f t="shared" si="151"/>
        <v>1.2848221372312764E-2</v>
      </c>
      <c r="BI358" s="11">
        <v>44540</v>
      </c>
      <c r="BJ358" s="803">
        <v>8.3630602785415599E-3</v>
      </c>
      <c r="BK358" s="803">
        <v>9.4727357752993121E-3</v>
      </c>
      <c r="BL358" s="803">
        <v>1.0784257614269868E-2</v>
      </c>
      <c r="BM358" s="803">
        <v>1.2848096407668388E-2</v>
      </c>
      <c r="BN358" s="803">
        <v>1.6149149996262099E-2</v>
      </c>
      <c r="BO358" s="804">
        <v>3.3975638903416643E-2</v>
      </c>
      <c r="BP358" s="803">
        <v>6.3906112756147215E-2</v>
      </c>
      <c r="BQ358" s="803">
        <v>0.10265084152569159</v>
      </c>
      <c r="BR358" s="803">
        <v>0.13498518309973248</v>
      </c>
      <c r="BS358" s="803">
        <v>0.16134884298452573</v>
      </c>
      <c r="BT358" s="803">
        <v>0.18450177424965813</v>
      </c>
      <c r="BW358" s="1138">
        <f>'2018'!R\Max</f>
        <v>0.57080797489389667</v>
      </c>
      <c r="BX358" s="1136">
        <f>'2019'!R\Max</f>
        <v>0.81713465959151321</v>
      </c>
      <c r="BY358" s="1136">
        <f>'2020'!R\Max</f>
        <v>0.29362570831373908</v>
      </c>
      <c r="BZ358" s="1136">
        <f>'2021'!R\Max</f>
        <v>0.10266711396760125</v>
      </c>
      <c r="CA358" s="1136">
        <f>'2022'!R\Max</f>
        <v>0.58033336653986112</v>
      </c>
      <c r="CB358" s="1136">
        <f>'2023'!R\Max</f>
        <v>0.57957610519246927</v>
      </c>
      <c r="CC358" s="1136">
        <f>'2024'!R\Max</f>
        <v>0.57859389397690508</v>
      </c>
      <c r="CD358" s="1136">
        <f>'2025'!R\Max</f>
        <v>0.58207522495580211</v>
      </c>
      <c r="CE358" s="1136">
        <f>'2026'!R\Max</f>
        <v>0.58199210732843909</v>
      </c>
      <c r="CF358" s="1137">
        <f>'2027'!R\Max</f>
        <v>0.58156132322470744</v>
      </c>
    </row>
    <row r="359" spans="1:84" s="6" customFormat="1" ht="11.25" x14ac:dyDescent="0.2">
      <c r="A359" s="11">
        <v>43445</v>
      </c>
      <c r="B359" s="380">
        <f>'2022'!Maxi_hp</f>
        <v>23.016717284204159</v>
      </c>
      <c r="C359" s="85">
        <f>'2022'!An_max</f>
        <v>2018</v>
      </c>
      <c r="D359" s="1089" t="str">
        <f t="shared" si="135"/>
        <v/>
      </c>
      <c r="E359" s="749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838">
        <f t="shared" si="138"/>
        <v>0.9285714285714286</v>
      </c>
      <c r="J359" s="829">
        <f t="shared" si="139"/>
        <v>27.007959994354415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838">
        <f t="shared" si="143"/>
        <v>0.96551724137931039</v>
      </c>
      <c r="AT359" s="855">
        <f t="shared" si="144"/>
        <v>27.02951204596922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838">
        <f t="shared" si="148"/>
        <v>0.5357142857142857</v>
      </c>
      <c r="AY359" s="855">
        <f t="shared" si="149"/>
        <v>27.515077671834398</v>
      </c>
      <c r="AZ359" s="829">
        <f t="shared" si="153"/>
        <v>27.272294858901809</v>
      </c>
      <c r="BA359" s="662">
        <f t="shared" si="150"/>
        <v>0.852219763692461</v>
      </c>
      <c r="BB359" s="657">
        <v>43445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926">
        <f>1+[2]!Salcycl*Ksac</f>
        <v>1.0026585253056228</v>
      </c>
      <c r="BH359" s="1082">
        <f t="shared" si="151"/>
        <v>1.340202670140485E-2</v>
      </c>
      <c r="BI359" s="11">
        <v>44541</v>
      </c>
      <c r="BJ359" s="803">
        <v>8.8328130990068549E-3</v>
      </c>
      <c r="BK359" s="803">
        <v>9.9748082040668051E-3</v>
      </c>
      <c r="BL359" s="803">
        <v>1.132045668022473E-2</v>
      </c>
      <c r="BM359" s="803">
        <v>1.3401901341600284E-2</v>
      </c>
      <c r="BN359" s="803">
        <v>1.6713393442411413E-2</v>
      </c>
      <c r="BO359" s="804">
        <v>3.4534700929291826E-2</v>
      </c>
      <c r="BP359" s="803">
        <v>6.4063693228969987E-2</v>
      </c>
      <c r="BQ359" s="803">
        <v>0.10228790771723713</v>
      </c>
      <c r="BR359" s="803">
        <v>0.134016042828006</v>
      </c>
      <c r="BS359" s="803">
        <v>0.16009987045589075</v>
      </c>
      <c r="BT359" s="803">
        <v>0.18301339880198336</v>
      </c>
      <c r="BW359" s="1138">
        <f>'2018'!R\Max</f>
        <v>0.852219763692461</v>
      </c>
      <c r="BX359" s="1136">
        <f>'2019'!R\Max</f>
        <v>7.2265086249502952E-2</v>
      </c>
      <c r="BY359" s="1136">
        <f>'2020'!R\Max</f>
        <v>0.18418787887236532</v>
      </c>
      <c r="BZ359" s="1136">
        <f>'2021'!R\Max</f>
        <v>0.596237056834655</v>
      </c>
      <c r="CA359" s="1136">
        <f>'2022'!R\Max</f>
        <v>0.7103926028397568</v>
      </c>
      <c r="CB359" s="1136">
        <f>'2023'!R\Max</f>
        <v>0.70976105931683431</v>
      </c>
      <c r="CC359" s="1136">
        <f>'2024'!R\Max</f>
        <v>0.70894119451228699</v>
      </c>
      <c r="CD359" s="1136">
        <f>'2025'!R\Max</f>
        <v>0.71185459594684131</v>
      </c>
      <c r="CE359" s="1136">
        <f>'2026'!R\Max</f>
        <v>0.71178426533197137</v>
      </c>
      <c r="CF359" s="1137">
        <f>'2027'!R\Max</f>
        <v>0.71142089001351982</v>
      </c>
    </row>
    <row r="360" spans="1:84" s="6" customFormat="1" ht="11.25" x14ac:dyDescent="0.2">
      <c r="A360" s="11">
        <v>43446</v>
      </c>
      <c r="B360" s="380">
        <f>'2022'!Maxi_hp</f>
        <v>26.632515874966092</v>
      </c>
      <c r="C360" s="85">
        <f>'2022'!An_max</f>
        <v>2021</v>
      </c>
      <c r="D360" s="1089">
        <f t="shared" si="135"/>
        <v>0.98840698386997072</v>
      </c>
      <c r="E360" s="749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838">
        <f t="shared" si="138"/>
        <v>0.8571428571428571</v>
      </c>
      <c r="J360" s="829">
        <f t="shared" si="139"/>
        <v>26.94488840081862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838">
        <f t="shared" si="143"/>
        <v>0.93103448275862066</v>
      </c>
      <c r="AT360" s="855">
        <f t="shared" si="144"/>
        <v>26.987997855965432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838">
        <f t="shared" si="148"/>
        <v>0.5714285714285714</v>
      </c>
      <c r="AY360" s="855">
        <f t="shared" si="149"/>
        <v>27.430309895106724</v>
      </c>
      <c r="AZ360" s="829">
        <f t="shared" si="153"/>
        <v>27.209153875536078</v>
      </c>
      <c r="BA360" s="662">
        <f t="shared" si="150"/>
        <v>0.98840698386997072</v>
      </c>
      <c r="BB360" s="657">
        <v>43446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926">
        <f>1+[2]!Salcycl*Ksac</f>
        <v>1.0024675693371614</v>
      </c>
      <c r="BH360" s="1082">
        <f t="shared" si="151"/>
        <v>1.3955904930883259E-2</v>
      </c>
      <c r="BI360" s="11">
        <v>44542</v>
      </c>
      <c r="BJ360" s="803">
        <v>9.2993817983828015E-3</v>
      </c>
      <c r="BK360" s="803">
        <v>1.0474640417848508E-2</v>
      </c>
      <c r="BL360" s="803">
        <v>1.1855389524294284E-2</v>
      </c>
      <c r="BM360" s="803">
        <v>1.3955779026550201E-2</v>
      </c>
      <c r="BN360" s="803">
        <v>1.7281655337739777E-2</v>
      </c>
      <c r="BO360" s="804">
        <v>3.501609197446124E-2</v>
      </c>
      <c r="BP360" s="803">
        <v>6.4144012629380145E-2</v>
      </c>
      <c r="BQ360" s="803">
        <v>0.1018549841127508</v>
      </c>
      <c r="BR360" s="803">
        <v>0.13307810079415808</v>
      </c>
      <c r="BS360" s="803">
        <v>0.15890759705772697</v>
      </c>
      <c r="BT360" s="803">
        <v>0.18160441108953077</v>
      </c>
      <c r="BW360" s="1138">
        <f>'2018'!R\Max</f>
        <v>0.12837806428938964</v>
      </c>
      <c r="BX360" s="1136">
        <f>'2019'!R\Max</f>
        <v>0.21680396508913646</v>
      </c>
      <c r="BY360" s="1136">
        <f>'2020'!R\Max</f>
        <v>0.26287671566969328</v>
      </c>
      <c r="BZ360" s="1136">
        <f>'2021'!R\Max</f>
        <v>0.98840698386997072</v>
      </c>
      <c r="CA360" s="1136">
        <f>'2022'!R\Max</f>
        <v>0.20966232097948814</v>
      </c>
      <c r="CB360" s="1136">
        <f>'2023'!R\Max</f>
        <v>0.20921756536734051</v>
      </c>
      <c r="CC360" s="1136">
        <f>'2024'!R\Max</f>
        <v>0.20864176700250706</v>
      </c>
      <c r="CD360" s="1136">
        <f>'2025'!R\Max</f>
        <v>0.21070193675086682</v>
      </c>
      <c r="CE360" s="1136">
        <f>'2026'!R\Max</f>
        <v>0.21065115378656829</v>
      </c>
      <c r="CF360" s="1137">
        <f>'2027'!R\Max</f>
        <v>0.21039138129115392</v>
      </c>
    </row>
    <row r="361" spans="1:84" s="6" customFormat="1" ht="11.25" x14ac:dyDescent="0.2">
      <c r="A361" s="11">
        <v>43447</v>
      </c>
      <c r="B361" s="380">
        <f>'2022'!Maxi_hp</f>
        <v>27.848923412804474</v>
      </c>
      <c r="C361" s="85">
        <f>'2022'!An_max</f>
        <v>2021</v>
      </c>
      <c r="D361" s="1089">
        <f t="shared" si="135"/>
        <v>1.03536185034025</v>
      </c>
      <c r="E361" s="749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838">
        <f t="shared" si="138"/>
        <v>0.7857142857142857</v>
      </c>
      <c r="J361" s="829">
        <f t="shared" si="139"/>
        <v>26.897768546960187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838">
        <f t="shared" si="143"/>
        <v>0.89655172413793105</v>
      </c>
      <c r="AT361" s="855">
        <f t="shared" si="144"/>
        <v>26.962422887672638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838">
        <f t="shared" si="148"/>
        <v>0.6071428571428571</v>
      </c>
      <c r="AY361" s="855">
        <f t="shared" si="149"/>
        <v>27.355469206507717</v>
      </c>
      <c r="AZ361" s="829">
        <f t="shared" si="153"/>
        <v>27.158946047090176</v>
      </c>
      <c r="BA361" s="662">
        <f t="shared" si="150"/>
        <v>1.03536185034025</v>
      </c>
      <c r="BB361" s="657">
        <v>43447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926">
        <f>1+[2]!Salcycl*Ksac</f>
        <v>1.0022896131254821</v>
      </c>
      <c r="BH361" s="1082">
        <f t="shared" si="151"/>
        <v>1.4455910048420272E-2</v>
      </c>
      <c r="BI361" s="11">
        <v>44543</v>
      </c>
      <c r="BJ361" s="803">
        <v>9.7202509838222543E-3</v>
      </c>
      <c r="BK361" s="803">
        <v>1.0925611608313368E-2</v>
      </c>
      <c r="BL361" s="803">
        <v>1.2338202936077727E-2</v>
      </c>
      <c r="BM361" s="803">
        <v>1.4455783599950875E-2</v>
      </c>
      <c r="BN361" s="803">
        <v>1.7796033762394265E-2</v>
      </c>
      <c r="BO361" s="804">
        <v>3.5433984062052802E-2</v>
      </c>
      <c r="BP361" s="803">
        <v>6.4195705752931945E-2</v>
      </c>
      <c r="BQ361" s="803">
        <v>0.10143821322892159</v>
      </c>
      <c r="BR361" s="803">
        <v>0.13222024511632105</v>
      </c>
      <c r="BS361" s="803">
        <v>0.15782152426847726</v>
      </c>
      <c r="BT361" s="803">
        <v>0.18032418630962055</v>
      </c>
      <c r="BW361" s="1138">
        <f>'2018'!R\Max</f>
        <v>6.9436026208153923E-2</v>
      </c>
      <c r="BX361" s="1136">
        <f>'2019'!R\Max</f>
        <v>6.280581819525799E-2</v>
      </c>
      <c r="BY361" s="1136">
        <f>'2020'!R\Max</f>
        <v>0.42645452476757006</v>
      </c>
      <c r="BZ361" s="1136">
        <f>'2021'!R\Max</f>
        <v>1.03536185034025</v>
      </c>
      <c r="CA361" s="1136">
        <f>'2022'!R\Max</f>
        <v>0.23030971389617025</v>
      </c>
      <c r="CB361" s="1136">
        <f>'2023'!R\Max</f>
        <v>0.22982758622758642</v>
      </c>
      <c r="CC361" s="1136">
        <f>'2024'!R\Max</f>
        <v>0.22920330708323966</v>
      </c>
      <c r="CD361" s="1136">
        <f>'2025'!R\Max</f>
        <v>0.23144192447000231</v>
      </c>
      <c r="CE361" s="1136">
        <f>'2026'!R\Max</f>
        <v>0.23138593244558134</v>
      </c>
      <c r="CF361" s="1137">
        <f>'2027'!R\Max</f>
        <v>0.2311022658419066</v>
      </c>
    </row>
    <row r="362" spans="1:84" s="6" customFormat="1" ht="11.25" x14ac:dyDescent="0.2">
      <c r="A362" s="11">
        <v>43448</v>
      </c>
      <c r="B362" s="380">
        <f>'2022'!Maxi_hp</f>
        <v>27.918333223458241</v>
      </c>
      <c r="C362" s="85">
        <f>'2022'!An_max</f>
        <v>2021</v>
      </c>
      <c r="D362" s="1089">
        <f t="shared" si="135"/>
        <v>1.0391664619110799</v>
      </c>
      <c r="E362" s="749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838">
        <f t="shared" si="138"/>
        <v>0.7142857142857143</v>
      </c>
      <c r="J362" s="829">
        <f t="shared" si="139"/>
        <v>26.866083776525091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838">
        <f t="shared" si="143"/>
        <v>0.86206896551724133</v>
      </c>
      <c r="AT362" s="855">
        <f t="shared" si="144"/>
        <v>26.952252605043611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838">
        <f t="shared" si="148"/>
        <v>0.6428571428571429</v>
      </c>
      <c r="AY362" s="855">
        <f t="shared" si="149"/>
        <v>27.290895083227326</v>
      </c>
      <c r="AZ362" s="829">
        <f t="shared" si="153"/>
        <v>27.121573844135469</v>
      </c>
      <c r="BA362" s="662">
        <f t="shared" si="150"/>
        <v>1.0391664619110799</v>
      </c>
      <c r="BB362" s="657">
        <v>43448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926">
        <f>1+[2]!Salcycl*Ksac</f>
        <v>1.0021240425733078</v>
      </c>
      <c r="BH362" s="1082">
        <f t="shared" si="151"/>
        <v>1.4902079825169079E-2</v>
      </c>
      <c r="BI362" s="11">
        <v>44544</v>
      </c>
      <c r="BJ362" s="803">
        <v>1.0095447311048725E-2</v>
      </c>
      <c r="BK362" s="803">
        <v>1.132775141388421E-2</v>
      </c>
      <c r="BL362" s="803">
        <v>1.2768930008648531E-2</v>
      </c>
      <c r="BM362" s="803">
        <v>1.4901952832675086E-2</v>
      </c>
      <c r="BN362" s="803">
        <v>1.8256573894610984E-2</v>
      </c>
      <c r="BO362" s="804">
        <v>3.5788454191717563E-2</v>
      </c>
      <c r="BP362" s="803">
        <v>6.4218902841920444E-2</v>
      </c>
      <c r="BQ362" s="803">
        <v>0.10103779437805238</v>
      </c>
      <c r="BR362" s="803">
        <v>0.13144273481992033</v>
      </c>
      <c r="BS362" s="803">
        <v>0.15684196094402508</v>
      </c>
      <c r="BT362" s="803">
        <v>0.17917307726726411</v>
      </c>
      <c r="BW362" s="1138">
        <f>'2018'!R\Max</f>
        <v>6.4815000668408465E-2</v>
      </c>
      <c r="BX362" s="1136">
        <f>'2019'!R\Max</f>
        <v>0.46425410416438956</v>
      </c>
      <c r="BY362" s="1136">
        <f>'2020'!R\Max</f>
        <v>0.3659307024457798</v>
      </c>
      <c r="BZ362" s="1136">
        <f>'2021'!R\Max</f>
        <v>1.0391664619110799</v>
      </c>
      <c r="CA362" s="1136">
        <f>'2022'!R\Max</f>
        <v>0.71066805301317104</v>
      </c>
      <c r="CB362" s="1136">
        <f>'2023'!R\Max</f>
        <v>0.71006141512220278</v>
      </c>
      <c r="CC362" s="1136">
        <f>'2024'!R\Max</f>
        <v>0.70927360148789953</v>
      </c>
      <c r="CD362" s="1136">
        <f>'2025'!R\Max</f>
        <v>0.71209218184744394</v>
      </c>
      <c r="CE362" s="1136">
        <f>'2026'!R\Max</f>
        <v>0.71202108664599184</v>
      </c>
      <c r="CF362" s="1137">
        <f>'2027'!R\Max</f>
        <v>0.71166425506431441</v>
      </c>
    </row>
    <row r="363" spans="1:84" s="6" customFormat="1" ht="11.25" x14ac:dyDescent="0.2">
      <c r="A363" s="11">
        <v>43449</v>
      </c>
      <c r="B363" s="380">
        <f>'2022'!Maxi_hp</f>
        <v>27.64680505166011</v>
      </c>
      <c r="C363" s="85">
        <f>'2022'!An_max</f>
        <v>2019</v>
      </c>
      <c r="D363" s="1089">
        <f t="shared" si="135"/>
        <v>1.0297023424611333</v>
      </c>
      <c r="E363" s="749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838">
        <f t="shared" si="138"/>
        <v>0.6428571428571429</v>
      </c>
      <c r="J363" s="829">
        <f t="shared" si="139"/>
        <v>26.849317430491958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838">
        <f t="shared" si="143"/>
        <v>0.82758620689655171</v>
      </c>
      <c r="AT363" s="855">
        <f t="shared" si="144"/>
        <v>26.95695247442044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838">
        <f t="shared" si="148"/>
        <v>0.6785714285714286</v>
      </c>
      <c r="AY363" s="855">
        <f t="shared" si="149"/>
        <v>27.236927002029756</v>
      </c>
      <c r="AZ363" s="829">
        <f t="shared" si="153"/>
        <v>27.096939738225096</v>
      </c>
      <c r="BA363" s="662">
        <f t="shared" si="150"/>
        <v>1.0297023424611333</v>
      </c>
      <c r="BB363" s="657">
        <v>43449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926">
        <f>1+[2]!Salcycl*Ksac</f>
        <v>1.0019702327811828</v>
      </c>
      <c r="BH363" s="1082">
        <f t="shared" si="151"/>
        <v>1.5294451916271205E-2</v>
      </c>
      <c r="BI363" s="11">
        <v>44545</v>
      </c>
      <c r="BJ363" s="803">
        <v>1.0424997313374406E-2</v>
      </c>
      <c r="BK363" s="803">
        <v>1.1681089349623704E-2</v>
      </c>
      <c r="BL363" s="803">
        <v>1.3147603717319835E-2</v>
      </c>
      <c r="BM363" s="803">
        <v>1.5294324379579614E-2</v>
      </c>
      <c r="BN363" s="803">
        <v>1.8663320910994857E-2</v>
      </c>
      <c r="BO363" s="804">
        <v>3.6079577778634409E-2</v>
      </c>
      <c r="BP363" s="803">
        <v>6.4213732227657971E-2</v>
      </c>
      <c r="BQ363" s="803">
        <v>0.10065392455644319</v>
      </c>
      <c r="BR363" s="803">
        <v>0.1307458279567916</v>
      </c>
      <c r="BS363" s="803">
        <v>0.15596921509928671</v>
      </c>
      <c r="BT363" s="803">
        <v>0.17815143606573094</v>
      </c>
      <c r="BW363" s="1138">
        <f>'2018'!R\Max</f>
        <v>0.24507900982927536</v>
      </c>
      <c r="BX363" s="1136">
        <f>'2019'!R\Max</f>
        <v>1.0297023424611333</v>
      </c>
      <c r="BY363" s="1136">
        <f>'2020'!R\Max</f>
        <v>0.11446028537974151</v>
      </c>
      <c r="BZ363" s="1136">
        <f>'2021'!R\Max</f>
        <v>0.97723505599140537</v>
      </c>
      <c r="CA363" s="1136">
        <f>'2022'!R\Max</f>
        <v>0.29698530121810313</v>
      </c>
      <c r="CB363" s="1136">
        <f>'2023'!R\Max</f>
        <v>0.29637863296555861</v>
      </c>
      <c r="CC363" s="1136">
        <f>'2024'!R\Max</f>
        <v>0.29559286460835743</v>
      </c>
      <c r="CD363" s="1136">
        <f>'2025'!R\Max</f>
        <v>0.29841933608868254</v>
      </c>
      <c r="CE363" s="1136">
        <f>'2026'!R\Max</f>
        <v>0.29834668904175438</v>
      </c>
      <c r="CF363" s="1137">
        <f>'2027'!R\Max</f>
        <v>0.29798628392830051</v>
      </c>
    </row>
    <row r="364" spans="1:84" s="6" customFormat="1" ht="11.25" x14ac:dyDescent="0.2">
      <c r="A364" s="11">
        <v>43450</v>
      </c>
      <c r="B364" s="380">
        <f>'2022'!Maxi_hp</f>
        <v>27.611155388131891</v>
      </c>
      <c r="C364" s="85">
        <f>'2022'!An_max</f>
        <v>2021</v>
      </c>
      <c r="D364" s="1089">
        <f t="shared" si="135"/>
        <v>1.0284651502658102</v>
      </c>
      <c r="E364" s="749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838">
        <f t="shared" si="138"/>
        <v>0.5714285714285714</v>
      </c>
      <c r="J364" s="829">
        <f t="shared" si="139"/>
        <v>26.84695284132447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838">
        <f t="shared" si="143"/>
        <v>0.7931034482758621</v>
      </c>
      <c r="AT364" s="855">
        <f t="shared" si="144"/>
        <v>26.975987957726268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838">
        <f t="shared" si="148"/>
        <v>0.7142857142857143</v>
      </c>
      <c r="AY364" s="855">
        <f t="shared" si="149"/>
        <v>27.193904441382205</v>
      </c>
      <c r="AZ364" s="829">
        <f t="shared" si="153"/>
        <v>27.084946199554238</v>
      </c>
      <c r="BA364" s="662">
        <f t="shared" si="150"/>
        <v>1.0284651502658102</v>
      </c>
      <c r="BB364" s="657">
        <v>43450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926">
        <f>1+[2]!Salcycl*Ksac</f>
        <v>1.0018275521299589</v>
      </c>
      <c r="BH364" s="1082">
        <f t="shared" si="151"/>
        <v>1.5633062736739142E-2</v>
      </c>
      <c r="BI364" s="11">
        <v>44546</v>
      </c>
      <c r="BJ364" s="803">
        <v>1.0708926448709006E-2</v>
      </c>
      <c r="BK364" s="803">
        <v>1.1985653788193697E-2</v>
      </c>
      <c r="BL364" s="803">
        <v>1.3474255832490173E-2</v>
      </c>
      <c r="BM364" s="803">
        <v>1.5632934655387919E-2</v>
      </c>
      <c r="BN364" s="803">
        <v>1.9016318861412255E-2</v>
      </c>
      <c r="BO364" s="804">
        <v>3.6307427324728518E-2</v>
      </c>
      <c r="BP364" s="803">
        <v>6.4180319720880799E-2</v>
      </c>
      <c r="BQ364" s="803">
        <v>0.10028679875821384</v>
      </c>
      <c r="BR364" s="803">
        <v>0.13012978324202371</v>
      </c>
      <c r="BS364" s="803">
        <v>0.15520359608262077</v>
      </c>
      <c r="BT364" s="803">
        <v>0.17725961674531596</v>
      </c>
      <c r="BW364" s="1138">
        <f>'2018'!R\Max</f>
        <v>0.14643487245494111</v>
      </c>
      <c r="BX364" s="1136">
        <f>'2019'!R\Max</f>
        <v>0.58027775257010206</v>
      </c>
      <c r="BY364" s="1136">
        <f>'2020'!R\Max</f>
        <v>8.5040484666489141E-2</v>
      </c>
      <c r="BZ364" s="1136">
        <f>'2021'!R\Max</f>
        <v>1.0284651502658102</v>
      </c>
      <c r="CA364" s="1136">
        <f>'2022'!R\Max</f>
        <v>0.20179166808681301</v>
      </c>
      <c r="CB364" s="1136">
        <f>'2023'!R\Max</f>
        <v>0.20138402404549072</v>
      </c>
      <c r="CC364" s="1136">
        <f>'2024'!R\Max</f>
        <v>0.20085596506442754</v>
      </c>
      <c r="CD364" s="1136">
        <f>'2025'!R\Max</f>
        <v>0.20275702984375144</v>
      </c>
      <c r="CE364" s="1136">
        <f>'2026'!R\Max</f>
        <v>0.20270754748679018</v>
      </c>
      <c r="CF364" s="1137">
        <f>'2027'!R\Max</f>
        <v>0.20246483193525933</v>
      </c>
    </row>
    <row r="365" spans="1:84" s="6" customFormat="1" ht="11.25" x14ac:dyDescent="0.2">
      <c r="A365" s="11">
        <v>43451</v>
      </c>
      <c r="B365" s="380">
        <f>'2022'!Maxi_hp</f>
        <v>27.969819213232515</v>
      </c>
      <c r="C365" s="85">
        <f>'2022'!An_max</f>
        <v>2021</v>
      </c>
      <c r="D365" s="1089">
        <f t="shared" si="135"/>
        <v>1.0413778494310415</v>
      </c>
      <c r="E365" s="749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838">
        <f t="shared" si="138"/>
        <v>0.5</v>
      </c>
      <c r="J365" s="829">
        <f t="shared" si="139"/>
        <v>26.858473347127436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838">
        <f t="shared" si="143"/>
        <v>0.75862068965517238</v>
      </c>
      <c r="AT365" s="855">
        <f t="shared" si="144"/>
        <v>27.008824520481046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838">
        <f t="shared" si="148"/>
        <v>0.75</v>
      </c>
      <c r="AY365" s="855">
        <f t="shared" si="149"/>
        <v>27.162166877463459</v>
      </c>
      <c r="AZ365" s="829">
        <f t="shared" si="153"/>
        <v>27.085495698972252</v>
      </c>
      <c r="BA365" s="662">
        <f t="shared" si="150"/>
        <v>1.0413778494310415</v>
      </c>
      <c r="BB365" s="657">
        <v>43451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926">
        <f>1+[2]!Salcycl*Ksac</f>
        <v>1.0016953662750907</v>
      </c>
      <c r="BH365" s="1082">
        <f t="shared" si="151"/>
        <v>1.5917946337694163E-2</v>
      </c>
      <c r="BI365" s="11">
        <v>44547</v>
      </c>
      <c r="BJ365" s="803">
        <v>1.0947258146810166E-2</v>
      </c>
      <c r="BK365" s="803">
        <v>1.2241470941085365E-2</v>
      </c>
      <c r="BL365" s="803">
        <v>1.3748915832794265E-2</v>
      </c>
      <c r="BM365" s="803">
        <v>1.5917817710927974E-2</v>
      </c>
      <c r="BN365" s="803">
        <v>1.9315609544317588E-2</v>
      </c>
      <c r="BO365" s="804">
        <v>3.6472071090731736E-2</v>
      </c>
      <c r="BP365" s="803">
        <v>6.4118788003658708E-2</v>
      </c>
      <c r="BQ365" s="803">
        <v>9.9936610291485373E-2</v>
      </c>
      <c r="BR365" s="803">
        <v>0.12959486169386791</v>
      </c>
      <c r="BS365" s="803">
        <v>0.15454541675389621</v>
      </c>
      <c r="BT365" s="803">
        <v>0.17649797792628674</v>
      </c>
      <c r="BW365" s="1138">
        <f>'2018'!R\Max</f>
        <v>0.79230956892088811</v>
      </c>
      <c r="BX365" s="1136">
        <f>'2019'!R\Max</f>
        <v>0.27063200824866707</v>
      </c>
      <c r="BY365" s="1136">
        <f>'2020'!R\Max</f>
        <v>0.57213394214836855</v>
      </c>
      <c r="BZ365" s="1136">
        <f>'2021'!R\Max</f>
        <v>1.0413778494310415</v>
      </c>
      <c r="CA365" s="1136">
        <f>'2022'!R\Max</f>
        <v>0.11283747310387503</v>
      </c>
      <c r="CB365" s="1136">
        <f>'2023'!R\Max</f>
        <v>0.11261187303361597</v>
      </c>
      <c r="CC365" s="1136">
        <f>'2024'!R\Max</f>
        <v>0.11231959594983877</v>
      </c>
      <c r="CD365" s="1136">
        <f>'2025'!R\Max</f>
        <v>0.11337218210961821</v>
      </c>
      <c r="CE365" s="1136">
        <f>'2026'!R\Max</f>
        <v>0.11334445577673198</v>
      </c>
      <c r="CF365" s="1137">
        <f>'2027'!R\Max</f>
        <v>0.11321006823222522</v>
      </c>
    </row>
    <row r="366" spans="1:84" s="6" customFormat="1" ht="11.25" x14ac:dyDescent="0.2">
      <c r="A366" s="11">
        <v>43452</v>
      </c>
      <c r="B366" s="380">
        <f>'2022'!Maxi_hp</f>
        <v>28.032685021410803</v>
      </c>
      <c r="C366" s="85">
        <f>'2022'!An_max</f>
        <v>2021</v>
      </c>
      <c r="D366" s="1089">
        <f t="shared" si="135"/>
        <v>1.0427521944805132</v>
      </c>
      <c r="E366" s="749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838">
        <f t="shared" si="138"/>
        <v>0.42857142857142855</v>
      </c>
      <c r="J366" s="829">
        <f t="shared" si="139"/>
        <v>26.883362288560182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838">
        <f t="shared" si="143"/>
        <v>0.72413793103448276</v>
      </c>
      <c r="AT366" s="855">
        <f t="shared" si="144"/>
        <v>27.054927623888545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838">
        <f t="shared" si="148"/>
        <v>0.7857142857142857</v>
      </c>
      <c r="AY366" s="855">
        <f t="shared" si="149"/>
        <v>27.142053791561295</v>
      </c>
      <c r="AZ366" s="829">
        <f t="shared" si="153"/>
        <v>27.09849070772492</v>
      </c>
      <c r="BA366" s="662">
        <f t="shared" si="150"/>
        <v>1.0427521944805132</v>
      </c>
      <c r="BB366" s="657">
        <v>43452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926">
        <f>1+[2]!Salcycl*Ksac</f>
        <v>1.0015730420238711</v>
      </c>
      <c r="BH366" s="1082">
        <f t="shared" si="151"/>
        <v>1.6123688139718116E-2</v>
      </c>
      <c r="BI366" s="11">
        <v>44548</v>
      </c>
      <c r="BJ366" s="803">
        <v>1.111876230054354E-2</v>
      </c>
      <c r="BK366" s="803">
        <v>1.2425739851637099E-2</v>
      </c>
      <c r="BL366" s="803">
        <v>1.3947075321575691E-2</v>
      </c>
      <c r="BM366" s="803">
        <v>1.6123559025244861E-2</v>
      </c>
      <c r="BN366" s="803">
        <v>1.9534234079827451E-2</v>
      </c>
      <c r="BO366" s="804">
        <v>3.6562849075747417E-2</v>
      </c>
      <c r="BP366" s="803">
        <v>6.4040180005094149E-2</v>
      </c>
      <c r="BQ366" s="803">
        <v>9.9642078859620939E-2</v>
      </c>
      <c r="BR366" s="803">
        <v>0.12919369350733145</v>
      </c>
      <c r="BS366" s="803">
        <v>0.15405850597853379</v>
      </c>
      <c r="BT366" s="803">
        <v>0.17593969340627647</v>
      </c>
      <c r="BW366" s="1138">
        <f>'2018'!R\Max</f>
        <v>0.49929607612481391</v>
      </c>
      <c r="BX366" s="1136">
        <f>'2019'!R\Max</f>
        <v>0.65997091707780664</v>
      </c>
      <c r="BY366" s="1136">
        <f>'2020'!R\Max</f>
        <v>0.27936923971653638</v>
      </c>
      <c r="BZ366" s="1136">
        <f>'2021'!R\Max</f>
        <v>1.0427521944805132</v>
      </c>
      <c r="CA366" s="1136">
        <f>'2022'!R\Max</f>
        <v>0.89259190229098673</v>
      </c>
      <c r="CB366" s="1136">
        <f>'2023'!R\Max</f>
        <v>0.89232056174900432</v>
      </c>
      <c r="CC366" s="1136">
        <f>'2024'!R\Max</f>
        <v>0.89196763219643016</v>
      </c>
      <c r="CD366" s="1136">
        <f>'2025'!R\Max</f>
        <v>0.8932313023548456</v>
      </c>
      <c r="CE366" s="1136">
        <f>'2026'!R\Max</f>
        <v>0.89319793737722031</v>
      </c>
      <c r="CF366" s="1137">
        <f>'2027'!R\Max</f>
        <v>0.89303781776108249</v>
      </c>
    </row>
    <row r="367" spans="1:84" s="6" customFormat="1" ht="11.25" x14ac:dyDescent="0.2">
      <c r="A367" s="11">
        <v>43453</v>
      </c>
      <c r="B367" s="380">
        <f>'2022'!Maxi_hp</f>
        <v>27.478360183893841</v>
      </c>
      <c r="C367" s="85">
        <f>'2022'!An_max</f>
        <v>2021</v>
      </c>
      <c r="D367" s="1089">
        <f t="shared" si="135"/>
        <v>1.0206996413857079</v>
      </c>
      <c r="E367" s="749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838">
        <f t="shared" si="138"/>
        <v>0.35714285714285715</v>
      </c>
      <c r="J367" s="829">
        <f t="shared" si="139"/>
        <v>26.92110300596271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838">
        <f t="shared" si="143"/>
        <v>0.68965517241379315</v>
      </c>
      <c r="AT367" s="855">
        <f t="shared" si="144"/>
        <v>27.113762732672278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838">
        <f t="shared" si="148"/>
        <v>0.8214285714285714</v>
      </c>
      <c r="AY367" s="855">
        <f t="shared" si="149"/>
        <v>27.133904655118073</v>
      </c>
      <c r="AZ367" s="829">
        <f t="shared" si="153"/>
        <v>27.123833693895175</v>
      </c>
      <c r="BA367" s="662">
        <f t="shared" si="150"/>
        <v>1.0206996413857079</v>
      </c>
      <c r="BB367" s="657">
        <v>43453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926">
        <f>1+[2]!Salcycl*Ksac</f>
        <v>1.0014599510682043</v>
      </c>
      <c r="BH367" s="1082">
        <f t="shared" si="151"/>
        <v>1.6278960240261306E-2</v>
      </c>
      <c r="BI367" s="11">
        <v>44549</v>
      </c>
      <c r="BJ367" s="803">
        <v>1.1248062983959395E-2</v>
      </c>
      <c r="BK367" s="803">
        <v>1.2564691514732435E-2</v>
      </c>
      <c r="BL367" s="803">
        <v>1.4096534811352092E-2</v>
      </c>
      <c r="BM367" s="803">
        <v>1.6278830752532482E-2</v>
      </c>
      <c r="BN367" s="803">
        <v>1.9699365689048186E-2</v>
      </c>
      <c r="BO367" s="804">
        <v>3.6633038887100754E-2</v>
      </c>
      <c r="BP367" s="803">
        <v>6.3984860353190606E-2</v>
      </c>
      <c r="BQ367" s="803">
        <v>9.9426799848389924E-2</v>
      </c>
      <c r="BR367" s="803">
        <v>0.12890009927345314</v>
      </c>
      <c r="BS367" s="803">
        <v>0.15370200438992224</v>
      </c>
      <c r="BT367" s="803">
        <v>0.17553089406258793</v>
      </c>
      <c r="BW367" s="1138">
        <f>'2018'!R\Max</f>
        <v>0.92595808360636356</v>
      </c>
      <c r="BX367" s="1136">
        <f>'2019'!R\Max</f>
        <v>0.45691764435347643</v>
      </c>
      <c r="BY367" s="1136">
        <f>'2020'!R\Max</f>
        <v>0.36428089889174048</v>
      </c>
      <c r="BZ367" s="1136">
        <f>'2021'!R\Max</f>
        <v>1.0206996413857079</v>
      </c>
      <c r="CA367" s="1136">
        <f>'2022'!R\Max</f>
        <v>0.75386098555445202</v>
      </c>
      <c r="CB367" s="1136">
        <f>'2023'!R\Max</f>
        <v>0.75333994020945783</v>
      </c>
      <c r="CC367" s="1136">
        <f>'2024'!R\Max</f>
        <v>0.75266280133813934</v>
      </c>
      <c r="CD367" s="1136">
        <f>'2025'!R\Max</f>
        <v>0.75509031906479296</v>
      </c>
      <c r="CE367" s="1136">
        <f>'2026'!R\Max</f>
        <v>0.75502562426659448</v>
      </c>
      <c r="CF367" s="1137">
        <f>'2027'!R\Max</f>
        <v>0.75471782968194423</v>
      </c>
    </row>
    <row r="368" spans="1:84" s="6" customFormat="1" ht="11.25" x14ac:dyDescent="0.2">
      <c r="A368" s="11">
        <v>43454</v>
      </c>
      <c r="B368" s="380">
        <f>'2022'!Maxi_hp</f>
        <v>28.081044157306998</v>
      </c>
      <c r="C368" s="85">
        <f>'2022'!An_max</f>
        <v>2021</v>
      </c>
      <c r="D368" s="1089">
        <f t="shared" si="135"/>
        <v>1.0411500488225389</v>
      </c>
      <c r="E368" s="749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838">
        <f t="shared" si="138"/>
        <v>0.2857142857142857</v>
      </c>
      <c r="J368" s="829">
        <f t="shared" si="139"/>
        <v>26.971178831585814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838">
        <f t="shared" si="143"/>
        <v>0.65517241379310343</v>
      </c>
      <c r="AT368" s="855">
        <f t="shared" si="144"/>
        <v>27.184795311607161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838">
        <f t="shared" si="148"/>
        <v>0.8571428571428571</v>
      </c>
      <c r="AY368" s="855">
        <f t="shared" si="149"/>
        <v>27.138058953838691</v>
      </c>
      <c r="AZ368" s="829">
        <f t="shared" si="153"/>
        <v>27.161427132722928</v>
      </c>
      <c r="BA368" s="662">
        <f t="shared" si="150"/>
        <v>1.0411500488225389</v>
      </c>
      <c r="BB368" s="657">
        <v>43454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926">
        <f>1+[2]!Salcycl*Ksac</f>
        <v>1.0013554735471988</v>
      </c>
      <c r="BH368" s="1082">
        <f t="shared" si="151"/>
        <v>1.6383782730039716E-2</v>
      </c>
      <c r="BI368" s="11">
        <v>44550</v>
      </c>
      <c r="BJ368" s="803">
        <v>1.1335172099667499E-2</v>
      </c>
      <c r="BK368" s="803">
        <v>1.2658339719283729E-2</v>
      </c>
      <c r="BL368" s="803">
        <v>1.4197310350465842E-2</v>
      </c>
      <c r="BM368" s="803">
        <v>1.6383652983269523E-2</v>
      </c>
      <c r="BN368" s="803">
        <v>1.9811030730702315E-2</v>
      </c>
      <c r="BO368" s="804">
        <v>3.6682710839338502E-2</v>
      </c>
      <c r="BP368" s="803">
        <v>6.3952967858076137E-2</v>
      </c>
      <c r="BQ368" s="803">
        <v>9.9291000582772682E-2</v>
      </c>
      <c r="BR368" s="803">
        <v>0.12871437500724134</v>
      </c>
      <c r="BS368" s="803">
        <v>0.15347626553672813</v>
      </c>
      <c r="BT368" s="803">
        <v>0.17527198380505213</v>
      </c>
      <c r="BW368" s="1138">
        <f>'2018'!R\Max</f>
        <v>0.58897357269998341</v>
      </c>
      <c r="BX368" s="1136">
        <f>'2019'!R\Max</f>
        <v>0.31341187813640753</v>
      </c>
      <c r="BY368" s="1136">
        <f>'2020'!R\Max</f>
        <v>0.31290844347224428</v>
      </c>
      <c r="BZ368" s="1136">
        <f>'2021'!R\Max</f>
        <v>1.0411500488225389</v>
      </c>
      <c r="CA368" s="1136">
        <f>'2022'!R\Max</f>
        <v>0.18276966746231893</v>
      </c>
      <c r="CB368" s="1136">
        <f>'2023'!R\Max</f>
        <v>0.18241235517815704</v>
      </c>
      <c r="CC368" s="1136">
        <f>'2024'!R\Max</f>
        <v>0.18194934011263417</v>
      </c>
      <c r="CD368" s="1136">
        <f>'2025'!R\Max</f>
        <v>0.18361626178343982</v>
      </c>
      <c r="CE368" s="1136">
        <f>'2026'!R\Max</f>
        <v>0.18357135471278702</v>
      </c>
      <c r="CF368" s="1137">
        <f>'2027'!R\Max</f>
        <v>0.18335908944241552</v>
      </c>
    </row>
    <row r="369" spans="1:84" s="6" customFormat="1" ht="11.25" x14ac:dyDescent="0.2">
      <c r="A369" s="11">
        <v>43455</v>
      </c>
      <c r="B369" s="380">
        <f>'2022'!Maxi_hp</f>
        <v>25.024200180199902</v>
      </c>
      <c r="C369" s="85">
        <f>'2022'!An_max</f>
        <v>2022</v>
      </c>
      <c r="D369" s="1089" t="str">
        <f t="shared" si="135"/>
        <v/>
      </c>
      <c r="E369" s="749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838">
        <f t="shared" si="138"/>
        <v>0.21428571428571427</v>
      </c>
      <c r="J369" s="829">
        <f t="shared" si="139"/>
        <v>27.033073105450189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838">
        <f t="shared" si="143"/>
        <v>0.62068965517241381</v>
      </c>
      <c r="AT369" s="855">
        <f t="shared" si="144"/>
        <v>27.267490824132132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838">
        <f t="shared" si="148"/>
        <v>0.8928571428571429</v>
      </c>
      <c r="AY369" s="855">
        <f t="shared" si="149"/>
        <v>27.154856159644471</v>
      </c>
      <c r="AZ369" s="829">
        <f t="shared" si="153"/>
        <v>27.211173491888303</v>
      </c>
      <c r="BA369" s="662">
        <f t="shared" si="150"/>
        <v>0.92568832565154147</v>
      </c>
      <c r="BB369" s="657">
        <v>43455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926">
        <f>1+[2]!Salcycl*Ksac</f>
        <v>1.001259001415761</v>
      </c>
      <c r="BH369" s="1082">
        <f t="shared" si="151"/>
        <v>1.643816914839983E-2</v>
      </c>
      <c r="BI369" s="11">
        <v>44551</v>
      </c>
      <c r="BJ369" s="803">
        <v>1.1380096078834888E-2</v>
      </c>
      <c r="BK369" s="803">
        <v>1.2706692377655713E-2</v>
      </c>
      <c r="BL369" s="803">
        <v>1.4249411670316743E-2</v>
      </c>
      <c r="BM369" s="803">
        <v>1.6438039256580311E-2</v>
      </c>
      <c r="BN369" s="803">
        <v>1.9869248612564727E-2</v>
      </c>
      <c r="BO369" s="804">
        <v>3.6711932486929229E-2</v>
      </c>
      <c r="BP369" s="803">
        <v>6.3944644144142207E-2</v>
      </c>
      <c r="BQ369" s="803">
        <v>9.9234918310411105E-2</v>
      </c>
      <c r="BR369" s="803">
        <v>0.12863683021000091</v>
      </c>
      <c r="BS369" s="803">
        <v>0.15338165932419032</v>
      </c>
      <c r="BT369" s="803">
        <v>0.17516338529458861</v>
      </c>
      <c r="BW369" s="1138">
        <f>'2018'!R\Max</f>
        <v>0.3313565060402861</v>
      </c>
      <c r="BX369" s="1136">
        <f>'2019'!R\Max</f>
        <v>0.83618098726725931</v>
      </c>
      <c r="BY369" s="1136">
        <f>'2020'!R\Max</f>
        <v>0.55056099652740897</v>
      </c>
      <c r="BZ369" s="1136">
        <f>'2021'!R\Max</f>
        <v>0.79593980639054496</v>
      </c>
      <c r="CA369" s="1136">
        <f>'2022'!R\Max</f>
        <v>0.92568832565154147</v>
      </c>
      <c r="CB369" s="1136">
        <f>'2023'!R\Max</f>
        <v>0.92549721871605861</v>
      </c>
      <c r="CC369" s="1136">
        <f>'2024'!R\Max</f>
        <v>0.92524857906097169</v>
      </c>
      <c r="CD369" s="1136">
        <f>'2025'!R\Max</f>
        <v>0.92613846313850112</v>
      </c>
      <c r="CE369" s="1136">
        <f>'2026'!R\Max</f>
        <v>0.9261146184356096</v>
      </c>
      <c r="CF369" s="1137">
        <f>'2027'!R\Max</f>
        <v>0.92600208438319032</v>
      </c>
    </row>
    <row r="370" spans="1:84" s="6" customFormat="1" ht="11.25" x14ac:dyDescent="0.2">
      <c r="A370" s="11">
        <v>43456</v>
      </c>
      <c r="B370" s="380">
        <f>'2022'!Maxi_hp</f>
        <v>27.058641236912877</v>
      </c>
      <c r="C370" s="85">
        <f>'2022'!An_max</f>
        <v>2021</v>
      </c>
      <c r="D370" s="1089">
        <f t="shared" si="135"/>
        <v>0.99824291827310518</v>
      </c>
      <c r="E370" s="749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838">
        <f t="shared" si="138"/>
        <v>0.14285714285714285</v>
      </c>
      <c r="J370" s="829">
        <f t="shared" si="139"/>
        <v>27.106269167150771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838">
        <f t="shared" si="143"/>
        <v>0.58620689655172409</v>
      </c>
      <c r="AT370" s="855">
        <f t="shared" si="144"/>
        <v>27.361314731168342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838">
        <f t="shared" si="148"/>
        <v>0.9285714285714286</v>
      </c>
      <c r="AY370" s="855">
        <f t="shared" si="149"/>
        <v>27.184635749246393</v>
      </c>
      <c r="AZ370" s="829">
        <f t="shared" si="153"/>
        <v>27.272975240207366</v>
      </c>
      <c r="BA370" s="662">
        <f t="shared" si="150"/>
        <v>0.99824291827310518</v>
      </c>
      <c r="BB370" s="657">
        <v>43456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926">
        <f>1+[2]!Salcycl*Ksac</f>
        <v>1.0011699415974418</v>
      </c>
      <c r="BH370" s="1082">
        <f t="shared" si="151"/>
        <v>1.6442125425170404E-2</v>
      </c>
      <c r="BI370" s="11">
        <v>44552</v>
      </c>
      <c r="BJ370" s="805">
        <v>1.1382834997588987E-2</v>
      </c>
      <c r="BK370" s="805">
        <v>1.2709750576621227E-2</v>
      </c>
      <c r="BL370" s="805">
        <v>1.4252841165163566E-2</v>
      </c>
      <c r="BM370" s="805">
        <v>1.644199550208901E-2</v>
      </c>
      <c r="BN370" s="805">
        <v>1.9874030668645608E-2</v>
      </c>
      <c r="BO370" s="806">
        <v>3.6720768176864628E-2</v>
      </c>
      <c r="BP370" s="805">
        <v>6.3960034100769766E-2</v>
      </c>
      <c r="BQ370" s="805">
        <v>9.9258801797592514E-2</v>
      </c>
      <c r="BR370" s="805">
        <v>0.12866779003883624</v>
      </c>
      <c r="BS370" s="805">
        <v>0.1534185746454976</v>
      </c>
      <c r="BT370" s="805">
        <v>0.17520554295983953</v>
      </c>
      <c r="BW370" s="1138">
        <f>'2018'!R\Max</f>
        <v>0.26433185381980795</v>
      </c>
      <c r="BX370" s="1136">
        <f>'2019'!R\Max</f>
        <v>0.25284598436861927</v>
      </c>
      <c r="BY370" s="1136">
        <f>'2020'!R\Max</f>
        <v>0.29572558501387214</v>
      </c>
      <c r="BZ370" s="1136">
        <f>'2021'!R\Max</f>
        <v>0.99824291827310518</v>
      </c>
      <c r="CA370" s="1136">
        <f>'2022'!R\Max</f>
        <v>0.71294221546910763</v>
      </c>
      <c r="CB370" s="1136">
        <f>'2023'!R\Max</f>
        <v>0.71237605446649788</v>
      </c>
      <c r="CC370" s="1136">
        <f>'2024'!R\Max</f>
        <v>0.7116404613110574</v>
      </c>
      <c r="CD370" s="1136">
        <f>'2025'!R\Max</f>
        <v>0.71427843210583675</v>
      </c>
      <c r="CE370" s="1136">
        <f>'2026'!R\Max</f>
        <v>0.71420755623599053</v>
      </c>
      <c r="CF370" s="1137">
        <f>'2027'!R\Max</f>
        <v>0.71387319897832813</v>
      </c>
    </row>
    <row r="371" spans="1:84" s="6" customFormat="1" ht="11.25" x14ac:dyDescent="0.2">
      <c r="A371" s="11">
        <v>43457</v>
      </c>
      <c r="B371" s="380">
        <f>'2022'!Maxi_hp</f>
        <v>22.375250435644084</v>
      </c>
      <c r="C371" s="85">
        <f>'2022'!An_max</f>
        <v>2020</v>
      </c>
      <c r="D371" s="1089" t="str">
        <f t="shared" si="135"/>
        <v/>
      </c>
      <c r="E371" s="749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838">
        <f t="shared" si="138"/>
        <v>7.1428571428571425E-2</v>
      </c>
      <c r="J371" s="829">
        <f t="shared" si="139"/>
        <v>27.1902503510671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838">
        <f t="shared" si="143"/>
        <v>0.55172413793103448</v>
      </c>
      <c r="AT371" s="855">
        <f t="shared" si="144"/>
        <v>27.465732497953134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838">
        <f t="shared" si="148"/>
        <v>0.9642857142857143</v>
      </c>
      <c r="AY371" s="855">
        <f t="shared" si="149"/>
        <v>27.227737206327067</v>
      </c>
      <c r="AZ371" s="829">
        <f t="shared" si="153"/>
        <v>27.346734852140102</v>
      </c>
      <c r="BA371" s="662">
        <f t="shared" si="150"/>
        <v>0.82291446922135281</v>
      </c>
      <c r="BB371" s="657">
        <v>43457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926">
        <f>1+[2]!Salcycl*Ksac</f>
        <v>1.0010877189020408</v>
      </c>
      <c r="BH371" s="1082">
        <f t="shared" si="151"/>
        <v>1.6395660153682965E-2</v>
      </c>
      <c r="BI371" s="11">
        <v>44553</v>
      </c>
      <c r="BJ371" s="803">
        <v>1.1343389532925451E-2</v>
      </c>
      <c r="BK371" s="803">
        <v>1.2667516382936039E-2</v>
      </c>
      <c r="BL371" s="803">
        <v>1.4207602690910393E-2</v>
      </c>
      <c r="BM371" s="803">
        <v>1.639553031285285E-2</v>
      </c>
      <c r="BN371" s="803">
        <v>1.9825392737857512E-2</v>
      </c>
      <c r="BO371" s="804">
        <v>3.6709303971352074E-2</v>
      </c>
      <c r="BP371" s="803">
        <v>6.3999330563503182E-2</v>
      </c>
      <c r="BQ371" s="803">
        <v>9.9362981595785091E-2</v>
      </c>
      <c r="BR371" s="803">
        <v>0.12880768649617688</v>
      </c>
      <c r="BS371" s="803">
        <v>0.15358752815873675</v>
      </c>
      <c r="BT371" s="803">
        <v>0.17539904723348912</v>
      </c>
      <c r="BW371" s="1138">
        <f>'2018'!R\Max</f>
        <v>0.18003189315263116</v>
      </c>
      <c r="BX371" s="1136">
        <f>'2019'!R\Max</f>
        <v>0.27904933665225828</v>
      </c>
      <c r="BY371" s="1136">
        <f>'2020'!R\Max</f>
        <v>0.82291446922135281</v>
      </c>
      <c r="BZ371" s="1136">
        <f>'2021'!R\Max</f>
        <v>0.35758336853166617</v>
      </c>
      <c r="CA371" s="1136">
        <f>'2022'!R\Max</f>
        <v>0.7333495767770849</v>
      </c>
      <c r="CB371" s="1136">
        <f>'2023'!R\Max</f>
        <v>0.73280983494030771</v>
      </c>
      <c r="CC371" s="1136">
        <f>'2024'!R\Max</f>
        <v>0.73210849855039628</v>
      </c>
      <c r="CD371" s="1136">
        <f>'2025'!R\Max</f>
        <v>0.73462326130132849</v>
      </c>
      <c r="CE371" s="1136">
        <f>'2026'!R\Max</f>
        <v>0.73455588141075789</v>
      </c>
      <c r="CF371" s="1137">
        <f>'2027'!R\Max</f>
        <v>0.7342371106210831</v>
      </c>
    </row>
    <row r="372" spans="1:84" s="6" customFormat="1" ht="11.25" x14ac:dyDescent="0.2">
      <c r="A372" s="11">
        <v>43458</v>
      </c>
      <c r="B372" s="380">
        <f>'2022'!Maxi_hp</f>
        <v>26.179386726313346</v>
      </c>
      <c r="C372" s="85">
        <f>'2022'!An_max</f>
        <v>2022</v>
      </c>
      <c r="D372" s="1089" t="str">
        <f t="shared" si="135"/>
        <v/>
      </c>
      <c r="E372" s="837">
        <f>AM$13/10</f>
        <v>27.284499999999998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838">
        <f t="shared" si="138"/>
        <v>0</v>
      </c>
      <c r="J372" s="829">
        <f t="shared" si="139"/>
        <v>27.28449999988079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838">
        <f t="shared" si="143"/>
        <v>0.51724137931034486</v>
      </c>
      <c r="AT372" s="855">
        <f t="shared" si="144"/>
        <v>27.580209588850369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838">
        <f t="shared" si="148"/>
        <v>1</v>
      </c>
      <c r="AY372" s="855">
        <f t="shared" si="149"/>
        <v>27.284500001370908</v>
      </c>
      <c r="AZ372" s="829">
        <f t="shared" si="153"/>
        <v>27.432354795110641</v>
      </c>
      <c r="BA372" s="662">
        <f t="shared" si="150"/>
        <v>0.95949666390909594</v>
      </c>
      <c r="BB372" s="657">
        <v>43458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926">
        <f>1+[2]!Salcycl*Ksac</f>
        <v>1.0010117786908568</v>
      </c>
      <c r="BH372" s="1082">
        <f t="shared" si="151"/>
        <v>1.6298724352388359E-2</v>
      </c>
      <c r="BI372" s="11">
        <v>44554</v>
      </c>
      <c r="BJ372" s="803">
        <v>1.1261719137346715E-2</v>
      </c>
      <c r="BK372" s="803">
        <v>1.2579946172786382E-2</v>
      </c>
      <c r="BL372" s="803">
        <v>1.4113649264026126E-2</v>
      </c>
      <c r="BM372" s="803">
        <v>1.6298594707449862E-2</v>
      </c>
      <c r="BN372" s="803">
        <v>1.9723282478976034E-2</v>
      </c>
      <c r="BO372" s="804">
        <v>3.6677514669179796E-2</v>
      </c>
      <c r="BP372" s="803">
        <v>6.406254369019676E-2</v>
      </c>
      <c r="BQ372" s="803">
        <v>9.9547512866398111E-2</v>
      </c>
      <c r="BR372" s="803">
        <v>0.12905659551016777</v>
      </c>
      <c r="BS372" s="803">
        <v>0.15388861235530085</v>
      </c>
      <c r="BT372" s="803">
        <v>0.17574400425026657</v>
      </c>
      <c r="BW372" s="1138">
        <f>'2018'!R\Max</f>
        <v>0.16953788640639622</v>
      </c>
      <c r="BX372" s="1136">
        <f>'2019'!R\Max</f>
        <v>0.55446226088680373</v>
      </c>
      <c r="BY372" s="1136">
        <f>'2020'!R\Max</f>
        <v>0.42356830165783127</v>
      </c>
      <c r="BZ372" s="1136">
        <f>'2021'!R\Max</f>
        <v>0.65545529897609967</v>
      </c>
      <c r="CA372" s="1136">
        <f>'2022'!R\Max</f>
        <v>0.95949666390909594</v>
      </c>
      <c r="CB372" s="1136">
        <f>'2023'!R\Max</f>
        <v>0.95938943575797941</v>
      </c>
      <c r="CC372" s="1136">
        <f>'2024'!R\Max</f>
        <v>0.95924991169121243</v>
      </c>
      <c r="CD372" s="1136">
        <f>'2025'!R\Max</f>
        <v>0.95974919272885295</v>
      </c>
      <c r="CE372" s="1136">
        <f>'2026'!R\Max</f>
        <v>0.95973591952367121</v>
      </c>
      <c r="CF372" s="1137">
        <f>'2027'!R\Max</f>
        <v>0.95967274356432797</v>
      </c>
    </row>
    <row r="373" spans="1:84" s="6" customFormat="1" ht="11.25" x14ac:dyDescent="0.2">
      <c r="A373" s="11">
        <v>43459</v>
      </c>
      <c r="B373" s="380">
        <f>'2022'!Maxi_hp</f>
        <v>18.791308820692279</v>
      </c>
      <c r="C373" s="85">
        <f>'2022'!An_max</f>
        <v>2019</v>
      </c>
      <c r="D373" s="1089" t="str">
        <f t="shared" si="135"/>
        <v/>
      </c>
      <c r="E373" s="749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838">
        <f t="shared" si="138"/>
        <v>6.6666666666666666E-2</v>
      </c>
      <c r="J373" s="829">
        <f t="shared" si="139"/>
        <v>27.393446282595399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838">
        <f t="shared" si="143"/>
        <v>0.48275862068965519</v>
      </c>
      <c r="AT373" s="855">
        <f t="shared" si="144"/>
        <v>27.704211466142841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838">
        <f t="shared" si="148"/>
        <v>0.96551724137931039</v>
      </c>
      <c r="AY373" s="855">
        <f t="shared" si="149"/>
        <v>27.356811829348068</v>
      </c>
      <c r="AZ373" s="829">
        <f t="shared" si="153"/>
        <v>27.530511647745456</v>
      </c>
      <c r="BA373" s="662">
        <f t="shared" si="150"/>
        <v>0.68597826745996027</v>
      </c>
      <c r="BB373" s="657">
        <v>43459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926">
        <f>1+[2]!Salcycl*Ksac</f>
        <v>1.0009415892749802</v>
      </c>
      <c r="BH373" s="1082">
        <f t="shared" si="151"/>
        <v>1.6151220516212365E-2</v>
      </c>
      <c r="BI373" s="11">
        <v>44555</v>
      </c>
      <c r="BJ373" s="803">
        <v>1.113774840019742E-2</v>
      </c>
      <c r="BK373" s="803">
        <v>1.2446957711028229E-2</v>
      </c>
      <c r="BL373" s="803">
        <v>1.3970890972524769E-2</v>
      </c>
      <c r="BM373" s="803">
        <v>1.6151091181266706E-2</v>
      </c>
      <c r="BN373" s="803">
        <v>1.9567590212900245E-2</v>
      </c>
      <c r="BO373" s="804">
        <v>3.6625282814091449E-2</v>
      </c>
      <c r="BP373" s="803">
        <v>6.4149533295196334E-2</v>
      </c>
      <c r="BQ373" s="803">
        <v>9.9812224995297891E-2</v>
      </c>
      <c r="BR373" s="803">
        <v>0.12941430118589134</v>
      </c>
      <c r="BS373" s="803">
        <v>0.1543215721425521</v>
      </c>
      <c r="BT373" s="803">
        <v>0.17624012329782296</v>
      </c>
      <c r="BW373" s="1138">
        <f>'2018'!R\Max</f>
        <v>0.49698257594667156</v>
      </c>
      <c r="BX373" s="1136">
        <f>'2019'!R\Max</f>
        <v>0.68597826745996027</v>
      </c>
      <c r="BY373" s="1136">
        <f>'2020'!R\Max</f>
        <v>0.40481777303884525</v>
      </c>
      <c r="BZ373" s="1136">
        <f>'2021'!R\Max</f>
        <v>0.42906987781284406</v>
      </c>
      <c r="CA373" s="1136">
        <f>'2022'!R\Max</f>
        <v>0.55834914243450373</v>
      </c>
      <c r="CB373" s="1136">
        <f>'2023'!R\Max</f>
        <v>0.55766939211355648</v>
      </c>
      <c r="CC373" s="1136">
        <f>'2024'!R\Max</f>
        <v>0.55678722175257278</v>
      </c>
      <c r="CD373" s="1136">
        <f>'2025'!R\Max</f>
        <v>0.55995614378564562</v>
      </c>
      <c r="CE373" s="1136">
        <f>'2026'!R\Max</f>
        <v>0.55987210853163516</v>
      </c>
      <c r="CF373" s="1137">
        <f>'2027'!R\Max</f>
        <v>0.55946907855318184</v>
      </c>
    </row>
    <row r="374" spans="1:84" s="6" customFormat="1" ht="11.25" x14ac:dyDescent="0.2">
      <c r="A374" s="11">
        <v>43460</v>
      </c>
      <c r="B374" s="380">
        <f>'2022'!Maxi_hp</f>
        <v>26.329619230701343</v>
      </c>
      <c r="C374" s="85">
        <f>'2022'!An_max</f>
        <v>2018</v>
      </c>
      <c r="D374" s="1089" t="str">
        <f t="shared" si="135"/>
        <v/>
      </c>
      <c r="E374" s="749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838">
        <f t="shared" si="138"/>
        <v>0.13333333333333333</v>
      </c>
      <c r="J374" s="829">
        <f t="shared" si="139"/>
        <v>27.520818050801758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838">
        <f t="shared" si="143"/>
        <v>0.44827586206896552</v>
      </c>
      <c r="AT374" s="855">
        <f t="shared" si="144"/>
        <v>27.837203593397966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838">
        <f t="shared" si="148"/>
        <v>0.93103448275862066</v>
      </c>
      <c r="AY374" s="855">
        <f t="shared" si="149"/>
        <v>27.445878477137665</v>
      </c>
      <c r="AZ374" s="829">
        <f t="shared" si="153"/>
        <v>27.641541035267814</v>
      </c>
      <c r="BA374" s="662">
        <f t="shared" si="150"/>
        <v>0.95671644578654846</v>
      </c>
      <c r="BB374" s="657">
        <v>43460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926">
        <f>1+[2]!Salcycl*Ksac</f>
        <v>1.0008766440346255</v>
      </c>
      <c r="BH374" s="1082">
        <f t="shared" si="151"/>
        <v>1.5953043551961772E-2</v>
      </c>
      <c r="BI374" s="11">
        <v>44556</v>
      </c>
      <c r="BJ374" s="803">
        <v>1.097139557362832E-2</v>
      </c>
      <c r="BK374" s="803">
        <v>1.2268461956097931E-2</v>
      </c>
      <c r="BL374" s="803">
        <v>1.3779230587894811E-2</v>
      </c>
      <c r="BM374" s="803">
        <v>1.5952914641588569E-2</v>
      </c>
      <c r="BN374" s="803">
        <v>1.935819820949489E-2</v>
      </c>
      <c r="BO374" s="804">
        <v>3.6552487751694056E-2</v>
      </c>
      <c r="BP374" s="803">
        <v>6.4260162449419608E-2</v>
      </c>
      <c r="BQ374" s="803">
        <v>0.10015695885594007</v>
      </c>
      <c r="BR374" s="803">
        <v>0.12988060324195186</v>
      </c>
      <c r="BS374" s="803">
        <v>0.15488617136449839</v>
      </c>
      <c r="BT374" s="803">
        <v>0.17688713537270989</v>
      </c>
      <c r="BW374" s="1138">
        <f>'2018'!R\Max</f>
        <v>0.95671644578654846</v>
      </c>
      <c r="BX374" s="1136">
        <f>'2019'!R\Max</f>
        <v>0.24536625030493048</v>
      </c>
      <c r="BY374" s="1136">
        <f>'2020'!R\Max</f>
        <v>0.1519218504106625</v>
      </c>
      <c r="BZ374" s="1136">
        <f>'2021'!R\Max</f>
        <v>0.43323616638857015</v>
      </c>
      <c r="CA374" s="1136">
        <f>'2022'!R\Max</f>
        <v>0.91992348273867008</v>
      </c>
      <c r="CB374" s="1136">
        <f>'2023'!R\Max</f>
        <v>0.91971998731997007</v>
      </c>
      <c r="CC374" s="1136">
        <f>'2024'!R\Max</f>
        <v>0.91945531269175129</v>
      </c>
      <c r="CD374" s="1136">
        <f>'2025'!R\Max</f>
        <v>0.92040302882436109</v>
      </c>
      <c r="CE374" s="1136">
        <f>'2026'!R\Max</f>
        <v>0.92037825894085612</v>
      </c>
      <c r="CF374" s="1137">
        <f>'2027'!R\Max</f>
        <v>0.9202580460875206</v>
      </c>
    </row>
    <row r="375" spans="1:84" s="6" customFormat="1" ht="11.25" x14ac:dyDescent="0.2">
      <c r="A375" s="11">
        <v>43461</v>
      </c>
      <c r="B375" s="380">
        <f>'2022'!Maxi_hp</f>
        <v>27.615988001355355</v>
      </c>
      <c r="C375" s="85">
        <f>'2022'!An_max</f>
        <v>2018</v>
      </c>
      <c r="D375" s="1089">
        <f t="shared" si="135"/>
        <v>0.99822658359005534</v>
      </c>
      <c r="E375" s="749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838">
        <f t="shared" si="138"/>
        <v>0.2</v>
      </c>
      <c r="J375" s="829">
        <f t="shared" si="139"/>
        <v>27.665049654394391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838">
        <f t="shared" si="143"/>
        <v>0.41379310344827586</v>
      </c>
      <c r="AT375" s="855">
        <f t="shared" si="144"/>
        <v>27.978651435724622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838">
        <f t="shared" si="148"/>
        <v>0.89655172413793105</v>
      </c>
      <c r="AY375" s="855">
        <f t="shared" si="149"/>
        <v>27.551016592105913</v>
      </c>
      <c r="AZ375" s="829">
        <f t="shared" si="153"/>
        <v>27.764834013915269</v>
      </c>
      <c r="BA375" s="662">
        <f t="shared" si="150"/>
        <v>0.99822658359005534</v>
      </c>
      <c r="BB375" s="657">
        <v>43461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926">
        <f>1+[2]!Salcycl*Ksac</f>
        <v>1.0008164632501737</v>
      </c>
      <c r="BH375" s="1082">
        <f t="shared" si="151"/>
        <v>1.5675358068918378E-2</v>
      </c>
      <c r="BI375" s="11">
        <v>44557</v>
      </c>
      <c r="BJ375" s="803">
        <v>1.0737899504664748E-2</v>
      </c>
      <c r="BK375" s="803">
        <v>1.2018081036577061E-2</v>
      </c>
      <c r="BL375" s="803">
        <v>1.3510710501412074E-2</v>
      </c>
      <c r="BM375" s="803">
        <v>1.5675229641042395E-2</v>
      </c>
      <c r="BN375" s="803">
        <v>1.9067767610554641E-2</v>
      </c>
      <c r="BO375" s="804">
        <v>3.6405657257348428E-2</v>
      </c>
      <c r="BP375" s="803">
        <v>6.4353959908198963E-2</v>
      </c>
      <c r="BQ375" s="803">
        <v>0.1005581252115199</v>
      </c>
      <c r="BR375" s="803">
        <v>0.13048185004437193</v>
      </c>
      <c r="BS375" s="803">
        <v>0.15562350021543658</v>
      </c>
      <c r="BT375" s="803">
        <v>0.17773919355623655</v>
      </c>
      <c r="BW375" s="1138">
        <f>'2018'!R\Max</f>
        <v>0.99822658359005534</v>
      </c>
      <c r="BX375" s="1136">
        <f>'2019'!R\Max</f>
        <v>0.88157795825984164</v>
      </c>
      <c r="BY375" s="1136">
        <f>'2020'!R\Max</f>
        <v>0.74053170337143537</v>
      </c>
      <c r="BZ375" s="1136">
        <f>'2021'!R\Max</f>
        <v>0.35723673610474177</v>
      </c>
      <c r="CA375" s="1136">
        <f>'2022'!R\Max</f>
        <v>0.2475158250774151</v>
      </c>
      <c r="CB375" s="1136">
        <f>'2023'!R\Max</f>
        <v>0.24703577407798796</v>
      </c>
      <c r="CC375" s="1136">
        <f>'2024'!R\Max</f>
        <v>0.24641393088281857</v>
      </c>
      <c r="CD375" s="1136">
        <f>'2025'!R\Max</f>
        <v>0.24865267123923909</v>
      </c>
      <c r="CE375" s="1136">
        <f>'2026'!R\Max</f>
        <v>0.24859440096472729</v>
      </c>
      <c r="CF375" s="1137">
        <f>'2027'!R\Max</f>
        <v>0.24830855767731935</v>
      </c>
    </row>
    <row r="376" spans="1:84" s="6" customFormat="1" ht="11.25" x14ac:dyDescent="0.2">
      <c r="A376" s="11">
        <v>43462</v>
      </c>
      <c r="B376" s="380">
        <f>'2022'!Maxi_hp</f>
        <v>26.820419872906378</v>
      </c>
      <c r="C376" s="85">
        <f>'2022'!An_max</f>
        <v>2022</v>
      </c>
      <c r="D376" s="1089" t="str">
        <f t="shared" si="135"/>
        <v/>
      </c>
      <c r="E376" s="749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838">
        <f t="shared" si="138"/>
        <v>0.26666666666666666</v>
      </c>
      <c r="J376" s="829">
        <f t="shared" si="139"/>
        <v>27.824575446049373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838">
        <f t="shared" si="143"/>
        <v>0.37931034482758619</v>
      </c>
      <c r="AT376" s="855">
        <f t="shared" si="144"/>
        <v>28.128020455765313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838">
        <f t="shared" si="148"/>
        <v>0.86206896551724133</v>
      </c>
      <c r="AY376" s="855">
        <f t="shared" si="149"/>
        <v>27.671542808721806</v>
      </c>
      <c r="AZ376" s="829">
        <f t="shared" si="153"/>
        <v>27.89978163224356</v>
      </c>
      <c r="BA376" s="662">
        <f t="shared" si="150"/>
        <v>0.96391119874982423</v>
      </c>
      <c r="BB376" s="657">
        <v>43462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926">
        <f>1+[2]!Salcycl*Ksac</f>
        <v>1.0007605956383083</v>
      </c>
      <c r="BH376" s="1082">
        <f t="shared" si="151"/>
        <v>1.5343530702571523E-2</v>
      </c>
      <c r="BI376" s="11">
        <v>44558</v>
      </c>
      <c r="BJ376" s="803">
        <v>1.0458450373224182E-2</v>
      </c>
      <c r="BK376" s="803">
        <v>1.1718573117664796E-2</v>
      </c>
      <c r="BL376" s="803">
        <v>1.318979342354377E-2</v>
      </c>
      <c r="BM376" s="803">
        <v>1.5343402756623945E-2</v>
      </c>
      <c r="BN376" s="803">
        <v>1.8723210153424694E-2</v>
      </c>
      <c r="BO376" s="804">
        <v>3.6195354525476814E-2</v>
      </c>
      <c r="BP376" s="803">
        <v>6.4419789434467356E-2</v>
      </c>
      <c r="BQ376" s="803">
        <v>0.10097691569601708</v>
      </c>
      <c r="BR376" s="803">
        <v>0.13116538183064594</v>
      </c>
      <c r="BS376" s="803">
        <v>0.15646970899205204</v>
      </c>
      <c r="BT376" s="803">
        <v>0.17872311109584194</v>
      </c>
      <c r="BW376" s="1138">
        <f>'2018'!R\Max</f>
        <v>0.11271613915876565</v>
      </c>
      <c r="BX376" s="1136">
        <f>'2019'!R\Max</f>
        <v>0.14291844379274957</v>
      </c>
      <c r="BY376" s="1136">
        <f>'2020'!R\Max</f>
        <v>0.24416036737441565</v>
      </c>
      <c r="BZ376" s="1136">
        <f>'2021'!R\Max</f>
        <v>0.17438291287850188</v>
      </c>
      <c r="CA376" s="1136">
        <f>'2022'!R\Max</f>
        <v>0.96391119874982423</v>
      </c>
      <c r="CB376" s="1136">
        <f>'2023'!R\Max</f>
        <v>0.96381451339829172</v>
      </c>
      <c r="CC376" s="1136">
        <f>'2024'!R\Max</f>
        <v>0.96368875362735495</v>
      </c>
      <c r="CD376" s="1136">
        <f>'2025'!R\Max</f>
        <v>0.9641383338024202</v>
      </c>
      <c r="CE376" s="1136">
        <f>'2026'!R\Max</f>
        <v>0.96412687526181595</v>
      </c>
      <c r="CF376" s="1137">
        <f>'2027'!R\Max</f>
        <v>0.96406994899104848</v>
      </c>
    </row>
    <row r="377" spans="1:84" s="6" customFormat="1" ht="11.25" x14ac:dyDescent="0.2">
      <c r="A377" s="11">
        <v>43463</v>
      </c>
      <c r="B377" s="380">
        <f>'2022'!Maxi_hp</f>
        <v>27.222037432287717</v>
      </c>
      <c r="C377" s="85">
        <f>'2022'!An_max</f>
        <v>2019</v>
      </c>
      <c r="D377" s="1089">
        <f t="shared" si="135"/>
        <v>0.97229098295402083</v>
      </c>
      <c r="E377" s="749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838">
        <f t="shared" si="138"/>
        <v>0.33333333333333331</v>
      </c>
      <c r="J377" s="829">
        <f t="shared" si="139"/>
        <v>27.997829774767162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838">
        <f t="shared" si="143"/>
        <v>0.34482758620689657</v>
      </c>
      <c r="AT377" s="855">
        <f t="shared" si="144"/>
        <v>28.284776117883883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838">
        <f t="shared" si="148"/>
        <v>0.82758620689655171</v>
      </c>
      <c r="AY377" s="855">
        <f t="shared" si="149"/>
        <v>27.806773767543252</v>
      </c>
      <c r="AZ377" s="829">
        <f t="shared" si="153"/>
        <v>28.045774942713567</v>
      </c>
      <c r="BA377" s="662">
        <f t="shared" si="150"/>
        <v>0.97229098295402083</v>
      </c>
      <c r="BB377" s="657">
        <v>43463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926">
        <f>1+[2]!Salcycl*Ksac</f>
        <v>1.0007086195893584</v>
      </c>
      <c r="BH377" s="1082">
        <f t="shared" si="151"/>
        <v>1.4957435723579784E-2</v>
      </c>
      <c r="BI377" s="11">
        <v>44559</v>
      </c>
      <c r="BJ377" s="803">
        <v>1.0132948288249044E-2</v>
      </c>
      <c r="BK377" s="803">
        <v>1.1369829960224405E-2</v>
      </c>
      <c r="BL377" s="803">
        <v>1.2816362018184429E-2</v>
      </c>
      <c r="BM377" s="803">
        <v>1.4957308259354081E-2</v>
      </c>
      <c r="BN377" s="803">
        <v>1.8324390539112556E-2</v>
      </c>
      <c r="BO377" s="804">
        <v>3.5921395503115371E-2</v>
      </c>
      <c r="BP377" s="803">
        <v>6.4457453104935405E-2</v>
      </c>
      <c r="BQ377" s="803">
        <v>0.10141311365877359</v>
      </c>
      <c r="BR377" s="803">
        <v>0.13193099758329832</v>
      </c>
      <c r="BS377" s="803">
        <v>0.15742457275112928</v>
      </c>
      <c r="BT377" s="803">
        <v>0.17983864118716661</v>
      </c>
      <c r="BW377" s="1138">
        <f>'2018'!R\Max</f>
        <v>0.12462839765983064</v>
      </c>
      <c r="BX377" s="1136">
        <f>'2019'!R\Max</f>
        <v>0.97229098295402083</v>
      </c>
      <c r="BY377" s="1136">
        <f>'2020'!R\Max</f>
        <v>0.25607173053616628</v>
      </c>
      <c r="BZ377" s="1136">
        <f>'2021'!R\Max</f>
        <v>0.15385729365425324</v>
      </c>
      <c r="CA377" s="1136">
        <f>'2022'!R\Max</f>
        <v>0.41561040076788441</v>
      </c>
      <c r="CB377" s="1136">
        <f>'2023'!R\Max</f>
        <v>0.41493360902386978</v>
      </c>
      <c r="CC377" s="1136">
        <f>'2024'!R\Max</f>
        <v>0.41405649192281502</v>
      </c>
      <c r="CD377" s="1136">
        <f>'2025'!R\Max</f>
        <v>0.41720400440042682</v>
      </c>
      <c r="CE377" s="1136">
        <f>'2026'!R\Max</f>
        <v>0.41712429437425513</v>
      </c>
      <c r="CF377" s="1137">
        <f>'2027'!R\Max</f>
        <v>0.41672443239519247</v>
      </c>
    </row>
    <row r="378" spans="1:84" s="6" customFormat="1" ht="11.25" x14ac:dyDescent="0.2">
      <c r="A378" s="11">
        <v>43464</v>
      </c>
      <c r="B378" s="380">
        <f>'2022'!Maxi_hp</f>
        <v>27.784365944966957</v>
      </c>
      <c r="C378" s="85">
        <f>'2022'!An_max</f>
        <v>2019</v>
      </c>
      <c r="D378" s="1089">
        <f t="shared" si="135"/>
        <v>0.9858468738740408</v>
      </c>
      <c r="E378" s="749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838">
        <f t="shared" si="138"/>
        <v>0.4</v>
      </c>
      <c r="J378" s="829">
        <f t="shared" si="139"/>
        <v>28.18324699431658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838">
        <f t="shared" si="143"/>
        <v>0.31034482758620691</v>
      </c>
      <c r="AT378" s="855">
        <f t="shared" si="144"/>
        <v>28.448383883823613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838">
        <f t="shared" si="148"/>
        <v>0.7931034482758621</v>
      </c>
      <c r="AY378" s="855">
        <f t="shared" si="149"/>
        <v>27.956026104246746</v>
      </c>
      <c r="AZ378" s="829">
        <f t="shared" si="153"/>
        <v>28.202204994035178</v>
      </c>
      <c r="BA378" s="662">
        <f t="shared" si="150"/>
        <v>0.9858468738740408</v>
      </c>
      <c r="BB378" s="657">
        <v>43464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926">
        <f>1+[2]!Salcycl*Ksac</f>
        <v>1.0006601441046969</v>
      </c>
      <c r="BH378" s="1082">
        <f t="shared" si="151"/>
        <v>1.4516945016906563E-2</v>
      </c>
      <c r="BI378" s="11">
        <v>44560</v>
      </c>
      <c r="BJ378" s="803">
        <v>9.761291306464635E-3</v>
      </c>
      <c r="BK378" s="803">
        <v>1.0971741139970195E-2</v>
      </c>
      <c r="BL378" s="803">
        <v>1.2390296635115596E-2</v>
      </c>
      <c r="BM378" s="803">
        <v>1.4516818034553217E-2</v>
      </c>
      <c r="BN378" s="803">
        <v>1.78711712221758E-2</v>
      </c>
      <c r="BO378" s="804">
        <v>3.5583591530093689E-2</v>
      </c>
      <c r="BP378" s="803">
        <v>6.4466749420501887E-2</v>
      </c>
      <c r="BQ378" s="803">
        <v>0.10186650021514343</v>
      </c>
      <c r="BR378" s="803">
        <v>0.13277849834748345</v>
      </c>
      <c r="BS378" s="803">
        <v>0.15848786984809968</v>
      </c>
      <c r="BT378" s="803">
        <v>0.18108554142264061</v>
      </c>
      <c r="BW378" s="1138">
        <f>'2018'!R\Max</f>
        <v>0.12228748865784882</v>
      </c>
      <c r="BX378" s="1136">
        <f>'2019'!R\Max</f>
        <v>0.9858468738740408</v>
      </c>
      <c r="BY378" s="1136">
        <f>'2020'!R\Max</f>
        <v>0.22657692581689987</v>
      </c>
      <c r="BZ378" s="1136">
        <f>'2021'!R\Max</f>
        <v>0.7554548349767638</v>
      </c>
      <c r="CA378" s="1136">
        <f>'2022'!R\Max</f>
        <v>0.59379522681463404</v>
      </c>
      <c r="CB378" s="1136">
        <f>'2023'!R\Max</f>
        <v>0.59311949887125959</v>
      </c>
      <c r="CC378" s="1136">
        <f>'2024'!R\Max</f>
        <v>0.59224288011677084</v>
      </c>
      <c r="CD378" s="1136">
        <f>'2025'!R\Max</f>
        <v>0.59537775174394203</v>
      </c>
      <c r="CE378" s="1136">
        <f>'2026'!R\Max</f>
        <v>0.59529963847085687</v>
      </c>
      <c r="CF378" s="1137">
        <f>'2027'!R\Max</f>
        <v>0.59490362157387444</v>
      </c>
    </row>
    <row r="379" spans="1:84" s="6" customFormat="1" ht="11.25" x14ac:dyDescent="0.2">
      <c r="A379" s="11">
        <v>43465</v>
      </c>
      <c r="B379" s="380">
        <f>'2022'!Maxi_hp</f>
        <v>28.039920073924794</v>
      </c>
      <c r="C379" s="85">
        <f>'2022'!An_max</f>
        <v>2021</v>
      </c>
      <c r="D379" s="1089">
        <f t="shared" si="135"/>
        <v>0.98804262815170918</v>
      </c>
      <c r="E379" s="749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838">
        <f t="shared" si="138"/>
        <v>0.46666666666666667</v>
      </c>
      <c r="J379" s="829">
        <f t="shared" si="139"/>
        <v>28.379261455933253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838">
        <f t="shared" si="143"/>
        <v>0.27586206896551724</v>
      </c>
      <c r="AT379" s="855">
        <f t="shared" si="144"/>
        <v>28.618309218976002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838">
        <f t="shared" si="148"/>
        <v>0.75862068965517238</v>
      </c>
      <c r="AY379" s="855">
        <f t="shared" si="149"/>
        <v>28.118616461753845</v>
      </c>
      <c r="AZ379" s="829">
        <f t="shared" si="153"/>
        <v>28.368462840364923</v>
      </c>
      <c r="BA379" s="662">
        <f t="shared" si="150"/>
        <v>0.98804262815170918</v>
      </c>
      <c r="BB379" s="657">
        <v>43465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926">
        <f>1+[2]!Salcycl*Ksac</f>
        <v>1.000614809435719</v>
      </c>
      <c r="BH379" s="1082">
        <f t="shared" si="151"/>
        <v>1.4021929469940157E-2</v>
      </c>
      <c r="BI379" s="11">
        <v>44561</v>
      </c>
      <c r="BJ379" s="803">
        <v>9.3433766091667019E-3</v>
      </c>
      <c r="BK379" s="803">
        <v>1.0524195305818884E-2</v>
      </c>
      <c r="BL379" s="803">
        <v>1.1911476652471069E-2</v>
      </c>
      <c r="BM379" s="803">
        <v>1.402180296996134E-2</v>
      </c>
      <c r="BN379" s="803">
        <v>1.7363413800087098E-2</v>
      </c>
      <c r="BO379" s="804">
        <v>3.5181750979995992E-2</v>
      </c>
      <c r="BP379" s="803">
        <v>6.4447474059369014E-2</v>
      </c>
      <c r="BQ379" s="803">
        <v>0.10233685385964268</v>
      </c>
      <c r="BR379" s="803">
        <v>0.13370768521071988</v>
      </c>
      <c r="BS379" s="803">
        <v>0.15965937925317306</v>
      </c>
      <c r="BT379" s="803">
        <v>0.18246357053438711</v>
      </c>
      <c r="BW379" s="1138">
        <f>'2018'!R\Max</f>
        <v>0.20533810117101289</v>
      </c>
      <c r="BX379" s="1136">
        <f>'2019'!R\Max</f>
        <v>0.57666521912167801</v>
      </c>
      <c r="BY379" s="1136">
        <f>'2020'!R\Max</f>
        <v>0.23598442237235473</v>
      </c>
      <c r="BZ379" s="1136">
        <f>'2021'!R\Max</f>
        <v>0.98804262815170918</v>
      </c>
      <c r="CA379" s="1136">
        <f>'2022'!R\Max</f>
        <v>0.44555432205253065</v>
      </c>
      <c r="CB379" s="1136">
        <f>'2023'!R\Max</f>
        <v>0.44485863285754257</v>
      </c>
      <c r="CC379" s="1136">
        <f>'2024'!R\Max</f>
        <v>0.44395711053213621</v>
      </c>
      <c r="CD379" s="1136">
        <f>'2025'!R\Max</f>
        <v>0.44717831892435644</v>
      </c>
      <c r="CE379" s="1136">
        <f>'2026'!R\Max</f>
        <v>0.4470990681905907</v>
      </c>
      <c r="CF379" s="1137">
        <f>'2027'!R\Max</f>
        <v>0.44669349829338345</v>
      </c>
    </row>
    <row r="380" spans="1:84" s="6" customFormat="1" ht="12" customHeight="1" thickBot="1" x14ac:dyDescent="0.25">
      <c r="A380" s="11">
        <v>43466</v>
      </c>
      <c r="B380" s="381">
        <f>'2022'!Maxi_hp</f>
        <v>15.624559392660943</v>
      </c>
      <c r="C380" s="128">
        <f>'2022'!An_max</f>
        <v>2020</v>
      </c>
      <c r="D380" s="1090" t="str">
        <f t="shared" si="135"/>
        <v/>
      </c>
      <c r="E380" s="839"/>
      <c r="F380" s="14">
        <f t="shared" si="152"/>
        <v>27</v>
      </c>
      <c r="G380" s="14">
        <f t="shared" si="136"/>
        <v>28</v>
      </c>
      <c r="H380" s="831">
        <f t="shared" si="137"/>
        <v>43458</v>
      </c>
      <c r="I380" s="832">
        <f t="shared" si="138"/>
        <v>0.53333333333333333</v>
      </c>
      <c r="J380" s="830">
        <f t="shared" si="139"/>
        <v>28.584307509462043</v>
      </c>
      <c r="M380" s="915" t="s">
        <v>255</v>
      </c>
      <c r="N380" s="916">
        <f>$AZ22*10</f>
        <v>299.79252324343241</v>
      </c>
      <c r="O380" s="916">
        <f>$AZ36*10</f>
        <v>337.88207558868453</v>
      </c>
      <c r="P380" s="916">
        <f>$AZ50*10</f>
        <v>383.668561139144</v>
      </c>
      <c r="Q380" s="916">
        <f>$AZ64*10</f>
        <v>431.61468749912456</v>
      </c>
      <c r="R380" s="916">
        <f>$AZ78*10</f>
        <v>477.17093749856576</v>
      </c>
      <c r="S380" s="916">
        <f>$AZ92*10</f>
        <v>518.35624999832362</v>
      </c>
      <c r="T380" s="916">
        <f>$AZ106*10</f>
        <v>552.40031250659376</v>
      </c>
      <c r="U380" s="916">
        <f>$AZ120*10</f>
        <v>576.47125000506639</v>
      </c>
      <c r="V380" s="916">
        <f>$AZ134*10</f>
        <v>590.75375000294298</v>
      </c>
      <c r="W380" s="916">
        <f>$AZ148*10</f>
        <v>597.09468750003725</v>
      </c>
      <c r="X380" s="916">
        <f>$AZ162*10</f>
        <v>597.06390625145286</v>
      </c>
      <c r="Y380" s="916">
        <f>$AZ176*10</f>
        <v>591.55406250059605</v>
      </c>
      <c r="Z380" s="916">
        <f>$AZ190*10</f>
        <v>581.42703125043772</v>
      </c>
      <c r="AA380" s="916">
        <f>$AZ204*10</f>
        <v>568.3142187501071</v>
      </c>
      <c r="AB380" s="916">
        <f>$AZ218*10</f>
        <v>553.82161022094078</v>
      </c>
      <c r="AC380" s="916">
        <f>$AZ232*10</f>
        <v>538.83095612016041</v>
      </c>
      <c r="AD380" s="916">
        <f>$AZ246*10</f>
        <v>523.60238301532809</v>
      </c>
      <c r="AE380" s="916">
        <f>$AZ260*10</f>
        <v>506.9579751456622</v>
      </c>
      <c r="AF380" s="916">
        <f>$AZ274*10</f>
        <v>485.87411635369062</v>
      </c>
      <c r="AG380" s="916">
        <f>$AZ288*10</f>
        <v>457.82451992481947</v>
      </c>
      <c r="AH380" s="916">
        <f>$AZ302*10</f>
        <v>422.44723522104323</v>
      </c>
      <c r="AI380" s="916">
        <f>$AZ316*10</f>
        <v>380.73845612071455</v>
      </c>
      <c r="AJ380" s="916">
        <f>$AZ330*10</f>
        <v>336.25437500188127</v>
      </c>
      <c r="AK380" s="916">
        <f>$AZ344*10</f>
        <v>296.84674021508545</v>
      </c>
      <c r="AL380" s="916">
        <f>$AZ358*10</f>
        <v>273.48466528952122</v>
      </c>
      <c r="AM380" s="916">
        <f>$AZ372*10</f>
        <v>274.32354795110643</v>
      </c>
      <c r="AP380" s="14">
        <f t="shared" si="140"/>
        <v>15</v>
      </c>
      <c r="AQ380" s="14">
        <f t="shared" si="141"/>
        <v>14</v>
      </c>
      <c r="AR380" s="831">
        <f t="shared" si="142"/>
        <v>43473</v>
      </c>
      <c r="AS380" s="832">
        <f t="shared" si="143"/>
        <v>0.2413793103448276</v>
      </c>
      <c r="AT380" s="856">
        <f t="shared" si="144"/>
        <v>28.794017586728621</v>
      </c>
      <c r="AU380" s="14">
        <f t="shared" si="145"/>
        <v>15</v>
      </c>
      <c r="AV380" s="14">
        <f t="shared" si="146"/>
        <v>14</v>
      </c>
      <c r="AW380" s="831">
        <f t="shared" si="147"/>
        <v>43487</v>
      </c>
      <c r="AX380" s="832">
        <f t="shared" si="148"/>
        <v>0.72413793103448276</v>
      </c>
      <c r="AY380" s="856">
        <f t="shared" si="149"/>
        <v>28.293861473994006</v>
      </c>
      <c r="AZ380" s="830">
        <f t="shared" si="153"/>
        <v>28.543939530361314</v>
      </c>
      <c r="BA380" s="662">
        <f t="shared" si="150"/>
        <v>0.54661318583592988</v>
      </c>
      <c r="BB380" s="657">
        <v>43466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927">
        <f>1+[2]!Salcycl*Ksac</f>
        <v>1.0005722874285767</v>
      </c>
      <c r="BH380" s="1080">
        <f t="shared" si="151"/>
        <v>1.3472260360404432E-2</v>
      </c>
      <c r="BI380" s="11">
        <v>44562</v>
      </c>
      <c r="BJ380" s="933">
        <v>8.8791016788630356E-3</v>
      </c>
      <c r="BK380" s="807">
        <v>1.0027081438078282E-2</v>
      </c>
      <c r="BL380" s="807">
        <v>1.1379781819019974E-2</v>
      </c>
      <c r="BM380" s="807">
        <v>1.3472134343648646E-2</v>
      </c>
      <c r="BN380" s="807">
        <v>1.6800980402347638E-2</v>
      </c>
      <c r="BO380" s="808">
        <v>3.4715680900661836E-2</v>
      </c>
      <c r="BP380" s="807">
        <v>6.4399420629365725E-2</v>
      </c>
      <c r="BQ380" s="807">
        <v>0.10282395007787799</v>
      </c>
      <c r="BR380" s="807">
        <v>0.13471835728104828</v>
      </c>
      <c r="BS380" s="807">
        <v>0.16093887786559072</v>
      </c>
      <c r="BT380" s="807">
        <v>0.18397248513498288</v>
      </c>
      <c r="BW380" s="1139">
        <f>'2018'!R\Max</f>
        <v>0</v>
      </c>
      <c r="BX380" s="1140">
        <f>'2019'!R\Max</f>
        <v>0</v>
      </c>
      <c r="BY380" s="1140">
        <f>'2020'!R\Max</f>
        <v>0.54661318583592988</v>
      </c>
      <c r="BZ380" s="1140">
        <f>'2021'!R\Max</f>
        <v>0</v>
      </c>
      <c r="CA380" s="1140">
        <f>'2022'!R\Max</f>
        <v>0</v>
      </c>
      <c r="CB380" s="1140">
        <f>'2023'!R\Max</f>
        <v>0</v>
      </c>
      <c r="CC380" s="1140">
        <f>'2024'!R\Max</f>
        <v>0.63584076728107919</v>
      </c>
      <c r="CD380" s="1140">
        <f>'2025'!R\Max</f>
        <v>0</v>
      </c>
      <c r="CE380" s="1140">
        <f>'2026'!R\Max</f>
        <v>0</v>
      </c>
      <c r="CF380" s="1141">
        <f>'2027'!R\Max</f>
        <v>0</v>
      </c>
    </row>
    <row r="381" spans="1:84" ht="12" customHeight="1" x14ac:dyDescent="0.25">
      <c r="B381" s="653" t="s">
        <v>174</v>
      </c>
      <c r="M381" s="136" t="s">
        <v>256</v>
      </c>
      <c r="N381" s="917">
        <f t="shared" ref="N381:AM381" si="154">1-N3/N380*Ajust_M</f>
        <v>-5.3953205339087873E-3</v>
      </c>
      <c r="O381" s="917">
        <f t="shared" si="154"/>
        <v>2.9953515199681036E-3</v>
      </c>
      <c r="P381" s="917">
        <f t="shared" si="154"/>
        <v>-1.254830104991056E-3</v>
      </c>
      <c r="Q381" s="917">
        <f t="shared" si="154"/>
        <v>-1.8542290706384801E-3</v>
      </c>
      <c r="R381" s="917">
        <f t="shared" si="154"/>
        <v>9.0310927321946011E-4</v>
      </c>
      <c r="S381" s="917">
        <f t="shared" si="154"/>
        <v>4.7505937919023467E-4</v>
      </c>
      <c r="T381" s="917">
        <f t="shared" si="154"/>
        <v>-2.1174634896541367E-3</v>
      </c>
      <c r="U381" s="917">
        <f t="shared" si="154"/>
        <v>4.2716788576058207E-4</v>
      </c>
      <c r="V381" s="917">
        <f t="shared" si="154"/>
        <v>-4.1684034516209501E-4</v>
      </c>
      <c r="W381" s="917">
        <f t="shared" si="154"/>
        <v>3.0931023823121961E-4</v>
      </c>
      <c r="X381" s="917">
        <f t="shared" si="154"/>
        <v>2.5777182281727651E-4</v>
      </c>
      <c r="Y381" s="917">
        <f t="shared" si="154"/>
        <v>-7.2848371217704155E-4</v>
      </c>
      <c r="Z381" s="917">
        <f t="shared" si="154"/>
        <v>4.7646778623611219E-4</v>
      </c>
      <c r="AA381" s="917">
        <f t="shared" si="154"/>
        <v>-5.4162378623212604E-5</v>
      </c>
      <c r="AB381" s="917">
        <f t="shared" si="154"/>
        <v>4.5431636522885732E-4</v>
      </c>
      <c r="AC381" s="917">
        <f t="shared" si="154"/>
        <v>6.6729870940140934E-5</v>
      </c>
      <c r="AD381" s="917">
        <f t="shared" si="154"/>
        <v>1.0836142724572895E-3</v>
      </c>
      <c r="AE381" s="917">
        <f t="shared" si="154"/>
        <v>-2.8700168566131445E-4</v>
      </c>
      <c r="AF381" s="917">
        <f t="shared" si="154"/>
        <v>-1.1325728174911287E-3</v>
      </c>
      <c r="AG381" s="917">
        <f t="shared" si="154"/>
        <v>-4.3789719959397289E-4</v>
      </c>
      <c r="AH381" s="917">
        <f t="shared" si="154"/>
        <v>-2.7876801914716864E-4</v>
      </c>
      <c r="AI381" s="917">
        <f t="shared" si="154"/>
        <v>-3.7861788220006076E-3</v>
      </c>
      <c r="AJ381" s="917">
        <f t="shared" si="154"/>
        <v>1.0984987240068023E-3</v>
      </c>
      <c r="AK381" s="917">
        <f t="shared" si="154"/>
        <v>-2.0996012436012013E-3</v>
      </c>
      <c r="AL381" s="917">
        <f t="shared" si="154"/>
        <v>9.5422728245421196E-3</v>
      </c>
      <c r="AM381" s="917">
        <f t="shared" si="154"/>
        <v>5.3897959622845049E-3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7" priority="20" stopIfTrue="1" operator="lessThan">
      <formula>0.01</formula>
    </cfRule>
    <cfRule type="cellIs" dxfId="36" priority="21" stopIfTrue="1" operator="greaterThan">
      <formula>0.05</formula>
    </cfRule>
  </conditionalFormatting>
  <conditionalFormatting sqref="A9:J9 A7:J7">
    <cfRule type="cellIs" dxfId="35" priority="50" stopIfTrue="1" operator="lessThan">
      <formula>0.01</formula>
    </cfRule>
    <cfRule type="cellIs" dxfId="34" priority="51" stopIfTrue="1" operator="greaterThan">
      <formula>0.05</formula>
    </cfRule>
  </conditionalFormatting>
  <conditionalFormatting sqref="N381:AM381">
    <cfRule type="cellIs" dxfId="33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H6" sqref="AH6:AI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24</v>
      </c>
      <c r="H1" s="1203" t="s">
        <v>25</v>
      </c>
      <c r="I1" s="1203"/>
      <c r="J1" s="1203"/>
      <c r="K1" s="1203"/>
      <c r="L1" s="15"/>
      <c r="M1" s="34"/>
      <c r="N1" s="540"/>
      <c r="O1" s="541"/>
      <c r="P1" s="542" t="s">
        <v>4</v>
      </c>
      <c r="Q1" s="1133">
        <v>8.0000000000000002E-3</v>
      </c>
      <c r="R1" s="543"/>
      <c r="S1" s="544" t="s">
        <v>108</v>
      </c>
      <c r="T1" s="930">
        <f>PertePVan/365.25</f>
        <v>2.1902806297056812E-5</v>
      </c>
      <c r="U1" s="541"/>
      <c r="V1" s="545"/>
      <c r="W1" s="208"/>
      <c r="X1" s="546"/>
      <c r="Y1" s="538" t="s">
        <v>172</v>
      </c>
      <c r="Z1" s="1196">
        <v>0.14000000000000001</v>
      </c>
      <c r="AA1" s="1197"/>
      <c r="AB1" s="642"/>
      <c r="AC1" s="643"/>
      <c r="AE1" s="538" t="s">
        <v>259</v>
      </c>
      <c r="AF1" s="928">
        <v>0.05</v>
      </c>
      <c r="AG1" s="541"/>
      <c r="AH1" s="208"/>
      <c r="AI1" s="208"/>
      <c r="AJ1" s="208"/>
      <c r="AK1" s="208"/>
      <c r="AL1" s="538" t="s">
        <v>126</v>
      </c>
      <c r="AM1" s="666">
        <v>0.7</v>
      </c>
      <c r="AN1" s="641"/>
      <c r="AO1" s="208"/>
      <c r="AP1" s="208"/>
      <c r="AQ1" s="208"/>
      <c r="AR1" s="538" t="s">
        <v>107</v>
      </c>
      <c r="AS1" s="368">
        <v>0.6</v>
      </c>
      <c r="AT1" s="667" t="s">
        <v>55</v>
      </c>
      <c r="AU1" s="539"/>
    </row>
    <row r="2" spans="1:78" s="535" customFormat="1" ht="18" customHeight="1" thickBot="1" x14ac:dyDescent="0.35">
      <c r="A2" s="83" t="s">
        <v>135</v>
      </c>
      <c r="B2" s="1165" t="str">
        <f>Station</f>
        <v>Aureville</v>
      </c>
      <c r="C2" s="1166"/>
      <c r="D2" s="1166"/>
      <c r="E2" s="1166"/>
      <c r="F2" s="1167"/>
      <c r="G2" s="929" t="s">
        <v>260</v>
      </c>
      <c r="K2" s="81"/>
      <c r="L2" s="536"/>
      <c r="M2" s="38"/>
      <c r="U2" s="35"/>
      <c r="V2" s="35"/>
      <c r="W2" s="35">
        <f>+U5/Recap!L38</f>
        <v>0.10394178187484843</v>
      </c>
      <c r="X2" s="537"/>
      <c r="AA2" s="539"/>
      <c r="AB2" s="539"/>
      <c r="AC2" s="539"/>
      <c r="AD2" s="539"/>
      <c r="AE2" s="538" t="s">
        <v>173</v>
      </c>
      <c r="AF2" s="672">
        <v>3</v>
      </c>
      <c r="AG2" s="673">
        <f>+Tau_i*365</f>
        <v>1095</v>
      </c>
      <c r="AH2" s="545"/>
      <c r="AI2" s="240"/>
      <c r="AJ2" s="546"/>
      <c r="AL2" s="664" t="s">
        <v>207</v>
      </c>
      <c r="AM2" s="1205">
        <v>0.5</v>
      </c>
      <c r="AN2" s="1206"/>
      <c r="AS2" s="209" t="s">
        <v>127</v>
      </c>
      <c r="AT2" s="668">
        <f>H_i</f>
        <v>-1.9999621440122004</v>
      </c>
      <c r="AU2" s="665"/>
      <c r="AY2" s="675"/>
      <c r="AZ2" s="675"/>
      <c r="BB2" s="537"/>
      <c r="BE2" s="31"/>
      <c r="BF2" s="29"/>
      <c r="BH2" s="537"/>
      <c r="BI2" s="537"/>
      <c r="BJ2" s="537"/>
      <c r="BK2" s="70"/>
      <c r="BL2" s="70"/>
      <c r="BM2" s="537"/>
      <c r="BN2" s="537"/>
      <c r="BO2" s="537"/>
      <c r="BP2" s="537"/>
      <c r="BQ2" s="70"/>
      <c r="BR2" s="70"/>
      <c r="BS2" s="537"/>
      <c r="BT2" s="537"/>
      <c r="BU2" s="537"/>
      <c r="BW2" s="31"/>
      <c r="BX2" s="29"/>
      <c r="BZ2" s="537"/>
    </row>
    <row r="3" spans="1:78" s="80" customFormat="1" ht="12.75" customHeight="1" x14ac:dyDescent="0.25">
      <c r="A3" s="1200">
        <f>'2018'!An</f>
        <v>2018</v>
      </c>
      <c r="B3" s="1201"/>
      <c r="C3" s="1201"/>
      <c r="D3" s="1201"/>
      <c r="E3" s="1201"/>
      <c r="F3" s="1202"/>
      <c r="G3" s="1200">
        <f>'2019'!An</f>
        <v>2019</v>
      </c>
      <c r="H3" s="1201"/>
      <c r="I3" s="1201"/>
      <c r="J3" s="1201"/>
      <c r="K3" s="1201"/>
      <c r="L3" s="1202"/>
      <c r="M3" s="1200">
        <f>'2020'!An</f>
        <v>2020</v>
      </c>
      <c r="N3" s="1201"/>
      <c r="O3" s="1201"/>
      <c r="P3" s="1201"/>
      <c r="Q3" s="1201"/>
      <c r="R3" s="1202"/>
      <c r="S3" s="1200">
        <f>'2021'!An</f>
        <v>2021</v>
      </c>
      <c r="T3" s="1201"/>
      <c r="U3" s="1201"/>
      <c r="V3" s="1201"/>
      <c r="W3" s="1201"/>
      <c r="X3" s="1202"/>
      <c r="Y3" s="1200">
        <f>'2022'!An</f>
        <v>2022</v>
      </c>
      <c r="Z3" s="1201"/>
      <c r="AA3" s="1201"/>
      <c r="AB3" s="1201"/>
      <c r="AC3" s="1201"/>
      <c r="AD3" s="1202"/>
      <c r="AE3" s="1200">
        <f>'2023'!An</f>
        <v>2023</v>
      </c>
      <c r="AF3" s="1201"/>
      <c r="AG3" s="1201"/>
      <c r="AH3" s="1201"/>
      <c r="AI3" s="1201"/>
      <c r="AJ3" s="1202"/>
      <c r="AK3" s="1200">
        <f>'2024'!An</f>
        <v>2024</v>
      </c>
      <c r="AL3" s="1201"/>
      <c r="AM3" s="1208"/>
      <c r="AN3" s="1208"/>
      <c r="AO3" s="1201"/>
      <c r="AP3" s="1202"/>
      <c r="AQ3" s="1200">
        <f>'2025'!An</f>
        <v>2025</v>
      </c>
      <c r="AR3" s="1201"/>
      <c r="AS3" s="1201"/>
      <c r="AT3" s="1201"/>
      <c r="AU3" s="1201"/>
      <c r="AV3" s="1202"/>
      <c r="AW3" s="1200">
        <f>'2026'!An</f>
        <v>2026</v>
      </c>
      <c r="AX3" s="1201"/>
      <c r="AY3" s="1201"/>
      <c r="AZ3" s="1201"/>
      <c r="BA3" s="1201"/>
      <c r="BB3" s="1202"/>
      <c r="BC3" s="1200">
        <f>'2027'!An</f>
        <v>2027</v>
      </c>
      <c r="BD3" s="1201"/>
      <c r="BE3" s="1201"/>
      <c r="BF3" s="1201"/>
      <c r="BG3" s="1201"/>
      <c r="BH3" s="1202"/>
      <c r="BI3" s="1209" t="e">
        <v>#NAME?</v>
      </c>
      <c r="BJ3" s="1210"/>
      <c r="BK3" s="1210"/>
      <c r="BL3" s="1210"/>
      <c r="BM3" s="1210"/>
      <c r="BN3" s="1211"/>
      <c r="BO3" s="1209" t="e">
        <v>#NAME?</v>
      </c>
      <c r="BP3" s="1210"/>
      <c r="BQ3" s="1210"/>
      <c r="BR3" s="1210"/>
      <c r="BS3" s="1210"/>
      <c r="BT3" s="1211"/>
      <c r="BU3" s="1209" t="e">
        <v>#NAME?</v>
      </c>
      <c r="BV3" s="1210"/>
      <c r="BW3" s="1210"/>
      <c r="BX3" s="1210"/>
      <c r="BY3" s="1210"/>
      <c r="BZ3" s="1211"/>
    </row>
    <row r="4" spans="1:78" s="429" customFormat="1" ht="15" customHeight="1" x14ac:dyDescent="0.25">
      <c r="A4" s="213" t="s">
        <v>79</v>
      </c>
      <c r="B4" s="443" t="s">
        <v>138</v>
      </c>
      <c r="C4" s="444" t="s">
        <v>138</v>
      </c>
      <c r="D4" s="445" t="s">
        <v>82</v>
      </c>
      <c r="E4" s="580" t="s">
        <v>82</v>
      </c>
      <c r="F4" s="433"/>
      <c r="G4" s="358" t="s">
        <v>95</v>
      </c>
      <c r="H4" s="443" t="s">
        <v>138</v>
      </c>
      <c r="I4" s="444" t="s">
        <v>138</v>
      </c>
      <c r="J4" s="445" t="s">
        <v>82</v>
      </c>
      <c r="K4" s="580" t="s">
        <v>82</v>
      </c>
      <c r="L4" s="433"/>
      <c r="M4" s="358" t="s">
        <v>95</v>
      </c>
      <c r="N4" s="443" t="s">
        <v>138</v>
      </c>
      <c r="O4" s="444" t="s">
        <v>138</v>
      </c>
      <c r="P4" s="445" t="s">
        <v>82</v>
      </c>
      <c r="Q4" s="580" t="s">
        <v>82</v>
      </c>
      <c r="R4" s="433"/>
      <c r="S4" s="358" t="s">
        <v>95</v>
      </c>
      <c r="T4" s="443" t="s">
        <v>138</v>
      </c>
      <c r="U4" s="444" t="s">
        <v>138</v>
      </c>
      <c r="V4" s="445" t="s">
        <v>82</v>
      </c>
      <c r="W4" s="580" t="s">
        <v>82</v>
      </c>
      <c r="X4" s="433"/>
      <c r="Y4" s="358" t="s">
        <v>95</v>
      </c>
      <c r="Z4" s="443" t="s">
        <v>138</v>
      </c>
      <c r="AA4" s="444" t="s">
        <v>138</v>
      </c>
      <c r="AB4" s="445" t="s">
        <v>82</v>
      </c>
      <c r="AC4" s="580" t="s">
        <v>82</v>
      </c>
      <c r="AD4" s="433"/>
      <c r="AE4" s="358" t="s">
        <v>95</v>
      </c>
      <c r="AF4" s="443" t="s">
        <v>138</v>
      </c>
      <c r="AG4" s="444" t="s">
        <v>138</v>
      </c>
      <c r="AH4" s="445" t="s">
        <v>82</v>
      </c>
      <c r="AI4" s="580" t="s">
        <v>82</v>
      </c>
      <c r="AJ4" s="433"/>
      <c r="AK4" s="358" t="s">
        <v>95</v>
      </c>
      <c r="AL4" s="443" t="s">
        <v>138</v>
      </c>
      <c r="AM4" s="444" t="s">
        <v>138</v>
      </c>
      <c r="AN4" s="445" t="s">
        <v>82</v>
      </c>
      <c r="AO4" s="580" t="s">
        <v>82</v>
      </c>
      <c r="AP4" s="433"/>
      <c r="AQ4" s="358" t="s">
        <v>95</v>
      </c>
      <c r="AR4" s="443" t="s">
        <v>138</v>
      </c>
      <c r="AS4" s="444" t="s">
        <v>138</v>
      </c>
      <c r="AT4" s="445" t="s">
        <v>82</v>
      </c>
      <c r="AU4" s="580" t="s">
        <v>82</v>
      </c>
      <c r="AV4" s="433"/>
      <c r="AW4" s="358" t="s">
        <v>95</v>
      </c>
      <c r="AX4" s="443" t="s">
        <v>138</v>
      </c>
      <c r="AY4" s="444" t="s">
        <v>138</v>
      </c>
      <c r="AZ4" s="445" t="s">
        <v>82</v>
      </c>
      <c r="BA4" s="580" t="s">
        <v>82</v>
      </c>
      <c r="BB4" s="433"/>
      <c r="BC4" s="358" t="s">
        <v>95</v>
      </c>
      <c r="BD4" s="443" t="s">
        <v>138</v>
      </c>
      <c r="BE4" s="444" t="s">
        <v>138</v>
      </c>
      <c r="BF4" s="445" t="s">
        <v>82</v>
      </c>
      <c r="BG4" s="580" t="s">
        <v>82</v>
      </c>
      <c r="BH4" s="433"/>
      <c r="BI4" s="358" t="s">
        <v>95</v>
      </c>
      <c r="BJ4" s="443" t="s">
        <v>138</v>
      </c>
      <c r="BK4" s="444" t="s">
        <v>138</v>
      </c>
      <c r="BL4" s="445" t="s">
        <v>82</v>
      </c>
      <c r="BM4" s="580" t="s">
        <v>82</v>
      </c>
      <c r="BN4" s="433"/>
      <c r="BO4" s="358" t="s">
        <v>95</v>
      </c>
      <c r="BP4" s="443" t="s">
        <v>138</v>
      </c>
      <c r="BQ4" s="444" t="s">
        <v>138</v>
      </c>
      <c r="BR4" s="445" t="s">
        <v>82</v>
      </c>
      <c r="BS4" s="580" t="s">
        <v>82</v>
      </c>
      <c r="BT4" s="433"/>
      <c r="BU4" s="358" t="s">
        <v>95</v>
      </c>
      <c r="BV4" s="443" t="s">
        <v>138</v>
      </c>
      <c r="BW4" s="444" t="s">
        <v>138</v>
      </c>
      <c r="BX4" s="445" t="s">
        <v>82</v>
      </c>
      <c r="BY4" s="580" t="s">
        <v>82</v>
      </c>
      <c r="BZ4" s="433"/>
    </row>
    <row r="5" spans="1:78" s="429" customFormat="1" ht="15" customHeight="1" x14ac:dyDescent="0.25">
      <c r="A5" s="213" t="s">
        <v>17</v>
      </c>
      <c r="B5" s="434" t="s">
        <v>138</v>
      </c>
      <c r="C5" s="440" t="s">
        <v>138</v>
      </c>
      <c r="D5" s="441" t="s">
        <v>138</v>
      </c>
      <c r="E5" s="442" t="s">
        <v>138</v>
      </c>
      <c r="F5" s="187"/>
      <c r="G5" s="358" t="s">
        <v>96</v>
      </c>
      <c r="H5" s="434">
        <v>43678</v>
      </c>
      <c r="I5" s="440" t="s">
        <v>295</v>
      </c>
      <c r="J5" s="441">
        <v>0.08</v>
      </c>
      <c r="K5" s="1093">
        <v>0.5</v>
      </c>
      <c r="L5" s="187"/>
      <c r="M5" s="358" t="s">
        <v>96</v>
      </c>
      <c r="N5" s="434">
        <v>43831</v>
      </c>
      <c r="O5" s="440" t="s">
        <v>295</v>
      </c>
      <c r="P5" s="441">
        <v>0.12</v>
      </c>
      <c r="Q5" s="442">
        <v>3</v>
      </c>
      <c r="R5" s="187"/>
      <c r="S5" s="358" t="s">
        <v>96</v>
      </c>
      <c r="T5" s="434">
        <v>44306</v>
      </c>
      <c r="U5" s="440">
        <v>8.0000000000000002E-3</v>
      </c>
      <c r="V5" s="441" t="s">
        <v>138</v>
      </c>
      <c r="W5" s="442" t="s">
        <v>138</v>
      </c>
      <c r="X5" s="187"/>
      <c r="Y5" s="358" t="s">
        <v>96</v>
      </c>
      <c r="Z5" s="434">
        <v>44562</v>
      </c>
      <c r="AA5" s="440" t="s">
        <v>295</v>
      </c>
      <c r="AB5" s="1151">
        <v>0.28000000000000003</v>
      </c>
      <c r="AC5" s="442" t="s">
        <v>138</v>
      </c>
      <c r="AD5" s="187"/>
      <c r="AE5" s="358" t="s">
        <v>96</v>
      </c>
      <c r="AF5" s="434">
        <v>44927</v>
      </c>
      <c r="AG5" s="440" t="s">
        <v>295</v>
      </c>
      <c r="AH5" s="441">
        <v>0.16</v>
      </c>
      <c r="AI5" s="442">
        <f>+Tau_i</f>
        <v>3</v>
      </c>
      <c r="AJ5" s="187"/>
      <c r="AK5" s="358" t="s">
        <v>96</v>
      </c>
      <c r="AL5" s="434" t="s">
        <v>138</v>
      </c>
      <c r="AM5" s="440" t="s">
        <v>138</v>
      </c>
      <c r="AN5" s="441" t="s">
        <v>138</v>
      </c>
      <c r="AO5" s="442" t="s">
        <v>138</v>
      </c>
      <c r="AP5" s="187"/>
      <c r="AQ5" s="358" t="s">
        <v>96</v>
      </c>
      <c r="AR5" s="434" t="s">
        <v>138</v>
      </c>
      <c r="AS5" s="440" t="s">
        <v>138</v>
      </c>
      <c r="AT5" s="441" t="s">
        <v>138</v>
      </c>
      <c r="AU5" s="442" t="s">
        <v>138</v>
      </c>
      <c r="AV5" s="187"/>
      <c r="AW5" s="358" t="s">
        <v>96</v>
      </c>
      <c r="AX5" s="434" t="s">
        <v>138</v>
      </c>
      <c r="AY5" s="440" t="s">
        <v>138</v>
      </c>
      <c r="AZ5" s="441" t="s">
        <v>138</v>
      </c>
      <c r="BA5" s="442" t="s">
        <v>138</v>
      </c>
      <c r="BB5" s="187"/>
      <c r="BC5" s="358" t="s">
        <v>96</v>
      </c>
      <c r="BD5" s="434" t="s">
        <v>138</v>
      </c>
      <c r="BE5" s="440" t="s">
        <v>138</v>
      </c>
      <c r="BF5" s="441" t="s">
        <v>138</v>
      </c>
      <c r="BG5" s="442" t="s">
        <v>138</v>
      </c>
      <c r="BH5" s="187"/>
      <c r="BI5" s="358" t="s">
        <v>96</v>
      </c>
      <c r="BJ5" s="434" t="s">
        <v>138</v>
      </c>
      <c r="BK5" s="440" t="s">
        <v>138</v>
      </c>
      <c r="BL5" s="441" t="s">
        <v>138</v>
      </c>
      <c r="BM5" s="442" t="s">
        <v>138</v>
      </c>
      <c r="BN5" s="187"/>
      <c r="BO5" s="358" t="s">
        <v>96</v>
      </c>
      <c r="BP5" s="434" t="s">
        <v>138</v>
      </c>
      <c r="BQ5" s="440" t="s">
        <v>138</v>
      </c>
      <c r="BR5" s="441" t="s">
        <v>138</v>
      </c>
      <c r="BS5" s="442" t="s">
        <v>138</v>
      </c>
      <c r="BT5" s="187"/>
      <c r="BU5" s="358" t="s">
        <v>96</v>
      </c>
      <c r="BV5" s="434" t="s">
        <v>138</v>
      </c>
      <c r="BW5" s="440" t="s">
        <v>138</v>
      </c>
      <c r="BX5" s="441" t="s">
        <v>138</v>
      </c>
      <c r="BY5" s="442" t="s">
        <v>138</v>
      </c>
      <c r="BZ5" s="187"/>
    </row>
    <row r="6" spans="1:78" s="429" customFormat="1" ht="15" customHeight="1" x14ac:dyDescent="0.25">
      <c r="A6" s="213" t="s">
        <v>19</v>
      </c>
      <c r="B6" s="421" t="s">
        <v>138</v>
      </c>
      <c r="C6" s="435" t="s">
        <v>138</v>
      </c>
      <c r="D6" s="1207" t="s">
        <v>138</v>
      </c>
      <c r="E6" s="1207"/>
      <c r="F6" s="188"/>
      <c r="G6" s="358" t="s">
        <v>97</v>
      </c>
      <c r="H6" s="421" t="s">
        <v>138</v>
      </c>
      <c r="I6" s="435" t="s">
        <v>138</v>
      </c>
      <c r="J6" s="1207" t="s">
        <v>138</v>
      </c>
      <c r="K6" s="1207"/>
      <c r="L6" s="188"/>
      <c r="M6" s="358" t="s">
        <v>97</v>
      </c>
      <c r="N6" s="421" t="s">
        <v>138</v>
      </c>
      <c r="O6" s="435" t="s">
        <v>138</v>
      </c>
      <c r="P6" s="1207" t="s">
        <v>138</v>
      </c>
      <c r="Q6" s="1207"/>
      <c r="R6" s="188"/>
      <c r="S6" s="358" t="s">
        <v>97</v>
      </c>
      <c r="T6" s="421" t="s">
        <v>138</v>
      </c>
      <c r="U6" s="435" t="s">
        <v>138</v>
      </c>
      <c r="V6" s="1207" t="s">
        <v>138</v>
      </c>
      <c r="W6" s="1207"/>
      <c r="X6" s="188"/>
      <c r="Y6" s="358" t="s">
        <v>97</v>
      </c>
      <c r="Z6" s="421" t="s">
        <v>138</v>
      </c>
      <c r="AA6" s="435" t="s">
        <v>138</v>
      </c>
      <c r="AB6" s="1207" t="s">
        <v>138</v>
      </c>
      <c r="AC6" s="1207"/>
      <c r="AD6" s="188"/>
      <c r="AE6" s="358" t="s">
        <v>97</v>
      </c>
      <c r="AF6" s="421" t="s">
        <v>138</v>
      </c>
      <c r="AG6" s="435" t="s">
        <v>138</v>
      </c>
      <c r="AH6" s="1207" t="s">
        <v>138</v>
      </c>
      <c r="AI6" s="1207"/>
      <c r="AJ6" s="188"/>
      <c r="AK6" s="358" t="s">
        <v>97</v>
      </c>
      <c r="AL6" s="421" t="s">
        <v>138</v>
      </c>
      <c r="AM6" s="435" t="s">
        <v>138</v>
      </c>
      <c r="AN6" s="1207" t="s">
        <v>138</v>
      </c>
      <c r="AO6" s="1207"/>
      <c r="AP6" s="188"/>
      <c r="AQ6" s="358" t="s">
        <v>97</v>
      </c>
      <c r="AR6" s="421" t="s">
        <v>138</v>
      </c>
      <c r="AS6" s="435" t="s">
        <v>138</v>
      </c>
      <c r="AT6" s="1207" t="s">
        <v>138</v>
      </c>
      <c r="AU6" s="1207"/>
      <c r="AV6" s="188"/>
      <c r="AW6" s="358" t="s">
        <v>97</v>
      </c>
      <c r="AX6" s="421" t="s">
        <v>138</v>
      </c>
      <c r="AY6" s="435" t="s">
        <v>138</v>
      </c>
      <c r="AZ6" s="1207" t="s">
        <v>138</v>
      </c>
      <c r="BA6" s="1207"/>
      <c r="BB6" s="188"/>
      <c r="BC6" s="358" t="s">
        <v>97</v>
      </c>
      <c r="BD6" s="421" t="s">
        <v>138</v>
      </c>
      <c r="BE6" s="435" t="s">
        <v>138</v>
      </c>
      <c r="BF6" s="1207" t="s">
        <v>138</v>
      </c>
      <c r="BG6" s="1207"/>
      <c r="BH6" s="188"/>
      <c r="BI6" s="358" t="s">
        <v>97</v>
      </c>
      <c r="BJ6" s="421" t="s">
        <v>138</v>
      </c>
      <c r="BK6" s="435" t="s">
        <v>138</v>
      </c>
      <c r="BL6" s="1207" t="s">
        <v>138</v>
      </c>
      <c r="BM6" s="1207"/>
      <c r="BN6" s="188"/>
      <c r="BO6" s="358" t="s">
        <v>97</v>
      </c>
      <c r="BP6" s="421" t="s">
        <v>138</v>
      </c>
      <c r="BQ6" s="435" t="s">
        <v>138</v>
      </c>
      <c r="BR6" s="1207" t="s">
        <v>138</v>
      </c>
      <c r="BS6" s="1207"/>
      <c r="BT6" s="188"/>
      <c r="BU6" s="358" t="s">
        <v>97</v>
      </c>
      <c r="BV6" s="421" t="s">
        <v>138</v>
      </c>
      <c r="BW6" s="435" t="s">
        <v>138</v>
      </c>
      <c r="BX6" s="1207" t="s">
        <v>138</v>
      </c>
      <c r="BY6" s="1207"/>
      <c r="BZ6" s="188"/>
    </row>
    <row r="7" spans="1:78" ht="15.75" x14ac:dyDescent="0.25">
      <c r="A7" s="942" t="s">
        <v>266</v>
      </c>
      <c r="B7" s="432"/>
      <c r="C7" s="432"/>
      <c r="D7" s="221"/>
      <c r="E7" s="1198">
        <f>'2018'!Dépas_env</f>
        <v>4.55493472194759E-2</v>
      </c>
      <c r="F7" s="1199"/>
      <c r="G7" s="942" t="s">
        <v>265</v>
      </c>
      <c r="H7" s="432"/>
      <c r="I7" s="432"/>
      <c r="J7" s="221"/>
      <c r="K7" s="1198">
        <f>'2019'!Dépas_env</f>
        <v>4.8208038888630789E-2</v>
      </c>
      <c r="L7" s="1199"/>
      <c r="M7" s="942" t="s">
        <v>265</v>
      </c>
      <c r="N7" s="432"/>
      <c r="O7" s="432"/>
      <c r="P7" s="221"/>
      <c r="Q7" s="1198">
        <f>'2020'!Dépas_env</f>
        <v>4.6965153328257347E-2</v>
      </c>
      <c r="R7" s="1199"/>
      <c r="S7" s="942" t="s">
        <v>265</v>
      </c>
      <c r="T7" s="432"/>
      <c r="U7" s="432"/>
      <c r="V7" s="221"/>
      <c r="W7" s="1198">
        <f>'2021'!Dépas_env</f>
        <v>4.6944592334525526E-2</v>
      </c>
      <c r="X7" s="1199"/>
      <c r="Y7" s="942" t="s">
        <v>265</v>
      </c>
      <c r="Z7" s="432"/>
      <c r="AA7" s="432"/>
      <c r="AB7" s="221"/>
      <c r="AC7" s="1198">
        <f>'2022'!Dépas_env</f>
        <v>4.6255184038828556E-2</v>
      </c>
      <c r="AD7" s="1199"/>
      <c r="AE7" s="942" t="s">
        <v>265</v>
      </c>
      <c r="AF7" s="432"/>
      <c r="AG7" s="432"/>
      <c r="AH7" s="221"/>
      <c r="AI7" s="1198">
        <f>'2023'!Dépas_env</f>
        <v>4.6255184038828778E-2</v>
      </c>
      <c r="AJ7" s="1199"/>
      <c r="AK7" s="942" t="s">
        <v>265</v>
      </c>
      <c r="AL7" s="432"/>
      <c r="AM7" s="432"/>
      <c r="AN7" s="221"/>
      <c r="AO7" s="1198">
        <f>'2024'!Dépas_env</f>
        <v>4.6255184038828556E-2</v>
      </c>
      <c r="AP7" s="1199"/>
      <c r="AQ7" s="942" t="s">
        <v>265</v>
      </c>
      <c r="AR7" s="432"/>
      <c r="AS7" s="432"/>
      <c r="AT7" s="221"/>
      <c r="AU7" s="1198">
        <f>'2025'!Dépas_env</f>
        <v>4.6255184038828556E-2</v>
      </c>
      <c r="AV7" s="1199"/>
      <c r="AW7" s="942" t="s">
        <v>265</v>
      </c>
      <c r="AX7" s="432"/>
      <c r="AY7" s="432"/>
      <c r="AZ7" s="221"/>
      <c r="BA7" s="1198">
        <f>'2026'!Dépas_env</f>
        <v>4.6255184038828556E-2</v>
      </c>
      <c r="BB7" s="1199"/>
      <c r="BC7" s="942" t="s">
        <v>265</v>
      </c>
      <c r="BD7" s="432"/>
      <c r="BE7" s="432"/>
      <c r="BF7" s="221"/>
      <c r="BG7" s="1198">
        <f>'2027'!Dépas_env</f>
        <v>4.6255184038828334E-2</v>
      </c>
      <c r="BH7" s="1199"/>
      <c r="BI7" s="942" t="s">
        <v>265</v>
      </c>
      <c r="BJ7" s="432"/>
      <c r="BK7" s="432"/>
      <c r="BL7" s="221"/>
      <c r="BM7" s="1198"/>
      <c r="BN7" s="1199"/>
      <c r="BO7" s="942" t="s">
        <v>265</v>
      </c>
      <c r="BP7" s="432"/>
      <c r="BQ7" s="432"/>
      <c r="BR7" s="221"/>
      <c r="BS7" s="1198"/>
      <c r="BT7" s="1199"/>
      <c r="BU7" s="942" t="s">
        <v>265</v>
      </c>
      <c r="BV7" s="432"/>
      <c r="BW7" s="432"/>
      <c r="BX7" s="221"/>
      <c r="BY7" s="1198"/>
      <c r="BZ7" s="1199"/>
    </row>
    <row r="8" spans="1:78" ht="15.75" x14ac:dyDescent="0.25">
      <c r="A8" s="428" t="s">
        <v>137</v>
      </c>
      <c r="T8" s="674" t="s">
        <v>204</v>
      </c>
    </row>
    <row r="9" spans="1:78" s="28" customFormat="1" ht="15" customHeight="1" x14ac:dyDescent="0.25">
      <c r="A9" s="447" t="s">
        <v>79</v>
      </c>
      <c r="B9" s="583">
        <f>IF(B4="D",T0,IF(YEAR(B4)=A3,B4, "err."))</f>
        <v>43243</v>
      </c>
      <c r="C9" s="584">
        <f>IF(B9&gt;T0,IF(C4="D",0,C4),0)</f>
        <v>0</v>
      </c>
      <c r="D9" s="585" t="s">
        <v>82</v>
      </c>
      <c r="E9" s="464" t="s">
        <v>82</v>
      </c>
      <c r="F9" s="1147">
        <f>IF(C5="I",T0,B10)</f>
        <v>43243</v>
      </c>
      <c r="G9" s="448" t="s">
        <v>95</v>
      </c>
      <c r="H9" s="583">
        <f>IF(H4="D",B9,IF(YEAR(H4)=G3,H4, "err."))</f>
        <v>43243</v>
      </c>
      <c r="I9" s="584">
        <f>IF(YEAR(H9)=G3,IF(I4="D",C9,I4),C9)</f>
        <v>0</v>
      </c>
      <c r="J9" s="586" t="s">
        <v>82</v>
      </c>
      <c r="K9" s="452" t="s">
        <v>82</v>
      </c>
      <c r="L9" s="1147">
        <f>IF(I5="I",F9,IF(YEAR(H10)=G3,H10,F9))</f>
        <v>43243</v>
      </c>
      <c r="M9" s="450" t="s">
        <v>95</v>
      </c>
      <c r="N9" s="583">
        <f>IF(N4="D",H9,IF(YEAR(N4)=M3,N4, "err."))</f>
        <v>43243</v>
      </c>
      <c r="O9" s="584">
        <f>IF(YEAR(N9)=M3,IF(O4="D",I9,O4),I9)</f>
        <v>0</v>
      </c>
      <c r="P9" s="586" t="s">
        <v>82</v>
      </c>
      <c r="Q9" s="452" t="s">
        <v>82</v>
      </c>
      <c r="R9" s="1147">
        <f>IF(O5="I",L9,IF(YEAR(N10)=M3,N10,L9))</f>
        <v>43243</v>
      </c>
      <c r="S9" s="448" t="s">
        <v>95</v>
      </c>
      <c r="T9" s="583">
        <f>IF(T4="D",N9,IF(YEAR(T4)=S3,T4, "err."))</f>
        <v>43243</v>
      </c>
      <c r="U9" s="584">
        <f>IF(YEAR(T9)=S3,IF(U4="D",O9,U4),O9)</f>
        <v>0</v>
      </c>
      <c r="V9" s="586" t="s">
        <v>82</v>
      </c>
      <c r="W9" s="452" t="s">
        <v>82</v>
      </c>
      <c r="X9" s="1147">
        <f>IF(U5="I",R9,IF(YEAR(T10)=S3,T10,R9))</f>
        <v>44306</v>
      </c>
      <c r="Y9" s="448" t="s">
        <v>95</v>
      </c>
      <c r="Z9" s="583">
        <f>IF(Z4="D",T9,IF(YEAR(Z4)=Y3,Z4, "err."))</f>
        <v>43243</v>
      </c>
      <c r="AA9" s="584">
        <f>IF(YEAR(Z9)=Y3,IF(AA4="D",U9,AA4),U9)</f>
        <v>0</v>
      </c>
      <c r="AB9" s="586" t="s">
        <v>82</v>
      </c>
      <c r="AC9" s="452" t="s">
        <v>82</v>
      </c>
      <c r="AD9" s="1147">
        <f>IF(AA5="I",X9,IF(YEAR(Z10)=Y3,Z10,X9))</f>
        <v>44306</v>
      </c>
      <c r="AE9" s="448" t="s">
        <v>95</v>
      </c>
      <c r="AF9" s="583">
        <f>IF(AF4="D",Z9,IF(YEAR(AF4)=AE3,AF4, "err."))</f>
        <v>43243</v>
      </c>
      <c r="AG9" s="584">
        <f>IF(YEAR(AF9)=AE3,IF(AG4="D",AA9,AG4),AA9)</f>
        <v>0</v>
      </c>
      <c r="AH9" s="586" t="s">
        <v>82</v>
      </c>
      <c r="AI9" s="452" t="s">
        <v>82</v>
      </c>
      <c r="AJ9" s="1147">
        <f>IF(AG5="I",AD9,IF(YEAR(AF10)=AE3,AF10,AD9))</f>
        <v>44306</v>
      </c>
      <c r="AK9" s="448" t="s">
        <v>95</v>
      </c>
      <c r="AL9" s="599">
        <f>IF(AL4="D",AF9,AL4)</f>
        <v>43243</v>
      </c>
      <c r="AM9" s="600">
        <f>IF(AM4="D",AG9,AM4)</f>
        <v>0</v>
      </c>
      <c r="AN9" s="586" t="s">
        <v>82</v>
      </c>
      <c r="AO9" s="601" t="s">
        <v>82</v>
      </c>
      <c r="AP9" s="1147">
        <f>IF(AM5="I",AJ9,IF(YEAR(AL10)=AK3,AL10,AJ9))</f>
        <v>45412</v>
      </c>
      <c r="AQ9" s="448" t="s">
        <v>95</v>
      </c>
      <c r="AR9" s="583">
        <f>IF(AR4="D",AL9,AR4)</f>
        <v>43243</v>
      </c>
      <c r="AS9" s="584">
        <f>IF(AS4="D",AM9,AS4)</f>
        <v>0</v>
      </c>
      <c r="AT9" s="586" t="s">
        <v>82</v>
      </c>
      <c r="AU9" s="452" t="s">
        <v>82</v>
      </c>
      <c r="AV9" s="1147">
        <f>IF(AS5="I",AP9,IF(YEAR(AR10)=AQ3,AR10,AP9))</f>
        <v>45412</v>
      </c>
      <c r="AW9" s="448" t="s">
        <v>95</v>
      </c>
      <c r="AX9" s="583">
        <f>IF(AX4="D",AR9,AX4)</f>
        <v>43243</v>
      </c>
      <c r="AY9" s="584">
        <f>IF(AY4="D",AS9,AY4)</f>
        <v>0</v>
      </c>
      <c r="AZ9" s="586" t="s">
        <v>82</v>
      </c>
      <c r="BA9" s="452" t="s">
        <v>82</v>
      </c>
      <c r="BB9" s="1147">
        <f>IF(AY5="I",AV9,IF(YEAR(AX10)=AW3,AX10,AV9))</f>
        <v>46142</v>
      </c>
      <c r="BC9" s="448" t="s">
        <v>95</v>
      </c>
      <c r="BD9" s="583">
        <f>IF(BD4="D",AX9,BD4)</f>
        <v>43243</v>
      </c>
      <c r="BE9" s="584">
        <f>IF(BE4="D",AY9,BE4)</f>
        <v>0</v>
      </c>
      <c r="BF9" s="586" t="s">
        <v>82</v>
      </c>
      <c r="BG9" s="452" t="s">
        <v>82</v>
      </c>
      <c r="BH9" s="1147">
        <f>IF(BE5="I",BB9,IF(YEAR(BD10)=BC3,BD10,BB9))</f>
        <v>46142</v>
      </c>
      <c r="BI9" s="448" t="s">
        <v>95</v>
      </c>
      <c r="BJ9" s="583">
        <f>IF(BJ4="D",BD9,BJ4)</f>
        <v>43243</v>
      </c>
      <c r="BK9" s="584">
        <f>IF(BK4="D",BE9,BK4)</f>
        <v>0</v>
      </c>
      <c r="BL9" s="586" t="s">
        <v>82</v>
      </c>
      <c r="BM9" s="452" t="s">
        <v>82</v>
      </c>
      <c r="BN9" s="1147" t="e">
        <f>IF(BK5="I",BH9,IF(YEAR(BJ10)=BI3,BJ10,BH9))</f>
        <v>#NAME?</v>
      </c>
      <c r="BO9" s="448" t="s">
        <v>95</v>
      </c>
      <c r="BP9" s="583">
        <f>IF(BP4="D",BJ9,BP4)</f>
        <v>43243</v>
      </c>
      <c r="BQ9" s="584">
        <f>IF(BQ4="D",BK9,BQ4)</f>
        <v>0</v>
      </c>
      <c r="BR9" s="586" t="s">
        <v>82</v>
      </c>
      <c r="BS9" s="452" t="s">
        <v>82</v>
      </c>
      <c r="BT9" s="1147" t="e">
        <f>IF(BQ5="I",BN9,IF(YEAR(BP10)=BO3,BP10,BN9))</f>
        <v>#NAME?</v>
      </c>
      <c r="BU9" s="448" t="s">
        <v>95</v>
      </c>
      <c r="BV9" s="583">
        <f>IF(BV4="D",BP9,BV4)</f>
        <v>43243</v>
      </c>
      <c r="BW9" s="584">
        <f>IF(BW4="D",BQ9,BW4)</f>
        <v>0</v>
      </c>
      <c r="BX9" s="586" t="s">
        <v>82</v>
      </c>
      <c r="BY9" s="452" t="s">
        <v>82</v>
      </c>
      <c r="BZ9" s="1147" t="e">
        <f>IF(BW5="I",BT9,IF(YEAR(BV10)=BU3,BV10,BT9))</f>
        <v>#NAME?</v>
      </c>
    </row>
    <row r="10" spans="1:78" s="451" customFormat="1" ht="15" customHeight="1" x14ac:dyDescent="0.25">
      <c r="A10" s="465" t="s">
        <v>17</v>
      </c>
      <c r="B10" s="581">
        <f>IF(B5="D",T0,IF(YEAR(B5)=A3,B5, "err."))</f>
        <v>43243</v>
      </c>
      <c r="C10" s="587">
        <f>IF(B10&gt;T0,IF(C5="D",0,C5),0)</f>
        <v>0</v>
      </c>
      <c r="D10" s="588">
        <f>IF(YEAR(B10)=A3,IF(D5="D",Salim_i,D5),Salim_i)</f>
        <v>0.14000000000000001</v>
      </c>
      <c r="E10" s="589">
        <f>IF(E5="D",Tau_i,IF(YEAR(B10)=A3,E5,Tau_i))</f>
        <v>3</v>
      </c>
      <c r="F10" s="1148">
        <f>C10</f>
        <v>0</v>
      </c>
      <c r="G10" s="450" t="s">
        <v>96</v>
      </c>
      <c r="H10" s="581">
        <f>IF(H5="D",IF(AND(G3&gt;=YEAR(F9)+Inter_net,G3&gt;Amaj),DATE(G3,4,30),B10),IF(YEAR(H5)=G3,H5,"err."))</f>
        <v>43678</v>
      </c>
      <c r="I10" s="587" t="str">
        <f>IF(G3=YEAR(H10),IF(I5="D",F10,I5),C13)</f>
        <v>I</v>
      </c>
      <c r="J10" s="588">
        <f>IF(G3=YEAR(H10),IF(J5="D",D10,J5),D10)</f>
        <v>0.08</v>
      </c>
      <c r="K10" s="589">
        <f>IF(G3=YEAR(H10),IF(K5="D",E10,K5),E10)</f>
        <v>0.5</v>
      </c>
      <c r="L10" s="1148">
        <f>IF(I5="I",F10,IF(I5="D",F10,I5))</f>
        <v>0</v>
      </c>
      <c r="M10" s="450" t="s">
        <v>96</v>
      </c>
      <c r="N10" s="581">
        <f>IF(N5="D",IF(AND(M3&gt;=YEAR(L9)+Inter_net,M3&gt;Amaj),DATE(M3,4,30),H10),IF(YEAR(N5)=M3,N5,"err."))</f>
        <v>43831</v>
      </c>
      <c r="O10" s="587" t="str">
        <f>IF(M3=YEAR(N10),IF(O5="D",L10,O5),I13)</f>
        <v>I</v>
      </c>
      <c r="P10" s="588">
        <f>IF(M3=YEAR(N10),IF(P5="D",J10,P5),J10)</f>
        <v>0.12</v>
      </c>
      <c r="Q10" s="589">
        <f>IF(M3=YEAR(N10),IF(Q5="D",K10,Q5),K10)</f>
        <v>3</v>
      </c>
      <c r="R10" s="1148">
        <f>IF(O5="I",L10,IF(O5="D",L10,O5))</f>
        <v>0</v>
      </c>
      <c r="S10" s="450" t="s">
        <v>96</v>
      </c>
      <c r="T10" s="581">
        <f>IF(T5="D",IF(AND(S3&gt;=YEAR(R9)+Inter_net,S3&gt;Amaj),DATE(S3,4,30),N10),IF(YEAR(T5)=S3,T5,"err."))</f>
        <v>44306</v>
      </c>
      <c r="U10" s="587">
        <f>IF(S3=YEAR(T10),IF(U5="D",R10,U5),O13)</f>
        <v>8.0000000000000002E-3</v>
      </c>
      <c r="V10" s="588">
        <f>IF(S3=YEAR(T10),IF(V5="D",P10,V5),P10)</f>
        <v>0.12</v>
      </c>
      <c r="W10" s="589">
        <f>IF(S3=YEAR(T10),IF(W5="D",Q10,W5),Q10)</f>
        <v>3</v>
      </c>
      <c r="X10" s="1148">
        <f>IF(U5="I",R10,IF(U5="D",R10,U5))</f>
        <v>8.0000000000000002E-3</v>
      </c>
      <c r="Y10" s="450" t="s">
        <v>96</v>
      </c>
      <c r="Z10" s="581">
        <f>IF(Z5="D",IF(AND(Y3&gt;=YEAR(X9)+Inter_net,Y3&gt;Amaj),DATE(Y3,4,30),T10),IF(YEAR(Z5)=Y3,Z5,"err."))</f>
        <v>44562</v>
      </c>
      <c r="AA10" s="587" t="str">
        <f>IF(Y3=YEAR(Z10),IF(AA5="D",X10,AA5),U13)</f>
        <v>I</v>
      </c>
      <c r="AB10" s="588">
        <f>IF(Y3=YEAR(Z10),IF(AB5="D",V10,AB5),V10)</f>
        <v>0.28000000000000003</v>
      </c>
      <c r="AC10" s="589">
        <f>IF(Y3=YEAR(Z10),IF(AC5="D",W10,AC5),W10)</f>
        <v>3</v>
      </c>
      <c r="AD10" s="1148">
        <f>IF(AA5="I",X10,IF(AA5="D",X10,AA5))</f>
        <v>8.0000000000000002E-3</v>
      </c>
      <c r="AE10" s="450" t="s">
        <v>96</v>
      </c>
      <c r="AF10" s="581">
        <f>IF(AF5="D",IF(AND(AE3&gt;=YEAR(AD9)+Inter_net,AE3&gt;Amaj),DATE(AE3,4,30),Z10),IF(YEAR(AF5)=AE3,AF5,"err."))</f>
        <v>44927</v>
      </c>
      <c r="AG10" s="587" t="str">
        <f>IF(AE3=YEAR(AF10),IF(AG5="D",AD10,AG5),AA13)</f>
        <v>I</v>
      </c>
      <c r="AH10" s="588">
        <f>IF(AE3=YEAR(AF10),IF(AH5="D",AB10,AH5),AB10)</f>
        <v>0.16</v>
      </c>
      <c r="AI10" s="589">
        <f>IF(AE3=YEAR(AF10),IF(AI5="D",AC10,AI5),AC10)</f>
        <v>3</v>
      </c>
      <c r="AJ10" s="1148">
        <f>IF(AG5="I",AD10,IF(AG5="D",AD10,AG5))</f>
        <v>8.0000000000000002E-3</v>
      </c>
      <c r="AK10" s="450" t="s">
        <v>96</v>
      </c>
      <c r="AL10" s="581">
        <f>IF(AL5="D",IF(AND(AK3&gt;=YEAR(AJ9)+Inter_net,AK3&gt;Amaj),DATE(AK3,4,30),AF10),IF(YEAR(AL5)=AK3,AL5,"err."))</f>
        <v>45412</v>
      </c>
      <c r="AM10" s="587">
        <f>IF(AK3=YEAR(AL10),IF(AM5="D",AJ10,AM5),AG13)</f>
        <v>8.0000000000000002E-3</v>
      </c>
      <c r="AN10" s="588">
        <f>IF(AN5="D",AH10,AN5)</f>
        <v>0.16</v>
      </c>
      <c r="AO10" s="589">
        <f>IF(AO5="D",AI10,AO5)</f>
        <v>3</v>
      </c>
      <c r="AP10" s="1148">
        <f>IF(AM5="I",AJ10,IF(AM5="D",AJ10,AM5))</f>
        <v>8.0000000000000002E-3</v>
      </c>
      <c r="AQ10" s="450" t="s">
        <v>96</v>
      </c>
      <c r="AR10" s="581">
        <f>IF(AR5="D",IF(AND(AQ3&gt;=YEAR(AP9)+Inter_net,AQ3&gt;Amaj),DATE(AQ3,4,30),AL10),IF(YEAR(AR5)=AQ3,AR5,"err."))</f>
        <v>45412</v>
      </c>
      <c r="AS10" s="587">
        <f>IF(AQ3=YEAR(AR10),IF(AS5="D",AP10,AS5),AM13)</f>
        <v>8.0000000000000002E-3</v>
      </c>
      <c r="AT10" s="588">
        <f>IF(AT5="D",AN10,AT5)</f>
        <v>0.16</v>
      </c>
      <c r="AU10" s="589">
        <f>IF(AU5="D",AO10,AU5)</f>
        <v>3</v>
      </c>
      <c r="AV10" s="1148">
        <f>IF(AS5="I",AP10,IF(AS5="D",AP10,AS5))</f>
        <v>8.0000000000000002E-3</v>
      </c>
      <c r="AW10" s="450" t="s">
        <v>96</v>
      </c>
      <c r="AX10" s="581">
        <f>IF(AX5="D",IF(AND(AW3&gt;=YEAR(AV9)+Inter_net,AW3&gt;Amaj),DATE(AW3,4,30),AR10),IF(YEAR(AX5)=AW3,AX5,"err."))</f>
        <v>46142</v>
      </c>
      <c r="AY10" s="587">
        <f>IF(AW3=YEAR(AX10),IF(AY5="D",AV10,AY5),AS13)</f>
        <v>8.0000000000000002E-3</v>
      </c>
      <c r="AZ10" s="588">
        <f>IF(AZ5="D",AT10,AZ5)</f>
        <v>0.16</v>
      </c>
      <c r="BA10" s="589">
        <f>IF(BA5="D",AU10,BA5)</f>
        <v>3</v>
      </c>
      <c r="BB10" s="1148">
        <f>IF(AY5="I",AV10,IF(AY5="D",AV10,AY5))</f>
        <v>8.0000000000000002E-3</v>
      </c>
      <c r="BC10" s="450" t="s">
        <v>96</v>
      </c>
      <c r="BD10" s="581">
        <f>IF(BD5="D",IF(AND(BC3&gt;=YEAR(BB9)+Inter_net,BC3&gt;Amaj),DATE(BC3,4,30),AX10),IF(YEAR(BD5)=BC3,BD5,"err."))</f>
        <v>46142</v>
      </c>
      <c r="BE10" s="587">
        <f>IF(BC3=YEAR(BD10),IF(BE5="D",BB10,BE5),AY13)</f>
        <v>8.0000000000000002E-3</v>
      </c>
      <c r="BF10" s="588">
        <f>IF(BF5="D",AZ10,BF5)</f>
        <v>0.16</v>
      </c>
      <c r="BG10" s="589">
        <f>IF(BG5="D",BA10,BG5)</f>
        <v>3</v>
      </c>
      <c r="BH10" s="1148">
        <f>IF(BE5="I",BB10,IF(BE5="D",BB10,BE5))</f>
        <v>8.0000000000000002E-3</v>
      </c>
      <c r="BI10" s="450" t="s">
        <v>96</v>
      </c>
      <c r="BJ10" s="581" t="e">
        <f>IF(BJ5="D",IF(AND(BI3&gt;=YEAR(BH9)+Inter_net,BI3&gt;Amaj),DATE(BI3,4,30),BD10),IF(YEAR(BJ5)=BI3,BJ5,"err."))</f>
        <v>#NAME?</v>
      </c>
      <c r="BK10" s="587" t="e">
        <f>IF(BI3=YEAR(BJ10),IF(BK5="D",BH10,BK5),BE13)</f>
        <v>#NAME?</v>
      </c>
      <c r="BL10" s="588">
        <f>IF(BL5="D",BF10,BL5)</f>
        <v>0.16</v>
      </c>
      <c r="BM10" s="589">
        <f>IF(BM5="D",BG10,BM5)</f>
        <v>3</v>
      </c>
      <c r="BN10" s="1148">
        <f>IF(BK5="I",BH10,IF(BK5="D",BH10,BK5))</f>
        <v>8.0000000000000002E-3</v>
      </c>
      <c r="BO10" s="450" t="s">
        <v>96</v>
      </c>
      <c r="BP10" s="581" t="e">
        <f>IF(BP5="D",IF(AND(BO3&gt;=YEAR(BN9)+Inter_net,BO3&gt;Amaj),DATE(BO3,4,30),BJ10),IF(YEAR(BP5)=BO3,BP5,"err."))</f>
        <v>#NAME?</v>
      </c>
      <c r="BQ10" s="587" t="e">
        <f>IF(BO3=YEAR(BP10),IF(BQ5="D",BN10,BQ5),BK13)</f>
        <v>#NAME?</v>
      </c>
      <c r="BR10" s="588">
        <f>IF(BR5="D",BL10,BR5)</f>
        <v>0.16</v>
      </c>
      <c r="BS10" s="589">
        <f>IF(BS5="D",BM10,BS5)</f>
        <v>3</v>
      </c>
      <c r="BT10" s="1148">
        <f>IF(BQ5="I",BN10,IF(BQ5="D",BN10,BQ5))</f>
        <v>8.0000000000000002E-3</v>
      </c>
      <c r="BU10" s="450" t="s">
        <v>96</v>
      </c>
      <c r="BV10" s="581" t="e">
        <f>IF(BV5="D",IF(AND(BU3&gt;=YEAR(BT9)+Inter_net,BU3&gt;Amaj),DATE(BU3,4,30),BP10),IF(YEAR(BV5)=BU3,BV5,"err."))</f>
        <v>#NAME?</v>
      </c>
      <c r="BW10" s="587" t="e">
        <f>IF(BU3=YEAR(BV10),IF(BW5="D",BT10,BW5),BQ13)</f>
        <v>#NAME?</v>
      </c>
      <c r="BX10" s="588">
        <f>IF(BX5="D",BR10,BX5)</f>
        <v>0.16</v>
      </c>
      <c r="BY10" s="589">
        <f>IF(BY5="D",BS10,BY5)</f>
        <v>3</v>
      </c>
      <c r="BZ10" s="1148">
        <f>IF(BW5="I",BT10,IF(BW5="D",BT10,BW5))</f>
        <v>8.0000000000000002E-3</v>
      </c>
    </row>
    <row r="11" spans="1:78" s="451" customFormat="1" ht="15" customHeight="1" x14ac:dyDescent="0.25">
      <c r="A11" s="449" t="s">
        <v>19</v>
      </c>
      <c r="B11" s="582">
        <f>IF(B6="D",DATE(A3,1,1),IF(YEAR(B6)=A3,B6, "err."))</f>
        <v>43101</v>
      </c>
      <c r="C11" s="590">
        <f>IF(C6="D",D_i,C6)</f>
        <v>0.7</v>
      </c>
      <c r="D11" s="1204">
        <f>IF(D6="D",IF(B11&gt;DATE(A3,1,1),H_i,H_i+PousHci),D6)</f>
        <v>-1.4999621440122004</v>
      </c>
      <c r="E11" s="1204"/>
      <c r="F11" s="188"/>
      <c r="G11" s="450" t="s">
        <v>97</v>
      </c>
      <c r="H11" s="582">
        <f>IF(H6="D",IF(AND(G3&gt;=YEAR(B11)+Inter_tai,G3&gt;Amaj),DATE(G3,3,31),B11),IF(YEAR(H6)=G3,H6,"err."))</f>
        <v>43101</v>
      </c>
      <c r="I11" s="590">
        <f>IF(I6="D",IF(G3=YEAR(H11),D_i,C11),I6)</f>
        <v>0.7</v>
      </c>
      <c r="J11" s="1204">
        <f>IF(J6="D",IF(G3=YEAR(H11),H_i,D16+E16),J6)</f>
        <v>-0.99996222155014203</v>
      </c>
      <c r="K11" s="1204"/>
      <c r="L11" s="188"/>
      <c r="M11" s="450" t="s">
        <v>97</v>
      </c>
      <c r="N11" s="582">
        <f>IF(N6="D",IF(AND(M3&gt;=YEAR(H11)+Inter_tai,M3&gt;Amaj),DATE(M3,3,31),H11),IF(YEAR(N6)=M3,N6,"err."))</f>
        <v>43101</v>
      </c>
      <c r="O11" s="590">
        <f>IF(O6="D",IF(M3=YEAR(N11),D_i,I11),O6)</f>
        <v>0.7</v>
      </c>
      <c r="P11" s="1204">
        <f>IF(P6="D",IF(M3=YEAR(N11),H_i,J16+K16),P6)</f>
        <v>-0.49996229908808365</v>
      </c>
      <c r="Q11" s="1204"/>
      <c r="R11" s="188"/>
      <c r="S11" s="450" t="s">
        <v>97</v>
      </c>
      <c r="T11" s="582">
        <f>IF(T6="D",IF(AND(S3&gt;=YEAR(N11)+Inter_tai,S3&gt;Amaj),DATE(S3,3,31),N11),IF(YEAR(T6)=S3,T6,"err."))</f>
        <v>43101</v>
      </c>
      <c r="U11" s="590">
        <f>IF(U6="D",IF(S3=YEAR(T11),D_i,O11),U6)</f>
        <v>0.7</v>
      </c>
      <c r="V11" s="1204">
        <f>IF(V6="D",IF(S3=YEAR(T11),H_i,P16+Q16),V6)</f>
        <v>3.7623373974671193E-5</v>
      </c>
      <c r="W11" s="1204"/>
      <c r="X11" s="188"/>
      <c r="Y11" s="450" t="s">
        <v>97</v>
      </c>
      <c r="Z11" s="582">
        <f>IF(Z6="D",IF(AND(Y3&gt;=YEAR(T11)+Inter_tai,Y3&gt;Amaj),DATE(Y3,3,31),T11),IF(YEAR(Z6)=Y3,Z6,"err."))</f>
        <v>43101</v>
      </c>
      <c r="AA11" s="590">
        <f>IF(AA6="D",IF(Y3=YEAR(Z11),D_i,U11),AA6)</f>
        <v>0.7</v>
      </c>
      <c r="AB11" s="1204">
        <f>IF(AB6="D",IF(Y3=YEAR(Z11),H_i,V16+W16),AB6)</f>
        <v>0.50003754583603299</v>
      </c>
      <c r="AC11" s="1204"/>
      <c r="AD11" s="188"/>
      <c r="AE11" s="450" t="s">
        <v>97</v>
      </c>
      <c r="AF11" s="582">
        <f>IF(AF6="D",IF(AND(AE3&gt;=YEAR(Z11)+Inter_tai,AE3&gt;Amaj),DATE(AE3,3,31),Z11),IF(YEAR(AF6)=AE3,AF6,"err."))</f>
        <v>43101</v>
      </c>
      <c r="AG11" s="590">
        <f>IF(AG6="D",IF(AE3=YEAR(AF11),D_i,AA11),AG6)</f>
        <v>0.7</v>
      </c>
      <c r="AH11" s="1204">
        <f>IF(AH6="D",IF(AE3=YEAR(AF11),H_i,AB16+AC16),AH6)</f>
        <v>1.0000374682980913</v>
      </c>
      <c r="AI11" s="1204"/>
      <c r="AJ11" s="188"/>
      <c r="AK11" s="450" t="s">
        <v>97</v>
      </c>
      <c r="AL11" s="582">
        <f>IF(AL6="D",IF(AND(AK3&gt;=YEAR(AF11)+Inter_tai,AK3&gt;Amaj),DATE(AK3,3,31),AF11),IF(YEAR(AL6)=AK3,AL6,"err."))</f>
        <v>43101</v>
      </c>
      <c r="AM11" s="590">
        <f>IF(AM6="D",IF(AK3=YEAR(AL11),D_i,AG11),AM6)</f>
        <v>0.7</v>
      </c>
      <c r="AN11" s="1204">
        <f>IF(AN6="D",IF(AK3=YEAR(AL11),H_i,AH16+PousHci),AN6)</f>
        <v>1.5000373907601496</v>
      </c>
      <c r="AO11" s="1204"/>
      <c r="AP11" s="188"/>
      <c r="AQ11" s="450" t="s">
        <v>97</v>
      </c>
      <c r="AR11" s="582">
        <f>IF(AR6="D",IF(AND(AQ3&gt;=YEAR(AL11)+Inter_tai,AQ3&gt;Amaj),DATE(AQ3,3,31),AL11),IF(YEAR(AR6)=AQ3,AR6,"err."))</f>
        <v>45747</v>
      </c>
      <c r="AS11" s="590">
        <f>IF(AS6="D",IF(AQ3=YEAR(AR11),D_i,AM11),AS6)</f>
        <v>0.7</v>
      </c>
      <c r="AT11" s="1204">
        <f>IF(AT6="D",IF(AQ3=YEAR(AR11),H_i,AN16+PousHci),AT6)</f>
        <v>-1.9999621440122004</v>
      </c>
      <c r="AU11" s="1204"/>
      <c r="AV11" s="188"/>
      <c r="AW11" s="450" t="s">
        <v>97</v>
      </c>
      <c r="AX11" s="582">
        <f>IF(AX6="D",IF(AND(AW3&gt;=YEAR(AR11)+Inter_tai,AW3&gt;Amaj),DATE(AW3,3,31),AR11),IF(YEAR(AX6)=AW3,AX6,"err."))</f>
        <v>45747</v>
      </c>
      <c r="AY11" s="590">
        <f>IF(AY6="D",IF(AW3=YEAR(AX11),D_i,AS11),AY6)</f>
        <v>0.7</v>
      </c>
      <c r="AZ11" s="1204">
        <f>IF(AZ6="D",IF(AW3=YEAR(AX11),H_i,AT16+PousHci),AZ6)</f>
        <v>-1.0249503306897125</v>
      </c>
      <c r="BA11" s="1204"/>
      <c r="BB11" s="188"/>
      <c r="BC11" s="450" t="s">
        <v>97</v>
      </c>
      <c r="BD11" s="582">
        <f>IF(BD6="D",IF(AND(BC3&gt;=YEAR(AX11)+Inter_tai,BC3&gt;Amaj),DATE(BC3,3,31),AX11),IF(YEAR(BD6)=BC3,BD6,"err."))</f>
        <v>45747</v>
      </c>
      <c r="BE11" s="590">
        <f>IF(BE6="D",IF(BC3=YEAR(BD11),D_i,AY11),BE6)</f>
        <v>0.7</v>
      </c>
      <c r="BF11" s="1204">
        <f>IF(BF6="D",IF(BC3=YEAR(BD11),H_i,AZ16+PousHci),BF6)</f>
        <v>-0.52495040822765415</v>
      </c>
      <c r="BG11" s="1204"/>
      <c r="BH11" s="188"/>
      <c r="BI11" s="450" t="s">
        <v>97</v>
      </c>
      <c r="BJ11" s="582" t="e">
        <f>IF(BJ6="D",IF(AND(BI3&gt;=YEAR(BD11)+Inter_tai,BI3&gt;Amaj),DATE(BI3,3,31),BD11),IF(YEAR(BJ6)=BI3,BJ6,"err."))</f>
        <v>#NAME?</v>
      </c>
      <c r="BK11" s="590" t="e">
        <f>IF(BK6="D",IF(BI3=YEAR(BJ11),D_i,BE11),BK6)</f>
        <v>#NAME?</v>
      </c>
      <c r="BL11" s="1204" t="e">
        <f>IF(BL6="D",IF(BI3=YEAR(BJ11),H_i,BF16+PousHci),BL6)</f>
        <v>#NAME?</v>
      </c>
      <c r="BM11" s="1204"/>
      <c r="BN11" s="188"/>
      <c r="BO11" s="450" t="s">
        <v>97</v>
      </c>
      <c r="BP11" s="582" t="e">
        <f>IF(BP6="D",IF(AND(BO3&gt;=YEAR(BJ11)+Inter_tai,BO3&gt;Amaj),DATE(BO3,3,31),BJ11),IF(YEAR(BP6)=BO3,BP6,"err."))</f>
        <v>#NAME?</v>
      </c>
      <c r="BQ11" s="590" t="e">
        <f>IF(BQ6="D",IF(BO3=YEAR(BP11),D_i,BK11),BQ6)</f>
        <v>#NAME?</v>
      </c>
      <c r="BR11" s="1204" t="e">
        <f>IF(BR6="D",IF(BO3=YEAR(BP11),H_i,BL16+PousHci),BR6)</f>
        <v>#NAME?</v>
      </c>
      <c r="BS11" s="1204"/>
      <c r="BT11" s="188"/>
      <c r="BU11" s="450" t="s">
        <v>97</v>
      </c>
      <c r="BV11" s="582" t="e">
        <f>IF(BV6="D",IF(AND(BU3&gt;=YEAR(BP11)+Inter_tai,BU3&gt;Amaj),DATE(BU3,3,31),BP11),IF(YEAR(BV6)=BU3,BV6,"err."))</f>
        <v>#NAME?</v>
      </c>
      <c r="BW11" s="590" t="e">
        <f>IF(BW6="D",IF(BU3=YEAR(BV11),D_i,BQ11),BW6)</f>
        <v>#NAME?</v>
      </c>
      <c r="BX11" s="1204" t="e">
        <f>IF(BX6="D",IF(BU3=YEAR(BV11),H_i,BR16+PousHci),BX6)</f>
        <v>#NAME?</v>
      </c>
      <c r="BY11" s="1204"/>
      <c r="BZ11" s="188"/>
    </row>
    <row r="12" spans="1:78" x14ac:dyDescent="0.25">
      <c r="A12" s="8" t="s">
        <v>171</v>
      </c>
      <c r="B12" s="446"/>
      <c r="C12" s="456"/>
      <c r="D12" s="403"/>
      <c r="E12" s="457"/>
      <c r="H12" s="446"/>
      <c r="L12" s="467"/>
      <c r="M12" s="457"/>
      <c r="AL12" s="457"/>
      <c r="AM12" s="456"/>
      <c r="AN12" s="403"/>
      <c r="AO12" s="457"/>
    </row>
    <row r="13" spans="1:78" s="409" customFormat="1" ht="15" customHeight="1" x14ac:dyDescent="0.25">
      <c r="A13" s="461" t="s">
        <v>17</v>
      </c>
      <c r="B13" s="591">
        <f>+'2018'!Tnet</f>
        <v>43243</v>
      </c>
      <c r="C13" s="592">
        <f>+'2018'!Resal</f>
        <v>0</v>
      </c>
      <c r="D13" s="593">
        <f>+'2018'!Salim</f>
        <v>0.14000000000000001</v>
      </c>
      <c r="E13" s="594">
        <f>+'2018'!Tau_j/365</f>
        <v>3</v>
      </c>
      <c r="F13" s="466"/>
      <c r="G13" s="468" t="s">
        <v>96</v>
      </c>
      <c r="H13" s="591">
        <f>+'2019'!Tnet</f>
        <v>43678</v>
      </c>
      <c r="I13" s="592">
        <f>+'2019'!Resal</f>
        <v>4.5897731970198939E-2</v>
      </c>
      <c r="J13" s="593">
        <f>+'2019'!Salim</f>
        <v>0.08</v>
      </c>
      <c r="K13" s="594">
        <f>+'2019'!Tau_j/365</f>
        <v>0.5</v>
      </c>
      <c r="L13" s="469"/>
      <c r="M13" s="450" t="s">
        <v>96</v>
      </c>
      <c r="N13" s="591">
        <f>+'2020'!Tnet</f>
        <v>43831</v>
      </c>
      <c r="O13" s="592">
        <f>+'2020'!Resal</f>
        <v>6.5253471062338794E-2</v>
      </c>
      <c r="P13" s="593">
        <f>+'2020'!Salim</f>
        <v>0.12</v>
      </c>
      <c r="Q13" s="594">
        <f>+'2020'!Tau_j/365</f>
        <v>3</v>
      </c>
      <c r="R13" s="469"/>
      <c r="S13" s="450" t="s">
        <v>96</v>
      </c>
      <c r="T13" s="591">
        <f>+'2021'!Tnet</f>
        <v>44306</v>
      </c>
      <c r="U13" s="592">
        <f>+'2021'!Resal</f>
        <v>8.0000000000000002E-3</v>
      </c>
      <c r="V13" s="593">
        <f>+'2021'!Salim</f>
        <v>0.12</v>
      </c>
      <c r="W13" s="594">
        <f>+'2021'!Tau_j/365</f>
        <v>3</v>
      </c>
      <c r="X13" s="469"/>
      <c r="Y13" s="450" t="s">
        <v>96</v>
      </c>
      <c r="Z13" s="591">
        <f>+'2022'!Tnet</f>
        <v>44562</v>
      </c>
      <c r="AA13" s="592">
        <f>+'2022'!Resal</f>
        <v>3.1348857787303515E-2</v>
      </c>
      <c r="AB13" s="593">
        <f>+'2022'!Salim</f>
        <v>0.28000000000000003</v>
      </c>
      <c r="AC13" s="594">
        <f>+'2022'!Tau_j/365</f>
        <v>3</v>
      </c>
      <c r="AD13" s="469"/>
      <c r="AE13" s="450" t="s">
        <v>96</v>
      </c>
      <c r="AF13" s="591">
        <f>+'2023'!Tnet</f>
        <v>44927</v>
      </c>
      <c r="AG13" s="592">
        <f>+'2023'!Resal</f>
        <v>0.10183367119466694</v>
      </c>
      <c r="AH13" s="593">
        <f>+'2023'!Salim</f>
        <v>0.16</v>
      </c>
      <c r="AI13" s="594">
        <f>+'2023'!Tau_j/365</f>
        <v>3</v>
      </c>
      <c r="AJ13" s="469"/>
      <c r="AK13" s="450" t="s">
        <v>96</v>
      </c>
      <c r="AL13" s="591">
        <f>+'2024'!Tnet</f>
        <v>45412</v>
      </c>
      <c r="AM13" s="592">
        <f>+'2024'!Resal</f>
        <v>8.0000000000000002E-3</v>
      </c>
      <c r="AN13" s="593">
        <f>+'2024'!Salim</f>
        <v>0.16</v>
      </c>
      <c r="AO13" s="594">
        <f>+'2024'!Tau_j/365</f>
        <v>3</v>
      </c>
      <c r="AP13" s="466"/>
      <c r="AQ13" s="450" t="s">
        <v>96</v>
      </c>
      <c r="AR13" s="591">
        <f>+'2025'!Tnet</f>
        <v>45412</v>
      </c>
      <c r="AS13" s="592">
        <f>+'2025'!Resal</f>
        <v>8.0000000000000002E-3</v>
      </c>
      <c r="AT13" s="593">
        <f>+'2025'!Salim</f>
        <v>0.16</v>
      </c>
      <c r="AU13" s="594">
        <f>+'2025'!Tau_j/365</f>
        <v>3</v>
      </c>
      <c r="AV13" s="466"/>
      <c r="AW13" s="450" t="s">
        <v>96</v>
      </c>
      <c r="AX13" s="591">
        <f>+'2026'!Tnet</f>
        <v>46142</v>
      </c>
      <c r="AY13" s="592">
        <f>+'2026'!Resal</f>
        <v>8.0000000000000002E-3</v>
      </c>
      <c r="AZ13" s="593">
        <f>+'2026'!Salim</f>
        <v>0.16</v>
      </c>
      <c r="BA13" s="594">
        <f>+'2026'!Tau_j/365</f>
        <v>3</v>
      </c>
      <c r="BB13" s="466"/>
      <c r="BC13" s="450" t="s">
        <v>96</v>
      </c>
      <c r="BD13" s="591">
        <f>+'2027'!Tnet</f>
        <v>46142</v>
      </c>
      <c r="BE13" s="592">
        <f>+'2027'!Resal</f>
        <v>8.0000000000000002E-3</v>
      </c>
      <c r="BF13" s="593">
        <f>+'2027'!Salim</f>
        <v>0.16</v>
      </c>
      <c r="BG13" s="594">
        <f>+'2027'!Tau_j/365</f>
        <v>3</v>
      </c>
      <c r="BH13" s="466"/>
      <c r="BI13" s="450" t="s">
        <v>96</v>
      </c>
      <c r="BJ13" s="591">
        <f>+'2018'!Tnet</f>
        <v>43243</v>
      </c>
      <c r="BK13" s="592">
        <f>+'2018'!Resal</f>
        <v>0</v>
      </c>
      <c r="BL13" s="593">
        <f>+'2018'!Salim</f>
        <v>0.14000000000000001</v>
      </c>
      <c r="BM13" s="594">
        <f>+'2018'!Tau_j/365</f>
        <v>3</v>
      </c>
      <c r="BN13" s="466"/>
      <c r="BO13" s="450" t="s">
        <v>96</v>
      </c>
      <c r="BP13" s="591">
        <f>+'2018'!Tnet</f>
        <v>43243</v>
      </c>
      <c r="BQ13" s="592">
        <f>+'2018'!Resal</f>
        <v>0</v>
      </c>
      <c r="BR13" s="593">
        <f>+'2018'!Salim</f>
        <v>0.14000000000000001</v>
      </c>
      <c r="BS13" s="594">
        <f>+'2018'!Tau_j/365</f>
        <v>3</v>
      </c>
      <c r="BT13" s="466"/>
      <c r="BU13" s="450" t="s">
        <v>96</v>
      </c>
      <c r="BV13" s="591">
        <f>+'2018'!Tnet</f>
        <v>43243</v>
      </c>
      <c r="BW13" s="592">
        <f>+'2018'!Resal</f>
        <v>0</v>
      </c>
      <c r="BX13" s="593">
        <f>+'2018'!Salim</f>
        <v>0.14000000000000001</v>
      </c>
      <c r="BY13" s="594">
        <f>+'2018'!Tau_j/365</f>
        <v>3</v>
      </c>
      <c r="BZ13" s="466"/>
    </row>
    <row r="14" spans="1:78" s="460" customFormat="1" ht="12.75" customHeight="1" x14ac:dyDescent="0.25">
      <c r="A14" s="478"/>
      <c r="B14" s="479" t="s">
        <v>2</v>
      </c>
      <c r="C14" s="479" t="s">
        <v>132</v>
      </c>
      <c r="D14" s="479" t="s">
        <v>133</v>
      </c>
      <c r="E14" s="479" t="s">
        <v>134</v>
      </c>
      <c r="F14" s="480"/>
      <c r="G14" s="481"/>
      <c r="H14" s="482" t="s">
        <v>2</v>
      </c>
      <c r="I14" s="482" t="s">
        <v>132</v>
      </c>
      <c r="J14" s="482" t="s">
        <v>133</v>
      </c>
      <c r="K14" s="482" t="s">
        <v>134</v>
      </c>
      <c r="L14" s="483"/>
      <c r="M14" s="484"/>
      <c r="N14" s="482" t="s">
        <v>2</v>
      </c>
      <c r="O14" s="482" t="s">
        <v>132</v>
      </c>
      <c r="P14" s="482" t="s">
        <v>133</v>
      </c>
      <c r="Q14" s="482" t="s">
        <v>134</v>
      </c>
      <c r="R14" s="480"/>
      <c r="S14" s="481"/>
      <c r="T14" s="482" t="s">
        <v>2</v>
      </c>
      <c r="U14" s="482" t="s">
        <v>132</v>
      </c>
      <c r="V14" s="482" t="s">
        <v>133</v>
      </c>
      <c r="W14" s="482" t="s">
        <v>134</v>
      </c>
      <c r="X14" s="480"/>
      <c r="Y14" s="481"/>
      <c r="Z14" s="482" t="s">
        <v>2</v>
      </c>
      <c r="AA14" s="482" t="s">
        <v>132</v>
      </c>
      <c r="AB14" s="482" t="s">
        <v>133</v>
      </c>
      <c r="AC14" s="482" t="s">
        <v>134</v>
      </c>
      <c r="AD14" s="480"/>
      <c r="AE14" s="481"/>
      <c r="AF14" s="482" t="s">
        <v>2</v>
      </c>
      <c r="AG14" s="482" t="s">
        <v>132</v>
      </c>
      <c r="AH14" s="482" t="s">
        <v>133</v>
      </c>
      <c r="AI14" s="482" t="s">
        <v>134</v>
      </c>
      <c r="AJ14" s="480"/>
      <c r="AK14" s="481"/>
      <c r="AL14" s="482" t="s">
        <v>2</v>
      </c>
      <c r="AM14" s="482" t="s">
        <v>132</v>
      </c>
      <c r="AN14" s="482" t="s">
        <v>133</v>
      </c>
      <c r="AO14" s="482" t="s">
        <v>134</v>
      </c>
      <c r="AP14" s="480"/>
      <c r="AQ14" s="481"/>
      <c r="AR14" s="482" t="s">
        <v>2</v>
      </c>
      <c r="AS14" s="482" t="s">
        <v>132</v>
      </c>
      <c r="AT14" s="482" t="s">
        <v>133</v>
      </c>
      <c r="AU14" s="482" t="s">
        <v>134</v>
      </c>
      <c r="AV14" s="480"/>
      <c r="AW14" s="481"/>
      <c r="AX14" s="482" t="s">
        <v>2</v>
      </c>
      <c r="AY14" s="482" t="s">
        <v>132</v>
      </c>
      <c r="AZ14" s="482" t="s">
        <v>133</v>
      </c>
      <c r="BA14" s="482" t="s">
        <v>134</v>
      </c>
      <c r="BB14" s="480"/>
      <c r="BC14" s="481"/>
      <c r="BD14" s="482" t="s">
        <v>2</v>
      </c>
      <c r="BE14" s="482" t="s">
        <v>132</v>
      </c>
      <c r="BF14" s="482" t="s">
        <v>133</v>
      </c>
      <c r="BG14" s="482" t="s">
        <v>134</v>
      </c>
      <c r="BH14" s="480"/>
      <c r="BI14" s="481"/>
      <c r="BJ14" s="482" t="s">
        <v>2</v>
      </c>
      <c r="BK14" s="482" t="s">
        <v>132</v>
      </c>
      <c r="BL14" s="482" t="s">
        <v>133</v>
      </c>
      <c r="BM14" s="482" t="s">
        <v>134</v>
      </c>
      <c r="BN14" s="480"/>
      <c r="BO14" s="481"/>
      <c r="BP14" s="482" t="s">
        <v>2</v>
      </c>
      <c r="BQ14" s="482" t="s">
        <v>132</v>
      </c>
      <c r="BR14" s="482" t="s">
        <v>133</v>
      </c>
      <c r="BS14" s="482" t="s">
        <v>134</v>
      </c>
      <c r="BT14" s="480"/>
      <c r="BU14" s="481"/>
      <c r="BV14" s="482" t="s">
        <v>2</v>
      </c>
      <c r="BW14" s="482" t="s">
        <v>132</v>
      </c>
      <c r="BX14" s="482" t="s">
        <v>133</v>
      </c>
      <c r="BY14" s="482" t="s">
        <v>134</v>
      </c>
      <c r="BZ14" s="480"/>
    </row>
    <row r="15" spans="1:78" s="463" customFormat="1" ht="15" customHeight="1" x14ac:dyDescent="0.25">
      <c r="A15" s="485" t="s">
        <v>128</v>
      </c>
      <c r="B15" s="595">
        <f>B11</f>
        <v>43101</v>
      </c>
      <c r="C15" s="596">
        <f>'2018'!Dd</f>
        <v>0.7</v>
      </c>
      <c r="D15" s="596">
        <f>'2018'!Df</f>
        <v>0.7</v>
      </c>
      <c r="E15" s="596">
        <f>'2018'!PousD</f>
        <v>0</v>
      </c>
      <c r="F15" s="470"/>
      <c r="G15" s="486" t="s">
        <v>131</v>
      </c>
      <c r="H15" s="595">
        <f>H11</f>
        <v>43101</v>
      </c>
      <c r="I15" s="596">
        <f>'2019'!Dd</f>
        <v>0.7</v>
      </c>
      <c r="J15" s="596">
        <f>'2019'!Df</f>
        <v>0.7</v>
      </c>
      <c r="K15" s="596">
        <f>'2019'!PousD</f>
        <v>0</v>
      </c>
      <c r="L15" s="470"/>
      <c r="M15" s="486" t="s">
        <v>131</v>
      </c>
      <c r="N15" s="595">
        <f>N11</f>
        <v>43101</v>
      </c>
      <c r="O15" s="596">
        <f>'2020'!Dd</f>
        <v>0.7</v>
      </c>
      <c r="P15" s="596">
        <f>'2020'!Df</f>
        <v>0.7</v>
      </c>
      <c r="Q15" s="596">
        <f>'2020'!PousD</f>
        <v>0</v>
      </c>
      <c r="R15" s="470"/>
      <c r="S15" s="487" t="s">
        <v>131</v>
      </c>
      <c r="T15" s="595">
        <f>T11</f>
        <v>43101</v>
      </c>
      <c r="U15" s="596">
        <f>'2021'!Dd</f>
        <v>0.7</v>
      </c>
      <c r="V15" s="596">
        <f>'2021'!Df</f>
        <v>0.7</v>
      </c>
      <c r="W15" s="596">
        <f>'2021'!PousD</f>
        <v>0</v>
      </c>
      <c r="X15" s="470"/>
      <c r="Y15" s="487" t="s">
        <v>131</v>
      </c>
      <c r="Z15" s="595">
        <f>Z11</f>
        <v>43101</v>
      </c>
      <c r="AA15" s="596">
        <f>'2022'!Dd</f>
        <v>0.7</v>
      </c>
      <c r="AB15" s="596">
        <f>'2022'!Df</f>
        <v>0.7</v>
      </c>
      <c r="AC15" s="596">
        <f>'2022'!PousD</f>
        <v>0</v>
      </c>
      <c r="AD15" s="470"/>
      <c r="AE15" s="487" t="s">
        <v>131</v>
      </c>
      <c r="AF15" s="595">
        <f>AF11</f>
        <v>43101</v>
      </c>
      <c r="AG15" s="596">
        <f>'2023'!Dd</f>
        <v>0.7</v>
      </c>
      <c r="AH15" s="596">
        <f>'2023'!Df</f>
        <v>0.7</v>
      </c>
      <c r="AI15" s="596">
        <f>'2023'!PousD</f>
        <v>0</v>
      </c>
      <c r="AJ15" s="470"/>
      <c r="AK15" s="487" t="s">
        <v>131</v>
      </c>
      <c r="AL15" s="595">
        <f>AL11</f>
        <v>43101</v>
      </c>
      <c r="AM15" s="596">
        <f>'2024'!Dd</f>
        <v>0.7</v>
      </c>
      <c r="AN15" s="596">
        <f>'2024'!Df</f>
        <v>0.7</v>
      </c>
      <c r="AO15" s="596">
        <f>'2024'!PousD</f>
        <v>0</v>
      </c>
      <c r="AP15" s="470"/>
      <c r="AQ15" s="487" t="s">
        <v>131</v>
      </c>
      <c r="AR15" s="595">
        <f>AR11</f>
        <v>45747</v>
      </c>
      <c r="AS15" s="596">
        <f>'2025'!Dd</f>
        <v>0.7</v>
      </c>
      <c r="AT15" s="596">
        <f>'2025'!Df</f>
        <v>0.7</v>
      </c>
      <c r="AU15" s="596">
        <f>'2025'!PousD</f>
        <v>0</v>
      </c>
      <c r="AV15" s="470"/>
      <c r="AW15" s="487" t="s">
        <v>131</v>
      </c>
      <c r="AX15" s="595">
        <f>AX11</f>
        <v>45747</v>
      </c>
      <c r="AY15" s="596">
        <f>'2026'!Dd</f>
        <v>0.7</v>
      </c>
      <c r="AZ15" s="596">
        <f>'2026'!Df</f>
        <v>0.7</v>
      </c>
      <c r="BA15" s="596">
        <f>'2026'!PousD</f>
        <v>0</v>
      </c>
      <c r="BB15" s="470"/>
      <c r="BC15" s="487" t="s">
        <v>131</v>
      </c>
      <c r="BD15" s="595">
        <f>BD11</f>
        <v>45747</v>
      </c>
      <c r="BE15" s="596">
        <f>'2027'!Dd</f>
        <v>0.7</v>
      </c>
      <c r="BF15" s="596">
        <f>'2027'!Df</f>
        <v>0.7</v>
      </c>
      <c r="BG15" s="596">
        <f>'2027'!PousD</f>
        <v>0</v>
      </c>
      <c r="BH15" s="470"/>
      <c r="BI15" s="487" t="s">
        <v>131</v>
      </c>
      <c r="BJ15" s="595" t="e">
        <f>BJ11</f>
        <v>#NAME?</v>
      </c>
      <c r="BK15" s="596">
        <f>'2018'!Dd</f>
        <v>0.7</v>
      </c>
      <c r="BL15" s="596">
        <f>'2018'!Df</f>
        <v>0.7</v>
      </c>
      <c r="BM15" s="596">
        <f>'2018'!PousD</f>
        <v>0</v>
      </c>
      <c r="BN15" s="470"/>
      <c r="BO15" s="487" t="s">
        <v>131</v>
      </c>
      <c r="BP15" s="595" t="e">
        <f>BP11</f>
        <v>#NAME?</v>
      </c>
      <c r="BQ15" s="596">
        <f>'2018'!Dd</f>
        <v>0.7</v>
      </c>
      <c r="BR15" s="596">
        <f>'2018'!Df</f>
        <v>0.7</v>
      </c>
      <c r="BS15" s="596">
        <f>'2018'!PousD</f>
        <v>0</v>
      </c>
      <c r="BT15" s="470"/>
      <c r="BU15" s="487" t="s">
        <v>131</v>
      </c>
      <c r="BV15" s="595" t="e">
        <f>BV11</f>
        <v>#NAME?</v>
      </c>
      <c r="BW15" s="596">
        <f>'2018'!Dd</f>
        <v>0.7</v>
      </c>
      <c r="BX15" s="596">
        <f>'2018'!Df</f>
        <v>0.7</v>
      </c>
      <c r="BY15" s="596">
        <f>'2018'!PousD</f>
        <v>0</v>
      </c>
      <c r="BZ15" s="470"/>
    </row>
    <row r="16" spans="1:78" s="463" customFormat="1" ht="15" customHeight="1" x14ac:dyDescent="0.25">
      <c r="A16" s="475" t="s">
        <v>129</v>
      </c>
      <c r="B16" s="597"/>
      <c r="C16" s="598">
        <f>'2018'!Hdd</f>
        <v>-1.9999621440122004</v>
      </c>
      <c r="D16" s="598">
        <f>'2018'!Hdf</f>
        <v>-1.499962221550142</v>
      </c>
      <c r="E16" s="598">
        <f>'2018'!PousH</f>
        <v>0.5</v>
      </c>
      <c r="F16" s="462"/>
      <c r="G16" s="476" t="s">
        <v>130</v>
      </c>
      <c r="H16" s="597"/>
      <c r="I16" s="598">
        <f>'2019'!Hdd</f>
        <v>-1.499962221550142</v>
      </c>
      <c r="J16" s="598">
        <f>'2019'!Hdf</f>
        <v>-0.99996229908808365</v>
      </c>
      <c r="K16" s="598">
        <f>'2019'!PousH</f>
        <v>0.5</v>
      </c>
      <c r="L16" s="462"/>
      <c r="M16" s="476" t="s">
        <v>130</v>
      </c>
      <c r="N16" s="597"/>
      <c r="O16" s="598">
        <f>'2020'!Hdd</f>
        <v>-0.99996229908808365</v>
      </c>
      <c r="P16" s="598">
        <f>'2020'!Hdf</f>
        <v>-0.49996237662602533</v>
      </c>
      <c r="Q16" s="598">
        <f>'2020'!PousH</f>
        <v>0.5</v>
      </c>
      <c r="R16" s="462"/>
      <c r="S16" s="477" t="s">
        <v>130</v>
      </c>
      <c r="T16" s="597"/>
      <c r="U16" s="598">
        <f>'2021'!Hdd</f>
        <v>-0.49996237662602533</v>
      </c>
      <c r="V16" s="598">
        <f>'2021'!Hdf</f>
        <v>3.7545836032992774E-5</v>
      </c>
      <c r="W16" s="598">
        <f>'2021'!PousH</f>
        <v>0.5</v>
      </c>
      <c r="X16" s="462"/>
      <c r="Y16" s="477" t="s">
        <v>130</v>
      </c>
      <c r="Z16" s="597"/>
      <c r="AA16" s="598">
        <f>'2022'!Hdd</f>
        <v>3.7545836032992774E-5</v>
      </c>
      <c r="AB16" s="598">
        <f>'2022'!Hdf</f>
        <v>0.50003746829809126</v>
      </c>
      <c r="AC16" s="598">
        <f>'2022'!PousH</f>
        <v>0.5</v>
      </c>
      <c r="AD16" s="462"/>
      <c r="AE16" s="477" t="s">
        <v>130</v>
      </c>
      <c r="AF16" s="597"/>
      <c r="AG16" s="598">
        <f>'2023'!Hdd</f>
        <v>0.50003746829809126</v>
      </c>
      <c r="AH16" s="598">
        <f>'2023'!Hdf</f>
        <v>1.0000373907601496</v>
      </c>
      <c r="AI16" s="598">
        <f>'2023'!PousH</f>
        <v>0.5</v>
      </c>
      <c r="AJ16" s="462"/>
      <c r="AK16" s="477" t="s">
        <v>130</v>
      </c>
      <c r="AL16" s="597"/>
      <c r="AM16" s="598">
        <f>'2024'!Hdd</f>
        <v>1.0000373907601496</v>
      </c>
      <c r="AN16" s="598">
        <f>'2024'!Hdf</f>
        <v>1.500037313222208</v>
      </c>
      <c r="AO16" s="598">
        <f>'2024'!PousH</f>
        <v>0.5</v>
      </c>
      <c r="AP16" s="462"/>
      <c r="AQ16" s="477" t="s">
        <v>130</v>
      </c>
      <c r="AR16" s="597"/>
      <c r="AS16" s="598">
        <f>'2025'!Hdd</f>
        <v>1.500037313222208</v>
      </c>
      <c r="AT16" s="598">
        <f>'2025'!Hdf</f>
        <v>-1.5249503306897125</v>
      </c>
      <c r="AU16" s="598">
        <f>'2025'!PousH</f>
        <v>0.5</v>
      </c>
      <c r="AV16" s="462"/>
      <c r="AW16" s="477" t="s">
        <v>130</v>
      </c>
      <c r="AX16" s="597"/>
      <c r="AY16" s="598">
        <f>'2026'!Hdd</f>
        <v>-1.5249503306897125</v>
      </c>
      <c r="AZ16" s="598">
        <f>'2026'!Hdf</f>
        <v>-1.0249504082276542</v>
      </c>
      <c r="BA16" s="598">
        <f>'2026'!PousH</f>
        <v>0.5</v>
      </c>
      <c r="BB16" s="462"/>
      <c r="BC16" s="477" t="s">
        <v>130</v>
      </c>
      <c r="BD16" s="597"/>
      <c r="BE16" s="598">
        <f>'2027'!Hdd</f>
        <v>-1.0249504082276542</v>
      </c>
      <c r="BF16" s="598">
        <f>'2027'!Hdf</f>
        <v>-0.52495048576559578</v>
      </c>
      <c r="BG16" s="598">
        <f>'2027'!PousH</f>
        <v>0.5</v>
      </c>
      <c r="BH16" s="462"/>
      <c r="BI16" s="477" t="s">
        <v>130</v>
      </c>
      <c r="BJ16" s="597"/>
      <c r="BK16" s="598">
        <f>'2018'!Hdd</f>
        <v>-1.9999621440122004</v>
      </c>
      <c r="BL16" s="598">
        <f>'2018'!Hdf</f>
        <v>-1.499962221550142</v>
      </c>
      <c r="BM16" s="598">
        <f>'2018'!PousH</f>
        <v>0.5</v>
      </c>
      <c r="BN16" s="462"/>
      <c r="BO16" s="477" t="s">
        <v>130</v>
      </c>
      <c r="BP16" s="597"/>
      <c r="BQ16" s="598">
        <f>'2018'!Hdd</f>
        <v>-1.9999621440122004</v>
      </c>
      <c r="BR16" s="598">
        <f>'2018'!Hdf</f>
        <v>-1.499962221550142</v>
      </c>
      <c r="BS16" s="598">
        <f>'2018'!PousH</f>
        <v>0.5</v>
      </c>
      <c r="BT16" s="462"/>
      <c r="BU16" s="477" t="s">
        <v>130</v>
      </c>
      <c r="BV16" s="597"/>
      <c r="BW16" s="598">
        <f>'2018'!Hdd</f>
        <v>-1.9999621440122004</v>
      </c>
      <c r="BX16" s="598">
        <f>'2018'!Hdf</f>
        <v>-1.499962221550142</v>
      </c>
      <c r="BY16" s="598">
        <f>'2018'!PousH</f>
        <v>0.5</v>
      </c>
      <c r="BZ16" s="462"/>
    </row>
    <row r="18" spans="1:78" x14ac:dyDescent="0.25">
      <c r="A18" s="87" t="s">
        <v>26</v>
      </c>
    </row>
    <row r="19" spans="1:78" s="6" customFormat="1" ht="33.75" x14ac:dyDescent="0.2">
      <c r="A19" s="86" t="s">
        <v>2</v>
      </c>
      <c r="B19" s="430" t="s">
        <v>65</v>
      </c>
      <c r="C19" s="431" t="s">
        <v>66</v>
      </c>
      <c r="D19" s="431" t="s">
        <v>67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30" t="s">
        <v>65</v>
      </c>
      <c r="AG19" s="431" t="s">
        <v>66</v>
      </c>
      <c r="AH19" s="431" t="s">
        <v>67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2.2285650270742682E-7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3.6507875582788007E-2</v>
      </c>
      <c r="AG20" s="48">
        <f>'2023'!O29</f>
        <v>0.1025889779929106</v>
      </c>
      <c r="AH20" s="66">
        <f>'2023'!P29</f>
        <v>3.7855405967432108E-3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1.1212375111744845E-6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3.7161852159333209E-2</v>
      </c>
      <c r="AG21" s="48">
        <f>'2023'!O60</f>
        <v>0.10419276399486671</v>
      </c>
      <c r="AH21" s="66">
        <f>'2023'!P60</f>
        <v>1.31958125741745E-3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2.3388405743170719E-6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3.7752159138051744E-2</v>
      </c>
      <c r="AG22" s="48">
        <f>'2023'!O88</f>
        <v>0.10565053122487512</v>
      </c>
      <c r="AH22" s="66">
        <f>'2023'!P88</f>
        <v>9.6521244632986425E-4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4.6076860857243142E-6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3.8405291149001486E-2</v>
      </c>
      <c r="AG23" s="48">
        <f>'2023'!O119</f>
        <v>0.10763438608105931</v>
      </c>
      <c r="AH23" s="66">
        <f>'2023'!P119</f>
        <v>5.4896776708368393E-4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1.3334412091411951E-4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3.9036932284900461E-2</v>
      </c>
      <c r="AG24" s="48">
        <f>'2023'!O149</f>
        <v>0.11071803022550035</v>
      </c>
      <c r="AH24" s="66">
        <f>'2023'!P149</f>
        <v>2.6387103019984907E-3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5.0363767677874538E-4</v>
      </c>
      <c r="C25" s="48">
        <f>'2018'!O180</f>
        <v>3.029021527571001E-3</v>
      </c>
      <c r="D25" s="66">
        <f>'2018'!P180</f>
        <v>7.5279979033279645E-4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3.9689192247679861E-2</v>
      </c>
      <c r="AG25" s="48">
        <f>'2023'!O180</f>
        <v>0.11446906943218187</v>
      </c>
      <c r="AH25" s="66">
        <f>'2023'!P180</f>
        <v>6.5934299439332489E-3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1.160175209497849E-3</v>
      </c>
      <c r="C26" s="48">
        <f>'2018'!O210</f>
        <v>6.942523639729024E-3</v>
      </c>
      <c r="D26" s="66">
        <f>'2018'!P210</f>
        <v>9.3895097220161275E-4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4.0319990029574426E-2</v>
      </c>
      <c r="AG26" s="48">
        <f>'2023'!O210</f>
        <v>0.11683609426853592</v>
      </c>
      <c r="AH26" s="66">
        <f>'2023'!P210</f>
        <v>6.0301997117181557E-3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1.8381442686933314E-3</v>
      </c>
      <c r="C27" s="48">
        <f>'2018'!O241</f>
        <v>1.0850064825193696E-2</v>
      </c>
      <c r="D27" s="66">
        <f>'2018'!P241</f>
        <v>2.7477216251156107E-4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4.0971379108523998E-2</v>
      </c>
      <c r="AG27" s="48">
        <f>'2023'!O241</f>
        <v>0.11826080670652843</v>
      </c>
      <c r="AH27" s="66">
        <f>'2023'!P241</f>
        <v>2.0969430906018619E-3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2.5156531519590075E-3</v>
      </c>
      <c r="C28" s="48">
        <f>'2018'!O272</f>
        <v>1.4600149437219536E-2</v>
      </c>
      <c r="D28" s="66">
        <f>'2018'!P272</f>
        <v>7.6219668255685701E-5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4.1622326052878855E-2</v>
      </c>
      <c r="AG28" s="48">
        <f>'2023'!O272</f>
        <v>0.11925123651630637</v>
      </c>
      <c r="AH28" s="66">
        <f>'2023'!P272</f>
        <v>1.5206624107728789E-3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3.1708690553798879E-3</v>
      </c>
      <c r="C29" s="48">
        <f>'2018'!O302</f>
        <v>1.7963965739457619E-2</v>
      </c>
      <c r="D29" s="66">
        <f>'2018'!P302</f>
        <v>2.3449403949038963E-4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4.2251854020348145E-2</v>
      </c>
      <c r="AG29" s="48">
        <f>'2023'!O302</f>
        <v>0.11922827995662261</v>
      </c>
      <c r="AH29" s="66">
        <f>'2023'!P302</f>
        <v>2.6742692956382586E-3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3.8474733429861852E-3</v>
      </c>
      <c r="C30" s="48">
        <f>'2018'!O333</f>
        <v>2.1065516016004707E-2</v>
      </c>
      <c r="D30" s="66">
        <f>'2018'!P333</f>
        <v>2.160296974959141E-4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4.2901931833987939E-2</v>
      </c>
      <c r="AG30" s="48">
        <f>'2023'!O333</f>
        <v>0.11805500610939722</v>
      </c>
      <c r="AH30" s="66">
        <f>'2023'!P333</f>
        <v>4.1070480814413045E-3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4.5018144158672779E-3</v>
      </c>
      <c r="C31" s="49">
        <f>'2018'!O363</f>
        <v>2.4056074733571318E-2</v>
      </c>
      <c r="D31" s="67">
        <f>'2018'!P363</f>
        <v>2.4335632550911724E-4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4.3530619268910997E-2</v>
      </c>
      <c r="AG31" s="49">
        <f>'2023'!O363</f>
        <v>0.11790173674000184</v>
      </c>
      <c r="AH31" s="67">
        <f>'2023'!P363</f>
        <v>7.0679862833915447E-3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5.1775153156115028E-3</v>
      </c>
      <c r="C32" s="48">
        <f>'2019'!O29</f>
        <v>2.7250840925785825E-2</v>
      </c>
      <c r="D32" s="66">
        <f>'2019'!P29</f>
        <v>2.0571727281749197E-4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4.4179829112280578E-2</v>
      </c>
      <c r="AG32" s="48">
        <f>'2024'!O29</f>
        <v>0.11887043985239883</v>
      </c>
      <c r="AH32" s="66">
        <f>'2024'!P29</f>
        <v>5.7979860851751289E-3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5.8527575789538711E-3</v>
      </c>
      <c r="C33" s="48">
        <f>'2019'!O60</f>
        <v>3.0398844319841366E-2</v>
      </c>
      <c r="D33" s="66">
        <f>'2019'!P60</f>
        <v>1.5250660876783224E-4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4.4828598300226008E-2</v>
      </c>
      <c r="AG33" s="48">
        <f>'2024'!O60</f>
        <v>0.12001983355470064</v>
      </c>
      <c r="AH33" s="66">
        <f>'2024'!P60</f>
        <v>1.7841927150572888E-3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6.4622598679845433E-3</v>
      </c>
      <c r="C34" s="48">
        <f>'2019'!O88</f>
        <v>3.3181609218047206E-2</v>
      </c>
      <c r="D34" s="66">
        <f>'2019'!P88</f>
        <v>9.2650499862275394E-5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4.5414204869263841E-2</v>
      </c>
      <c r="AG34" s="48">
        <f>'2024'!O88</f>
        <v>0.12108505640098423</v>
      </c>
      <c r="AH34" s="66">
        <f>'2024'!P88</f>
        <v>1.3564450464588758E-3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7.1366301025652668E-3</v>
      </c>
      <c r="C35" s="48">
        <f>'2019'!O119</f>
        <v>3.6322292378121394E-2</v>
      </c>
      <c r="D35" s="66">
        <f>'2019'!P119</f>
        <v>5.593305030619242E-5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4.6062136216596716E-2</v>
      </c>
      <c r="AG35" s="48">
        <f>'2024'!O119</f>
        <v>0.1227030384175357</v>
      </c>
      <c r="AH35" s="66">
        <f>'2024'!P119</f>
        <v>7.8083555738631529E-4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7.788810632451848E-3</v>
      </c>
      <c r="C36" s="48">
        <f>'2019'!O149</f>
        <v>3.9734038047963216E-2</v>
      </c>
      <c r="D36" s="66">
        <f>'2019'!P149</f>
        <v>6.5679985910055438E-4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4.6688747813261156E-2</v>
      </c>
      <c r="AG36" s="48">
        <f>'2024'!O149</f>
        <v>1.0130902054410846E-2</v>
      </c>
      <c r="AH36" s="66">
        <f>'2024'!P149</f>
        <v>3.1496500920379597E-3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8.4622804620312353E-3</v>
      </c>
      <c r="C37" s="48">
        <f>'2019'!O180</f>
        <v>4.3479593943918468E-2</v>
      </c>
      <c r="D37" s="66">
        <f>'2019'!P180</f>
        <v>2.119668735781146E-3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4.7335814056240766E-2</v>
      </c>
      <c r="AG37" s="48">
        <f>'2024'!O180</f>
        <v>1.4697626857907715E-2</v>
      </c>
      <c r="AH37" s="66">
        <f>'2024'!P180</f>
        <v>7.5755699126974904E-3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9.1135902141450398E-3</v>
      </c>
      <c r="C38" s="48">
        <f>'2019'!O210</f>
        <v>4.662584345995615E-2</v>
      </c>
      <c r="D38" s="66">
        <f>'2019'!P210</f>
        <v>2.1007304199618633E-3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4.7961589014236083E-2</v>
      </c>
      <c r="AG38" s="48">
        <f>'2024'!O210</f>
        <v>1.8957082227651391E-2</v>
      </c>
      <c r="AH38" s="66">
        <f>'2024'!P210</f>
        <v>6.9712019701509073E-3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9.7861608409249845E-3</v>
      </c>
      <c r="C39" s="48">
        <f>'2019'!O241</f>
        <v>5.0813506860989871E-2</v>
      </c>
      <c r="D39" s="66">
        <f>'2019'!P241</f>
        <v>5.6771426879557009E-4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4.860779130793158E-2</v>
      </c>
      <c r="AG39" s="48">
        <f>'2024'!O241</f>
        <v>2.3115036118121803E-2</v>
      </c>
      <c r="AH39" s="66">
        <f>'2024'!P241</f>
        <v>2.7232212312243943E-3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1.0458274955996383E-2</v>
      </c>
      <c r="C40" s="48">
        <f>'2019'!O272</f>
        <v>5.5806648761982977E-2</v>
      </c>
      <c r="D40" s="66">
        <f>'2019'!P272</f>
        <v>1.5383089285204483E-4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4.925355498759687E-2</v>
      </c>
      <c r="AG40" s="48">
        <f>'2024'!O272</f>
        <v>2.7067296755570028E-2</v>
      </c>
      <c r="AH40" s="66">
        <f>'2024'!P272</f>
        <v>2.3846898865737898E-3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1.1108273602487562E-2</v>
      </c>
      <c r="C41" s="48">
        <f>'2019'!O302</f>
        <v>5.9373376382175505E-2</v>
      </c>
      <c r="D41" s="66">
        <f>'2019'!P302</f>
        <v>4.7018078701684758E-4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4.9878070242258654E-2</v>
      </c>
      <c r="AG41" s="48">
        <f>'2024'!O302</f>
        <v>3.0520217857738337E-2</v>
      </c>
      <c r="AH41" s="66">
        <f>'2024'!P302</f>
        <v>3.7228640253134898E-3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1.1779490324881015E-2</v>
      </c>
      <c r="C42" s="48">
        <f>'2019'!O333</f>
        <v>6.1738155916310433E-2</v>
      </c>
      <c r="D42" s="66">
        <f>'2019'!P333</f>
        <v>4.3231520237533796E-4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5.0522971711795095E-2</v>
      </c>
      <c r="AG42" s="48">
        <f>'2024'!O333</f>
        <v>3.3587312276844035E-2</v>
      </c>
      <c r="AH42" s="66">
        <f>'2024'!P333</f>
        <v>7.2333109545780708E-3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1.2428621106804427E-2</v>
      </c>
      <c r="C43" s="49">
        <f>'2019'!O363</f>
        <v>6.3939537991923326E-2</v>
      </c>
      <c r="D43" s="67">
        <f>'2019'!P363</f>
        <v>4.86739520428315E-4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5.1146653126779795E-2</v>
      </c>
      <c r="AG43" s="49">
        <f>'2024'!O363</f>
        <v>3.6643640725686863E-2</v>
      </c>
      <c r="AH43" s="67">
        <f>'2024'!P363</f>
        <v>9.7004788805254271E-3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1.3098941634700045E-2</v>
      </c>
      <c r="C44" s="48">
        <f>'2020'!O29</f>
        <v>6.595949078233887E-2</v>
      </c>
      <c r="D44" s="66">
        <f>'2020'!P29</f>
        <v>4.1176245697986815E-4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5.1811461754718846E-2</v>
      </c>
      <c r="AG44" s="48">
        <f>'2025'!O29</f>
        <v>4.0132831338797872E-2</v>
      </c>
      <c r="AH44" s="66">
        <f>'2025'!P29</f>
        <v>8.5761219596305893E-3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1.3768807178156206E-2</v>
      </c>
      <c r="C45" s="48">
        <f>'2020'!O60</f>
        <v>6.7468828960920477E-2</v>
      </c>
      <c r="D45" s="66">
        <f>'2020'!P60</f>
        <v>3.0482199509729269E-4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5.2455050922130098E-2</v>
      </c>
      <c r="AG45" s="48">
        <f>'2025'!O60</f>
        <v>4.3479679011175817E-2</v>
      </c>
      <c r="AH45" s="66">
        <f>'2025'!P60</f>
        <v>2.5964343930384346E-3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1.4373456211909441E-2</v>
      </c>
      <c r="C46" s="48">
        <f>'2020'!O88</f>
        <v>6.8826935134359224E-2</v>
      </c>
      <c r="D46" s="66">
        <f>'2020'!P88</f>
        <v>1.8568093481625256E-4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5.3035981785063413E-2</v>
      </c>
      <c r="AG46" s="48">
        <f>'2025'!O88</f>
        <v>4.6443257562658248E-2</v>
      </c>
      <c r="AH46" s="66">
        <f>'2025'!P88</f>
        <v>1.9953858416323403E-3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1.5042456670266602E-2</v>
      </c>
      <c r="C47" s="48">
        <f>'2020'!O119</f>
        <v>7.0561616421103437E-2</v>
      </c>
      <c r="D47" s="66">
        <f>'2020'!P119</f>
        <v>1.1213159528381337E-4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5.3678739801500952E-2</v>
      </c>
      <c r="AG47" s="48">
        <f>'2025'!O119</f>
        <v>4.9830610945330131E-2</v>
      </c>
      <c r="AH47" s="66">
        <f>'2025'!P119</f>
        <v>2.0426380824087133E-6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1.5689444112849782E-2</v>
      </c>
      <c r="C48" s="48">
        <f>'2020'!O149</f>
        <v>7.2999703723786474E-2</v>
      </c>
      <c r="D48" s="66">
        <f>'2020'!P149</f>
        <v>1.1706581602854065E-3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5.430034829228747E-2</v>
      </c>
      <c r="AG48" s="48">
        <f>'2025'!O149</f>
        <v>5.3627145903718865E-2</v>
      </c>
      <c r="AH48" s="66">
        <f>'2025'!P149</f>
        <v>1.0718377862620764E-4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1.6357551335818177E-2</v>
      </c>
      <c r="C49" s="48">
        <f>'2020'!O180</f>
        <v>7.5894390364212694E-2</v>
      </c>
      <c r="D49" s="66">
        <f>'2020'!P180</f>
        <v>3.3719578043903734E-3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5.4942248111694791E-2</v>
      </c>
      <c r="AG49" s="48">
        <f>'2025'!O180</f>
        <v>5.7841149039259361E-2</v>
      </c>
      <c r="AH49" s="66">
        <f>'2025'!P180</f>
        <v>6.8448883896271042E-4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1.7003674934329971E-2</v>
      </c>
      <c r="C50" s="48">
        <f>'2020'!O210</f>
        <v>7.7858527764618032E-2</v>
      </c>
      <c r="D50" s="66">
        <f>'2020'!P210</f>
        <v>3.1429668139513513E-3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5.5563026643854263E-2</v>
      </c>
      <c r="AG50" s="48">
        <f>'2025'!O210</f>
        <v>6.1282272864551506E-2</v>
      </c>
      <c r="AH50" s="66">
        <f>'2025'!P210</f>
        <v>8.8088961992421042E-4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1.7670890114538929E-2</v>
      </c>
      <c r="C51" s="48">
        <f>'2020'!O241</f>
        <v>7.9199845664670893E-2</v>
      </c>
      <c r="D51" s="66">
        <f>'2020'!P241</f>
        <v>8.9414913761669962E-4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5.6204069412077895E-2</v>
      </c>
      <c r="AG51" s="48">
        <f>'2025'!O241</f>
        <v>6.425830876136171E-2</v>
      </c>
      <c r="AH51" s="66">
        <f>'2025'!P241</f>
        <v>2.6013202159442703E-4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1.8337652418083605E-2</v>
      </c>
      <c r="C52" s="48">
        <f>'2020'!O272</f>
        <v>8.0238265321244576E-2</v>
      </c>
      <c r="D52" s="66">
        <f>'2020'!P272</f>
        <v>3.5537409604817299E-4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5.6844677068333072E-2</v>
      </c>
      <c r="AG52" s="48">
        <f>'2025'!O272</f>
        <v>6.6929803974215857E-2</v>
      </c>
      <c r="AH52" s="66">
        <f>'2025'!P272</f>
        <v>7.2340952152851262E-5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1.8982475350851957E-2</v>
      </c>
      <c r="C53" s="48">
        <f>'2020'!O302</f>
        <v>8.0567948217237159E-2</v>
      </c>
      <c r="D53" s="66">
        <f>'2020'!P302</f>
        <v>8.7346825761878012E-4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5.7464205955110703E-2</v>
      </c>
      <c r="AG53" s="48">
        <f>'2025'!O302</f>
        <v>6.8879673690792134E-2</v>
      </c>
      <c r="AH53" s="66">
        <f>'2025'!P302</f>
        <v>2.2271530532390883E-4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1.9648347407345335E-2</v>
      </c>
      <c r="C54" s="48">
        <f>'2020'!O333</f>
        <v>8.0111191008973084E-2</v>
      </c>
      <c r="D54" s="66">
        <f>'2020'!P333</f>
        <v>8.2594870259613683E-4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5.8103958285451229E-2</v>
      </c>
      <c r="AG54" s="48">
        <f>'2025'!O333</f>
        <v>7.0113132977085518E-2</v>
      </c>
      <c r="AH54" s="66">
        <f>'2025'!P333</f>
        <v>2.0522056421720992E-4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2.0292309386050533E-2</v>
      </c>
      <c r="C55" s="49">
        <f>'2020'!O363</f>
        <v>8.0316563977485059E-2</v>
      </c>
      <c r="D55" s="67">
        <f>'2020'!P363</f>
        <v>1.7448899957139819E-3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5.8722659990245618E-2</v>
      </c>
      <c r="AG55" s="49">
        <f>'2025'!O363</f>
        <v>7.1781555717726389E-2</v>
      </c>
      <c r="AH55" s="67">
        <f>'2025'!P363</f>
        <v>2.3119295194811489E-4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2.0978735932075443E-2</v>
      </c>
      <c r="C56" s="48">
        <f>'2021'!O29</f>
        <v>8.1319067801709499E-2</v>
      </c>
      <c r="D56" s="66">
        <f>'2021'!P29</f>
        <v>1.0921012914794927E-3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5.9361558136684978E-2</v>
      </c>
      <c r="AG56" s="48">
        <f>'2026'!O29</f>
        <v>7.4118655236938655E-2</v>
      </c>
      <c r="AH56" s="66">
        <f>'2026'!P29</f>
        <v>1.9544743741999572E-4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2.164325301365233E-2</v>
      </c>
      <c r="C57" s="48">
        <f>'2021'!O60</f>
        <v>8.2399742167189954E-2</v>
      </c>
      <c r="D57" s="66">
        <f>'2021'!P60</f>
        <v>5.8050913467064377E-4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6.0000022626831906E-2</v>
      </c>
      <c r="AG57" s="48">
        <f>'2026'!O60</f>
        <v>7.6517007202358753E-2</v>
      </c>
      <c r="AH57" s="66">
        <f>'2026'!P60</f>
        <v>1.4494093923638778E-4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2.2243074299002963E-2</v>
      </c>
      <c r="C58" s="48">
        <f>'2021'!O88</f>
        <v>8.3387530506310342E-2</v>
      </c>
      <c r="D58" s="66">
        <f>'2021'!P88</f>
        <v>3.8067023850612099E-4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6.0576327738841695E-2</v>
      </c>
      <c r="AG58" s="48">
        <f>'2026'!O88</f>
        <v>7.8661191008294967E-2</v>
      </c>
      <c r="AH58" s="66">
        <f>'2026'!P88</f>
        <v>8.8137063964623867E-5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2.2906733202649909E-2</v>
      </c>
      <c r="C59" s="48">
        <f>'2021'!O119</f>
        <v>8.4777055313364144E-2</v>
      </c>
      <c r="D59" s="66">
        <f>'2021'!P119</f>
        <v>2.1769413480412096E-4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6.1213967696181704E-2</v>
      </c>
      <c r="AG59" s="48">
        <f>'2026'!O119</f>
        <v>8.1284823663419062E-2</v>
      </c>
      <c r="AH59" s="66">
        <f>'2026'!P119</f>
        <v>5.3368002302876817E-5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2.3548554850833292E-2</v>
      </c>
      <c r="C60" s="48">
        <f>'2021'!O149</f>
        <v>1.0740020404700316E-2</v>
      </c>
      <c r="D60" s="66">
        <f>'2021'!P149</f>
        <v>1.6564493442798364E-3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6.1830626534206123E-2</v>
      </c>
      <c r="AG60" s="48">
        <f>'2026'!O149</f>
        <v>1.0270646103286502E-2</v>
      </c>
      <c r="AH60" s="66">
        <f>'2026'!P149</f>
        <v>6.3063951681264238E-4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2.4211327651023518E-2</v>
      </c>
      <c r="C61" s="48">
        <f>'2021'!O180</f>
        <v>1.4139586027845716E-2</v>
      </c>
      <c r="D61" s="66">
        <f>'2021'!P180</f>
        <v>4.5308109687396169E-3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6.2467415128040993E-2</v>
      </c>
      <c r="AG61" s="48">
        <f>'2026'!O180</f>
        <v>1.4836237688150128E-2</v>
      </c>
      <c r="AH61" s="66">
        <f>'2026'!P180</f>
        <v>2.0513577844110597E-3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2.4852292352395833E-2</v>
      </c>
      <c r="C62" s="48">
        <f>'2021'!O210</f>
        <v>1.7275067394964184E-2</v>
      </c>
      <c r="D62" s="66">
        <f>'2021'!P210</f>
        <v>4.156847477721326E-3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6.3083250616111086E-2</v>
      </c>
      <c r="AG62" s="48">
        <f>'2026'!O210</f>
        <v>1.9093063935164467E-2</v>
      </c>
      <c r="AH62" s="66">
        <f>'2026'!P210</f>
        <v>2.0426690676844622E-3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2.5514180232236061E-2</v>
      </c>
      <c r="C63" s="48">
        <f>'2021'!O241</f>
        <v>2.0308159882481452E-2</v>
      </c>
      <c r="D63" s="66">
        <f>'2021'!P241</f>
        <v>1.2227959224786944E-3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6.3719188983163644E-2</v>
      </c>
      <c r="AG63" s="48">
        <f>'2026'!O241</f>
        <v>2.3247220578073803E-2</v>
      </c>
      <c r="AH63" s="66">
        <f>'2026'!P241</f>
        <v>5.5307412787843611E-4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2.6175618851351889E-2</v>
      </c>
      <c r="C64" s="48">
        <f>'2021'!O272</f>
        <v>2.3179842429927284E-2</v>
      </c>
      <c r="D64" s="66">
        <f>'2021'!P272</f>
        <v>5.5917025962403722E-4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6.4354695702893316E-2</v>
      </c>
      <c r="AG64" s="48">
        <f>'2026'!O272</f>
        <v>2.7195366392487836E-2</v>
      </c>
      <c r="AH64" s="66">
        <f>'2026'!P272</f>
        <v>1.4995217674921047E-4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2.6815293271991947E-2</v>
      </c>
      <c r="C65" s="48">
        <f>'2021'!O302</f>
        <v>2.5660964047927184E-2</v>
      </c>
      <c r="D65" s="66">
        <f>'2021'!P302</f>
        <v>1.2775954311783624E-3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6.4969291496074111E-2</v>
      </c>
      <c r="AG65" s="48">
        <f>'2026'!O302</f>
        <v>3.0643458514778718E-2</v>
      </c>
      <c r="AH65" s="66">
        <f>'2026'!P302</f>
        <v>4.5840205285036667E-4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2.7475848752128385E-2</v>
      </c>
      <c r="C66" s="48">
        <f>'2021'!O333</f>
        <v>2.7828836752240294E-2</v>
      </c>
      <c r="D66" s="66">
        <f>'2021'!P333</f>
        <v>1.2197788029712289E-3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6.5603949700552833E-2</v>
      </c>
      <c r="AG66" s="48">
        <f>'2026'!O333</f>
        <v>3.3704661859737715E-2</v>
      </c>
      <c r="AH66" s="66">
        <f>'2026'!P333</f>
        <v>4.2150606909663367E-4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2.8114669092890732E-2</v>
      </c>
      <c r="C67" s="49">
        <f>'2021'!O363</f>
        <v>3.0020831144173876E-2</v>
      </c>
      <c r="D67" s="67">
        <f>'2021'!P363</f>
        <v>3.003075986840215E-3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6.6217724898313568E-2</v>
      </c>
      <c r="AG67" s="49">
        <f>'2026'!O363</f>
        <v>3.6756531266926434E-2</v>
      </c>
      <c r="AH67" s="67">
        <f>'2026'!P363</f>
        <v>4.7457614686731268E-4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2.8774342613196335E-2</v>
      </c>
      <c r="C68" s="48">
        <f>'2022'!O29</f>
        <v>3.451322687956327E-2</v>
      </c>
      <c r="D68" s="66">
        <f>'2022'!P29</f>
        <v>1.7739837810806232E-3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6.6851535720461097E-2</v>
      </c>
      <c r="AG68" s="48">
        <f>'2027'!O29</f>
        <v>4.0132831338797872E-2</v>
      </c>
      <c r="AH68" s="66">
        <f>'2027'!P29</f>
        <v>4.0094185373478017E-4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2.9433568375788699E-2</v>
      </c>
      <c r="C69" s="48">
        <f>'2022'!O60</f>
        <v>4.1367082839920195E-2</v>
      </c>
      <c r="D69" s="66">
        <f>'2022'!P60</f>
        <v>8.5759012679872721E-4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6.7484916339370704E-2</v>
      </c>
      <c r="AG69" s="48">
        <f>'2027'!O60</f>
        <v>4.3479679011175817E-2</v>
      </c>
      <c r="AH69" s="66">
        <f>'2027'!P60</f>
        <v>2.9632631049304579E-4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3.0028613492335654E-2</v>
      </c>
      <c r="C70" s="48">
        <f>'2022'!O88</f>
        <v>4.7414532245658912E-2</v>
      </c>
      <c r="D70" s="66">
        <f>'2022'!P88</f>
        <v>5.8058492634993619E-4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6.8056632533706862E-2</v>
      </c>
      <c r="AG70" s="48">
        <f>'2027'!O88</f>
        <v>4.6443257562658248E-2</v>
      </c>
      <c r="AH70" s="66">
        <f>'2027'!P88</f>
        <v>1.7844872325258212E-4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3.0686987910371166E-2</v>
      </c>
      <c r="C71" s="48">
        <f>'2022'!O119</f>
        <v>5.4145074004941354E-2</v>
      </c>
      <c r="D71" s="66">
        <f>'2022'!P119</f>
        <v>3.3316193969947254E-4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6.8689195185278273E-2</v>
      </c>
      <c r="AG71" s="48">
        <f>'2027'!O119</f>
        <v>4.9830610945330131E-2</v>
      </c>
      <c r="AH71" s="66">
        <f>'2027'!P119</f>
        <v>1.0685597794852506E-4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3.1323698955432522E-2</v>
      </c>
      <c r="C72" s="48">
        <f>'2022'!O149</f>
        <v>6.119671880425908E-2</v>
      </c>
      <c r="D72" s="66">
        <f>'2022'!P149</f>
        <v>2.144409014836013E-3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6.9300943782908409E-2</v>
      </c>
      <c r="AG72" s="48">
        <f>'2027'!O149</f>
        <v>5.3627145903718865E-2</v>
      </c>
      <c r="AH72" s="66">
        <f>'2027'!P149</f>
        <v>1.1463801502710853E-3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3.1981194325745754E-2</v>
      </c>
      <c r="C73" s="48">
        <f>'2022'!O180</f>
        <v>6.8835997496329321E-2</v>
      </c>
      <c r="D73" s="66">
        <f>'2022'!P180</f>
        <v>5.5990619621774443E-3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6.9932661850087063E-2</v>
      </c>
      <c r="AG73" s="48">
        <f>'2027'!O180</f>
        <v>5.7841149039259361E-2</v>
      </c>
      <c r="AH73" s="66">
        <f>'2027'!P180</f>
        <v>3.3140426967141457E-3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3.2617055247566196E-2</v>
      </c>
      <c r="C74" s="48">
        <f>'2022'!O210</f>
        <v>7.5472250993353807E-2</v>
      </c>
      <c r="D74" s="66">
        <f>'2022'!P210</f>
        <v>5.1017092818779032E-3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7.0543593653812908E-2</v>
      </c>
      <c r="AG74" s="48">
        <f>'2027'!O210</f>
        <v>6.1282272864551506E-2</v>
      </c>
      <c r="AH74" s="66">
        <f>'2027'!P210</f>
        <v>3.0922968847320979E-3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3.3273672743843075E-2</v>
      </c>
      <c r="C75" s="48">
        <f>'2022'!O241</f>
        <v>8.156752955115612E-2</v>
      </c>
      <c r="D75" s="66">
        <f>'2022'!P241</f>
        <v>1.6564035949165278E-3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7.1174468264269986E-2</v>
      </c>
      <c r="AG75" s="48">
        <f>'2027'!O241</f>
        <v>6.425830876136171E-2</v>
      </c>
      <c r="AH75" s="66">
        <f>'2027'!P241</f>
        <v>8.7772461161265112E-4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3.3929844556703004E-2</v>
      </c>
      <c r="C76" s="48">
        <f>'2022'!O272</f>
        <v>8.720406248846603E-2</v>
      </c>
      <c r="D76" s="66">
        <f>'2022'!P272</f>
        <v>1.0374216294367527E-3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7.1804914664462149E-2</v>
      </c>
      <c r="AG76" s="48">
        <f>'2027'!O272</f>
        <v>6.6929803974215857E-2</v>
      </c>
      <c r="AH76" s="66">
        <f>'2027'!P272</f>
        <v>3.4518913291341186E-4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3.4564425471849125E-2</v>
      </c>
      <c r="C77" s="48">
        <f>'2022'!O302</f>
        <v>9.1744611455893993E-2</v>
      </c>
      <c r="D77" s="66">
        <f>'2022'!P302</f>
        <v>1.9751971432909934E-3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7.241461664455906E-2</v>
      </c>
      <c r="AG77" s="48">
        <f>'2027'!O302</f>
        <v>6.8879673690792134E-2</v>
      </c>
      <c r="AH77" s="66">
        <f>'2027'!P302</f>
        <v>8.5327150664840515E-4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3.5219721177858876E-2</v>
      </c>
      <c r="C78" s="48">
        <f>'2022'!O333</f>
        <v>9.5279597376492844E-2</v>
      </c>
      <c r="D78" s="66">
        <f>'2022'!P333</f>
        <v>2.6628317181016082E-3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7.3044221285932798E-2</v>
      </c>
      <c r="AG78" s="48">
        <f>'2027'!O333</f>
        <v>7.0113132977085518E-2</v>
      </c>
      <c r="AH78" s="66">
        <f>'2027'!P333</f>
        <v>8.0626656048266986E-4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3.5853454813868924E-2</v>
      </c>
      <c r="C79" s="49">
        <f>'2022'!O363</f>
        <v>9.924117915684294E-2</v>
      </c>
      <c r="D79" s="67">
        <f>'2022'!P363</f>
        <v>5.0355174659549549E-3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7.365310920472623E-2</v>
      </c>
      <c r="AG79" s="49">
        <f>'2027'!O363</f>
        <v>7.1781555717726389E-2</v>
      </c>
      <c r="AH79" s="67">
        <f>'2027'!P363</f>
        <v>1.6820106082346233E-3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  <mergeCell ref="AN6:AO6"/>
    <mergeCell ref="AT6:AU6"/>
    <mergeCell ref="AZ11:BA11"/>
    <mergeCell ref="AO7:AP7"/>
    <mergeCell ref="BA7:BB7"/>
    <mergeCell ref="AT11:AU11"/>
    <mergeCell ref="AN11:AO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H11:AI11"/>
    <mergeCell ref="E7:F7"/>
    <mergeCell ref="AI7:AJ7"/>
    <mergeCell ref="V11:W11"/>
    <mergeCell ref="P11:Q11"/>
    <mergeCell ref="J11:K11"/>
    <mergeCell ref="D11:E11"/>
    <mergeCell ref="B2:F2"/>
    <mergeCell ref="A3:F3"/>
    <mergeCell ref="G3:L3"/>
    <mergeCell ref="Q7:R7"/>
    <mergeCell ref="AB11:AC11"/>
    <mergeCell ref="Z1:AA1"/>
    <mergeCell ref="W7:X7"/>
    <mergeCell ref="K7:L7"/>
    <mergeCell ref="M3:R3"/>
    <mergeCell ref="H1:K1"/>
  </mergeCells>
  <conditionalFormatting sqref="B5 H5 N5 T5 Z5 AF5 AL5 AR5 AX5 BD5 BJ5 BP5 BV5">
    <cfRule type="expression" dxfId="32" priority="132" stopIfTrue="1">
      <formula>AND(B5="D",C5&lt;&gt;"D")</formula>
    </cfRule>
    <cfRule type="expression" dxfId="31" priority="992" stopIfTrue="1">
      <formula>YEAR(B5)&lt;&gt;A3</formula>
    </cfRule>
  </conditionalFormatting>
  <conditionalFormatting sqref="B4 H4 N4 T4 Z4 AF4 AL4 AR4 AX4 BD4 BJ4 BP4 BV4">
    <cfRule type="expression" dxfId="30" priority="133" stopIfTrue="1">
      <formula>YEAR(B4)&lt;&gt;A3</formula>
    </cfRule>
    <cfRule type="expression" dxfId="29" priority="149" stopIfTrue="1">
      <formula>AND(B4="D",C4&lt;&gt;"D")</formula>
    </cfRule>
  </conditionalFormatting>
  <conditionalFormatting sqref="B6 H6 N6 T6 Z6 AF6 AL6 AR6 AX6 BD6 BJ6 BP6 BV6">
    <cfRule type="expression" dxfId="28" priority="154" stopIfTrue="1">
      <formula>YEAR(B6)&lt;&gt;A3</formula>
    </cfRule>
  </conditionalFormatting>
  <conditionalFormatting sqref="B4:BY6">
    <cfRule type="cellIs" dxfId="27" priority="1162" stopIfTrue="1" operator="equal">
      <formula>"D"</formula>
    </cfRule>
  </conditionalFormatting>
  <conditionalFormatting sqref="B11:E11 H11:K11 N11:Q11 T11:W11 Z11:AC11 AF11:AI11 AL11:AO11 AR11:AU11 AX11:BA11 BD11:BG11 BJ11:BM11 BP11:BS11 BV11:BY11">
    <cfRule type="expression" dxfId="26" priority="135" stopIfTrue="1">
      <formula>B6&lt;&gt;"D"</formula>
    </cfRule>
  </conditionalFormatting>
  <conditionalFormatting sqref="B6">
    <cfRule type="expression" dxfId="25" priority="106" stopIfTrue="1">
      <formula>AND(B6="D",D6&lt;H_i)</formula>
    </cfRule>
  </conditionalFormatting>
  <conditionalFormatting sqref="H6 N6 T6 Z6 AL6 AR6 BD6 BJ6 BP6 BV6 AF6 AX6">
    <cfRule type="expression" dxfId="24" priority="1163" stopIfTrue="1">
      <formula>AND(H6="D",J6&lt;D16)</formula>
    </cfRule>
  </conditionalFormatting>
  <conditionalFormatting sqref="E7 K7 Q7 W7 AC7 AI7 AO7 AU7 BA7 BG7 BM7 BS7 BY7">
    <cfRule type="cellIs" dxfId="23" priority="599" stopIfTrue="1" operator="lessThan">
      <formula>0.01</formula>
    </cfRule>
    <cfRule type="cellIs" dxfId="22" priority="600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I379" sqref="I379:I382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YEAR(E6)</f>
        <v>2018</v>
      </c>
      <c r="K1" s="1217"/>
      <c r="L1" s="113" t="str">
        <f>"Calcul pertes et enveloppes en "&amp;TEXT(An,0)</f>
        <v>Calcul pertes et enveloppes en 2018</v>
      </c>
      <c r="M1" s="243"/>
      <c r="N1" s="243"/>
      <c r="O1" s="459"/>
      <c r="P1" s="459"/>
      <c r="Q1" s="459"/>
      <c r="R1" s="459"/>
      <c r="S1" s="459"/>
      <c r="T1" s="459"/>
      <c r="U1" s="459"/>
      <c r="V1" s="459"/>
      <c r="W1" s="457"/>
      <c r="X1" s="488" t="str">
        <f>"Prévision sans nettoyage ni taille végétation en "&amp;TEXT(An,0)</f>
        <v>Prévision sans nettoyage ni taille végétation en 2018</v>
      </c>
      <c r="Y1" s="489"/>
      <c r="Z1" s="490"/>
      <c r="AA1" s="491"/>
      <c r="AB1" s="492"/>
      <c r="AC1" s="493"/>
      <c r="AD1" s="493"/>
      <c r="AE1" s="493"/>
      <c r="AF1" s="459"/>
      <c r="AG1" s="459"/>
      <c r="AH1" s="459"/>
      <c r="AI1" s="493"/>
      <c r="AL1" s="943" t="s">
        <v>280</v>
      </c>
    </row>
    <row r="2" spans="1:40" s="6" customFormat="1" ht="16.5" thickBot="1" x14ac:dyDescent="0.3"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99"/>
      <c r="AD2" s="499"/>
      <c r="AE2" s="499"/>
      <c r="AF2" s="463"/>
      <c r="AG2" s="500"/>
      <c r="AH2" s="501"/>
      <c r="AI2" s="499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21">
        <v>44926</v>
      </c>
      <c r="F3" s="1222"/>
      <c r="G3" s="618">
        <f>YEAR(Tmaj)</f>
        <v>2022</v>
      </c>
      <c r="H3" s="566"/>
      <c r="I3" s="566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506"/>
      <c r="AD3" s="496"/>
      <c r="AE3" s="506"/>
      <c r="AF3" s="496"/>
      <c r="AG3" s="500"/>
      <c r="AH3" s="501"/>
      <c r="AI3" s="506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thickBot="1" x14ac:dyDescent="0.3">
      <c r="D4" s="105" t="s">
        <v>136</v>
      </c>
      <c r="E4" s="1223" t="s">
        <v>294</v>
      </c>
      <c r="F4" s="1224"/>
      <c r="G4" s="1224"/>
      <c r="H4" s="1224"/>
      <c r="I4" s="1225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506"/>
      <c r="AD4" s="506"/>
      <c r="AE4" s="506"/>
      <c r="AF4" s="496"/>
      <c r="AG4" s="500"/>
      <c r="AH4" s="501"/>
      <c r="AI4" s="506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thickBot="1" x14ac:dyDescent="0.3">
      <c r="A5" s="19"/>
      <c r="B5" s="19"/>
      <c r="C5" s="19"/>
      <c r="D5" s="106" t="s">
        <v>80</v>
      </c>
      <c r="E5" s="1221">
        <v>43243</v>
      </c>
      <c r="F5" s="1222"/>
      <c r="G5" s="561"/>
      <c r="H5" s="561"/>
      <c r="I5" s="561"/>
      <c r="J5" s="19"/>
      <c r="K5" s="192"/>
      <c r="L5" s="507"/>
      <c r="M5" s="506"/>
      <c r="N5" s="506"/>
      <c r="O5" s="429"/>
      <c r="P5" s="509"/>
      <c r="Q5" s="509"/>
      <c r="R5" s="496"/>
      <c r="S5" s="500"/>
      <c r="T5" s="500"/>
      <c r="U5" s="496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496"/>
      <c r="AD5" s="506"/>
      <c r="AE5" s="509"/>
      <c r="AF5" s="496"/>
      <c r="AG5" s="500"/>
      <c r="AH5" s="501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21">
        <v>43272</v>
      </c>
      <c r="F6" s="1222"/>
      <c r="G6" s="578"/>
      <c r="H6" s="558"/>
      <c r="I6" s="558"/>
      <c r="J6" s="35"/>
      <c r="K6" s="193"/>
      <c r="L6" s="154" t="s">
        <v>85</v>
      </c>
      <c r="M6" s="41"/>
      <c r="N6" s="41"/>
      <c r="O6" s="509"/>
      <c r="P6" s="499"/>
      <c r="Q6" s="499"/>
      <c r="R6" s="516"/>
      <c r="S6" s="500"/>
      <c r="T6" s="500"/>
      <c r="U6" s="516"/>
      <c r="V6" s="501"/>
      <c r="W6" s="463"/>
      <c r="X6" s="498"/>
      <c r="Y6" s="499"/>
      <c r="Z6" s="463"/>
      <c r="AA6" s="463"/>
      <c r="AB6" s="517"/>
      <c r="AC6" s="501"/>
      <c r="AD6" s="516"/>
      <c r="AE6" s="516"/>
      <c r="AF6" s="501"/>
      <c r="AG6" s="500"/>
      <c r="AH6" s="500"/>
      <c r="AI6" s="501"/>
      <c r="AJ6" s="517">
        <f>SUMIF(AJ15:AJ380,"FAUX",Wh)</f>
        <v>5675.0280000000021</v>
      </c>
      <c r="AK6" s="517">
        <f>SUMIF(AK15:AK380,"FAUX",Wh)</f>
        <v>5675.0280000000021</v>
      </c>
      <c r="AL6" s="517">
        <f>SUMIF(AJ15:AJ380,"FAUX",Wh_s)</f>
        <v>5675.0280000000021</v>
      </c>
      <c r="AM6" s="517">
        <f>SUMIF(AK15:AK380,"FAUX",Wh_s)</f>
        <v>5675.0280000000021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499"/>
      <c r="P7" s="248"/>
      <c r="Q7" s="248"/>
      <c r="R7" s="518"/>
      <c r="S7" s="518"/>
      <c r="T7" s="518"/>
      <c r="U7" s="248"/>
      <c r="V7" s="429"/>
      <c r="W7" s="519"/>
      <c r="X7" s="520"/>
      <c r="Y7" s="248"/>
      <c r="Z7" s="519"/>
      <c r="AA7" s="519"/>
      <c r="AB7" s="248"/>
      <c r="AC7" s="499"/>
      <c r="AD7" s="248"/>
      <c r="AE7" s="248"/>
      <c r="AF7" s="494"/>
      <c r="AG7" s="494"/>
      <c r="AH7" s="494"/>
      <c r="AI7" s="494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">
      <c r="A8" s="39"/>
      <c r="B8" s="82"/>
      <c r="C8" s="82"/>
      <c r="D8" s="136" t="s">
        <v>86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78</v>
      </c>
      <c r="I8" s="98"/>
      <c r="J8" s="158"/>
      <c r="K8" s="191"/>
      <c r="L8" s="114"/>
      <c r="M8" s="114"/>
      <c r="N8" s="114"/>
      <c r="O8" s="521" t="s">
        <v>98</v>
      </c>
      <c r="P8" s="499"/>
      <c r="Q8" s="499"/>
      <c r="R8" s="499"/>
      <c r="S8" s="499"/>
      <c r="T8" s="499"/>
      <c r="U8" s="499"/>
      <c r="W8" s="404"/>
      <c r="X8" s="1214" t="s">
        <v>105</v>
      </c>
      <c r="Y8" s="1215"/>
      <c r="Z8" s="499"/>
      <c r="AA8" s="499"/>
      <c r="AB8" s="463"/>
      <c r="AC8" s="521" t="s">
        <v>98</v>
      </c>
      <c r="AD8" s="463"/>
      <c r="AE8" s="463"/>
      <c r="AF8" s="463"/>
      <c r="AG8" s="463"/>
      <c r="AH8" s="463"/>
      <c r="AI8" s="463"/>
      <c r="AJ8" s="517">
        <f>SUMIF(AJ15:AJ380,"FAUX",Wh_pvt)</f>
        <v>5688.6333243354284</v>
      </c>
      <c r="AK8" s="517">
        <f>SUMIF(AK15:AK380,"FAUX",Wh_sa)</f>
        <v>5767.511645466956</v>
      </c>
      <c r="AL8" s="517">
        <f>SUMIF(AJ15:AJ380,"FAUX",Wh_pvt_s)</f>
        <v>5688.6333243354284</v>
      </c>
      <c r="AM8" s="517">
        <f>SUMIF(AK15:AK380,"FAUX",Wh_sa_s)</f>
        <v>5767.511645466956</v>
      </c>
      <c r="AN8" s="946" t="s">
        <v>271</v>
      </c>
    </row>
    <row r="9" spans="1:40" s="19" customFormat="1" ht="15" customHeight="1" x14ac:dyDescent="0.25">
      <c r="A9" s="183"/>
      <c r="D9" s="73">
        <f>SUM(D$15:D$380)</f>
        <v>5688.6333243354284</v>
      </c>
      <c r="E9" s="73">
        <f>SUM(E$15:E$380)</f>
        <v>5767.511645466956</v>
      </c>
      <c r="F9" s="73">
        <f>SUM(F$15:F$380)</f>
        <v>5769.2136590391265</v>
      </c>
      <c r="H9" s="1218">
        <f>+SUM(Wh)</f>
        <v>5675.0280000000021</v>
      </c>
      <c r="I9" s="1219"/>
      <c r="J9" s="1220"/>
      <c r="K9" s="191"/>
      <c r="L9" s="114"/>
      <c r="M9" s="114"/>
      <c r="N9" s="114"/>
      <c r="O9" s="325">
        <f>MAX(T0,Tnet_2018)</f>
        <v>43243</v>
      </c>
      <c r="P9" s="244" t="s">
        <v>115</v>
      </c>
      <c r="Q9" s="245"/>
      <c r="R9" s="245"/>
      <c r="S9" s="245"/>
      <c r="T9" s="245"/>
      <c r="U9" s="245"/>
      <c r="V9" s="463"/>
      <c r="W9" s="522"/>
      <c r="X9" s="1212">
        <f>+SUM(Wh_s)</f>
        <v>5675.0280000000021</v>
      </c>
      <c r="Y9" s="1213"/>
      <c r="Z9" s="517">
        <f>SUM(Z$15:Z$380)</f>
        <v>5688.6333243354284</v>
      </c>
      <c r="AA9" s="517">
        <f>SUM(AA$15:AA$380)</f>
        <v>5767.511645466956</v>
      </c>
      <c r="AB9" s="517">
        <f>F9</f>
        <v>5769.2136590391265</v>
      </c>
      <c r="AC9" s="325">
        <f>IF(An_Tnet,Tnet,T0)</f>
        <v>43243</v>
      </c>
      <c r="AD9" s="315" t="s">
        <v>106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2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IF(Acti_tai,PousHci,Htf_2018-H_i)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IF(OR(Inflex,GainD),Salim_i*(1-EXP((T0-Tnet)/Tau_ij)),IF(Acti_net,Salim_i*(1-EXP((T0-Tnet)/Tau_ij)),0))</f>
        <v>0</v>
      </c>
      <c r="AD10" s="429"/>
      <c r="AE10" s="429"/>
      <c r="AF10" s="260"/>
      <c r="AG10" s="261"/>
      <c r="AH10" s="262"/>
      <c r="AI10" s="429"/>
      <c r="AJ10" s="517">
        <f>SUMIF(AJ15:AJ380,"FAUX",Wh_sa)</f>
        <v>5767.511645466956</v>
      </c>
      <c r="AK10" s="517">
        <f>SUMIF(AK15:AK380,"FAUX",Wh_hp)</f>
        <v>5769.2136590391265</v>
      </c>
      <c r="AL10" s="517">
        <f>SUMIF(AJ15:AJ380,"FAUX",Wh_sa_s)</f>
        <v>5767.511645466956</v>
      </c>
      <c r="AM10" s="517">
        <f>SUMIF(AK15:AK380,"FAUX",Wh_hp)</f>
        <v>5769.2136590391265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218">
        <f>D$9-Prod_an</f>
        <v>13.605324335426303</v>
      </c>
      <c r="E11" s="219">
        <f>(E$9-D$9)*Prod_an/D$9</f>
        <v>78.689670346560092</v>
      </c>
      <c r="F11" s="220">
        <f>(F$9-E$9)*Prod_an/E$9</f>
        <v>1.6747213134869068</v>
      </c>
      <c r="G11" s="185" t="s">
        <v>6</v>
      </c>
      <c r="K11" s="194"/>
      <c r="L11" s="182">
        <f>Tvie_2018</f>
        <v>43243</v>
      </c>
      <c r="M11" s="958"/>
      <c r="N11" s="958"/>
      <c r="O11" s="318">
        <f>Salim_2018</f>
        <v>0.14000000000000001</v>
      </c>
      <c r="P11" s="256">
        <f>Ttai_2018</f>
        <v>43101</v>
      </c>
      <c r="Q11" s="272">
        <f>Dens_2018</f>
        <v>0.7</v>
      </c>
      <c r="R11" s="525"/>
      <c r="S11" s="247"/>
      <c r="T11" s="526"/>
      <c r="U11" s="266">
        <f>Htf_2018</f>
        <v>-1.4999621440122004</v>
      </c>
      <c r="V11" s="429"/>
      <c r="W11" s="520"/>
      <c r="X11" s="527" t="s">
        <v>44</v>
      </c>
      <c r="Y11" s="50">
        <f>Z$9-Prod_an_s</f>
        <v>13.605324335426303</v>
      </c>
      <c r="Z11" s="51">
        <f>(AA$9-Z$9)*Prod_an_s/Z$9</f>
        <v>78.689670346560092</v>
      </c>
      <c r="AA11" s="186">
        <f>(AB$9-AA$9)*Prod_an_s/AA$9</f>
        <v>1.6747213134869068</v>
      </c>
      <c r="AB11" s="528" t="s">
        <v>6</v>
      </c>
      <c r="AC11" s="474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18</v>
      </c>
      <c r="G12" s="109">
        <f>G383-1</f>
        <v>4.55493472194759E-2</v>
      </c>
      <c r="I12" s="102"/>
      <c r="J12" s="99"/>
      <c r="K12" s="191"/>
      <c r="L12" s="204">
        <f>Pspv_2018</f>
        <v>0</v>
      </c>
      <c r="M12" s="212"/>
      <c r="N12" s="212"/>
      <c r="O12" s="529">
        <f>Tau_2018*365</f>
        <v>1095</v>
      </c>
      <c r="P12" s="530">
        <f>INDEX(Croivg,MIN(MAX(Ttai-$A$15,0)+1,366))</f>
        <v>2.3909964587625958E-6</v>
      </c>
      <c r="Q12" s="296">
        <f>D_i</f>
        <v>0.7</v>
      </c>
      <c r="R12" s="278"/>
      <c r="S12" s="279"/>
      <c r="T12" s="531"/>
      <c r="U12" s="297">
        <f>H_i</f>
        <v>-1.9999621440122004</v>
      </c>
      <c r="V12" s="519"/>
      <c r="W12" s="506"/>
      <c r="X12" s="507"/>
      <c r="Y12" s="506"/>
      <c r="Z12" s="429"/>
      <c r="AA12" s="429"/>
      <c r="AB12" s="506"/>
      <c r="AC12" s="318" t="b">
        <f>NOT(An_Tnet)</f>
        <v>0</v>
      </c>
      <c r="AD12" s="429"/>
      <c r="AE12" s="296">
        <f>D_i</f>
        <v>0.7</v>
      </c>
      <c r="AF12" s="203"/>
      <c r="AG12" s="203"/>
      <c r="AH12" s="203"/>
      <c r="AI12" s="297">
        <f>H_i</f>
        <v>-1.9999621440122004</v>
      </c>
      <c r="AJ12" s="947">
        <f>IF($AJ8=0,0,($AJ10-$AJ8)*$AJ6/$AJ8)</f>
        <v>78.689670346560092</v>
      </c>
      <c r="AK12" s="948">
        <f>IF($AK8=0,0,($AK10-$AK8)*$AK6/$AK8)</f>
        <v>1.6747213134869068</v>
      </c>
      <c r="AL12" s="947">
        <f>IF($AL8=0,0,($AL10-$AL8)*$AL6/$AL8)</f>
        <v>78.689670346560092</v>
      </c>
      <c r="AM12" s="948">
        <f>IF($AM8=0,0,($AM10-$AM8)*$AM6/$AM8)</f>
        <v>1.6747213134869068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122</v>
      </c>
      <c r="Z13" s="124" t="s">
        <v>123</v>
      </c>
      <c r="AA13" s="124" t="s">
        <v>124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78.689670346560092</v>
      </c>
      <c r="AK13" s="73">
        <f>+AK11+AK12</f>
        <v>1.6747213134869068</v>
      </c>
      <c r="AL13" s="73">
        <f>+AL11+AL12</f>
        <v>78.689670346560092</v>
      </c>
      <c r="AM13" s="73">
        <f>+AM11+AM12</f>
        <v>1.6747213134869068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2018</v>
      </c>
      <c r="G14" s="107" t="s">
        <v>43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219</v>
      </c>
      <c r="V14" s="45" t="str">
        <f>"Enveloppe "&amp; TEXT(An,0)</f>
        <v>Enveloppe 2018</v>
      </c>
      <c r="W14" s="436"/>
      <c r="X14" s="155" t="s">
        <v>2</v>
      </c>
      <c r="Y14" s="107" t="str">
        <f>"Wh / Jour "&amp; TEXT(An,0)</f>
        <v>Wh / Jour 2018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90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3"/>
      <c r="C15" s="968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8">
        <f t="shared" ref="L15:L78" si="2">IF(t&lt;T0,0,IF(t&lt;Tvie,1-EXP((T0-t)*PertePVj),1-EXP((T0-t)*PertePVj)+Pspv))</f>
        <v>0</v>
      </c>
      <c r="M15" s="970"/>
      <c r="N15" s="970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5.3028345570172775E-10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3.9051486028895965E-5</v>
      </c>
      <c r="S15" s="920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-1.9999609485139711</v>
      </c>
      <c r="V15" s="382">
        <f t="shared" ref="V15:V78" si="5">MaxiM*(1-Ppv)*(1-Pvg)*(1-Psa)</f>
        <v>28.584307493807543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5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5.3028345570172775E-10</v>
      </c>
      <c r="AE15" s="303">
        <f t="shared" ref="AE15:AE78" si="12">Dd+PousD*Croivg</f>
        <v>0.7</v>
      </c>
      <c r="AF15" s="304">
        <f t="shared" ref="AF15:AF78" si="13">(Hp_vg_s-AG15)/(INDEX(Echel_vg,AH15+1)-AG15)</f>
        <v>3.9051486028895965E-5</v>
      </c>
      <c r="AG15" s="920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-1.9999609485139711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>A15+1</f>
        <v>43102</v>
      </c>
      <c r="B16" s="624"/>
      <c r="C16" s="968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8">
        <f t="shared" si="2"/>
        <v>0</v>
      </c>
      <c r="M16" s="970"/>
      <c r="N16" s="970"/>
      <c r="O16" s="324">
        <f t="shared" si="3"/>
        <v>0</v>
      </c>
      <c r="P16" s="169">
        <f>(INDEX(Models!$BJ16:$BT16,,T16)*(1-R16)+INDEX(Models!$BJ16:$BT16,,T16+1)*R16-ERP_i)*Q16*Ramure*Pc/MaxiM</f>
        <v>1.3346870060753108E-8</v>
      </c>
      <c r="Q16" s="305">
        <f t="shared" ref="Q16:Q78" si="18">IF(OR(t&lt;Ttai,Notai),Dd+PousD*Croivg,Dens+PousD*(Croivg-Croi_tai))</f>
        <v>0.7</v>
      </c>
      <c r="R16" s="177">
        <f t="shared" si="4"/>
        <v>6.8266100023306464E-5</v>
      </c>
      <c r="S16" s="921">
        <f t="shared" ref="S16:S79" si="19">INDEX(Echel_vg,T16)</f>
        <v>-2</v>
      </c>
      <c r="T16" s="176">
        <f t="shared" ref="T16:T78" si="20">MIN(MATCH(Hp_vg,Echel_vg),10)</f>
        <v>4</v>
      </c>
      <c r="U16" s="251">
        <f t="shared" ref="U16:U78" si="21">IF(OR(t&lt;Ttai,Notai),Hdd+PousH*Croivg,Hdtf+PousH*(Croivg-Croi_tai))</f>
        <v>-1.9999317338999767</v>
      </c>
      <c r="V16" s="383">
        <f t="shared" si="5"/>
        <v>28.796819122387198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7">
        <f t="shared" si="11"/>
        <v>0</v>
      </c>
      <c r="AD16" s="169">
        <f>(INDEX(Models!$BJ16:$BT16,,AH16)*(1-AF16)+INDEX(Models!$BJ16:$BT16,,AH16+1)*AF16-ERP_i)*AE16*Ramure*Pc/MaxiM</f>
        <v>1.3346870060753108E-8</v>
      </c>
      <c r="AE16" s="305">
        <f t="shared" si="12"/>
        <v>0.7</v>
      </c>
      <c r="AF16" s="177">
        <f t="shared" si="13"/>
        <v>6.8266100023306464E-5</v>
      </c>
      <c r="AG16" s="921">
        <f t="shared" ref="AG16:AG78" si="22">INDEX(Echel_vg,AH16)</f>
        <v>-2</v>
      </c>
      <c r="AH16" s="176">
        <f t="shared" si="14"/>
        <v>4</v>
      </c>
      <c r="AI16" s="225">
        <f t="shared" si="15"/>
        <v>-1.9999317338999767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ref="A17:A80" si="23">A16+1</f>
        <v>43103</v>
      </c>
      <c r="B17" s="624"/>
      <c r="C17" s="968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8">
        <f t="shared" si="2"/>
        <v>0</v>
      </c>
      <c r="M17" s="970"/>
      <c r="N17" s="970"/>
      <c r="O17" s="324">
        <f t="shared" si="3"/>
        <v>0</v>
      </c>
      <c r="P17" s="169">
        <f>(INDEX(Models!$BJ17:$BT17,,T17)*(1-R17)+INDEX(Models!$BJ17:$BT17,,T17+1)*R17-ERP_i)*Q17*Ramure*Pc/MaxiM</f>
        <v>2.6452324019177261E-8</v>
      </c>
      <c r="Q17" s="305">
        <f t="shared" si="18"/>
        <v>0.7</v>
      </c>
      <c r="R17" s="177">
        <f t="shared" si="4"/>
        <v>9.8702695512820071E-5</v>
      </c>
      <c r="S17" s="921">
        <f t="shared" si="19"/>
        <v>-2</v>
      </c>
      <c r="T17" s="176">
        <f t="shared" si="20"/>
        <v>4</v>
      </c>
      <c r="U17" s="251">
        <f t="shared" si="21"/>
        <v>-1.9999012973044872</v>
      </c>
      <c r="V17" s="383">
        <f t="shared" si="5"/>
        <v>29.015231033552446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7">
        <f t="shared" si="11"/>
        <v>0</v>
      </c>
      <c r="AD17" s="169">
        <f>(INDEX(Models!$BJ17:$BT17,,AH17)*(1-AF17)+INDEX(Models!$BJ17:$BT17,,AH17+1)*AF17-ERP_i)*AE17*Ramure*Pc/MaxiM</f>
        <v>2.6452324019177261E-8</v>
      </c>
      <c r="AE17" s="305">
        <f t="shared" si="12"/>
        <v>0.7</v>
      </c>
      <c r="AF17" s="177">
        <f t="shared" si="13"/>
        <v>9.8702695512820071E-5</v>
      </c>
      <c r="AG17" s="921">
        <f t="shared" si="22"/>
        <v>-2</v>
      </c>
      <c r="AH17" s="176">
        <f t="shared" si="14"/>
        <v>4</v>
      </c>
      <c r="AI17" s="225">
        <f t="shared" si="15"/>
        <v>-1.9999012973044872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3"/>
        <v>43104</v>
      </c>
      <c r="B18" s="624"/>
      <c r="C18" s="968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8">
        <f t="shared" si="2"/>
        <v>0</v>
      </c>
      <c r="M18" s="970"/>
      <c r="N18" s="970"/>
      <c r="O18" s="324">
        <f t="shared" si="3"/>
        <v>0</v>
      </c>
      <c r="P18" s="169">
        <f>(INDEX(Models!$BJ18:$BT18,,T18)*(1-R18)+INDEX(Models!$BJ18:$BT18,,T18+1)*R18-ERP_i)*Q18*Ramure*Pc/MaxiM</f>
        <v>3.990123197560816E-8</v>
      </c>
      <c r="Q18" s="305">
        <f t="shared" si="18"/>
        <v>0.7</v>
      </c>
      <c r="R18" s="177">
        <f t="shared" si="4"/>
        <v>1.3041222680798548E-4</v>
      </c>
      <c r="S18" s="921">
        <f t="shared" si="19"/>
        <v>-2</v>
      </c>
      <c r="T18" s="176">
        <f t="shared" si="20"/>
        <v>4</v>
      </c>
      <c r="U18" s="251">
        <f t="shared" si="21"/>
        <v>-1.999869587773192</v>
      </c>
      <c r="V18" s="383">
        <f t="shared" si="5"/>
        <v>29.237977574299183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7">
        <f t="shared" si="11"/>
        <v>0</v>
      </c>
      <c r="AD18" s="169">
        <f>(INDEX(Models!$BJ18:$BT18,,AH18)*(1-AF18)+INDEX(Models!$BJ18:$BT18,,AH18+1)*AF18-ERP_i)*AE18*Ramure*Pc/MaxiM</f>
        <v>3.990123197560816E-8</v>
      </c>
      <c r="AE18" s="305">
        <f t="shared" si="12"/>
        <v>0.7</v>
      </c>
      <c r="AF18" s="177">
        <f t="shared" si="13"/>
        <v>1.3041222680798548E-4</v>
      </c>
      <c r="AG18" s="921">
        <f t="shared" si="22"/>
        <v>-2</v>
      </c>
      <c r="AH18" s="176">
        <f t="shared" si="14"/>
        <v>4</v>
      </c>
      <c r="AI18" s="225">
        <f t="shared" si="15"/>
        <v>-1.999869587773192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3"/>
        <v>43105</v>
      </c>
      <c r="B19" s="624"/>
      <c r="C19" s="968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8">
        <f t="shared" si="2"/>
        <v>0</v>
      </c>
      <c r="M19" s="970"/>
      <c r="N19" s="970"/>
      <c r="O19" s="324">
        <f t="shared" si="3"/>
        <v>0</v>
      </c>
      <c r="P19" s="169">
        <f>(INDEX(Models!$BJ19:$BT19,,T19)*(1-R19)+INDEX(Models!$BJ19:$BT19,,T19+1)*R19-ERP_i)*Q19*Ramure*Pc/MaxiM</f>
        <v>5.3753560941749427E-8</v>
      </c>
      <c r="Q19" s="305">
        <f t="shared" si="18"/>
        <v>0.7</v>
      </c>
      <c r="R19" s="177">
        <f t="shared" si="4"/>
        <v>1.6344775936949496E-4</v>
      </c>
      <c r="S19" s="921">
        <f t="shared" si="19"/>
        <v>-2</v>
      </c>
      <c r="T19" s="176">
        <f t="shared" si="20"/>
        <v>4</v>
      </c>
      <c r="U19" s="251">
        <f t="shared" si="21"/>
        <v>-1.9998365522406305</v>
      </c>
      <c r="V19" s="383">
        <f t="shared" si="5"/>
        <v>29.463493096160072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7">
        <f t="shared" si="11"/>
        <v>0</v>
      </c>
      <c r="AD19" s="169">
        <f>(INDEX(Models!$BJ19:$BT19,,AH19)*(1-AF19)+INDEX(Models!$BJ19:$BT19,,AH19+1)*AF19-ERP_i)*AE19*Ramure*Pc/MaxiM</f>
        <v>5.3753560941749427E-8</v>
      </c>
      <c r="AE19" s="305">
        <f t="shared" si="12"/>
        <v>0.7</v>
      </c>
      <c r="AF19" s="177">
        <f t="shared" si="13"/>
        <v>1.6344775936949496E-4</v>
      </c>
      <c r="AG19" s="921">
        <f t="shared" si="22"/>
        <v>-2</v>
      </c>
      <c r="AH19" s="176">
        <f t="shared" si="14"/>
        <v>4</v>
      </c>
      <c r="AI19" s="225">
        <f t="shared" si="15"/>
        <v>-1.9998365522406305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3"/>
        <v>43106</v>
      </c>
      <c r="B20" s="624"/>
      <c r="C20" s="968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8">
        <f t="shared" si="2"/>
        <v>0</v>
      </c>
      <c r="M20" s="970"/>
      <c r="N20" s="970"/>
      <c r="O20" s="324">
        <f t="shared" si="3"/>
        <v>0</v>
      </c>
      <c r="P20" s="169">
        <f>(INDEX(Models!$BJ20:$BT20,,T20)*(1-R20)+INDEX(Models!$BJ20:$BT20,,T20+1)*R20-ERP_i)*Q20*Ramure*Pc/MaxiM</f>
        <v>6.8074899690350113E-8</v>
      </c>
      <c r="Q20" s="305">
        <f t="shared" si="18"/>
        <v>0.7</v>
      </c>
      <c r="R20" s="177">
        <f t="shared" si="4"/>
        <v>1.97864556120253E-4</v>
      </c>
      <c r="S20" s="921">
        <f t="shared" si="19"/>
        <v>-2</v>
      </c>
      <c r="T20" s="176">
        <f t="shared" si="20"/>
        <v>4</v>
      </c>
      <c r="U20" s="251">
        <f t="shared" si="21"/>
        <v>-1.9998021354438797</v>
      </c>
      <c r="V20" s="383">
        <f t="shared" si="5"/>
        <v>29.690211947247786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7">
        <f t="shared" si="11"/>
        <v>0</v>
      </c>
      <c r="AD20" s="169">
        <f>(INDEX(Models!$BJ20:$BT20,,AH20)*(1-AF20)+INDEX(Models!$BJ20:$BT20,,AH20+1)*AF20-ERP_i)*AE20*Ramure*Pc/MaxiM</f>
        <v>6.8074899690350113E-8</v>
      </c>
      <c r="AE20" s="305">
        <f t="shared" si="12"/>
        <v>0.7</v>
      </c>
      <c r="AF20" s="177">
        <f t="shared" si="13"/>
        <v>1.97864556120253E-4</v>
      </c>
      <c r="AG20" s="921">
        <f t="shared" si="22"/>
        <v>-2</v>
      </c>
      <c r="AH20" s="176">
        <f t="shared" si="14"/>
        <v>4</v>
      </c>
      <c r="AI20" s="225">
        <f t="shared" si="15"/>
        <v>-1.9998021354438797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3"/>
        <v>43107</v>
      </c>
      <c r="B21" s="624"/>
      <c r="C21" s="968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8">
        <f t="shared" si="2"/>
        <v>0</v>
      </c>
      <c r="M21" s="970"/>
      <c r="N21" s="970"/>
      <c r="O21" s="324">
        <f t="shared" si="3"/>
        <v>0</v>
      </c>
      <c r="P21" s="169">
        <f>(INDEX(Models!$BJ21:$BT21,,T21)*(1-R21)+INDEX(Models!$BJ21:$BT21,,T21+1)*R21-ERP_i)*Q21*Ramure*Pc/MaxiM</f>
        <v>8.2936762121049618E-8</v>
      </c>
      <c r="Q21" s="305">
        <f t="shared" si="18"/>
        <v>0.7</v>
      </c>
      <c r="R21" s="177">
        <f t="shared" si="4"/>
        <v>2.3372016718337107E-4</v>
      </c>
      <c r="S21" s="921">
        <f t="shared" si="19"/>
        <v>-2</v>
      </c>
      <c r="T21" s="176">
        <f t="shared" si="20"/>
        <v>4</v>
      </c>
      <c r="U21" s="251">
        <f t="shared" si="21"/>
        <v>-1.9997662798328166</v>
      </c>
      <c r="V21" s="383">
        <f t="shared" si="5"/>
        <v>29.916568476516883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7">
        <f t="shared" si="11"/>
        <v>0</v>
      </c>
      <c r="AD21" s="169">
        <f>(INDEX(Models!$BJ21:$BT21,,AH21)*(1-AF21)+INDEX(Models!$BJ21:$BT21,,AH21+1)*AF21-ERP_i)*AE21*Ramure*Pc/MaxiM</f>
        <v>8.2936762121049618E-8</v>
      </c>
      <c r="AE21" s="305">
        <f t="shared" si="12"/>
        <v>0.7</v>
      </c>
      <c r="AF21" s="177">
        <f t="shared" si="13"/>
        <v>2.3372016718337107E-4</v>
      </c>
      <c r="AG21" s="921">
        <f t="shared" si="22"/>
        <v>-2</v>
      </c>
      <c r="AH21" s="176">
        <f t="shared" si="14"/>
        <v>4</v>
      </c>
      <c r="AI21" s="225">
        <f t="shared" si="15"/>
        <v>-1.9997662798328166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3"/>
        <v>43108</v>
      </c>
      <c r="B22" s="624"/>
      <c r="C22" s="968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8">
        <f t="shared" si="2"/>
        <v>0</v>
      </c>
      <c r="M22" s="970"/>
      <c r="N22" s="970"/>
      <c r="O22" s="324">
        <f t="shared" si="3"/>
        <v>0</v>
      </c>
      <c r="P22" s="169">
        <f>(INDEX(Models!$BJ22:$BT22,,T22)*(1-R22)+INDEX(Models!$BJ22:$BT22,,T22+1)*R22-ERP_i)*Q22*Ramure*Pc/MaxiM</f>
        <v>9.841696031177966E-8</v>
      </c>
      <c r="Q22" s="305">
        <f t="shared" si="18"/>
        <v>0.7</v>
      </c>
      <c r="R22" s="177">
        <f t="shared" si="4"/>
        <v>2.7107452318064773E-4</v>
      </c>
      <c r="S22" s="921">
        <f t="shared" si="19"/>
        <v>-2</v>
      </c>
      <c r="T22" s="176">
        <f t="shared" si="20"/>
        <v>4</v>
      </c>
      <c r="U22" s="251">
        <f t="shared" si="21"/>
        <v>-1.9997289254768194</v>
      </c>
      <c r="V22" s="383">
        <f t="shared" si="5"/>
        <v>30.140997032511713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7">
        <f t="shared" si="11"/>
        <v>0</v>
      </c>
      <c r="AD22" s="169">
        <f>(INDEX(Models!$BJ22:$BT22,,AH22)*(1-AF22)+INDEX(Models!$BJ22:$BT22,,AH22+1)*AF22-ERP_i)*AE22*Ramure*Pc/MaxiM</f>
        <v>9.841696031177966E-8</v>
      </c>
      <c r="AE22" s="305">
        <f t="shared" si="12"/>
        <v>0.7</v>
      </c>
      <c r="AF22" s="177">
        <f t="shared" si="13"/>
        <v>2.7107452318064773E-4</v>
      </c>
      <c r="AG22" s="921">
        <f t="shared" si="22"/>
        <v>-2</v>
      </c>
      <c r="AH22" s="176">
        <f t="shared" si="14"/>
        <v>4</v>
      </c>
      <c r="AI22" s="225">
        <f t="shared" si="15"/>
        <v>-1.9997289254768194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3"/>
        <v>43109</v>
      </c>
      <c r="B23" s="624"/>
      <c r="C23" s="968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8">
        <f t="shared" si="2"/>
        <v>0</v>
      </c>
      <c r="M23" s="970"/>
      <c r="N23" s="970"/>
      <c r="O23" s="324">
        <f t="shared" si="3"/>
        <v>0</v>
      </c>
      <c r="P23" s="169">
        <f>(INDEX(Models!$BJ23:$BT23,,T23)*(1-R23)+INDEX(Models!$BJ23:$BT23,,T23+1)*R23-ERP_i)*Q23*Ramure*Pc/MaxiM</f>
        <v>1.1458727023119969E-7</v>
      </c>
      <c r="Q23" s="305">
        <f t="shared" si="18"/>
        <v>0.7</v>
      </c>
      <c r="R23" s="177">
        <f t="shared" si="4"/>
        <v>3.099900322156568E-4</v>
      </c>
      <c r="S23" s="921">
        <f t="shared" si="19"/>
        <v>-2</v>
      </c>
      <c r="T23" s="176">
        <f t="shared" si="20"/>
        <v>4</v>
      </c>
      <c r="U23" s="251">
        <f t="shared" si="21"/>
        <v>-1.9996900099677843</v>
      </c>
      <c r="V23" s="383">
        <f t="shared" si="5"/>
        <v>30.365319617619665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7">
        <f t="shared" si="11"/>
        <v>0</v>
      </c>
      <c r="AD23" s="169">
        <f>(INDEX(Models!$BJ23:$BT23,,AH23)*(1-AF23)+INDEX(Models!$BJ23:$BT23,,AH23+1)*AF23-ERP_i)*AE23*Ramure*Pc/MaxiM</f>
        <v>1.1458727023119969E-7</v>
      </c>
      <c r="AE23" s="305">
        <f t="shared" si="12"/>
        <v>0.7</v>
      </c>
      <c r="AF23" s="177">
        <f t="shared" si="13"/>
        <v>3.099900322156568E-4</v>
      </c>
      <c r="AG23" s="921">
        <f t="shared" si="22"/>
        <v>-2</v>
      </c>
      <c r="AH23" s="176">
        <f t="shared" si="14"/>
        <v>4</v>
      </c>
      <c r="AI23" s="225">
        <f t="shared" si="15"/>
        <v>-1.9996900099677843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3"/>
        <v>43110</v>
      </c>
      <c r="B24" s="624"/>
      <c r="C24" s="968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8">
        <f t="shared" si="2"/>
        <v>0</v>
      </c>
      <c r="M24" s="970"/>
      <c r="N24" s="970"/>
      <c r="O24" s="324">
        <f t="shared" si="3"/>
        <v>0</v>
      </c>
      <c r="P24" s="169">
        <f>(INDEX(Models!$BJ24:$BT24,,T24)*(1-R24)+INDEX(Models!$BJ24:$BT24,,T24+1)*R24-ERP_i)*Q24*Ramure*Pc/MaxiM</f>
        <v>1.3134389916612899E-7</v>
      </c>
      <c r="Q24" s="305">
        <f t="shared" si="18"/>
        <v>0.7</v>
      </c>
      <c r="R24" s="177">
        <f t="shared" si="4"/>
        <v>3.5053168068532869E-4</v>
      </c>
      <c r="S24" s="921">
        <f t="shared" si="19"/>
        <v>-2</v>
      </c>
      <c r="T24" s="176">
        <f t="shared" si="20"/>
        <v>4</v>
      </c>
      <c r="U24" s="251">
        <f t="shared" si="21"/>
        <v>-1.9996494683193147</v>
      </c>
      <c r="V24" s="383">
        <f t="shared" si="5"/>
        <v>30.592644277900465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7">
        <f t="shared" si="11"/>
        <v>0</v>
      </c>
      <c r="AD24" s="169">
        <f>(INDEX(Models!$BJ24:$BT24,,AH24)*(1-AF24)+INDEX(Models!$BJ24:$BT24,,AH24+1)*AF24-ERP_i)*AE24*Ramure*Pc/MaxiM</f>
        <v>1.3134389916612899E-7</v>
      </c>
      <c r="AE24" s="305">
        <f t="shared" si="12"/>
        <v>0.7</v>
      </c>
      <c r="AF24" s="177">
        <f t="shared" si="13"/>
        <v>3.5053168068532869E-4</v>
      </c>
      <c r="AG24" s="921">
        <f t="shared" si="22"/>
        <v>-2</v>
      </c>
      <c r="AH24" s="176">
        <f t="shared" si="14"/>
        <v>4</v>
      </c>
      <c r="AI24" s="225">
        <f t="shared" si="15"/>
        <v>-1.9996494683193147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3"/>
        <v>43111</v>
      </c>
      <c r="B25" s="624"/>
      <c r="C25" s="968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8">
        <f t="shared" si="2"/>
        <v>0</v>
      </c>
      <c r="M25" s="970"/>
      <c r="N25" s="970"/>
      <c r="O25" s="324">
        <f t="shared" si="3"/>
        <v>0</v>
      </c>
      <c r="P25" s="169">
        <f>(INDEX(Models!$BJ25:$BT25,,T25)*(1-R25)+INDEX(Models!$BJ25:$BT25,,T25+1)*R25-ERP_i)*Q25*Ramure*Pc/MaxiM</f>
        <v>1.4863275079278154E-7</v>
      </c>
      <c r="Q25" s="305">
        <f t="shared" si="18"/>
        <v>0.7</v>
      </c>
      <c r="R25" s="177">
        <f t="shared" si="4"/>
        <v>3.9276713805125318E-4</v>
      </c>
      <c r="S25" s="921">
        <f t="shared" si="19"/>
        <v>-2</v>
      </c>
      <c r="T25" s="176">
        <f t="shared" si="20"/>
        <v>4</v>
      </c>
      <c r="U25" s="251">
        <f t="shared" si="21"/>
        <v>-1.9996072328619487</v>
      </c>
      <c r="V25" s="383">
        <f t="shared" si="5"/>
        <v>30.823334437187317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7">
        <f t="shared" si="11"/>
        <v>0</v>
      </c>
      <c r="AD25" s="169">
        <f>(INDEX(Models!$BJ25:$BT25,,AH25)*(1-AF25)+INDEX(Models!$BJ25:$BT25,,AH25+1)*AF25-ERP_i)*AE25*Ramure*Pc/MaxiM</f>
        <v>1.4863275079278154E-7</v>
      </c>
      <c r="AE25" s="305">
        <f t="shared" si="12"/>
        <v>0.7</v>
      </c>
      <c r="AF25" s="177">
        <f t="shared" si="13"/>
        <v>3.9276713805125318E-4</v>
      </c>
      <c r="AG25" s="921">
        <f t="shared" si="22"/>
        <v>-2</v>
      </c>
      <c r="AH25" s="176">
        <f t="shared" si="14"/>
        <v>4</v>
      </c>
      <c r="AI25" s="225">
        <f t="shared" si="15"/>
        <v>-1.9996072328619487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3"/>
        <v>43112</v>
      </c>
      <c r="B26" s="624"/>
      <c r="C26" s="968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8">
        <f t="shared" si="2"/>
        <v>0</v>
      </c>
      <c r="M26" s="970"/>
      <c r="N26" s="970"/>
      <c r="O26" s="324">
        <f t="shared" si="3"/>
        <v>0</v>
      </c>
      <c r="P26" s="169">
        <f>(INDEX(Models!$BJ26:$BT26,,T26)*(1-R26)+INDEX(Models!$BJ26:$BT26,,T26+1)*R26-ERP_i)*Q26*Ramure*Pc/MaxiM</f>
        <v>1.66442548240223E-7</v>
      </c>
      <c r="Q26" s="305">
        <f t="shared" si="18"/>
        <v>0.7</v>
      </c>
      <c r="R26" s="177">
        <f t="shared" si="4"/>
        <v>4.3676686572236001E-4</v>
      </c>
      <c r="S26" s="921">
        <f t="shared" si="19"/>
        <v>-2</v>
      </c>
      <c r="T26" s="176">
        <f t="shared" si="20"/>
        <v>4</v>
      </c>
      <c r="U26" s="251">
        <f t="shared" si="21"/>
        <v>-1.9995632331342776</v>
      </c>
      <c r="V26" s="383">
        <f t="shared" si="5"/>
        <v>31.05775351799765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7">
        <f t="shared" si="11"/>
        <v>0</v>
      </c>
      <c r="AD26" s="169">
        <f>(INDEX(Models!$BJ26:$BT26,,AH26)*(1-AF26)+INDEX(Models!$BJ26:$BT26,,AH26+1)*AF26-ERP_i)*AE26*Ramure*Pc/MaxiM</f>
        <v>1.66442548240223E-7</v>
      </c>
      <c r="AE26" s="305">
        <f t="shared" si="12"/>
        <v>0.7</v>
      </c>
      <c r="AF26" s="177">
        <f t="shared" si="13"/>
        <v>4.3676686572236001E-4</v>
      </c>
      <c r="AG26" s="921">
        <f t="shared" si="22"/>
        <v>-2</v>
      </c>
      <c r="AH26" s="176">
        <f t="shared" si="14"/>
        <v>4</v>
      </c>
      <c r="AI26" s="225">
        <f t="shared" si="15"/>
        <v>-1.9995632331342776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3"/>
        <v>43113</v>
      </c>
      <c r="B27" s="624"/>
      <c r="C27" s="968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8">
        <f t="shared" si="2"/>
        <v>0</v>
      </c>
      <c r="M27" s="970"/>
      <c r="N27" s="970"/>
      <c r="O27" s="324">
        <f t="shared" si="3"/>
        <v>0</v>
      </c>
      <c r="P27" s="169">
        <f>(INDEX(Models!$BJ27:$BT27,,T27)*(1-R27)+INDEX(Models!$BJ27:$BT27,,T27+1)*R27-ERP_i)*Q27*Ramure*Pc/MaxiM</f>
        <v>1.8476015734290163E-7</v>
      </c>
      <c r="Q27" s="305">
        <f t="shared" si="18"/>
        <v>0.7</v>
      </c>
      <c r="R27" s="177">
        <f t="shared" si="4"/>
        <v>4.8260423019153009E-4</v>
      </c>
      <c r="S27" s="921">
        <f t="shared" si="19"/>
        <v>-2</v>
      </c>
      <c r="T27" s="176">
        <f t="shared" si="20"/>
        <v>4</v>
      </c>
      <c r="U27" s="251">
        <f t="shared" si="21"/>
        <v>-1.9995173957698085</v>
      </c>
      <c r="V27" s="383">
        <f t="shared" si="5"/>
        <v>31.29626493936793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7">
        <f t="shared" si="11"/>
        <v>0</v>
      </c>
      <c r="AD27" s="169">
        <f>(INDEX(Models!$BJ27:$BT27,,AH27)*(1-AF27)+INDEX(Models!$BJ27:$BT27,,AH27+1)*AF27-ERP_i)*AE27*Ramure*Pc/MaxiM</f>
        <v>1.8476015734290163E-7</v>
      </c>
      <c r="AE27" s="305">
        <f t="shared" si="12"/>
        <v>0.7</v>
      </c>
      <c r="AF27" s="177">
        <f t="shared" si="13"/>
        <v>4.8260423019153009E-4</v>
      </c>
      <c r="AG27" s="921">
        <f t="shared" si="22"/>
        <v>-2</v>
      </c>
      <c r="AH27" s="176">
        <f t="shared" si="14"/>
        <v>4</v>
      </c>
      <c r="AI27" s="225">
        <f t="shared" si="15"/>
        <v>-1.9995173957698085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3"/>
        <v>43114</v>
      </c>
      <c r="B28" s="624"/>
      <c r="C28" s="968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8">
        <f t="shared" si="2"/>
        <v>0</v>
      </c>
      <c r="M28" s="970"/>
      <c r="N28" s="970"/>
      <c r="O28" s="324">
        <f t="shared" si="3"/>
        <v>0</v>
      </c>
      <c r="P28" s="169">
        <f>(INDEX(Models!$BJ28:$BT28,,T28)*(1-R28)+INDEX(Models!$BJ28:$BT28,,T28+1)*R28-ERP_i)*Q28*Ramure*Pc/MaxiM</f>
        <v>2.0357050559110517E-7</v>
      </c>
      <c r="Q28" s="305">
        <f t="shared" si="18"/>
        <v>0.7</v>
      </c>
      <c r="R28" s="177">
        <f t="shared" si="4"/>
        <v>5.303556205811244E-4</v>
      </c>
      <c r="S28" s="921">
        <f t="shared" si="19"/>
        <v>-2</v>
      </c>
      <c r="T28" s="176">
        <f t="shared" si="20"/>
        <v>4</v>
      </c>
      <c r="U28" s="251">
        <f t="shared" si="21"/>
        <v>-1.9994696443794189</v>
      </c>
      <c r="V28" s="383">
        <f t="shared" si="5"/>
        <v>31.539232122817545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7">
        <f t="shared" si="11"/>
        <v>0</v>
      </c>
      <c r="AD28" s="169">
        <f>(INDEX(Models!$BJ28:$BT28,,AH28)*(1-AF28)+INDEX(Models!$BJ28:$BT28,,AH28+1)*AF28-ERP_i)*AE28*Ramure*Pc/MaxiM</f>
        <v>2.0357050559110517E-7</v>
      </c>
      <c r="AE28" s="305">
        <f t="shared" si="12"/>
        <v>0.7</v>
      </c>
      <c r="AF28" s="177">
        <f t="shared" si="13"/>
        <v>5.303556205811244E-4</v>
      </c>
      <c r="AG28" s="921">
        <f t="shared" si="22"/>
        <v>-2</v>
      </c>
      <c r="AH28" s="176">
        <f t="shared" si="14"/>
        <v>4</v>
      </c>
      <c r="AI28" s="225">
        <f t="shared" si="15"/>
        <v>-1.9994696443794189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3"/>
        <v>43115</v>
      </c>
      <c r="B29" s="624"/>
      <c r="C29" s="968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8">
        <f t="shared" si="2"/>
        <v>0</v>
      </c>
      <c r="M29" s="970"/>
      <c r="N29" s="970"/>
      <c r="O29" s="324">
        <f t="shared" si="3"/>
        <v>0</v>
      </c>
      <c r="P29" s="169">
        <f>(INDEX(Models!$BJ29:$BT29,,T29)*(1-R29)+INDEX(Models!$BJ29:$BT29,,T29+1)*R29-ERP_i)*Q29*Ramure*Pc/MaxiM</f>
        <v>2.2285650270742682E-7</v>
      </c>
      <c r="Q29" s="305">
        <f t="shared" si="18"/>
        <v>0.7</v>
      </c>
      <c r="R29" s="177">
        <f t="shared" si="4"/>
        <v>5.8010057075330579E-4</v>
      </c>
      <c r="S29" s="921">
        <f t="shared" si="19"/>
        <v>-2</v>
      </c>
      <c r="T29" s="176">
        <f t="shared" si="20"/>
        <v>4</v>
      </c>
      <c r="U29" s="251">
        <f t="shared" si="21"/>
        <v>-1.9994198994292467</v>
      </c>
      <c r="V29" s="383">
        <f t="shared" si="5"/>
        <v>31.787018490276854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7">
        <f t="shared" si="11"/>
        <v>0</v>
      </c>
      <c r="AD29" s="169">
        <f>(INDEX(Models!$BJ29:$BT29,,AH29)*(1-AF29)+INDEX(Models!$BJ29:$BT29,,AH29+1)*AF29-ERP_i)*AE29*Ramure*Pc/MaxiM</f>
        <v>2.2285650270742682E-7</v>
      </c>
      <c r="AE29" s="305">
        <f t="shared" si="12"/>
        <v>0.7</v>
      </c>
      <c r="AF29" s="177">
        <f t="shared" si="13"/>
        <v>5.8010057075330579E-4</v>
      </c>
      <c r="AG29" s="921">
        <f t="shared" si="22"/>
        <v>-2</v>
      </c>
      <c r="AH29" s="176">
        <f t="shared" si="14"/>
        <v>4</v>
      </c>
      <c r="AI29" s="225">
        <f t="shared" si="15"/>
        <v>-1.9994198994292467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3"/>
        <v>43116</v>
      </c>
      <c r="B30" s="624"/>
      <c r="C30" s="968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8">
        <f t="shared" si="2"/>
        <v>0</v>
      </c>
      <c r="M30" s="970"/>
      <c r="N30" s="970"/>
      <c r="O30" s="324">
        <f t="shared" si="3"/>
        <v>0</v>
      </c>
      <c r="P30" s="169">
        <f>(INDEX(Models!$BJ30:$BT30,,T30)*(1-R30)+INDEX(Models!$BJ30:$BT30,,T30+1)*R30-ERP_i)*Q30*Ramure*Pc/MaxiM</f>
        <v>2.4255033698119806E-7</v>
      </c>
      <c r="Q30" s="305">
        <f t="shared" si="18"/>
        <v>0.7</v>
      </c>
      <c r="R30" s="177">
        <f t="shared" si="4"/>
        <v>6.3192188614658029E-4</v>
      </c>
      <c r="S30" s="921">
        <f t="shared" si="19"/>
        <v>-2</v>
      </c>
      <c r="T30" s="176">
        <f t="shared" si="20"/>
        <v>4</v>
      </c>
      <c r="U30" s="251">
        <f t="shared" si="21"/>
        <v>-1.9993680781138534</v>
      </c>
      <c r="V30" s="383">
        <f t="shared" si="5"/>
        <v>32.039987462935123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7">
        <f t="shared" si="11"/>
        <v>0</v>
      </c>
      <c r="AD30" s="169">
        <f>(INDEX(Models!$BJ30:$BT30,,AH30)*(1-AF30)+INDEX(Models!$BJ30:$BT30,,AH30+1)*AF30-ERP_i)*AE30*Ramure*Pc/MaxiM</f>
        <v>2.4255033698119806E-7</v>
      </c>
      <c r="AE30" s="305">
        <f t="shared" si="12"/>
        <v>0.7</v>
      </c>
      <c r="AF30" s="177">
        <f t="shared" si="13"/>
        <v>6.3192188614658029E-4</v>
      </c>
      <c r="AG30" s="921">
        <f t="shared" si="22"/>
        <v>-2</v>
      </c>
      <c r="AH30" s="176">
        <f t="shared" si="14"/>
        <v>4</v>
      </c>
      <c r="AI30" s="225">
        <f t="shared" si="15"/>
        <v>-1.9993680781138534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23"/>
        <v>43117</v>
      </c>
      <c r="B31" s="624"/>
      <c r="C31" s="968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8">
        <f t="shared" si="2"/>
        <v>0</v>
      </c>
      <c r="M31" s="970"/>
      <c r="N31" s="970"/>
      <c r="O31" s="324">
        <f t="shared" si="3"/>
        <v>0</v>
      </c>
      <c r="P31" s="169">
        <f>(INDEX(Models!$BJ31:$BT31,,T31)*(1-R31)+INDEX(Models!$BJ31:$BT31,,T31+1)*R31-ERP_i)*Q31*Ramure*Pc/MaxiM</f>
        <v>2.6243319914398831E-7</v>
      </c>
      <c r="Q31" s="305">
        <f t="shared" si="18"/>
        <v>0.7</v>
      </c>
      <c r="R31" s="177">
        <f t="shared" si="4"/>
        <v>6.8590577550065035E-4</v>
      </c>
      <c r="S31" s="921">
        <f t="shared" si="19"/>
        <v>-2</v>
      </c>
      <c r="T31" s="176">
        <f t="shared" si="20"/>
        <v>4</v>
      </c>
      <c r="U31" s="251">
        <f t="shared" si="21"/>
        <v>-1.9993140942244993</v>
      </c>
      <c r="V31" s="383">
        <f t="shared" si="5"/>
        <v>32.298502468641736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7">
        <f t="shared" si="11"/>
        <v>0</v>
      </c>
      <c r="AD31" s="169">
        <f>(INDEX(Models!$BJ31:$BT31,,AH31)*(1-AF31)+INDEX(Models!$BJ31:$BT31,,AH31+1)*AF31-ERP_i)*AE31*Ramure*Pc/MaxiM</f>
        <v>2.6243319914398831E-7</v>
      </c>
      <c r="AE31" s="305">
        <f t="shared" si="12"/>
        <v>0.7</v>
      </c>
      <c r="AF31" s="177">
        <f t="shared" si="13"/>
        <v>6.8590577550065035E-4</v>
      </c>
      <c r="AG31" s="921">
        <f t="shared" si="22"/>
        <v>-2</v>
      </c>
      <c r="AH31" s="176">
        <f t="shared" si="14"/>
        <v>4</v>
      </c>
      <c r="AI31" s="225">
        <f t="shared" si="15"/>
        <v>-1.9993140942244993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3"/>
        <v>43118</v>
      </c>
      <c r="B32" s="624"/>
      <c r="C32" s="968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8">
        <f t="shared" si="2"/>
        <v>0</v>
      </c>
      <c r="M32" s="970"/>
      <c r="N32" s="970"/>
      <c r="O32" s="324">
        <f t="shared" si="3"/>
        <v>0</v>
      </c>
      <c r="P32" s="169">
        <f>(INDEX(Models!$BJ32:$BT32,,T32)*(1-R32)+INDEX(Models!$BJ32:$BT32,,T32+1)*R32-ERP_i)*Q32*Ramure*Pc/MaxiM</f>
        <v>2.8242546896624176E-7</v>
      </c>
      <c r="Q32" s="305">
        <f t="shared" si="18"/>
        <v>0.7</v>
      </c>
      <c r="R32" s="177">
        <f t="shared" si="4"/>
        <v>7.4214198764233075E-4</v>
      </c>
      <c r="S32" s="921">
        <f t="shared" si="19"/>
        <v>-2</v>
      </c>
      <c r="T32" s="176">
        <f t="shared" si="20"/>
        <v>4</v>
      </c>
      <c r="U32" s="251">
        <f t="shared" si="21"/>
        <v>-1.9992578580123577</v>
      </c>
      <c r="V32" s="383">
        <f t="shared" si="5"/>
        <v>32.562926930157573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7">
        <f t="shared" si="11"/>
        <v>0</v>
      </c>
      <c r="AD32" s="169">
        <f>(INDEX(Models!$BJ32:$BT32,,AH32)*(1-AF32)+INDEX(Models!$BJ32:$BT32,,AH32+1)*AF32-ERP_i)*AE32*Ramure*Pc/MaxiM</f>
        <v>2.8242546896624176E-7</v>
      </c>
      <c r="AE32" s="305">
        <f t="shared" si="12"/>
        <v>0.7</v>
      </c>
      <c r="AF32" s="177">
        <f t="shared" si="13"/>
        <v>7.4214198764233075E-4</v>
      </c>
      <c r="AG32" s="921">
        <f t="shared" si="22"/>
        <v>-2</v>
      </c>
      <c r="AH32" s="176">
        <f t="shared" si="14"/>
        <v>4</v>
      </c>
      <c r="AI32" s="225">
        <f t="shared" si="15"/>
        <v>-1.9992578580123577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3"/>
        <v>43119</v>
      </c>
      <c r="B33" s="624"/>
      <c r="C33" s="968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8">
        <f t="shared" si="2"/>
        <v>0</v>
      </c>
      <c r="M33" s="970"/>
      <c r="N33" s="970"/>
      <c r="O33" s="324">
        <f t="shared" si="3"/>
        <v>0</v>
      </c>
      <c r="P33" s="169">
        <f>(INDEX(Models!$BJ33:$BT33,,T33)*(1-R33)+INDEX(Models!$BJ33:$BT33,,T33+1)*R33-ERP_i)*Q33*Ramure*Pc/MaxiM</f>
        <v>3.0244224896621271E-7</v>
      </c>
      <c r="Q33" s="305">
        <f t="shared" si="18"/>
        <v>0.7</v>
      </c>
      <c r="R33" s="177">
        <f t="shared" si="4"/>
        <v>8.0072395350327952E-4</v>
      </c>
      <c r="S33" s="921">
        <f t="shared" si="19"/>
        <v>-2</v>
      </c>
      <c r="T33" s="176">
        <f t="shared" si="20"/>
        <v>4</v>
      </c>
      <c r="U33" s="251">
        <f t="shared" si="21"/>
        <v>-1.9991992760464967</v>
      </c>
      <c r="V33" s="383">
        <f t="shared" si="5"/>
        <v>32.833624272170212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7">
        <f t="shared" si="11"/>
        <v>0</v>
      </c>
      <c r="AD33" s="169">
        <f>(INDEX(Models!$BJ33:$BT33,,AH33)*(1-AF33)+INDEX(Models!$BJ33:$BT33,,AH33+1)*AF33-ERP_i)*AE33*Ramure*Pc/MaxiM</f>
        <v>3.0244224896621271E-7</v>
      </c>
      <c r="AE33" s="305">
        <f t="shared" si="12"/>
        <v>0.7</v>
      </c>
      <c r="AF33" s="177">
        <f t="shared" si="13"/>
        <v>8.0072395350327952E-4</v>
      </c>
      <c r="AG33" s="921">
        <f t="shared" si="22"/>
        <v>-2</v>
      </c>
      <c r="AH33" s="176">
        <f t="shared" si="14"/>
        <v>4</v>
      </c>
      <c r="AI33" s="225">
        <f t="shared" si="15"/>
        <v>-1.9991992760464967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3"/>
        <v>43120</v>
      </c>
      <c r="B34" s="624"/>
      <c r="C34" s="968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8">
        <f t="shared" si="2"/>
        <v>0</v>
      </c>
      <c r="M34" s="970"/>
      <c r="N34" s="970"/>
      <c r="O34" s="324">
        <f t="shared" si="3"/>
        <v>0</v>
      </c>
      <c r="P34" s="169">
        <f>(INDEX(Models!$BJ34:$BT34,,T34)*(1-R34)+INDEX(Models!$BJ34:$BT34,,T34+1)*R34-ERP_i)*Q34*Ramure*Pc/MaxiM</f>
        <v>3.2239502351619403E-7</v>
      </c>
      <c r="Q34" s="305">
        <f t="shared" si="18"/>
        <v>0.7</v>
      </c>
      <c r="R34" s="177">
        <f t="shared" si="4"/>
        <v>8.617489335460693E-4</v>
      </c>
      <c r="S34" s="921">
        <f t="shared" si="19"/>
        <v>-2</v>
      </c>
      <c r="T34" s="176">
        <f t="shared" si="20"/>
        <v>4</v>
      </c>
      <c r="U34" s="251">
        <f t="shared" si="21"/>
        <v>-1.9991382510664539</v>
      </c>
      <c r="V34" s="383">
        <f t="shared" si="5"/>
        <v>33.110957917738574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7">
        <f t="shared" si="11"/>
        <v>0</v>
      </c>
      <c r="AD34" s="169">
        <f>(INDEX(Models!$BJ34:$BT34,,AH34)*(1-AF34)+INDEX(Models!$BJ34:$BT34,,AH34+1)*AF34-ERP_i)*AE34*Ramure*Pc/MaxiM</f>
        <v>3.2239502351619403E-7</v>
      </c>
      <c r="AE34" s="305">
        <f t="shared" si="12"/>
        <v>0.7</v>
      </c>
      <c r="AF34" s="177">
        <f t="shared" si="13"/>
        <v>8.617489335460693E-4</v>
      </c>
      <c r="AG34" s="921">
        <f t="shared" si="22"/>
        <v>-2</v>
      </c>
      <c r="AH34" s="176">
        <f t="shared" si="14"/>
        <v>4</v>
      </c>
      <c r="AI34" s="225">
        <f t="shared" si="15"/>
        <v>-1.9991382510664539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3"/>
        <v>43121</v>
      </c>
      <c r="B35" s="624"/>
      <c r="C35" s="968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8">
        <f t="shared" si="2"/>
        <v>0</v>
      </c>
      <c r="M35" s="970"/>
      <c r="N35" s="970"/>
      <c r="O35" s="324">
        <f t="shared" si="3"/>
        <v>0</v>
      </c>
      <c r="P35" s="169">
        <f>(INDEX(Models!$BJ35:$BT35,,T35)*(1-R35)+INDEX(Models!$BJ35:$BT35,,T35+1)*R35-ERP_i)*Q35*Ramure*Pc/MaxiM</f>
        <v>3.4219103577360474E-7</v>
      </c>
      <c r="Q35" s="305">
        <f t="shared" si="18"/>
        <v>0.7</v>
      </c>
      <c r="R35" s="177">
        <f t="shared" si="4"/>
        <v>9.2531817078223E-4</v>
      </c>
      <c r="S35" s="921">
        <f t="shared" si="19"/>
        <v>-2</v>
      </c>
      <c r="T35" s="176">
        <f t="shared" si="20"/>
        <v>4</v>
      </c>
      <c r="U35" s="251">
        <f t="shared" si="21"/>
        <v>-1.9990746818292178</v>
      </c>
      <c r="V35" s="383">
        <f t="shared" si="5"/>
        <v>33.395291289974104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7">
        <f t="shared" si="11"/>
        <v>0</v>
      </c>
      <c r="AD35" s="169">
        <f>(INDEX(Models!$BJ35:$BT35,,AH35)*(1-AF35)+INDEX(Models!$BJ35:$BT35,,AH35+1)*AF35-ERP_i)*AE35*Ramure*Pc/MaxiM</f>
        <v>3.4219103577360474E-7</v>
      </c>
      <c r="AE35" s="305">
        <f t="shared" si="12"/>
        <v>0.7</v>
      </c>
      <c r="AF35" s="177">
        <f t="shared" si="13"/>
        <v>9.2531817078223E-4</v>
      </c>
      <c r="AG35" s="921">
        <f t="shared" si="22"/>
        <v>-2</v>
      </c>
      <c r="AH35" s="176">
        <f t="shared" si="14"/>
        <v>4</v>
      </c>
      <c r="AI35" s="225">
        <f t="shared" si="15"/>
        <v>-1.9990746818292178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3"/>
        <v>43122</v>
      </c>
      <c r="B36" s="624"/>
      <c r="C36" s="968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8">
        <f t="shared" si="2"/>
        <v>0</v>
      </c>
      <c r="M36" s="970"/>
      <c r="N36" s="970"/>
      <c r="O36" s="324">
        <f t="shared" si="3"/>
        <v>0</v>
      </c>
      <c r="P36" s="169">
        <f>(INDEX(Models!$BJ36:$BT36,,T36)*(1-R36)+INDEX(Models!$BJ36:$BT36,,T36+1)*R36-ERP_i)*Q36*Ramure*Pc/MaxiM</f>
        <v>3.6173092886301908E-7</v>
      </c>
      <c r="Q36" s="305">
        <f t="shared" si="18"/>
        <v>0.7</v>
      </c>
      <c r="R36" s="177">
        <f t="shared" si="4"/>
        <v>9.9153704956433941E-4</v>
      </c>
      <c r="S36" s="921">
        <f t="shared" si="19"/>
        <v>-2</v>
      </c>
      <c r="T36" s="176">
        <f t="shared" si="20"/>
        <v>4</v>
      </c>
      <c r="U36" s="251">
        <f t="shared" si="21"/>
        <v>-1.9990084629504357</v>
      </c>
      <c r="V36" s="383">
        <f t="shared" si="5"/>
        <v>33.686987814101983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7">
        <f t="shared" si="11"/>
        <v>0</v>
      </c>
      <c r="AD36" s="169">
        <f>(INDEX(Models!$BJ36:$BT36,,AH36)*(1-AF36)+INDEX(Models!$BJ36:$BT36,,AH36+1)*AF36-ERP_i)*AE36*Ramure*Pc/MaxiM</f>
        <v>3.6173092886301908E-7</v>
      </c>
      <c r="AE36" s="305">
        <f t="shared" si="12"/>
        <v>0.7</v>
      </c>
      <c r="AF36" s="177">
        <f t="shared" si="13"/>
        <v>9.9153704956433941E-4</v>
      </c>
      <c r="AG36" s="921">
        <f t="shared" si="22"/>
        <v>-2</v>
      </c>
      <c r="AH36" s="176">
        <f t="shared" si="14"/>
        <v>4</v>
      </c>
      <c r="AI36" s="225">
        <f t="shared" si="15"/>
        <v>-1.9990084629504357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3"/>
        <v>43123</v>
      </c>
      <c r="B37" s="624"/>
      <c r="C37" s="968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8">
        <f t="shared" si="2"/>
        <v>0</v>
      </c>
      <c r="M37" s="970"/>
      <c r="N37" s="970"/>
      <c r="O37" s="324">
        <f t="shared" si="3"/>
        <v>0</v>
      </c>
      <c r="P37" s="169">
        <f>(INDEX(Models!$BJ37:$BT37,,T37)*(1-R37)+INDEX(Models!$BJ37:$BT37,,T37+1)*R37-ERP_i)*Q37*Ramure*Pc/MaxiM</f>
        <v>3.8089125503589267E-7</v>
      </c>
      <c r="Q37" s="305">
        <f t="shared" si="18"/>
        <v>0.7</v>
      </c>
      <c r="R37" s="177">
        <f t="shared" si="4"/>
        <v>1.0605152603415657E-3</v>
      </c>
      <c r="S37" s="921">
        <f t="shared" si="19"/>
        <v>-2</v>
      </c>
      <c r="T37" s="176">
        <f t="shared" si="20"/>
        <v>4</v>
      </c>
      <c r="U37" s="251">
        <f t="shared" si="21"/>
        <v>-1.9989394847396584</v>
      </c>
      <c r="V37" s="383">
        <f t="shared" si="5"/>
        <v>33.988068958857298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7">
        <f t="shared" si="11"/>
        <v>0</v>
      </c>
      <c r="AD37" s="169">
        <f>(INDEX(Models!$BJ37:$BT37,,AH37)*(1-AF37)+INDEX(Models!$BJ37:$BT37,,AH37+1)*AF37-ERP_i)*AE37*Ramure*Pc/MaxiM</f>
        <v>3.8089125503589267E-7</v>
      </c>
      <c r="AE37" s="305">
        <f t="shared" si="12"/>
        <v>0.7</v>
      </c>
      <c r="AF37" s="177">
        <f t="shared" si="13"/>
        <v>1.0605152603415657E-3</v>
      </c>
      <c r="AG37" s="921">
        <f t="shared" si="22"/>
        <v>-2</v>
      </c>
      <c r="AH37" s="176">
        <f t="shared" si="14"/>
        <v>4</v>
      </c>
      <c r="AI37" s="225">
        <f t="shared" si="15"/>
        <v>-1.9989394847396584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3"/>
        <v>43124</v>
      </c>
      <c r="B38" s="624"/>
      <c r="C38" s="968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8">
        <f t="shared" si="2"/>
        <v>0</v>
      </c>
      <c r="M38" s="970"/>
      <c r="N38" s="970"/>
      <c r="O38" s="324">
        <f t="shared" si="3"/>
        <v>0</v>
      </c>
      <c r="P38" s="169">
        <f>(INDEX(Models!$BJ38:$BT38,,T38)*(1-R38)+INDEX(Models!$BJ38:$BT38,,T38+1)*R38-ERP_i)*Q38*Ramure*Pc/MaxiM</f>
        <v>3.9992328554758351E-7</v>
      </c>
      <c r="Q38" s="305">
        <f t="shared" si="18"/>
        <v>0.7</v>
      </c>
      <c r="R38" s="177">
        <f t="shared" si="4"/>
        <v>1.1323669705709527E-3</v>
      </c>
      <c r="S38" s="921">
        <f t="shared" si="19"/>
        <v>-2</v>
      </c>
      <c r="T38" s="176">
        <f t="shared" si="20"/>
        <v>4</v>
      </c>
      <c r="U38" s="251">
        <f t="shared" si="21"/>
        <v>-1.998867633029429</v>
      </c>
      <c r="V38" s="383">
        <f t="shared" si="5"/>
        <v>34.299524182866421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7">
        <f t="shared" si="11"/>
        <v>0</v>
      </c>
      <c r="AD38" s="169">
        <f>(INDEX(Models!$BJ38:$BT38,,AH38)*(1-AF38)+INDEX(Models!$BJ38:$BT38,,AH38+1)*AF38-ERP_i)*AE38*Ramure*Pc/MaxiM</f>
        <v>3.9992328554758351E-7</v>
      </c>
      <c r="AE38" s="305">
        <f t="shared" si="12"/>
        <v>0.7</v>
      </c>
      <c r="AF38" s="177">
        <f t="shared" si="13"/>
        <v>1.1323669705709527E-3</v>
      </c>
      <c r="AG38" s="921">
        <f t="shared" si="22"/>
        <v>-2</v>
      </c>
      <c r="AH38" s="176">
        <f t="shared" si="14"/>
        <v>4</v>
      </c>
      <c r="AI38" s="225">
        <f t="shared" si="15"/>
        <v>-1.998867633029429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3"/>
        <v>43125</v>
      </c>
      <c r="B39" s="624"/>
      <c r="C39" s="968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8">
        <f t="shared" si="2"/>
        <v>0</v>
      </c>
      <c r="M39" s="970"/>
      <c r="N39" s="970"/>
      <c r="O39" s="324">
        <f t="shared" si="3"/>
        <v>0</v>
      </c>
      <c r="P39" s="169">
        <f>(INDEX(Models!$BJ39:$BT39,,T39)*(1-R39)+INDEX(Models!$BJ39:$BT39,,T39+1)*R39-ERP_i)*Q39*Ramure*Pc/MaxiM</f>
        <v>4.1935448737573167E-7</v>
      </c>
      <c r="Q39" s="305">
        <f t="shared" si="18"/>
        <v>0.7</v>
      </c>
      <c r="R39" s="177">
        <f t="shared" si="4"/>
        <v>1.2072110019791804E-3</v>
      </c>
      <c r="S39" s="921">
        <f t="shared" si="19"/>
        <v>-2</v>
      </c>
      <c r="T39" s="176">
        <f t="shared" si="20"/>
        <v>4</v>
      </c>
      <c r="U39" s="251">
        <f t="shared" si="21"/>
        <v>-1.9987927889980208</v>
      </c>
      <c r="V39" s="383">
        <f t="shared" si="5"/>
        <v>34.620168881197039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7">
        <f t="shared" si="11"/>
        <v>0</v>
      </c>
      <c r="AD39" s="169">
        <f>(INDEX(Models!$BJ39:$BT39,,AH39)*(1-AF39)+INDEX(Models!$BJ39:$BT39,,AH39+1)*AF39-ERP_i)*AE39*Ramure*Pc/MaxiM</f>
        <v>4.1935448737573167E-7</v>
      </c>
      <c r="AE39" s="305">
        <f t="shared" si="12"/>
        <v>0.7</v>
      </c>
      <c r="AF39" s="177">
        <f t="shared" si="13"/>
        <v>1.2072110019791804E-3</v>
      </c>
      <c r="AG39" s="921">
        <f t="shared" si="22"/>
        <v>-2</v>
      </c>
      <c r="AH39" s="176">
        <f t="shared" si="14"/>
        <v>4</v>
      </c>
      <c r="AI39" s="225">
        <f t="shared" si="15"/>
        <v>-1.9987927889980208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23"/>
        <v>43126</v>
      </c>
      <c r="B40" s="624"/>
      <c r="C40" s="968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8">
        <f t="shared" si="2"/>
        <v>0</v>
      </c>
      <c r="M40" s="970"/>
      <c r="N40" s="970"/>
      <c r="O40" s="324">
        <f t="shared" si="3"/>
        <v>0</v>
      </c>
      <c r="P40" s="169">
        <f>(INDEX(Models!$BJ40:$BT40,,T40)*(1-R40)+INDEX(Models!$BJ40:$BT40,,T40+1)*R40-ERP_i)*Q40*Ramure*Pc/MaxiM</f>
        <v>4.3924545381042497E-7</v>
      </c>
      <c r="Q40" s="305">
        <f t="shared" si="18"/>
        <v>0.7</v>
      </c>
      <c r="R40" s="177">
        <f t="shared" si="4"/>
        <v>1.2851710143719774E-3</v>
      </c>
      <c r="S40" s="921">
        <f t="shared" si="19"/>
        <v>-2</v>
      </c>
      <c r="T40" s="176">
        <f t="shared" si="20"/>
        <v>4</v>
      </c>
      <c r="U40" s="251">
        <f t="shared" si="21"/>
        <v>-1.998714828985628</v>
      </c>
      <c r="V40" s="383">
        <f t="shared" si="5"/>
        <v>34.948818468016462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7">
        <f t="shared" si="11"/>
        <v>0</v>
      </c>
      <c r="AD40" s="169">
        <f>(INDEX(Models!$BJ40:$BT40,,AH40)*(1-AF40)+INDEX(Models!$BJ40:$BT40,,AH40+1)*AF40-ERP_i)*AE40*Ramure*Pc/MaxiM</f>
        <v>4.3924545381042497E-7</v>
      </c>
      <c r="AE40" s="305">
        <f t="shared" si="12"/>
        <v>0.7</v>
      </c>
      <c r="AF40" s="177">
        <f t="shared" si="13"/>
        <v>1.2851710143719774E-3</v>
      </c>
      <c r="AG40" s="921">
        <f t="shared" si="22"/>
        <v>-2</v>
      </c>
      <c r="AH40" s="176">
        <f t="shared" si="14"/>
        <v>4</v>
      </c>
      <c r="AI40" s="225">
        <f t="shared" si="15"/>
        <v>-1.998714828985628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3"/>
        <v>43127</v>
      </c>
      <c r="B41" s="624"/>
      <c r="C41" s="968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8">
        <f t="shared" si="2"/>
        <v>0</v>
      </c>
      <c r="M41" s="970"/>
      <c r="N41" s="970"/>
      <c r="O41" s="324">
        <f t="shared" si="3"/>
        <v>0</v>
      </c>
      <c r="P41" s="169">
        <f>(INDEX(Models!$BJ41:$BT41,,T41)*(1-R41)+INDEX(Models!$BJ41:$BT41,,T41+1)*R41-ERP_i)*Q41*Ramure*Pc/MaxiM</f>
        <v>4.5966160005211096E-7</v>
      </c>
      <c r="Q41" s="305">
        <f t="shared" si="18"/>
        <v>0.7</v>
      </c>
      <c r="R41" s="177">
        <f t="shared" si="4"/>
        <v>1.366375696193689E-3</v>
      </c>
      <c r="S41" s="921">
        <f t="shared" si="19"/>
        <v>-2</v>
      </c>
      <c r="T41" s="176">
        <f t="shared" si="20"/>
        <v>4</v>
      </c>
      <c r="U41" s="251">
        <f t="shared" si="21"/>
        <v>-1.9986336243038063</v>
      </c>
      <c r="V41" s="383">
        <f t="shared" si="5"/>
        <v>35.284288353482644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7">
        <f t="shared" si="11"/>
        <v>0</v>
      </c>
      <c r="AD41" s="169">
        <f>(INDEX(Models!$BJ41:$BT41,,AH41)*(1-AF41)+INDEX(Models!$BJ41:$BT41,,AH41+1)*AF41-ERP_i)*AE41*Ramure*Pc/MaxiM</f>
        <v>4.5966160005211096E-7</v>
      </c>
      <c r="AE41" s="305">
        <f t="shared" si="12"/>
        <v>0.7</v>
      </c>
      <c r="AF41" s="177">
        <f t="shared" si="13"/>
        <v>1.366375696193689E-3</v>
      </c>
      <c r="AG41" s="921">
        <f t="shared" si="22"/>
        <v>-2</v>
      </c>
      <c r="AH41" s="176">
        <f t="shared" si="14"/>
        <v>4</v>
      </c>
      <c r="AI41" s="225">
        <f t="shared" si="15"/>
        <v>-1.9986336243038063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23"/>
        <v>43128</v>
      </c>
      <c r="B42" s="624"/>
      <c r="C42" s="968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8">
        <f t="shared" si="2"/>
        <v>0</v>
      </c>
      <c r="M42" s="970"/>
      <c r="N42" s="970"/>
      <c r="O42" s="324">
        <f t="shared" si="3"/>
        <v>0</v>
      </c>
      <c r="P42" s="169">
        <f>(INDEX(Models!$BJ42:$BT42,,T42)*(1-R42)+INDEX(Models!$BJ42:$BT42,,T42+1)*R42-ERP_i)*Q42*Ramure*Pc/MaxiM</f>
        <v>4.8067328134820706E-7</v>
      </c>
      <c r="Q42" s="305">
        <f t="shared" si="18"/>
        <v>0.7</v>
      </c>
      <c r="R42" s="177">
        <f t="shared" si="4"/>
        <v>1.4509589620397279E-3</v>
      </c>
      <c r="S42" s="921">
        <f t="shared" si="19"/>
        <v>-2</v>
      </c>
      <c r="T42" s="176">
        <f t="shared" si="20"/>
        <v>4</v>
      </c>
      <c r="U42" s="251">
        <f t="shared" si="21"/>
        <v>-1.9985490410379603</v>
      </c>
      <c r="V42" s="383">
        <f t="shared" si="5"/>
        <v>35.62539395409739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7">
        <f t="shared" si="11"/>
        <v>0</v>
      </c>
      <c r="AD42" s="169">
        <f>(INDEX(Models!$BJ42:$BT42,,AH42)*(1-AF42)+INDEX(Models!$BJ42:$BT42,,AH42+1)*AF42-ERP_i)*AE42*Ramure*Pc/MaxiM</f>
        <v>4.8067328134820706E-7</v>
      </c>
      <c r="AE42" s="305">
        <f t="shared" si="12"/>
        <v>0.7</v>
      </c>
      <c r="AF42" s="177">
        <f t="shared" si="13"/>
        <v>1.4509589620397279E-3</v>
      </c>
      <c r="AG42" s="921">
        <f t="shared" si="22"/>
        <v>-2</v>
      </c>
      <c r="AH42" s="176">
        <f t="shared" si="14"/>
        <v>4</v>
      </c>
      <c r="AI42" s="225">
        <f t="shared" si="15"/>
        <v>-1.9985490410379603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3"/>
        <v>43129</v>
      </c>
      <c r="B43" s="624"/>
      <c r="C43" s="968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8">
        <f t="shared" si="2"/>
        <v>0</v>
      </c>
      <c r="M43" s="970"/>
      <c r="N43" s="970"/>
      <c r="O43" s="324">
        <f t="shared" si="3"/>
        <v>0</v>
      </c>
      <c r="P43" s="169">
        <f>(INDEX(Models!$BJ43:$BT43,,T43)*(1-R43)+INDEX(Models!$BJ43:$BT43,,T43+1)*R43-ERP_i)*Q43*Ramure*Pc/MaxiM</f>
        <v>5.0235595435462722E-7</v>
      </c>
      <c r="Q43" s="305">
        <f t="shared" si="18"/>
        <v>0.7</v>
      </c>
      <c r="R43" s="177">
        <f t="shared" si="4"/>
        <v>1.5390601573248563E-3</v>
      </c>
      <c r="S43" s="921">
        <f t="shared" si="19"/>
        <v>-2</v>
      </c>
      <c r="T43" s="176">
        <f t="shared" si="20"/>
        <v>4</v>
      </c>
      <c r="U43" s="251">
        <f t="shared" si="21"/>
        <v>-1.9984609398426751</v>
      </c>
      <c r="V43" s="383">
        <f t="shared" si="5"/>
        <v>35.970950679376642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7">
        <f t="shared" si="11"/>
        <v>0</v>
      </c>
      <c r="AD43" s="169">
        <f>(INDEX(Models!$BJ43:$BT43,,AH43)*(1-AF43)+INDEX(Models!$BJ43:$BT43,,AH43+1)*AF43-ERP_i)*AE43*Ramure*Pc/MaxiM</f>
        <v>5.0235595435462722E-7</v>
      </c>
      <c r="AE43" s="305">
        <f t="shared" si="12"/>
        <v>0.7</v>
      </c>
      <c r="AF43" s="177">
        <f t="shared" si="13"/>
        <v>1.5390601573248563E-3</v>
      </c>
      <c r="AG43" s="921">
        <f t="shared" si="22"/>
        <v>-2</v>
      </c>
      <c r="AH43" s="176">
        <f t="shared" si="14"/>
        <v>4</v>
      </c>
      <c r="AI43" s="225">
        <f t="shared" si="15"/>
        <v>-1.9984609398426751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23"/>
        <v>43130</v>
      </c>
      <c r="B44" s="624"/>
      <c r="C44" s="968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8">
        <f t="shared" si="2"/>
        <v>0</v>
      </c>
      <c r="M44" s="970"/>
      <c r="N44" s="970"/>
      <c r="O44" s="324">
        <f t="shared" si="3"/>
        <v>0</v>
      </c>
      <c r="P44" s="169">
        <f>(INDEX(Models!$BJ44:$BT44,,T44)*(1-R44)+INDEX(Models!$BJ44:$BT44,,T44+1)*R44-ERP_i)*Q44*Ramure*Pc/MaxiM</f>
        <v>5.2494990255858129E-7</v>
      </c>
      <c r="Q44" s="305">
        <f t="shared" si="18"/>
        <v>0.7</v>
      </c>
      <c r="R44" s="177">
        <f t="shared" si="4"/>
        <v>1.630824270318465E-3</v>
      </c>
      <c r="S44" s="921">
        <f t="shared" si="19"/>
        <v>-2</v>
      </c>
      <c r="T44" s="176">
        <f t="shared" si="20"/>
        <v>4</v>
      </c>
      <c r="U44" s="251">
        <f t="shared" si="21"/>
        <v>-1.9983691757296815</v>
      </c>
      <c r="V44" s="383">
        <f t="shared" si="5"/>
        <v>36.319773936288833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7">
        <f t="shared" si="11"/>
        <v>0</v>
      </c>
      <c r="AD44" s="169">
        <f>(INDEX(Models!$BJ44:$BT44,,AH44)*(1-AF44)+INDEX(Models!$BJ44:$BT44,,AH44+1)*AF44-ERP_i)*AE44*Ramure*Pc/MaxiM</f>
        <v>5.2494990255858129E-7</v>
      </c>
      <c r="AE44" s="305">
        <f t="shared" si="12"/>
        <v>0.7</v>
      </c>
      <c r="AF44" s="177">
        <f t="shared" si="13"/>
        <v>1.630824270318465E-3</v>
      </c>
      <c r="AG44" s="921">
        <f t="shared" si="22"/>
        <v>-2</v>
      </c>
      <c r="AH44" s="176">
        <f t="shared" si="14"/>
        <v>4</v>
      </c>
      <c r="AI44" s="225">
        <f t="shared" si="15"/>
        <v>-1.9983691757296815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23"/>
        <v>43131</v>
      </c>
      <c r="B45" s="624"/>
      <c r="C45" s="968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8">
        <f t="shared" si="2"/>
        <v>0</v>
      </c>
      <c r="M45" s="970"/>
      <c r="N45" s="970"/>
      <c r="O45" s="324">
        <f t="shared" si="3"/>
        <v>0</v>
      </c>
      <c r="P45" s="169">
        <f>(INDEX(Models!$BJ45:$BT45,,T45)*(1-R45)+INDEX(Models!$BJ45:$BT45,,T45+1)*R45-ERP_i)*Q45*Ramure*Pc/MaxiM</f>
        <v>5.4868605459077822E-7</v>
      </c>
      <c r="Q45" s="305">
        <f t="shared" si="18"/>
        <v>0.7</v>
      </c>
      <c r="R45" s="177">
        <f t="shared" si="4"/>
        <v>1.7264021517484629E-3</v>
      </c>
      <c r="S45" s="921">
        <f t="shared" si="19"/>
        <v>-2</v>
      </c>
      <c r="T45" s="176">
        <f t="shared" si="20"/>
        <v>4</v>
      </c>
      <c r="U45" s="251">
        <f t="shared" si="21"/>
        <v>-1.9982735978482515</v>
      </c>
      <c r="V45" s="383">
        <f t="shared" si="5"/>
        <v>36.670679131626613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7">
        <f t="shared" si="11"/>
        <v>0</v>
      </c>
      <c r="AD45" s="169">
        <f>(INDEX(Models!$BJ45:$BT45,,AH45)*(1-AF45)+INDEX(Models!$BJ45:$BT45,,AH45+1)*AF45-ERP_i)*AE45*Ramure*Pc/MaxiM</f>
        <v>5.4868605459077822E-7</v>
      </c>
      <c r="AE45" s="305">
        <f t="shared" si="12"/>
        <v>0.7</v>
      </c>
      <c r="AF45" s="177">
        <f t="shared" si="13"/>
        <v>1.7264021517484629E-3</v>
      </c>
      <c r="AG45" s="921">
        <f t="shared" si="22"/>
        <v>-2</v>
      </c>
      <c r="AH45" s="176">
        <f t="shared" si="14"/>
        <v>4</v>
      </c>
      <c r="AI45" s="225">
        <f t="shared" si="15"/>
        <v>-1.9982735978482515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23"/>
        <v>43132</v>
      </c>
      <c r="B46" s="624"/>
      <c r="C46" s="968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8">
        <f t="shared" si="2"/>
        <v>0</v>
      </c>
      <c r="M46" s="970"/>
      <c r="N46" s="970"/>
      <c r="O46" s="324">
        <f t="shared" si="3"/>
        <v>0</v>
      </c>
      <c r="P46" s="169">
        <f>(INDEX(Models!$BJ46:$BT46,,T46)*(1-R46)+INDEX(Models!$BJ46:$BT46,,T46+1)*R46-ERP_i)*Q46*Ramure*Pc/MaxiM</f>
        <v>5.7369960772095936E-7</v>
      </c>
      <c r="Q46" s="305">
        <f t="shared" si="18"/>
        <v>0.7</v>
      </c>
      <c r="R46" s="177">
        <f t="shared" si="4"/>
        <v>1.825950742188942E-3</v>
      </c>
      <c r="S46" s="921">
        <f t="shared" si="19"/>
        <v>-2</v>
      </c>
      <c r="T46" s="176">
        <f t="shared" si="20"/>
        <v>4</v>
      </c>
      <c r="U46" s="251">
        <f t="shared" si="21"/>
        <v>-1.9981740492578111</v>
      </c>
      <c r="V46" s="383">
        <f t="shared" si="5"/>
        <v>37.022481675113873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7">
        <f t="shared" si="11"/>
        <v>0</v>
      </c>
      <c r="AD46" s="169">
        <f>(INDEX(Models!$BJ46:$BT46,,AH46)*(1-AF46)+INDEX(Models!$BJ46:$BT46,,AH46+1)*AF46-ERP_i)*AE46*Ramure*Pc/MaxiM</f>
        <v>5.7369960772095936E-7</v>
      </c>
      <c r="AE46" s="305">
        <f t="shared" si="12"/>
        <v>0.7</v>
      </c>
      <c r="AF46" s="177">
        <f t="shared" si="13"/>
        <v>1.825950742188942E-3</v>
      </c>
      <c r="AG46" s="921">
        <f t="shared" si="22"/>
        <v>-2</v>
      </c>
      <c r="AH46" s="176">
        <f t="shared" si="14"/>
        <v>4</v>
      </c>
      <c r="AI46" s="225">
        <f t="shared" si="15"/>
        <v>-1.9981740492578111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23"/>
        <v>43133</v>
      </c>
      <c r="B47" s="624"/>
      <c r="C47" s="968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8">
        <f t="shared" si="2"/>
        <v>0</v>
      </c>
      <c r="M47" s="970"/>
      <c r="N47" s="970"/>
      <c r="O47" s="324">
        <f t="shared" si="3"/>
        <v>0</v>
      </c>
      <c r="P47" s="169">
        <f>(INDEX(Models!$BJ47:$BT47,,T47)*(1-R47)+INDEX(Models!$BJ47:$BT47,,T47+1)*R47-ERP_i)*Q47*Ramure*Pc/MaxiM</f>
        <v>6.0013465851862919E-7</v>
      </c>
      <c r="Q47" s="305">
        <f t="shared" si="18"/>
        <v>0.7</v>
      </c>
      <c r="R47" s="177">
        <f t="shared" si="4"/>
        <v>1.9296333074336758E-3</v>
      </c>
      <c r="S47" s="921">
        <f t="shared" si="19"/>
        <v>-2</v>
      </c>
      <c r="T47" s="176">
        <f t="shared" si="20"/>
        <v>4</v>
      </c>
      <c r="U47" s="251">
        <f t="shared" si="21"/>
        <v>-1.9980703666925663</v>
      </c>
      <c r="V47" s="383">
        <f t="shared" si="5"/>
        <v>37.373996976293682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7">
        <f t="shared" si="11"/>
        <v>0</v>
      </c>
      <c r="AD47" s="169">
        <f>(INDEX(Models!$BJ47:$BT47,,AH47)*(1-AF47)+INDEX(Models!$BJ47:$BT47,,AH47+1)*AF47-ERP_i)*AE47*Ramure*Pc/MaxiM</f>
        <v>6.0013465851862919E-7</v>
      </c>
      <c r="AE47" s="305">
        <f t="shared" si="12"/>
        <v>0.7</v>
      </c>
      <c r="AF47" s="177">
        <f t="shared" si="13"/>
        <v>1.9296333074336758E-3</v>
      </c>
      <c r="AG47" s="921">
        <f t="shared" si="22"/>
        <v>-2</v>
      </c>
      <c r="AH47" s="176">
        <f t="shared" si="14"/>
        <v>4</v>
      </c>
      <c r="AI47" s="225">
        <f t="shared" si="15"/>
        <v>-1.9980703666925663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23"/>
        <v>43134</v>
      </c>
      <c r="B48" s="624"/>
      <c r="C48" s="968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8">
        <f t="shared" si="2"/>
        <v>0</v>
      </c>
      <c r="M48" s="970"/>
      <c r="N48" s="970"/>
      <c r="O48" s="324">
        <f t="shared" si="3"/>
        <v>0</v>
      </c>
      <c r="P48" s="169">
        <f>(INDEX(Models!$BJ48:$BT48,,T48)*(1-R48)+INDEX(Models!$BJ48:$BT48,,T48+1)*R48-ERP_i)*Q48*Ramure*Pc/MaxiM</f>
        <v>6.2814491311669239E-7</v>
      </c>
      <c r="Q48" s="305">
        <f t="shared" si="18"/>
        <v>0.7</v>
      </c>
      <c r="R48" s="177">
        <f t="shared" si="4"/>
        <v>2.037619682066838E-3</v>
      </c>
      <c r="S48" s="921">
        <f t="shared" si="19"/>
        <v>-2</v>
      </c>
      <c r="T48" s="176">
        <f t="shared" si="20"/>
        <v>4</v>
      </c>
      <c r="U48" s="251">
        <f t="shared" si="21"/>
        <v>-1.9979623803179332</v>
      </c>
      <c r="V48" s="383">
        <f t="shared" si="5"/>
        <v>37.724040443683151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7">
        <f t="shared" si="11"/>
        <v>0</v>
      </c>
      <c r="AD48" s="169">
        <f>(INDEX(Models!$BJ48:$BT48,,AH48)*(1-AF48)+INDEX(Models!$BJ48:$BT48,,AH48+1)*AF48-ERP_i)*AE48*Ramure*Pc/MaxiM</f>
        <v>6.2814491311669239E-7</v>
      </c>
      <c r="AE48" s="305">
        <f t="shared" si="12"/>
        <v>0.7</v>
      </c>
      <c r="AF48" s="177">
        <f t="shared" si="13"/>
        <v>2.037619682066838E-3</v>
      </c>
      <c r="AG48" s="921">
        <f t="shared" si="22"/>
        <v>-2</v>
      </c>
      <c r="AH48" s="176">
        <f t="shared" si="14"/>
        <v>4</v>
      </c>
      <c r="AI48" s="225">
        <f t="shared" si="15"/>
        <v>-1.9979623803179332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23"/>
        <v>43135</v>
      </c>
      <c r="B49" s="624"/>
      <c r="C49" s="968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8">
        <f t="shared" si="2"/>
        <v>0</v>
      </c>
      <c r="M49" s="970"/>
      <c r="N49" s="970"/>
      <c r="O49" s="324">
        <f t="shared" si="3"/>
        <v>0</v>
      </c>
      <c r="P49" s="169">
        <f>(INDEX(Models!$BJ49:$BT49,,T49)*(1-R49)+INDEX(Models!$BJ49:$BT49,,T49+1)*R49-ERP_i)*Q49*Ramure*Pc/MaxiM</f>
        <v>6.5789449474094707E-7</v>
      </c>
      <c r="Q49" s="305">
        <f t="shared" si="18"/>
        <v>0.7</v>
      </c>
      <c r="R49" s="177">
        <f t="shared" si="4"/>
        <v>2.1500865214327813E-3</v>
      </c>
      <c r="S49" s="921">
        <f t="shared" si="19"/>
        <v>-2</v>
      </c>
      <c r="T49" s="176">
        <f t="shared" si="20"/>
        <v>4</v>
      </c>
      <c r="U49" s="251">
        <f t="shared" si="21"/>
        <v>-1.9978499134785672</v>
      </c>
      <c r="V49" s="383">
        <f t="shared" si="5"/>
        <v>38.071427485829361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7">
        <f t="shared" si="11"/>
        <v>0</v>
      </c>
      <c r="AD49" s="169">
        <f>(INDEX(Models!$BJ49:$BT49,,AH49)*(1-AF49)+INDEX(Models!$BJ49:$BT49,,AH49+1)*AF49-ERP_i)*AE49*Ramure*Pc/MaxiM</f>
        <v>6.5789449474094707E-7</v>
      </c>
      <c r="AE49" s="305">
        <f t="shared" si="12"/>
        <v>0.7</v>
      </c>
      <c r="AF49" s="177">
        <f t="shared" si="13"/>
        <v>2.1500865214327813E-3</v>
      </c>
      <c r="AG49" s="921">
        <f t="shared" si="22"/>
        <v>-2</v>
      </c>
      <c r="AH49" s="176">
        <f t="shared" si="14"/>
        <v>4</v>
      </c>
      <c r="AI49" s="225">
        <f t="shared" si="15"/>
        <v>-1.9978499134785672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23"/>
        <v>43136</v>
      </c>
      <c r="B50" s="624"/>
      <c r="C50" s="968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8">
        <f t="shared" si="2"/>
        <v>0</v>
      </c>
      <c r="M50" s="970"/>
      <c r="N50" s="970"/>
      <c r="O50" s="324">
        <f t="shared" si="3"/>
        <v>0</v>
      </c>
      <c r="P50" s="169">
        <f>(INDEX(Models!$BJ50:$BT50,,T50)*(1-R50)+INDEX(Models!$BJ50:$BT50,,T50+1)*R50-ERP_i)*Q50*Ramure*Pc/MaxiM</f>
        <v>6.8955885591341658E-7</v>
      </c>
      <c r="Q50" s="305">
        <f t="shared" si="18"/>
        <v>0.7</v>
      </c>
      <c r="R50" s="177">
        <f t="shared" si="4"/>
        <v>2.267217562213597E-3</v>
      </c>
      <c r="S50" s="921">
        <f t="shared" si="19"/>
        <v>-2</v>
      </c>
      <c r="T50" s="176">
        <f t="shared" si="20"/>
        <v>4</v>
      </c>
      <c r="U50" s="251">
        <f t="shared" si="21"/>
        <v>-1.9977327824377864</v>
      </c>
      <c r="V50" s="383">
        <f t="shared" si="5"/>
        <v>38.4149735106338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7">
        <f t="shared" si="11"/>
        <v>0</v>
      </c>
      <c r="AD50" s="169">
        <f>(INDEX(Models!$BJ50:$BT50,,AH50)*(1-AF50)+INDEX(Models!$BJ50:$BT50,,AH50+1)*AF50-ERP_i)*AE50*Ramure*Pc/MaxiM</f>
        <v>6.8955885591341658E-7</v>
      </c>
      <c r="AE50" s="305">
        <f t="shared" si="12"/>
        <v>0.7</v>
      </c>
      <c r="AF50" s="177">
        <f t="shared" si="13"/>
        <v>2.267217562213597E-3</v>
      </c>
      <c r="AG50" s="921">
        <f t="shared" si="22"/>
        <v>-2</v>
      </c>
      <c r="AH50" s="176">
        <f t="shared" si="14"/>
        <v>4</v>
      </c>
      <c r="AI50" s="225">
        <f t="shared" si="15"/>
        <v>-1.9977327824377864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23"/>
        <v>43137</v>
      </c>
      <c r="B51" s="624"/>
      <c r="C51" s="968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8">
        <f t="shared" si="2"/>
        <v>0</v>
      </c>
      <c r="M51" s="970"/>
      <c r="N51" s="970"/>
      <c r="O51" s="324">
        <f t="shared" si="3"/>
        <v>0</v>
      </c>
      <c r="P51" s="169">
        <f>(INDEX(Models!$BJ51:$BT51,,T51)*(1-R51)+INDEX(Models!$BJ51:$BT51,,T51+1)*R51-ERP_i)*Q51*Ramure*Pc/MaxiM</f>
        <v>7.2324876204776681E-7</v>
      </c>
      <c r="Q51" s="305">
        <f t="shared" si="18"/>
        <v>0.7</v>
      </c>
      <c r="R51" s="177">
        <f t="shared" si="4"/>
        <v>2.3892038918076342E-3</v>
      </c>
      <c r="S51" s="921">
        <f t="shared" si="19"/>
        <v>-2</v>
      </c>
      <c r="T51" s="176">
        <f t="shared" si="20"/>
        <v>4</v>
      </c>
      <c r="U51" s="251">
        <f t="shared" si="21"/>
        <v>-1.9976107961081924</v>
      </c>
      <c r="V51" s="383">
        <f t="shared" si="5"/>
        <v>38.757622023382559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7">
        <f t="shared" si="11"/>
        <v>0</v>
      </c>
      <c r="AD51" s="169">
        <f>(INDEX(Models!$BJ51:$BT51,,AH51)*(1-AF51)+INDEX(Models!$BJ51:$BT51,,AH51+1)*AF51-ERP_i)*AE51*Ramure*Pc/MaxiM</f>
        <v>7.2324876204776681E-7</v>
      </c>
      <c r="AE51" s="305">
        <f t="shared" si="12"/>
        <v>0.7</v>
      </c>
      <c r="AF51" s="177">
        <f t="shared" si="13"/>
        <v>2.3892038918076342E-3</v>
      </c>
      <c r="AG51" s="921">
        <f t="shared" si="22"/>
        <v>-2</v>
      </c>
      <c r="AH51" s="176">
        <f t="shared" si="14"/>
        <v>4</v>
      </c>
      <c r="AI51" s="225">
        <f t="shared" si="15"/>
        <v>-1.9976107961081924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23"/>
        <v>43138</v>
      </c>
      <c r="B52" s="624"/>
      <c r="C52" s="968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8">
        <f t="shared" si="2"/>
        <v>0</v>
      </c>
      <c r="M52" s="970"/>
      <c r="N52" s="970"/>
      <c r="O52" s="324">
        <f t="shared" si="3"/>
        <v>0</v>
      </c>
      <c r="P52" s="169">
        <f>(INDEX(Models!$BJ52:$BT52,,T52)*(1-R52)+INDEX(Models!$BJ52:$BT52,,T52+1)*R52-ERP_i)*Q52*Ramure*Pc/MaxiM</f>
        <v>7.5923458729251676E-7</v>
      </c>
      <c r="Q52" s="305">
        <f t="shared" si="18"/>
        <v>0.7</v>
      </c>
      <c r="R52" s="177">
        <f t="shared" si="4"/>
        <v>2.5162442267092633E-3</v>
      </c>
      <c r="S52" s="921">
        <f t="shared" si="19"/>
        <v>-2</v>
      </c>
      <c r="T52" s="176">
        <f t="shared" si="20"/>
        <v>4</v>
      </c>
      <c r="U52" s="251">
        <f t="shared" si="21"/>
        <v>-1.9974837557732907</v>
      </c>
      <c r="V52" s="383">
        <f t="shared" si="5"/>
        <v>39.10274727989929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7">
        <f t="shared" si="11"/>
        <v>0</v>
      </c>
      <c r="AD52" s="169">
        <f>(INDEX(Models!$BJ52:$BT52,,AH52)*(1-AF52)+INDEX(Models!$BJ52:$BT52,,AH52+1)*AF52-ERP_i)*AE52*Ramure*Pc/MaxiM</f>
        <v>7.5923458729251676E-7</v>
      </c>
      <c r="AE52" s="305">
        <f t="shared" si="12"/>
        <v>0.7</v>
      </c>
      <c r="AF52" s="177">
        <f t="shared" si="13"/>
        <v>2.5162442267092633E-3</v>
      </c>
      <c r="AG52" s="921">
        <f t="shared" si="22"/>
        <v>-2</v>
      </c>
      <c r="AH52" s="176">
        <f t="shared" si="14"/>
        <v>4</v>
      </c>
      <c r="AI52" s="225">
        <f t="shared" si="15"/>
        <v>-1.9974837557732907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23"/>
        <v>43139</v>
      </c>
      <c r="B53" s="624"/>
      <c r="C53" s="968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8">
        <f t="shared" si="2"/>
        <v>0</v>
      </c>
      <c r="M53" s="970"/>
      <c r="N53" s="970"/>
      <c r="O53" s="324">
        <f t="shared" si="3"/>
        <v>0</v>
      </c>
      <c r="P53" s="169">
        <f>(INDEX(Models!$BJ53:$BT53,,T53)*(1-R53)+INDEX(Models!$BJ53:$BT53,,T53+1)*R53-ERP_i)*Q53*Ramure*Pc/MaxiM</f>
        <v>7.9694975439260094E-7</v>
      </c>
      <c r="Q53" s="305">
        <f t="shared" si="18"/>
        <v>0.7</v>
      </c>
      <c r="R53" s="177">
        <f t="shared" si="4"/>
        <v>2.6485452000755139E-3</v>
      </c>
      <c r="S53" s="921">
        <f t="shared" si="19"/>
        <v>-2</v>
      </c>
      <c r="T53" s="176">
        <f t="shared" si="20"/>
        <v>4</v>
      </c>
      <c r="U53" s="251">
        <f t="shared" si="21"/>
        <v>-1.9973514547999245</v>
      </c>
      <c r="V53" s="383">
        <f t="shared" si="5"/>
        <v>39.44981085293405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7">
        <f t="shared" si="11"/>
        <v>0</v>
      </c>
      <c r="AD53" s="169">
        <f>(INDEX(Models!$BJ53:$BT53,,AH53)*(1-AF53)+INDEX(Models!$BJ53:$BT53,,AH53+1)*AF53-ERP_i)*AE53*Ramure*Pc/MaxiM</f>
        <v>7.9694975439260094E-7</v>
      </c>
      <c r="AE53" s="305">
        <f t="shared" si="12"/>
        <v>0.7</v>
      </c>
      <c r="AF53" s="177">
        <f t="shared" si="13"/>
        <v>2.6485452000755139E-3</v>
      </c>
      <c r="AG53" s="921">
        <f t="shared" si="22"/>
        <v>-2</v>
      </c>
      <c r="AH53" s="176">
        <f t="shared" si="14"/>
        <v>4</v>
      </c>
      <c r="AI53" s="225">
        <f t="shared" si="15"/>
        <v>-1.9973514547999245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23"/>
        <v>43140</v>
      </c>
      <c r="B54" s="624"/>
      <c r="C54" s="968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8">
        <f t="shared" si="2"/>
        <v>0</v>
      </c>
      <c r="M54" s="970"/>
      <c r="N54" s="970"/>
      <c r="O54" s="324">
        <f t="shared" si="3"/>
        <v>0</v>
      </c>
      <c r="P54" s="169">
        <f>(INDEX(Models!$BJ54:$BT54,,T54)*(1-R54)+INDEX(Models!$BJ54:$BT54,,T54+1)*R54-ERP_i)*Q54*Ramure*Pc/MaxiM</f>
        <v>8.3650941684810986E-7</v>
      </c>
      <c r="Q54" s="305">
        <f t="shared" si="18"/>
        <v>0.7</v>
      </c>
      <c r="R54" s="177">
        <f t="shared" si="4"/>
        <v>2.7863216586665462E-3</v>
      </c>
      <c r="S54" s="921">
        <f t="shared" si="19"/>
        <v>-2</v>
      </c>
      <c r="T54" s="176">
        <f t="shared" si="20"/>
        <v>4</v>
      </c>
      <c r="U54" s="251">
        <f t="shared" si="21"/>
        <v>-1.9972136783413335</v>
      </c>
      <c r="V54" s="383">
        <f t="shared" si="5"/>
        <v>39.798274288588992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7">
        <f t="shared" si="11"/>
        <v>0</v>
      </c>
      <c r="AD54" s="169">
        <f>(INDEX(Models!$BJ54:$BT54,,AH54)*(1-AF54)+INDEX(Models!$BJ54:$BT54,,AH54+1)*AF54-ERP_i)*AE54*Ramure*Pc/MaxiM</f>
        <v>8.3650941684810986E-7</v>
      </c>
      <c r="AE54" s="305">
        <f t="shared" si="12"/>
        <v>0.7</v>
      </c>
      <c r="AF54" s="177">
        <f t="shared" si="13"/>
        <v>2.7863216586665462E-3</v>
      </c>
      <c r="AG54" s="921">
        <f t="shared" si="22"/>
        <v>-2</v>
      </c>
      <c r="AH54" s="176">
        <f t="shared" si="14"/>
        <v>4</v>
      </c>
      <c r="AI54" s="225">
        <f t="shared" si="15"/>
        <v>-1.9972136783413335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3"/>
        <v>43141</v>
      </c>
      <c r="B55" s="624"/>
      <c r="C55" s="968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8">
        <f t="shared" si="2"/>
        <v>0</v>
      </c>
      <c r="M55" s="970"/>
      <c r="N55" s="970"/>
      <c r="O55" s="324">
        <f t="shared" si="3"/>
        <v>0</v>
      </c>
      <c r="P55" s="169">
        <f>(INDEX(Models!$BJ55:$BT55,,T55)*(1-R55)+INDEX(Models!$BJ55:$BT55,,T55+1)*R55-ERP_i)*Q55*Ramure*Pc/MaxiM</f>
        <v>8.7803568019321451E-7</v>
      </c>
      <c r="Q55" s="305">
        <f t="shared" si="18"/>
        <v>0.7</v>
      </c>
      <c r="R55" s="177">
        <f t="shared" si="4"/>
        <v>2.929796969329157E-3</v>
      </c>
      <c r="S55" s="921">
        <f t="shared" si="19"/>
        <v>-2</v>
      </c>
      <c r="T55" s="176">
        <f t="shared" si="20"/>
        <v>4</v>
      </c>
      <c r="U55" s="251">
        <f t="shared" si="21"/>
        <v>-1.9970702030306708</v>
      </c>
      <c r="V55" s="383">
        <f t="shared" si="5"/>
        <v>40.147599133299913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7">
        <f t="shared" si="11"/>
        <v>0</v>
      </c>
      <c r="AD55" s="169">
        <f>(INDEX(Models!$BJ55:$BT55,,AH55)*(1-AF55)+INDEX(Models!$BJ55:$BT55,,AH55+1)*AF55-ERP_i)*AE55*Ramure*Pc/MaxiM</f>
        <v>8.7803568019321451E-7</v>
      </c>
      <c r="AE55" s="305">
        <f t="shared" si="12"/>
        <v>0.7</v>
      </c>
      <c r="AF55" s="177">
        <f t="shared" si="13"/>
        <v>2.929796969329157E-3</v>
      </c>
      <c r="AG55" s="921">
        <f t="shared" si="22"/>
        <v>-2</v>
      </c>
      <c r="AH55" s="176">
        <f t="shared" si="14"/>
        <v>4</v>
      </c>
      <c r="AI55" s="225">
        <f t="shared" si="15"/>
        <v>-1.9970702030306708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3"/>
        <v>43142</v>
      </c>
      <c r="B56" s="624"/>
      <c r="C56" s="968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8">
        <f t="shared" si="2"/>
        <v>0</v>
      </c>
      <c r="M56" s="970"/>
      <c r="N56" s="970"/>
      <c r="O56" s="324">
        <f t="shared" si="3"/>
        <v>0</v>
      </c>
      <c r="P56" s="169">
        <f>(INDEX(Models!$BJ56:$BT56,,T56)*(1-R56)+INDEX(Models!$BJ56:$BT56,,T56+1)*R56-ERP_i)*Q56*Ramure*Pc/MaxiM</f>
        <v>9.2165805546033561E-7</v>
      </c>
      <c r="Q56" s="305">
        <f t="shared" si="18"/>
        <v>0.7</v>
      </c>
      <c r="R56" s="177">
        <f t="shared" si="4"/>
        <v>3.0792033351902948E-3</v>
      </c>
      <c r="S56" s="921">
        <f t="shared" si="19"/>
        <v>-2</v>
      </c>
      <c r="T56" s="176">
        <f t="shared" si="20"/>
        <v>4</v>
      </c>
      <c r="U56" s="251">
        <f t="shared" si="21"/>
        <v>-1.9969207966648097</v>
      </c>
      <c r="V56" s="383">
        <f t="shared" si="5"/>
        <v>40.497246932178292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7">
        <f t="shared" si="11"/>
        <v>0</v>
      </c>
      <c r="AD56" s="169">
        <f>(INDEX(Models!$BJ56:$BT56,,AH56)*(1-AF56)+INDEX(Models!$BJ56:$BT56,,AH56+1)*AF56-ERP_i)*AE56*Ramure*Pc/MaxiM</f>
        <v>9.2165805546033561E-7</v>
      </c>
      <c r="AE56" s="305">
        <f t="shared" si="12"/>
        <v>0.7</v>
      </c>
      <c r="AF56" s="177">
        <f t="shared" si="13"/>
        <v>3.0792033351902948E-3</v>
      </c>
      <c r="AG56" s="921">
        <f t="shared" si="22"/>
        <v>-2</v>
      </c>
      <c r="AH56" s="176">
        <f t="shared" si="14"/>
        <v>4</v>
      </c>
      <c r="AI56" s="225">
        <f t="shared" si="15"/>
        <v>-1.9969207966648097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3"/>
        <v>43143</v>
      </c>
      <c r="B57" s="624"/>
      <c r="C57" s="968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8">
        <f t="shared" si="2"/>
        <v>0</v>
      </c>
      <c r="M57" s="970"/>
      <c r="N57" s="970"/>
      <c r="O57" s="324">
        <f t="shared" si="3"/>
        <v>0</v>
      </c>
      <c r="P57" s="169">
        <f>(INDEX(Models!$BJ57:$BT57,,T57)*(1-R57)+INDEX(Models!$BJ57:$BT57,,T57+1)*R57-ERP_i)*Q57*Ramure*Pc/MaxiM</f>
        <v>9.6751395244660051E-7</v>
      </c>
      <c r="Q57" s="305">
        <f t="shared" si="18"/>
        <v>0.7</v>
      </c>
      <c r="R57" s="177">
        <f t="shared" si="4"/>
        <v>3.2347821217131312E-3</v>
      </c>
      <c r="S57" s="921">
        <f t="shared" si="19"/>
        <v>-2</v>
      </c>
      <c r="T57" s="176">
        <f t="shared" si="20"/>
        <v>4</v>
      </c>
      <c r="U57" s="251">
        <f t="shared" si="21"/>
        <v>-1.9967652178782869</v>
      </c>
      <c r="V57" s="383">
        <f t="shared" si="5"/>
        <v>40.846679230378712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7">
        <f t="shared" si="11"/>
        <v>0</v>
      </c>
      <c r="AD57" s="169">
        <f>(INDEX(Models!$BJ57:$BT57,,AH57)*(1-AF57)+INDEX(Models!$BJ57:$BT57,,AH57+1)*AF57-ERP_i)*AE57*Ramure*Pc/MaxiM</f>
        <v>9.6751395244660051E-7</v>
      </c>
      <c r="AE57" s="305">
        <f t="shared" si="12"/>
        <v>0.7</v>
      </c>
      <c r="AF57" s="177">
        <f t="shared" si="13"/>
        <v>3.2347821217131312E-3</v>
      </c>
      <c r="AG57" s="921">
        <f t="shared" si="22"/>
        <v>-2</v>
      </c>
      <c r="AH57" s="176">
        <f t="shared" si="14"/>
        <v>4</v>
      </c>
      <c r="AI57" s="225">
        <f t="shared" si="15"/>
        <v>-1.9967652178782869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3"/>
        <v>43144</v>
      </c>
      <c r="B58" s="624"/>
      <c r="C58" s="968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8">
        <f t="shared" si="2"/>
        <v>0</v>
      </c>
      <c r="M58" s="970"/>
      <c r="N58" s="970"/>
      <c r="O58" s="324">
        <f t="shared" si="3"/>
        <v>0</v>
      </c>
      <c r="P58" s="169">
        <f>(INDEX(Models!$BJ58:$BT58,,T58)*(1-R58)+INDEX(Models!$BJ58:$BT58,,T58+1)*R58-ERP_i)*Q58*Ramure*Pc/MaxiM</f>
        <v>1.0160897854452501E-6</v>
      </c>
      <c r="Q58" s="305">
        <f t="shared" si="18"/>
        <v>0.7</v>
      </c>
      <c r="R58" s="177">
        <f t="shared" si="4"/>
        <v>3.3967841927522446E-3</v>
      </c>
      <c r="S58" s="921">
        <f t="shared" si="19"/>
        <v>-2</v>
      </c>
      <c r="T58" s="176">
        <f t="shared" si="20"/>
        <v>4</v>
      </c>
      <c r="U58" s="251">
        <f t="shared" si="21"/>
        <v>-1.9966032158072478</v>
      </c>
      <c r="V58" s="383">
        <f t="shared" si="5"/>
        <v>41.195357558971438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7">
        <f t="shared" si="11"/>
        <v>0</v>
      </c>
      <c r="AD58" s="169">
        <f>(INDEX(Models!$BJ58:$BT58,,AH58)*(1-AF58)+INDEX(Models!$BJ58:$BT58,,AH58+1)*AF58-ERP_i)*AE58*Ramure*Pc/MaxiM</f>
        <v>1.0160897854452501E-6</v>
      </c>
      <c r="AE58" s="305">
        <f t="shared" si="12"/>
        <v>0.7</v>
      </c>
      <c r="AF58" s="177">
        <f t="shared" si="13"/>
        <v>3.3967841927522446E-3</v>
      </c>
      <c r="AG58" s="921">
        <f t="shared" si="22"/>
        <v>-2</v>
      </c>
      <c r="AH58" s="176">
        <f t="shared" si="14"/>
        <v>4</v>
      </c>
      <c r="AI58" s="225">
        <f t="shared" si="15"/>
        <v>-1.9966032158072478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23"/>
        <v>43145</v>
      </c>
      <c r="B59" s="624"/>
      <c r="C59" s="968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8">
        <f t="shared" si="2"/>
        <v>0</v>
      </c>
      <c r="M59" s="970"/>
      <c r="N59" s="970"/>
      <c r="O59" s="324">
        <f t="shared" si="3"/>
        <v>0</v>
      </c>
      <c r="P59" s="169">
        <f>(INDEX(Models!$BJ59:$BT59,,T59)*(1-R59)+INDEX(Models!$BJ59:$BT59,,T59+1)*R59-ERP_i)*Q59*Ramure*Pc/MaxiM</f>
        <v>1.067273768796218E-6</v>
      </c>
      <c r="Q59" s="305">
        <f t="shared" si="18"/>
        <v>0.7</v>
      </c>
      <c r="R59" s="177">
        <f t="shared" si="4"/>
        <v>3.5654702567340379E-3</v>
      </c>
      <c r="S59" s="921">
        <f t="shared" si="19"/>
        <v>-2</v>
      </c>
      <c r="T59" s="176">
        <f t="shared" si="20"/>
        <v>4</v>
      </c>
      <c r="U59" s="251">
        <f t="shared" si="21"/>
        <v>-1.996434529743266</v>
      </c>
      <c r="V59" s="383">
        <f t="shared" si="5"/>
        <v>41.542743472361792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7">
        <f t="shared" si="11"/>
        <v>0</v>
      </c>
      <c r="AD59" s="169">
        <f>(INDEX(Models!$BJ59:$BT59,,AH59)*(1-AF59)+INDEX(Models!$BJ59:$BT59,,AH59+1)*AF59-ERP_i)*AE59*Ramure*Pc/MaxiM</f>
        <v>1.067273768796218E-6</v>
      </c>
      <c r="AE59" s="305">
        <f t="shared" si="12"/>
        <v>0.7</v>
      </c>
      <c r="AF59" s="177">
        <f t="shared" si="13"/>
        <v>3.5654702567340379E-3</v>
      </c>
      <c r="AG59" s="921">
        <f t="shared" si="22"/>
        <v>-2</v>
      </c>
      <c r="AH59" s="176">
        <f t="shared" si="14"/>
        <v>4</v>
      </c>
      <c r="AI59" s="225">
        <f t="shared" si="15"/>
        <v>-1.996434529743266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23"/>
        <v>43146</v>
      </c>
      <c r="B60" s="624"/>
      <c r="C60" s="968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8">
        <f t="shared" si="2"/>
        <v>0</v>
      </c>
      <c r="M60" s="970"/>
      <c r="N60" s="970"/>
      <c r="O60" s="324">
        <f t="shared" si="3"/>
        <v>0</v>
      </c>
      <c r="P60" s="169">
        <f>(INDEX(Models!$BJ60:$BT60,,T60)*(1-R60)+INDEX(Models!$BJ60:$BT60,,T60+1)*R60-ERP_i)*Q60*Ramure*Pc/MaxiM</f>
        <v>1.1212375111744845E-6</v>
      </c>
      <c r="Q60" s="305">
        <f t="shared" si="18"/>
        <v>0.7</v>
      </c>
      <c r="R60" s="177">
        <f t="shared" si="4"/>
        <v>3.7411112230645305E-3</v>
      </c>
      <c r="S60" s="921">
        <f t="shared" si="19"/>
        <v>-2</v>
      </c>
      <c r="T60" s="176">
        <f t="shared" si="20"/>
        <v>4</v>
      </c>
      <c r="U60" s="251">
        <f t="shared" si="21"/>
        <v>-1.9962588887769355</v>
      </c>
      <c r="V60" s="383">
        <f t="shared" si="5"/>
        <v>41.888298514325179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7">
        <f t="shared" si="11"/>
        <v>0</v>
      </c>
      <c r="AD60" s="169">
        <f>(INDEX(Models!$BJ60:$BT60,,AH60)*(1-AF60)+INDEX(Models!$BJ60:$BT60,,AH60+1)*AF60-ERP_i)*AE60*Ramure*Pc/MaxiM</f>
        <v>1.1212375111744845E-6</v>
      </c>
      <c r="AE60" s="305">
        <f t="shared" si="12"/>
        <v>0.7</v>
      </c>
      <c r="AF60" s="177">
        <f t="shared" si="13"/>
        <v>3.7411112230645305E-3</v>
      </c>
      <c r="AG60" s="921">
        <f t="shared" si="22"/>
        <v>-2</v>
      </c>
      <c r="AH60" s="176">
        <f t="shared" si="14"/>
        <v>4</v>
      </c>
      <c r="AI60" s="225">
        <f t="shared" si="15"/>
        <v>-1.9962588887769355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3"/>
        <v>43147</v>
      </c>
      <c r="B61" s="624"/>
      <c r="C61" s="968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8">
        <f t="shared" si="2"/>
        <v>0</v>
      </c>
      <c r="M61" s="970"/>
      <c r="N61" s="970"/>
      <c r="O61" s="324">
        <f t="shared" si="3"/>
        <v>0</v>
      </c>
      <c r="P61" s="169">
        <f>(INDEX(Models!$BJ61:$BT61,,T61)*(1-R61)+INDEX(Models!$BJ61:$BT61,,T61+1)*R61-ERP_i)*Q61*Ramure*Pc/MaxiM</f>
        <v>1.1781634463538041E-6</v>
      </c>
      <c r="Q61" s="305">
        <f t="shared" si="18"/>
        <v>0.7</v>
      </c>
      <c r="R61" s="177">
        <f t="shared" si="4"/>
        <v>3.9239885688524545E-3</v>
      </c>
      <c r="S61" s="921">
        <f t="shared" si="19"/>
        <v>-2</v>
      </c>
      <c r="T61" s="176">
        <f t="shared" si="20"/>
        <v>4</v>
      </c>
      <c r="U61" s="251">
        <f t="shared" si="21"/>
        <v>-1.9960760114311475</v>
      </c>
      <c r="V61" s="383">
        <f t="shared" si="5"/>
        <v>42.231484227986229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7">
        <f t="shared" si="11"/>
        <v>0</v>
      </c>
      <c r="AD61" s="169">
        <f>(INDEX(Models!$BJ61:$BT61,,AH61)*(1-AF61)+INDEX(Models!$BJ61:$BT61,,AH61+1)*AF61-ERP_i)*AE61*Ramure*Pc/MaxiM</f>
        <v>1.1781634463538041E-6</v>
      </c>
      <c r="AE61" s="305">
        <f t="shared" si="12"/>
        <v>0.7</v>
      </c>
      <c r="AF61" s="177">
        <f t="shared" si="13"/>
        <v>3.9239885688524545E-3</v>
      </c>
      <c r="AG61" s="921">
        <f t="shared" si="22"/>
        <v>-2</v>
      </c>
      <c r="AH61" s="176">
        <f t="shared" si="14"/>
        <v>4</v>
      </c>
      <c r="AI61" s="225">
        <f t="shared" si="15"/>
        <v>-1.9960760114311475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23"/>
        <v>43148</v>
      </c>
      <c r="B62" s="624"/>
      <c r="C62" s="968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8">
        <f t="shared" si="2"/>
        <v>0</v>
      </c>
      <c r="M62" s="970"/>
      <c r="N62" s="970"/>
      <c r="O62" s="324">
        <f t="shared" si="3"/>
        <v>0</v>
      </c>
      <c r="P62" s="169">
        <f>(INDEX(Models!$BJ62:$BT62,,T62)*(1-R62)+INDEX(Models!$BJ62:$BT62,,T62+1)*R62-ERP_i)*Q62*Ramure*Pc/MaxiM</f>
        <v>1.2382456203998601E-6</v>
      </c>
      <c r="Q62" s="305">
        <f t="shared" si="18"/>
        <v>0.7</v>
      </c>
      <c r="R62" s="177">
        <f t="shared" si="4"/>
        <v>4.11439471600894E-3</v>
      </c>
      <c r="S62" s="921">
        <f t="shared" si="19"/>
        <v>-2</v>
      </c>
      <c r="T62" s="176">
        <f t="shared" si="20"/>
        <v>4</v>
      </c>
      <c r="U62" s="251">
        <f t="shared" si="21"/>
        <v>-1.9958856052839911</v>
      </c>
      <c r="V62" s="383">
        <f t="shared" si="5"/>
        <v>42.571762154754744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7">
        <f t="shared" si="11"/>
        <v>0</v>
      </c>
      <c r="AD62" s="169">
        <f>(INDEX(Models!$BJ62:$BT62,,AH62)*(1-AF62)+INDEX(Models!$BJ62:$BT62,,AH62+1)*AF62-ERP_i)*AE62*Ramure*Pc/MaxiM</f>
        <v>1.2382456203998601E-6</v>
      </c>
      <c r="AE62" s="305">
        <f t="shared" si="12"/>
        <v>0.7</v>
      </c>
      <c r="AF62" s="177">
        <f t="shared" si="13"/>
        <v>4.11439471600894E-3</v>
      </c>
      <c r="AG62" s="921">
        <f t="shared" si="22"/>
        <v>-2</v>
      </c>
      <c r="AH62" s="176">
        <f t="shared" si="14"/>
        <v>4</v>
      </c>
      <c r="AI62" s="225">
        <f t="shared" si="15"/>
        <v>-1.9958856052839911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3"/>
        <v>43149</v>
      </c>
      <c r="B63" s="624"/>
      <c r="C63" s="968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8">
        <f t="shared" si="2"/>
        <v>0</v>
      </c>
      <c r="M63" s="970"/>
      <c r="N63" s="970"/>
      <c r="O63" s="324">
        <f t="shared" si="3"/>
        <v>0</v>
      </c>
      <c r="P63" s="169">
        <f>(INDEX(Models!$BJ63:$BT63,,T63)*(1-R63)+INDEX(Models!$BJ63:$BT63,,T63+1)*R63-ERP_i)*Q63*Ramure*Pc/MaxiM</f>
        <v>1.3016905470751829E-6</v>
      </c>
      <c r="Q63" s="305">
        <f t="shared" si="18"/>
        <v>0.7</v>
      </c>
      <c r="R63" s="177">
        <f t="shared" si="4"/>
        <v>4.3126334187570947E-3</v>
      </c>
      <c r="S63" s="921">
        <f t="shared" si="19"/>
        <v>-2</v>
      </c>
      <c r="T63" s="176">
        <f t="shared" si="20"/>
        <v>4</v>
      </c>
      <c r="U63" s="251">
        <f t="shared" si="21"/>
        <v>-1.9956873665812429</v>
      </c>
      <c r="V63" s="383">
        <f t="shared" si="5"/>
        <v>42.908593837184426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7">
        <f t="shared" si="11"/>
        <v>0</v>
      </c>
      <c r="AD63" s="169">
        <f>(INDEX(Models!$BJ63:$BT63,,AH63)*(1-AF63)+INDEX(Models!$BJ63:$BT63,,AH63+1)*AF63-ERP_i)*AE63*Ramure*Pc/MaxiM</f>
        <v>1.3016905470751829E-6</v>
      </c>
      <c r="AE63" s="305">
        <f t="shared" si="12"/>
        <v>0.7</v>
      </c>
      <c r="AF63" s="177">
        <f t="shared" si="13"/>
        <v>4.3126334187570947E-3</v>
      </c>
      <c r="AG63" s="921">
        <f t="shared" si="22"/>
        <v>-2</v>
      </c>
      <c r="AH63" s="176">
        <f t="shared" si="14"/>
        <v>4</v>
      </c>
      <c r="AI63" s="225">
        <f t="shared" si="15"/>
        <v>-1.9956873665812429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23"/>
        <v>43150</v>
      </c>
      <c r="B64" s="624"/>
      <c r="C64" s="968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8">
        <f t="shared" si="2"/>
        <v>0</v>
      </c>
      <c r="M64" s="970"/>
      <c r="N64" s="970"/>
      <c r="O64" s="324">
        <f t="shared" si="3"/>
        <v>0</v>
      </c>
      <c r="P64" s="169">
        <f>(INDEX(Models!$BJ64:$BT64,,T64)*(1-R64)+INDEX(Models!$BJ64:$BT64,,T64+1)*R64-ERP_i)*Q64*Ramure*Pc/MaxiM</f>
        <v>1.3687181379507095E-6</v>
      </c>
      <c r="Q64" s="305">
        <f t="shared" si="18"/>
        <v>0.7</v>
      </c>
      <c r="R64" s="177">
        <f t="shared" si="4"/>
        <v>4.5190201615661341E-3</v>
      </c>
      <c r="S64" s="921">
        <f t="shared" si="19"/>
        <v>-2</v>
      </c>
      <c r="T64" s="176">
        <f t="shared" si="20"/>
        <v>4</v>
      </c>
      <c r="U64" s="251">
        <f t="shared" si="21"/>
        <v>-1.9954809798384339</v>
      </c>
      <c r="V64" s="383">
        <f t="shared" si="5"/>
        <v>43.241440814857761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7">
        <f t="shared" si="11"/>
        <v>0</v>
      </c>
      <c r="AD64" s="169">
        <f>(INDEX(Models!$BJ64:$BT64,,AH64)*(1-AF64)+INDEX(Models!$BJ64:$BT64,,AH64+1)*AF64-ERP_i)*AE64*Ramure*Pc/MaxiM</f>
        <v>1.3687181379507095E-6</v>
      </c>
      <c r="AE64" s="305">
        <f t="shared" si="12"/>
        <v>0.7</v>
      </c>
      <c r="AF64" s="177">
        <f t="shared" si="13"/>
        <v>4.5190201615661341E-3</v>
      </c>
      <c r="AG64" s="921">
        <f t="shared" si="22"/>
        <v>-2</v>
      </c>
      <c r="AH64" s="176">
        <f t="shared" si="14"/>
        <v>4</v>
      </c>
      <c r="AI64" s="225">
        <f t="shared" si="15"/>
        <v>-1.9954809798384339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3"/>
        <v>43151</v>
      </c>
      <c r="B65" s="624"/>
      <c r="C65" s="968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8">
        <f t="shared" si="2"/>
        <v>0</v>
      </c>
      <c r="M65" s="970"/>
      <c r="N65" s="970"/>
      <c r="O65" s="324">
        <f t="shared" si="3"/>
        <v>0</v>
      </c>
      <c r="P65" s="169">
        <f>(INDEX(Models!$BJ65:$BT65,,T65)*(1-R65)+INDEX(Models!$BJ65:$BT65,,T65+1)*R65-ERP_i)*Q65*Ramure*Pc/MaxiM</f>
        <v>1.4395259474220053E-6</v>
      </c>
      <c r="Q65" s="305">
        <f t="shared" si="18"/>
        <v>0.7</v>
      </c>
      <c r="R65" s="177">
        <f t="shared" si="4"/>
        <v>4.7338825674763108E-3</v>
      </c>
      <c r="S65" s="921">
        <f t="shared" si="19"/>
        <v>-2</v>
      </c>
      <c r="T65" s="176">
        <f t="shared" si="20"/>
        <v>4</v>
      </c>
      <c r="U65" s="251">
        <f t="shared" si="21"/>
        <v>-1.9952661174325237</v>
      </c>
      <c r="V65" s="383">
        <f t="shared" si="5"/>
        <v>43.570877420932007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7">
        <f t="shared" si="11"/>
        <v>0</v>
      </c>
      <c r="AD65" s="169">
        <f>(INDEX(Models!$BJ65:$BT65,,AH65)*(1-AF65)+INDEX(Models!$BJ65:$BT65,,AH65+1)*AF65-ERP_i)*AE65*Ramure*Pc/MaxiM</f>
        <v>1.4395259474220053E-6</v>
      </c>
      <c r="AE65" s="305">
        <f t="shared" si="12"/>
        <v>0.7</v>
      </c>
      <c r="AF65" s="177">
        <f t="shared" si="13"/>
        <v>4.7338825674763108E-3</v>
      </c>
      <c r="AG65" s="921">
        <f t="shared" si="22"/>
        <v>-2</v>
      </c>
      <c r="AH65" s="176">
        <f t="shared" si="14"/>
        <v>4</v>
      </c>
      <c r="AI65" s="225">
        <f t="shared" si="15"/>
        <v>-1.9952661174325237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3"/>
        <v>43152</v>
      </c>
      <c r="B66" s="624"/>
      <c r="C66" s="968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8">
        <f t="shared" si="2"/>
        <v>0</v>
      </c>
      <c r="M66" s="970"/>
      <c r="N66" s="970"/>
      <c r="O66" s="324">
        <f t="shared" si="3"/>
        <v>0</v>
      </c>
      <c r="P66" s="169">
        <f>(INDEX(Models!$BJ66:$BT66,,T66)*(1-R66)+INDEX(Models!$BJ66:$BT66,,T66+1)*R66-ERP_i)*Q66*Ramure*Pc/MaxiM</f>
        <v>1.5127669919565288E-6</v>
      </c>
      <c r="Q66" s="305">
        <f t="shared" si="18"/>
        <v>0.7</v>
      </c>
      <c r="R66" s="177">
        <f t="shared" si="4"/>
        <v>4.9575608167631291E-3</v>
      </c>
      <c r="S66" s="921">
        <f t="shared" si="19"/>
        <v>-2</v>
      </c>
      <c r="T66" s="176">
        <f t="shared" si="20"/>
        <v>4</v>
      </c>
      <c r="U66" s="251">
        <f t="shared" si="21"/>
        <v>-1.9950424391832369</v>
      </c>
      <c r="V66" s="383">
        <f t="shared" si="5"/>
        <v>43.897908811713009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7">
        <f t="shared" si="11"/>
        <v>0</v>
      </c>
      <c r="AD66" s="169">
        <f>(INDEX(Models!$BJ66:$BT66,,AH66)*(1-AF66)+INDEX(Models!$BJ66:$BT66,,AH66+1)*AF66-ERP_i)*AE66*Ramure*Pc/MaxiM</f>
        <v>1.5127669919565288E-6</v>
      </c>
      <c r="AE66" s="305">
        <f t="shared" si="12"/>
        <v>0.7</v>
      </c>
      <c r="AF66" s="177">
        <f t="shared" si="13"/>
        <v>4.9575608167631291E-3</v>
      </c>
      <c r="AG66" s="921">
        <f t="shared" si="22"/>
        <v>-2</v>
      </c>
      <c r="AH66" s="176">
        <f t="shared" si="14"/>
        <v>4</v>
      </c>
      <c r="AI66" s="225">
        <f t="shared" si="15"/>
        <v>-1.9950424391832369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3"/>
        <v>43153</v>
      </c>
      <c r="B67" s="624"/>
      <c r="C67" s="968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8">
        <f t="shared" si="2"/>
        <v>0</v>
      </c>
      <c r="M67" s="970"/>
      <c r="N67" s="970"/>
      <c r="O67" s="324">
        <f t="shared" si="3"/>
        <v>0</v>
      </c>
      <c r="P67" s="169">
        <f>(INDEX(Models!$BJ67:$BT67,,T67)*(1-R67)+INDEX(Models!$BJ67:$BT67,,T67+1)*R67-ERP_i)*Q67*Ramure*Pc/MaxiM</f>
        <v>1.5881717871856988E-6</v>
      </c>
      <c r="Q67" s="305">
        <f t="shared" si="18"/>
        <v>0.7</v>
      </c>
      <c r="R67" s="177">
        <f t="shared" si="4"/>
        <v>5.1904080758322646E-3</v>
      </c>
      <c r="S67" s="921">
        <f t="shared" si="19"/>
        <v>-2</v>
      </c>
      <c r="T67" s="176">
        <f t="shared" si="20"/>
        <v>4</v>
      </c>
      <c r="U67" s="251">
        <f t="shared" si="21"/>
        <v>-1.9948095919241677</v>
      </c>
      <c r="V67" s="383">
        <f t="shared" si="5"/>
        <v>44.222642685957439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7">
        <f t="shared" si="11"/>
        <v>0</v>
      </c>
      <c r="AD67" s="169">
        <f>(INDEX(Models!$BJ67:$BT67,,AH67)*(1-AF67)+INDEX(Models!$BJ67:$BT67,,AH67+1)*AF67-ERP_i)*AE67*Ramure*Pc/MaxiM</f>
        <v>1.5881717871856988E-6</v>
      </c>
      <c r="AE67" s="305">
        <f t="shared" si="12"/>
        <v>0.7</v>
      </c>
      <c r="AF67" s="177">
        <f t="shared" si="13"/>
        <v>5.1904080758322646E-3</v>
      </c>
      <c r="AG67" s="921">
        <f t="shared" si="22"/>
        <v>-2</v>
      </c>
      <c r="AH67" s="176">
        <f t="shared" si="14"/>
        <v>4</v>
      </c>
      <c r="AI67" s="225">
        <f t="shared" si="15"/>
        <v>-1.9948095919241677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3"/>
        <v>43154</v>
      </c>
      <c r="B68" s="624"/>
      <c r="C68" s="968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8">
        <f t="shared" si="2"/>
        <v>0</v>
      </c>
      <c r="M68" s="970"/>
      <c r="N68" s="970"/>
      <c r="O68" s="324">
        <f t="shared" si="3"/>
        <v>0</v>
      </c>
      <c r="P68" s="169">
        <f>(INDEX(Models!$BJ68:$BT68,,T68)*(1-R68)+INDEX(Models!$BJ68:$BT68,,T68+1)*R68-ERP_i)*Q68*Ramure*Pc/MaxiM</f>
        <v>1.6657377395169334E-6</v>
      </c>
      <c r="Q68" s="305">
        <f t="shared" si="18"/>
        <v>0.7</v>
      </c>
      <c r="R68" s="177">
        <f t="shared" si="4"/>
        <v>5.4327909362101856E-3</v>
      </c>
      <c r="S68" s="921">
        <f t="shared" si="19"/>
        <v>-2</v>
      </c>
      <c r="T68" s="176">
        <f t="shared" si="20"/>
        <v>4</v>
      </c>
      <c r="U68" s="251">
        <f t="shared" si="21"/>
        <v>-1.9945672090637898</v>
      </c>
      <c r="V68" s="383">
        <f t="shared" si="5"/>
        <v>44.545186732212883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7">
        <f t="shared" si="11"/>
        <v>0</v>
      </c>
      <c r="AD68" s="169">
        <f>(INDEX(Models!$BJ68:$BT68,,AH68)*(1-AF68)+INDEX(Models!$BJ68:$BT68,,AH68+1)*AF68-ERP_i)*AE68*Ramure*Pc/MaxiM</f>
        <v>1.6657377395169334E-6</v>
      </c>
      <c r="AE68" s="305">
        <f t="shared" si="12"/>
        <v>0.7</v>
      </c>
      <c r="AF68" s="177">
        <f t="shared" si="13"/>
        <v>5.4327909362101856E-3</v>
      </c>
      <c r="AG68" s="921">
        <f t="shared" si="22"/>
        <v>-2</v>
      </c>
      <c r="AH68" s="176">
        <f t="shared" si="14"/>
        <v>4</v>
      </c>
      <c r="AI68" s="225">
        <f t="shared" si="15"/>
        <v>-1.9945672090637898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3"/>
        <v>43155</v>
      </c>
      <c r="B69" s="624"/>
      <c r="C69" s="968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8">
        <f t="shared" si="2"/>
        <v>0</v>
      </c>
      <c r="M69" s="970"/>
      <c r="N69" s="970"/>
      <c r="O69" s="324">
        <f t="shared" si="3"/>
        <v>0</v>
      </c>
      <c r="P69" s="169">
        <f>(INDEX(Models!$BJ69:$BT69,,T69)*(1-R69)+INDEX(Models!$BJ69:$BT69,,T69+1)*R69-ERP_i)*Q69*Ramure*Pc/MaxiM</f>
        <v>1.7454654694141833E-6</v>
      </c>
      <c r="Q69" s="305">
        <f t="shared" si="18"/>
        <v>0.7</v>
      </c>
      <c r="R69" s="177">
        <f t="shared" si="4"/>
        <v>5.6850898634284164E-3</v>
      </c>
      <c r="S69" s="921">
        <f t="shared" si="19"/>
        <v>-2</v>
      </c>
      <c r="T69" s="176">
        <f t="shared" si="20"/>
        <v>4</v>
      </c>
      <c r="U69" s="251">
        <f t="shared" si="21"/>
        <v>-1.9943149101365716</v>
      </c>
      <c r="V69" s="383">
        <f t="shared" si="5"/>
        <v>44.86564863834932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7">
        <f t="shared" si="11"/>
        <v>0</v>
      </c>
      <c r="AD69" s="169">
        <f>(INDEX(Models!$BJ69:$BT69,,AH69)*(1-AF69)+INDEX(Models!$BJ69:$BT69,,AH69+1)*AF69-ERP_i)*AE69*Ramure*Pc/MaxiM</f>
        <v>1.7454654694141833E-6</v>
      </c>
      <c r="AE69" s="305">
        <f t="shared" si="12"/>
        <v>0.7</v>
      </c>
      <c r="AF69" s="177">
        <f t="shared" si="13"/>
        <v>5.6850898634284164E-3</v>
      </c>
      <c r="AG69" s="921">
        <f t="shared" si="22"/>
        <v>-2</v>
      </c>
      <c r="AH69" s="176">
        <f t="shared" si="14"/>
        <v>4</v>
      </c>
      <c r="AI69" s="225">
        <f t="shared" si="15"/>
        <v>-1.9943149101365716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3"/>
        <v>43156</v>
      </c>
      <c r="B70" s="624"/>
      <c r="C70" s="968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8">
        <f t="shared" si="2"/>
        <v>0</v>
      </c>
      <c r="M70" s="970"/>
      <c r="N70" s="970"/>
      <c r="O70" s="324">
        <f t="shared" si="3"/>
        <v>0</v>
      </c>
      <c r="P70" s="169">
        <f>(INDEX(Models!$BJ70:$BT70,,T70)*(1-R70)+INDEX(Models!$BJ70:$BT70,,T70+1)*R70-ERP_i)*Q70*Ramure*Pc/MaxiM</f>
        <v>1.82735138121814E-6</v>
      </c>
      <c r="Q70" s="305">
        <f t="shared" si="18"/>
        <v>0.7</v>
      </c>
      <c r="R70" s="177">
        <f t="shared" si="4"/>
        <v>5.9476996555645201E-3</v>
      </c>
      <c r="S70" s="921">
        <f t="shared" si="19"/>
        <v>-2</v>
      </c>
      <c r="T70" s="176">
        <f t="shared" si="20"/>
        <v>4</v>
      </c>
      <c r="U70" s="251">
        <f t="shared" si="21"/>
        <v>-1.9940523003444355</v>
      </c>
      <c r="V70" s="383">
        <f t="shared" si="5"/>
        <v>45.184136091568071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7">
        <f t="shared" si="11"/>
        <v>0</v>
      </c>
      <c r="AD70" s="169">
        <f>(INDEX(Models!$BJ70:$BT70,,AH70)*(1-AF70)+INDEX(Models!$BJ70:$BT70,,AH70+1)*AF70-ERP_i)*AE70*Ramure*Pc/MaxiM</f>
        <v>1.82735138121814E-6</v>
      </c>
      <c r="AE70" s="305">
        <f t="shared" si="12"/>
        <v>0.7</v>
      </c>
      <c r="AF70" s="177">
        <f t="shared" si="13"/>
        <v>5.9476996555645201E-3</v>
      </c>
      <c r="AG70" s="921">
        <f t="shared" si="22"/>
        <v>-2</v>
      </c>
      <c r="AH70" s="176">
        <f t="shared" si="14"/>
        <v>4</v>
      </c>
      <c r="AI70" s="225">
        <f t="shared" si="15"/>
        <v>-1.9940523003444355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23"/>
        <v>43157</v>
      </c>
      <c r="B71" s="624"/>
      <c r="C71" s="968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8">
        <f t="shared" si="2"/>
        <v>0</v>
      </c>
      <c r="M71" s="970"/>
      <c r="N71" s="970"/>
      <c r="O71" s="324">
        <f t="shared" si="3"/>
        <v>0</v>
      </c>
      <c r="P71" s="169">
        <f>(INDEX(Models!$BJ71:$BT71,,T71)*(1-R71)+INDEX(Models!$BJ71:$BT71,,T71+1)*R71-ERP_i)*Q71*Ramure*Pc/MaxiM</f>
        <v>1.911387355513587E-6</v>
      </c>
      <c r="Q71" s="305">
        <f t="shared" si="18"/>
        <v>0.7</v>
      </c>
      <c r="R71" s="177">
        <f t="shared" si="4"/>
        <v>6.2210299111298273E-3</v>
      </c>
      <c r="S71" s="921">
        <f t="shared" si="19"/>
        <v>-2</v>
      </c>
      <c r="T71" s="176">
        <f t="shared" si="20"/>
        <v>4</v>
      </c>
      <c r="U71" s="251">
        <f t="shared" si="21"/>
        <v>-1.9937789700888702</v>
      </c>
      <c r="V71" s="383">
        <f t="shared" si="5"/>
        <v>45.500756780482384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7">
        <f t="shared" si="11"/>
        <v>0</v>
      </c>
      <c r="AD71" s="169">
        <f>(INDEX(Models!$BJ71:$BT71,,AH71)*(1-AF71)+INDEX(Models!$BJ71:$BT71,,AH71+1)*AF71-ERP_i)*AE71*Ramure*Pc/MaxiM</f>
        <v>1.911387355513587E-6</v>
      </c>
      <c r="AE71" s="305">
        <f t="shared" si="12"/>
        <v>0.7</v>
      </c>
      <c r="AF71" s="177">
        <f t="shared" si="13"/>
        <v>6.2210299111298273E-3</v>
      </c>
      <c r="AG71" s="921">
        <f t="shared" si="22"/>
        <v>-2</v>
      </c>
      <c r="AH71" s="176">
        <f t="shared" si="14"/>
        <v>4</v>
      </c>
      <c r="AI71" s="225">
        <f t="shared" si="15"/>
        <v>-1.9937789700888702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3"/>
        <v>43158</v>
      </c>
      <c r="B72" s="624"/>
      <c r="C72" s="968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8">
        <f t="shared" si="2"/>
        <v>0</v>
      </c>
      <c r="M72" s="970"/>
      <c r="N72" s="970"/>
      <c r="O72" s="324">
        <f t="shared" si="3"/>
        <v>0</v>
      </c>
      <c r="P72" s="169">
        <f>(INDEX(Models!$BJ72:$BT72,,T72)*(1-R72)+INDEX(Models!$BJ72:$BT72,,T72+1)*R72-ERP_i)*Q72*Ramure*Pc/MaxiM</f>
        <v>1.9927178426507967E-6</v>
      </c>
      <c r="Q72" s="305">
        <f t="shared" si="18"/>
        <v>0.7</v>
      </c>
      <c r="R72" s="177">
        <f t="shared" si="4"/>
        <v>6.5055055059399791E-3</v>
      </c>
      <c r="S72" s="921">
        <f t="shared" si="19"/>
        <v>-2</v>
      </c>
      <c r="T72" s="176">
        <f t="shared" si="20"/>
        <v>4</v>
      </c>
      <c r="U72" s="251">
        <f t="shared" si="21"/>
        <v>-1.99349449449406</v>
      </c>
      <c r="V72" s="383">
        <f t="shared" si="5"/>
        <v>45.815618614781464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7">
        <f t="shared" si="11"/>
        <v>0</v>
      </c>
      <c r="AD72" s="169">
        <f>(INDEX(Models!$BJ72:$BT72,,AH72)*(1-AF72)+INDEX(Models!$BJ72:$BT72,,AH72+1)*AF72-ERP_i)*AE72*Ramure*Pc/MaxiM</f>
        <v>1.9927178426507967E-6</v>
      </c>
      <c r="AE72" s="305">
        <f t="shared" si="12"/>
        <v>0.7</v>
      </c>
      <c r="AF72" s="177">
        <f t="shared" si="13"/>
        <v>6.5055055059399791E-3</v>
      </c>
      <c r="AG72" s="921">
        <f t="shared" si="22"/>
        <v>-2</v>
      </c>
      <c r="AH72" s="176">
        <f t="shared" si="14"/>
        <v>4</v>
      </c>
      <c r="AI72" s="225">
        <f t="shared" si="15"/>
        <v>-1.99349449449406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3"/>
        <v>43159</v>
      </c>
      <c r="B73" s="624"/>
      <c r="C73" s="968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8">
        <f t="shared" si="2"/>
        <v>0</v>
      </c>
      <c r="M73" s="970"/>
      <c r="N73" s="970"/>
      <c r="O73" s="324">
        <f t="shared" si="3"/>
        <v>0</v>
      </c>
      <c r="P73" s="169">
        <f>(INDEX(Models!$BJ73:$BT73,,T73)*(1-R73)+INDEX(Models!$BJ73:$BT73,,T73+1)*R73-ERP_i)*Q73*Ramure*Pc/MaxiM</f>
        <v>2.0701461776769686E-6</v>
      </c>
      <c r="Q73" s="305">
        <f t="shared" si="18"/>
        <v>0.7</v>
      </c>
      <c r="R73" s="177">
        <f t="shared" si="4"/>
        <v>6.8015670785275262E-3</v>
      </c>
      <c r="S73" s="921">
        <f t="shared" si="19"/>
        <v>-2</v>
      </c>
      <c r="T73" s="176">
        <f t="shared" si="20"/>
        <v>4</v>
      </c>
      <c r="U73" s="251">
        <f t="shared" si="21"/>
        <v>-1.9931984329214725</v>
      </c>
      <c r="V73" s="383">
        <f t="shared" si="5"/>
        <v>46.12882934237475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7">
        <f t="shared" si="11"/>
        <v>0</v>
      </c>
      <c r="AD73" s="169">
        <f>(INDEX(Models!$BJ73:$BT73,,AH73)*(1-AF73)+INDEX(Models!$BJ73:$BT73,,AH73+1)*AF73-ERP_i)*AE73*Ramure*Pc/MaxiM</f>
        <v>2.0701461776769686E-6</v>
      </c>
      <c r="AE73" s="305">
        <f t="shared" si="12"/>
        <v>0.7</v>
      </c>
      <c r="AF73" s="177">
        <f t="shared" si="13"/>
        <v>6.8015670785275262E-3</v>
      </c>
      <c r="AG73" s="921">
        <f t="shared" si="22"/>
        <v>-2</v>
      </c>
      <c r="AH73" s="176">
        <f t="shared" si="14"/>
        <v>4</v>
      </c>
      <c r="AI73" s="225">
        <f t="shared" si="15"/>
        <v>-1.9931984329214725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3"/>
        <v>43160</v>
      </c>
      <c r="B74" s="624"/>
      <c r="C74" s="968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8">
        <f t="shared" si="2"/>
        <v>0</v>
      </c>
      <c r="M74" s="970"/>
      <c r="N74" s="970"/>
      <c r="O74" s="324">
        <f t="shared" si="3"/>
        <v>0</v>
      </c>
      <c r="P74" s="169">
        <f>(INDEX(Models!$BJ74:$BT74,,T74)*(1-R74)+INDEX(Models!$BJ74:$BT74,,T74+1)*R74-ERP_i)*Q74*Ramure*Pc/MaxiM</f>
        <v>2.1429731886674939E-6</v>
      </c>
      <c r="Q74" s="305">
        <f t="shared" si="18"/>
        <v>0.7</v>
      </c>
      <c r="R74" s="177">
        <f t="shared" si="4"/>
        <v>7.109671523586325E-3</v>
      </c>
      <c r="S74" s="921">
        <f t="shared" si="19"/>
        <v>-2</v>
      </c>
      <c r="T74" s="176">
        <f t="shared" si="20"/>
        <v>4</v>
      </c>
      <c r="U74" s="251">
        <f t="shared" si="21"/>
        <v>-1.9928903284764137</v>
      </c>
      <c r="V74" s="383">
        <f t="shared" si="5"/>
        <v>46.4404966890461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7">
        <f t="shared" si="11"/>
        <v>0</v>
      </c>
      <c r="AD74" s="169">
        <f>(INDEX(Models!$BJ74:$BT74,,AH74)*(1-AF74)+INDEX(Models!$BJ74:$BT74,,AH74+1)*AF74-ERP_i)*AE74*Ramure*Pc/MaxiM</f>
        <v>2.1429731886674939E-6</v>
      </c>
      <c r="AE74" s="305">
        <f t="shared" si="12"/>
        <v>0.7</v>
      </c>
      <c r="AF74" s="177">
        <f t="shared" si="13"/>
        <v>7.109671523586325E-3</v>
      </c>
      <c r="AG74" s="921">
        <f t="shared" si="22"/>
        <v>-2</v>
      </c>
      <c r="AH74" s="176">
        <f t="shared" si="14"/>
        <v>4</v>
      </c>
      <c r="AI74" s="225">
        <f t="shared" si="15"/>
        <v>-1.9928903284764137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3"/>
        <v>43161</v>
      </c>
      <c r="B75" s="624"/>
      <c r="C75" s="968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8">
        <f t="shared" si="2"/>
        <v>0</v>
      </c>
      <c r="M75" s="970"/>
      <c r="N75" s="970"/>
      <c r="O75" s="324">
        <f t="shared" si="3"/>
        <v>0</v>
      </c>
      <c r="P75" s="169">
        <f>(INDEX(Models!$BJ75:$BT75,,T75)*(1-R75)+INDEX(Models!$BJ75:$BT75,,T75+1)*R75-ERP_i)*Q75*Ramure*Pc/MaxiM</f>
        <v>2.210446837286528E-6</v>
      </c>
      <c r="Q75" s="305">
        <f t="shared" si="18"/>
        <v>0.7</v>
      </c>
      <c r="R75" s="177">
        <f t="shared" si="4"/>
        <v>7.4302924928479896E-3</v>
      </c>
      <c r="S75" s="921">
        <f t="shared" si="19"/>
        <v>-2</v>
      </c>
      <c r="T75" s="176">
        <f t="shared" si="20"/>
        <v>4</v>
      </c>
      <c r="U75" s="251">
        <f t="shared" si="21"/>
        <v>-1.992569707507152</v>
      </c>
      <c r="V75" s="383">
        <f t="shared" si="5"/>
        <v>46.750728383397515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7">
        <f t="shared" si="11"/>
        <v>0</v>
      </c>
      <c r="AD75" s="169">
        <f>(INDEX(Models!$BJ75:$BT75,,AH75)*(1-AF75)+INDEX(Models!$BJ75:$BT75,,AH75+1)*AF75-ERP_i)*AE75*Ramure*Pc/MaxiM</f>
        <v>2.210446837286528E-6</v>
      </c>
      <c r="AE75" s="305">
        <f t="shared" si="12"/>
        <v>0.7</v>
      </c>
      <c r="AF75" s="177">
        <f t="shared" si="13"/>
        <v>7.4302924928479896E-3</v>
      </c>
      <c r="AG75" s="921">
        <f t="shared" si="22"/>
        <v>-2</v>
      </c>
      <c r="AH75" s="176">
        <f t="shared" si="14"/>
        <v>4</v>
      </c>
      <c r="AI75" s="225">
        <f t="shared" si="15"/>
        <v>-1.992569707507152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3"/>
        <v>43162</v>
      </c>
      <c r="B76" s="624"/>
      <c r="C76" s="968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8">
        <f t="shared" si="2"/>
        <v>0</v>
      </c>
      <c r="M76" s="970"/>
      <c r="N76" s="970"/>
      <c r="O76" s="324">
        <f t="shared" si="3"/>
        <v>0</v>
      </c>
      <c r="P76" s="169">
        <f>(INDEX(Models!$BJ76:$BT76,,T76)*(1-R76)+INDEX(Models!$BJ76:$BT76,,T76+1)*R76-ERP_i)*Q76*Ramure*Pc/MaxiM</f>
        <v>2.2717590908383585E-6</v>
      </c>
      <c r="Q76" s="305">
        <f t="shared" si="18"/>
        <v>0.7</v>
      </c>
      <c r="R76" s="177">
        <f t="shared" si="4"/>
        <v>7.7639209027058342E-3</v>
      </c>
      <c r="S76" s="921">
        <f t="shared" si="19"/>
        <v>-2</v>
      </c>
      <c r="T76" s="176">
        <f t="shared" si="20"/>
        <v>4</v>
      </c>
      <c r="U76" s="251">
        <f t="shared" si="21"/>
        <v>-1.9922360790972942</v>
      </c>
      <c r="V76" s="383">
        <f t="shared" si="5"/>
        <v>47.059632158696111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7">
        <f t="shared" si="11"/>
        <v>0</v>
      </c>
      <c r="AD76" s="169">
        <f>(INDEX(Models!$BJ76:$BT76,,AH76)*(1-AF76)+INDEX(Models!$BJ76:$BT76,,AH76+1)*AF76-ERP_i)*AE76*Ramure*Pc/MaxiM</f>
        <v>2.2717590908383585E-6</v>
      </c>
      <c r="AE76" s="305">
        <f t="shared" si="12"/>
        <v>0.7</v>
      </c>
      <c r="AF76" s="177">
        <f t="shared" si="13"/>
        <v>7.7639209027058342E-3</v>
      </c>
      <c r="AG76" s="921">
        <f t="shared" si="22"/>
        <v>-2</v>
      </c>
      <c r="AH76" s="176">
        <f t="shared" si="14"/>
        <v>4</v>
      </c>
      <c r="AI76" s="225">
        <f t="shared" si="15"/>
        <v>-1.9922360790972942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23"/>
        <v>43163</v>
      </c>
      <c r="B77" s="624"/>
      <c r="C77" s="968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8">
        <f t="shared" si="2"/>
        <v>0</v>
      </c>
      <c r="M77" s="970"/>
      <c r="N77" s="970"/>
      <c r="O77" s="324">
        <f t="shared" si="3"/>
        <v>0</v>
      </c>
      <c r="P77" s="169">
        <f>(INDEX(Models!$BJ77:$BT77,,T77)*(1-R77)+INDEX(Models!$BJ77:$BT77,,T77+1)*R77-ERP_i)*Q77*Ramure*Pc/MaxiM</f>
        <v>2.3260426179331726E-6</v>
      </c>
      <c r="Q77" s="305">
        <f t="shared" si="18"/>
        <v>0.7</v>
      </c>
      <c r="R77" s="177">
        <f t="shared" si="4"/>
        <v>8.1110654478040445E-3</v>
      </c>
      <c r="S77" s="921">
        <f t="shared" si="19"/>
        <v>-2</v>
      </c>
      <c r="T77" s="176">
        <f t="shared" si="20"/>
        <v>4</v>
      </c>
      <c r="U77" s="251">
        <f t="shared" si="21"/>
        <v>-1.991888934552196</v>
      </c>
      <c r="V77" s="383">
        <f t="shared" si="5"/>
        <v>47.367315750810853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7">
        <f t="shared" si="11"/>
        <v>0</v>
      </c>
      <c r="AD77" s="169">
        <f>(INDEX(Models!$BJ77:$BT77,,AH77)*(1-AF77)+INDEX(Models!$BJ77:$BT77,,AH77+1)*AF77-ERP_i)*AE77*Ramure*Pc/MaxiM</f>
        <v>2.3260426179331726E-6</v>
      </c>
      <c r="AE77" s="305">
        <f t="shared" si="12"/>
        <v>0.7</v>
      </c>
      <c r="AF77" s="177">
        <f t="shared" si="13"/>
        <v>8.1110654478040445E-3</v>
      </c>
      <c r="AG77" s="921">
        <f t="shared" si="22"/>
        <v>-2</v>
      </c>
      <c r="AH77" s="176">
        <f t="shared" si="14"/>
        <v>4</v>
      </c>
      <c r="AI77" s="225">
        <f t="shared" si="15"/>
        <v>-1.991888934552196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3"/>
        <v>43164</v>
      </c>
      <c r="B78" s="624"/>
      <c r="C78" s="968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8">
        <f t="shared" si="2"/>
        <v>0</v>
      </c>
      <c r="M78" s="970"/>
      <c r="N78" s="970"/>
      <c r="O78" s="324">
        <f t="shared" si="3"/>
        <v>0</v>
      </c>
      <c r="P78" s="169">
        <f>(INDEX(Models!$BJ78:$BT78,,T78)*(1-R78)+INDEX(Models!$BJ78:$BT78,,T78+1)*R78-ERP_i)*Q78*Ramure*Pc/MaxiM</f>
        <v>2.3723672939561869E-6</v>
      </c>
      <c r="Q78" s="305">
        <f t="shared" si="18"/>
        <v>0.7</v>
      </c>
      <c r="R78" s="177">
        <f t="shared" si="4"/>
        <v>8.4722531196996798E-3</v>
      </c>
      <c r="S78" s="921">
        <f t="shared" si="19"/>
        <v>-2</v>
      </c>
      <c r="T78" s="176">
        <f t="shared" si="20"/>
        <v>4</v>
      </c>
      <c r="U78" s="251">
        <f t="shared" si="21"/>
        <v>-1.9915277468803003</v>
      </c>
      <c r="V78" s="383">
        <f t="shared" si="5"/>
        <v>47.67388689941145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7">
        <f t="shared" si="11"/>
        <v>0</v>
      </c>
      <c r="AD78" s="169">
        <f>(INDEX(Models!$BJ78:$BT78,,AH78)*(1-AF78)+INDEX(Models!$BJ78:$BT78,,AH78+1)*AF78-ERP_i)*AE78*Ramure*Pc/MaxiM</f>
        <v>2.3723672939561869E-6</v>
      </c>
      <c r="AE78" s="305">
        <f t="shared" si="12"/>
        <v>0.7</v>
      </c>
      <c r="AF78" s="177">
        <f t="shared" si="13"/>
        <v>8.4722531196996798E-3</v>
      </c>
      <c r="AG78" s="921">
        <f t="shared" si="22"/>
        <v>-2</v>
      </c>
      <c r="AH78" s="176">
        <f t="shared" si="14"/>
        <v>4</v>
      </c>
      <c r="AI78" s="225">
        <f t="shared" si="15"/>
        <v>-1.9915277468803003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23"/>
        <v>43165</v>
      </c>
      <c r="B79" s="624"/>
      <c r="C79" s="968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8">
        <f t="shared" ref="L79:L142" si="26">IF(t&lt;T0,0,IF(t&lt;Tvie,1-EXP((T0-t)*PertePVj),1-EXP((T0-t)*PertePVj)+Pspv))</f>
        <v>0</v>
      </c>
      <c r="M79" s="970"/>
      <c r="N79" s="970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2.4097148679619544E-6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8.8480297295978616E-3</v>
      </c>
      <c r="S79" s="921">
        <f t="shared" si="19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-1.9911519702704021</v>
      </c>
      <c r="V79" s="383">
        <f t="shared" ref="V79:V142" si="32">MaxiM*(1-Ppv)*(1-Pvg)*(1-Psa)</f>
        <v>47.979884108333231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7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2.4097148679619544E-6</v>
      </c>
      <c r="AE79" s="305">
        <f t="shared" ref="AE79:AE142" si="39">Dd+PousD*Croivg</f>
        <v>0.7</v>
      </c>
      <c r="AF79" s="177">
        <f t="shared" ref="AF79:AF142" si="40">(Hp_vg_s-AG79)/(INDEX(Echel_vg,AH79+1)-AG79)</f>
        <v>8.8480297295978616E-3</v>
      </c>
      <c r="AG79" s="921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-1.9911519702704021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si="23"/>
        <v>43166</v>
      </c>
      <c r="B80" s="624"/>
      <c r="C80" s="968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8">
        <f t="shared" si="26"/>
        <v>0</v>
      </c>
      <c r="M80" s="970"/>
      <c r="N80" s="970"/>
      <c r="O80" s="324">
        <f t="shared" si="27"/>
        <v>0</v>
      </c>
      <c r="P80" s="169">
        <f>(INDEX(Models!$BJ80:$BT80,,T80)*(1-R80)+INDEX(Models!$BJ80:$BT80,,T80+1)*R80-ERP_i)*Q80*Ramure*Pc/MaxiM</f>
        <v>2.4372037234797143E-6</v>
      </c>
      <c r="Q80" s="305">
        <f t="shared" si="28"/>
        <v>0.7</v>
      </c>
      <c r="R80" s="177">
        <f t="shared" si="29"/>
        <v>9.2389604340334941E-3</v>
      </c>
      <c r="S80" s="921">
        <f t="shared" ref="S80:S143" si="46">INDEX(Echel_vg,T80)</f>
        <v>-2</v>
      </c>
      <c r="T80" s="176">
        <f t="shared" si="30"/>
        <v>4</v>
      </c>
      <c r="U80" s="251">
        <f t="shared" si="31"/>
        <v>-1.9907610395659665</v>
      </c>
      <c r="V80" s="383">
        <f t="shared" si="32"/>
        <v>48.285558702580509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7">
        <f t="shared" si="38"/>
        <v>0</v>
      </c>
      <c r="AD80" s="169">
        <f>(INDEX(Models!$BJ80:$BT80,,AH80)*(1-AF80)+INDEX(Models!$BJ80:$BT80,,AH80+1)*AF80-ERP_i)*AE80*Ramure*Pc/MaxiM</f>
        <v>2.4372037234797143E-6</v>
      </c>
      <c r="AE80" s="305">
        <f t="shared" si="39"/>
        <v>0.7</v>
      </c>
      <c r="AF80" s="177">
        <f t="shared" si="40"/>
        <v>9.2389604340334941E-3</v>
      </c>
      <c r="AG80" s="921">
        <f t="shared" si="41"/>
        <v>-2</v>
      </c>
      <c r="AH80" s="176">
        <f t="shared" si="42"/>
        <v>4</v>
      </c>
      <c r="AI80" s="225">
        <f t="shared" si="43"/>
        <v>-1.9907610395659665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ref="A81:A144" si="47">A80+1</f>
        <v>43167</v>
      </c>
      <c r="B81" s="624"/>
      <c r="C81" s="968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8">
        <f t="shared" si="26"/>
        <v>0</v>
      </c>
      <c r="M81" s="970"/>
      <c r="N81" s="970"/>
      <c r="O81" s="324">
        <f t="shared" si="27"/>
        <v>0</v>
      </c>
      <c r="P81" s="169">
        <f>(INDEX(Models!$BJ81:$BT81,,T81)*(1-R81)+INDEX(Models!$BJ81:$BT81,,T81+1)*R81-ERP_i)*Q81*Ramure*Pc/MaxiM</f>
        <v>2.4564584693648685E-6</v>
      </c>
      <c r="Q81" s="305">
        <f t="shared" si="28"/>
        <v>0.7</v>
      </c>
      <c r="R81" s="177">
        <f t="shared" si="29"/>
        <v>9.6456302622436318E-3</v>
      </c>
      <c r="S81" s="921">
        <f t="shared" si="46"/>
        <v>-2</v>
      </c>
      <c r="T81" s="176">
        <f t="shared" si="30"/>
        <v>4</v>
      </c>
      <c r="U81" s="251">
        <f t="shared" si="31"/>
        <v>-1.9903543697377564</v>
      </c>
      <c r="V81" s="383">
        <f t="shared" si="32"/>
        <v>48.590587544935197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7">
        <f t="shared" si="38"/>
        <v>0</v>
      </c>
      <c r="AD81" s="169">
        <f>(INDEX(Models!$BJ81:$BT81,,AH81)*(1-AF81)+INDEX(Models!$BJ81:$BT81,,AH81+1)*AF81-ERP_i)*AE81*Ramure*Pc/MaxiM</f>
        <v>2.4564584693648685E-6</v>
      </c>
      <c r="AE81" s="305">
        <f t="shared" si="39"/>
        <v>0.7</v>
      </c>
      <c r="AF81" s="177">
        <f t="shared" si="40"/>
        <v>9.6456302622436318E-3</v>
      </c>
      <c r="AG81" s="921">
        <f t="shared" si="41"/>
        <v>-2</v>
      </c>
      <c r="AH81" s="176">
        <f t="shared" si="42"/>
        <v>4</v>
      </c>
      <c r="AI81" s="225">
        <f t="shared" si="43"/>
        <v>-1.9903543697377564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7"/>
        <v>43168</v>
      </c>
      <c r="B82" s="624"/>
      <c r="C82" s="968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8">
        <f t="shared" si="26"/>
        <v>0</v>
      </c>
      <c r="M82" s="970"/>
      <c r="N82" s="970"/>
      <c r="O82" s="324">
        <f t="shared" si="27"/>
        <v>0</v>
      </c>
      <c r="P82" s="169">
        <f>(INDEX(Models!$BJ82:$BT82,,T82)*(1-R82)+INDEX(Models!$BJ82:$BT82,,T82+1)*R82-ERP_i)*Q82*Ramure*Pc/MaxiM</f>
        <v>2.4666129743387862E-6</v>
      </c>
      <c r="Q82" s="305">
        <f t="shared" si="28"/>
        <v>0.7</v>
      </c>
      <c r="R82" s="177">
        <f t="shared" si="29"/>
        <v>1.0068644643830504E-2</v>
      </c>
      <c r="S82" s="921">
        <f t="shared" si="46"/>
        <v>-2</v>
      </c>
      <c r="T82" s="176">
        <f t="shared" si="30"/>
        <v>4</v>
      </c>
      <c r="U82" s="251">
        <f t="shared" si="31"/>
        <v>-1.9899313553561695</v>
      </c>
      <c r="V82" s="383">
        <f t="shared" si="32"/>
        <v>48.894647617100247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7">
        <f t="shared" si="38"/>
        <v>0</v>
      </c>
      <c r="AD82" s="169">
        <f>(INDEX(Models!$BJ82:$BT82,,AH82)*(1-AF82)+INDEX(Models!$BJ82:$BT82,,AH82+1)*AF82-ERP_i)*AE82*Ramure*Pc/MaxiM</f>
        <v>2.4666129743387862E-6</v>
      </c>
      <c r="AE82" s="305">
        <f t="shared" si="39"/>
        <v>0.7</v>
      </c>
      <c r="AF82" s="177">
        <f t="shared" si="40"/>
        <v>1.0068644643830504E-2</v>
      </c>
      <c r="AG82" s="921">
        <f t="shared" si="41"/>
        <v>-2</v>
      </c>
      <c r="AH82" s="176">
        <f t="shared" si="42"/>
        <v>4</v>
      </c>
      <c r="AI82" s="225">
        <f t="shared" si="43"/>
        <v>-1.9899313553561695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7"/>
        <v>43169</v>
      </c>
      <c r="B83" s="624"/>
      <c r="C83" s="968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8">
        <f t="shared" si="26"/>
        <v>0</v>
      </c>
      <c r="M83" s="970"/>
      <c r="N83" s="970"/>
      <c r="O83" s="324">
        <f t="shared" si="27"/>
        <v>0</v>
      </c>
      <c r="P83" s="169">
        <f>(INDEX(Models!$BJ83:$BT83,,T83)*(1-R83)+INDEX(Models!$BJ83:$BT83,,T83+1)*R83-ERP_i)*Q83*Ramure*Pc/MaxiM</f>
        <v>2.4667405295768349E-6</v>
      </c>
      <c r="Q83" s="305">
        <f t="shared" si="28"/>
        <v>0.7</v>
      </c>
      <c r="R83" s="177">
        <f t="shared" si="29"/>
        <v>1.0508629935167324E-2</v>
      </c>
      <c r="S83" s="921">
        <f t="shared" si="46"/>
        <v>-2</v>
      </c>
      <c r="T83" s="176">
        <f t="shared" si="30"/>
        <v>4</v>
      </c>
      <c r="U83" s="251">
        <f t="shared" si="31"/>
        <v>-1.9894913700648327</v>
      </c>
      <c r="V83" s="383">
        <f t="shared" si="32"/>
        <v>49.197415905471324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7">
        <f t="shared" si="38"/>
        <v>0</v>
      </c>
      <c r="AD83" s="169">
        <f>(INDEX(Models!$BJ83:$BT83,,AH83)*(1-AF83)+INDEX(Models!$BJ83:$BT83,,AH83+1)*AF83-ERP_i)*AE83*Ramure*Pc/MaxiM</f>
        <v>2.4667405295768349E-6</v>
      </c>
      <c r="AE83" s="305">
        <f t="shared" si="39"/>
        <v>0.7</v>
      </c>
      <c r="AF83" s="177">
        <f t="shared" si="40"/>
        <v>1.0508629935167324E-2</v>
      </c>
      <c r="AG83" s="921">
        <f t="shared" si="41"/>
        <v>-2</v>
      </c>
      <c r="AH83" s="176">
        <f t="shared" si="42"/>
        <v>4</v>
      </c>
      <c r="AI83" s="225">
        <f t="shared" si="43"/>
        <v>-1.9894913700648327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7"/>
        <v>43170</v>
      </c>
      <c r="B84" s="624"/>
      <c r="C84" s="968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8">
        <f t="shared" si="26"/>
        <v>0</v>
      </c>
      <c r="M84" s="970"/>
      <c r="N84" s="970"/>
      <c r="O84" s="324">
        <f t="shared" si="27"/>
        <v>0</v>
      </c>
      <c r="P84" s="169">
        <f>(INDEX(Models!$BJ84:$BT84,,T84)*(1-R84)+INDEX(Models!$BJ84:$BT84,,T84+1)*R84-ERP_i)*Q84*Ramure*Pc/MaxiM</f>
        <v>2.4558493828707969E-6</v>
      </c>
      <c r="Q84" s="305">
        <f t="shared" si="28"/>
        <v>0.7</v>
      </c>
      <c r="R84" s="177">
        <f t="shared" si="29"/>
        <v>1.0966233942832027E-2</v>
      </c>
      <c r="S84" s="921">
        <f t="shared" si="46"/>
        <v>-2</v>
      </c>
      <c r="T84" s="176">
        <f t="shared" si="30"/>
        <v>4</v>
      </c>
      <c r="U84" s="251">
        <f t="shared" si="31"/>
        <v>-1.989033766057168</v>
      </c>
      <c r="V84" s="383">
        <f t="shared" si="32"/>
        <v>49.498569400929611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7">
        <f t="shared" si="38"/>
        <v>0</v>
      </c>
      <c r="AD84" s="169">
        <f>(INDEX(Models!$BJ84:$BT84,,AH84)*(1-AF84)+INDEX(Models!$BJ84:$BT84,,AH84+1)*AF84-ERP_i)*AE84*Ramure*Pc/MaxiM</f>
        <v>2.4558493828707969E-6</v>
      </c>
      <c r="AE84" s="305">
        <f t="shared" si="39"/>
        <v>0.7</v>
      </c>
      <c r="AF84" s="177">
        <f t="shared" si="40"/>
        <v>1.0966233942832027E-2</v>
      </c>
      <c r="AG84" s="921">
        <f t="shared" si="41"/>
        <v>-2</v>
      </c>
      <c r="AH84" s="176">
        <f t="shared" si="42"/>
        <v>4</v>
      </c>
      <c r="AI84" s="225">
        <f t="shared" si="43"/>
        <v>-1.989033766057168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7"/>
        <v>43171</v>
      </c>
      <c r="B85" s="624"/>
      <c r="C85" s="968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8">
        <f t="shared" si="26"/>
        <v>0</v>
      </c>
      <c r="M85" s="970"/>
      <c r="N85" s="970"/>
      <c r="O85" s="324">
        <f t="shared" si="27"/>
        <v>0</v>
      </c>
      <c r="P85" s="169">
        <f>(INDEX(Models!$BJ85:$BT85,,T85)*(1-R85)+INDEX(Models!$BJ85:$BT85,,T85+1)*R85-ERP_i)*Q85*Ramure*Pc/MaxiM</f>
        <v>2.4328779084128239E-6</v>
      </c>
      <c r="Q85" s="305">
        <f t="shared" si="28"/>
        <v>0.7</v>
      </c>
      <c r="R85" s="177">
        <f t="shared" si="29"/>
        <v>1.1442126442187339E-2</v>
      </c>
      <c r="S85" s="921">
        <f t="shared" si="46"/>
        <v>-2</v>
      </c>
      <c r="T85" s="176">
        <f t="shared" si="30"/>
        <v>4</v>
      </c>
      <c r="U85" s="251">
        <f t="shared" si="31"/>
        <v>-1.9885578735578127</v>
      </c>
      <c r="V85" s="383">
        <f t="shared" si="32"/>
        <v>49.797785098094373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7">
        <f t="shared" si="38"/>
        <v>0</v>
      </c>
      <c r="AD85" s="169">
        <f>(INDEX(Models!$BJ85:$BT85,,AH85)*(1-AF85)+INDEX(Models!$BJ85:$BT85,,AH85+1)*AF85-ERP_i)*AE85*Ramure*Pc/MaxiM</f>
        <v>2.4328779084128239E-6</v>
      </c>
      <c r="AE85" s="305">
        <f t="shared" si="39"/>
        <v>0.7</v>
      </c>
      <c r="AF85" s="177">
        <f t="shared" si="40"/>
        <v>1.1442126442187339E-2</v>
      </c>
      <c r="AG85" s="921">
        <f t="shared" si="41"/>
        <v>-2</v>
      </c>
      <c r="AH85" s="176">
        <f t="shared" si="42"/>
        <v>4</v>
      </c>
      <c r="AI85" s="225">
        <f t="shared" si="43"/>
        <v>-1.9885578735578127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7"/>
        <v>43172</v>
      </c>
      <c r="B86" s="624"/>
      <c r="C86" s="968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8">
        <f t="shared" si="26"/>
        <v>0</v>
      </c>
      <c r="M86" s="970"/>
      <c r="N86" s="970"/>
      <c r="O86" s="324">
        <f t="shared" si="27"/>
        <v>0</v>
      </c>
      <c r="P86" s="169">
        <f>(INDEX(Models!$BJ86:$BT86,,T86)*(1-R86)+INDEX(Models!$BJ86:$BT86,,T86+1)*R86-ERP_i)*Q86*Ramure*Pc/MaxiM</f>
        <v>2.4017595946514579E-6</v>
      </c>
      <c r="Q86" s="305">
        <f t="shared" si="28"/>
        <v>0.7</v>
      </c>
      <c r="R86" s="177">
        <f t="shared" si="29"/>
        <v>1.1936999689033057E-2</v>
      </c>
      <c r="S86" s="921">
        <f t="shared" si="46"/>
        <v>-2</v>
      </c>
      <c r="T86" s="176">
        <f t="shared" si="30"/>
        <v>4</v>
      </c>
      <c r="U86" s="251">
        <f t="shared" si="31"/>
        <v>-1.9880630003109669</v>
      </c>
      <c r="V86" s="383">
        <f t="shared" si="32"/>
        <v>50.094739742600098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7">
        <f t="shared" si="38"/>
        <v>0</v>
      </c>
      <c r="AD86" s="169">
        <f>(INDEX(Models!$BJ86:$BT86,,AH86)*(1-AF86)+INDEX(Models!$BJ86:$BT86,,AH86+1)*AF86-ERP_i)*AE86*Ramure*Pc/MaxiM</f>
        <v>2.4017595946514579E-6</v>
      </c>
      <c r="AE86" s="305">
        <f t="shared" si="39"/>
        <v>0.7</v>
      </c>
      <c r="AF86" s="177">
        <f t="shared" si="40"/>
        <v>1.1936999689033057E-2</v>
      </c>
      <c r="AG86" s="921">
        <f t="shared" si="41"/>
        <v>-2</v>
      </c>
      <c r="AH86" s="176">
        <f t="shared" si="42"/>
        <v>4</v>
      </c>
      <c r="AI86" s="225">
        <f t="shared" si="43"/>
        <v>-1.9880630003109669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7"/>
        <v>43173</v>
      </c>
      <c r="B87" s="624"/>
      <c r="C87" s="968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8">
        <f t="shared" si="26"/>
        <v>0</v>
      </c>
      <c r="M87" s="970"/>
      <c r="N87" s="970"/>
      <c r="O87" s="324">
        <f t="shared" si="27"/>
        <v>0</v>
      </c>
      <c r="P87" s="169">
        <f>(INDEX(Models!$BJ87:$BT87,,T87)*(1-R87)+INDEX(Models!$BJ87:$BT87,,T87+1)*R87-ERP_i)*Q87*Ramure*Pc/MaxiM</f>
        <v>2.370326504362107E-6</v>
      </c>
      <c r="Q87" s="305">
        <f t="shared" si="28"/>
        <v>0.7</v>
      </c>
      <c r="R87" s="177">
        <f t="shared" si="29"/>
        <v>1.2451568922070777E-2</v>
      </c>
      <c r="S87" s="921">
        <f t="shared" si="46"/>
        <v>-2</v>
      </c>
      <c r="T87" s="176">
        <f t="shared" si="30"/>
        <v>4</v>
      </c>
      <c r="U87" s="251">
        <f t="shared" si="31"/>
        <v>-1.9875484310779292</v>
      </c>
      <c r="V87" s="383">
        <f t="shared" si="32"/>
        <v>50.389109879959605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7">
        <f t="shared" si="38"/>
        <v>0</v>
      </c>
      <c r="AD87" s="169">
        <f>(INDEX(Models!$BJ87:$BT87,,AH87)*(1-AF87)+INDEX(Models!$BJ87:$BT87,,AH87+1)*AF87-ERP_i)*AE87*Ramure*Pc/MaxiM</f>
        <v>2.370326504362107E-6</v>
      </c>
      <c r="AE87" s="305">
        <f t="shared" si="39"/>
        <v>0.7</v>
      </c>
      <c r="AF87" s="177">
        <f t="shared" si="40"/>
        <v>1.2451568922070777E-2</v>
      </c>
      <c r="AG87" s="921">
        <f t="shared" si="41"/>
        <v>-2</v>
      </c>
      <c r="AH87" s="176">
        <f t="shared" si="42"/>
        <v>4</v>
      </c>
      <c r="AI87" s="225">
        <f t="shared" si="43"/>
        <v>-1.9875484310779292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7"/>
        <v>43174</v>
      </c>
      <c r="B88" s="624"/>
      <c r="C88" s="968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8">
        <f t="shared" si="26"/>
        <v>0</v>
      </c>
      <c r="M88" s="970"/>
      <c r="N88" s="970"/>
      <c r="O88" s="324">
        <f t="shared" si="27"/>
        <v>0</v>
      </c>
      <c r="P88" s="169">
        <f>(INDEX(Models!$BJ88:$BT88,,T88)*(1-R88)+INDEX(Models!$BJ88:$BT88,,T88+1)*R88-ERP_i)*Q88*Ramure*Pc/MaxiM</f>
        <v>2.3388405743170719E-6</v>
      </c>
      <c r="Q88" s="305">
        <f t="shared" si="28"/>
        <v>0.7</v>
      </c>
      <c r="R88" s="177">
        <f t="shared" si="29"/>
        <v>1.2986572853702416E-2</v>
      </c>
      <c r="S88" s="921">
        <f t="shared" si="46"/>
        <v>-2</v>
      </c>
      <c r="T88" s="176">
        <f t="shared" si="30"/>
        <v>4</v>
      </c>
      <c r="U88" s="251">
        <f t="shared" si="31"/>
        <v>-1.9870134271462976</v>
      </c>
      <c r="V88" s="383">
        <f t="shared" si="32"/>
        <v>50.68057242876489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7">
        <f t="shared" si="38"/>
        <v>0</v>
      </c>
      <c r="AD88" s="169">
        <f>(INDEX(Models!$BJ88:$BT88,,AH88)*(1-AF88)+INDEX(Models!$BJ88:$BT88,,AH88+1)*AF88-ERP_i)*AE88*Ramure*Pc/MaxiM</f>
        <v>2.3388405743170719E-6</v>
      </c>
      <c r="AE88" s="305">
        <f t="shared" si="39"/>
        <v>0.7</v>
      </c>
      <c r="AF88" s="177">
        <f t="shared" si="40"/>
        <v>1.2986572853702416E-2</v>
      </c>
      <c r="AG88" s="921">
        <f t="shared" si="41"/>
        <v>-2</v>
      </c>
      <c r="AH88" s="176">
        <f t="shared" si="42"/>
        <v>4</v>
      </c>
      <c r="AI88" s="225">
        <f t="shared" si="43"/>
        <v>-1.9870134271462976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7"/>
        <v>43175</v>
      </c>
      <c r="B89" s="624"/>
      <c r="C89" s="968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8">
        <f t="shared" si="26"/>
        <v>0</v>
      </c>
      <c r="M89" s="970"/>
      <c r="N89" s="970"/>
      <c r="O89" s="324">
        <f t="shared" si="27"/>
        <v>0</v>
      </c>
      <c r="P89" s="169">
        <f>(INDEX(Models!$BJ89:$BT89,,T89)*(1-R89)+INDEX(Models!$BJ89:$BT89,,T89+1)*R89-ERP_i)*Q89*Ramure*Pc/MaxiM</f>
        <v>2.3075871603258402E-6</v>
      </c>
      <c r="Q89" s="305">
        <f t="shared" si="28"/>
        <v>0.7</v>
      </c>
      <c r="R89" s="177">
        <f t="shared" si="29"/>
        <v>1.3542774146474201E-2</v>
      </c>
      <c r="S89" s="921">
        <f t="shared" si="46"/>
        <v>-2</v>
      </c>
      <c r="T89" s="176">
        <f t="shared" si="30"/>
        <v>4</v>
      </c>
      <c r="U89" s="251">
        <f t="shared" si="31"/>
        <v>-1.9864572258535258</v>
      </c>
      <c r="V89" s="383">
        <f t="shared" si="32"/>
        <v>50.968804305320916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7">
        <f t="shared" si="38"/>
        <v>0</v>
      </c>
      <c r="AD89" s="169">
        <f>(INDEX(Models!$BJ89:$BT89,,AH89)*(1-AF89)+INDEX(Models!$BJ89:$BT89,,AH89+1)*AF89-ERP_i)*AE89*Ramure*Pc/MaxiM</f>
        <v>2.3075871603258402E-6</v>
      </c>
      <c r="AE89" s="305">
        <f t="shared" si="39"/>
        <v>0.7</v>
      </c>
      <c r="AF89" s="177">
        <f t="shared" si="40"/>
        <v>1.3542774146474201E-2</v>
      </c>
      <c r="AG89" s="921">
        <f t="shared" si="41"/>
        <v>-2</v>
      </c>
      <c r="AH89" s="176">
        <f t="shared" si="42"/>
        <v>4</v>
      </c>
      <c r="AI89" s="225">
        <f t="shared" si="43"/>
        <v>-1.9864572258535258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7"/>
        <v>43176</v>
      </c>
      <c r="B90" s="624"/>
      <c r="C90" s="968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8">
        <f t="shared" si="26"/>
        <v>0</v>
      </c>
      <c r="M90" s="970"/>
      <c r="N90" s="970"/>
      <c r="O90" s="324">
        <f t="shared" si="27"/>
        <v>0</v>
      </c>
      <c r="P90" s="169">
        <f>(INDEX(Models!$BJ90:$BT90,,T90)*(1-R90)+INDEX(Models!$BJ90:$BT90,,T90+1)*R90-ERP_i)*Q90*Ramure*Pc/MaxiM</f>
        <v>2.2768769370908606E-6</v>
      </c>
      <c r="Q90" s="305">
        <f t="shared" si="28"/>
        <v>0.7</v>
      </c>
      <c r="R90" s="177">
        <f t="shared" si="29"/>
        <v>1.4120959872238492E-2</v>
      </c>
      <c r="S90" s="921">
        <f t="shared" si="46"/>
        <v>-2</v>
      </c>
      <c r="T90" s="176">
        <f t="shared" si="30"/>
        <v>4</v>
      </c>
      <c r="U90" s="251">
        <f t="shared" si="31"/>
        <v>-1.9858790401277615</v>
      </c>
      <c r="V90" s="383">
        <f t="shared" si="32"/>
        <v>51.253482427860575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7">
        <f t="shared" si="38"/>
        <v>0</v>
      </c>
      <c r="AD90" s="169">
        <f>(INDEX(Models!$BJ90:$BT90,,AH90)*(1-AF90)+INDEX(Models!$BJ90:$BT90,,AH90+1)*AF90-ERP_i)*AE90*Ramure*Pc/MaxiM</f>
        <v>2.2768769370908606E-6</v>
      </c>
      <c r="AE90" s="305">
        <f t="shared" si="39"/>
        <v>0.7</v>
      </c>
      <c r="AF90" s="177">
        <f t="shared" si="40"/>
        <v>1.4120959872238492E-2</v>
      </c>
      <c r="AG90" s="921">
        <f t="shared" si="41"/>
        <v>-2</v>
      </c>
      <c r="AH90" s="176">
        <f t="shared" si="42"/>
        <v>4</v>
      </c>
      <c r="AI90" s="225">
        <f t="shared" si="43"/>
        <v>-1.9858790401277615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7"/>
        <v>43177</v>
      </c>
      <c r="B91" s="624"/>
      <c r="C91" s="968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8">
        <f t="shared" si="26"/>
        <v>0</v>
      </c>
      <c r="M91" s="970"/>
      <c r="N91" s="970"/>
      <c r="O91" s="324">
        <f t="shared" si="27"/>
        <v>0</v>
      </c>
      <c r="P91" s="169">
        <f>(INDEX(Models!$BJ91:$BT91,,T91)*(1-R91)+INDEX(Models!$BJ91:$BT91,,T91+1)*R91-ERP_i)*Q91*Ramure*Pc/MaxiM</f>
        <v>2.2470479743024014E-6</v>
      </c>
      <c r="Q91" s="305">
        <f t="shared" si="28"/>
        <v>0.7</v>
      </c>
      <c r="R91" s="177">
        <f t="shared" si="29"/>
        <v>1.4721941950863959E-2</v>
      </c>
      <c r="S91" s="921">
        <f t="shared" si="46"/>
        <v>-2</v>
      </c>
      <c r="T91" s="176">
        <f t="shared" si="30"/>
        <v>4</v>
      </c>
      <c r="U91" s="251">
        <f t="shared" si="31"/>
        <v>-1.985278058049136</v>
      </c>
      <c r="V91" s="383">
        <f t="shared" si="32"/>
        <v>51.534283708243883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7">
        <f t="shared" si="38"/>
        <v>0</v>
      </c>
      <c r="AD91" s="169">
        <f>(INDEX(Models!$BJ91:$BT91,,AH91)*(1-AF91)+INDEX(Models!$BJ91:$BT91,,AH91+1)*AF91-ERP_i)*AE91*Ramure*Pc/MaxiM</f>
        <v>2.2470479743024014E-6</v>
      </c>
      <c r="AE91" s="305">
        <f t="shared" si="39"/>
        <v>0.7</v>
      </c>
      <c r="AF91" s="177">
        <f t="shared" si="40"/>
        <v>1.4721941950863959E-2</v>
      </c>
      <c r="AG91" s="921">
        <f t="shared" si="41"/>
        <v>-2</v>
      </c>
      <c r="AH91" s="176">
        <f t="shared" si="42"/>
        <v>4</v>
      </c>
      <c r="AI91" s="225">
        <f t="shared" si="43"/>
        <v>-1.985278058049136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7"/>
        <v>43178</v>
      </c>
      <c r="B92" s="624"/>
      <c r="C92" s="968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8">
        <f t="shared" si="26"/>
        <v>0</v>
      </c>
      <c r="M92" s="970"/>
      <c r="N92" s="970"/>
      <c r="O92" s="324">
        <f t="shared" si="27"/>
        <v>0</v>
      </c>
      <c r="P92" s="169">
        <f>(INDEX(Models!$BJ92:$BT92,,T92)*(1-R92)+INDEX(Models!$BJ92:$BT92,,T92+1)*R92-ERP_i)*Q92*Ramure*Pc/MaxiM</f>
        <v>2.2184680031931655E-6</v>
      </c>
      <c r="Q92" s="305">
        <f t="shared" si="28"/>
        <v>0.7</v>
      </c>
      <c r="R92" s="177">
        <f t="shared" si="29"/>
        <v>1.5346557565070418E-2</v>
      </c>
      <c r="S92" s="921">
        <f t="shared" si="46"/>
        <v>-2</v>
      </c>
      <c r="T92" s="176">
        <f t="shared" si="30"/>
        <v>4</v>
      </c>
      <c r="U92" s="251">
        <f t="shared" si="31"/>
        <v>-1.9846534424349296</v>
      </c>
      <c r="V92" s="383">
        <f t="shared" si="32"/>
        <v>51.810885059267207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7">
        <f t="shared" si="38"/>
        <v>0</v>
      </c>
      <c r="AD92" s="169">
        <f>(INDEX(Models!$BJ92:$BT92,,AH92)*(1-AF92)+INDEX(Models!$BJ92:$BT92,,AH92+1)*AF92-ERP_i)*AE92*Ramure*Pc/MaxiM</f>
        <v>2.2184680031931655E-6</v>
      </c>
      <c r="AE92" s="305">
        <f t="shared" si="39"/>
        <v>0.7</v>
      </c>
      <c r="AF92" s="177">
        <f t="shared" si="40"/>
        <v>1.5346557565070418E-2</v>
      </c>
      <c r="AG92" s="921">
        <f t="shared" si="41"/>
        <v>-2</v>
      </c>
      <c r="AH92" s="176">
        <f t="shared" si="42"/>
        <v>4</v>
      </c>
      <c r="AI92" s="225">
        <f t="shared" si="43"/>
        <v>-1.9846534424349296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7"/>
        <v>43179</v>
      </c>
      <c r="B93" s="624"/>
      <c r="C93" s="968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8">
        <f t="shared" si="26"/>
        <v>0</v>
      </c>
      <c r="M93" s="970"/>
      <c r="N93" s="970"/>
      <c r="O93" s="324">
        <f t="shared" si="27"/>
        <v>0</v>
      </c>
      <c r="P93" s="169">
        <f>(INDEX(Models!$BJ93:$BT93,,T93)*(1-R93)+INDEX(Models!$BJ93:$BT93,,T93+1)*R93-ERP_i)*Q93*Ramure*Pc/MaxiM</f>
        <v>2.1914342587603572E-6</v>
      </c>
      <c r="Q93" s="305">
        <f t="shared" si="28"/>
        <v>0.7</v>
      </c>
      <c r="R93" s="177">
        <f t="shared" si="29"/>
        <v>1.5995669547691937E-2</v>
      </c>
      <c r="S93" s="921">
        <f t="shared" si="46"/>
        <v>-2</v>
      </c>
      <c r="T93" s="176">
        <f t="shared" si="30"/>
        <v>4</v>
      </c>
      <c r="U93" s="251">
        <f t="shared" si="31"/>
        <v>-1.9840043304523081</v>
      </c>
      <c r="V93" s="383">
        <f t="shared" si="32"/>
        <v>52.085404353296546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7">
        <f t="shared" si="38"/>
        <v>0</v>
      </c>
      <c r="AD93" s="169">
        <f>(INDEX(Models!$BJ93:$BT93,,AH93)*(1-AF93)+INDEX(Models!$BJ93:$BT93,,AH93+1)*AF93-ERP_i)*AE93*Ramure*Pc/MaxiM</f>
        <v>2.1914342587603572E-6</v>
      </c>
      <c r="AE93" s="305">
        <f t="shared" si="39"/>
        <v>0.7</v>
      </c>
      <c r="AF93" s="177">
        <f t="shared" si="40"/>
        <v>1.5995669547691937E-2</v>
      </c>
      <c r="AG93" s="921">
        <f t="shared" si="41"/>
        <v>-2</v>
      </c>
      <c r="AH93" s="176">
        <f t="shared" si="42"/>
        <v>4</v>
      </c>
      <c r="AI93" s="225">
        <f t="shared" si="43"/>
        <v>-1.9840043304523081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7"/>
        <v>43180</v>
      </c>
      <c r="B94" s="624"/>
      <c r="C94" s="968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8">
        <f t="shared" si="26"/>
        <v>0</v>
      </c>
      <c r="M94" s="970"/>
      <c r="N94" s="970"/>
      <c r="O94" s="324">
        <f t="shared" si="27"/>
        <v>0</v>
      </c>
      <c r="P94" s="169">
        <f>(INDEX(Models!$BJ94:$BT94,,T94)*(1-R94)+INDEX(Models!$BJ94:$BT94,,T94+1)*R94-ERP_i)*Q94*Ramure*Pc/MaxiM</f>
        <v>2.1671111527001818E-6</v>
      </c>
      <c r="Q94" s="305">
        <f t="shared" si="28"/>
        <v>0.7</v>
      </c>
      <c r="R94" s="177">
        <f t="shared" si="29"/>
        <v>1.66701667373923E-2</v>
      </c>
      <c r="S94" s="921">
        <f t="shared" si="46"/>
        <v>-2</v>
      </c>
      <c r="T94" s="176">
        <f t="shared" si="30"/>
        <v>4</v>
      </c>
      <c r="U94" s="251">
        <f t="shared" si="31"/>
        <v>-1.9833298332626077</v>
      </c>
      <c r="V94" s="383">
        <f t="shared" si="32"/>
        <v>52.35967224548282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7">
        <f t="shared" si="38"/>
        <v>0</v>
      </c>
      <c r="AD94" s="169">
        <f>(INDEX(Models!$BJ94:$BT94,,AH94)*(1-AF94)+INDEX(Models!$BJ94:$BT94,,AH94+1)*AF94-ERP_i)*AE94*Ramure*Pc/MaxiM</f>
        <v>2.1671111527001818E-6</v>
      </c>
      <c r="AE94" s="305">
        <f t="shared" si="39"/>
        <v>0.7</v>
      </c>
      <c r="AF94" s="177">
        <f t="shared" si="40"/>
        <v>1.66701667373923E-2</v>
      </c>
      <c r="AG94" s="921">
        <f t="shared" si="41"/>
        <v>-2</v>
      </c>
      <c r="AH94" s="176">
        <f t="shared" si="42"/>
        <v>4</v>
      </c>
      <c r="AI94" s="225">
        <f t="shared" si="43"/>
        <v>-1.9833298332626077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7"/>
        <v>43181</v>
      </c>
      <c r="B95" s="624"/>
      <c r="C95" s="968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8">
        <f t="shared" si="26"/>
        <v>0</v>
      </c>
      <c r="M95" s="970"/>
      <c r="N95" s="970"/>
      <c r="O95" s="324">
        <f t="shared" si="27"/>
        <v>0</v>
      </c>
      <c r="P95" s="169">
        <f>(INDEX(Models!$BJ95:$BT95,,T95)*(1-R95)+INDEX(Models!$BJ95:$BT95,,T95+1)*R95-ERP_i)*Q95*Ramure*Pc/MaxiM</f>
        <v>2.1457576953227113E-6</v>
      </c>
      <c r="Q95" s="305">
        <f t="shared" si="28"/>
        <v>0.7</v>
      </c>
      <c r="R95" s="177">
        <f t="shared" si="29"/>
        <v>1.7370964298566882E-2</v>
      </c>
      <c r="S95" s="921">
        <f t="shared" si="46"/>
        <v>-2</v>
      </c>
      <c r="T95" s="176">
        <f t="shared" si="30"/>
        <v>4</v>
      </c>
      <c r="U95" s="251">
        <f t="shared" si="31"/>
        <v>-1.9826290357014331</v>
      </c>
      <c r="V95" s="383">
        <f t="shared" si="32"/>
        <v>52.63293489443528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7">
        <f t="shared" si="38"/>
        <v>0</v>
      </c>
      <c r="AD95" s="169">
        <f>(INDEX(Models!$BJ95:$BT95,,AH95)*(1-AF95)+INDEX(Models!$BJ95:$BT95,,AH95+1)*AF95-ERP_i)*AE95*Ramure*Pc/MaxiM</f>
        <v>2.1457576953227113E-6</v>
      </c>
      <c r="AE95" s="305">
        <f t="shared" si="39"/>
        <v>0.7</v>
      </c>
      <c r="AF95" s="177">
        <f t="shared" si="40"/>
        <v>1.7370964298566882E-2</v>
      </c>
      <c r="AG95" s="921">
        <f t="shared" si="41"/>
        <v>-2</v>
      </c>
      <c r="AH95" s="176">
        <f t="shared" si="42"/>
        <v>4</v>
      </c>
      <c r="AI95" s="225">
        <f t="shared" si="43"/>
        <v>-1.9826290357014331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7"/>
        <v>43182</v>
      </c>
      <c r="B96" s="624"/>
      <c r="C96" s="968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8">
        <f t="shared" si="26"/>
        <v>0</v>
      </c>
      <c r="M96" s="970"/>
      <c r="N96" s="970"/>
      <c r="O96" s="324">
        <f t="shared" si="27"/>
        <v>0</v>
      </c>
      <c r="P96" s="169">
        <f>(INDEX(Models!$BJ96:$BT96,,T96)*(1-R96)+INDEX(Models!$BJ96:$BT96,,T96+1)*R96-ERP_i)*Q96*Ramure*Pc/MaxiM</f>
        <v>2.1279698000024508E-6</v>
      </c>
      <c r="Q96" s="305">
        <f t="shared" si="28"/>
        <v>0.7</v>
      </c>
      <c r="R96" s="177">
        <f t="shared" si="29"/>
        <v>1.8099004000861507E-2</v>
      </c>
      <c r="S96" s="921">
        <f t="shared" si="46"/>
        <v>-2</v>
      </c>
      <c r="T96" s="176">
        <f t="shared" si="30"/>
        <v>4</v>
      </c>
      <c r="U96" s="251">
        <f t="shared" si="31"/>
        <v>-1.9819009959991385</v>
      </c>
      <c r="V96" s="383">
        <f t="shared" si="32"/>
        <v>52.90443844188249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7">
        <f t="shared" si="38"/>
        <v>0</v>
      </c>
      <c r="AD96" s="169">
        <f>(INDEX(Models!$BJ96:$BT96,,AH96)*(1-AF96)+INDEX(Models!$BJ96:$BT96,,AH96+1)*AF96-ERP_i)*AE96*Ramure*Pc/MaxiM</f>
        <v>2.1279698000024508E-6</v>
      </c>
      <c r="AE96" s="305">
        <f t="shared" si="39"/>
        <v>0.7</v>
      </c>
      <c r="AF96" s="177">
        <f t="shared" si="40"/>
        <v>1.8099004000861507E-2</v>
      </c>
      <c r="AG96" s="921">
        <f t="shared" si="41"/>
        <v>-2</v>
      </c>
      <c r="AH96" s="176">
        <f t="shared" si="42"/>
        <v>4</v>
      </c>
      <c r="AI96" s="225">
        <f t="shared" si="43"/>
        <v>-1.9819009959991385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7"/>
        <v>43183</v>
      </c>
      <c r="B97" s="624"/>
      <c r="C97" s="968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8">
        <f t="shared" si="26"/>
        <v>0</v>
      </c>
      <c r="M97" s="970"/>
      <c r="N97" s="970"/>
      <c r="O97" s="324">
        <f t="shared" si="27"/>
        <v>0</v>
      </c>
      <c r="P97" s="169">
        <f>(INDEX(Models!$BJ97:$BT97,,T97)*(1-R97)+INDEX(Models!$BJ97:$BT97,,T97+1)*R97-ERP_i)*Q97*Ramure*Pc/MaxiM</f>
        <v>2.1143895238972224E-6</v>
      </c>
      <c r="Q97" s="305">
        <f t="shared" si="28"/>
        <v>0.7</v>
      </c>
      <c r="R97" s="177">
        <f t="shared" si="29"/>
        <v>1.8855254453421288E-2</v>
      </c>
      <c r="S97" s="921">
        <f t="shared" si="46"/>
        <v>-2</v>
      </c>
      <c r="T97" s="176">
        <f t="shared" si="30"/>
        <v>4</v>
      </c>
      <c r="U97" s="251">
        <f t="shared" si="31"/>
        <v>-1.9811447455465787</v>
      </c>
      <c r="V97" s="383">
        <f t="shared" si="32"/>
        <v>53.173429025471663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7">
        <f t="shared" si="38"/>
        <v>0</v>
      </c>
      <c r="AD97" s="169">
        <f>(INDEX(Models!$BJ97:$BT97,,AH97)*(1-AF97)+INDEX(Models!$BJ97:$BT97,,AH97+1)*AF97-ERP_i)*AE97*Ramure*Pc/MaxiM</f>
        <v>2.1143895238972224E-6</v>
      </c>
      <c r="AE97" s="305">
        <f t="shared" si="39"/>
        <v>0.7</v>
      </c>
      <c r="AF97" s="177">
        <f t="shared" si="40"/>
        <v>1.8855254453421288E-2</v>
      </c>
      <c r="AG97" s="921">
        <f t="shared" si="41"/>
        <v>-2</v>
      </c>
      <c r="AH97" s="176">
        <f t="shared" si="42"/>
        <v>4</v>
      </c>
      <c r="AI97" s="225">
        <f t="shared" si="43"/>
        <v>-1.9811447455465787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7"/>
        <v>43184</v>
      </c>
      <c r="B98" s="624"/>
      <c r="C98" s="968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8">
        <f t="shared" si="26"/>
        <v>0</v>
      </c>
      <c r="M98" s="970"/>
      <c r="N98" s="970"/>
      <c r="O98" s="324">
        <f t="shared" si="27"/>
        <v>0</v>
      </c>
      <c r="P98" s="169">
        <f>(INDEX(Models!$BJ98:$BT98,,T98)*(1-R98)+INDEX(Models!$BJ98:$BT98,,T98+1)*R98-ERP_i)*Q98*Ramure*Pc/MaxiM</f>
        <v>2.1057092204105607E-6</v>
      </c>
      <c r="Q98" s="305">
        <f t="shared" si="28"/>
        <v>0.7</v>
      </c>
      <c r="R98" s="177">
        <f t="shared" si="29"/>
        <v>1.9640711288668511E-2</v>
      </c>
      <c r="S98" s="921">
        <f t="shared" si="46"/>
        <v>-2</v>
      </c>
      <c r="T98" s="176">
        <f t="shared" si="30"/>
        <v>4</v>
      </c>
      <c r="U98" s="251">
        <f t="shared" si="31"/>
        <v>-1.9803592887113315</v>
      </c>
      <c r="V98" s="383">
        <f t="shared" si="32"/>
        <v>53.439152779059576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7">
        <f t="shared" si="38"/>
        <v>0</v>
      </c>
      <c r="AD98" s="169">
        <f>(INDEX(Models!$BJ98:$BT98,,AH98)*(1-AF98)+INDEX(Models!$BJ98:$BT98,,AH98+1)*AF98-ERP_i)*AE98*Ramure*Pc/MaxiM</f>
        <v>2.1057092204105607E-6</v>
      </c>
      <c r="AE98" s="305">
        <f t="shared" si="39"/>
        <v>0.7</v>
      </c>
      <c r="AF98" s="177">
        <f t="shared" si="40"/>
        <v>1.9640711288668511E-2</v>
      </c>
      <c r="AG98" s="921">
        <f t="shared" si="41"/>
        <v>-2</v>
      </c>
      <c r="AH98" s="176">
        <f t="shared" si="42"/>
        <v>4</v>
      </c>
      <c r="AI98" s="225">
        <f t="shared" si="43"/>
        <v>-1.9803592887113315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7"/>
        <v>43185</v>
      </c>
      <c r="B99" s="624"/>
      <c r="C99" s="968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8">
        <f t="shared" si="26"/>
        <v>0</v>
      </c>
      <c r="M99" s="970"/>
      <c r="N99" s="970"/>
      <c r="O99" s="324">
        <f t="shared" si="27"/>
        <v>0</v>
      </c>
      <c r="P99" s="169">
        <f>(INDEX(Models!$BJ99:$BT99,,T99)*(1-R99)+INDEX(Models!$BJ99:$BT99,,T99+1)*R99-ERP_i)*Q99*Ramure*Pc/MaxiM</f>
        <v>2.1026761148391464E-6</v>
      </c>
      <c r="Q99" s="305">
        <f t="shared" si="28"/>
        <v>0.7</v>
      </c>
      <c r="R99" s="177">
        <f t="shared" si="29"/>
        <v>2.0456397290072204E-2</v>
      </c>
      <c r="S99" s="921">
        <f t="shared" si="46"/>
        <v>-2</v>
      </c>
      <c r="T99" s="176">
        <f t="shared" si="30"/>
        <v>4</v>
      </c>
      <c r="U99" s="251">
        <f t="shared" si="31"/>
        <v>-1.9795436027099278</v>
      </c>
      <c r="V99" s="383">
        <f t="shared" si="32"/>
        <v>53.700855835194432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7">
        <f t="shared" si="38"/>
        <v>0</v>
      </c>
      <c r="AD99" s="169">
        <f>(INDEX(Models!$BJ99:$BT99,,AH99)*(1-AF99)+INDEX(Models!$BJ99:$BT99,,AH99+1)*AF99-ERP_i)*AE99*Ramure*Pc/MaxiM</f>
        <v>2.1026761148391464E-6</v>
      </c>
      <c r="AE99" s="305">
        <f t="shared" si="39"/>
        <v>0.7</v>
      </c>
      <c r="AF99" s="177">
        <f t="shared" si="40"/>
        <v>2.0456397290072204E-2</v>
      </c>
      <c r="AG99" s="921">
        <f t="shared" si="41"/>
        <v>-2</v>
      </c>
      <c r="AH99" s="176">
        <f t="shared" si="42"/>
        <v>4</v>
      </c>
      <c r="AI99" s="225">
        <f t="shared" si="43"/>
        <v>-1.9795436027099278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7"/>
        <v>43186</v>
      </c>
      <c r="B100" s="624"/>
      <c r="C100" s="968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8">
        <f t="shared" si="26"/>
        <v>0</v>
      </c>
      <c r="M100" s="970"/>
      <c r="N100" s="970"/>
      <c r="O100" s="324">
        <f t="shared" si="27"/>
        <v>0</v>
      </c>
      <c r="P100" s="169">
        <f>(INDEX(Models!$BJ100:$BT100,,T100)*(1-R100)+INDEX(Models!$BJ100:$BT100,,T100+1)*R100-ERP_i)*Q100*Ramure*Pc/MaxiM</f>
        <v>2.1084381813029912E-6</v>
      </c>
      <c r="Q100" s="305">
        <f t="shared" si="28"/>
        <v>0.7</v>
      </c>
      <c r="R100" s="177">
        <f t="shared" si="29"/>
        <v>2.1303362458036768E-2</v>
      </c>
      <c r="S100" s="921">
        <f t="shared" si="46"/>
        <v>-2</v>
      </c>
      <c r="T100" s="176">
        <f t="shared" si="30"/>
        <v>4</v>
      </c>
      <c r="U100" s="251">
        <f t="shared" si="31"/>
        <v>-1.9786966375419632</v>
      </c>
      <c r="V100" s="383">
        <f t="shared" si="32"/>
        <v>53.957784193395945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7">
        <f t="shared" si="38"/>
        <v>0</v>
      </c>
      <c r="AD100" s="169">
        <f>(INDEX(Models!$BJ100:$BT100,,AH100)*(1-AF100)+INDEX(Models!$BJ100:$BT100,,AH100+1)*AF100-ERP_i)*AE100*Ramure*Pc/MaxiM</f>
        <v>2.1084381813029912E-6</v>
      </c>
      <c r="AE100" s="305">
        <f t="shared" si="39"/>
        <v>0.7</v>
      </c>
      <c r="AF100" s="177">
        <f t="shared" si="40"/>
        <v>2.1303362458036768E-2</v>
      </c>
      <c r="AG100" s="921">
        <f t="shared" si="41"/>
        <v>-2</v>
      </c>
      <c r="AH100" s="176">
        <f t="shared" si="42"/>
        <v>4</v>
      </c>
      <c r="AI100" s="225">
        <f t="shared" si="43"/>
        <v>-1.9786966375419632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7"/>
        <v>43187</v>
      </c>
      <c r="B101" s="624"/>
      <c r="C101" s="968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8">
        <f t="shared" si="26"/>
        <v>0</v>
      </c>
      <c r="M101" s="970"/>
      <c r="N101" s="970"/>
      <c r="O101" s="324">
        <f t="shared" si="27"/>
        <v>0</v>
      </c>
      <c r="P101" s="169">
        <f>(INDEX(Models!$BJ101:$BT101,,T101)*(1-R101)+INDEX(Models!$BJ101:$BT101,,T101+1)*R101-ERP_i)*Q101*Ramure*Pc/MaxiM</f>
        <v>2.115319094090109E-6</v>
      </c>
      <c r="Q101" s="305">
        <f t="shared" si="28"/>
        <v>0.7</v>
      </c>
      <c r="R101" s="177">
        <f t="shared" si="29"/>
        <v>2.218268400770107E-2</v>
      </c>
      <c r="S101" s="921">
        <f t="shared" si="46"/>
        <v>-2</v>
      </c>
      <c r="T101" s="176">
        <f t="shared" si="30"/>
        <v>4</v>
      </c>
      <c r="U101" s="251">
        <f t="shared" si="31"/>
        <v>-1.9778173159922989</v>
      </c>
      <c r="V101" s="383">
        <f t="shared" si="32"/>
        <v>54.209184438314125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7">
        <f t="shared" si="38"/>
        <v>0</v>
      </c>
      <c r="AD101" s="169">
        <f>(INDEX(Models!$BJ101:$BT101,,AH101)*(1-AF101)+INDEX(Models!$BJ101:$BT101,,AH101+1)*AF101-ERP_i)*AE101*Ramure*Pc/MaxiM</f>
        <v>2.115319094090109E-6</v>
      </c>
      <c r="AE101" s="305">
        <f t="shared" si="39"/>
        <v>0.7</v>
      </c>
      <c r="AF101" s="177">
        <f t="shared" si="40"/>
        <v>2.218268400770107E-2</v>
      </c>
      <c r="AG101" s="921">
        <f t="shared" si="41"/>
        <v>-2</v>
      </c>
      <c r="AH101" s="176">
        <f t="shared" si="42"/>
        <v>4</v>
      </c>
      <c r="AI101" s="225">
        <f t="shared" si="43"/>
        <v>-1.9778173159922989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7"/>
        <v>43188</v>
      </c>
      <c r="B102" s="624"/>
      <c r="C102" s="968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8">
        <f t="shared" si="26"/>
        <v>0</v>
      </c>
      <c r="M102" s="970"/>
      <c r="N102" s="970"/>
      <c r="O102" s="324">
        <f t="shared" si="27"/>
        <v>0</v>
      </c>
      <c r="P102" s="169">
        <f>(INDEX(Models!$BJ102:$BT102,,T102)*(1-R102)+INDEX(Models!$BJ102:$BT102,,T102+1)*R102-ERP_i)*Q102*Ramure*Pc/MaxiM</f>
        <v>2.1235470143442276E-6</v>
      </c>
      <c r="Q102" s="305">
        <f t="shared" si="28"/>
        <v>0.7</v>
      </c>
      <c r="R102" s="177">
        <f t="shared" si="29"/>
        <v>2.3095466292087474E-2</v>
      </c>
      <c r="S102" s="921">
        <f t="shared" si="46"/>
        <v>-2</v>
      </c>
      <c r="T102" s="176">
        <f t="shared" si="30"/>
        <v>4</v>
      </c>
      <c r="U102" s="251">
        <f t="shared" si="31"/>
        <v>-1.9769045337079125</v>
      </c>
      <c r="V102" s="383">
        <f t="shared" si="32"/>
        <v>54.454302731587831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7">
        <f t="shared" si="38"/>
        <v>0</v>
      </c>
      <c r="AD102" s="169">
        <f>(INDEX(Models!$BJ102:$BT102,,AH102)*(1-AF102)+INDEX(Models!$BJ102:$BT102,,AH102+1)*AF102-ERP_i)*AE102*Ramure*Pc/MaxiM</f>
        <v>2.1235470143442276E-6</v>
      </c>
      <c r="AE102" s="305">
        <f t="shared" si="39"/>
        <v>0.7</v>
      </c>
      <c r="AF102" s="177">
        <f t="shared" si="40"/>
        <v>2.3095466292087474E-2</v>
      </c>
      <c r="AG102" s="921">
        <f t="shared" si="41"/>
        <v>-2</v>
      </c>
      <c r="AH102" s="176">
        <f t="shared" si="42"/>
        <v>4</v>
      </c>
      <c r="AI102" s="225">
        <f t="shared" si="43"/>
        <v>-1.9769045337079125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7"/>
        <v>43189</v>
      </c>
      <c r="B103" s="624"/>
      <c r="C103" s="968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8">
        <f t="shared" si="26"/>
        <v>0</v>
      </c>
      <c r="M103" s="970"/>
      <c r="N103" s="970"/>
      <c r="O103" s="324">
        <f t="shared" si="27"/>
        <v>0</v>
      </c>
      <c r="P103" s="169">
        <f>(INDEX(Models!$BJ103:$BT103,,T103)*(1-R103)+INDEX(Models!$BJ103:$BT103,,T103+1)*R103-ERP_i)*Q103*Ramure*Pc/MaxiM</f>
        <v>2.1333686079576372E-6</v>
      </c>
      <c r="Q103" s="305">
        <f t="shared" si="28"/>
        <v>0.7</v>
      </c>
      <c r="R103" s="177">
        <f t="shared" si="29"/>
        <v>2.4042840643705654E-2</v>
      </c>
      <c r="S103" s="921">
        <f t="shared" si="46"/>
        <v>-2</v>
      </c>
      <c r="T103" s="176">
        <f t="shared" si="30"/>
        <v>4</v>
      </c>
      <c r="U103" s="251">
        <f t="shared" si="31"/>
        <v>-1.9759571593562943</v>
      </c>
      <c r="V103" s="383">
        <f t="shared" si="32"/>
        <v>54.692385235207915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7">
        <f t="shared" si="38"/>
        <v>0</v>
      </c>
      <c r="AD103" s="169">
        <f>(INDEX(Models!$BJ103:$BT103,,AH103)*(1-AF103)+INDEX(Models!$BJ103:$BT103,,AH103+1)*AF103-ERP_i)*AE103*Ramure*Pc/MaxiM</f>
        <v>2.1333686079576372E-6</v>
      </c>
      <c r="AE103" s="305">
        <f t="shared" si="39"/>
        <v>0.7</v>
      </c>
      <c r="AF103" s="177">
        <f t="shared" si="40"/>
        <v>2.4042840643705654E-2</v>
      </c>
      <c r="AG103" s="921">
        <f t="shared" si="41"/>
        <v>-2</v>
      </c>
      <c r="AH103" s="176">
        <f t="shared" si="42"/>
        <v>4</v>
      </c>
      <c r="AI103" s="225">
        <f t="shared" si="43"/>
        <v>-1.9759571593562943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7"/>
        <v>43190</v>
      </c>
      <c r="B104" s="624"/>
      <c r="C104" s="968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8">
        <f t="shared" si="26"/>
        <v>0</v>
      </c>
      <c r="M104" s="970"/>
      <c r="N104" s="970"/>
      <c r="O104" s="324">
        <f t="shared" si="27"/>
        <v>0</v>
      </c>
      <c r="P104" s="169">
        <f>(INDEX(Models!$BJ104:$BT104,,T104)*(1-R104)+INDEX(Models!$BJ104:$BT104,,T104+1)*R104-ERP_i)*Q104*Ramure*Pc/MaxiM</f>
        <v>2.1450508259464511E-6</v>
      </c>
      <c r="Q104" s="305">
        <f t="shared" si="28"/>
        <v>0.7</v>
      </c>
      <c r="R104" s="177">
        <f t="shared" si="29"/>
        <v>2.5025965127370098E-2</v>
      </c>
      <c r="S104" s="921">
        <f t="shared" si="46"/>
        <v>-2</v>
      </c>
      <c r="T104" s="176">
        <f t="shared" si="30"/>
        <v>4</v>
      </c>
      <c r="U104" s="251">
        <f t="shared" si="31"/>
        <v>-1.9749740348726299</v>
      </c>
      <c r="V104" s="383">
        <f t="shared" si="32"/>
        <v>54.922678106501557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7">
        <f t="shared" si="38"/>
        <v>0</v>
      </c>
      <c r="AD104" s="169">
        <f>(INDEX(Models!$BJ104:$BT104,,AH104)*(1-AF104)+INDEX(Models!$BJ104:$BT104,,AH104+1)*AF104-ERP_i)*AE104*Ramure*Pc/MaxiM</f>
        <v>2.1450508259464511E-6</v>
      </c>
      <c r="AE104" s="305">
        <f t="shared" si="39"/>
        <v>0.7</v>
      </c>
      <c r="AF104" s="177">
        <f t="shared" si="40"/>
        <v>2.5025965127370098E-2</v>
      </c>
      <c r="AG104" s="921">
        <f t="shared" si="41"/>
        <v>-2</v>
      </c>
      <c r="AH104" s="176">
        <f t="shared" si="42"/>
        <v>4</v>
      </c>
      <c r="AI104" s="225">
        <f t="shared" si="43"/>
        <v>-1.9749740348726299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7"/>
        <v>43191</v>
      </c>
      <c r="B105" s="624"/>
      <c r="C105" s="968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8">
        <f t="shared" si="26"/>
        <v>0</v>
      </c>
      <c r="M105" s="970"/>
      <c r="N105" s="970"/>
      <c r="O105" s="324">
        <f t="shared" si="27"/>
        <v>0</v>
      </c>
      <c r="P105" s="169">
        <f>(INDEX(Models!$BJ105:$BT105,,T105)*(1-R105)+INDEX(Models!$BJ105:$BT105,,T105+1)*R105-ERP_i)*Q105*Ramure*Pc/MaxiM</f>
        <v>2.1588828687996117E-6</v>
      </c>
      <c r="Q105" s="305">
        <f t="shared" si="28"/>
        <v>0.7</v>
      </c>
      <c r="R105" s="177">
        <f t="shared" si="29"/>
        <v>2.604602419665536E-2</v>
      </c>
      <c r="S105" s="921">
        <f t="shared" si="46"/>
        <v>-2</v>
      </c>
      <c r="T105" s="176">
        <f t="shared" si="30"/>
        <v>4</v>
      </c>
      <c r="U105" s="251">
        <f t="shared" si="31"/>
        <v>-1.9739539758033446</v>
      </c>
      <c r="V105" s="383">
        <f t="shared" si="32"/>
        <v>55.144427506680785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7">
        <f t="shared" si="38"/>
        <v>0</v>
      </c>
      <c r="AD105" s="169">
        <f>(INDEX(Models!$BJ105:$BT105,,AH105)*(1-AF105)+INDEX(Models!$BJ105:$BT105,,AH105+1)*AF105-ERP_i)*AE105*Ramure*Pc/MaxiM</f>
        <v>2.1588828687996117E-6</v>
      </c>
      <c r="AE105" s="305">
        <f t="shared" si="39"/>
        <v>0.7</v>
      </c>
      <c r="AF105" s="177">
        <f t="shared" si="40"/>
        <v>2.604602419665536E-2</v>
      </c>
      <c r="AG105" s="921">
        <f t="shared" si="41"/>
        <v>-2</v>
      </c>
      <c r="AH105" s="176">
        <f t="shared" si="42"/>
        <v>4</v>
      </c>
      <c r="AI105" s="225">
        <f t="shared" si="43"/>
        <v>-1.9739539758033446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7"/>
        <v>43192</v>
      </c>
      <c r="B106" s="624"/>
      <c r="C106" s="968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8">
        <f t="shared" si="26"/>
        <v>0</v>
      </c>
      <c r="M106" s="970"/>
      <c r="N106" s="970"/>
      <c r="O106" s="324">
        <f t="shared" si="27"/>
        <v>0</v>
      </c>
      <c r="P106" s="169">
        <f>(INDEX(Models!$BJ106:$BT106,,T106)*(1-R106)+INDEX(Models!$BJ106:$BT106,,T106+1)*R106-ERP_i)*Q106*Ramure*Pc/MaxiM</f>
        <v>2.1751783525941697E-6</v>
      </c>
      <c r="Q106" s="305">
        <f t="shared" si="28"/>
        <v>0.7</v>
      </c>
      <c r="R106" s="177">
        <f t="shared" si="29"/>
        <v>2.7104228246094708E-2</v>
      </c>
      <c r="S106" s="921">
        <f t="shared" si="46"/>
        <v>-2</v>
      </c>
      <c r="T106" s="176">
        <f t="shared" si="30"/>
        <v>4</v>
      </c>
      <c r="U106" s="251">
        <f t="shared" si="31"/>
        <v>-1.9728957717539053</v>
      </c>
      <c r="V106" s="383">
        <f t="shared" si="32"/>
        <v>55.356879590171857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7">
        <f t="shared" si="38"/>
        <v>0</v>
      </c>
      <c r="AD106" s="169">
        <f>(INDEX(Models!$BJ106:$BT106,,AH106)*(1-AF106)+INDEX(Models!$BJ106:$BT106,,AH106+1)*AF106-ERP_i)*AE106*Ramure*Pc/MaxiM</f>
        <v>2.1751783525941697E-6</v>
      </c>
      <c r="AE106" s="305">
        <f t="shared" si="39"/>
        <v>0.7</v>
      </c>
      <c r="AF106" s="177">
        <f t="shared" si="40"/>
        <v>2.7104228246094708E-2</v>
      </c>
      <c r="AG106" s="921">
        <f t="shared" si="41"/>
        <v>-2</v>
      </c>
      <c r="AH106" s="176">
        <f t="shared" si="42"/>
        <v>4</v>
      </c>
      <c r="AI106" s="225">
        <f t="shared" si="43"/>
        <v>-1.9728957717539053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7"/>
        <v>43193</v>
      </c>
      <c r="B107" s="624"/>
      <c r="C107" s="968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8">
        <f t="shared" si="26"/>
        <v>0</v>
      </c>
      <c r="M107" s="970"/>
      <c r="N107" s="970"/>
      <c r="O107" s="324">
        <f t="shared" si="27"/>
        <v>0</v>
      </c>
      <c r="P107" s="169">
        <f>(INDEX(Models!$BJ107:$BT107,,T107)*(1-R107)+INDEX(Models!$BJ107:$BT107,,T107+1)*R107-ERP_i)*Q107*Ramure*Pc/MaxiM</f>
        <v>2.19424933993199E-6</v>
      </c>
      <c r="Q107" s="305">
        <f t="shared" si="28"/>
        <v>0.7</v>
      </c>
      <c r="R107" s="177">
        <f t="shared" si="29"/>
        <v>2.8201813050908076E-2</v>
      </c>
      <c r="S107" s="921">
        <f t="shared" si="46"/>
        <v>-2</v>
      </c>
      <c r="T107" s="176">
        <f t="shared" si="30"/>
        <v>4</v>
      </c>
      <c r="U107" s="251">
        <f t="shared" si="31"/>
        <v>-1.9717981869490919</v>
      </c>
      <c r="V107" s="383">
        <f t="shared" si="32"/>
        <v>55.559998441249981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7">
        <f t="shared" si="38"/>
        <v>0</v>
      </c>
      <c r="AD107" s="169">
        <f>(INDEX(Models!$BJ107:$BT107,,AH107)*(1-AF107)+INDEX(Models!$BJ107:$BT107,,AH107+1)*AF107-ERP_i)*AE107*Ramure*Pc/MaxiM</f>
        <v>2.19424933993199E-6</v>
      </c>
      <c r="AE107" s="305">
        <f t="shared" si="39"/>
        <v>0.7</v>
      </c>
      <c r="AF107" s="177">
        <f t="shared" si="40"/>
        <v>2.8201813050908076E-2</v>
      </c>
      <c r="AG107" s="921">
        <f t="shared" si="41"/>
        <v>-2</v>
      </c>
      <c r="AH107" s="176">
        <f t="shared" si="42"/>
        <v>4</v>
      </c>
      <c r="AI107" s="225">
        <f t="shared" si="43"/>
        <v>-1.9717981869490919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7"/>
        <v>43194</v>
      </c>
      <c r="B108" s="624"/>
      <c r="C108" s="968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8">
        <f t="shared" si="26"/>
        <v>0</v>
      </c>
      <c r="M108" s="970"/>
      <c r="N108" s="970"/>
      <c r="O108" s="324">
        <f t="shared" si="27"/>
        <v>0</v>
      </c>
      <c r="P108" s="169">
        <f>(INDEX(Models!$BJ108:$BT108,,T108)*(1-R108)+INDEX(Models!$BJ108:$BT108,,T108+1)*R108-ERP_i)*Q108*Ramure*Pc/MaxiM</f>
        <v>2.2272569470081684E-6</v>
      </c>
      <c r="Q108" s="305">
        <f t="shared" si="28"/>
        <v>0.7</v>
      </c>
      <c r="R108" s="177">
        <f t="shared" si="29"/>
        <v>2.9340039085760772E-2</v>
      </c>
      <c r="S108" s="921">
        <f t="shared" si="46"/>
        <v>-2</v>
      </c>
      <c r="T108" s="176">
        <f t="shared" si="30"/>
        <v>4</v>
      </c>
      <c r="U108" s="251">
        <f t="shared" si="31"/>
        <v>-1.9706599609142392</v>
      </c>
      <c r="V108" s="383">
        <f t="shared" si="32"/>
        <v>55.754609056442874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7">
        <f t="shared" si="38"/>
        <v>0</v>
      </c>
      <c r="AD108" s="169">
        <f>(INDEX(Models!$BJ108:$BT108,,AH108)*(1-AF108)+INDEX(Models!$BJ108:$BT108,,AH108+1)*AF108-ERP_i)*AE108*Ramure*Pc/MaxiM</f>
        <v>2.2272569470081684E-6</v>
      </c>
      <c r="AE108" s="305">
        <f t="shared" si="39"/>
        <v>0.7</v>
      </c>
      <c r="AF108" s="177">
        <f t="shared" si="40"/>
        <v>2.9340039085760772E-2</v>
      </c>
      <c r="AG108" s="921">
        <f t="shared" si="41"/>
        <v>-2</v>
      </c>
      <c r="AH108" s="176">
        <f t="shared" si="42"/>
        <v>4</v>
      </c>
      <c r="AI108" s="225">
        <f t="shared" si="43"/>
        <v>-1.9706599609142392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7"/>
        <v>43195</v>
      </c>
      <c r="B109" s="624"/>
      <c r="C109" s="968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8">
        <f t="shared" si="26"/>
        <v>0</v>
      </c>
      <c r="M109" s="970"/>
      <c r="N109" s="970"/>
      <c r="O109" s="324">
        <f t="shared" si="27"/>
        <v>0</v>
      </c>
      <c r="P109" s="169">
        <f>(INDEX(Models!$BJ109:$BT109,,T109)*(1-R109)+INDEX(Models!$BJ109:$BT109,,T109+1)*R109-ERP_i)*Q109*Ramure*Pc/MaxiM</f>
        <v>2.274410695347226E-6</v>
      </c>
      <c r="Q109" s="305">
        <f t="shared" si="28"/>
        <v>0.7</v>
      </c>
      <c r="R109" s="177">
        <f t="shared" si="29"/>
        <v>3.0520190713779538E-2</v>
      </c>
      <c r="S109" s="921">
        <f t="shared" si="46"/>
        <v>-2</v>
      </c>
      <c r="T109" s="176">
        <f t="shared" si="30"/>
        <v>4</v>
      </c>
      <c r="U109" s="251">
        <f t="shared" si="31"/>
        <v>-1.9694798092862205</v>
      </c>
      <c r="V109" s="383">
        <f t="shared" si="32"/>
        <v>55.941249863222893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7">
        <f t="shared" si="38"/>
        <v>0</v>
      </c>
      <c r="AD109" s="169">
        <f>(INDEX(Models!$BJ109:$BT109,,AH109)*(1-AF109)+INDEX(Models!$BJ109:$BT109,,AH109+1)*AF109-ERP_i)*AE109*Ramure*Pc/MaxiM</f>
        <v>2.274410695347226E-6</v>
      </c>
      <c r="AE109" s="305">
        <f t="shared" si="39"/>
        <v>0.7</v>
      </c>
      <c r="AF109" s="177">
        <f t="shared" si="40"/>
        <v>3.0520190713779538E-2</v>
      </c>
      <c r="AG109" s="921">
        <f t="shared" si="41"/>
        <v>-2</v>
      </c>
      <c r="AH109" s="176">
        <f t="shared" si="42"/>
        <v>4</v>
      </c>
      <c r="AI109" s="225">
        <f t="shared" si="43"/>
        <v>-1.9694798092862205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7"/>
        <v>43196</v>
      </c>
      <c r="B110" s="624"/>
      <c r="C110" s="968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8">
        <f t="shared" si="26"/>
        <v>0</v>
      </c>
      <c r="M110" s="970"/>
      <c r="N110" s="970"/>
      <c r="O110" s="324">
        <f t="shared" si="27"/>
        <v>0</v>
      </c>
      <c r="P110" s="169">
        <f>(INDEX(Models!$BJ110:$BT110,,T110)*(1-R110)+INDEX(Models!$BJ110:$BT110,,T110+1)*R110-ERP_i)*Q110*Ramure*Pc/MaxiM</f>
        <v>2.3373062033145264E-6</v>
      </c>
      <c r="Q110" s="305">
        <f t="shared" si="28"/>
        <v>0.7</v>
      </c>
      <c r="R110" s="177">
        <f t="shared" si="29"/>
        <v>3.174357523681981E-2</v>
      </c>
      <c r="S110" s="921">
        <f t="shared" si="46"/>
        <v>-2</v>
      </c>
      <c r="T110" s="176">
        <f t="shared" si="30"/>
        <v>4</v>
      </c>
      <c r="U110" s="251">
        <f t="shared" si="31"/>
        <v>-1.9682564247631802</v>
      </c>
      <c r="V110" s="383">
        <f t="shared" si="32"/>
        <v>56.120459209575195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7">
        <f t="shared" si="38"/>
        <v>0</v>
      </c>
      <c r="AD110" s="169">
        <f>(INDEX(Models!$BJ110:$BT110,,AH110)*(1-AF110)+INDEX(Models!$BJ110:$BT110,,AH110+1)*AF110-ERP_i)*AE110*Ramure*Pc/MaxiM</f>
        <v>2.3373062033145264E-6</v>
      </c>
      <c r="AE110" s="305">
        <f t="shared" si="39"/>
        <v>0.7</v>
      </c>
      <c r="AF110" s="177">
        <f t="shared" si="40"/>
        <v>3.174357523681981E-2</v>
      </c>
      <c r="AG110" s="921">
        <f t="shared" si="41"/>
        <v>-2</v>
      </c>
      <c r="AH110" s="176">
        <f t="shared" si="42"/>
        <v>4</v>
      </c>
      <c r="AI110" s="225">
        <f t="shared" si="43"/>
        <v>-1.9682564247631802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7"/>
        <v>43197</v>
      </c>
      <c r="B111" s="624"/>
      <c r="C111" s="968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8">
        <f t="shared" si="26"/>
        <v>0</v>
      </c>
      <c r="M111" s="970"/>
      <c r="N111" s="970"/>
      <c r="O111" s="324">
        <f t="shared" si="27"/>
        <v>0</v>
      </c>
      <c r="P111" s="169">
        <f>(INDEX(Models!$BJ111:$BT111,,T111)*(1-R111)+INDEX(Models!$BJ111:$BT111,,T111+1)*R111-ERP_i)*Q111*Ramure*Pc/MaxiM</f>
        <v>2.4176757307712337E-6</v>
      </c>
      <c r="Q111" s="305">
        <f t="shared" si="28"/>
        <v>0.7</v>
      </c>
      <c r="R111" s="177">
        <f t="shared" si="29"/>
        <v>3.3011521797768895E-2</v>
      </c>
      <c r="S111" s="921">
        <f t="shared" si="46"/>
        <v>-2</v>
      </c>
      <c r="T111" s="176">
        <f t="shared" si="30"/>
        <v>4</v>
      </c>
      <c r="U111" s="251">
        <f t="shared" si="31"/>
        <v>-1.9669884782022311</v>
      </c>
      <c r="V111" s="383">
        <f t="shared" si="32"/>
        <v>56.292775436431079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7">
        <f t="shared" si="38"/>
        <v>0</v>
      </c>
      <c r="AD111" s="169">
        <f>(INDEX(Models!$BJ111:$BT111,,AH111)*(1-AF111)+INDEX(Models!$BJ111:$BT111,,AH111+1)*AF111-ERP_i)*AE111*Ramure*Pc/MaxiM</f>
        <v>2.4176757307712337E-6</v>
      </c>
      <c r="AE111" s="305">
        <f t="shared" si="39"/>
        <v>0.7</v>
      </c>
      <c r="AF111" s="177">
        <f t="shared" si="40"/>
        <v>3.3011521797768895E-2</v>
      </c>
      <c r="AG111" s="921">
        <f t="shared" si="41"/>
        <v>-2</v>
      </c>
      <c r="AH111" s="176">
        <f t="shared" si="42"/>
        <v>4</v>
      </c>
      <c r="AI111" s="225">
        <f t="shared" si="43"/>
        <v>-1.9669884782022311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7"/>
        <v>43198</v>
      </c>
      <c r="B112" s="624"/>
      <c r="C112" s="968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8">
        <f t="shared" si="26"/>
        <v>0</v>
      </c>
      <c r="M112" s="970"/>
      <c r="N112" s="970"/>
      <c r="O112" s="324">
        <f t="shared" si="27"/>
        <v>0</v>
      </c>
      <c r="P112" s="169">
        <f>(INDEX(Models!$BJ112:$BT112,,T112)*(1-R112)+INDEX(Models!$BJ112:$BT112,,T112+1)*R112-ERP_i)*Q112*Ramure*Pc/MaxiM</f>
        <v>2.5173970163189248E-6</v>
      </c>
      <c r="Q112" s="305">
        <f t="shared" si="28"/>
        <v>0.7</v>
      </c>
      <c r="R112" s="177">
        <f t="shared" si="29"/>
        <v>3.4325380125512339E-2</v>
      </c>
      <c r="S112" s="921">
        <f t="shared" si="46"/>
        <v>-2</v>
      </c>
      <c r="T112" s="176">
        <f t="shared" si="30"/>
        <v>4</v>
      </c>
      <c r="U112" s="251">
        <f t="shared" si="31"/>
        <v>-1.9656746198744877</v>
      </c>
      <c r="V112" s="383">
        <f t="shared" si="32"/>
        <v>56.458736879369205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7">
        <f t="shared" si="38"/>
        <v>0</v>
      </c>
      <c r="AD112" s="169">
        <f>(INDEX(Models!$BJ112:$BT112,,AH112)*(1-AF112)+INDEX(Models!$BJ112:$BT112,,AH112+1)*AF112-ERP_i)*AE112*Ramure*Pc/MaxiM</f>
        <v>2.5173970163189248E-6</v>
      </c>
      <c r="AE112" s="305">
        <f t="shared" si="39"/>
        <v>0.7</v>
      </c>
      <c r="AF112" s="177">
        <f t="shared" si="40"/>
        <v>3.4325380125512339E-2</v>
      </c>
      <c r="AG112" s="921">
        <f t="shared" si="41"/>
        <v>-2</v>
      </c>
      <c r="AH112" s="176">
        <f t="shared" si="42"/>
        <v>4</v>
      </c>
      <c r="AI112" s="225">
        <f t="shared" si="43"/>
        <v>-1.9656746198744877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7"/>
        <v>43199</v>
      </c>
      <c r="B113" s="624"/>
      <c r="C113" s="968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8">
        <f t="shared" si="26"/>
        <v>0</v>
      </c>
      <c r="M113" s="970"/>
      <c r="N113" s="970"/>
      <c r="O113" s="324">
        <f t="shared" si="27"/>
        <v>0</v>
      </c>
      <c r="P113" s="169">
        <f>(INDEX(Models!$BJ113:$BT113,,T113)*(1-R113)+INDEX(Models!$BJ113:$BT113,,T113+1)*R113-ERP_i)*Q113*Ramure*Pc/MaxiM</f>
        <v>2.6385024403454198E-6</v>
      </c>
      <c r="Q113" s="305">
        <f t="shared" si="28"/>
        <v>0.7</v>
      </c>
      <c r="R113" s="177">
        <f t="shared" si="29"/>
        <v>3.5686519113078408E-2</v>
      </c>
      <c r="S113" s="921">
        <f t="shared" si="46"/>
        <v>-2</v>
      </c>
      <c r="T113" s="176">
        <f t="shared" si="30"/>
        <v>4</v>
      </c>
      <c r="U113" s="251">
        <f t="shared" si="31"/>
        <v>-1.9643134808869216</v>
      </c>
      <c r="V113" s="383">
        <f t="shared" si="32"/>
        <v>56.618881861024718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7">
        <f t="shared" si="38"/>
        <v>0</v>
      </c>
      <c r="AD113" s="169">
        <f>(INDEX(Models!$BJ113:$BT113,,AH113)*(1-AF113)+INDEX(Models!$BJ113:$BT113,,AH113+1)*AF113-ERP_i)*AE113*Ramure*Pc/MaxiM</f>
        <v>2.6385024403454198E-6</v>
      </c>
      <c r="AE113" s="305">
        <f t="shared" si="39"/>
        <v>0.7</v>
      </c>
      <c r="AF113" s="177">
        <f t="shared" si="40"/>
        <v>3.5686519113078408E-2</v>
      </c>
      <c r="AG113" s="921">
        <f t="shared" si="41"/>
        <v>-2</v>
      </c>
      <c r="AH113" s="176">
        <f t="shared" si="42"/>
        <v>4</v>
      </c>
      <c r="AI113" s="225">
        <f t="shared" si="43"/>
        <v>-1.9643134808869216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7"/>
        <v>43200</v>
      </c>
      <c r="B114" s="624"/>
      <c r="C114" s="968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8">
        <f t="shared" si="26"/>
        <v>0</v>
      </c>
      <c r="M114" s="970"/>
      <c r="N114" s="970"/>
      <c r="O114" s="324">
        <f t="shared" si="27"/>
        <v>0</v>
      </c>
      <c r="P114" s="169">
        <f>(INDEX(Models!$BJ114:$BT114,,T114)*(1-R114)+INDEX(Models!$BJ114:$BT114,,T114+1)*R114-ERP_i)*Q114*Ramure*Pc/MaxiM</f>
        <v>2.8117949857544118E-6</v>
      </c>
      <c r="Q114" s="305">
        <f t="shared" si="28"/>
        <v>0.7</v>
      </c>
      <c r="R114" s="177">
        <f t="shared" si="29"/>
        <v>3.7096325219420967E-2</v>
      </c>
      <c r="S114" s="921">
        <f t="shared" si="46"/>
        <v>-2</v>
      </c>
      <c r="T114" s="176">
        <f t="shared" si="30"/>
        <v>4</v>
      </c>
      <c r="U114" s="251">
        <f t="shared" si="31"/>
        <v>-1.962903674780579</v>
      </c>
      <c r="V114" s="383">
        <f t="shared" si="32"/>
        <v>56.773747069793792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7">
        <f t="shared" si="38"/>
        <v>0</v>
      </c>
      <c r="AD114" s="169">
        <f>(INDEX(Models!$BJ114:$BT114,,AH114)*(1-AF114)+INDEX(Models!$BJ114:$BT114,,AH114+1)*AF114-ERP_i)*AE114*Ramure*Pc/MaxiM</f>
        <v>2.8117949857544118E-6</v>
      </c>
      <c r="AE114" s="305">
        <f t="shared" si="39"/>
        <v>0.7</v>
      </c>
      <c r="AF114" s="177">
        <f t="shared" si="40"/>
        <v>3.7096325219420967E-2</v>
      </c>
      <c r="AG114" s="921">
        <f t="shared" si="41"/>
        <v>-2</v>
      </c>
      <c r="AH114" s="176">
        <f t="shared" si="42"/>
        <v>4</v>
      </c>
      <c r="AI114" s="225">
        <f t="shared" si="43"/>
        <v>-1.962903674780579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7"/>
        <v>43201</v>
      </c>
      <c r="B115" s="624"/>
      <c r="C115" s="968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8">
        <f t="shared" si="26"/>
        <v>0</v>
      </c>
      <c r="M115" s="970"/>
      <c r="N115" s="970"/>
      <c r="O115" s="324">
        <f t="shared" si="27"/>
        <v>0</v>
      </c>
      <c r="P115" s="169">
        <f>(INDEX(Models!$BJ115:$BT115,,T115)*(1-R115)+INDEX(Models!$BJ115:$BT115,,T115+1)*R115-ERP_i)*Q115*Ramure*Pc/MaxiM</f>
        <v>3.0389108218386266E-6</v>
      </c>
      <c r="Q115" s="305">
        <f t="shared" si="28"/>
        <v>0.7</v>
      </c>
      <c r="R115" s="177">
        <f t="shared" si="29"/>
        <v>3.8556200685317954E-2</v>
      </c>
      <c r="S115" s="921">
        <f t="shared" si="46"/>
        <v>-2</v>
      </c>
      <c r="T115" s="176">
        <f t="shared" si="30"/>
        <v>4</v>
      </c>
      <c r="U115" s="251">
        <f t="shared" si="31"/>
        <v>-1.961443799314682</v>
      </c>
      <c r="V115" s="383">
        <f t="shared" si="32"/>
        <v>56.923870835781116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7">
        <f t="shared" si="38"/>
        <v>0</v>
      </c>
      <c r="AD115" s="169">
        <f>(INDEX(Models!$BJ115:$BT115,,AH115)*(1-AF115)+INDEX(Models!$BJ115:$BT115,,AH115+1)*AF115-ERP_i)*AE115*Ramure*Pc/MaxiM</f>
        <v>3.0389108218386266E-6</v>
      </c>
      <c r="AE115" s="305">
        <f t="shared" si="39"/>
        <v>0.7</v>
      </c>
      <c r="AF115" s="177">
        <f t="shared" si="40"/>
        <v>3.8556200685317954E-2</v>
      </c>
      <c r="AG115" s="921">
        <f t="shared" si="41"/>
        <v>-2</v>
      </c>
      <c r="AH115" s="176">
        <f t="shared" si="42"/>
        <v>4</v>
      </c>
      <c r="AI115" s="225">
        <f t="shared" si="43"/>
        <v>-1.961443799314682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7"/>
        <v>43202</v>
      </c>
      <c r="B116" s="624"/>
      <c r="C116" s="968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8">
        <f t="shared" si="26"/>
        <v>0</v>
      </c>
      <c r="M116" s="970"/>
      <c r="N116" s="970"/>
      <c r="O116" s="324">
        <f t="shared" si="27"/>
        <v>0</v>
      </c>
      <c r="P116" s="169">
        <f>(INDEX(Models!$BJ116:$BT116,,T116)*(1-R116)+INDEX(Models!$BJ116:$BT116,,T116+1)*R116-ERP_i)*Q116*Ramure*Pc/MaxiM</f>
        <v>3.3256056050957497E-6</v>
      </c>
      <c r="Q116" s="305">
        <f t="shared" si="28"/>
        <v>0.7</v>
      </c>
      <c r="R116" s="177">
        <f t="shared" si="29"/>
        <v>4.0067561553946307E-2</v>
      </c>
      <c r="S116" s="921">
        <f t="shared" si="46"/>
        <v>-2</v>
      </c>
      <c r="T116" s="176">
        <f t="shared" si="30"/>
        <v>4</v>
      </c>
      <c r="U116" s="251">
        <f t="shared" si="31"/>
        <v>-1.9599324384460537</v>
      </c>
      <c r="V116" s="383">
        <f t="shared" si="32"/>
        <v>57.069791257816725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7">
        <f t="shared" si="38"/>
        <v>0</v>
      </c>
      <c r="AD116" s="169">
        <f>(INDEX(Models!$BJ116:$BT116,,AH116)*(1-AF116)+INDEX(Models!$BJ116:$BT116,,AH116+1)*AF116-ERP_i)*AE116*Ramure*Pc/MaxiM</f>
        <v>3.3256056050957497E-6</v>
      </c>
      <c r="AE116" s="305">
        <f t="shared" si="39"/>
        <v>0.7</v>
      </c>
      <c r="AF116" s="177">
        <f t="shared" si="40"/>
        <v>4.0067561553946307E-2</v>
      </c>
      <c r="AG116" s="921">
        <f t="shared" si="41"/>
        <v>-2</v>
      </c>
      <c r="AH116" s="176">
        <f t="shared" si="42"/>
        <v>4</v>
      </c>
      <c r="AI116" s="225">
        <f t="shared" si="43"/>
        <v>-1.9599324384460537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7"/>
        <v>43203</v>
      </c>
      <c r="B117" s="624"/>
      <c r="C117" s="968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8">
        <f t="shared" si="26"/>
        <v>0</v>
      </c>
      <c r="M117" s="970"/>
      <c r="N117" s="970"/>
      <c r="O117" s="324">
        <f t="shared" si="27"/>
        <v>0</v>
      </c>
      <c r="P117" s="169">
        <f>(INDEX(Models!$BJ117:$BT117,,T117)*(1-R117)+INDEX(Models!$BJ117:$BT117,,T117+1)*R117-ERP_i)*Q117*Ramure*Pc/MaxiM</f>
        <v>3.6780893780974475E-6</v>
      </c>
      <c r="Q117" s="305">
        <f t="shared" si="28"/>
        <v>0.7</v>
      </c>
      <c r="R117" s="177">
        <f t="shared" si="29"/>
        <v>4.1631835486867885E-2</v>
      </c>
      <c r="S117" s="921">
        <f t="shared" si="46"/>
        <v>-2</v>
      </c>
      <c r="T117" s="176">
        <f t="shared" si="30"/>
        <v>4</v>
      </c>
      <c r="U117" s="251">
        <f t="shared" si="31"/>
        <v>-1.9583681645131321</v>
      </c>
      <c r="V117" s="383">
        <f t="shared" si="32"/>
        <v>57.212046401850692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7">
        <f t="shared" si="38"/>
        <v>0</v>
      </c>
      <c r="AD117" s="169">
        <f>(INDEX(Models!$BJ117:$BT117,,AH117)*(1-AF117)+INDEX(Models!$BJ117:$BT117,,AH117+1)*AF117-ERP_i)*AE117*Ramure*Pc/MaxiM</f>
        <v>3.6780893780974475E-6</v>
      </c>
      <c r="AE117" s="305">
        <f t="shared" si="39"/>
        <v>0.7</v>
      </c>
      <c r="AF117" s="177">
        <f t="shared" si="40"/>
        <v>4.1631835486867885E-2</v>
      </c>
      <c r="AG117" s="921">
        <f t="shared" si="41"/>
        <v>-2</v>
      </c>
      <c r="AH117" s="176">
        <f t="shared" si="42"/>
        <v>4</v>
      </c>
      <c r="AI117" s="225">
        <f t="shared" si="43"/>
        <v>-1.9583681645131321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7"/>
        <v>43204</v>
      </c>
      <c r="B118" s="624"/>
      <c r="C118" s="968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8">
        <f t="shared" si="26"/>
        <v>0</v>
      </c>
      <c r="M118" s="970"/>
      <c r="N118" s="970"/>
      <c r="O118" s="324">
        <f t="shared" si="27"/>
        <v>0</v>
      </c>
      <c r="P118" s="169">
        <f>(INDEX(Models!$BJ118:$BT118,,T118)*(1-R118)+INDEX(Models!$BJ118:$BT118,,T118+1)*R118-ERP_i)*Q118*Ramure*Pc/MaxiM</f>
        <v>4.1030515476007558E-6</v>
      </c>
      <c r="Q118" s="305">
        <f t="shared" si="28"/>
        <v>0.7</v>
      </c>
      <c r="R118" s="177">
        <f t="shared" si="29"/>
        <v>4.3250459366431571E-2</v>
      </c>
      <c r="S118" s="921">
        <f t="shared" si="46"/>
        <v>-2</v>
      </c>
      <c r="T118" s="176">
        <f t="shared" si="30"/>
        <v>4</v>
      </c>
      <c r="U118" s="251">
        <f t="shared" si="31"/>
        <v>-1.9567495406335684</v>
      </c>
      <c r="V118" s="383">
        <f t="shared" si="32"/>
        <v>57.351174305427413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7">
        <f t="shared" si="38"/>
        <v>0</v>
      </c>
      <c r="AD118" s="169">
        <f>(INDEX(Models!$BJ118:$BT118,,AH118)*(1-AF118)+INDEX(Models!$BJ118:$BT118,,AH118+1)*AF118-ERP_i)*AE118*Ramure*Pc/MaxiM</f>
        <v>4.1030515476007558E-6</v>
      </c>
      <c r="AE118" s="305">
        <f t="shared" si="39"/>
        <v>0.7</v>
      </c>
      <c r="AF118" s="177">
        <f t="shared" si="40"/>
        <v>4.3250459366431571E-2</v>
      </c>
      <c r="AG118" s="921">
        <f t="shared" si="41"/>
        <v>-2</v>
      </c>
      <c r="AH118" s="176">
        <f t="shared" si="42"/>
        <v>4</v>
      </c>
      <c r="AI118" s="225">
        <f t="shared" si="43"/>
        <v>-1.9567495406335684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7"/>
        <v>43205</v>
      </c>
      <c r="B119" s="624"/>
      <c r="C119" s="968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8">
        <f t="shared" si="26"/>
        <v>0</v>
      </c>
      <c r="M119" s="970"/>
      <c r="N119" s="970"/>
      <c r="O119" s="324">
        <f t="shared" si="27"/>
        <v>0</v>
      </c>
      <c r="P119" s="169">
        <f>(INDEX(Models!$BJ119:$BT119,,T119)*(1-R119)+INDEX(Models!$BJ119:$BT119,,T119+1)*R119-ERP_i)*Q119*Ramure*Pc/MaxiM</f>
        <v>4.6076860857243142E-6</v>
      </c>
      <c r="Q119" s="305">
        <f t="shared" si="28"/>
        <v>0.7</v>
      </c>
      <c r="R119" s="177">
        <f t="shared" si="29"/>
        <v>4.4924876675962899E-2</v>
      </c>
      <c r="S119" s="921">
        <f t="shared" si="46"/>
        <v>-2</v>
      </c>
      <c r="T119" s="176">
        <f t="shared" si="30"/>
        <v>4</v>
      </c>
      <c r="U119" s="251">
        <f t="shared" si="31"/>
        <v>-1.9550751233240371</v>
      </c>
      <c r="V119" s="383">
        <f t="shared" si="32"/>
        <v>57.487712974897704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7">
        <f t="shared" si="38"/>
        <v>0</v>
      </c>
      <c r="AD119" s="169">
        <f>(INDEX(Models!$BJ119:$BT119,,AH119)*(1-AF119)+INDEX(Models!$BJ119:$BT119,,AH119+1)*AF119-ERP_i)*AE119*Ramure*Pc/MaxiM</f>
        <v>4.6076860857243142E-6</v>
      </c>
      <c r="AE119" s="305">
        <f t="shared" si="39"/>
        <v>0.7</v>
      </c>
      <c r="AF119" s="177">
        <f t="shared" si="40"/>
        <v>4.4924876675962899E-2</v>
      </c>
      <c r="AG119" s="921">
        <f t="shared" si="41"/>
        <v>-2</v>
      </c>
      <c r="AH119" s="176">
        <f t="shared" si="42"/>
        <v>4</v>
      </c>
      <c r="AI119" s="225">
        <f t="shared" si="43"/>
        <v>-1.9550751233240371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7"/>
        <v>43206</v>
      </c>
      <c r="B120" s="624"/>
      <c r="C120" s="968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8">
        <f t="shared" si="26"/>
        <v>0</v>
      </c>
      <c r="M120" s="970"/>
      <c r="N120" s="970"/>
      <c r="O120" s="324">
        <f t="shared" si="27"/>
        <v>0</v>
      </c>
      <c r="P120" s="169">
        <f>(INDEX(Models!$BJ120:$BT120,,T120)*(1-R120)+INDEX(Models!$BJ120:$BT120,,T120+1)*R120-ERP_i)*Q120*Ramure*Pc/MaxiM</f>
        <v>5.1997167752771779E-6</v>
      </c>
      <c r="Q120" s="305">
        <f t="shared" si="28"/>
        <v>0.7</v>
      </c>
      <c r="R120" s="177">
        <f t="shared" si="29"/>
        <v>4.6656534649605286E-2</v>
      </c>
      <c r="S120" s="921">
        <f t="shared" si="46"/>
        <v>-2</v>
      </c>
      <c r="T120" s="176">
        <f t="shared" si="30"/>
        <v>4</v>
      </c>
      <c r="U120" s="251">
        <f t="shared" si="31"/>
        <v>-1.9533434653503947</v>
      </c>
      <c r="V120" s="383">
        <f t="shared" si="32"/>
        <v>57.622200379469128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7">
        <f t="shared" si="38"/>
        <v>0</v>
      </c>
      <c r="AD120" s="169">
        <f>(INDEX(Models!$BJ120:$BT120,,AH120)*(1-AF120)+INDEX(Models!$BJ120:$BT120,,AH120+1)*AF120-ERP_i)*AE120*Ramure*Pc/MaxiM</f>
        <v>5.1997167752771779E-6</v>
      </c>
      <c r="AE120" s="305">
        <f t="shared" si="39"/>
        <v>0.7</v>
      </c>
      <c r="AF120" s="177">
        <f t="shared" si="40"/>
        <v>4.6656534649605286E-2</v>
      </c>
      <c r="AG120" s="921">
        <f t="shared" si="41"/>
        <v>-2</v>
      </c>
      <c r="AH120" s="176">
        <f t="shared" si="42"/>
        <v>4</v>
      </c>
      <c r="AI120" s="225">
        <f t="shared" si="43"/>
        <v>-1.9533434653503947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7"/>
        <v>43207</v>
      </c>
      <c r="B121" s="624"/>
      <c r="C121" s="968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8">
        <f t="shared" si="26"/>
        <v>0</v>
      </c>
      <c r="M121" s="970"/>
      <c r="N121" s="970"/>
      <c r="O121" s="324">
        <f t="shared" si="27"/>
        <v>0</v>
      </c>
      <c r="P121" s="169">
        <f>(INDEX(Models!$BJ121:$BT121,,T121)*(1-R121)+INDEX(Models!$BJ121:$BT121,,T121+1)*R121-ERP_i)*Q121*Ramure*Pc/MaxiM</f>
        <v>5.8875357293739619E-6</v>
      </c>
      <c r="Q121" s="305">
        <f t="shared" si="28"/>
        <v>0.7</v>
      </c>
      <c r="R121" s="177">
        <f t="shared" si="29"/>
        <v>4.8446881184282198E-2</v>
      </c>
      <c r="S121" s="921">
        <f t="shared" si="46"/>
        <v>-2</v>
      </c>
      <c r="T121" s="176">
        <f t="shared" si="30"/>
        <v>4</v>
      </c>
      <c r="U121" s="251">
        <f t="shared" si="31"/>
        <v>-1.9515531188157178</v>
      </c>
      <c r="V121" s="383">
        <f t="shared" si="32"/>
        <v>57.754061663560428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7">
        <f t="shared" si="38"/>
        <v>0</v>
      </c>
      <c r="AD121" s="169">
        <f>(INDEX(Models!$BJ121:$BT121,,AH121)*(1-AF121)+INDEX(Models!$BJ121:$BT121,,AH121+1)*AF121-ERP_i)*AE121*Ramure*Pc/MaxiM</f>
        <v>5.8875357293739619E-6</v>
      </c>
      <c r="AE121" s="305">
        <f t="shared" si="39"/>
        <v>0.7</v>
      </c>
      <c r="AF121" s="177">
        <f t="shared" si="40"/>
        <v>4.8446881184282198E-2</v>
      </c>
      <c r="AG121" s="921">
        <f t="shared" si="41"/>
        <v>-2</v>
      </c>
      <c r="AH121" s="176">
        <f t="shared" si="42"/>
        <v>4</v>
      </c>
      <c r="AI121" s="225">
        <f t="shared" si="43"/>
        <v>-1.9515531188157178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79">
        <f t="shared" si="47"/>
        <v>43208</v>
      </c>
      <c r="B122" s="625"/>
      <c r="C122" s="968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4">
        <f t="shared" si="26"/>
        <v>0</v>
      </c>
      <c r="M122" s="970"/>
      <c r="N122" s="970"/>
      <c r="O122" s="324">
        <f t="shared" si="27"/>
        <v>0</v>
      </c>
      <c r="P122" s="169">
        <f>(INDEX(Models!$BJ122:$BT122,,T122)*(1-R122)+INDEX(Models!$BJ122:$BT122,,T122+1)*R122-ERP_i)*Q122*Ramure*Pc/MaxiM</f>
        <v>6.7189404438905827E-6</v>
      </c>
      <c r="Q122" s="305">
        <f t="shared" si="28"/>
        <v>0.7</v>
      </c>
      <c r="R122" s="177">
        <f t="shared" si="29"/>
        <v>5.0297361507005034E-2</v>
      </c>
      <c r="S122" s="921">
        <f t="shared" si="46"/>
        <v>-2</v>
      </c>
      <c r="T122" s="176">
        <f t="shared" si="30"/>
        <v>4</v>
      </c>
      <c r="U122" s="251">
        <f t="shared" si="31"/>
        <v>-1.949702638492995</v>
      </c>
      <c r="V122" s="383">
        <f t="shared" si="32"/>
        <v>57.882288932092166</v>
      </c>
      <c r="W122" s="436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3">
        <f t="shared" si="38"/>
        <v>0</v>
      </c>
      <c r="AD122" s="169">
        <f>(INDEX(Models!$BJ122:$BT122,,AH122)*(1-AF122)+INDEX(Models!$BJ122:$BT122,,AH122+1)*AF122-ERP_i)*AE122*Ramure*Pc/MaxiM</f>
        <v>6.7189404438905827E-6</v>
      </c>
      <c r="AE122" s="305">
        <f t="shared" si="39"/>
        <v>0.7</v>
      </c>
      <c r="AF122" s="177">
        <f t="shared" si="40"/>
        <v>5.0297361507005034E-2</v>
      </c>
      <c r="AG122" s="921">
        <f t="shared" si="41"/>
        <v>-2</v>
      </c>
      <c r="AH122" s="176">
        <f t="shared" si="42"/>
        <v>4</v>
      </c>
      <c r="AI122" s="225">
        <f t="shared" si="43"/>
        <v>-1.949702638492995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7"/>
        <v>43209</v>
      </c>
      <c r="B123" s="624"/>
      <c r="C123" s="968"/>
      <c r="D123" s="393"/>
      <c r="E123" s="385"/>
      <c r="F123" s="385"/>
      <c r="G123" s="110"/>
      <c r="H123" s="437"/>
      <c r="I123" s="380">
        <f t="shared" si="24"/>
        <v>0</v>
      </c>
      <c r="J123" s="85">
        <v>2018</v>
      </c>
      <c r="K123" s="197">
        <f t="shared" si="25"/>
        <v>43209</v>
      </c>
      <c r="L123" s="438">
        <f t="shared" si="26"/>
        <v>0</v>
      </c>
      <c r="M123" s="970"/>
      <c r="N123" s="970"/>
      <c r="O123" s="324">
        <f t="shared" si="27"/>
        <v>0</v>
      </c>
      <c r="P123" s="169">
        <f>(INDEX(Models!$BJ123:$BT123,,T123)*(1-R123)+INDEX(Models!$BJ123:$BT123,,T123+1)*R123-ERP_i)*Q123*Ramure*Pc/MaxiM</f>
        <v>7.688792267776127E-6</v>
      </c>
      <c r="Q123" s="305">
        <f t="shared" si="28"/>
        <v>0.7</v>
      </c>
      <c r="R123" s="177">
        <f t="shared" si="29"/>
        <v>5.2209414591641856E-2</v>
      </c>
      <c r="S123" s="921">
        <f t="shared" si="46"/>
        <v>-2</v>
      </c>
      <c r="T123" s="176">
        <f t="shared" si="30"/>
        <v>4</v>
      </c>
      <c r="U123" s="251">
        <f t="shared" si="31"/>
        <v>-1.9477905854083581</v>
      </c>
      <c r="V123" s="383">
        <f t="shared" si="32"/>
        <v>58.006774749195579</v>
      </c>
      <c r="W123" s="436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9">
        <f t="shared" si="38"/>
        <v>0</v>
      </c>
      <c r="AD123" s="169">
        <f>(INDEX(Models!$BJ123:$BT123,,AH123)*(1-AF123)+INDEX(Models!$BJ123:$BT123,,AH123+1)*AF123-ERP_i)*AE123*Ramure*Pc/MaxiM</f>
        <v>7.688792267776127E-6</v>
      </c>
      <c r="AE123" s="305">
        <f t="shared" si="39"/>
        <v>0.7</v>
      </c>
      <c r="AF123" s="177">
        <f t="shared" si="40"/>
        <v>5.2209414591641856E-2</v>
      </c>
      <c r="AG123" s="921">
        <f t="shared" si="41"/>
        <v>-2</v>
      </c>
      <c r="AH123" s="176">
        <f t="shared" si="42"/>
        <v>4</v>
      </c>
      <c r="AI123" s="225">
        <f t="shared" si="43"/>
        <v>-1.9477905854083581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7"/>
        <v>43210</v>
      </c>
      <c r="B124" s="624"/>
      <c r="C124" s="968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8">
        <f t="shared" si="26"/>
        <v>0</v>
      </c>
      <c r="M124" s="970"/>
      <c r="N124" s="970"/>
      <c r="O124" s="324">
        <f t="shared" si="27"/>
        <v>0</v>
      </c>
      <c r="P124" s="169">
        <f>(INDEX(Models!$BJ124:$BT124,,T124)*(1-R124)+INDEX(Models!$BJ124:$BT124,,T124+1)*R124-ERP_i)*Q124*Ramure*Pc/MaxiM</f>
        <v>8.8101684578923113E-6</v>
      </c>
      <c r="Q124" s="305">
        <f t="shared" si="28"/>
        <v>0.7</v>
      </c>
      <c r="R124" s="177">
        <f t="shared" si="29"/>
        <v>5.4184469320311068E-2</v>
      </c>
      <c r="S124" s="921">
        <f t="shared" si="46"/>
        <v>-2</v>
      </c>
      <c r="T124" s="176">
        <f t="shared" si="30"/>
        <v>4</v>
      </c>
      <c r="U124" s="251">
        <f t="shared" si="31"/>
        <v>-1.9458155306796889</v>
      </c>
      <c r="V124" s="383">
        <f t="shared" si="32"/>
        <v>58.12741062410651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7">
        <f t="shared" si="38"/>
        <v>0</v>
      </c>
      <c r="AD124" s="169">
        <f>(INDEX(Models!$BJ124:$BT124,,AH124)*(1-AF124)+INDEX(Models!$BJ124:$BT124,,AH124+1)*AF124-ERP_i)*AE124*Ramure*Pc/MaxiM</f>
        <v>8.8101684578923113E-6</v>
      </c>
      <c r="AE124" s="305">
        <f t="shared" si="39"/>
        <v>0.7</v>
      </c>
      <c r="AF124" s="177">
        <f t="shared" si="40"/>
        <v>5.4184469320311068E-2</v>
      </c>
      <c r="AG124" s="921">
        <f t="shared" si="41"/>
        <v>-2</v>
      </c>
      <c r="AH124" s="176">
        <f t="shared" si="42"/>
        <v>4</v>
      </c>
      <c r="AI124" s="225">
        <f t="shared" si="43"/>
        <v>-1.9458155306796889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7"/>
        <v>43211</v>
      </c>
      <c r="B125" s="624"/>
      <c r="C125" s="968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8">
        <f t="shared" si="26"/>
        <v>0</v>
      </c>
      <c r="M125" s="970"/>
      <c r="N125" s="970"/>
      <c r="O125" s="324">
        <f t="shared" si="27"/>
        <v>0</v>
      </c>
      <c r="P125" s="169">
        <f>(INDEX(Models!$BJ125:$BT125,,T125)*(1-R125)+INDEX(Models!$BJ125:$BT125,,T125+1)*R125-ERP_i)*Q125*Ramure*Pc/MaxiM</f>
        <v>1.0097136812587108E-5</v>
      </c>
      <c r="Q125" s="305">
        <f t="shared" si="28"/>
        <v>0.7</v>
      </c>
      <c r="R125" s="177">
        <f t="shared" si="29"/>
        <v>5.6223940385784266E-2</v>
      </c>
      <c r="S125" s="921">
        <f t="shared" si="46"/>
        <v>-2</v>
      </c>
      <c r="T125" s="176">
        <f t="shared" si="30"/>
        <v>4</v>
      </c>
      <c r="U125" s="251">
        <f t="shared" si="31"/>
        <v>-1.9437760596142157</v>
      </c>
      <c r="V125" s="383">
        <f t="shared" si="32"/>
        <v>58.244088006962372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7">
        <f t="shared" si="38"/>
        <v>0</v>
      </c>
      <c r="AD125" s="169">
        <f>(INDEX(Models!$BJ125:$BT125,,AH125)*(1-AF125)+INDEX(Models!$BJ125:$BT125,,AH125+1)*AF125-ERP_i)*AE125*Ramure*Pc/MaxiM</f>
        <v>1.0097136812587108E-5</v>
      </c>
      <c r="AE125" s="305">
        <f t="shared" si="39"/>
        <v>0.7</v>
      </c>
      <c r="AF125" s="177">
        <f t="shared" si="40"/>
        <v>5.6223940385784266E-2</v>
      </c>
      <c r="AG125" s="921">
        <f t="shared" si="41"/>
        <v>-2</v>
      </c>
      <c r="AH125" s="176">
        <f t="shared" si="42"/>
        <v>4</v>
      </c>
      <c r="AI125" s="225">
        <f t="shared" si="43"/>
        <v>-1.9437760596142157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7"/>
        <v>43212</v>
      </c>
      <c r="B126" s="624"/>
      <c r="C126" s="968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8">
        <f t="shared" si="26"/>
        <v>0</v>
      </c>
      <c r="M126" s="970"/>
      <c r="N126" s="970"/>
      <c r="O126" s="324">
        <f t="shared" si="27"/>
        <v>0</v>
      </c>
      <c r="P126" s="169">
        <f>(INDEX(Models!$BJ126:$BT126,,T126)*(1-R126)+INDEX(Models!$BJ126:$BT126,,T126+1)*R126-ERP_i)*Q126*Ramure*Pc/MaxiM</f>
        <v>1.156480016888078E-5</v>
      </c>
      <c r="Q126" s="305">
        <f t="shared" si="28"/>
        <v>0.7</v>
      </c>
      <c r="R126" s="177">
        <f t="shared" si="29"/>
        <v>5.8329223932666707E-2</v>
      </c>
      <c r="S126" s="921">
        <f t="shared" si="46"/>
        <v>-2</v>
      </c>
      <c r="T126" s="176">
        <f t="shared" si="30"/>
        <v>4</v>
      </c>
      <c r="U126" s="251">
        <f t="shared" si="31"/>
        <v>-1.9416707760673333</v>
      </c>
      <c r="V126" s="383">
        <f t="shared" si="32"/>
        <v>58.356698287284644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7">
        <f t="shared" si="38"/>
        <v>0</v>
      </c>
      <c r="AD126" s="169">
        <f>(INDEX(Models!$BJ126:$BT126,,AH126)*(1-AF126)+INDEX(Models!$BJ126:$BT126,,AH126+1)*AF126-ERP_i)*AE126*Ramure*Pc/MaxiM</f>
        <v>1.156480016888078E-5</v>
      </c>
      <c r="AE126" s="305">
        <f t="shared" si="39"/>
        <v>0.7</v>
      </c>
      <c r="AF126" s="177">
        <f t="shared" si="40"/>
        <v>5.8329223932666707E-2</v>
      </c>
      <c r="AG126" s="921">
        <f t="shared" si="41"/>
        <v>-2</v>
      </c>
      <c r="AH126" s="176">
        <f t="shared" si="42"/>
        <v>4</v>
      </c>
      <c r="AI126" s="225">
        <f t="shared" si="43"/>
        <v>-1.9416707760673333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7"/>
        <v>43213</v>
      </c>
      <c r="B127" s="624"/>
      <c r="C127" s="968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8">
        <f t="shared" si="26"/>
        <v>0</v>
      </c>
      <c r="M127" s="970"/>
      <c r="N127" s="970"/>
      <c r="O127" s="324">
        <f t="shared" si="27"/>
        <v>0</v>
      </c>
      <c r="P127" s="169">
        <f>(INDEX(Models!$BJ127:$BT127,,T127)*(1-R127)+INDEX(Models!$BJ127:$BT127,,T127+1)*R127-ERP_i)*Q127*Ramure*Pc/MaxiM</f>
        <v>1.3229321707598427E-5</v>
      </c>
      <c r="Q127" s="305">
        <f t="shared" si="28"/>
        <v>0.7</v>
      </c>
      <c r="R127" s="177">
        <f t="shared" si="29"/>
        <v>6.0501692936700158E-2</v>
      </c>
      <c r="S127" s="921">
        <f t="shared" si="46"/>
        <v>-2</v>
      </c>
      <c r="T127" s="176">
        <f t="shared" si="30"/>
        <v>4</v>
      </c>
      <c r="U127" s="251">
        <f t="shared" si="31"/>
        <v>-1.9394983070632998</v>
      </c>
      <c r="V127" s="383">
        <f t="shared" si="32"/>
        <v>58.465132786194125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7">
        <f t="shared" si="38"/>
        <v>0</v>
      </c>
      <c r="AD127" s="169">
        <f>(INDEX(Models!$BJ127:$BT127,,AH127)*(1-AF127)+INDEX(Models!$BJ127:$BT127,,AH127+1)*AF127-ERP_i)*AE127*Ramure*Pc/MaxiM</f>
        <v>1.3229321707598427E-5</v>
      </c>
      <c r="AE127" s="305">
        <f t="shared" si="39"/>
        <v>0.7</v>
      </c>
      <c r="AF127" s="177">
        <f t="shared" si="40"/>
        <v>6.0501692936700158E-2</v>
      </c>
      <c r="AG127" s="921">
        <f t="shared" si="41"/>
        <v>-2</v>
      </c>
      <c r="AH127" s="176">
        <f t="shared" si="42"/>
        <v>4</v>
      </c>
      <c r="AI127" s="225">
        <f t="shared" si="43"/>
        <v>-1.9394983070632998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7"/>
        <v>43214</v>
      </c>
      <c r="B128" s="624"/>
      <c r="C128" s="968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8">
        <f t="shared" si="26"/>
        <v>0</v>
      </c>
      <c r="M128" s="970"/>
      <c r="N128" s="970"/>
      <c r="O128" s="324">
        <f t="shared" si="27"/>
        <v>0</v>
      </c>
      <c r="P128" s="169">
        <f>(INDEX(Models!$BJ128:$BT128,,T128)*(1-R128)+INDEX(Models!$BJ128:$BT128,,T128+1)*R128-ERP_i)*Q128*Ramure*Pc/MaxiM</f>
        <v>1.5134514900321237E-5</v>
      </c>
      <c r="Q128" s="305">
        <f t="shared" si="28"/>
        <v>0.7</v>
      </c>
      <c r="R128" s="177">
        <f t="shared" si="29"/>
        <v>6.2742692323281668E-2</v>
      </c>
      <c r="S128" s="921">
        <f t="shared" si="46"/>
        <v>-2</v>
      </c>
      <c r="T128" s="176">
        <f t="shared" si="30"/>
        <v>4</v>
      </c>
      <c r="U128" s="251">
        <f t="shared" si="31"/>
        <v>-1.9372573076767183</v>
      </c>
      <c r="V128" s="383">
        <f t="shared" si="32"/>
        <v>58.569281207499479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7">
        <f t="shared" si="38"/>
        <v>0</v>
      </c>
      <c r="AD128" s="169">
        <f>(INDEX(Models!$BJ128:$BT128,,AH128)*(1-AF128)+INDEX(Models!$BJ128:$BT128,,AH128+1)*AF128-ERP_i)*AE128*Ramure*Pc/MaxiM</f>
        <v>1.5134514900321237E-5</v>
      </c>
      <c r="AE128" s="305">
        <f t="shared" si="39"/>
        <v>0.7</v>
      </c>
      <c r="AF128" s="177">
        <f t="shared" si="40"/>
        <v>6.2742692323281668E-2</v>
      </c>
      <c r="AG128" s="921">
        <f t="shared" si="41"/>
        <v>-2</v>
      </c>
      <c r="AH128" s="176">
        <f t="shared" si="42"/>
        <v>4</v>
      </c>
      <c r="AI128" s="225">
        <f t="shared" si="43"/>
        <v>-1.9372573076767183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7"/>
        <v>43215</v>
      </c>
      <c r="B129" s="624"/>
      <c r="C129" s="968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8">
        <f t="shared" si="26"/>
        <v>0</v>
      </c>
      <c r="M129" s="970"/>
      <c r="N129" s="970"/>
      <c r="O129" s="324">
        <f t="shared" si="27"/>
        <v>0</v>
      </c>
      <c r="P129" s="169">
        <f>(INDEX(Models!$BJ129:$BT129,,T129)*(1-R129)+INDEX(Models!$BJ129:$BT129,,T129+1)*R129-ERP_i)*Q129*Ramure*Pc/MaxiM</f>
        <v>1.725052067019766E-5</v>
      </c>
      <c r="Q129" s="305">
        <f t="shared" si="28"/>
        <v>0.7</v>
      </c>
      <c r="R129" s="177">
        <f t="shared" si="29"/>
        <v>6.5053533828247412E-2</v>
      </c>
      <c r="S129" s="921">
        <f t="shared" si="46"/>
        <v>-2</v>
      </c>
      <c r="T129" s="176">
        <f t="shared" si="30"/>
        <v>4</v>
      </c>
      <c r="U129" s="251">
        <f t="shared" si="31"/>
        <v>-1.9349464661717526</v>
      </c>
      <c r="V129" s="383">
        <f t="shared" si="32"/>
        <v>58.669037564776993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7">
        <f t="shared" si="38"/>
        <v>0</v>
      </c>
      <c r="AD129" s="169">
        <f>(INDEX(Models!$BJ129:$BT129,,AH129)*(1-AF129)+INDEX(Models!$BJ129:$BT129,,AH129+1)*AF129-ERP_i)*AE129*Ramure*Pc/MaxiM</f>
        <v>1.725052067019766E-5</v>
      </c>
      <c r="AE129" s="305">
        <f t="shared" si="39"/>
        <v>0.7</v>
      </c>
      <c r="AF129" s="177">
        <f t="shared" si="40"/>
        <v>6.5053533828247412E-2</v>
      </c>
      <c r="AG129" s="921">
        <f t="shared" si="41"/>
        <v>-2</v>
      </c>
      <c r="AH129" s="176">
        <f t="shared" si="42"/>
        <v>4</v>
      </c>
      <c r="AI129" s="225">
        <f t="shared" si="43"/>
        <v>-1.9349464661717526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7"/>
        <v>43216</v>
      </c>
      <c r="B130" s="624"/>
      <c r="C130" s="968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8">
        <f t="shared" si="26"/>
        <v>0</v>
      </c>
      <c r="M130" s="970"/>
      <c r="N130" s="970"/>
      <c r="O130" s="324">
        <f t="shared" si="27"/>
        <v>0</v>
      </c>
      <c r="P130" s="169">
        <f>(INDEX(Models!$BJ130:$BT130,,T130)*(1-R130)+INDEX(Models!$BJ130:$BT130,,T130+1)*R130-ERP_i)*Q130*Ramure*Pc/MaxiM</f>
        <v>1.9594341492268924E-5</v>
      </c>
      <c r="Q130" s="305">
        <f t="shared" si="28"/>
        <v>0.7</v>
      </c>
      <c r="R130" s="177">
        <f t="shared" si="29"/>
        <v>6.7435490606106319E-2</v>
      </c>
      <c r="S130" s="921">
        <f t="shared" si="46"/>
        <v>-2</v>
      </c>
      <c r="T130" s="176">
        <f t="shared" si="30"/>
        <v>4</v>
      </c>
      <c r="U130" s="251">
        <f t="shared" si="31"/>
        <v>-1.9325645093938937</v>
      </c>
      <c r="V130" s="383">
        <f t="shared" si="32"/>
        <v>58.764293136246593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7">
        <f t="shared" si="38"/>
        <v>0</v>
      </c>
      <c r="AD130" s="169">
        <f>(INDEX(Models!$BJ130:$BT130,,AH130)*(1-AF130)+INDEX(Models!$BJ130:$BT130,,AH130+1)*AF130-ERP_i)*AE130*Ramure*Pc/MaxiM</f>
        <v>1.9594341492268924E-5</v>
      </c>
      <c r="AE130" s="305">
        <f t="shared" si="39"/>
        <v>0.7</v>
      </c>
      <c r="AF130" s="177">
        <f t="shared" si="40"/>
        <v>6.7435490606106319E-2</v>
      </c>
      <c r="AG130" s="921">
        <f t="shared" si="41"/>
        <v>-2</v>
      </c>
      <c r="AH130" s="176">
        <f t="shared" si="42"/>
        <v>4</v>
      </c>
      <c r="AI130" s="225">
        <f t="shared" si="43"/>
        <v>-1.9325645093938937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7"/>
        <v>43217</v>
      </c>
      <c r="B131" s="624"/>
      <c r="C131" s="968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8">
        <f t="shared" si="26"/>
        <v>0</v>
      </c>
      <c r="M131" s="970"/>
      <c r="N131" s="970"/>
      <c r="O131" s="324">
        <f t="shared" si="27"/>
        <v>0</v>
      </c>
      <c r="P131" s="169">
        <f>(INDEX(Models!$BJ131:$BT131,,T131)*(1-R131)+INDEX(Models!$BJ131:$BT131,,T131+1)*R131-ERP_i)*Q131*Ramure*Pc/MaxiM</f>
        <v>2.2184080339007046E-5</v>
      </c>
      <c r="Q131" s="305">
        <f t="shared" si="28"/>
        <v>0.7</v>
      </c>
      <c r="R131" s="177">
        <f t="shared" si="29"/>
        <v>6.9889791593241268E-2</v>
      </c>
      <c r="S131" s="921">
        <f t="shared" si="46"/>
        <v>-2</v>
      </c>
      <c r="T131" s="176">
        <f t="shared" si="30"/>
        <v>4</v>
      </c>
      <c r="U131" s="251">
        <f t="shared" si="31"/>
        <v>-1.9301102084067587</v>
      </c>
      <c r="V131" s="383">
        <f t="shared" si="32"/>
        <v>58.8549391359739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7">
        <f t="shared" si="38"/>
        <v>0</v>
      </c>
      <c r="AD131" s="169">
        <f>(INDEX(Models!$BJ131:$BT131,,AH131)*(1-AF131)+INDEX(Models!$BJ131:$BT131,,AH131+1)*AF131-ERP_i)*AE131*Ramure*Pc/MaxiM</f>
        <v>2.2184080339007046E-5</v>
      </c>
      <c r="AE131" s="305">
        <f t="shared" si="39"/>
        <v>0.7</v>
      </c>
      <c r="AF131" s="177">
        <f t="shared" si="40"/>
        <v>6.9889791593241268E-2</v>
      </c>
      <c r="AG131" s="921">
        <f t="shared" si="41"/>
        <v>-2</v>
      </c>
      <c r="AH131" s="176">
        <f t="shared" si="42"/>
        <v>4</v>
      </c>
      <c r="AI131" s="225">
        <f t="shared" si="43"/>
        <v>-1.9301102084067587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7"/>
        <v>43218</v>
      </c>
      <c r="B132" s="624"/>
      <c r="C132" s="968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8">
        <f t="shared" si="26"/>
        <v>0</v>
      </c>
      <c r="M132" s="970"/>
      <c r="N132" s="970"/>
      <c r="O132" s="324">
        <f t="shared" si="27"/>
        <v>0</v>
      </c>
      <c r="P132" s="169">
        <f>(INDEX(Models!$BJ132:$BT132,,T132)*(1-R132)+INDEX(Models!$BJ132:$BT132,,T132+1)*R132-ERP_i)*Q132*Ramure*Pc/MaxiM</f>
        <v>2.5038990558912567E-5</v>
      </c>
      <c r="Q132" s="305">
        <f t="shared" si="28"/>
        <v>0.7</v>
      </c>
      <c r="R132" s="177">
        <f t="shared" si="29"/>
        <v>7.2417615636118704E-2</v>
      </c>
      <c r="S132" s="921">
        <f t="shared" si="46"/>
        <v>-2</v>
      </c>
      <c r="T132" s="176">
        <f t="shared" si="30"/>
        <v>4</v>
      </c>
      <c r="U132" s="251">
        <f t="shared" si="31"/>
        <v>-1.9275823843638813</v>
      </c>
      <c r="V132" s="383">
        <f t="shared" si="32"/>
        <v>58.940866709620437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7">
        <f t="shared" si="38"/>
        <v>0</v>
      </c>
      <c r="AD132" s="169">
        <f>(INDEX(Models!$BJ132:$BT132,,AH132)*(1-AF132)+INDEX(Models!$BJ132:$BT132,,AH132+1)*AF132-ERP_i)*AE132*Ramure*Pc/MaxiM</f>
        <v>2.5038990558912567E-5</v>
      </c>
      <c r="AE132" s="305">
        <f t="shared" si="39"/>
        <v>0.7</v>
      </c>
      <c r="AF132" s="177">
        <f t="shared" si="40"/>
        <v>7.2417615636118704E-2</v>
      </c>
      <c r="AG132" s="921">
        <f t="shared" si="41"/>
        <v>-2</v>
      </c>
      <c r="AH132" s="176">
        <f t="shared" si="42"/>
        <v>4</v>
      </c>
      <c r="AI132" s="225">
        <f t="shared" si="43"/>
        <v>-1.9275823843638813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7"/>
        <v>43219</v>
      </c>
      <c r="B133" s="624"/>
      <c r="C133" s="968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8">
        <f t="shared" si="26"/>
        <v>0</v>
      </c>
      <c r="M133" s="970"/>
      <c r="N133" s="970"/>
      <c r="O133" s="324">
        <f t="shared" si="27"/>
        <v>0</v>
      </c>
      <c r="P133" s="169">
        <f>(INDEX(Models!$BJ133:$BT133,,T133)*(1-R133)+INDEX(Models!$BJ133:$BT133,,T133+1)*R133-ERP_i)*Q133*Ramure*Pc/MaxiM</f>
        <v>2.8179525600129699E-5</v>
      </c>
      <c r="Q133" s="305">
        <f t="shared" si="28"/>
        <v>0.7</v>
      </c>
      <c r="R133" s="177">
        <f t="shared" si="29"/>
        <v>7.5020085397250691E-2</v>
      </c>
      <c r="S133" s="921">
        <f t="shared" si="46"/>
        <v>-2</v>
      </c>
      <c r="T133" s="176">
        <f t="shared" si="30"/>
        <v>4</v>
      </c>
      <c r="U133" s="251">
        <f t="shared" si="31"/>
        <v>-1.9249799146027493</v>
      </c>
      <c r="V133" s="383">
        <f t="shared" si="32"/>
        <v>59.021966935350356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7">
        <f t="shared" si="38"/>
        <v>0</v>
      </c>
      <c r="AD133" s="169">
        <f>(INDEX(Models!$BJ133:$BT133,,AH133)*(1-AF133)+INDEX(Models!$BJ133:$BT133,,AH133+1)*AF133-ERP_i)*AE133*Ramure*Pc/MaxiM</f>
        <v>2.8179525600129699E-5</v>
      </c>
      <c r="AE133" s="305">
        <f t="shared" si="39"/>
        <v>0.7</v>
      </c>
      <c r="AF133" s="177">
        <f t="shared" si="40"/>
        <v>7.5020085397250691E-2</v>
      </c>
      <c r="AG133" s="921">
        <f t="shared" si="41"/>
        <v>-2</v>
      </c>
      <c r="AH133" s="176">
        <f t="shared" si="42"/>
        <v>4</v>
      </c>
      <c r="AI133" s="225">
        <f t="shared" si="43"/>
        <v>-1.9249799146027493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7"/>
        <v>43220</v>
      </c>
      <c r="B134" s="624"/>
      <c r="C134" s="968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8">
        <f t="shared" si="26"/>
        <v>0</v>
      </c>
      <c r="M134" s="970"/>
      <c r="N134" s="970"/>
      <c r="O134" s="324">
        <f t="shared" si="27"/>
        <v>0</v>
      </c>
      <c r="P134" s="169">
        <f>(INDEX(Models!$BJ134:$BT134,,T134)*(1-R134)+INDEX(Models!$BJ134:$BT134,,T134+1)*R134-ERP_i)*Q134*Ramure*Pc/MaxiM</f>
        <v>3.1627388255069581E-5</v>
      </c>
      <c r="Q134" s="305">
        <f t="shared" si="28"/>
        <v>0.7</v>
      </c>
      <c r="R134" s="177">
        <f t="shared" si="29"/>
        <v>7.7698261054529816E-2</v>
      </c>
      <c r="S134" s="921">
        <f t="shared" si="46"/>
        <v>-2</v>
      </c>
      <c r="T134" s="176">
        <f t="shared" si="30"/>
        <v>4</v>
      </c>
      <c r="U134" s="251">
        <f t="shared" si="31"/>
        <v>-1.9223017389454702</v>
      </c>
      <c r="V134" s="383">
        <f t="shared" si="32"/>
        <v>59.098130821354133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7">
        <f t="shared" si="38"/>
        <v>0</v>
      </c>
      <c r="AD134" s="169">
        <f>(INDEX(Models!$BJ134:$BT134,,AH134)*(1-AF134)+INDEX(Models!$BJ134:$BT134,,AH134+1)*AF134-ERP_i)*AE134*Ramure*Pc/MaxiM</f>
        <v>3.1627388255069581E-5</v>
      </c>
      <c r="AE134" s="305">
        <f t="shared" si="39"/>
        <v>0.7</v>
      </c>
      <c r="AF134" s="177">
        <f t="shared" si="40"/>
        <v>7.7698261054529816E-2</v>
      </c>
      <c r="AG134" s="921">
        <f t="shared" si="41"/>
        <v>-2</v>
      </c>
      <c r="AH134" s="176">
        <f t="shared" si="42"/>
        <v>4</v>
      </c>
      <c r="AI134" s="225">
        <f t="shared" si="43"/>
        <v>-1.9223017389454702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7"/>
        <v>43221</v>
      </c>
      <c r="B135" s="624"/>
      <c r="C135" s="968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8">
        <f t="shared" si="26"/>
        <v>0</v>
      </c>
      <c r="M135" s="970"/>
      <c r="N135" s="970"/>
      <c r="O135" s="324">
        <f t="shared" si="27"/>
        <v>0</v>
      </c>
      <c r="P135" s="169">
        <f>(INDEX(Models!$BJ135:$BT135,,T135)*(1-R135)+INDEX(Models!$BJ135:$BT135,,T135+1)*R135-ERP_i)*Q135*Ramure*Pc/MaxiM</f>
        <v>3.5405836816237815E-5</v>
      </c>
      <c r="Q135" s="305">
        <f t="shared" si="28"/>
        <v>0.7</v>
      </c>
      <c r="R135" s="177">
        <f t="shared" si="29"/>
        <v>8.0453133812589783E-2</v>
      </c>
      <c r="S135" s="921">
        <f t="shared" si="46"/>
        <v>-2</v>
      </c>
      <c r="T135" s="176">
        <f t="shared" si="30"/>
        <v>4</v>
      </c>
      <c r="U135" s="251">
        <f t="shared" si="31"/>
        <v>-1.9195468661874102</v>
      </c>
      <c r="V135" s="383">
        <f t="shared" si="32"/>
        <v>59.168818544330684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7">
        <f t="shared" si="38"/>
        <v>0</v>
      </c>
      <c r="AD135" s="169">
        <f>(INDEX(Models!$BJ135:$BT135,,AH135)*(1-AF135)+INDEX(Models!$BJ135:$BT135,,AH135+1)*AF135-ERP_i)*AE135*Ramure*Pc/MaxiM</f>
        <v>3.5405836816237815E-5</v>
      </c>
      <c r="AE135" s="305">
        <f t="shared" si="39"/>
        <v>0.7</v>
      </c>
      <c r="AF135" s="177">
        <f t="shared" si="40"/>
        <v>8.0453133812589783E-2</v>
      </c>
      <c r="AG135" s="921">
        <f t="shared" si="41"/>
        <v>-2</v>
      </c>
      <c r="AH135" s="176">
        <f t="shared" si="42"/>
        <v>4</v>
      </c>
      <c r="AI135" s="225">
        <f t="shared" si="43"/>
        <v>-1.9195468661874102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7"/>
        <v>43222</v>
      </c>
      <c r="B136" s="624"/>
      <c r="C136" s="968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8">
        <f t="shared" si="26"/>
        <v>0</v>
      </c>
      <c r="M136" s="970"/>
      <c r="N136" s="970"/>
      <c r="O136" s="324">
        <f t="shared" si="27"/>
        <v>0</v>
      </c>
      <c r="P136" s="169">
        <f>(INDEX(Models!$BJ136:$BT136,,T136)*(1-R136)+INDEX(Models!$BJ136:$BT136,,T136+1)*R136-ERP_i)*Q136*Ramure*Pc/MaxiM</f>
        <v>3.9573078929543953E-5</v>
      </c>
      <c r="Q136" s="305">
        <f t="shared" si="28"/>
        <v>0.7</v>
      </c>
      <c r="R136" s="177">
        <f t="shared" si="29"/>
        <v>8.3285619248024911E-2</v>
      </c>
      <c r="S136" s="921">
        <f t="shared" si="46"/>
        <v>-2</v>
      </c>
      <c r="T136" s="176">
        <f t="shared" si="30"/>
        <v>4</v>
      </c>
      <c r="U136" s="251">
        <f t="shared" si="31"/>
        <v>-1.9167143807519751</v>
      </c>
      <c r="V136" s="383">
        <f t="shared" si="32"/>
        <v>59.233775378601102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7">
        <f t="shared" si="38"/>
        <v>0</v>
      </c>
      <c r="AD136" s="169">
        <f>(INDEX(Models!$BJ136:$BT136,,AH136)*(1-AF136)+INDEX(Models!$BJ136:$BT136,,AH136+1)*AF136-ERP_i)*AE136*Ramure*Pc/MaxiM</f>
        <v>3.9573078929543953E-5</v>
      </c>
      <c r="AE136" s="305">
        <f t="shared" si="39"/>
        <v>0.7</v>
      </c>
      <c r="AF136" s="177">
        <f t="shared" si="40"/>
        <v>8.3285619248024911E-2</v>
      </c>
      <c r="AG136" s="921">
        <f t="shared" si="41"/>
        <v>-2</v>
      </c>
      <c r="AH136" s="176">
        <f t="shared" si="42"/>
        <v>4</v>
      </c>
      <c r="AI136" s="225">
        <f t="shared" si="43"/>
        <v>-1.9167143807519751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7"/>
        <v>43223</v>
      </c>
      <c r="B137" s="624"/>
      <c r="C137" s="968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8">
        <f t="shared" si="26"/>
        <v>0</v>
      </c>
      <c r="M137" s="970"/>
      <c r="N137" s="970"/>
      <c r="O137" s="324">
        <f t="shared" si="27"/>
        <v>0</v>
      </c>
      <c r="P137" s="169">
        <f>(INDEX(Models!$BJ137:$BT137,,T137)*(1-R137)+INDEX(Models!$BJ137:$BT137,,T137+1)*R137-ERP_i)*Q137*Ramure*Pc/MaxiM</f>
        <v>4.4088771158398262E-5</v>
      </c>
      <c r="Q137" s="305">
        <f t="shared" si="28"/>
        <v>0.7</v>
      </c>
      <c r="R137" s="177">
        <f t="shared" si="29"/>
        <v>8.6196550513588654E-2</v>
      </c>
      <c r="S137" s="921">
        <f t="shared" si="46"/>
        <v>-2</v>
      </c>
      <c r="T137" s="176">
        <f t="shared" si="30"/>
        <v>4</v>
      </c>
      <c r="U137" s="251">
        <f t="shared" si="31"/>
        <v>-1.9138034494864113</v>
      </c>
      <c r="V137" s="383">
        <f t="shared" si="32"/>
        <v>59.293326768634124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7">
        <f t="shared" si="38"/>
        <v>0</v>
      </c>
      <c r="AD137" s="169">
        <f>(INDEX(Models!$BJ137:$BT137,,AH137)*(1-AF137)+INDEX(Models!$BJ137:$BT137,,AH137+1)*AF137-ERP_i)*AE137*Ramure*Pc/MaxiM</f>
        <v>4.4088771158398262E-5</v>
      </c>
      <c r="AE137" s="305">
        <f t="shared" si="39"/>
        <v>0.7</v>
      </c>
      <c r="AF137" s="177">
        <f t="shared" si="40"/>
        <v>8.6196550513588654E-2</v>
      </c>
      <c r="AG137" s="921">
        <f t="shared" si="41"/>
        <v>-2</v>
      </c>
      <c r="AH137" s="176">
        <f t="shared" si="42"/>
        <v>4</v>
      </c>
      <c r="AI137" s="225">
        <f t="shared" si="43"/>
        <v>-1.9138034494864113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7"/>
        <v>43224</v>
      </c>
      <c r="B138" s="624"/>
      <c r="C138" s="968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8">
        <f t="shared" si="26"/>
        <v>0</v>
      </c>
      <c r="M138" s="970"/>
      <c r="N138" s="970"/>
      <c r="O138" s="324">
        <f t="shared" si="27"/>
        <v>0</v>
      </c>
      <c r="P138" s="169">
        <f>(INDEX(Models!$BJ138:$BT138,,T138)*(1-R138)+INDEX(Models!$BJ138:$BT138,,T138+1)*R138-ERP_i)*Q138*Ramure*Pc/MaxiM</f>
        <v>4.8975741971504905E-5</v>
      </c>
      <c r="Q138" s="305">
        <f t="shared" si="28"/>
        <v>0.7</v>
      </c>
      <c r="R138" s="177">
        <f t="shared" si="29"/>
        <v>8.9186671429879016E-2</v>
      </c>
      <c r="S138" s="921">
        <f t="shared" si="46"/>
        <v>-2</v>
      </c>
      <c r="T138" s="176">
        <f t="shared" si="30"/>
        <v>4</v>
      </c>
      <c r="U138" s="251">
        <f t="shared" si="31"/>
        <v>-1.910813328570121</v>
      </c>
      <c r="V138" s="383">
        <f t="shared" si="32"/>
        <v>59.347794421850367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7">
        <f t="shared" si="38"/>
        <v>0</v>
      </c>
      <c r="AD138" s="169">
        <f>(INDEX(Models!$BJ138:$BT138,,AH138)*(1-AF138)+INDEX(Models!$BJ138:$BT138,,AH138+1)*AF138-ERP_i)*AE138*Ramure*Pc/MaxiM</f>
        <v>4.8975741971504905E-5</v>
      </c>
      <c r="AE138" s="305">
        <f t="shared" si="39"/>
        <v>0.7</v>
      </c>
      <c r="AF138" s="177">
        <f t="shared" si="40"/>
        <v>8.9186671429879016E-2</v>
      </c>
      <c r="AG138" s="921">
        <f t="shared" si="41"/>
        <v>-2</v>
      </c>
      <c r="AH138" s="176">
        <f t="shared" si="42"/>
        <v>4</v>
      </c>
      <c r="AI138" s="225">
        <f t="shared" si="43"/>
        <v>-1.910813328570121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7"/>
        <v>43225</v>
      </c>
      <c r="B139" s="624"/>
      <c r="C139" s="968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8">
        <f t="shared" si="26"/>
        <v>0</v>
      </c>
      <c r="M139" s="970"/>
      <c r="N139" s="970"/>
      <c r="O139" s="324">
        <f t="shared" si="27"/>
        <v>0</v>
      </c>
      <c r="P139" s="169">
        <f>(INDEX(Models!$BJ139:$BT139,,T139)*(1-R139)+INDEX(Models!$BJ139:$BT139,,T139+1)*R139-ERP_i)*Q139*Ramure*Pc/MaxiM</f>
        <v>5.4257835934579965E-5</v>
      </c>
      <c r="Q139" s="305">
        <f t="shared" si="28"/>
        <v>0.7</v>
      </c>
      <c r="R139" s="177">
        <f t="shared" si="29"/>
        <v>9.2256629496455522E-2</v>
      </c>
      <c r="S139" s="921">
        <f t="shared" si="46"/>
        <v>-2</v>
      </c>
      <c r="T139" s="176">
        <f t="shared" si="30"/>
        <v>4</v>
      </c>
      <c r="U139" s="251">
        <f t="shared" si="31"/>
        <v>-1.9077433705035445</v>
      </c>
      <c r="V139" s="383">
        <f t="shared" si="32"/>
        <v>59.397499986544318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7">
        <f t="shared" si="38"/>
        <v>0</v>
      </c>
      <c r="AD139" s="169">
        <f>(INDEX(Models!$BJ139:$BT139,,AH139)*(1-AF139)+INDEX(Models!$BJ139:$BT139,,AH139+1)*AF139-ERP_i)*AE139*Ramure*Pc/MaxiM</f>
        <v>5.4257835934579965E-5</v>
      </c>
      <c r="AE139" s="305">
        <f t="shared" si="39"/>
        <v>0.7</v>
      </c>
      <c r="AF139" s="177">
        <f t="shared" si="40"/>
        <v>9.2256629496455522E-2</v>
      </c>
      <c r="AG139" s="921">
        <f t="shared" si="41"/>
        <v>-2</v>
      </c>
      <c r="AH139" s="176">
        <f t="shared" si="42"/>
        <v>4</v>
      </c>
      <c r="AI139" s="225">
        <f t="shared" si="43"/>
        <v>-1.9077433705035445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7"/>
        <v>43226</v>
      </c>
      <c r="B140" s="624"/>
      <c r="C140" s="968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8">
        <f t="shared" si="26"/>
        <v>0</v>
      </c>
      <c r="M140" s="970"/>
      <c r="N140" s="970"/>
      <c r="O140" s="324">
        <f t="shared" si="27"/>
        <v>0</v>
      </c>
      <c r="P140" s="169">
        <f>(INDEX(Models!$BJ140:$BT140,,T140)*(1-R140)+INDEX(Models!$BJ140:$BT140,,T140+1)*R140-ERP_i)*Q140*Ramure*Pc/MaxiM</f>
        <v>5.9959906904193276E-5</v>
      </c>
      <c r="Q140" s="305">
        <f t="shared" si="28"/>
        <v>0.7</v>
      </c>
      <c r="R140" s="177">
        <f t="shared" si="29"/>
        <v>9.5406968857796759E-2</v>
      </c>
      <c r="S140" s="921">
        <f t="shared" si="46"/>
        <v>-2</v>
      </c>
      <c r="T140" s="176">
        <f t="shared" si="30"/>
        <v>4</v>
      </c>
      <c r="U140" s="251">
        <f t="shared" si="31"/>
        <v>-1.9045930311422032</v>
      </c>
      <c r="V140" s="383">
        <f t="shared" si="32"/>
        <v>59.44276505013007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7">
        <f t="shared" si="38"/>
        <v>0</v>
      </c>
      <c r="AD140" s="169">
        <f>(INDEX(Models!$BJ140:$BT140,,AH140)*(1-AF140)+INDEX(Models!$BJ140:$BT140,,AH140+1)*AF140-ERP_i)*AE140*Ramure*Pc/MaxiM</f>
        <v>5.9959906904193276E-5</v>
      </c>
      <c r="AE140" s="305">
        <f t="shared" si="39"/>
        <v>0.7</v>
      </c>
      <c r="AF140" s="177">
        <f t="shared" si="40"/>
        <v>9.5406968857796759E-2</v>
      </c>
      <c r="AG140" s="921">
        <f t="shared" si="41"/>
        <v>-2</v>
      </c>
      <c r="AH140" s="176">
        <f t="shared" si="42"/>
        <v>4</v>
      </c>
      <c r="AI140" s="225">
        <f t="shared" si="43"/>
        <v>-1.9045930311422032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7"/>
        <v>43227</v>
      </c>
      <c r="B141" s="624"/>
      <c r="C141" s="968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8">
        <f t="shared" si="26"/>
        <v>0</v>
      </c>
      <c r="M141" s="970"/>
      <c r="N141" s="970"/>
      <c r="O141" s="324">
        <f t="shared" si="27"/>
        <v>0</v>
      </c>
      <c r="P141" s="169">
        <f>(INDEX(Models!$BJ141:$BT141,,T141)*(1-R141)+INDEX(Models!$BJ141:$BT141,,T141+1)*R141-ERP_i)*Q141*Ramure*Pc/MaxiM</f>
        <v>6.6107804012652756E-5</v>
      </c>
      <c r="Q141" s="305">
        <f t="shared" si="28"/>
        <v>0.7</v>
      </c>
      <c r="R141" s="177">
        <f t="shared" si="29"/>
        <v>9.8638123262949184E-2</v>
      </c>
      <c r="S141" s="921">
        <f t="shared" si="46"/>
        <v>-2</v>
      </c>
      <c r="T141" s="176">
        <f t="shared" si="30"/>
        <v>4</v>
      </c>
      <c r="U141" s="251">
        <f t="shared" si="31"/>
        <v>-1.9013618767370508</v>
      </c>
      <c r="V141" s="383">
        <f t="shared" si="32"/>
        <v>59.483911139887695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7">
        <f t="shared" si="38"/>
        <v>0</v>
      </c>
      <c r="AD141" s="169">
        <f>(INDEX(Models!$BJ141:$BT141,,AH141)*(1-AF141)+INDEX(Models!$BJ141:$BT141,,AH141+1)*AF141-ERP_i)*AE141*Ramure*Pc/MaxiM</f>
        <v>6.6107804012652756E-5</v>
      </c>
      <c r="AE141" s="305">
        <f t="shared" si="39"/>
        <v>0.7</v>
      </c>
      <c r="AF141" s="177">
        <f t="shared" si="40"/>
        <v>9.8638123262949184E-2</v>
      </c>
      <c r="AG141" s="921">
        <f t="shared" si="41"/>
        <v>-2</v>
      </c>
      <c r="AH141" s="176">
        <f t="shared" si="42"/>
        <v>4</v>
      </c>
      <c r="AI141" s="225">
        <f t="shared" si="43"/>
        <v>-1.9013618767370508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7"/>
        <v>43228</v>
      </c>
      <c r="B142" s="624"/>
      <c r="C142" s="968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8">
        <f t="shared" si="26"/>
        <v>0</v>
      </c>
      <c r="M142" s="970"/>
      <c r="N142" s="970"/>
      <c r="O142" s="324">
        <f t="shared" si="27"/>
        <v>0</v>
      </c>
      <c r="P142" s="169">
        <f>(INDEX(Models!$BJ142:$BT142,,T142)*(1-R142)+INDEX(Models!$BJ142:$BT142,,T142+1)*R142-ERP_i)*Q142*Ramure*Pc/MaxiM</f>
        <v>7.2734239592243382E-5</v>
      </c>
      <c r="Q142" s="305">
        <f t="shared" si="28"/>
        <v>0.7</v>
      </c>
      <c r="R142" s="177">
        <f t="shared" si="29"/>
        <v>0.1019504090610821</v>
      </c>
      <c r="S142" s="921">
        <f t="shared" si="46"/>
        <v>-2</v>
      </c>
      <c r="T142" s="176">
        <f t="shared" si="30"/>
        <v>4</v>
      </c>
      <c r="U142" s="251">
        <f t="shared" si="31"/>
        <v>-1.8980495909389179</v>
      </c>
      <c r="V142" s="383">
        <f t="shared" si="32"/>
        <v>59.521259373223906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7">
        <f t="shared" si="38"/>
        <v>0</v>
      </c>
      <c r="AD142" s="169">
        <f>(INDEX(Models!$BJ142:$BT142,,AH142)*(1-AF142)+INDEX(Models!$BJ142:$BT142,,AH142+1)*AF142-ERP_i)*AE142*Ramure*Pc/MaxiM</f>
        <v>7.2734239592243382E-5</v>
      </c>
      <c r="AE142" s="305">
        <f t="shared" si="39"/>
        <v>0.7</v>
      </c>
      <c r="AF142" s="177">
        <f t="shared" si="40"/>
        <v>0.1019504090610821</v>
      </c>
      <c r="AG142" s="921">
        <f t="shared" si="41"/>
        <v>-2</v>
      </c>
      <c r="AH142" s="176">
        <f t="shared" si="42"/>
        <v>4</v>
      </c>
      <c r="AI142" s="225">
        <f t="shared" si="43"/>
        <v>-1.8980495909389179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7"/>
        <v>43229</v>
      </c>
      <c r="B143" s="624"/>
      <c r="C143" s="968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8">
        <f t="shared" ref="L143:L206" si="50">IF(t&lt;T0,0,IF(t&lt;Tvie,1-EXP((T0-t)*PertePVj),1-EXP((T0-t)*PertePVj)+Pspv))</f>
        <v>0</v>
      </c>
      <c r="M143" s="970"/>
      <c r="N143" s="970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7.9819894247396919E-5</v>
      </c>
      <c r="Q143" s="305">
        <f t="shared" ref="Q143:Q206" si="52">IF(OR(t&lt;Ttai,Notai),Dd+PousD*Croivg,Dens+PousD*(Croivg-Croi_tai))</f>
        <v>0.7</v>
      </c>
      <c r="R143" s="177">
        <f t="shared" ref="R143:R206" si="53">(Hp_vg-S143)/(INDEX(Echel_vg,T143+1)-S143)</f>
        <v>0.10534401827842754</v>
      </c>
      <c r="S143" s="921">
        <f t="shared" si="46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-1.8946559817215725</v>
      </c>
      <c r="V143" s="383">
        <f t="shared" ref="V143:V206" si="56">MaxiM*(1-Ppv)*(1-Pvg)*(1-Psa)</f>
        <v>59.555133964416243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7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7.9819894247396919E-5</v>
      </c>
      <c r="AE143" s="305">
        <f t="shared" ref="AE143:AE206" si="63">Dd+PousD*Croivg</f>
        <v>0.7</v>
      </c>
      <c r="AF143" s="177">
        <f t="shared" ref="AF143:AF206" si="64">(Hp_vg_s-AG143)/(INDEX(Echel_vg,AH143+1)-AG143)</f>
        <v>0.10534401827842754</v>
      </c>
      <c r="AG143" s="921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-1.8946559817215725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si="47"/>
        <v>43230</v>
      </c>
      <c r="B144" s="624"/>
      <c r="C144" s="968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8">
        <f t="shared" si="50"/>
        <v>0</v>
      </c>
      <c r="M144" s="970"/>
      <c r="N144" s="970"/>
      <c r="O144" s="324">
        <f t="shared" si="51"/>
        <v>0</v>
      </c>
      <c r="P144" s="169">
        <f>(INDEX(Models!$BJ144:$BT144,,T144)*(1-R144)+INDEX(Models!$BJ144:$BT144,,T144+1)*R144-ERP_i)*Q144*Ramure*Pc/MaxiM</f>
        <v>8.7388552881214644E-5</v>
      </c>
      <c r="Q144" s="305">
        <f t="shared" si="52"/>
        <v>0.7</v>
      </c>
      <c r="R144" s="177">
        <f t="shared" si="53"/>
        <v>0.10881901182514575</v>
      </c>
      <c r="S144" s="921">
        <f t="shared" ref="S144:S207" si="70">INDEX(Echel_vg,T144)</f>
        <v>-2</v>
      </c>
      <c r="T144" s="176">
        <f t="shared" si="54"/>
        <v>4</v>
      </c>
      <c r="U144" s="251">
        <f t="shared" si="55"/>
        <v>-1.8911809881748542</v>
      </c>
      <c r="V144" s="383">
        <f t="shared" si="56"/>
        <v>59.585856563766455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7">
        <f t="shared" si="62"/>
        <v>0</v>
      </c>
      <c r="AD144" s="169">
        <f>(INDEX(Models!$BJ144:$BT144,,AH144)*(1-AF144)+INDEX(Models!$BJ144:$BT144,,AH144+1)*AF144-ERP_i)*AE144*Ramure*Pc/MaxiM</f>
        <v>8.7388552881214644E-5</v>
      </c>
      <c r="AE144" s="305">
        <f t="shared" si="63"/>
        <v>0.7</v>
      </c>
      <c r="AF144" s="177">
        <f t="shared" si="64"/>
        <v>0.10881901182514575</v>
      </c>
      <c r="AG144" s="921">
        <f t="shared" si="65"/>
        <v>-2</v>
      </c>
      <c r="AH144" s="176">
        <f t="shared" si="66"/>
        <v>4</v>
      </c>
      <c r="AI144" s="225">
        <f t="shared" si="67"/>
        <v>-1.8911809881748542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4"/>
      <c r="C145" s="968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8">
        <f t="shared" si="50"/>
        <v>0</v>
      </c>
      <c r="M145" s="970"/>
      <c r="N145" s="970"/>
      <c r="O145" s="324">
        <f t="shared" si="51"/>
        <v>0</v>
      </c>
      <c r="P145" s="169">
        <f>(INDEX(Models!$BJ145:$BT145,,T145)*(1-R145)+INDEX(Models!$BJ145:$BT145,,T145+1)*R145-ERP_i)*Q145*Ramure*Pc/MaxiM</f>
        <v>9.5464520623841706E-5</v>
      </c>
      <c r="Q145" s="305">
        <f t="shared" si="52"/>
        <v>0.7</v>
      </c>
      <c r="R145" s="177">
        <f t="shared" si="53"/>
        <v>0.1123753128835101</v>
      </c>
      <c r="S145" s="921">
        <f t="shared" si="70"/>
        <v>-2</v>
      </c>
      <c r="T145" s="176">
        <f t="shared" si="54"/>
        <v>4</v>
      </c>
      <c r="U145" s="251">
        <f t="shared" si="55"/>
        <v>-1.8876246871164899</v>
      </c>
      <c r="V145" s="383">
        <f t="shared" si="56"/>
        <v>59.613748783420483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7">
        <f t="shared" si="62"/>
        <v>0</v>
      </c>
      <c r="AD145" s="169">
        <f>(INDEX(Models!$BJ145:$BT145,,AH145)*(1-AF145)+INDEX(Models!$BJ145:$BT145,,AH145+1)*AF145-ERP_i)*AE145*Ramure*Pc/MaxiM</f>
        <v>9.5464520623841706E-5</v>
      </c>
      <c r="AE145" s="305">
        <f t="shared" si="63"/>
        <v>0.7</v>
      </c>
      <c r="AF145" s="177">
        <f t="shared" si="64"/>
        <v>0.1123753128835101</v>
      </c>
      <c r="AG145" s="921">
        <f t="shared" si="65"/>
        <v>-2</v>
      </c>
      <c r="AH145" s="176">
        <f t="shared" si="66"/>
        <v>4</v>
      </c>
      <c r="AI145" s="225">
        <f t="shared" si="67"/>
        <v>-1.8876246871164899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1"/>
        <v>43232</v>
      </c>
      <c r="B146" s="624"/>
      <c r="C146" s="968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8">
        <f t="shared" si="50"/>
        <v>0</v>
      </c>
      <c r="M146" s="970"/>
      <c r="N146" s="970"/>
      <c r="O146" s="324">
        <f t="shared" si="51"/>
        <v>0</v>
      </c>
      <c r="P146" s="169">
        <f>(INDEX(Models!$BJ146:$BT146,,T146)*(1-R146)+INDEX(Models!$BJ146:$BT146,,T146+1)*R146-ERP_i)*Q146*Ramure*Pc/MaxiM</f>
        <v>1.0407255619111435E-4</v>
      </c>
      <c r="Q146" s="305">
        <f t="shared" si="52"/>
        <v>0.7</v>
      </c>
      <c r="R146" s="177">
        <f t="shared" si="53"/>
        <v>0.11601270053133872</v>
      </c>
      <c r="S146" s="921">
        <f t="shared" si="70"/>
        <v>-2</v>
      </c>
      <c r="T146" s="176">
        <f t="shared" si="54"/>
        <v>4</v>
      </c>
      <c r="U146" s="251">
        <f t="shared" si="55"/>
        <v>-1.8839872994686613</v>
      </c>
      <c r="V146" s="383">
        <f t="shared" si="56"/>
        <v>59.639132207485574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7">
        <f t="shared" si="62"/>
        <v>0</v>
      </c>
      <c r="AD146" s="169">
        <f>(INDEX(Models!$BJ146:$BT146,,AH146)*(1-AF146)+INDEX(Models!$BJ146:$BT146,,AH146+1)*AF146-ERP_i)*AE146*Ramure*Pc/MaxiM</f>
        <v>1.0407255619111435E-4</v>
      </c>
      <c r="AE146" s="305">
        <f t="shared" si="63"/>
        <v>0.7</v>
      </c>
      <c r="AF146" s="177">
        <f t="shared" si="64"/>
        <v>0.11601270053133872</v>
      </c>
      <c r="AG146" s="921">
        <f t="shared" si="65"/>
        <v>-2</v>
      </c>
      <c r="AH146" s="176">
        <f t="shared" si="66"/>
        <v>4</v>
      </c>
      <c r="AI146" s="225">
        <f t="shared" si="67"/>
        <v>-1.8839872994686613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1"/>
        <v>43233</v>
      </c>
      <c r="B147" s="624"/>
      <c r="C147" s="968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8">
        <f t="shared" si="50"/>
        <v>0</v>
      </c>
      <c r="M147" s="970"/>
      <c r="N147" s="970"/>
      <c r="O147" s="324">
        <f t="shared" si="51"/>
        <v>0</v>
      </c>
      <c r="P147" s="169">
        <f>(INDEX(Models!$BJ147:$BT147,,T147)*(1-R147)+INDEX(Models!$BJ147:$BT147,,T147+1)*R147-ERP_i)*Q147*Ramure*Pc/MaxiM</f>
        <v>1.1323779586001682E-4</v>
      </c>
      <c r="Q147" s="305">
        <f t="shared" si="52"/>
        <v>0.7</v>
      </c>
      <c r="R147" s="177">
        <f t="shared" si="53"/>
        <v>0.11973080365679079</v>
      </c>
      <c r="S147" s="921">
        <f t="shared" si="70"/>
        <v>-2</v>
      </c>
      <c r="T147" s="176">
        <f t="shared" si="54"/>
        <v>4</v>
      </c>
      <c r="U147" s="251">
        <f t="shared" si="55"/>
        <v>-1.8802691963432092</v>
      </c>
      <c r="V147" s="383">
        <f t="shared" si="56"/>
        <v>59.662328390367215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7">
        <f t="shared" si="62"/>
        <v>0</v>
      </c>
      <c r="AD147" s="169">
        <f>(INDEX(Models!$BJ147:$BT147,,AH147)*(1-AF147)+INDEX(Models!$BJ147:$BT147,,AH147+1)*AF147-ERP_i)*AE147*Ramure*Pc/MaxiM</f>
        <v>1.1323779586001682E-4</v>
      </c>
      <c r="AE147" s="305">
        <f t="shared" si="63"/>
        <v>0.7</v>
      </c>
      <c r="AF147" s="177">
        <f t="shared" si="64"/>
        <v>0.11973080365679079</v>
      </c>
      <c r="AG147" s="921">
        <f t="shared" si="65"/>
        <v>-2</v>
      </c>
      <c r="AH147" s="176">
        <f t="shared" si="66"/>
        <v>4</v>
      </c>
      <c r="AI147" s="225">
        <f t="shared" si="67"/>
        <v>-1.8802691963432092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1"/>
        <v>43234</v>
      </c>
      <c r="B148" s="624"/>
      <c r="C148" s="968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8">
        <f t="shared" si="50"/>
        <v>0</v>
      </c>
      <c r="M148" s="970"/>
      <c r="N148" s="970"/>
      <c r="O148" s="324">
        <f t="shared" si="51"/>
        <v>0</v>
      </c>
      <c r="P148" s="169">
        <f>(INDEX(Models!$BJ148:$BT148,,T148)*(1-R148)+INDEX(Models!$BJ148:$BT148,,T148+1)*R148-ERP_i)*Q148*Ramure*Pc/MaxiM</f>
        <v>1.2298566774887439E-4</v>
      </c>
      <c r="Q148" s="305">
        <f t="shared" si="52"/>
        <v>0.7</v>
      </c>
      <c r="R148" s="177">
        <f t="shared" si="53"/>
        <v>0.1235290952223933</v>
      </c>
      <c r="S148" s="921">
        <f t="shared" si="70"/>
        <v>-2</v>
      </c>
      <c r="T148" s="176">
        <f t="shared" si="54"/>
        <v>4</v>
      </c>
      <c r="U148" s="251">
        <f t="shared" si="55"/>
        <v>-1.8764709047776067</v>
      </c>
      <c r="V148" s="383">
        <f t="shared" si="56"/>
        <v>59.683658862893793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7">
        <f t="shared" si="62"/>
        <v>0</v>
      </c>
      <c r="AD148" s="169">
        <f>(INDEX(Models!$BJ148:$BT148,,AH148)*(1-AF148)+INDEX(Models!$BJ148:$BT148,,AH148+1)*AF148-ERP_i)*AE148*Ramure*Pc/MaxiM</f>
        <v>1.2298566774887439E-4</v>
      </c>
      <c r="AE148" s="305">
        <f t="shared" si="63"/>
        <v>0.7</v>
      </c>
      <c r="AF148" s="177">
        <f t="shared" si="64"/>
        <v>0.1235290952223933</v>
      </c>
      <c r="AG148" s="921">
        <f t="shared" si="65"/>
        <v>-2</v>
      </c>
      <c r="AH148" s="176">
        <f t="shared" si="66"/>
        <v>4</v>
      </c>
      <c r="AI148" s="225">
        <f t="shared" si="67"/>
        <v>-1.8764709047776067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1"/>
        <v>43235</v>
      </c>
      <c r="B149" s="624"/>
      <c r="C149" s="968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8">
        <f t="shared" si="50"/>
        <v>0</v>
      </c>
      <c r="M149" s="970"/>
      <c r="N149" s="970"/>
      <c r="O149" s="324">
        <f t="shared" si="51"/>
        <v>0</v>
      </c>
      <c r="P149" s="169">
        <f>(INDEX(Models!$BJ149:$BT149,,T149)*(1-R149)+INDEX(Models!$BJ149:$BT149,,T149+1)*R149-ERP_i)*Q149*Ramure*Pc/MaxiM</f>
        <v>1.3334412091411951E-4</v>
      </c>
      <c r="Q149" s="305">
        <f t="shared" si="52"/>
        <v>0.7</v>
      </c>
      <c r="R149" s="177">
        <f t="shared" si="53"/>
        <v>0.12740688693743296</v>
      </c>
      <c r="S149" s="921">
        <f t="shared" si="70"/>
        <v>-2</v>
      </c>
      <c r="T149" s="176">
        <f t="shared" si="54"/>
        <v>4</v>
      </c>
      <c r="U149" s="251">
        <f t="shared" si="55"/>
        <v>-1.872593113062567</v>
      </c>
      <c r="V149" s="383">
        <f t="shared" si="56"/>
        <v>59.702404135999842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7">
        <f t="shared" si="62"/>
        <v>0</v>
      </c>
      <c r="AD149" s="169">
        <f>(INDEX(Models!$BJ149:$BT149,,AH149)*(1-AF149)+INDEX(Models!$BJ149:$BT149,,AH149+1)*AF149-ERP_i)*AE149*Ramure*Pc/MaxiM</f>
        <v>1.3334412091411951E-4</v>
      </c>
      <c r="AE149" s="305">
        <f t="shared" si="63"/>
        <v>0.7</v>
      </c>
      <c r="AF149" s="177">
        <f t="shared" si="64"/>
        <v>0.12740688693743296</v>
      </c>
      <c r="AG149" s="921">
        <f t="shared" si="65"/>
        <v>-2</v>
      </c>
      <c r="AH149" s="176">
        <f t="shared" si="66"/>
        <v>4</v>
      </c>
      <c r="AI149" s="225">
        <f t="shared" si="67"/>
        <v>-1.872593113062567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1"/>
        <v>43236</v>
      </c>
      <c r="B150" s="624"/>
      <c r="C150" s="968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8">
        <f t="shared" si="50"/>
        <v>0</v>
      </c>
      <c r="M150" s="970"/>
      <c r="N150" s="970"/>
      <c r="O150" s="324">
        <f t="shared" si="51"/>
        <v>0</v>
      </c>
      <c r="P150" s="169">
        <f>(INDEX(Models!$BJ150:$BT150,,T150)*(1-R150)+INDEX(Models!$BJ150:$BT150,,T150+1)*R150-ERP_i)*Q150*Ramure*Pc/MaxiM</f>
        <v>1.4433968469725704E-4</v>
      </c>
      <c r="Q150" s="305">
        <f t="shared" si="52"/>
        <v>0.7</v>
      </c>
      <c r="R150" s="177">
        <f t="shared" si="53"/>
        <v>0.13136332439855902</v>
      </c>
      <c r="S150" s="921">
        <f t="shared" si="70"/>
        <v>-2</v>
      </c>
      <c r="T150" s="176">
        <f t="shared" si="54"/>
        <v>4</v>
      </c>
      <c r="U150" s="251">
        <f t="shared" si="55"/>
        <v>-1.868636675601441</v>
      </c>
      <c r="V150" s="383">
        <f t="shared" si="56"/>
        <v>59.71770127933226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7">
        <f t="shared" si="62"/>
        <v>0</v>
      </c>
      <c r="AD150" s="169">
        <f>(INDEX(Models!$BJ150:$BT150,,AH150)*(1-AF150)+INDEX(Models!$BJ150:$BT150,,AH150+1)*AF150-ERP_i)*AE150*Ramure*Pc/MaxiM</f>
        <v>1.4433968469725704E-4</v>
      </c>
      <c r="AE150" s="305">
        <f t="shared" si="63"/>
        <v>0.7</v>
      </c>
      <c r="AF150" s="177">
        <f t="shared" si="64"/>
        <v>0.13136332439855902</v>
      </c>
      <c r="AG150" s="921">
        <f t="shared" si="65"/>
        <v>-2</v>
      </c>
      <c r="AH150" s="176">
        <f t="shared" si="66"/>
        <v>4</v>
      </c>
      <c r="AI150" s="225">
        <f t="shared" si="67"/>
        <v>-1.868636675601441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1"/>
        <v>43237</v>
      </c>
      <c r="B151" s="624"/>
      <c r="C151" s="968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8">
        <f t="shared" si="50"/>
        <v>0</v>
      </c>
      <c r="M151" s="970"/>
      <c r="N151" s="970"/>
      <c r="O151" s="324">
        <f t="shared" si="51"/>
        <v>0</v>
      </c>
      <c r="P151" s="169">
        <f>(INDEX(Models!$BJ151:$BT151,,T151)*(1-R151)+INDEX(Models!$BJ151:$BT151,,T151+1)*R151-ERP_i)*Q151*Ramure*Pc/MaxiM</f>
        <v>1.5593978644053806E-4</v>
      </c>
      <c r="Q151" s="305">
        <f t="shared" si="52"/>
        <v>0.7</v>
      </c>
      <c r="R151" s="177">
        <f t="shared" si="53"/>
        <v>0.13539738275853286</v>
      </c>
      <c r="S151" s="921">
        <f t="shared" si="70"/>
        <v>-2</v>
      </c>
      <c r="T151" s="176">
        <f t="shared" si="54"/>
        <v>4</v>
      </c>
      <c r="U151" s="251">
        <f t="shared" si="55"/>
        <v>-1.8646026172414671</v>
      </c>
      <c r="V151" s="383">
        <f t="shared" si="56"/>
        <v>59.729659991151046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7">
        <f t="shared" si="62"/>
        <v>0</v>
      </c>
      <c r="AD151" s="169">
        <f>(INDEX(Models!$BJ151:$BT151,,AH151)*(1-AF151)+INDEX(Models!$BJ151:$BT151,,AH151+1)*AF151-ERP_i)*AE151*Ramure*Pc/MaxiM</f>
        <v>1.5593978644053806E-4</v>
      </c>
      <c r="AE151" s="305">
        <f t="shared" si="63"/>
        <v>0.7</v>
      </c>
      <c r="AF151" s="177">
        <f t="shared" si="64"/>
        <v>0.13539738275853286</v>
      </c>
      <c r="AG151" s="921">
        <f t="shared" si="65"/>
        <v>-2</v>
      </c>
      <c r="AH151" s="176">
        <f t="shared" si="66"/>
        <v>4</v>
      </c>
      <c r="AI151" s="225">
        <f t="shared" si="67"/>
        <v>-1.8646026172414671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1"/>
        <v>43238</v>
      </c>
      <c r="B152" s="624"/>
      <c r="C152" s="968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8">
        <f t="shared" si="50"/>
        <v>0</v>
      </c>
      <c r="M152" s="970"/>
      <c r="N152" s="970"/>
      <c r="O152" s="324">
        <f t="shared" si="51"/>
        <v>0</v>
      </c>
      <c r="P152" s="169">
        <f>(INDEX(Models!$BJ152:$BT152,,T152)*(1-R152)+INDEX(Models!$BJ152:$BT152,,T152+1)*R152-ERP_i)*Q152*Ramure*Pc/MaxiM</f>
        <v>1.6816519367943034E-4</v>
      </c>
      <c r="Q152" s="305">
        <f t="shared" si="52"/>
        <v>0.7</v>
      </c>
      <c r="R152" s="177">
        <f t="shared" si="53"/>
        <v>0.13950786298248996</v>
      </c>
      <c r="S152" s="921">
        <f t="shared" si="70"/>
        <v>-2</v>
      </c>
      <c r="T152" s="176">
        <f t="shared" si="54"/>
        <v>4</v>
      </c>
      <c r="U152" s="251">
        <f t="shared" si="55"/>
        <v>-1.86049213701751</v>
      </c>
      <c r="V152" s="383">
        <f t="shared" si="56"/>
        <v>59.738386795430998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7">
        <f t="shared" si="62"/>
        <v>0</v>
      </c>
      <c r="AD152" s="169">
        <f>(INDEX(Models!$BJ152:$BT152,,AH152)*(1-AF152)+INDEX(Models!$BJ152:$BT152,,AH152+1)*AF152-ERP_i)*AE152*Ramure*Pc/MaxiM</f>
        <v>1.6816519367943034E-4</v>
      </c>
      <c r="AE152" s="305">
        <f t="shared" si="63"/>
        <v>0.7</v>
      </c>
      <c r="AF152" s="177">
        <f t="shared" si="64"/>
        <v>0.13950786298248996</v>
      </c>
      <c r="AG152" s="921">
        <f t="shared" si="65"/>
        <v>-2</v>
      </c>
      <c r="AH152" s="176">
        <f t="shared" si="66"/>
        <v>4</v>
      </c>
      <c r="AI152" s="225">
        <f t="shared" si="67"/>
        <v>-1.86049213701751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1"/>
        <v>43239</v>
      </c>
      <c r="B153" s="624"/>
      <c r="C153" s="968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8">
        <f t="shared" si="50"/>
        <v>0</v>
      </c>
      <c r="M153" s="970"/>
      <c r="N153" s="970"/>
      <c r="O153" s="324">
        <f t="shared" si="51"/>
        <v>0</v>
      </c>
      <c r="P153" s="169">
        <f>(INDEX(Models!$BJ153:$BT153,,T153)*(1-R153)+INDEX(Models!$BJ153:$BT153,,T153+1)*R153-ERP_i)*Q153*Ramure*Pc/MaxiM</f>
        <v>1.8103635821667348E-4</v>
      </c>
      <c r="Q153" s="305">
        <f t="shared" si="52"/>
        <v>0.7</v>
      </c>
      <c r="R153" s="177">
        <f t="shared" si="53"/>
        <v>0.14369338874978643</v>
      </c>
      <c r="S153" s="921">
        <f t="shared" si="70"/>
        <v>-2</v>
      </c>
      <c r="T153" s="176">
        <f t="shared" si="54"/>
        <v>4</v>
      </c>
      <c r="U153" s="251">
        <f t="shared" si="55"/>
        <v>-1.8563066112502136</v>
      </c>
      <c r="V153" s="383">
        <f t="shared" si="56"/>
        <v>59.743988239535184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7">
        <f t="shared" si="62"/>
        <v>0</v>
      </c>
      <c r="AD153" s="169">
        <f>(INDEX(Models!$BJ153:$BT153,,AH153)*(1-AF153)+INDEX(Models!$BJ153:$BT153,,AH153+1)*AF153-ERP_i)*AE153*Ramure*Pc/MaxiM</f>
        <v>1.8103635821667348E-4</v>
      </c>
      <c r="AE153" s="305">
        <f t="shared" si="63"/>
        <v>0.7</v>
      </c>
      <c r="AF153" s="177">
        <f t="shared" si="64"/>
        <v>0.14369338874978643</v>
      </c>
      <c r="AG153" s="921">
        <f t="shared" si="65"/>
        <v>-2</v>
      </c>
      <c r="AH153" s="176">
        <f t="shared" si="66"/>
        <v>4</v>
      </c>
      <c r="AI153" s="225">
        <f t="shared" si="67"/>
        <v>-1.8563066112502136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1"/>
        <v>43240</v>
      </c>
      <c r="B154" s="624"/>
      <c r="C154" s="968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8">
        <f t="shared" si="50"/>
        <v>0</v>
      </c>
      <c r="M154" s="970"/>
      <c r="N154" s="970"/>
      <c r="O154" s="324">
        <f t="shared" si="51"/>
        <v>0</v>
      </c>
      <c r="P154" s="169">
        <f>(INDEX(Models!$BJ154:$BT154,,T154)*(1-R154)+INDEX(Models!$BJ154:$BT154,,T154+1)*R154-ERP_i)*Q154*Ramure*Pc/MaxiM</f>
        <v>1.9457331035253558E-4</v>
      </c>
      <c r="Q154" s="305">
        <f t="shared" si="52"/>
        <v>0.7</v>
      </c>
      <c r="R154" s="177">
        <f t="shared" si="53"/>
        <v>0.14795240405744714</v>
      </c>
      <c r="S154" s="921">
        <f t="shared" si="70"/>
        <v>-2</v>
      </c>
      <c r="T154" s="176">
        <f t="shared" si="54"/>
        <v>4</v>
      </c>
      <c r="U154" s="251">
        <f t="shared" si="55"/>
        <v>-1.8520475959425529</v>
      </c>
      <c r="V154" s="383">
        <f t="shared" si="56"/>
        <v>59.746570900535424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7">
        <f t="shared" si="62"/>
        <v>0</v>
      </c>
      <c r="AD154" s="169">
        <f>(INDEX(Models!$BJ154:$BT154,,AH154)*(1-AF154)+INDEX(Models!$BJ154:$BT154,,AH154+1)*AF154-ERP_i)*AE154*Ramure*Pc/MaxiM</f>
        <v>1.9457331035253558E-4</v>
      </c>
      <c r="AE154" s="305">
        <f t="shared" si="63"/>
        <v>0.7</v>
      </c>
      <c r="AF154" s="177">
        <f t="shared" si="64"/>
        <v>0.14795240405744714</v>
      </c>
      <c r="AG154" s="921">
        <f t="shared" si="65"/>
        <v>-2</v>
      </c>
      <c r="AH154" s="176">
        <f t="shared" si="66"/>
        <v>4</v>
      </c>
      <c r="AI154" s="225">
        <f t="shared" si="67"/>
        <v>-1.8520475959425529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43241</v>
      </c>
      <c r="B155" s="624"/>
      <c r="C155" s="968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8">
        <f t="shared" si="50"/>
        <v>0</v>
      </c>
      <c r="M155" s="970"/>
      <c r="N155" s="970"/>
      <c r="O155" s="324">
        <f t="shared" si="51"/>
        <v>0</v>
      </c>
      <c r="P155" s="169">
        <f>(INDEX(Models!$BJ155:$BT155,,T155)*(1-R155)+INDEX(Models!$BJ155:$BT155,,T155+1)*R155-ERP_i)*Q155*Ramure*Pc/MaxiM</f>
        <v>2.0879554851765237E-4</v>
      </c>
      <c r="Q155" s="305">
        <f t="shared" si="52"/>
        <v>0.7</v>
      </c>
      <c r="R155" s="177">
        <f t="shared" si="53"/>
        <v>0.15228317157838989</v>
      </c>
      <c r="S155" s="921">
        <f t="shared" si="70"/>
        <v>-2</v>
      </c>
      <c r="T155" s="176">
        <f t="shared" si="54"/>
        <v>4</v>
      </c>
      <c r="U155" s="251">
        <f t="shared" si="55"/>
        <v>-1.8477168284216101</v>
      </c>
      <c r="V155" s="383">
        <f t="shared" si="56"/>
        <v>59.746241395979375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7">
        <f t="shared" si="62"/>
        <v>0</v>
      </c>
      <c r="AD155" s="169">
        <f>(INDEX(Models!$BJ155:$BT155,,AH155)*(1-AF155)+INDEX(Models!$BJ155:$BT155,,AH155+1)*AF155-ERP_i)*AE155*Ramure*Pc/MaxiM</f>
        <v>2.0879554851765237E-4</v>
      </c>
      <c r="AE155" s="305">
        <f t="shared" si="63"/>
        <v>0.7</v>
      </c>
      <c r="AF155" s="177">
        <f t="shared" si="64"/>
        <v>0.15228317157838989</v>
      </c>
      <c r="AG155" s="921">
        <f t="shared" si="65"/>
        <v>-2</v>
      </c>
      <c r="AH155" s="176">
        <f t="shared" si="66"/>
        <v>4</v>
      </c>
      <c r="AI155" s="225">
        <f t="shared" si="67"/>
        <v>-1.8477168284216101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1"/>
        <v>43242</v>
      </c>
      <c r="B156" s="624"/>
      <c r="C156" s="968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8">
        <f t="shared" si="50"/>
        <v>0</v>
      </c>
      <c r="M156" s="970"/>
      <c r="N156" s="970"/>
      <c r="O156" s="324">
        <f t="shared" si="51"/>
        <v>0</v>
      </c>
      <c r="P156" s="169">
        <f>(INDEX(Models!$BJ156:$BT156,,T156)*(1-R156)+INDEX(Models!$BJ156:$BT156,,T156+1)*R156-ERP_i)*Q156*Ramure*Pc/MaxiM</f>
        <v>2.2372440421361924E-4</v>
      </c>
      <c r="Q156" s="305">
        <f t="shared" si="52"/>
        <v>0.7</v>
      </c>
      <c r="R156" s="177">
        <f t="shared" si="53"/>
        <v>0.15668377182394555</v>
      </c>
      <c r="S156" s="921">
        <f t="shared" si="70"/>
        <v>-2</v>
      </c>
      <c r="T156" s="176">
        <f t="shared" si="54"/>
        <v>4</v>
      </c>
      <c r="U156" s="251">
        <f t="shared" si="55"/>
        <v>-1.8433162281760544</v>
      </c>
      <c r="V156" s="383">
        <f t="shared" si="56"/>
        <v>59.743106237101394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7">
        <f t="shared" si="62"/>
        <v>0</v>
      </c>
      <c r="AD156" s="169">
        <f>(INDEX(Models!$BJ156:$BT156,,AH156)*(1-AF156)+INDEX(Models!$BJ156:$BT156,,AH156+1)*AF156-ERP_i)*AE156*Ramure*Pc/MaxiM</f>
        <v>2.2372440421361924E-4</v>
      </c>
      <c r="AE156" s="305">
        <f t="shared" si="63"/>
        <v>0.7</v>
      </c>
      <c r="AF156" s="177">
        <f t="shared" si="64"/>
        <v>0.15668377182394555</v>
      </c>
      <c r="AG156" s="921">
        <f t="shared" si="65"/>
        <v>-2</v>
      </c>
      <c r="AH156" s="176">
        <f t="shared" si="66"/>
        <v>4</v>
      </c>
      <c r="AI156" s="225">
        <f t="shared" si="67"/>
        <v>-1.8433162281760544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1"/>
        <v>43243</v>
      </c>
      <c r="B157" s="624"/>
      <c r="C157" s="968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8">
        <f t="shared" si="50"/>
        <v>0</v>
      </c>
      <c r="M157" s="970"/>
      <c r="N157" s="970"/>
      <c r="O157" s="324">
        <f t="shared" si="51"/>
        <v>0</v>
      </c>
      <c r="P157" s="169">
        <f>(INDEX(Models!$BJ157:$BT157,,T157)*(1-R157)+INDEX(Models!$BJ157:$BT157,,T157+1)*R157-ERP_i)*Q157*Ramure*Pc/MaxiM</f>
        <v>2.3936665217301183E-4</v>
      </c>
      <c r="Q157" s="305">
        <f t="shared" si="52"/>
        <v>0.7</v>
      </c>
      <c r="R157" s="177">
        <f t="shared" si="53"/>
        <v>0.16115210315571793</v>
      </c>
      <c r="S157" s="921">
        <f t="shared" si="70"/>
        <v>-2</v>
      </c>
      <c r="T157" s="176">
        <f t="shared" si="54"/>
        <v>4</v>
      </c>
      <c r="U157" s="251">
        <f t="shared" si="55"/>
        <v>-1.8388478968442821</v>
      </c>
      <c r="V157" s="383">
        <f t="shared" si="56"/>
        <v>59.737272812004392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7">
        <f t="shared" si="62"/>
        <v>0</v>
      </c>
      <c r="AD157" s="169">
        <f>(INDEX(Models!$BJ157:$BT157,,AH157)*(1-AF157)+INDEX(Models!$BJ157:$BT157,,AH157+1)*AF157-ERP_i)*AE157*Ramure*Pc/MaxiM</f>
        <v>2.3936665217301183E-4</v>
      </c>
      <c r="AE157" s="305">
        <f t="shared" si="63"/>
        <v>0.7</v>
      </c>
      <c r="AF157" s="177">
        <f t="shared" si="64"/>
        <v>0.16115210315571793</v>
      </c>
      <c r="AG157" s="921">
        <f t="shared" si="65"/>
        <v>-2</v>
      </c>
      <c r="AH157" s="176">
        <f t="shared" si="66"/>
        <v>4</v>
      </c>
      <c r="AI157" s="225">
        <f t="shared" si="67"/>
        <v>-1.8388478968442821</v>
      </c>
      <c r="AJ157" s="265" t="b">
        <f t="shared" si="68"/>
        <v>0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1"/>
        <v>43244</v>
      </c>
      <c r="B158" s="624"/>
      <c r="C158" s="968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8">
        <f t="shared" si="50"/>
        <v>2.1902566432308035E-5</v>
      </c>
      <c r="M158" s="970"/>
      <c r="N158" s="970"/>
      <c r="O158" s="324">
        <f t="shared" si="51"/>
        <v>1.3117840564299526E-4</v>
      </c>
      <c r="P158" s="169">
        <f>(INDEX(Models!$BJ158:$BT158,,T158)*(1-R158)+INDEX(Models!$BJ158:$BT158,,T158+1)*R158-ERP_i)*Q158*Ramure*Pc/MaxiM</f>
        <v>2.5573727898933665E-4</v>
      </c>
      <c r="Q158" s="305">
        <f t="shared" si="52"/>
        <v>0.7</v>
      </c>
      <c r="R158" s="177">
        <f t="shared" si="53"/>
        <v>0.16568588268654727</v>
      </c>
      <c r="S158" s="921">
        <f t="shared" si="70"/>
        <v>-2</v>
      </c>
      <c r="T158" s="176">
        <f t="shared" si="54"/>
        <v>4</v>
      </c>
      <c r="U158" s="251">
        <f t="shared" si="55"/>
        <v>-1.8343141173134527</v>
      </c>
      <c r="V158" s="383">
        <f t="shared" si="56"/>
        <v>59.719704843331584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7">
        <f t="shared" si="62"/>
        <v>1.3117840564299526E-4</v>
      </c>
      <c r="AD158" s="169">
        <f>(INDEX(Models!$BJ158:$BT158,,AH158)*(1-AF158)+INDEX(Models!$BJ158:$BT158,,AH158+1)*AF158-ERP_i)*AE158*Ramure*Pc/MaxiM</f>
        <v>2.5573727898933665E-4</v>
      </c>
      <c r="AE158" s="305">
        <f t="shared" si="63"/>
        <v>0.7</v>
      </c>
      <c r="AF158" s="177">
        <f t="shared" si="64"/>
        <v>0.16568588268654727</v>
      </c>
      <c r="AG158" s="921">
        <f t="shared" si="65"/>
        <v>-2</v>
      </c>
      <c r="AH158" s="176">
        <f t="shared" si="66"/>
        <v>4</v>
      </c>
      <c r="AI158" s="225">
        <f t="shared" si="67"/>
        <v>-1.8343141173134527</v>
      </c>
      <c r="AJ158" s="265" t="b">
        <f t="shared" si="68"/>
        <v>0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1"/>
        <v>43245</v>
      </c>
      <c r="B159" s="624"/>
      <c r="C159" s="968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8">
        <f t="shared" si="50"/>
        <v>4.3804653142243133E-5</v>
      </c>
      <c r="M159" s="970"/>
      <c r="N159" s="970"/>
      <c r="O159" s="324">
        <f t="shared" si="51"/>
        <v>2.6242066313447005E-4</v>
      </c>
      <c r="P159" s="169">
        <f>(INDEX(Models!$BJ159:$BT159,,T159)*(1-R159)+INDEX(Models!$BJ159:$BT159,,T159+1)*R159-ERP_i)*Q159*Ramure*Pc/MaxiM</f>
        <v>2.7285154113612458E-4</v>
      </c>
      <c r="Q159" s="305">
        <f t="shared" si="52"/>
        <v>0.7</v>
      </c>
      <c r="R159" s="177">
        <f t="shared" si="53"/>
        <v>0.17028264810426452</v>
      </c>
      <c r="S159" s="921">
        <f t="shared" si="70"/>
        <v>-2</v>
      </c>
      <c r="T159" s="176">
        <f t="shared" si="54"/>
        <v>4</v>
      </c>
      <c r="U159" s="251">
        <f t="shared" si="55"/>
        <v>-1.8297173518957355</v>
      </c>
      <c r="V159" s="383">
        <f t="shared" si="56"/>
        <v>59.699652299626663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7">
        <f t="shared" si="62"/>
        <v>2.6242066313447005E-4</v>
      </c>
      <c r="AD159" s="169">
        <f>(INDEX(Models!$BJ159:$BT159,,AH159)*(1-AF159)+INDEX(Models!$BJ159:$BT159,,AH159+1)*AF159-ERP_i)*AE159*Ramure*Pc/MaxiM</f>
        <v>2.7285154113612458E-4</v>
      </c>
      <c r="AE159" s="305">
        <f t="shared" si="63"/>
        <v>0.7</v>
      </c>
      <c r="AF159" s="177">
        <f t="shared" si="64"/>
        <v>0.17028264810426452</v>
      </c>
      <c r="AG159" s="921">
        <f t="shared" si="65"/>
        <v>-2</v>
      </c>
      <c r="AH159" s="176">
        <f t="shared" si="66"/>
        <v>4</v>
      </c>
      <c r="AI159" s="225">
        <f t="shared" si="67"/>
        <v>-1.8297173518957355</v>
      </c>
      <c r="AJ159" s="265" t="b">
        <f t="shared" si="68"/>
        <v>0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1"/>
        <v>43246</v>
      </c>
      <c r="B160" s="624"/>
      <c r="C160" s="968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8">
        <f t="shared" si="50"/>
        <v>6.570626014024139E-5</v>
      </c>
      <c r="M160" s="970"/>
      <c r="N160" s="970"/>
      <c r="O160" s="324">
        <f t="shared" si="51"/>
        <v>3.9372652906546744E-4</v>
      </c>
      <c r="P160" s="169">
        <f>(INDEX(Models!$BJ160:$BT160,,T160)*(1-R160)+INDEX(Models!$BJ160:$BT160,,T160+1)*R160-ERP_i)*Q160*Ramure*Pc/MaxiM</f>
        <v>2.9072359731326374E-4</v>
      </c>
      <c r="Q160" s="305">
        <f t="shared" si="52"/>
        <v>0.7</v>
      </c>
      <c r="R160" s="177">
        <f t="shared" si="53"/>
        <v>0.17493976044509685</v>
      </c>
      <c r="S160" s="921">
        <f t="shared" si="70"/>
        <v>-2</v>
      </c>
      <c r="T160" s="176">
        <f t="shared" si="54"/>
        <v>4</v>
      </c>
      <c r="U160" s="251">
        <f t="shared" si="55"/>
        <v>-1.8250602395549032</v>
      </c>
      <c r="V160" s="383">
        <f t="shared" si="56"/>
        <v>59.677223248347211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7">
        <f t="shared" si="62"/>
        <v>3.9372652906546744E-4</v>
      </c>
      <c r="AD160" s="169">
        <f>(INDEX(Models!$BJ160:$BT160,,AH160)*(1-AF160)+INDEX(Models!$BJ160:$BT160,,AH160+1)*AF160-ERP_i)*AE160*Ramure*Pc/MaxiM</f>
        <v>2.9072359731326374E-4</v>
      </c>
      <c r="AE160" s="305">
        <f t="shared" si="63"/>
        <v>0.7</v>
      </c>
      <c r="AF160" s="177">
        <f t="shared" si="64"/>
        <v>0.17493976044509685</v>
      </c>
      <c r="AG160" s="921">
        <f t="shared" si="65"/>
        <v>-2</v>
      </c>
      <c r="AH160" s="176">
        <f t="shared" si="66"/>
        <v>4</v>
      </c>
      <c r="AI160" s="225">
        <f t="shared" si="67"/>
        <v>-1.8250602395549032</v>
      </c>
      <c r="AJ160" s="265" t="b">
        <f t="shared" si="68"/>
        <v>0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1"/>
        <v>43247</v>
      </c>
      <c r="B161" s="624"/>
      <c r="C161" s="968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8">
        <f t="shared" si="50"/>
        <v>8.7607387436960948E-5</v>
      </c>
      <c r="M161" s="970"/>
      <c r="N161" s="970"/>
      <c r="O161" s="324">
        <f t="shared" si="51"/>
        <v>5.2509531585779191E-4</v>
      </c>
      <c r="P161" s="169">
        <f>(INDEX(Models!$BJ161:$BT161,,T161)*(1-R161)+INDEX(Models!$BJ161:$BT161,,T161+1)*R161-ERP_i)*Q161*Ramure*Pc/MaxiM</f>
        <v>3.0936639940346938E-4</v>
      </c>
      <c r="Q161" s="305">
        <f t="shared" si="52"/>
        <v>0.7</v>
      </c>
      <c r="R161" s="177">
        <f t="shared" si="53"/>
        <v>0.17965440783607267</v>
      </c>
      <c r="S161" s="921">
        <f t="shared" si="70"/>
        <v>-2</v>
      </c>
      <c r="T161" s="176">
        <f t="shared" si="54"/>
        <v>4</v>
      </c>
      <c r="U161" s="251">
        <f t="shared" si="55"/>
        <v>-1.8203455921639273</v>
      </c>
      <c r="V161" s="383">
        <f t="shared" si="56"/>
        <v>59.652525796968881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7">
        <f t="shared" si="62"/>
        <v>5.2509531585779191E-4</v>
      </c>
      <c r="AD161" s="169">
        <f>(INDEX(Models!$BJ161:$BT161,,AH161)*(1-AF161)+INDEX(Models!$BJ161:$BT161,,AH161+1)*AF161-ERP_i)*AE161*Ramure*Pc/MaxiM</f>
        <v>3.0936639940346938E-4</v>
      </c>
      <c r="AE161" s="305">
        <f t="shared" si="63"/>
        <v>0.7</v>
      </c>
      <c r="AF161" s="177">
        <f t="shared" si="64"/>
        <v>0.17965440783607267</v>
      </c>
      <c r="AG161" s="921">
        <f t="shared" si="65"/>
        <v>-2</v>
      </c>
      <c r="AH161" s="176">
        <f t="shared" si="66"/>
        <v>4</v>
      </c>
      <c r="AI161" s="225">
        <f t="shared" si="67"/>
        <v>-1.8203455921639273</v>
      </c>
      <c r="AJ161" s="265" t="b">
        <f t="shared" si="68"/>
        <v>0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1"/>
        <v>43248</v>
      </c>
      <c r="B162" s="624"/>
      <c r="C162" s="968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8">
        <f t="shared" si="50"/>
        <v>1.0950803504261586E-4</v>
      </c>
      <c r="M162" s="970"/>
      <c r="N162" s="970"/>
      <c r="O162" s="324">
        <f t="shared" si="51"/>
        <v>6.5652588840542988E-4</v>
      </c>
      <c r="P162" s="169">
        <f>(INDEX(Models!$BJ162:$BT162,,T162)*(1-R162)+INDEX(Models!$BJ162:$BT162,,T162+1)*R162-ERP_i)*Q162*Ramure*Pc/MaxiM</f>
        <v>3.2879158599125649E-4</v>
      </c>
      <c r="Q162" s="305">
        <f t="shared" si="52"/>
        <v>0.7</v>
      </c>
      <c r="R162" s="177">
        <f t="shared" si="53"/>
        <v>0.18442361021761489</v>
      </c>
      <c r="S162" s="921">
        <f t="shared" si="70"/>
        <v>-2</v>
      </c>
      <c r="T162" s="176">
        <f t="shared" si="54"/>
        <v>4</v>
      </c>
      <c r="U162" s="251">
        <f t="shared" si="55"/>
        <v>-1.8155763897823851</v>
      </c>
      <c r="V162" s="383">
        <f t="shared" si="56"/>
        <v>59.625668095072221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7">
        <f t="shared" si="62"/>
        <v>6.5652588840542988E-4</v>
      </c>
      <c r="AD162" s="169">
        <f>(INDEX(Models!$BJ162:$BT162,,AH162)*(1-AF162)+INDEX(Models!$BJ162:$BT162,,AH162+1)*AF162-ERP_i)*AE162*Ramure*Pc/MaxiM</f>
        <v>3.2879158599125649E-4</v>
      </c>
      <c r="AE162" s="305">
        <f t="shared" si="63"/>
        <v>0.7</v>
      </c>
      <c r="AF162" s="177">
        <f t="shared" si="64"/>
        <v>0.18442361021761489</v>
      </c>
      <c r="AG162" s="921">
        <f t="shared" si="65"/>
        <v>-2</v>
      </c>
      <c r="AH162" s="176">
        <f t="shared" si="66"/>
        <v>4</v>
      </c>
      <c r="AI162" s="225">
        <f t="shared" si="67"/>
        <v>-1.8155763897823851</v>
      </c>
      <c r="AJ162" s="265" t="b">
        <f t="shared" si="68"/>
        <v>0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43249</v>
      </c>
      <c r="B163" s="624"/>
      <c r="C163" s="968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8">
        <f t="shared" si="50"/>
        <v>1.3140820296797528E-4</v>
      </c>
      <c r="M163" s="970"/>
      <c r="N163" s="970"/>
      <c r="O163" s="324">
        <f t="shared" si="51"/>
        <v>7.8801666300957497E-4</v>
      </c>
      <c r="P163" s="169">
        <f>(INDEX(Models!$BJ163:$BT163,,T163)*(1-R163)+INDEX(Models!$BJ163:$BT163,,T163+1)*R163-ERP_i)*Q163*Ramure*Pc/MaxiM</f>
        <v>3.4900958941919304E-4</v>
      </c>
      <c r="Q163" s="305">
        <f t="shared" si="52"/>
        <v>0.7</v>
      </c>
      <c r="R163" s="177">
        <f t="shared" si="53"/>
        <v>0.18924422504883687</v>
      </c>
      <c r="S163" s="921">
        <f t="shared" si="70"/>
        <v>-2</v>
      </c>
      <c r="T163" s="176">
        <f t="shared" si="54"/>
        <v>4</v>
      </c>
      <c r="U163" s="251">
        <f t="shared" si="55"/>
        <v>-1.8107557749511631</v>
      </c>
      <c r="V163" s="383">
        <f t="shared" si="56"/>
        <v>59.59672247703184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7">
        <f t="shared" si="62"/>
        <v>7.8801666300957497E-4</v>
      </c>
      <c r="AD163" s="169">
        <f>(INDEX(Models!$BJ163:$BT163,,AH163)*(1-AF163)+INDEX(Models!$BJ163:$BT163,,AH163+1)*AF163-ERP_i)*AE163*Ramure*Pc/MaxiM</f>
        <v>3.4900958941919304E-4</v>
      </c>
      <c r="AE163" s="305">
        <f t="shared" si="63"/>
        <v>0.7</v>
      </c>
      <c r="AF163" s="177">
        <f t="shared" si="64"/>
        <v>0.18924422504883687</v>
      </c>
      <c r="AG163" s="921">
        <f t="shared" si="65"/>
        <v>-2</v>
      </c>
      <c r="AH163" s="176">
        <f t="shared" si="66"/>
        <v>4</v>
      </c>
      <c r="AI163" s="225">
        <f t="shared" si="67"/>
        <v>-1.8107557749511631</v>
      </c>
      <c r="AJ163" s="265" t="b">
        <f t="shared" si="68"/>
        <v>0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43250</v>
      </c>
      <c r="B164" s="624"/>
      <c r="C164" s="968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8">
        <f t="shared" si="50"/>
        <v>1.5330789122347532E-4</v>
      </c>
      <c r="M164" s="970"/>
      <c r="N164" s="970"/>
      <c r="O164" s="324">
        <f t="shared" si="51"/>
        <v>9.1956560868461487E-4</v>
      </c>
      <c r="P164" s="169">
        <f>(INDEX(Models!$BJ164:$BT164,,T164)*(1-R164)+INDEX(Models!$BJ164:$BT164,,T164+1)*R164-ERP_i)*Q164*Ramure*Pc/MaxiM</f>
        <v>3.6987434531959206E-4</v>
      </c>
      <c r="Q164" s="305">
        <f t="shared" si="52"/>
        <v>0.7</v>
      </c>
      <c r="R164" s="177">
        <f t="shared" si="53"/>
        <v>0.19411295398892459</v>
      </c>
      <c r="S164" s="921">
        <f t="shared" si="70"/>
        <v>-2</v>
      </c>
      <c r="T164" s="176">
        <f t="shared" si="54"/>
        <v>4</v>
      </c>
      <c r="U164" s="251">
        <f t="shared" si="55"/>
        <v>-1.8058870460110754</v>
      </c>
      <c r="V164" s="383">
        <f t="shared" si="56"/>
        <v>59.565627212070687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7">
        <f t="shared" si="62"/>
        <v>9.1956560868461487E-4</v>
      </c>
      <c r="AD164" s="169">
        <f>(INDEX(Models!$BJ164:$BT164,,AH164)*(1-AF164)+INDEX(Models!$BJ164:$BT164,,AH164+1)*AF164-ERP_i)*AE164*Ramure*Pc/MaxiM</f>
        <v>3.6987434531959206E-4</v>
      </c>
      <c r="AE164" s="305">
        <f t="shared" si="63"/>
        <v>0.7</v>
      </c>
      <c r="AF164" s="177">
        <f t="shared" si="64"/>
        <v>0.19411295398892459</v>
      </c>
      <c r="AG164" s="921">
        <f t="shared" si="65"/>
        <v>-2</v>
      </c>
      <c r="AH164" s="176">
        <f t="shared" si="66"/>
        <v>4</v>
      </c>
      <c r="AI164" s="225">
        <f t="shared" si="67"/>
        <v>-1.8058870460110754</v>
      </c>
      <c r="AJ164" s="265" t="b">
        <f t="shared" si="68"/>
        <v>0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43251</v>
      </c>
      <c r="B165" s="624"/>
      <c r="C165" s="968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8">
        <f t="shared" si="50"/>
        <v>1.7520709981955207E-4</v>
      </c>
      <c r="M165" s="970"/>
      <c r="N165" s="970"/>
      <c r="O165" s="324">
        <f t="shared" si="51"/>
        <v>1.0511702508938972E-3</v>
      </c>
      <c r="P165" s="169">
        <f>(INDEX(Models!$BJ165:$BT165,,T165)*(1-R165)+INDEX(Models!$BJ165:$BT165,,T165+1)*R165-ERP_i)*Q165*Ramure*Pc/MaxiM</f>
        <v>3.9138406069450562E-4</v>
      </c>
      <c r="Q165" s="305">
        <f t="shared" si="52"/>
        <v>0.7</v>
      </c>
      <c r="R165" s="177">
        <f t="shared" si="53"/>
        <v>0.19902635053855122</v>
      </c>
      <c r="S165" s="921">
        <f t="shared" si="70"/>
        <v>-2</v>
      </c>
      <c r="T165" s="176">
        <f t="shared" si="54"/>
        <v>4</v>
      </c>
      <c r="U165" s="251">
        <f t="shared" si="55"/>
        <v>-1.8009736494614488</v>
      </c>
      <c r="V165" s="383">
        <f t="shared" si="56"/>
        <v>59.532276207880336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7">
        <f t="shared" si="62"/>
        <v>1.0511702508938972E-3</v>
      </c>
      <c r="AD165" s="169">
        <f>(INDEX(Models!$BJ165:$BT165,,AH165)*(1-AF165)+INDEX(Models!$BJ165:$BT165,,AH165+1)*AF165-ERP_i)*AE165*Ramure*Pc/MaxiM</f>
        <v>3.9138406069450562E-4</v>
      </c>
      <c r="AE165" s="305">
        <f t="shared" si="63"/>
        <v>0.7</v>
      </c>
      <c r="AF165" s="177">
        <f t="shared" si="64"/>
        <v>0.19902635053855122</v>
      </c>
      <c r="AG165" s="921">
        <f t="shared" si="65"/>
        <v>-2</v>
      </c>
      <c r="AH165" s="176">
        <f t="shared" si="66"/>
        <v>4</v>
      </c>
      <c r="AI165" s="225">
        <f t="shared" si="67"/>
        <v>-1.8009736494614488</v>
      </c>
      <c r="AJ165" s="265" t="b">
        <f t="shared" si="68"/>
        <v>0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1"/>
        <v>43252</v>
      </c>
      <c r="B166" s="624"/>
      <c r="C166" s="968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8">
        <f t="shared" si="50"/>
        <v>1.9710582876675264E-4</v>
      </c>
      <c r="M166" s="970"/>
      <c r="N166" s="970"/>
      <c r="O166" s="324">
        <f t="shared" si="51"/>
        <v>1.1828276777557868E-3</v>
      </c>
      <c r="P166" s="169">
        <f>(INDEX(Models!$BJ166:$BT166,,T166)*(1-R166)+INDEX(Models!$BJ166:$BT166,,T166+1)*R166-ERP_i)*Q166*Ramure*Pc/MaxiM</f>
        <v>4.1353114325630387E-4</v>
      </c>
      <c r="Q166" s="305">
        <f t="shared" si="52"/>
        <v>0.7</v>
      </c>
      <c r="R166" s="177">
        <f t="shared" si="53"/>
        <v>0.20398082861563349</v>
      </c>
      <c r="S166" s="921">
        <f t="shared" si="70"/>
        <v>-2</v>
      </c>
      <c r="T166" s="176">
        <f t="shared" si="54"/>
        <v>4</v>
      </c>
      <c r="U166" s="251">
        <f t="shared" si="55"/>
        <v>-1.7960191713843665</v>
      </c>
      <c r="V166" s="383">
        <f t="shared" si="56"/>
        <v>59.496563825938381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7">
        <f t="shared" si="62"/>
        <v>1.1828276777557868E-3</v>
      </c>
      <c r="AD166" s="169">
        <f>(INDEX(Models!$BJ166:$BT166,,AH166)*(1-AF166)+INDEX(Models!$BJ166:$BT166,,AH166+1)*AF166-ERP_i)*AE166*Ramure*Pc/MaxiM</f>
        <v>4.1353114325630387E-4</v>
      </c>
      <c r="AE166" s="305">
        <f t="shared" si="63"/>
        <v>0.7</v>
      </c>
      <c r="AF166" s="177">
        <f t="shared" si="64"/>
        <v>0.20398082861563349</v>
      </c>
      <c r="AG166" s="921">
        <f t="shared" si="65"/>
        <v>-2</v>
      </c>
      <c r="AH166" s="176">
        <f t="shared" si="66"/>
        <v>4</v>
      </c>
      <c r="AI166" s="225">
        <f t="shared" si="67"/>
        <v>-1.7960191713843665</v>
      </c>
      <c r="AJ166" s="265" t="b">
        <f t="shared" si="68"/>
        <v>0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1"/>
        <v>43253</v>
      </c>
      <c r="B167" s="624"/>
      <c r="C167" s="968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8">
        <f t="shared" si="50"/>
        <v>2.1900407807551314E-4</v>
      </c>
      <c r="M167" s="970"/>
      <c r="N167" s="970"/>
      <c r="O167" s="324">
        <f t="shared" si="51"/>
        <v>1.3145345487391934E-3</v>
      </c>
      <c r="P167" s="169">
        <f>(INDEX(Models!$BJ167:$BT167,,T167)*(1-R167)+INDEX(Models!$BJ167:$BT167,,T167+1)*R167-ERP_i)*Q167*Ramure*Pc/MaxiM</f>
        <v>4.3630617719914324E-4</v>
      </c>
      <c r="Q167" s="305">
        <f t="shared" si="52"/>
        <v>0.7</v>
      </c>
      <c r="R167" s="177">
        <f t="shared" si="53"/>
        <v>0.20897267203004599</v>
      </c>
      <c r="S167" s="921">
        <f t="shared" si="70"/>
        <v>-2</v>
      </c>
      <c r="T167" s="176">
        <f t="shared" si="54"/>
        <v>4</v>
      </c>
      <c r="U167" s="251">
        <f t="shared" si="55"/>
        <v>-1.791027327969954</v>
      </c>
      <c r="V167" s="383">
        <f t="shared" si="56"/>
        <v>59.458384646144808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7">
        <f t="shared" si="62"/>
        <v>1.3145345487391934E-3</v>
      </c>
      <c r="AD167" s="169">
        <f>(INDEX(Models!$BJ167:$BT167,,AH167)*(1-AF167)+INDEX(Models!$BJ167:$BT167,,AH167+1)*AF167-ERP_i)*AE167*Ramure*Pc/MaxiM</f>
        <v>4.3630617719914324E-4</v>
      </c>
      <c r="AE167" s="305">
        <f t="shared" si="63"/>
        <v>0.7</v>
      </c>
      <c r="AF167" s="177">
        <f t="shared" si="64"/>
        <v>0.20897267203004599</v>
      </c>
      <c r="AG167" s="921">
        <f t="shared" si="65"/>
        <v>-2</v>
      </c>
      <c r="AH167" s="176">
        <f t="shared" si="66"/>
        <v>4</v>
      </c>
      <c r="AI167" s="225">
        <f t="shared" si="67"/>
        <v>-1.791027327969954</v>
      </c>
      <c r="AJ167" s="265" t="b">
        <f t="shared" si="68"/>
        <v>0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1"/>
        <v>43254</v>
      </c>
      <c r="B168" s="624"/>
      <c r="C168" s="968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8">
        <f t="shared" si="50"/>
        <v>2.409018477564917E-4</v>
      </c>
      <c r="M168" s="970"/>
      <c r="N168" s="970"/>
      <c r="O168" s="324">
        <f t="shared" si="51"/>
        <v>1.4462871058479347E-3</v>
      </c>
      <c r="P168" s="169">
        <f>(INDEX(Models!$BJ168:$BT168,,T168)*(1-R168)+INDEX(Models!$BJ168:$BT168,,T168+1)*R168-ERP_i)*Q168*Ramure*Pc/MaxiM</f>
        <v>4.5969792338537599E-4</v>
      </c>
      <c r="Q168" s="305">
        <f t="shared" si="52"/>
        <v>0.7</v>
      </c>
      <c r="R168" s="177">
        <f t="shared" si="53"/>
        <v>0.21399804481231799</v>
      </c>
      <c r="S168" s="921">
        <f t="shared" si="70"/>
        <v>-2</v>
      </c>
      <c r="T168" s="176">
        <f t="shared" si="54"/>
        <v>4</v>
      </c>
      <c r="U168" s="251">
        <f t="shared" si="55"/>
        <v>-1.786001955187682</v>
      </c>
      <c r="V168" s="383">
        <f t="shared" si="56"/>
        <v>59.417633464772109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7">
        <f t="shared" si="62"/>
        <v>1.4462871058479347E-3</v>
      </c>
      <c r="AD168" s="169">
        <f>(INDEX(Models!$BJ168:$BT168,,AH168)*(1-AF168)+INDEX(Models!$BJ168:$BT168,,AH168+1)*AF168-ERP_i)*AE168*Ramure*Pc/MaxiM</f>
        <v>4.5969792338537599E-4</v>
      </c>
      <c r="AE168" s="305">
        <f t="shared" si="63"/>
        <v>0.7</v>
      </c>
      <c r="AF168" s="177">
        <f t="shared" si="64"/>
        <v>0.21399804481231799</v>
      </c>
      <c r="AG168" s="921">
        <f t="shared" si="65"/>
        <v>-2</v>
      </c>
      <c r="AH168" s="176">
        <f t="shared" si="66"/>
        <v>4</v>
      </c>
      <c r="AI168" s="225">
        <f t="shared" si="67"/>
        <v>-1.786001955187682</v>
      </c>
      <c r="AJ168" s="265" t="b">
        <f t="shared" si="68"/>
        <v>0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1"/>
        <v>43255</v>
      </c>
      <c r="B169" s="620"/>
      <c r="C169" s="390"/>
      <c r="D169" s="393">
        <f t="shared" ref="D169:D196" si="72">Wh/(1-Ppv)</f>
        <v>0</v>
      </c>
      <c r="E169" s="385">
        <f t="shared" ref="E169:E196" si="73">Wh_pvt/(1-Psa)</f>
        <v>0</v>
      </c>
      <c r="F169" s="385">
        <f t="shared" ref="F169:F196" si="74">Wh_sa/(1-Pvg*MEDIAN((-Sdif+Wh/Env_an)/Csdif,0,1))</f>
        <v>0</v>
      </c>
      <c r="G169" s="110">
        <f t="shared" ref="G169:G196" si="75">+Wh_hp/MaxiM</f>
        <v>0</v>
      </c>
      <c r="I169" s="380">
        <f t="shared" si="48"/>
        <v>0</v>
      </c>
      <c r="J169" s="85">
        <v>2018</v>
      </c>
      <c r="K169" s="197">
        <f t="shared" si="49"/>
        <v>43255</v>
      </c>
      <c r="L169" s="438">
        <f t="shared" si="50"/>
        <v>2.6279913782012443E-4</v>
      </c>
      <c r="M169" s="970"/>
      <c r="N169" s="970"/>
      <c r="O169" s="324">
        <f t="shared" si="51"/>
        <v>1.5780811872706923E-3</v>
      </c>
      <c r="P169" s="169">
        <f>(INDEX(Models!$BJ169:$BT169,,T169)*(1-R169)+INDEX(Models!$BJ169:$BT169,,T169+1)*R169-ERP_i)*Q169*Ramure*Pc/MaxiM</f>
        <v>4.8369333265606897E-4</v>
      </c>
      <c r="Q169" s="305">
        <f t="shared" si="52"/>
        <v>0.7</v>
      </c>
      <c r="R169" s="177">
        <f t="shared" si="53"/>
        <v>0.21905300234197789</v>
      </c>
      <c r="S169" s="921">
        <f t="shared" si="70"/>
        <v>-2</v>
      </c>
      <c r="T169" s="176">
        <f t="shared" si="54"/>
        <v>4</v>
      </c>
      <c r="U169" s="251">
        <f t="shared" si="55"/>
        <v>-1.7809469976580221</v>
      </c>
      <c r="V169" s="383">
        <f t="shared" si="56"/>
        <v>59.374205293212242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7">
        <f t="shared" si="62"/>
        <v>1.5780811872706923E-3</v>
      </c>
      <c r="AD169" s="169">
        <f>(INDEX(Models!$BJ169:$BT169,,AH169)*(1-AF169)+INDEX(Models!$BJ169:$BT169,,AH169+1)*AF169-ERP_i)*AE169*Ramure*Pc/MaxiM</f>
        <v>4.8369333265606897E-4</v>
      </c>
      <c r="AE169" s="305">
        <f t="shared" si="63"/>
        <v>0.7</v>
      </c>
      <c r="AF169" s="177">
        <f t="shared" si="64"/>
        <v>0.21905300234197789</v>
      </c>
      <c r="AG169" s="921">
        <f t="shared" si="65"/>
        <v>-2</v>
      </c>
      <c r="AH169" s="176">
        <f t="shared" si="66"/>
        <v>4</v>
      </c>
      <c r="AI169" s="225">
        <f t="shared" si="67"/>
        <v>-1.7809469976580221</v>
      </c>
      <c r="AJ169" s="265" t="b">
        <f t="shared" si="68"/>
        <v>0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1"/>
        <v>43256</v>
      </c>
      <c r="B170" s="620"/>
      <c r="C170" s="390"/>
      <c r="D170" s="393">
        <f t="shared" si="72"/>
        <v>0</v>
      </c>
      <c r="E170" s="385">
        <f t="shared" si="73"/>
        <v>0</v>
      </c>
      <c r="F170" s="385">
        <f t="shared" si="74"/>
        <v>0</v>
      </c>
      <c r="G170" s="110">
        <f t="shared" si="75"/>
        <v>0</v>
      </c>
      <c r="I170" s="380">
        <f t="shared" si="48"/>
        <v>0</v>
      </c>
      <c r="J170" s="85">
        <v>2018</v>
      </c>
      <c r="K170" s="197">
        <f t="shared" si="49"/>
        <v>43256</v>
      </c>
      <c r="L170" s="438">
        <f t="shared" si="50"/>
        <v>2.8469594827695843E-4</v>
      </c>
      <c r="M170" s="970"/>
      <c r="N170" s="970"/>
      <c r="O170" s="324">
        <f t="shared" si="51"/>
        <v>1.7099122434519999E-3</v>
      </c>
      <c r="P170" s="169">
        <f>(INDEX(Models!$BJ170:$BT170,,T170)*(1-R170)+INDEX(Models!$BJ170:$BT170,,T170+1)*R170-ERP_i)*Q170*Ramure*Pc/MaxiM</f>
        <v>5.0795421825091259E-4</v>
      </c>
      <c r="Q170" s="305">
        <f t="shared" si="52"/>
        <v>0.7</v>
      </c>
      <c r="R170" s="177">
        <f t="shared" si="53"/>
        <v>0.22413350321224979</v>
      </c>
      <c r="S170" s="921">
        <f t="shared" si="70"/>
        <v>-2</v>
      </c>
      <c r="T170" s="176">
        <f t="shared" si="54"/>
        <v>4</v>
      </c>
      <c r="U170" s="251">
        <f t="shared" si="55"/>
        <v>-1.7758664967877502</v>
      </c>
      <c r="V170" s="383">
        <f t="shared" si="56"/>
        <v>59.328014550449353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7">
        <f t="shared" si="62"/>
        <v>1.7099122434519999E-3</v>
      </c>
      <c r="AD170" s="169">
        <f>(INDEX(Models!$BJ170:$BT170,,AH170)*(1-AF170)+INDEX(Models!$BJ170:$BT170,,AH170+1)*AF170-ERP_i)*AE170*Ramure*Pc/MaxiM</f>
        <v>5.0795421825091259E-4</v>
      </c>
      <c r="AE170" s="305">
        <f t="shared" si="63"/>
        <v>0.7</v>
      </c>
      <c r="AF170" s="177">
        <f t="shared" si="64"/>
        <v>0.22413350321224979</v>
      </c>
      <c r="AG170" s="921">
        <f t="shared" si="65"/>
        <v>-2</v>
      </c>
      <c r="AH170" s="176">
        <f t="shared" si="66"/>
        <v>4</v>
      </c>
      <c r="AI170" s="225">
        <f t="shared" si="67"/>
        <v>-1.7758664967877502</v>
      </c>
      <c r="AJ170" s="265" t="b">
        <f t="shared" si="68"/>
        <v>0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1"/>
        <v>43257</v>
      </c>
      <c r="B171" s="620"/>
      <c r="C171" s="390"/>
      <c r="D171" s="393">
        <f t="shared" si="72"/>
        <v>0</v>
      </c>
      <c r="E171" s="385">
        <f t="shared" si="73"/>
        <v>0</v>
      </c>
      <c r="F171" s="385">
        <f t="shared" si="74"/>
        <v>0</v>
      </c>
      <c r="G171" s="110">
        <f t="shared" si="75"/>
        <v>0</v>
      </c>
      <c r="I171" s="380">
        <f t="shared" si="48"/>
        <v>0</v>
      </c>
      <c r="J171" s="85">
        <v>2018</v>
      </c>
      <c r="K171" s="197">
        <f t="shared" si="49"/>
        <v>43257</v>
      </c>
      <c r="L171" s="438">
        <f t="shared" si="50"/>
        <v>3.0659227913731879E-4</v>
      </c>
      <c r="M171" s="970"/>
      <c r="N171" s="970"/>
      <c r="O171" s="324">
        <f t="shared" si="51"/>
        <v>1.841775355517432E-3</v>
      </c>
      <c r="P171" s="169">
        <f>(INDEX(Models!$BJ171:$BT171,,T171)*(1-R171)+INDEX(Models!$BJ171:$BT171,,T171+1)*R171-ERP_i)*Q171*Ramure*Pc/MaxiM</f>
        <v>5.3243196430792625E-4</v>
      </c>
      <c r="Q171" s="305">
        <f t="shared" si="52"/>
        <v>0.7</v>
      </c>
      <c r="R171" s="177">
        <f t="shared" si="53"/>
        <v>0.22923542175938971</v>
      </c>
      <c r="S171" s="921">
        <f t="shared" si="70"/>
        <v>-2</v>
      </c>
      <c r="T171" s="176">
        <f t="shared" si="54"/>
        <v>4</v>
      </c>
      <c r="U171" s="251">
        <f t="shared" si="55"/>
        <v>-1.7707645782406103</v>
      </c>
      <c r="V171" s="383">
        <f t="shared" si="56"/>
        <v>59.278958522987658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7">
        <f t="shared" si="62"/>
        <v>1.841775355517432E-3</v>
      </c>
      <c r="AD171" s="169">
        <f>(INDEX(Models!$BJ171:$BT171,,AH171)*(1-AF171)+INDEX(Models!$BJ171:$BT171,,AH171+1)*AF171-ERP_i)*AE171*Ramure*Pc/MaxiM</f>
        <v>5.3243196430792625E-4</v>
      </c>
      <c r="AE171" s="305">
        <f t="shared" si="63"/>
        <v>0.7</v>
      </c>
      <c r="AF171" s="177">
        <f t="shared" si="64"/>
        <v>0.22923542175938971</v>
      </c>
      <c r="AG171" s="921">
        <f t="shared" si="65"/>
        <v>-2</v>
      </c>
      <c r="AH171" s="176">
        <f t="shared" si="66"/>
        <v>4</v>
      </c>
      <c r="AI171" s="225">
        <f t="shared" si="67"/>
        <v>-1.7707645782406103</v>
      </c>
      <c r="AJ171" s="265" t="b">
        <f t="shared" si="68"/>
        <v>0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1"/>
        <v>43258</v>
      </c>
      <c r="B172" s="620"/>
      <c r="C172" s="390"/>
      <c r="D172" s="393">
        <f t="shared" si="72"/>
        <v>0</v>
      </c>
      <c r="E172" s="385">
        <f t="shared" si="73"/>
        <v>0</v>
      </c>
      <c r="F172" s="385">
        <f t="shared" si="74"/>
        <v>0</v>
      </c>
      <c r="G172" s="110">
        <f t="shared" si="75"/>
        <v>0</v>
      </c>
      <c r="I172" s="380">
        <f t="shared" si="48"/>
        <v>0</v>
      </c>
      <c r="J172" s="85">
        <v>2018</v>
      </c>
      <c r="K172" s="197">
        <f t="shared" si="49"/>
        <v>43258</v>
      </c>
      <c r="L172" s="438">
        <f t="shared" si="50"/>
        <v>3.2848813041197467E-4</v>
      </c>
      <c r="M172" s="970"/>
      <c r="N172" s="970"/>
      <c r="O172" s="324">
        <f t="shared" si="51"/>
        <v>1.9736652559640064E-3</v>
      </c>
      <c r="P172" s="169">
        <f>(INDEX(Models!$BJ172:$BT172,,T172)*(1-R172)+INDEX(Models!$BJ172:$BT172,,T172+1)*R172-ERP_i)*Q172*Ramure*Pc/MaxiM</f>
        <v>5.5707933587619603E-4</v>
      </c>
      <c r="Q172" s="305">
        <f t="shared" si="52"/>
        <v>0.7</v>
      </c>
      <c r="R172" s="177">
        <f t="shared" si="53"/>
        <v>0.23435456117721576</v>
      </c>
      <c r="S172" s="921">
        <f t="shared" si="70"/>
        <v>-2</v>
      </c>
      <c r="T172" s="176">
        <f t="shared" si="54"/>
        <v>4</v>
      </c>
      <c r="U172" s="251">
        <f t="shared" si="55"/>
        <v>-1.7656454388227842</v>
      </c>
      <c r="V172" s="383">
        <f t="shared" si="56"/>
        <v>59.226934508986361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7">
        <f t="shared" si="62"/>
        <v>1.9736652559640064E-3</v>
      </c>
      <c r="AD172" s="169">
        <f>(INDEX(Models!$BJ172:$BT172,,AH172)*(1-AF172)+INDEX(Models!$BJ172:$BT172,,AH172+1)*AF172-ERP_i)*AE172*Ramure*Pc/MaxiM</f>
        <v>5.5707933587619603E-4</v>
      </c>
      <c r="AE172" s="305">
        <f t="shared" si="63"/>
        <v>0.7</v>
      </c>
      <c r="AF172" s="177">
        <f t="shared" si="64"/>
        <v>0.23435456117721576</v>
      </c>
      <c r="AG172" s="921">
        <f t="shared" si="65"/>
        <v>-2</v>
      </c>
      <c r="AH172" s="176">
        <f t="shared" si="66"/>
        <v>4</v>
      </c>
      <c r="AI172" s="225">
        <f t="shared" si="67"/>
        <v>-1.7656454388227842</v>
      </c>
      <c r="AJ172" s="265" t="b">
        <f t="shared" si="68"/>
        <v>0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1"/>
        <v>43259</v>
      </c>
      <c r="B173" s="620"/>
      <c r="C173" s="390"/>
      <c r="D173" s="393">
        <f t="shared" si="72"/>
        <v>0</v>
      </c>
      <c r="E173" s="385">
        <f t="shared" si="73"/>
        <v>0</v>
      </c>
      <c r="F173" s="385">
        <f t="shared" si="74"/>
        <v>0</v>
      </c>
      <c r="G173" s="110">
        <f t="shared" si="75"/>
        <v>0</v>
      </c>
      <c r="I173" s="380">
        <f t="shared" si="48"/>
        <v>0</v>
      </c>
      <c r="J173" s="85">
        <v>2018</v>
      </c>
      <c r="K173" s="197">
        <f t="shared" si="49"/>
        <v>43259</v>
      </c>
      <c r="L173" s="438">
        <f t="shared" si="50"/>
        <v>3.5038350211114011E-4</v>
      </c>
      <c r="M173" s="970"/>
      <c r="N173" s="970"/>
      <c r="O173" s="324">
        <f t="shared" si="51"/>
        <v>2.1055763515055431E-3</v>
      </c>
      <c r="P173" s="169">
        <f>(INDEX(Models!$BJ173:$BT173,,T173)*(1-R173)+INDEX(Models!$BJ173:$BT173,,T173+1)*R173-ERP_i)*Q173*Ramure*Pc/MaxiM</f>
        <v>5.8184696187027474E-4</v>
      </c>
      <c r="Q173" s="305">
        <f t="shared" si="52"/>
        <v>0.7</v>
      </c>
      <c r="R173" s="177">
        <f t="shared" si="53"/>
        <v>0.23948666713048228</v>
      </c>
      <c r="S173" s="921">
        <f t="shared" si="70"/>
        <v>-2</v>
      </c>
      <c r="T173" s="176">
        <f t="shared" si="54"/>
        <v>4</v>
      </c>
      <c r="U173" s="251">
        <f t="shared" si="55"/>
        <v>-1.7605133328695177</v>
      </c>
      <c r="V173" s="383">
        <f t="shared" si="56"/>
        <v>59.171840019628483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7">
        <f t="shared" si="62"/>
        <v>2.1055763515055431E-3</v>
      </c>
      <c r="AD173" s="169">
        <f>(INDEX(Models!$BJ173:$BT173,,AH173)*(1-AF173)+INDEX(Models!$BJ173:$BT173,,AH173+1)*AF173-ERP_i)*AE173*Ramure*Pc/MaxiM</f>
        <v>5.8184696187027474E-4</v>
      </c>
      <c r="AE173" s="305">
        <f t="shared" si="63"/>
        <v>0.7</v>
      </c>
      <c r="AF173" s="177">
        <f t="shared" si="64"/>
        <v>0.23948666713048228</v>
      </c>
      <c r="AG173" s="921">
        <f t="shared" si="65"/>
        <v>-2</v>
      </c>
      <c r="AH173" s="176">
        <f t="shared" si="66"/>
        <v>4</v>
      </c>
      <c r="AI173" s="225">
        <f t="shared" si="67"/>
        <v>-1.7605133328695177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1"/>
        <v>43260</v>
      </c>
      <c r="B174" s="620"/>
      <c r="C174" s="390"/>
      <c r="D174" s="393">
        <f t="shared" si="72"/>
        <v>0</v>
      </c>
      <c r="E174" s="385">
        <f t="shared" si="73"/>
        <v>0</v>
      </c>
      <c r="F174" s="385">
        <f t="shared" si="74"/>
        <v>0</v>
      </c>
      <c r="G174" s="110">
        <f t="shared" si="75"/>
        <v>0</v>
      </c>
      <c r="I174" s="380">
        <f t="shared" si="48"/>
        <v>0</v>
      </c>
      <c r="J174" s="85">
        <v>2018</v>
      </c>
      <c r="K174" s="197">
        <f t="shared" si="49"/>
        <v>43260</v>
      </c>
      <c r="L174" s="438">
        <f t="shared" si="50"/>
        <v>3.7227839424558429E-4</v>
      </c>
      <c r="M174" s="970"/>
      <c r="N174" s="970"/>
      <c r="O174" s="324">
        <f t="shared" si="51"/>
        <v>2.2375027479414507E-3</v>
      </c>
      <c r="P174" s="169">
        <f>(INDEX(Models!$BJ174:$BT174,,T174)*(1-R174)+INDEX(Models!$BJ174:$BT174,,T174+1)*R174-ERP_i)*Q174*Ramure*Pc/MaxiM</f>
        <v>6.0668349704560921E-4</v>
      </c>
      <c r="Q174" s="305">
        <f t="shared" si="52"/>
        <v>0.7</v>
      </c>
      <c r="R174" s="177">
        <f t="shared" si="53"/>
        <v>0.24462744177478801</v>
      </c>
      <c r="S174" s="921">
        <f t="shared" si="70"/>
        <v>-2</v>
      </c>
      <c r="T174" s="176">
        <f t="shared" si="54"/>
        <v>4</v>
      </c>
      <c r="U174" s="251">
        <f t="shared" si="55"/>
        <v>-1.755372558225212</v>
      </c>
      <c r="V174" s="383">
        <f t="shared" si="56"/>
        <v>59.113572770682801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7">
        <f t="shared" si="62"/>
        <v>2.2375027479414507E-3</v>
      </c>
      <c r="AD174" s="169">
        <f>(INDEX(Models!$BJ174:$BT174,,AH174)*(1-AF174)+INDEX(Models!$BJ174:$BT174,,AH174+1)*AF174-ERP_i)*AE174*Ramure*Pc/MaxiM</f>
        <v>6.0668349704560921E-4</v>
      </c>
      <c r="AE174" s="305">
        <f t="shared" si="63"/>
        <v>0.7</v>
      </c>
      <c r="AF174" s="177">
        <f t="shared" si="64"/>
        <v>0.24462744177478801</v>
      </c>
      <c r="AG174" s="921">
        <f t="shared" si="65"/>
        <v>-2</v>
      </c>
      <c r="AH174" s="176">
        <f t="shared" si="66"/>
        <v>4</v>
      </c>
      <c r="AI174" s="225">
        <f t="shared" si="67"/>
        <v>-1.755372558225212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1"/>
        <v>43261</v>
      </c>
      <c r="B175" s="620"/>
      <c r="C175" s="390"/>
      <c r="D175" s="393">
        <f t="shared" si="72"/>
        <v>0</v>
      </c>
      <c r="E175" s="385">
        <f t="shared" si="73"/>
        <v>0</v>
      </c>
      <c r="F175" s="385">
        <f t="shared" si="74"/>
        <v>0</v>
      </c>
      <c r="G175" s="110">
        <f t="shared" si="75"/>
        <v>0</v>
      </c>
      <c r="I175" s="380">
        <f t="shared" si="48"/>
        <v>0</v>
      </c>
      <c r="J175" s="85">
        <v>2018</v>
      </c>
      <c r="K175" s="197">
        <f t="shared" si="49"/>
        <v>43261</v>
      </c>
      <c r="L175" s="438">
        <f t="shared" si="50"/>
        <v>3.9417280682563227E-4</v>
      </c>
      <c r="M175" s="970"/>
      <c r="N175" s="970"/>
      <c r="O175" s="324">
        <f t="shared" si="51"/>
        <v>2.3694382768975979E-3</v>
      </c>
      <c r="P175" s="169">
        <f>(INDEX(Models!$BJ175:$BT175,,T175)*(1-R175)+INDEX(Models!$BJ175:$BT175,,T175+1)*R175-ERP_i)*Q175*Ramure*Pc/MaxiM</f>
        <v>6.3153579855192924E-4</v>
      </c>
      <c r="Q175" s="305">
        <f t="shared" si="52"/>
        <v>0.7</v>
      </c>
      <c r="R175" s="177">
        <f t="shared" si="53"/>
        <v>0.24977255808579968</v>
      </c>
      <c r="S175" s="921">
        <f t="shared" si="70"/>
        <v>-2</v>
      </c>
      <c r="T175" s="176">
        <f t="shared" si="54"/>
        <v>4</v>
      </c>
      <c r="U175" s="251">
        <f t="shared" si="55"/>
        <v>-1.7502274419142003</v>
      </c>
      <c r="V175" s="383">
        <f t="shared" si="56"/>
        <v>59.052030664701746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7">
        <f t="shared" si="62"/>
        <v>2.3694382768975979E-3</v>
      </c>
      <c r="AD175" s="169">
        <f>(INDEX(Models!$BJ175:$BT175,,AH175)*(1-AF175)+INDEX(Models!$BJ175:$BT175,,AH175+1)*AF175-ERP_i)*AE175*Ramure*Pc/MaxiM</f>
        <v>6.3153579855192924E-4</v>
      </c>
      <c r="AE175" s="305">
        <f t="shared" si="63"/>
        <v>0.7</v>
      </c>
      <c r="AF175" s="177">
        <f t="shared" si="64"/>
        <v>0.24977255808579968</v>
      </c>
      <c r="AG175" s="921">
        <f t="shared" si="65"/>
        <v>-2</v>
      </c>
      <c r="AH175" s="176">
        <f t="shared" si="66"/>
        <v>4</v>
      </c>
      <c r="AI175" s="225">
        <f t="shared" si="67"/>
        <v>-1.7502274419142003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1"/>
        <v>43262</v>
      </c>
      <c r="B176" s="620"/>
      <c r="C176" s="390"/>
      <c r="D176" s="393">
        <f t="shared" si="72"/>
        <v>0</v>
      </c>
      <c r="E176" s="385">
        <f t="shared" si="73"/>
        <v>0</v>
      </c>
      <c r="F176" s="385">
        <f t="shared" si="74"/>
        <v>0</v>
      </c>
      <c r="G176" s="110">
        <f t="shared" si="75"/>
        <v>0</v>
      </c>
      <c r="I176" s="380">
        <f t="shared" si="48"/>
        <v>0</v>
      </c>
      <c r="J176" s="85">
        <v>2018</v>
      </c>
      <c r="K176" s="197">
        <f t="shared" si="49"/>
        <v>43262</v>
      </c>
      <c r="L176" s="438">
        <f t="shared" si="50"/>
        <v>4.160667398619422E-4</v>
      </c>
      <c r="M176" s="970"/>
      <c r="N176" s="970"/>
      <c r="O176" s="324">
        <f t="shared" si="51"/>
        <v>2.5013765242684286E-3</v>
      </c>
      <c r="P176" s="169">
        <f>(INDEX(Models!$BJ176:$BT176,,T176)*(1-R176)+INDEX(Models!$BJ176:$BT176,,T176+1)*R176-ERP_i)*Q176*Ramure*Pc/MaxiM</f>
        <v>6.563491153180358E-4</v>
      </c>
      <c r="Q176" s="305">
        <f t="shared" si="52"/>
        <v>0.7</v>
      </c>
      <c r="R176" s="177">
        <f t="shared" si="53"/>
        <v>0.25491767439681112</v>
      </c>
      <c r="S176" s="921">
        <f t="shared" si="70"/>
        <v>-2</v>
      </c>
      <c r="T176" s="176">
        <f t="shared" si="54"/>
        <v>4</v>
      </c>
      <c r="U176" s="251">
        <f t="shared" si="55"/>
        <v>-1.7450823256031889</v>
      </c>
      <c r="V176" s="383">
        <f t="shared" si="56"/>
        <v>58.987111779209165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7">
        <f t="shared" si="62"/>
        <v>2.5013765242684286E-3</v>
      </c>
      <c r="AD176" s="169">
        <f>(INDEX(Models!$BJ176:$BT176,,AH176)*(1-AF176)+INDEX(Models!$BJ176:$BT176,,AH176+1)*AF176-ERP_i)*AE176*Ramure*Pc/MaxiM</f>
        <v>6.563491153180358E-4</v>
      </c>
      <c r="AE176" s="305">
        <f t="shared" si="63"/>
        <v>0.7</v>
      </c>
      <c r="AF176" s="177">
        <f t="shared" si="64"/>
        <v>0.25491767439681112</v>
      </c>
      <c r="AG176" s="921">
        <f t="shared" si="65"/>
        <v>-2</v>
      </c>
      <c r="AH176" s="176">
        <f t="shared" si="66"/>
        <v>4</v>
      </c>
      <c r="AI176" s="225">
        <f t="shared" si="67"/>
        <v>-1.7450823256031889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1"/>
        <v>43263</v>
      </c>
      <c r="B177" s="620"/>
      <c r="C177" s="390"/>
      <c r="D177" s="393">
        <f t="shared" si="72"/>
        <v>0</v>
      </c>
      <c r="E177" s="385">
        <f t="shared" si="73"/>
        <v>0</v>
      </c>
      <c r="F177" s="385">
        <f t="shared" si="74"/>
        <v>0</v>
      </c>
      <c r="G177" s="110">
        <f t="shared" si="75"/>
        <v>0</v>
      </c>
      <c r="I177" s="380">
        <f t="shared" si="48"/>
        <v>0</v>
      </c>
      <c r="J177" s="85">
        <v>2018</v>
      </c>
      <c r="K177" s="197">
        <f t="shared" si="49"/>
        <v>43263</v>
      </c>
      <c r="L177" s="438">
        <f t="shared" si="50"/>
        <v>4.3796019336483916E-4</v>
      </c>
      <c r="M177" s="970"/>
      <c r="N177" s="970"/>
      <c r="O177" s="324">
        <f t="shared" si="51"/>
        <v>2.6333108601723693E-3</v>
      </c>
      <c r="P177" s="169">
        <f>(INDEX(Models!$BJ177:$BT177,,T177)*(1-R177)+INDEX(Models!$BJ177:$BT177,,T177+1)*R177-ERP_i)*Q177*Ramure*Pc/MaxiM</f>
        <v>6.8107493642347906E-4</v>
      </c>
      <c r="Q177" s="305">
        <f t="shared" si="52"/>
        <v>0.7</v>
      </c>
      <c r="R177" s="177">
        <f t="shared" si="53"/>
        <v>0.26005844904111708</v>
      </c>
      <c r="S177" s="921">
        <f t="shared" si="70"/>
        <v>-2</v>
      </c>
      <c r="T177" s="176">
        <f t="shared" si="54"/>
        <v>4</v>
      </c>
      <c r="U177" s="251">
        <f t="shared" si="55"/>
        <v>-1.7399415509588829</v>
      </c>
      <c r="V177" s="383">
        <f t="shared" si="56"/>
        <v>58.918052297811698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7">
        <f t="shared" si="62"/>
        <v>2.6333108601723693E-3</v>
      </c>
      <c r="AD177" s="169">
        <f>(INDEX(Models!$BJ177:$BT177,,AH177)*(1-AF177)+INDEX(Models!$BJ177:$BT177,,AH177+1)*AF177-ERP_i)*AE177*Ramure*Pc/MaxiM</f>
        <v>6.8107493642347906E-4</v>
      </c>
      <c r="AE177" s="305">
        <f t="shared" si="63"/>
        <v>0.7</v>
      </c>
      <c r="AF177" s="177">
        <f t="shared" si="64"/>
        <v>0.26005844904111708</v>
      </c>
      <c r="AG177" s="921">
        <f t="shared" si="65"/>
        <v>-2</v>
      </c>
      <c r="AH177" s="176">
        <f t="shared" si="66"/>
        <v>4</v>
      </c>
      <c r="AI177" s="225">
        <f t="shared" si="67"/>
        <v>-1.7399415509588829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1"/>
        <v>43264</v>
      </c>
      <c r="B178" s="620"/>
      <c r="C178" s="390"/>
      <c r="D178" s="393">
        <f t="shared" si="72"/>
        <v>0</v>
      </c>
      <c r="E178" s="385">
        <f t="shared" si="73"/>
        <v>0</v>
      </c>
      <c r="F178" s="385">
        <f t="shared" si="74"/>
        <v>0</v>
      </c>
      <c r="G178" s="110">
        <f t="shared" si="75"/>
        <v>0</v>
      </c>
      <c r="I178" s="380">
        <f t="shared" si="48"/>
        <v>0</v>
      </c>
      <c r="J178" s="85">
        <v>2018</v>
      </c>
      <c r="K178" s="197">
        <f t="shared" si="49"/>
        <v>43264</v>
      </c>
      <c r="L178" s="438">
        <f t="shared" si="50"/>
        <v>4.5985316734498127E-4</v>
      </c>
      <c r="M178" s="970"/>
      <c r="N178" s="970"/>
      <c r="O178" s="324">
        <f t="shared" si="51"/>
        <v>2.765234470215898E-3</v>
      </c>
      <c r="P178" s="169">
        <f>(INDEX(Models!$BJ178:$BT178,,T178)*(1-R178)+INDEX(Models!$BJ178:$BT178,,T178+1)*R178-ERP_i)*Q178*Ramure*Pc/MaxiM</f>
        <v>7.0532970029702337E-4</v>
      </c>
      <c r="Q178" s="305">
        <f t="shared" si="52"/>
        <v>0.7</v>
      </c>
      <c r="R178" s="177">
        <f t="shared" si="53"/>
        <v>0.2651905549943836</v>
      </c>
      <c r="S178" s="921">
        <f t="shared" si="70"/>
        <v>-2</v>
      </c>
      <c r="T178" s="176">
        <f t="shared" si="54"/>
        <v>4</v>
      </c>
      <c r="U178" s="251">
        <f t="shared" si="55"/>
        <v>-1.7348094450056164</v>
      </c>
      <c r="V178" s="383">
        <f t="shared" si="56"/>
        <v>58.844466237421123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7">
        <f t="shared" si="62"/>
        <v>2.765234470215898E-3</v>
      </c>
      <c r="AD178" s="169">
        <f>(INDEX(Models!$BJ178:$BT178,,AH178)*(1-AF178)+INDEX(Models!$BJ178:$BT178,,AH178+1)*AF178-ERP_i)*AE178*Ramure*Pc/MaxiM</f>
        <v>7.0532970029702337E-4</v>
      </c>
      <c r="AE178" s="305">
        <f t="shared" si="63"/>
        <v>0.7</v>
      </c>
      <c r="AF178" s="177">
        <f t="shared" si="64"/>
        <v>0.2651905549943836</v>
      </c>
      <c r="AG178" s="921">
        <f t="shared" si="65"/>
        <v>-2</v>
      </c>
      <c r="AH178" s="176">
        <f t="shared" si="66"/>
        <v>4</v>
      </c>
      <c r="AI178" s="225">
        <f t="shared" si="67"/>
        <v>-1.7348094450056164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43265</v>
      </c>
      <c r="B179" s="620"/>
      <c r="C179" s="390"/>
      <c r="D179" s="393">
        <f t="shared" si="72"/>
        <v>0</v>
      </c>
      <c r="E179" s="385">
        <f t="shared" si="73"/>
        <v>0</v>
      </c>
      <c r="F179" s="385">
        <f t="shared" si="74"/>
        <v>0</v>
      </c>
      <c r="G179" s="110">
        <f t="shared" si="75"/>
        <v>0</v>
      </c>
      <c r="I179" s="380">
        <f t="shared" si="48"/>
        <v>0</v>
      </c>
      <c r="J179" s="85">
        <v>2018</v>
      </c>
      <c r="K179" s="197">
        <f t="shared" si="49"/>
        <v>43265</v>
      </c>
      <c r="L179" s="438">
        <f t="shared" si="50"/>
        <v>4.8174566181280465E-4</v>
      </c>
      <c r="M179" s="970"/>
      <c r="N179" s="970"/>
      <c r="O179" s="324">
        <f t="shared" si="51"/>
        <v>2.897140387847638E-3</v>
      </c>
      <c r="P179" s="169">
        <f>(INDEX(Models!$BJ179:$BT179,,T179)*(1-R179)+INDEX(Models!$BJ179:$BT179,,T179+1)*R179-ERP_i)*Q179*Ramure*Pc/MaxiM</f>
        <v>7.2926229665700652E-4</v>
      </c>
      <c r="Q179" s="305">
        <f t="shared" si="52"/>
        <v>0.7</v>
      </c>
      <c r="R179" s="177">
        <f t="shared" si="53"/>
        <v>0.27030969441220942</v>
      </c>
      <c r="S179" s="921">
        <f t="shared" si="70"/>
        <v>-2</v>
      </c>
      <c r="T179" s="176">
        <f t="shared" si="54"/>
        <v>4</v>
      </c>
      <c r="U179" s="251">
        <f t="shared" si="55"/>
        <v>-1.7296903055877906</v>
      </c>
      <c r="V179" s="383">
        <f t="shared" si="56"/>
        <v>58.766776585678699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7">
        <f t="shared" si="62"/>
        <v>2.897140387847638E-3</v>
      </c>
      <c r="AD179" s="169">
        <f>(INDEX(Models!$BJ179:$BT179,,AH179)*(1-AF179)+INDEX(Models!$BJ179:$BT179,,AH179+1)*AF179-ERP_i)*AE179*Ramure*Pc/MaxiM</f>
        <v>7.2926229665700652E-4</v>
      </c>
      <c r="AE179" s="305">
        <f t="shared" si="63"/>
        <v>0.7</v>
      </c>
      <c r="AF179" s="177">
        <f t="shared" si="64"/>
        <v>0.27030969441220942</v>
      </c>
      <c r="AG179" s="921">
        <f t="shared" si="65"/>
        <v>-2</v>
      </c>
      <c r="AH179" s="176">
        <f t="shared" si="66"/>
        <v>4</v>
      </c>
      <c r="AI179" s="225">
        <f t="shared" si="67"/>
        <v>-1.7296903055877906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1"/>
        <v>43266</v>
      </c>
      <c r="B180" s="620"/>
      <c r="C180" s="390"/>
      <c r="D180" s="393">
        <f t="shared" si="72"/>
        <v>0</v>
      </c>
      <c r="E180" s="385">
        <f t="shared" si="73"/>
        <v>0</v>
      </c>
      <c r="F180" s="385">
        <f t="shared" si="74"/>
        <v>0</v>
      </c>
      <c r="G180" s="110">
        <f t="shared" si="75"/>
        <v>0</v>
      </c>
      <c r="I180" s="380">
        <f t="shared" si="48"/>
        <v>0</v>
      </c>
      <c r="J180" s="85">
        <v>2018</v>
      </c>
      <c r="K180" s="197">
        <f t="shared" si="49"/>
        <v>43266</v>
      </c>
      <c r="L180" s="438">
        <f t="shared" si="50"/>
        <v>5.0363767677874538E-4</v>
      </c>
      <c r="M180" s="970"/>
      <c r="N180" s="970"/>
      <c r="O180" s="324">
        <f t="shared" si="51"/>
        <v>3.029021527571001E-3</v>
      </c>
      <c r="P180" s="169">
        <f>(INDEX(Models!$BJ180:$BT180,,T180)*(1-R180)+INDEX(Models!$BJ180:$BT180,,T180+1)*R180-ERP_i)*Q180*Ramure*Pc/MaxiM</f>
        <v>7.5279979033279645E-4</v>
      </c>
      <c r="Q180" s="305">
        <f t="shared" si="52"/>
        <v>0.7</v>
      </c>
      <c r="R180" s="177">
        <f t="shared" si="53"/>
        <v>0.27541161295934957</v>
      </c>
      <c r="S180" s="921">
        <f t="shared" si="70"/>
        <v>-2</v>
      </c>
      <c r="T180" s="176">
        <f t="shared" si="54"/>
        <v>4</v>
      </c>
      <c r="U180" s="251">
        <f t="shared" si="55"/>
        <v>-1.7245883870406504</v>
      </c>
      <c r="V180" s="383">
        <f t="shared" si="56"/>
        <v>58.685419094227051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7">
        <f t="shared" si="62"/>
        <v>3.029021527571001E-3</v>
      </c>
      <c r="AD180" s="169">
        <f>(INDEX(Models!$BJ180:$BT180,,AH180)*(1-AF180)+INDEX(Models!$BJ180:$BT180,,AH180+1)*AF180-ERP_i)*AE180*Ramure*Pc/MaxiM</f>
        <v>7.5279979033279645E-4</v>
      </c>
      <c r="AE180" s="305">
        <f t="shared" si="63"/>
        <v>0.7</v>
      </c>
      <c r="AF180" s="177">
        <f t="shared" si="64"/>
        <v>0.27541161295934957</v>
      </c>
      <c r="AG180" s="921">
        <f t="shared" si="65"/>
        <v>-2</v>
      </c>
      <c r="AH180" s="176">
        <f t="shared" si="66"/>
        <v>4</v>
      </c>
      <c r="AI180" s="225">
        <f t="shared" si="67"/>
        <v>-1.7245883870406504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43267</v>
      </c>
      <c r="B181" s="620"/>
      <c r="C181" s="390"/>
      <c r="D181" s="393">
        <f t="shared" si="72"/>
        <v>0</v>
      </c>
      <c r="E181" s="385">
        <f t="shared" si="73"/>
        <v>0</v>
      </c>
      <c r="F181" s="385">
        <f t="shared" si="74"/>
        <v>0</v>
      </c>
      <c r="G181" s="110">
        <f t="shared" si="75"/>
        <v>0</v>
      </c>
      <c r="I181" s="380">
        <f t="shared" si="48"/>
        <v>0</v>
      </c>
      <c r="J181" s="85">
        <v>2018</v>
      </c>
      <c r="K181" s="197">
        <f t="shared" si="49"/>
        <v>43267</v>
      </c>
      <c r="L181" s="438">
        <f t="shared" si="50"/>
        <v>5.2552921225346161E-4</v>
      </c>
      <c r="M181" s="970"/>
      <c r="N181" s="970"/>
      <c r="O181" s="324">
        <f t="shared" si="51"/>
        <v>3.1608707187738682E-3</v>
      </c>
      <c r="P181" s="169">
        <f>(INDEX(Models!$BJ181:$BT181,,T181)*(1-R181)+INDEX(Models!$BJ181:$BT181,,T181+1)*R181-ERP_i)*Q181*Ramure*Pc/MaxiM</f>
        <v>7.758677965079378E-4</v>
      </c>
      <c r="Q181" s="305">
        <f t="shared" si="52"/>
        <v>0.7</v>
      </c>
      <c r="R181" s="177">
        <f t="shared" si="53"/>
        <v>0.28049211382962147</v>
      </c>
      <c r="S181" s="921">
        <f t="shared" si="70"/>
        <v>-2</v>
      </c>
      <c r="T181" s="176">
        <f t="shared" si="54"/>
        <v>4</v>
      </c>
      <c r="U181" s="251">
        <f t="shared" si="55"/>
        <v>-1.7195078861703785</v>
      </c>
      <c r="V181" s="383">
        <f t="shared" si="56"/>
        <v>58.600829261425389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7">
        <f t="shared" si="62"/>
        <v>3.1608707187738682E-3</v>
      </c>
      <c r="AD181" s="169">
        <f>(INDEX(Models!$BJ181:$BT181,,AH181)*(1-AF181)+INDEX(Models!$BJ181:$BT181,,AH181+1)*AF181-ERP_i)*AE181*Ramure*Pc/MaxiM</f>
        <v>7.758677965079378E-4</v>
      </c>
      <c r="AE181" s="305">
        <f t="shared" si="63"/>
        <v>0.7</v>
      </c>
      <c r="AF181" s="177">
        <f t="shared" si="64"/>
        <v>0.28049211382962147</v>
      </c>
      <c r="AG181" s="921">
        <f t="shared" si="65"/>
        <v>-2</v>
      </c>
      <c r="AH181" s="176">
        <f t="shared" si="66"/>
        <v>4</v>
      </c>
      <c r="AI181" s="225">
        <f t="shared" si="67"/>
        <v>-1.7195078861703785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43268</v>
      </c>
      <c r="B182" s="620"/>
      <c r="C182" s="390"/>
      <c r="D182" s="393">
        <f t="shared" si="72"/>
        <v>0</v>
      </c>
      <c r="E182" s="385">
        <f t="shared" si="73"/>
        <v>0</v>
      </c>
      <c r="F182" s="385">
        <f t="shared" si="74"/>
        <v>0</v>
      </c>
      <c r="G182" s="110">
        <f t="shared" si="75"/>
        <v>0</v>
      </c>
      <c r="I182" s="380">
        <f t="shared" si="48"/>
        <v>0</v>
      </c>
      <c r="J182" s="85">
        <v>2018</v>
      </c>
      <c r="K182" s="197">
        <f t="shared" si="49"/>
        <v>43268</v>
      </c>
      <c r="L182" s="438">
        <f t="shared" si="50"/>
        <v>5.4742026824727841E-4</v>
      </c>
      <c r="M182" s="970"/>
      <c r="N182" s="970"/>
      <c r="O182" s="324">
        <f t="shared" si="51"/>
        <v>3.2926807399253949E-3</v>
      </c>
      <c r="P182" s="169">
        <f>(INDEX(Models!$BJ182:$BT182,,T182)*(1-R182)+INDEX(Models!$BJ182:$BT182,,T182+1)*R182-ERP_i)*Q182*Ramure*Pc/MaxiM</f>
        <v>7.983907567824999E-4</v>
      </c>
      <c r="Q182" s="305">
        <f t="shared" si="52"/>
        <v>0.7</v>
      </c>
      <c r="R182" s="177">
        <f t="shared" si="53"/>
        <v>0.28554707135928115</v>
      </c>
      <c r="S182" s="921">
        <f t="shared" si="70"/>
        <v>-2</v>
      </c>
      <c r="T182" s="176">
        <f t="shared" si="54"/>
        <v>4</v>
      </c>
      <c r="U182" s="251">
        <f t="shared" si="55"/>
        <v>-1.7144529286407189</v>
      </c>
      <c r="V182" s="383">
        <f t="shared" si="56"/>
        <v>58.513442320613734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7">
        <f t="shared" si="62"/>
        <v>3.2926807399253949E-3</v>
      </c>
      <c r="AD182" s="169">
        <f>(INDEX(Models!$BJ182:$BT182,,AH182)*(1-AF182)+INDEX(Models!$BJ182:$BT182,,AH182+1)*AF182-ERP_i)*AE182*Ramure*Pc/MaxiM</f>
        <v>7.983907567824999E-4</v>
      </c>
      <c r="AE182" s="305">
        <f t="shared" si="63"/>
        <v>0.7</v>
      </c>
      <c r="AF182" s="177">
        <f t="shared" si="64"/>
        <v>0.28554707135928115</v>
      </c>
      <c r="AG182" s="921">
        <f t="shared" si="65"/>
        <v>-2</v>
      </c>
      <c r="AH182" s="176">
        <f t="shared" si="66"/>
        <v>4</v>
      </c>
      <c r="AI182" s="225">
        <f t="shared" si="67"/>
        <v>-1.7144529286407189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43269</v>
      </c>
      <c r="B183" s="620"/>
      <c r="C183" s="390"/>
      <c r="D183" s="393">
        <f t="shared" si="72"/>
        <v>0</v>
      </c>
      <c r="E183" s="385">
        <f t="shared" si="73"/>
        <v>0</v>
      </c>
      <c r="F183" s="385">
        <f t="shared" si="74"/>
        <v>0</v>
      </c>
      <c r="G183" s="110">
        <f t="shared" si="75"/>
        <v>0</v>
      </c>
      <c r="I183" s="380">
        <f t="shared" si="48"/>
        <v>0</v>
      </c>
      <c r="J183" s="85">
        <v>2018</v>
      </c>
      <c r="K183" s="197">
        <f t="shared" si="49"/>
        <v>43269</v>
      </c>
      <c r="L183" s="438">
        <f t="shared" si="50"/>
        <v>5.6931084477085392E-4</v>
      </c>
      <c r="M183" s="970"/>
      <c r="N183" s="970"/>
      <c r="O183" s="324">
        <f t="shared" si="51"/>
        <v>3.4244443528844088E-3</v>
      </c>
      <c r="P183" s="169">
        <f>(INDEX(Models!$BJ183:$BT183,,T183)*(1-R183)+INDEX(Models!$BJ183:$BT183,,T183+1)*R183-ERP_i)*Q183*Ramure*Pc/MaxiM</f>
        <v>8.2029222505193469E-4</v>
      </c>
      <c r="Q183" s="305">
        <f t="shared" si="52"/>
        <v>0.7</v>
      </c>
      <c r="R183" s="177">
        <f t="shared" si="53"/>
        <v>0.29057244414155314</v>
      </c>
      <c r="S183" s="921">
        <f t="shared" si="70"/>
        <v>-2</v>
      </c>
      <c r="T183" s="176">
        <f t="shared" si="54"/>
        <v>4</v>
      </c>
      <c r="U183" s="251">
        <f t="shared" si="55"/>
        <v>-1.7094275558584469</v>
      </c>
      <c r="V183" s="383">
        <f t="shared" si="56"/>
        <v>58.423693213212154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7">
        <f t="shared" si="62"/>
        <v>3.4244443528844088E-3</v>
      </c>
      <c r="AD183" s="169">
        <f>(INDEX(Models!$BJ183:$BT183,,AH183)*(1-AF183)+INDEX(Models!$BJ183:$BT183,,AH183+1)*AF183-ERP_i)*AE183*Ramure*Pc/MaxiM</f>
        <v>8.2029222505193469E-4</v>
      </c>
      <c r="AE183" s="305">
        <f t="shared" si="63"/>
        <v>0.7</v>
      </c>
      <c r="AF183" s="177">
        <f t="shared" si="64"/>
        <v>0.29057244414155314</v>
      </c>
      <c r="AG183" s="921">
        <f t="shared" si="65"/>
        <v>-2</v>
      </c>
      <c r="AH183" s="176">
        <f t="shared" si="66"/>
        <v>4</v>
      </c>
      <c r="AI183" s="225">
        <f t="shared" si="67"/>
        <v>-1.7094275558584469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43270</v>
      </c>
      <c r="B184" s="620"/>
      <c r="C184" s="390"/>
      <c r="D184" s="393">
        <f t="shared" si="72"/>
        <v>0</v>
      </c>
      <c r="E184" s="385">
        <f t="shared" si="73"/>
        <v>0</v>
      </c>
      <c r="F184" s="385">
        <f t="shared" si="74"/>
        <v>0</v>
      </c>
      <c r="G184" s="110">
        <f t="shared" si="75"/>
        <v>0</v>
      </c>
      <c r="I184" s="380">
        <f t="shared" si="48"/>
        <v>0</v>
      </c>
      <c r="J184" s="85">
        <v>2018</v>
      </c>
      <c r="K184" s="197">
        <f t="shared" si="49"/>
        <v>43270</v>
      </c>
      <c r="L184" s="438">
        <f t="shared" si="50"/>
        <v>5.9120094183462424E-4</v>
      </c>
      <c r="M184" s="970"/>
      <c r="N184" s="970"/>
      <c r="O184" s="324">
        <f t="shared" si="51"/>
        <v>3.5561543370605134E-3</v>
      </c>
      <c r="P184" s="169">
        <f>(INDEX(Models!$BJ184:$BT184,,T184)*(1-R184)+INDEX(Models!$BJ184:$BT184,,T184+1)*R184-ERP_i)*Q184*Ramure*Pc/MaxiM</f>
        <v>8.4111507910908162E-4</v>
      </c>
      <c r="Q184" s="305">
        <f t="shared" si="52"/>
        <v>0.7</v>
      </c>
      <c r="R184" s="177">
        <f t="shared" si="53"/>
        <v>0.29556428755596564</v>
      </c>
      <c r="S184" s="921">
        <f t="shared" si="70"/>
        <v>-2</v>
      </c>
      <c r="T184" s="176">
        <f t="shared" si="54"/>
        <v>4</v>
      </c>
      <c r="U184" s="251">
        <f t="shared" si="55"/>
        <v>-1.7044357124440344</v>
      </c>
      <c r="V184" s="383">
        <f t="shared" si="56"/>
        <v>58.332038764712237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7">
        <f t="shared" si="62"/>
        <v>3.5561543370605134E-3</v>
      </c>
      <c r="AD184" s="169">
        <f>(INDEX(Models!$BJ184:$BT184,,AH184)*(1-AF184)+INDEX(Models!$BJ184:$BT184,,AH184+1)*AF184-ERP_i)*AE184*Ramure*Pc/MaxiM</f>
        <v>8.4111507910908162E-4</v>
      </c>
      <c r="AE184" s="305">
        <f t="shared" si="63"/>
        <v>0.7</v>
      </c>
      <c r="AF184" s="177">
        <f t="shared" si="64"/>
        <v>0.29556428755596564</v>
      </c>
      <c r="AG184" s="921">
        <f t="shared" si="65"/>
        <v>-2</v>
      </c>
      <c r="AH184" s="176">
        <f t="shared" si="66"/>
        <v>4</v>
      </c>
      <c r="AI184" s="225">
        <f t="shared" si="67"/>
        <v>-1.7044357124440344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43271</v>
      </c>
      <c r="B185" s="620"/>
      <c r="C185" s="390"/>
      <c r="D185" s="393">
        <f t="shared" si="72"/>
        <v>0</v>
      </c>
      <c r="E185" s="385">
        <f t="shared" si="73"/>
        <v>0</v>
      </c>
      <c r="F185" s="385">
        <f t="shared" si="74"/>
        <v>0</v>
      </c>
      <c r="G185" s="110">
        <f t="shared" si="75"/>
        <v>0</v>
      </c>
      <c r="I185" s="380">
        <f t="shared" si="48"/>
        <v>0</v>
      </c>
      <c r="J185" s="85">
        <v>2018</v>
      </c>
      <c r="K185" s="197">
        <f t="shared" si="49"/>
        <v>43271</v>
      </c>
      <c r="L185" s="438">
        <f t="shared" si="50"/>
        <v>6.1309055944902546E-4</v>
      </c>
      <c r="M185" s="970"/>
      <c r="N185" s="970"/>
      <c r="O185" s="324">
        <f t="shared" si="51"/>
        <v>3.6878035231680986E-3</v>
      </c>
      <c r="P185" s="169">
        <f>(INDEX(Models!$BJ185:$BT185,,T185)*(1-R185)+INDEX(Models!$BJ185:$BT185,,T185+1)*R185-ERP_i)*Q185*Ramure*Pc/MaxiM</f>
        <v>8.6122753258837065E-4</v>
      </c>
      <c r="Q185" s="305">
        <f t="shared" si="52"/>
        <v>0.7</v>
      </c>
      <c r="R185" s="177">
        <f t="shared" si="53"/>
        <v>0.30051876563304791</v>
      </c>
      <c r="S185" s="921">
        <f t="shared" si="70"/>
        <v>-2</v>
      </c>
      <c r="T185" s="176">
        <f t="shared" si="54"/>
        <v>4</v>
      </c>
      <c r="U185" s="251">
        <f t="shared" si="55"/>
        <v>-1.6994812343669521</v>
      </c>
      <c r="V185" s="383">
        <f t="shared" si="56"/>
        <v>58.238887208520772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7">
        <f t="shared" si="62"/>
        <v>3.6878035231680986E-3</v>
      </c>
      <c r="AD185" s="169">
        <f>(INDEX(Models!$BJ185:$BT185,,AH185)*(1-AF185)+INDEX(Models!$BJ185:$BT185,,AH185+1)*AF185-ERP_i)*AE185*Ramure*Pc/MaxiM</f>
        <v>8.6122753258837065E-4</v>
      </c>
      <c r="AE185" s="305">
        <f t="shared" si="63"/>
        <v>0.7</v>
      </c>
      <c r="AF185" s="177">
        <f t="shared" si="64"/>
        <v>0.30051876563304791</v>
      </c>
      <c r="AG185" s="921">
        <f t="shared" si="65"/>
        <v>-2</v>
      </c>
      <c r="AH185" s="176">
        <f t="shared" si="66"/>
        <v>4</v>
      </c>
      <c r="AI185" s="225">
        <f t="shared" si="67"/>
        <v>-1.6994812343669521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43272</v>
      </c>
      <c r="B186" s="620"/>
      <c r="C186" s="390"/>
      <c r="D186" s="393">
        <f t="shared" si="72"/>
        <v>0</v>
      </c>
      <c r="E186" s="385">
        <f t="shared" si="73"/>
        <v>0</v>
      </c>
      <c r="F186" s="385">
        <f t="shared" si="74"/>
        <v>0</v>
      </c>
      <c r="G186" s="110">
        <f t="shared" si="75"/>
        <v>0</v>
      </c>
      <c r="I186" s="380">
        <f t="shared" si="48"/>
        <v>0</v>
      </c>
      <c r="J186" s="85">
        <v>2018</v>
      </c>
      <c r="K186" s="197">
        <f t="shared" si="49"/>
        <v>43272</v>
      </c>
      <c r="L186" s="438">
        <f t="shared" si="50"/>
        <v>6.3497969762471573E-4</v>
      </c>
      <c r="M186" s="970"/>
      <c r="N186" s="970"/>
      <c r="O186" s="324">
        <f t="shared" si="51"/>
        <v>3.8193848263155012E-3</v>
      </c>
      <c r="P186" s="169">
        <f>(INDEX(Models!$BJ186:$BT186,,T186)*(1-R186)+INDEX(Models!$BJ186:$BT186,,T186+1)*R186-ERP_i)*Q186*Ramure*Pc/MaxiM</f>
        <v>8.8055752400886843E-4</v>
      </c>
      <c r="Q186" s="305">
        <f t="shared" si="52"/>
        <v>0.7</v>
      </c>
      <c r="R186" s="177">
        <f t="shared" si="53"/>
        <v>0.30543216218267455</v>
      </c>
      <c r="S186" s="921">
        <f t="shared" si="70"/>
        <v>-2</v>
      </c>
      <c r="T186" s="176">
        <f t="shared" si="54"/>
        <v>4</v>
      </c>
      <c r="U186" s="251">
        <f t="shared" si="55"/>
        <v>-1.6945678378173255</v>
      </c>
      <c r="V186" s="383">
        <f t="shared" si="56"/>
        <v>58.144672220237169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7">
        <f t="shared" si="62"/>
        <v>3.8193848263155012E-3</v>
      </c>
      <c r="AD186" s="169">
        <f>(INDEX(Models!$BJ186:$BT186,,AH186)*(1-AF186)+INDEX(Models!$BJ186:$BT186,,AH186+1)*AF186-ERP_i)*AE186*Ramure*Pc/MaxiM</f>
        <v>8.8055752400886843E-4</v>
      </c>
      <c r="AE186" s="305">
        <f t="shared" si="63"/>
        <v>0.7</v>
      </c>
      <c r="AF186" s="177">
        <f t="shared" si="64"/>
        <v>0.30543216218267455</v>
      </c>
      <c r="AG186" s="921">
        <f t="shared" si="65"/>
        <v>-2</v>
      </c>
      <c r="AH186" s="176">
        <f t="shared" si="66"/>
        <v>4</v>
      </c>
      <c r="AI186" s="225">
        <f t="shared" si="67"/>
        <v>-1.6945678378173255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43273</v>
      </c>
      <c r="B187" s="620"/>
      <c r="C187" s="390"/>
      <c r="D187" s="393">
        <f t="shared" si="72"/>
        <v>0</v>
      </c>
      <c r="E187" s="385">
        <f t="shared" si="73"/>
        <v>0</v>
      </c>
      <c r="F187" s="385">
        <f t="shared" si="74"/>
        <v>0</v>
      </c>
      <c r="G187" s="110">
        <f t="shared" si="75"/>
        <v>0</v>
      </c>
      <c r="I187" s="380">
        <f t="shared" si="48"/>
        <v>0</v>
      </c>
      <c r="J187" s="85">
        <v>2018</v>
      </c>
      <c r="K187" s="197">
        <f t="shared" si="49"/>
        <v>43273</v>
      </c>
      <c r="L187" s="438">
        <f t="shared" si="50"/>
        <v>6.5686835637202012E-4</v>
      </c>
      <c r="M187" s="970"/>
      <c r="N187" s="970"/>
      <c r="O187" s="324">
        <f t="shared" si="51"/>
        <v>3.9508912781754434E-3</v>
      </c>
      <c r="P187" s="169">
        <f>(INDEX(Models!$BJ187:$BT187,,T187)*(1-R187)+INDEX(Models!$BJ187:$BT187,,T187+1)*R187-ERP_i)*Q187*Ramure*Pc/MaxiM</f>
        <v>8.9903328418810397E-4</v>
      </c>
      <c r="Q187" s="305">
        <f t="shared" si="52"/>
        <v>0.7</v>
      </c>
      <c r="R187" s="177">
        <f t="shared" si="53"/>
        <v>0.31030089112276227</v>
      </c>
      <c r="S187" s="921">
        <f t="shared" si="70"/>
        <v>-2</v>
      </c>
      <c r="T187" s="176">
        <f t="shared" si="54"/>
        <v>4</v>
      </c>
      <c r="U187" s="251">
        <f t="shared" si="55"/>
        <v>-1.6896991088772377</v>
      </c>
      <c r="V187" s="383">
        <f t="shared" si="56"/>
        <v>58.049827119183718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7">
        <f t="shared" si="62"/>
        <v>3.9508912781754434E-3</v>
      </c>
      <c r="AD187" s="169">
        <f>(INDEX(Models!$BJ187:$BT187,,AH187)*(1-AF187)+INDEX(Models!$BJ187:$BT187,,AH187+1)*AF187-ERP_i)*AE187*Ramure*Pc/MaxiM</f>
        <v>8.9903328418810397E-4</v>
      </c>
      <c r="AE187" s="305">
        <f t="shared" si="63"/>
        <v>0.7</v>
      </c>
      <c r="AF187" s="177">
        <f t="shared" si="64"/>
        <v>0.31030089112276227</v>
      </c>
      <c r="AG187" s="921">
        <f t="shared" si="65"/>
        <v>-2</v>
      </c>
      <c r="AH187" s="176">
        <f t="shared" si="66"/>
        <v>4</v>
      </c>
      <c r="AI187" s="225">
        <f t="shared" si="67"/>
        <v>-1.6896991088772377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1"/>
        <v>43274</v>
      </c>
      <c r="B188" s="620"/>
      <c r="C188" s="390"/>
      <c r="D188" s="393">
        <f t="shared" si="72"/>
        <v>0</v>
      </c>
      <c r="E188" s="385">
        <f t="shared" si="73"/>
        <v>0</v>
      </c>
      <c r="F188" s="385">
        <f t="shared" si="74"/>
        <v>0</v>
      </c>
      <c r="G188" s="110">
        <f t="shared" si="75"/>
        <v>0</v>
      </c>
      <c r="I188" s="380">
        <f t="shared" si="48"/>
        <v>0</v>
      </c>
      <c r="J188" s="85">
        <v>2018</v>
      </c>
      <c r="K188" s="197">
        <f t="shared" si="49"/>
        <v>43274</v>
      </c>
      <c r="L188" s="438">
        <f t="shared" si="50"/>
        <v>6.7875653570159677E-4</v>
      </c>
      <c r="M188" s="970"/>
      <c r="N188" s="970"/>
      <c r="O188" s="324">
        <f t="shared" si="51"/>
        <v>4.0823160579902236E-3</v>
      </c>
      <c r="P188" s="169">
        <f>(INDEX(Models!$BJ188:$BT188,,T188)*(1-R188)+INDEX(Models!$BJ188:$BT188,,T188+1)*R188-ERP_i)*Q188*Ramure*Pc/MaxiM</f>
        <v>9.1657424103331036E-4</v>
      </c>
      <c r="Q188" s="305">
        <f t="shared" si="52"/>
        <v>0.7</v>
      </c>
      <c r="R188" s="177">
        <f t="shared" si="53"/>
        <v>0.31512150595398425</v>
      </c>
      <c r="S188" s="921">
        <f t="shared" si="70"/>
        <v>-2</v>
      </c>
      <c r="T188" s="176">
        <f t="shared" si="54"/>
        <v>4</v>
      </c>
      <c r="U188" s="251">
        <f t="shared" si="55"/>
        <v>-1.6848784940460158</v>
      </c>
      <c r="V188" s="383">
        <f t="shared" si="56"/>
        <v>57.954785398063663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7">
        <f t="shared" si="62"/>
        <v>4.0823160579902236E-3</v>
      </c>
      <c r="AD188" s="169">
        <f>(INDEX(Models!$BJ188:$BT188,,AH188)*(1-AF188)+INDEX(Models!$BJ188:$BT188,,AH188+1)*AF188-ERP_i)*AE188*Ramure*Pc/MaxiM</f>
        <v>9.1657424103331036E-4</v>
      </c>
      <c r="AE188" s="305">
        <f t="shared" si="63"/>
        <v>0.7</v>
      </c>
      <c r="AF188" s="177">
        <f t="shared" si="64"/>
        <v>0.31512150595398425</v>
      </c>
      <c r="AG188" s="921">
        <f t="shared" si="65"/>
        <v>-2</v>
      </c>
      <c r="AH188" s="176">
        <f t="shared" si="66"/>
        <v>4</v>
      </c>
      <c r="AI188" s="225">
        <f t="shared" si="67"/>
        <v>-1.6848784940460158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43275</v>
      </c>
      <c r="B189" s="620"/>
      <c r="C189" s="390"/>
      <c r="D189" s="393">
        <f t="shared" si="72"/>
        <v>0</v>
      </c>
      <c r="E189" s="385">
        <f t="shared" si="73"/>
        <v>0</v>
      </c>
      <c r="F189" s="385">
        <f t="shared" si="74"/>
        <v>0</v>
      </c>
      <c r="G189" s="110">
        <f t="shared" si="75"/>
        <v>0</v>
      </c>
      <c r="I189" s="380">
        <f t="shared" si="48"/>
        <v>0</v>
      </c>
      <c r="J189" s="85">
        <v>2018</v>
      </c>
      <c r="K189" s="197">
        <f t="shared" si="49"/>
        <v>43275</v>
      </c>
      <c r="L189" s="438">
        <f t="shared" si="50"/>
        <v>7.0064423562377076E-4</v>
      </c>
      <c r="M189" s="970"/>
      <c r="N189" s="970"/>
      <c r="O189" s="324">
        <f t="shared" si="51"/>
        <v>4.2136525221742188E-3</v>
      </c>
      <c r="P189" s="169">
        <f>(INDEX(Models!$BJ189:$BT189,,T189)*(1-R189)+INDEX(Models!$BJ189:$BT189,,T189+1)*R189-ERP_i)*Q189*Ramure*Pc/MaxiM</f>
        <v>9.3309948422030389E-4</v>
      </c>
      <c r="Q189" s="305">
        <f t="shared" si="52"/>
        <v>0.7</v>
      </c>
      <c r="R189" s="177">
        <f t="shared" si="53"/>
        <v>0.31989070833552669</v>
      </c>
      <c r="S189" s="921">
        <f t="shared" si="70"/>
        <v>-2</v>
      </c>
      <c r="T189" s="176">
        <f t="shared" si="54"/>
        <v>4</v>
      </c>
      <c r="U189" s="251">
        <f t="shared" si="55"/>
        <v>-1.6801092916644733</v>
      </c>
      <c r="V189" s="383">
        <f t="shared" si="56"/>
        <v>57.859980229093267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7">
        <f t="shared" si="62"/>
        <v>4.2136525221742188E-3</v>
      </c>
      <c r="AD189" s="169">
        <f>(INDEX(Models!$BJ189:$BT189,,AH189)*(1-AF189)+INDEX(Models!$BJ189:$BT189,,AH189+1)*AF189-ERP_i)*AE189*Ramure*Pc/MaxiM</f>
        <v>9.3309948422030389E-4</v>
      </c>
      <c r="AE189" s="305">
        <f t="shared" si="63"/>
        <v>0.7</v>
      </c>
      <c r="AF189" s="177">
        <f t="shared" si="64"/>
        <v>0.31989070833552669</v>
      </c>
      <c r="AG189" s="921">
        <f t="shared" si="65"/>
        <v>-2</v>
      </c>
      <c r="AH189" s="176">
        <f t="shared" si="66"/>
        <v>4</v>
      </c>
      <c r="AI189" s="225">
        <f t="shared" si="67"/>
        <v>-1.6801092916644733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43276</v>
      </c>
      <c r="B190" s="620"/>
      <c r="C190" s="390"/>
      <c r="D190" s="393">
        <f t="shared" si="72"/>
        <v>0</v>
      </c>
      <c r="E190" s="385">
        <f t="shared" si="73"/>
        <v>0</v>
      </c>
      <c r="F190" s="385">
        <f t="shared" si="74"/>
        <v>0</v>
      </c>
      <c r="G190" s="110">
        <f t="shared" si="75"/>
        <v>0</v>
      </c>
      <c r="I190" s="380">
        <f t="shared" si="48"/>
        <v>0</v>
      </c>
      <c r="J190" s="85">
        <v>2018</v>
      </c>
      <c r="K190" s="197">
        <f t="shared" si="49"/>
        <v>43276</v>
      </c>
      <c r="L190" s="438">
        <f t="shared" si="50"/>
        <v>7.2253145614920022E-4</v>
      </c>
      <c r="M190" s="970"/>
      <c r="N190" s="970"/>
      <c r="O190" s="324">
        <f t="shared" si="51"/>
        <v>4.3448942322881767E-3</v>
      </c>
      <c r="P190" s="169">
        <f>(INDEX(Models!$BJ190:$BT190,,T190)*(1-R190)+INDEX(Models!$BJ190:$BT190,,T190+1)*R190-ERP_i)*Q190*Ramure*Pc/MaxiM</f>
        <v>9.4853805819574029E-4</v>
      </c>
      <c r="Q190" s="305">
        <f t="shared" si="52"/>
        <v>0.7</v>
      </c>
      <c r="R190" s="177">
        <f t="shared" si="53"/>
        <v>0.32460535572650251</v>
      </c>
      <c r="S190" s="921">
        <f t="shared" si="70"/>
        <v>-2</v>
      </c>
      <c r="T190" s="176">
        <f t="shared" si="54"/>
        <v>4</v>
      </c>
      <c r="U190" s="251">
        <f t="shared" si="55"/>
        <v>-1.6753946442734975</v>
      </c>
      <c r="V190" s="383">
        <f t="shared" si="56"/>
        <v>57.765843873644776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7">
        <f t="shared" si="62"/>
        <v>4.3448942322881767E-3</v>
      </c>
      <c r="AD190" s="169">
        <f>(INDEX(Models!$BJ190:$BT190,,AH190)*(1-AF190)+INDEX(Models!$BJ190:$BT190,,AH190+1)*AF190-ERP_i)*AE190*Ramure*Pc/MaxiM</f>
        <v>9.4853805819574029E-4</v>
      </c>
      <c r="AE190" s="305">
        <f t="shared" si="63"/>
        <v>0.7</v>
      </c>
      <c r="AF190" s="177">
        <f t="shared" si="64"/>
        <v>0.32460535572650251</v>
      </c>
      <c r="AG190" s="921">
        <f t="shared" si="65"/>
        <v>-2</v>
      </c>
      <c r="AH190" s="176">
        <f t="shared" si="66"/>
        <v>4</v>
      </c>
      <c r="AI190" s="225">
        <f t="shared" si="67"/>
        <v>-1.6753946442734975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43277</v>
      </c>
      <c r="B191" s="620"/>
      <c r="C191" s="390"/>
      <c r="D191" s="393">
        <f t="shared" si="72"/>
        <v>0</v>
      </c>
      <c r="E191" s="385">
        <f t="shared" si="73"/>
        <v>0</v>
      </c>
      <c r="F191" s="385">
        <f t="shared" si="74"/>
        <v>0</v>
      </c>
      <c r="G191" s="110">
        <f t="shared" si="75"/>
        <v>0</v>
      </c>
      <c r="I191" s="380">
        <f t="shared" si="48"/>
        <v>0</v>
      </c>
      <c r="J191" s="85">
        <v>2018</v>
      </c>
      <c r="K191" s="197">
        <f t="shared" si="49"/>
        <v>43277</v>
      </c>
      <c r="L191" s="438">
        <f t="shared" si="50"/>
        <v>7.4441819728832126E-4</v>
      </c>
      <c r="M191" s="970"/>
      <c r="N191" s="970"/>
      <c r="O191" s="324">
        <f t="shared" si="51"/>
        <v>4.4760349811736972E-3</v>
      </c>
      <c r="P191" s="169">
        <f>(INDEX(Models!$BJ191:$BT191,,T191)*(1-R191)+INDEX(Models!$BJ191:$BT191,,T191+1)*R191-ERP_i)*Q191*Ramure*Pc/MaxiM</f>
        <v>9.6283834714740017E-4</v>
      </c>
      <c r="Q191" s="305">
        <f t="shared" si="52"/>
        <v>0.7</v>
      </c>
      <c r="R191" s="177">
        <f t="shared" si="53"/>
        <v>0.32926246806733461</v>
      </c>
      <c r="S191" s="921">
        <f t="shared" si="70"/>
        <v>-2</v>
      </c>
      <c r="T191" s="176">
        <f t="shared" si="54"/>
        <v>4</v>
      </c>
      <c r="U191" s="251">
        <f t="shared" si="55"/>
        <v>-1.6707375319326654</v>
      </c>
      <c r="V191" s="383">
        <f t="shared" si="56"/>
        <v>57.671736902078749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7">
        <f t="shared" si="62"/>
        <v>4.4760349811736972E-3</v>
      </c>
      <c r="AD191" s="169">
        <f>(INDEX(Models!$BJ191:$BT191,,AH191)*(1-AF191)+INDEX(Models!$BJ191:$BT191,,AH191+1)*AF191-ERP_i)*AE191*Ramure*Pc/MaxiM</f>
        <v>9.6283834714740017E-4</v>
      </c>
      <c r="AE191" s="305">
        <f t="shared" si="63"/>
        <v>0.7</v>
      </c>
      <c r="AF191" s="177">
        <f t="shared" si="64"/>
        <v>0.32926246806733461</v>
      </c>
      <c r="AG191" s="921">
        <f t="shared" si="65"/>
        <v>-2</v>
      </c>
      <c r="AH191" s="176">
        <f t="shared" si="66"/>
        <v>4</v>
      </c>
      <c r="AI191" s="225">
        <f t="shared" si="67"/>
        <v>-1.6707375319326654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1"/>
        <v>43278</v>
      </c>
      <c r="B192" s="620"/>
      <c r="C192" s="390"/>
      <c r="D192" s="393">
        <f t="shared" si="72"/>
        <v>0</v>
      </c>
      <c r="E192" s="385">
        <f t="shared" si="73"/>
        <v>0</v>
      </c>
      <c r="F192" s="385">
        <f t="shared" si="74"/>
        <v>0</v>
      </c>
      <c r="G192" s="110">
        <f t="shared" si="75"/>
        <v>0</v>
      </c>
      <c r="I192" s="380">
        <f t="shared" si="48"/>
        <v>0</v>
      </c>
      <c r="J192" s="85">
        <v>2018</v>
      </c>
      <c r="K192" s="197">
        <f t="shared" si="49"/>
        <v>43278</v>
      </c>
      <c r="L192" s="438">
        <f t="shared" si="50"/>
        <v>7.6630445905168099E-4</v>
      </c>
      <c r="M192" s="970"/>
      <c r="N192" s="970"/>
      <c r="O192" s="324">
        <f t="shared" si="51"/>
        <v>4.6070688170530135E-3</v>
      </c>
      <c r="P192" s="169">
        <f>(INDEX(Models!$BJ192:$BT192,,T192)*(1-R192)+INDEX(Models!$BJ192:$BT192,,T192+1)*R192-ERP_i)*Q192*Ramure*Pc/MaxiM</f>
        <v>9.7541848237021867E-4</v>
      </c>
      <c r="Q192" s="305">
        <f t="shared" si="52"/>
        <v>0.7</v>
      </c>
      <c r="R192" s="177">
        <f t="shared" si="53"/>
        <v>0.33385923348505187</v>
      </c>
      <c r="S192" s="921">
        <f t="shared" si="70"/>
        <v>-2</v>
      </c>
      <c r="T192" s="176">
        <f t="shared" si="54"/>
        <v>4</v>
      </c>
      <c r="U192" s="251">
        <f t="shared" si="55"/>
        <v>-1.6661407665149481</v>
      </c>
      <c r="V192" s="383">
        <f t="shared" si="56"/>
        <v>57.5767654902332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7">
        <f t="shared" si="62"/>
        <v>4.6070688170530135E-3</v>
      </c>
      <c r="AD192" s="169">
        <f>(INDEX(Models!$BJ192:$BT192,,AH192)*(1-AF192)+INDEX(Models!$BJ192:$BT192,,AH192+1)*AF192-ERP_i)*AE192*Ramure*Pc/MaxiM</f>
        <v>9.7541848237021867E-4</v>
      </c>
      <c r="AE192" s="305">
        <f t="shared" si="63"/>
        <v>0.7</v>
      </c>
      <c r="AF192" s="177">
        <f t="shared" si="64"/>
        <v>0.33385923348505187</v>
      </c>
      <c r="AG192" s="921">
        <f t="shared" si="65"/>
        <v>-2</v>
      </c>
      <c r="AH192" s="176">
        <f t="shared" si="66"/>
        <v>4</v>
      </c>
      <c r="AI192" s="225">
        <f t="shared" si="67"/>
        <v>-1.6661407665149481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43279</v>
      </c>
      <c r="B193" s="620"/>
      <c r="C193" s="390"/>
      <c r="D193" s="393">
        <f t="shared" si="72"/>
        <v>0</v>
      </c>
      <c r="E193" s="385">
        <f t="shared" si="73"/>
        <v>0</v>
      </c>
      <c r="F193" s="385">
        <f t="shared" si="74"/>
        <v>0</v>
      </c>
      <c r="G193" s="110">
        <f t="shared" si="75"/>
        <v>0</v>
      </c>
      <c r="I193" s="380">
        <f t="shared" si="48"/>
        <v>0</v>
      </c>
      <c r="J193" s="85">
        <v>2018</v>
      </c>
      <c r="K193" s="197">
        <f t="shared" si="49"/>
        <v>43279</v>
      </c>
      <c r="L193" s="438">
        <f t="shared" si="50"/>
        <v>7.881902414497155E-4</v>
      </c>
      <c r="M193" s="970"/>
      <c r="N193" s="970"/>
      <c r="O193" s="324">
        <f t="shared" si="51"/>
        <v>4.73799006541702E-3</v>
      </c>
      <c r="P193" s="169">
        <f>(INDEX(Models!$BJ193:$BT193,,T193)*(1-R193)+INDEX(Models!$BJ193:$BT193,,T193+1)*R193-ERP_i)*Q193*Ramure*Pc/MaxiM</f>
        <v>9.8664573103760217E-4</v>
      </c>
      <c r="Q193" s="305">
        <f t="shared" si="52"/>
        <v>0.7</v>
      </c>
      <c r="R193" s="177">
        <f t="shared" si="53"/>
        <v>0.33839301301588143</v>
      </c>
      <c r="S193" s="921">
        <f t="shared" si="70"/>
        <v>-2</v>
      </c>
      <c r="T193" s="176">
        <f t="shared" si="54"/>
        <v>4</v>
      </c>
      <c r="U193" s="251">
        <f t="shared" si="55"/>
        <v>-1.6616069869841186</v>
      </c>
      <c r="V193" s="383">
        <f t="shared" si="56"/>
        <v>57.480908814912027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7">
        <f t="shared" si="62"/>
        <v>4.73799006541702E-3</v>
      </c>
      <c r="AD193" s="169">
        <f>(INDEX(Models!$BJ193:$BT193,,AH193)*(1-AF193)+INDEX(Models!$BJ193:$BT193,,AH193+1)*AF193-ERP_i)*AE193*Ramure*Pc/MaxiM</f>
        <v>9.8664573103760217E-4</v>
      </c>
      <c r="AE193" s="305">
        <f t="shared" si="63"/>
        <v>0.7</v>
      </c>
      <c r="AF193" s="177">
        <f t="shared" si="64"/>
        <v>0.33839301301588143</v>
      </c>
      <c r="AG193" s="921">
        <f t="shared" si="65"/>
        <v>-2</v>
      </c>
      <c r="AH193" s="176">
        <f t="shared" si="66"/>
        <v>4</v>
      </c>
      <c r="AI193" s="225">
        <f t="shared" si="67"/>
        <v>-1.6616069869841186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1"/>
        <v>43280</v>
      </c>
      <c r="B194" s="620"/>
      <c r="C194" s="390"/>
      <c r="D194" s="393">
        <f t="shared" si="72"/>
        <v>0</v>
      </c>
      <c r="E194" s="385">
        <f t="shared" si="73"/>
        <v>0</v>
      </c>
      <c r="F194" s="385">
        <f t="shared" si="74"/>
        <v>0</v>
      </c>
      <c r="G194" s="110">
        <f t="shared" si="75"/>
        <v>0</v>
      </c>
      <c r="I194" s="380">
        <f t="shared" si="48"/>
        <v>0</v>
      </c>
      <c r="J194" s="85">
        <v>2018</v>
      </c>
      <c r="K194" s="197">
        <f t="shared" si="49"/>
        <v>43280</v>
      </c>
      <c r="L194" s="438">
        <f t="shared" si="50"/>
        <v>8.100755444928609E-4</v>
      </c>
      <c r="M194" s="970"/>
      <c r="N194" s="970"/>
      <c r="O194" s="324">
        <f t="shared" si="51"/>
        <v>4.8687933485448438E-3</v>
      </c>
      <c r="P194" s="169">
        <f>(INDEX(Models!$BJ194:$BT194,,T194)*(1-R194)+INDEX(Models!$BJ194:$BT194,,T194+1)*R194-ERP_i)*Q194*Ramure*Pc/MaxiM</f>
        <v>9.9646116287951253E-4</v>
      </c>
      <c r="Q194" s="305">
        <f t="shared" si="52"/>
        <v>0.7</v>
      </c>
      <c r="R194" s="177">
        <f t="shared" si="53"/>
        <v>0.34286134434765358</v>
      </c>
      <c r="S194" s="921">
        <f t="shared" si="70"/>
        <v>-2</v>
      </c>
      <c r="T194" s="176">
        <f t="shared" si="54"/>
        <v>4</v>
      </c>
      <c r="U194" s="251">
        <f t="shared" si="55"/>
        <v>-1.6571386556523464</v>
      </c>
      <c r="V194" s="383">
        <f t="shared" si="56"/>
        <v>57.384170644290073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7">
        <f t="shared" si="62"/>
        <v>4.8687933485448438E-3</v>
      </c>
      <c r="AD194" s="169">
        <f>(INDEX(Models!$BJ194:$BT194,,AH194)*(1-AF194)+INDEX(Models!$BJ194:$BT194,,AH194+1)*AF194-ERP_i)*AE194*Ramure*Pc/MaxiM</f>
        <v>9.9646116287951253E-4</v>
      </c>
      <c r="AE194" s="305">
        <f t="shared" si="63"/>
        <v>0.7</v>
      </c>
      <c r="AF194" s="177">
        <f t="shared" si="64"/>
        <v>0.34286134434765358</v>
      </c>
      <c r="AG194" s="921">
        <f t="shared" si="65"/>
        <v>-2</v>
      </c>
      <c r="AH194" s="176">
        <f t="shared" si="66"/>
        <v>4</v>
      </c>
      <c r="AI194" s="225">
        <f t="shared" si="67"/>
        <v>-1.6571386556523464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1"/>
        <v>43281</v>
      </c>
      <c r="B195" s="620"/>
      <c r="C195" s="390"/>
      <c r="D195" s="393">
        <f t="shared" si="72"/>
        <v>0</v>
      </c>
      <c r="E195" s="385">
        <f t="shared" si="73"/>
        <v>0</v>
      </c>
      <c r="F195" s="385">
        <f t="shared" si="74"/>
        <v>0</v>
      </c>
      <c r="G195" s="110">
        <f t="shared" si="75"/>
        <v>0</v>
      </c>
      <c r="I195" s="380">
        <f t="shared" si="48"/>
        <v>0</v>
      </c>
      <c r="J195" s="85">
        <v>2018</v>
      </c>
      <c r="K195" s="197">
        <f t="shared" si="49"/>
        <v>43281</v>
      </c>
      <c r="L195" s="438">
        <f t="shared" si="50"/>
        <v>8.3196036819188635E-4</v>
      </c>
      <c r="M195" s="970"/>
      <c r="N195" s="970"/>
      <c r="O195" s="324">
        <f t="shared" si="51"/>
        <v>4.9994736025200772E-3</v>
      </c>
      <c r="P195" s="169">
        <f>(INDEX(Models!$BJ195:$BT195,,T195)*(1-R195)+INDEX(Models!$BJ195:$BT195,,T195+1)*R195-ERP_i)*Q195*Ramure*Pc/MaxiM</f>
        <v>1.0048083907813969E-3</v>
      </c>
      <c r="Q195" s="305">
        <f t="shared" si="52"/>
        <v>0.7</v>
      </c>
      <c r="R195" s="177">
        <f t="shared" si="53"/>
        <v>0.34726194459320925</v>
      </c>
      <c r="S195" s="921">
        <f t="shared" si="70"/>
        <v>-2</v>
      </c>
      <c r="T195" s="176">
        <f t="shared" si="54"/>
        <v>4</v>
      </c>
      <c r="U195" s="251">
        <f t="shared" si="55"/>
        <v>-1.6527380554067908</v>
      </c>
      <c r="V195" s="383">
        <f t="shared" si="56"/>
        <v>57.286554550799693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7">
        <f t="shared" si="62"/>
        <v>4.9994736025200772E-3</v>
      </c>
      <c r="AD195" s="169">
        <f>(INDEX(Models!$BJ195:$BT195,,AH195)*(1-AF195)+INDEX(Models!$BJ195:$BT195,,AH195+1)*AF195-ERP_i)*AE195*Ramure*Pc/MaxiM</f>
        <v>1.0048083907813969E-3</v>
      </c>
      <c r="AE195" s="305">
        <f t="shared" si="63"/>
        <v>0.7</v>
      </c>
      <c r="AF195" s="177">
        <f t="shared" si="64"/>
        <v>0.34726194459320925</v>
      </c>
      <c r="AG195" s="921">
        <f t="shared" si="65"/>
        <v>-2</v>
      </c>
      <c r="AH195" s="176">
        <f t="shared" si="66"/>
        <v>4</v>
      </c>
      <c r="AI195" s="225">
        <f t="shared" si="67"/>
        <v>-1.6527380554067908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1"/>
        <v>43282</v>
      </c>
      <c r="B196" s="620"/>
      <c r="C196" s="390"/>
      <c r="D196" s="393">
        <f t="shared" si="72"/>
        <v>0</v>
      </c>
      <c r="E196" s="385">
        <f t="shared" si="73"/>
        <v>0</v>
      </c>
      <c r="F196" s="385">
        <f t="shared" si="74"/>
        <v>0</v>
      </c>
      <c r="G196" s="110">
        <f t="shared" si="75"/>
        <v>0</v>
      </c>
      <c r="I196" s="380">
        <f t="shared" si="48"/>
        <v>0</v>
      </c>
      <c r="J196" s="85">
        <v>2018</v>
      </c>
      <c r="K196" s="197">
        <f t="shared" si="49"/>
        <v>43282</v>
      </c>
      <c r="L196" s="438">
        <f t="shared" si="50"/>
        <v>8.5384471255689487E-4</v>
      </c>
      <c r="M196" s="970"/>
      <c r="N196" s="970"/>
      <c r="O196" s="324">
        <f t="shared" si="51"/>
        <v>5.1300260916320008E-3</v>
      </c>
      <c r="P196" s="169">
        <f>(INDEX(Models!$BJ196:$BT196,,T196)*(1-R196)+INDEX(Models!$BJ196:$BT196,,T196+1)*R196-ERP_i)*Q196*Ramure*Pc/MaxiM</f>
        <v>1.0116336637965655E-3</v>
      </c>
      <c r="Q196" s="305">
        <f t="shared" si="52"/>
        <v>0.7</v>
      </c>
      <c r="R196" s="177">
        <f t="shared" si="53"/>
        <v>0.35159271211415222</v>
      </c>
      <c r="S196" s="921">
        <f t="shared" si="70"/>
        <v>-2</v>
      </c>
      <c r="T196" s="176">
        <f t="shared" si="54"/>
        <v>4</v>
      </c>
      <c r="U196" s="251">
        <f t="shared" si="55"/>
        <v>-1.6484072878858478</v>
      </c>
      <c r="V196" s="383">
        <f t="shared" si="56"/>
        <v>57.188063903551054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7">
        <f t="shared" si="62"/>
        <v>5.1300260916320008E-3</v>
      </c>
      <c r="AD196" s="169">
        <f>(INDEX(Models!$BJ196:$BT196,,AH196)*(1-AF196)+INDEX(Models!$BJ196:$BT196,,AH196+1)*AF196-ERP_i)*AE196*Ramure*Pc/MaxiM</f>
        <v>1.0116336637965655E-3</v>
      </c>
      <c r="AE196" s="305">
        <f t="shared" si="63"/>
        <v>0.7</v>
      </c>
      <c r="AF196" s="177">
        <f t="shared" si="64"/>
        <v>0.35159271211415222</v>
      </c>
      <c r="AG196" s="921">
        <f t="shared" si="65"/>
        <v>-2</v>
      </c>
      <c r="AH196" s="176">
        <f t="shared" si="66"/>
        <v>4</v>
      </c>
      <c r="AI196" s="225">
        <f t="shared" si="67"/>
        <v>-1.6484072878858478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1"/>
        <v>43283</v>
      </c>
      <c r="B197" s="620">
        <v>5.8369999999999997</v>
      </c>
      <c r="C197" s="390"/>
      <c r="D197" s="393">
        <f t="shared" ref="D197:D206" si="76">Wh/(1-Ppv)</f>
        <v>5.842116108029451</v>
      </c>
      <c r="E197" s="385">
        <f t="shared" ref="E197:E232" si="77">Wh_pvt/(1-Psa)</f>
        <v>5.8730107664910953</v>
      </c>
      <c r="F197" s="385">
        <f t="shared" ref="F197:F228" si="78">Wh_sa/(1-Pvg*MEDIAN((-Sdif+Wh/Env_an)/Csdif,0,1))</f>
        <v>5.8730107664910953</v>
      </c>
      <c r="G197" s="110">
        <f t="shared" ref="G197:G232" si="79">+Wh_hp/MaxiM</f>
        <v>0.10214042790024766</v>
      </c>
      <c r="I197" s="380">
        <f t="shared" si="48"/>
        <v>5.8730107664910953</v>
      </c>
      <c r="J197" s="85">
        <v>2018</v>
      </c>
      <c r="K197" s="197">
        <f t="shared" si="49"/>
        <v>43283</v>
      </c>
      <c r="L197" s="438">
        <f t="shared" si="50"/>
        <v>8.7572857759876666E-4</v>
      </c>
      <c r="M197" s="970"/>
      <c r="N197" s="970"/>
      <c r="O197" s="324">
        <f t="shared" si="51"/>
        <v>5.2604464200740747E-3</v>
      </c>
      <c r="P197" s="169">
        <f>(INDEX(Models!$BJ197:$BT197,,T197)*(1-R197)+INDEX(Models!$BJ197:$BT197,,T197+1)*R197-ERP_i)*Q197*Ramure*Pc/MaxiM</f>
        <v>1.0168859358867116E-3</v>
      </c>
      <c r="Q197" s="305">
        <f t="shared" si="52"/>
        <v>0.7</v>
      </c>
      <c r="R197" s="177">
        <f t="shared" si="53"/>
        <v>0.35585172742181292</v>
      </c>
      <c r="S197" s="921">
        <f t="shared" si="70"/>
        <v>-2</v>
      </c>
      <c r="T197" s="176">
        <f t="shared" si="54"/>
        <v>4</v>
      </c>
      <c r="U197" s="251">
        <f t="shared" si="55"/>
        <v>-1.6441482725781871</v>
      </c>
      <c r="V197" s="383">
        <f t="shared" si="56"/>
        <v>57.088701865308032</v>
      </c>
      <c r="W197" s="58"/>
      <c r="X197" s="157">
        <f t="shared" si="57"/>
        <v>43283</v>
      </c>
      <c r="Y197" s="385">
        <f t="shared" si="58"/>
        <v>5.8369999999999997</v>
      </c>
      <c r="Z197" s="385">
        <f t="shared" si="59"/>
        <v>5.842116108029451</v>
      </c>
      <c r="AA197" s="386">
        <f t="shared" si="60"/>
        <v>5.8730107664910953</v>
      </c>
      <c r="AB197" s="197">
        <f t="shared" si="61"/>
        <v>43283</v>
      </c>
      <c r="AC197" s="427">
        <f t="shared" si="62"/>
        <v>5.2604464200740747E-3</v>
      </c>
      <c r="AD197" s="169">
        <f>(INDEX(Models!$BJ197:$BT197,,AH197)*(1-AF197)+INDEX(Models!$BJ197:$BT197,,AH197+1)*AF197-ERP_i)*AE197*Ramure*Pc/MaxiM</f>
        <v>1.0168859358867116E-3</v>
      </c>
      <c r="AE197" s="305">
        <f t="shared" si="63"/>
        <v>0.7</v>
      </c>
      <c r="AF197" s="177">
        <f t="shared" si="64"/>
        <v>0.35585172742181292</v>
      </c>
      <c r="AG197" s="921">
        <f t="shared" si="65"/>
        <v>-2</v>
      </c>
      <c r="AH197" s="176">
        <f t="shared" si="66"/>
        <v>4</v>
      </c>
      <c r="AI197" s="225">
        <f t="shared" si="67"/>
        <v>-1.6441482725781871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1"/>
        <v>43284</v>
      </c>
      <c r="B198" s="620">
        <v>48.012999999999998</v>
      </c>
      <c r="C198" s="390"/>
      <c r="D198" s="393">
        <f t="shared" si="76"/>
        <v>48.056135762371603</v>
      </c>
      <c r="E198" s="385">
        <f t="shared" si="77"/>
        <v>48.316597520255335</v>
      </c>
      <c r="F198" s="385">
        <f t="shared" si="78"/>
        <v>48.354828805513115</v>
      </c>
      <c r="G198" s="110">
        <f t="shared" si="79"/>
        <v>0.84230991003789135</v>
      </c>
      <c r="I198" s="380">
        <f t="shared" si="48"/>
        <v>48.354828805513115</v>
      </c>
      <c r="J198" s="85">
        <v>2018</v>
      </c>
      <c r="K198" s="197">
        <f t="shared" si="49"/>
        <v>43284</v>
      </c>
      <c r="L198" s="438">
        <f t="shared" si="50"/>
        <v>8.9761196332771576E-4</v>
      </c>
      <c r="M198" s="970"/>
      <c r="N198" s="970"/>
      <c r="O198" s="324">
        <f t="shared" si="51"/>
        <v>5.390730540877537E-3</v>
      </c>
      <c r="P198" s="169">
        <f>(INDEX(Models!$BJ198:$BT198,,T198)*(1-R198)+INDEX(Models!$BJ198:$BT198,,T198+1)*R198-ERP_i)*Q198*Ramure*Pc/MaxiM</f>
        <v>1.0201747887082877E-3</v>
      </c>
      <c r="Q198" s="305">
        <f t="shared" si="52"/>
        <v>0.7</v>
      </c>
      <c r="R198" s="177">
        <f t="shared" si="53"/>
        <v>0.3600372531891094</v>
      </c>
      <c r="S198" s="921">
        <f t="shared" si="70"/>
        <v>-2</v>
      </c>
      <c r="T198" s="176">
        <f t="shared" si="54"/>
        <v>4</v>
      </c>
      <c r="U198" s="251">
        <f t="shared" si="55"/>
        <v>-1.6399627468108906</v>
      </c>
      <c r="V198" s="383">
        <f t="shared" si="56"/>
        <v>56.988490907134882</v>
      </c>
      <c r="W198" s="58"/>
      <c r="X198" s="157">
        <f t="shared" si="57"/>
        <v>43284</v>
      </c>
      <c r="Y198" s="385">
        <f t="shared" si="58"/>
        <v>48.012999999999998</v>
      </c>
      <c r="Z198" s="385">
        <f t="shared" si="59"/>
        <v>48.056135762371603</v>
      </c>
      <c r="AA198" s="386">
        <f t="shared" si="60"/>
        <v>48.316597520255335</v>
      </c>
      <c r="AB198" s="197">
        <f t="shared" si="61"/>
        <v>43284</v>
      </c>
      <c r="AC198" s="427">
        <f t="shared" si="62"/>
        <v>5.390730540877537E-3</v>
      </c>
      <c r="AD198" s="169">
        <f>(INDEX(Models!$BJ198:$BT198,,AH198)*(1-AF198)+INDEX(Models!$BJ198:$BT198,,AH198+1)*AF198-ERP_i)*AE198*Ramure*Pc/MaxiM</f>
        <v>1.0201747887082877E-3</v>
      </c>
      <c r="AE198" s="305">
        <f t="shared" si="63"/>
        <v>0.7</v>
      </c>
      <c r="AF198" s="177">
        <f t="shared" si="64"/>
        <v>0.3600372531891094</v>
      </c>
      <c r="AG198" s="921">
        <f t="shared" si="65"/>
        <v>-2</v>
      </c>
      <c r="AH198" s="176">
        <f t="shared" si="66"/>
        <v>4</v>
      </c>
      <c r="AI198" s="225">
        <f t="shared" si="67"/>
        <v>-1.6399627468108906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1"/>
        <v>43285</v>
      </c>
      <c r="B199" s="620">
        <v>46.865000000000002</v>
      </c>
      <c r="C199" s="390"/>
      <c r="D199" s="393">
        <f t="shared" si="76"/>
        <v>46.908131786527477</v>
      </c>
      <c r="E199" s="385">
        <f t="shared" si="77"/>
        <v>47.168543407387688</v>
      </c>
      <c r="F199" s="385">
        <f t="shared" si="78"/>
        <v>47.204642190231617</v>
      </c>
      <c r="G199" s="110">
        <f t="shared" si="79"/>
        <v>0.82360824426848289</v>
      </c>
      <c r="I199" s="380">
        <f t="shared" si="48"/>
        <v>47.204642190231617</v>
      </c>
      <c r="J199" s="85">
        <v>2018</v>
      </c>
      <c r="K199" s="197">
        <f t="shared" si="49"/>
        <v>43285</v>
      </c>
      <c r="L199" s="438">
        <f t="shared" si="50"/>
        <v>9.1949486975440031E-4</v>
      </c>
      <c r="M199" s="970"/>
      <c r="N199" s="970"/>
      <c r="O199" s="324">
        <f t="shared" si="51"/>
        <v>5.5208747620438146E-3</v>
      </c>
      <c r="P199" s="169">
        <f>(INDEX(Models!$BJ199:$BT199,,T199)*(1-R199)+INDEX(Models!$BJ199:$BT199,,T199+1)*R199-ERP_i)*Q199*Ramure*Pc/MaxiM</f>
        <v>1.0219356871585283E-3</v>
      </c>
      <c r="Q199" s="305">
        <f t="shared" si="52"/>
        <v>0.7</v>
      </c>
      <c r="R199" s="177">
        <f t="shared" si="53"/>
        <v>0.36414773341306628</v>
      </c>
      <c r="S199" s="921">
        <f t="shared" si="70"/>
        <v>-2</v>
      </c>
      <c r="T199" s="176">
        <f t="shared" si="54"/>
        <v>4</v>
      </c>
      <c r="U199" s="251">
        <f t="shared" si="55"/>
        <v>-1.6358522665869337</v>
      </c>
      <c r="V199" s="383">
        <f t="shared" si="56"/>
        <v>56.887406280147928</v>
      </c>
      <c r="W199" s="58"/>
      <c r="X199" s="157">
        <f t="shared" si="57"/>
        <v>43285</v>
      </c>
      <c r="Y199" s="385">
        <f t="shared" si="58"/>
        <v>46.865000000000002</v>
      </c>
      <c r="Z199" s="385">
        <f t="shared" si="59"/>
        <v>46.908131786527477</v>
      </c>
      <c r="AA199" s="386">
        <f t="shared" si="60"/>
        <v>47.168543407387688</v>
      </c>
      <c r="AB199" s="197">
        <f t="shared" si="61"/>
        <v>43285</v>
      </c>
      <c r="AC199" s="427">
        <f t="shared" si="62"/>
        <v>5.5208747620438146E-3</v>
      </c>
      <c r="AD199" s="169">
        <f>(INDEX(Models!$BJ199:$BT199,,AH199)*(1-AF199)+INDEX(Models!$BJ199:$BT199,,AH199+1)*AF199-ERP_i)*AE199*Ramure*Pc/MaxiM</f>
        <v>1.0219356871585283E-3</v>
      </c>
      <c r="AE199" s="305">
        <f t="shared" si="63"/>
        <v>0.7</v>
      </c>
      <c r="AF199" s="177">
        <f t="shared" si="64"/>
        <v>0.36414773341306628</v>
      </c>
      <c r="AG199" s="921">
        <f t="shared" si="65"/>
        <v>-2</v>
      </c>
      <c r="AH199" s="176">
        <f t="shared" si="66"/>
        <v>4</v>
      </c>
      <c r="AI199" s="225">
        <f t="shared" si="67"/>
        <v>-1.6358522665869337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1"/>
        <v>43286</v>
      </c>
      <c r="B200" s="620">
        <v>40.027000000000001</v>
      </c>
      <c r="C200" s="390"/>
      <c r="D200" s="393">
        <f t="shared" si="76"/>
        <v>40.064716014061958</v>
      </c>
      <c r="E200" s="385">
        <f t="shared" si="77"/>
        <v>40.29240337922139</v>
      </c>
      <c r="F200" s="385">
        <f t="shared" si="78"/>
        <v>40.316238468378849</v>
      </c>
      <c r="G200" s="110">
        <f t="shared" si="79"/>
        <v>0.70457733201458117</v>
      </c>
      <c r="I200" s="380">
        <f t="shared" si="48"/>
        <v>40.316238468378849</v>
      </c>
      <c r="J200" s="85">
        <v>2018</v>
      </c>
      <c r="K200" s="197">
        <f t="shared" si="49"/>
        <v>43286</v>
      </c>
      <c r="L200" s="438">
        <f t="shared" si="50"/>
        <v>9.4137729688936744E-4</v>
      </c>
      <c r="M200" s="970"/>
      <c r="N200" s="970"/>
      <c r="O200" s="324">
        <f t="shared" si="51"/>
        <v>5.6508757498652147E-3</v>
      </c>
      <c r="P200" s="169">
        <f>(INDEX(Models!$BJ200:$BT200,,T200)*(1-R200)+INDEX(Models!$BJ200:$BT200,,T200+1)*R200-ERP_i)*Q200*Ramure*Pc/MaxiM</f>
        <v>1.0221323497353549E-3</v>
      </c>
      <c r="Q200" s="305">
        <f t="shared" si="52"/>
        <v>0.7</v>
      </c>
      <c r="R200" s="177">
        <f t="shared" si="53"/>
        <v>0.36818179177304033</v>
      </c>
      <c r="S200" s="921">
        <f t="shared" si="70"/>
        <v>-2</v>
      </c>
      <c r="T200" s="176">
        <f t="shared" si="54"/>
        <v>4</v>
      </c>
      <c r="U200" s="251">
        <f t="shared" si="55"/>
        <v>-1.6318182082269597</v>
      </c>
      <c r="V200" s="383">
        <f t="shared" si="56"/>
        <v>56.785450194528849</v>
      </c>
      <c r="W200" s="58"/>
      <c r="X200" s="157">
        <f t="shared" si="57"/>
        <v>43286</v>
      </c>
      <c r="Y200" s="385">
        <f t="shared" si="58"/>
        <v>40.027000000000001</v>
      </c>
      <c r="Z200" s="385">
        <f t="shared" si="59"/>
        <v>40.064716014061958</v>
      </c>
      <c r="AA200" s="386">
        <f t="shared" si="60"/>
        <v>40.29240337922139</v>
      </c>
      <c r="AB200" s="197">
        <f t="shared" si="61"/>
        <v>43286</v>
      </c>
      <c r="AC200" s="427">
        <f t="shared" si="62"/>
        <v>5.6508757498652147E-3</v>
      </c>
      <c r="AD200" s="169">
        <f>(INDEX(Models!$BJ200:$BT200,,AH200)*(1-AF200)+INDEX(Models!$BJ200:$BT200,,AH200+1)*AF200-ERP_i)*AE200*Ramure*Pc/MaxiM</f>
        <v>1.0221323497353549E-3</v>
      </c>
      <c r="AE200" s="305">
        <f t="shared" si="63"/>
        <v>0.7</v>
      </c>
      <c r="AF200" s="177">
        <f t="shared" si="64"/>
        <v>0.36818179177304033</v>
      </c>
      <c r="AG200" s="921">
        <f t="shared" si="65"/>
        <v>-2</v>
      </c>
      <c r="AH200" s="176">
        <f t="shared" si="66"/>
        <v>4</v>
      </c>
      <c r="AI200" s="225">
        <f t="shared" si="67"/>
        <v>-1.6318182082269597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1"/>
        <v>43287</v>
      </c>
      <c r="B201" s="620">
        <v>42.344999999999999</v>
      </c>
      <c r="C201" s="390"/>
      <c r="D201" s="393">
        <f t="shared" si="76"/>
        <v>42.385828541188381</v>
      </c>
      <c r="E201" s="385">
        <f t="shared" si="77"/>
        <v>42.63227423037177</v>
      </c>
      <c r="F201" s="385">
        <f t="shared" si="78"/>
        <v>42.660083865209849</v>
      </c>
      <c r="G201" s="110">
        <f t="shared" si="79"/>
        <v>0.74677860168490173</v>
      </c>
      <c r="I201" s="380">
        <f t="shared" si="48"/>
        <v>42.660083865209849</v>
      </c>
      <c r="J201" s="85">
        <v>2018</v>
      </c>
      <c r="K201" s="197">
        <f t="shared" si="49"/>
        <v>43287</v>
      </c>
      <c r="L201" s="438">
        <f t="shared" si="50"/>
        <v>9.632592447428312E-4</v>
      </c>
      <c r="M201" s="970"/>
      <c r="N201" s="970"/>
      <c r="O201" s="324">
        <f t="shared" si="51"/>
        <v>5.7807305294498654E-3</v>
      </c>
      <c r="P201" s="169">
        <f>(INDEX(Models!$BJ201:$BT201,,T201)*(1-R201)+INDEX(Models!$BJ201:$BT201,,T201+1)*R201-ERP_i)*Q201*Ramure*Pc/MaxiM</f>
        <v>1.0207310339539978E-3</v>
      </c>
      <c r="Q201" s="305">
        <f t="shared" si="52"/>
        <v>0.7</v>
      </c>
      <c r="R201" s="177">
        <f t="shared" si="53"/>
        <v>0.3721382292341664</v>
      </c>
      <c r="S201" s="921">
        <f t="shared" si="70"/>
        <v>-2</v>
      </c>
      <c r="T201" s="176">
        <f t="shared" si="54"/>
        <v>4</v>
      </c>
      <c r="U201" s="251">
        <f t="shared" si="55"/>
        <v>-1.6278617707658336</v>
      </c>
      <c r="V201" s="383">
        <f t="shared" si="56"/>
        <v>56.682624670527247</v>
      </c>
      <c r="W201" s="58"/>
      <c r="X201" s="157">
        <f t="shared" si="57"/>
        <v>43287</v>
      </c>
      <c r="Y201" s="385">
        <f t="shared" si="58"/>
        <v>42.344999999999999</v>
      </c>
      <c r="Z201" s="385">
        <f t="shared" si="59"/>
        <v>42.385828541188381</v>
      </c>
      <c r="AA201" s="386">
        <f t="shared" si="60"/>
        <v>42.63227423037177</v>
      </c>
      <c r="AB201" s="197">
        <f t="shared" si="61"/>
        <v>43287</v>
      </c>
      <c r="AC201" s="427">
        <f t="shared" si="62"/>
        <v>5.7807305294498654E-3</v>
      </c>
      <c r="AD201" s="169">
        <f>(INDEX(Models!$BJ201:$BT201,,AH201)*(1-AF201)+INDEX(Models!$BJ201:$BT201,,AH201+1)*AF201-ERP_i)*AE201*Ramure*Pc/MaxiM</f>
        <v>1.0207310339539978E-3</v>
      </c>
      <c r="AE201" s="305">
        <f t="shared" si="63"/>
        <v>0.7</v>
      </c>
      <c r="AF201" s="177">
        <f t="shared" si="64"/>
        <v>0.3721382292341664</v>
      </c>
      <c r="AG201" s="921">
        <f t="shared" si="65"/>
        <v>-2</v>
      </c>
      <c r="AH201" s="176">
        <f t="shared" si="66"/>
        <v>4</v>
      </c>
      <c r="AI201" s="225">
        <f t="shared" si="67"/>
        <v>-1.6278617707658336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1"/>
        <v>43288</v>
      </c>
      <c r="B202" s="620">
        <v>56.539000000000001</v>
      </c>
      <c r="C202" s="390"/>
      <c r="D202" s="393">
        <f t="shared" si="76"/>
        <v>56.594753796125204</v>
      </c>
      <c r="E202" s="385">
        <f t="shared" si="77"/>
        <v>56.931242287535085</v>
      </c>
      <c r="F202" s="385">
        <f t="shared" si="78"/>
        <v>56.989181729783134</v>
      </c>
      <c r="G202" s="110">
        <f t="shared" si="79"/>
        <v>0.99929320661320442</v>
      </c>
      <c r="I202" s="380">
        <f t="shared" si="48"/>
        <v>56.989181729783134</v>
      </c>
      <c r="J202" s="85">
        <v>2018</v>
      </c>
      <c r="K202" s="197">
        <f t="shared" si="49"/>
        <v>43288</v>
      </c>
      <c r="L202" s="438">
        <f t="shared" si="50"/>
        <v>9.8514071332567177E-4</v>
      </c>
      <c r="M202" s="970"/>
      <c r="N202" s="970"/>
      <c r="O202" s="324">
        <f t="shared" si="51"/>
        <v>5.9104364824927973E-3</v>
      </c>
      <c r="P202" s="169">
        <f>(INDEX(Models!$BJ202:$BT202,,T202)*(1-R202)+INDEX(Models!$BJ202:$BT202,,T202+1)*R202-ERP_i)*Q202*Ramure*Pc/MaxiM</f>
        <v>1.0177004867271647E-3</v>
      </c>
      <c r="Q202" s="305">
        <f t="shared" si="52"/>
        <v>0.7</v>
      </c>
      <c r="R202" s="177">
        <f t="shared" si="53"/>
        <v>0.37601602094920583</v>
      </c>
      <c r="S202" s="921">
        <f t="shared" si="70"/>
        <v>-2</v>
      </c>
      <c r="T202" s="176">
        <f t="shared" si="54"/>
        <v>4</v>
      </c>
      <c r="U202" s="251">
        <f t="shared" si="55"/>
        <v>-1.6239839790507942</v>
      </c>
      <c r="V202" s="383">
        <f t="shared" si="56"/>
        <v>56.578931541792642</v>
      </c>
      <c r="W202" s="58"/>
      <c r="X202" s="157">
        <f t="shared" si="57"/>
        <v>43288</v>
      </c>
      <c r="Y202" s="385">
        <f t="shared" si="58"/>
        <v>56.539000000000001</v>
      </c>
      <c r="Z202" s="385">
        <f t="shared" si="59"/>
        <v>56.594753796125204</v>
      </c>
      <c r="AA202" s="386">
        <f t="shared" si="60"/>
        <v>56.931242287535085</v>
      </c>
      <c r="AB202" s="197">
        <f t="shared" si="61"/>
        <v>43288</v>
      </c>
      <c r="AC202" s="427">
        <f t="shared" si="62"/>
        <v>5.9104364824927973E-3</v>
      </c>
      <c r="AD202" s="169">
        <f>(INDEX(Models!$BJ202:$BT202,,AH202)*(1-AF202)+INDEX(Models!$BJ202:$BT202,,AH202+1)*AF202-ERP_i)*AE202*Ramure*Pc/MaxiM</f>
        <v>1.0177004867271647E-3</v>
      </c>
      <c r="AE202" s="305">
        <f t="shared" si="63"/>
        <v>0.7</v>
      </c>
      <c r="AF202" s="177">
        <f t="shared" si="64"/>
        <v>0.37601602094920583</v>
      </c>
      <c r="AG202" s="921">
        <f t="shared" si="65"/>
        <v>-2</v>
      </c>
      <c r="AH202" s="176">
        <f t="shared" si="66"/>
        <v>4</v>
      </c>
      <c r="AI202" s="225">
        <f t="shared" si="67"/>
        <v>-1.6239839790507942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1"/>
        <v>43289</v>
      </c>
      <c r="B203" s="620">
        <v>56.567999999999998</v>
      </c>
      <c r="C203" s="390"/>
      <c r="D203" s="393">
        <f t="shared" si="76"/>
        <v>56.625022626698019</v>
      </c>
      <c r="E203" s="385">
        <f t="shared" si="77"/>
        <v>56.969115591653534</v>
      </c>
      <c r="F203" s="385">
        <f t="shared" si="78"/>
        <v>57.026884503007572</v>
      </c>
      <c r="G203" s="110">
        <f t="shared" si="79"/>
        <v>1.0016578765769484</v>
      </c>
      <c r="I203" s="380">
        <f t="shared" si="48"/>
        <v>57.026884503007572</v>
      </c>
      <c r="J203" s="85">
        <v>2018</v>
      </c>
      <c r="K203" s="197">
        <f t="shared" si="49"/>
        <v>43289</v>
      </c>
      <c r="L203" s="438">
        <f t="shared" si="50"/>
        <v>1.0070217026481032E-3</v>
      </c>
      <c r="M203" s="970"/>
      <c r="N203" s="970"/>
      <c r="O203" s="324">
        <f t="shared" si="51"/>
        <v>6.0399913423603803E-3</v>
      </c>
      <c r="P203" s="169">
        <f>(INDEX(Models!$BJ203:$BT203,,T203)*(1-R203)+INDEX(Models!$BJ203:$BT203,,T203+1)*R203-ERP_i)*Q203*Ramure*Pc/MaxiM</f>
        <v>1.01301187777477E-3</v>
      </c>
      <c r="Q203" s="305">
        <f t="shared" si="52"/>
        <v>0.7</v>
      </c>
      <c r="R203" s="177">
        <f t="shared" si="53"/>
        <v>0.37981431251480835</v>
      </c>
      <c r="S203" s="921">
        <f t="shared" si="70"/>
        <v>-2</v>
      </c>
      <c r="T203" s="176">
        <f t="shared" si="54"/>
        <v>4</v>
      </c>
      <c r="U203" s="251">
        <f t="shared" si="55"/>
        <v>-1.6201856874851917</v>
      </c>
      <c r="V203" s="383">
        <f t="shared" si="56"/>
        <v>56.474372460699534</v>
      </c>
      <c r="W203" s="58"/>
      <c r="X203" s="157">
        <f t="shared" si="57"/>
        <v>43289</v>
      </c>
      <c r="Y203" s="385">
        <f t="shared" si="58"/>
        <v>56.567999999999998</v>
      </c>
      <c r="Z203" s="385">
        <f t="shared" si="59"/>
        <v>56.625022626698019</v>
      </c>
      <c r="AA203" s="386">
        <f t="shared" si="60"/>
        <v>56.969115591653534</v>
      </c>
      <c r="AB203" s="197">
        <f t="shared" si="61"/>
        <v>43289</v>
      </c>
      <c r="AC203" s="427">
        <f t="shared" si="62"/>
        <v>6.0399913423603803E-3</v>
      </c>
      <c r="AD203" s="169">
        <f>(INDEX(Models!$BJ203:$BT203,,AH203)*(1-AF203)+INDEX(Models!$BJ203:$BT203,,AH203+1)*AF203-ERP_i)*AE203*Ramure*Pc/MaxiM</f>
        <v>1.01301187777477E-3</v>
      </c>
      <c r="AE203" s="305">
        <f t="shared" si="63"/>
        <v>0.7</v>
      </c>
      <c r="AF203" s="177">
        <f t="shared" si="64"/>
        <v>0.37981431251480835</v>
      </c>
      <c r="AG203" s="921">
        <f t="shared" si="65"/>
        <v>-2</v>
      </c>
      <c r="AH203" s="176">
        <f t="shared" si="66"/>
        <v>4</v>
      </c>
      <c r="AI203" s="225">
        <f t="shared" si="67"/>
        <v>-1.6201856874851917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1"/>
        <v>43290</v>
      </c>
      <c r="B204" s="620">
        <v>55.289000000000001</v>
      </c>
      <c r="C204" s="390"/>
      <c r="D204" s="393">
        <f t="shared" si="76"/>
        <v>55.345945565857832</v>
      </c>
      <c r="E204" s="385">
        <f t="shared" si="77"/>
        <v>55.689516086968716</v>
      </c>
      <c r="F204" s="385">
        <f t="shared" si="78"/>
        <v>55.744094439873535</v>
      </c>
      <c r="G204" s="110">
        <f t="shared" si="79"/>
        <v>0.98081437225290569</v>
      </c>
      <c r="I204" s="380">
        <f t="shared" si="48"/>
        <v>55.744094439873535</v>
      </c>
      <c r="J204" s="85">
        <v>2018</v>
      </c>
      <c r="K204" s="197">
        <f t="shared" si="49"/>
        <v>43290</v>
      </c>
      <c r="L204" s="438">
        <f t="shared" si="50"/>
        <v>1.0289022127206726E-3</v>
      </c>
      <c r="M204" s="970"/>
      <c r="N204" s="970"/>
      <c r="O204" s="324">
        <f t="shared" si="51"/>
        <v>6.1693931865800132E-3</v>
      </c>
      <c r="P204" s="169">
        <f>(INDEX(Models!$BJ204:$BT204,,T204)*(1-R204)+INDEX(Models!$BJ204:$BT204,,T204+1)*R204-ERP_i)*Q204*Ramure*Pc/MaxiM</f>
        <v>1.0066387175536894E-3</v>
      </c>
      <c r="Q204" s="305">
        <f t="shared" si="52"/>
        <v>0.7</v>
      </c>
      <c r="R204" s="177">
        <f t="shared" si="53"/>
        <v>0.38353241564026042</v>
      </c>
      <c r="S204" s="921">
        <f t="shared" si="70"/>
        <v>-2</v>
      </c>
      <c r="T204" s="176">
        <f t="shared" si="54"/>
        <v>4</v>
      </c>
      <c r="U204" s="251">
        <f t="shared" si="55"/>
        <v>-1.6164675843597396</v>
      </c>
      <c r="V204" s="383">
        <f t="shared" si="56"/>
        <v>56.368948904820734</v>
      </c>
      <c r="W204" s="58"/>
      <c r="X204" s="157">
        <f t="shared" si="57"/>
        <v>43290</v>
      </c>
      <c r="Y204" s="385">
        <f t="shared" si="58"/>
        <v>55.289000000000001</v>
      </c>
      <c r="Z204" s="385">
        <f t="shared" si="59"/>
        <v>55.345945565857832</v>
      </c>
      <c r="AA204" s="386">
        <f t="shared" si="60"/>
        <v>55.689516086968716</v>
      </c>
      <c r="AB204" s="197">
        <f t="shared" si="61"/>
        <v>43290</v>
      </c>
      <c r="AC204" s="427">
        <f t="shared" si="62"/>
        <v>6.1693931865800132E-3</v>
      </c>
      <c r="AD204" s="169">
        <f>(INDEX(Models!$BJ204:$BT204,,AH204)*(1-AF204)+INDEX(Models!$BJ204:$BT204,,AH204+1)*AF204-ERP_i)*AE204*Ramure*Pc/MaxiM</f>
        <v>1.0066387175536894E-3</v>
      </c>
      <c r="AE204" s="305">
        <f t="shared" si="63"/>
        <v>0.7</v>
      </c>
      <c r="AF204" s="177">
        <f t="shared" si="64"/>
        <v>0.38353241564026042</v>
      </c>
      <c r="AG204" s="921">
        <f t="shared" si="65"/>
        <v>-2</v>
      </c>
      <c r="AH204" s="176">
        <f t="shared" si="66"/>
        <v>4</v>
      </c>
      <c r="AI204" s="225">
        <f t="shared" si="67"/>
        <v>-1.6164675843597396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1"/>
        <v>43291</v>
      </c>
      <c r="B205" s="620">
        <v>56.649000000000001</v>
      </c>
      <c r="C205" s="390"/>
      <c r="D205" s="393">
        <f t="shared" si="76"/>
        <v>56.708588377724325</v>
      </c>
      <c r="E205" s="385">
        <f t="shared" si="77"/>
        <v>57.06803943800967</v>
      </c>
      <c r="F205" s="385">
        <f t="shared" si="78"/>
        <v>57.125082544615957</v>
      </c>
      <c r="G205" s="110">
        <f t="shared" si="79"/>
        <v>1.0068749720297658</v>
      </c>
      <c r="I205" s="380">
        <f t="shared" si="48"/>
        <v>57.125082544615957</v>
      </c>
      <c r="J205" s="85">
        <v>2018</v>
      </c>
      <c r="K205" s="197">
        <f t="shared" si="49"/>
        <v>43291</v>
      </c>
      <c r="L205" s="438">
        <f t="shared" si="50"/>
        <v>1.0507822435539271E-3</v>
      </c>
      <c r="M205" s="970"/>
      <c r="N205" s="970"/>
      <c r="O205" s="324">
        <f t="shared" si="51"/>
        <v>6.298640426850472E-3</v>
      </c>
      <c r="P205" s="169">
        <f>(INDEX(Models!$BJ205:$BT205,,T205)*(1-R205)+INDEX(Models!$BJ205:$BT205,,T205+1)*R205-ERP_i)*Q205*Ramure*Pc/MaxiM</f>
        <v>9.9856497470668859E-4</v>
      </c>
      <c r="Q205" s="305">
        <f t="shared" si="52"/>
        <v>0.7</v>
      </c>
      <c r="R205" s="177">
        <f t="shared" si="53"/>
        <v>0.38716980328808903</v>
      </c>
      <c r="S205" s="921">
        <f t="shared" si="70"/>
        <v>-2</v>
      </c>
      <c r="T205" s="176">
        <f t="shared" si="54"/>
        <v>4</v>
      </c>
      <c r="U205" s="251">
        <f t="shared" si="55"/>
        <v>-1.612830196711911</v>
      </c>
      <c r="V205" s="383">
        <f t="shared" si="56"/>
        <v>56.262198955845442</v>
      </c>
      <c r="W205" s="58"/>
      <c r="X205" s="157">
        <f t="shared" si="57"/>
        <v>43291</v>
      </c>
      <c r="Y205" s="385">
        <f t="shared" si="58"/>
        <v>56.649000000000001</v>
      </c>
      <c r="Z205" s="385">
        <f t="shared" si="59"/>
        <v>56.708588377724325</v>
      </c>
      <c r="AA205" s="386">
        <f t="shared" si="60"/>
        <v>57.06803943800967</v>
      </c>
      <c r="AB205" s="197">
        <f t="shared" si="61"/>
        <v>43291</v>
      </c>
      <c r="AC205" s="427">
        <f t="shared" si="62"/>
        <v>6.298640426850472E-3</v>
      </c>
      <c r="AD205" s="169">
        <f>(INDEX(Models!$BJ205:$BT205,,AH205)*(1-AF205)+INDEX(Models!$BJ205:$BT205,,AH205+1)*AF205-ERP_i)*AE205*Ramure*Pc/MaxiM</f>
        <v>9.9856497470668859E-4</v>
      </c>
      <c r="AE205" s="305">
        <f t="shared" si="63"/>
        <v>0.7</v>
      </c>
      <c r="AF205" s="177">
        <f t="shared" si="64"/>
        <v>0.38716980328808903</v>
      </c>
      <c r="AG205" s="921">
        <f t="shared" si="65"/>
        <v>-2</v>
      </c>
      <c r="AH205" s="176">
        <f t="shared" si="66"/>
        <v>4</v>
      </c>
      <c r="AI205" s="225">
        <f t="shared" si="67"/>
        <v>-1.612830196711911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1"/>
        <v>43292</v>
      </c>
      <c r="B206" s="620">
        <v>55.442</v>
      </c>
      <c r="C206" s="390"/>
      <c r="D206" s="393">
        <f t="shared" si="76"/>
        <v>55.501534375497265</v>
      </c>
      <c r="E206" s="385">
        <f t="shared" si="77"/>
        <v>55.860591274213569</v>
      </c>
      <c r="F206" s="385">
        <f t="shared" si="78"/>
        <v>55.914877715222872</v>
      </c>
      <c r="G206" s="110">
        <f t="shared" si="79"/>
        <v>0.98730635290539226</v>
      </c>
      <c r="I206" s="380">
        <f t="shared" si="48"/>
        <v>55.914877715222872</v>
      </c>
      <c r="J206" s="85">
        <v>2018</v>
      </c>
      <c r="K206" s="197">
        <f t="shared" si="49"/>
        <v>43292</v>
      </c>
      <c r="L206" s="438">
        <f t="shared" si="50"/>
        <v>1.0726617951584139E-3</v>
      </c>
      <c r="M206" s="970"/>
      <c r="N206" s="970"/>
      <c r="O206" s="324">
        <f t="shared" si="51"/>
        <v>6.427731796710379E-3</v>
      </c>
      <c r="P206" s="169">
        <f>(INDEX(Models!$BJ206:$BT206,,T206)*(1-R206)+INDEX(Models!$BJ206:$BT206,,T206+1)*R206-ERP_i)*Q206*Ramure*Pc/MaxiM</f>
        <v>9.8878186271950151E-4</v>
      </c>
      <c r="Q206" s="305">
        <f t="shared" si="52"/>
        <v>0.7</v>
      </c>
      <c r="R206" s="177">
        <f t="shared" si="53"/>
        <v>0.39072610434645338</v>
      </c>
      <c r="S206" s="921">
        <f t="shared" si="70"/>
        <v>-2</v>
      </c>
      <c r="T206" s="176">
        <f t="shared" si="54"/>
        <v>4</v>
      </c>
      <c r="U206" s="251">
        <f t="shared" si="55"/>
        <v>-1.6092738956535466</v>
      </c>
      <c r="V206" s="383">
        <f t="shared" si="56"/>
        <v>56.153802883198445</v>
      </c>
      <c r="W206" s="58"/>
      <c r="X206" s="157">
        <f t="shared" si="57"/>
        <v>43292</v>
      </c>
      <c r="Y206" s="385">
        <f t="shared" si="58"/>
        <v>55.442</v>
      </c>
      <c r="Z206" s="385">
        <f t="shared" si="59"/>
        <v>55.501534375497265</v>
      </c>
      <c r="AA206" s="386">
        <f t="shared" si="60"/>
        <v>55.860591274213569</v>
      </c>
      <c r="AB206" s="197">
        <f t="shared" si="61"/>
        <v>43292</v>
      </c>
      <c r="AC206" s="427">
        <f t="shared" si="62"/>
        <v>6.427731796710379E-3</v>
      </c>
      <c r="AD206" s="169">
        <f>(INDEX(Models!$BJ206:$BT206,,AH206)*(1-AF206)+INDEX(Models!$BJ206:$BT206,,AH206+1)*AF206-ERP_i)*AE206*Ramure*Pc/MaxiM</f>
        <v>9.8878186271950151E-4</v>
      </c>
      <c r="AE206" s="305">
        <f t="shared" si="63"/>
        <v>0.7</v>
      </c>
      <c r="AF206" s="177">
        <f t="shared" si="64"/>
        <v>0.39072610434645338</v>
      </c>
      <c r="AG206" s="921">
        <f t="shared" si="65"/>
        <v>-2</v>
      </c>
      <c r="AH206" s="176">
        <f t="shared" si="66"/>
        <v>4</v>
      </c>
      <c r="AI206" s="225">
        <f t="shared" si="67"/>
        <v>-1.6092738956535466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1"/>
        <v>43293</v>
      </c>
      <c r="B207" s="620">
        <v>45.756</v>
      </c>
      <c r="C207" s="390"/>
      <c r="D207" s="393">
        <f t="shared" ref="D207:D270" si="80">Wh/(1-Ppv)</f>
        <v>45.806136688589987</v>
      </c>
      <c r="E207" s="385">
        <f t="shared" si="77"/>
        <v>46.108454439666708</v>
      </c>
      <c r="F207" s="385">
        <f t="shared" si="78"/>
        <v>46.141744559884742</v>
      </c>
      <c r="G207" s="110">
        <f t="shared" si="79"/>
        <v>0.8162213152844694</v>
      </c>
      <c r="I207" s="380">
        <f t="shared" ref="I207:I270" si="81">Wh_hp</f>
        <v>46.141744559884742</v>
      </c>
      <c r="J207" s="85">
        <v>2018</v>
      </c>
      <c r="K207" s="197">
        <f t="shared" ref="K207:K270" si="82">t</f>
        <v>43293</v>
      </c>
      <c r="L207" s="438">
        <f t="shared" ref="L207:L270" si="83">IF(t&lt;T0,0,IF(t&lt;Tvie,1-EXP((T0-t)*PertePVj),1-EXP((T0-t)*PertePVj)+Pspv))</f>
        <v>1.0945408675444579E-3</v>
      </c>
      <c r="M207" s="970"/>
      <c r="N207" s="970"/>
      <c r="O207" s="324">
        <f t="shared" ref="O207:O270" si="84">IF(t&lt;T0,0,IF(t&lt;Tnet,Salim_i*(1-EXP((T0-t)/Tau_ij)),Resal+(Salim-Resal)*(1-EXP((Tnet-t)/(Tau_j)))))*Salcycl</f>
        <v>6.5566663370229972E-3</v>
      </c>
      <c r="P207" s="169">
        <f>(INDEX(Models!$BJ207:$BT207,,T207)*(1-R207)+INDEX(Models!$BJ207:$BT207,,T207+1)*R207-ERP_i)*Q207*Ramure*Pc/MaxiM</f>
        <v>9.7792876531213927E-4</v>
      </c>
      <c r="Q207" s="305">
        <f t="shared" ref="Q207:Q270" si="85">IF(OR(t&lt;Ttai,Notai),Dd+PousD*Croivg,Dens+PousD*(Croivg-Croi_tai))</f>
        <v>0.7</v>
      </c>
      <c r="R207" s="177">
        <f t="shared" ref="R207:R270" si="86">(Hp_vg-S207)/(INDEX(Echel_vg,T207+1)-S207)</f>
        <v>0.39420109789317159</v>
      </c>
      <c r="S207" s="921">
        <f t="shared" si="70"/>
        <v>-2</v>
      </c>
      <c r="T207" s="176">
        <f t="shared" ref="T207:T270" si="87">MIN(MATCH(Hp_vg,Echel_vg),10)</f>
        <v>4</v>
      </c>
      <c r="U207" s="251">
        <f t="shared" ref="U207:U270" si="88">IF(OR(t&lt;Ttai,Notai),Hdd+PousH*Croivg,Hdtf+PousH*(Croivg-Croi_tai))</f>
        <v>-1.6057989021068284</v>
      </c>
      <c r="V207" s="383">
        <f t="shared" ref="V207:V270" si="89">MaxiM*(1-Ppv)*(1-Pvg)*(1-Psa)</f>
        <v>56.043938546836259</v>
      </c>
      <c r="W207" s="58"/>
      <c r="X207" s="157">
        <f t="shared" ref="X207:X270" si="90">t</f>
        <v>43293</v>
      </c>
      <c r="Y207" s="385">
        <f t="shared" ref="Y207:Y270" si="91">Wh_pvt_s*(1-Ppv)</f>
        <v>45.756</v>
      </c>
      <c r="Z207" s="385">
        <f t="shared" ref="Z207:Z270" si="92">Wh_sa_s*(1-Psa_s)</f>
        <v>45.806136688589987</v>
      </c>
      <c r="AA207" s="386">
        <f t="shared" ref="AA207:AA270" si="93">Wh_hp*(1-Pvg_s*MEDIAN((-Sdif+Wh/Env_an)/Csdif,0,1))</f>
        <v>46.108454439666708</v>
      </c>
      <c r="AB207" s="197">
        <f t="shared" ref="AB207:AB270" si="94">t</f>
        <v>43293</v>
      </c>
      <c r="AC207" s="427">
        <f t="shared" ref="AC207:AC270" si="95">IF(t&lt;T0,0,IF(OR(t&lt;Tnet,NoTnet),Salim_i*(1-EXP((T0-t)/Tau_ij)),Resal_s+(Salim-Resal_s)*(1-EXP((Tnet_s-t)/Tau_j))))*Salcycl</f>
        <v>6.5566663370229972E-3</v>
      </c>
      <c r="AD207" s="169">
        <f>(INDEX(Models!$BJ207:$BT207,,AH207)*(1-AF207)+INDEX(Models!$BJ207:$BT207,,AH207+1)*AF207-ERP_i)*AE207*Ramure*Pc/MaxiM</f>
        <v>9.7792876531213927E-4</v>
      </c>
      <c r="AE207" s="305">
        <f t="shared" ref="AE207:AE270" si="96">Dd+PousD*Croivg</f>
        <v>0.7</v>
      </c>
      <c r="AF207" s="177">
        <f t="shared" ref="AF207:AF270" si="97">(Hp_vg_s-AG207)/(INDEX(Echel_vg,AH207+1)-AG207)</f>
        <v>0.39420109789317159</v>
      </c>
      <c r="AG207" s="921">
        <f t="shared" ref="AG207:AG270" si="98">INDEX(Echel_vg,AH207)</f>
        <v>-2</v>
      </c>
      <c r="AH207" s="176">
        <f t="shared" ref="AH207:AH270" si="99">MIN(MATCH(Hp_vg_s,Echel_vg),10)</f>
        <v>4</v>
      </c>
      <c r="AI207" s="225">
        <f t="shared" ref="AI207:AI270" si="100">Hdd+PousH*Croivg</f>
        <v>-1.6057989021068284</v>
      </c>
      <c r="AJ207" s="265" t="b">
        <f t="shared" ref="AJ207:AJ270" si="101">t&lt;Tnet</f>
        <v>0</v>
      </c>
      <c r="AK207" s="265" t="b">
        <f t="shared" ref="AK207:AK270" si="102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si="71"/>
        <v>43294</v>
      </c>
      <c r="B208" s="620">
        <v>53.93</v>
      </c>
      <c r="C208" s="390"/>
      <c r="D208" s="393">
        <f t="shared" si="80"/>
        <v>53.990275794586871</v>
      </c>
      <c r="E208" s="385">
        <f t="shared" si="77"/>
        <v>54.3536540713473</v>
      </c>
      <c r="F208" s="385">
        <f t="shared" si="78"/>
        <v>54.403519825099551</v>
      </c>
      <c r="G208" s="110">
        <f t="shared" si="79"/>
        <v>0.96414471599561269</v>
      </c>
      <c r="I208" s="380">
        <f t="shared" si="81"/>
        <v>54.403519825099551</v>
      </c>
      <c r="J208" s="85">
        <v>2018</v>
      </c>
      <c r="K208" s="197">
        <f t="shared" si="82"/>
        <v>43294</v>
      </c>
      <c r="L208" s="438">
        <f t="shared" si="83"/>
        <v>1.1164194607228284E-3</v>
      </c>
      <c r="M208" s="970"/>
      <c r="N208" s="970"/>
      <c r="O208" s="324">
        <f t="shared" si="84"/>
        <v>6.6854433794541167E-3</v>
      </c>
      <c r="P208" s="169">
        <f>(INDEX(Models!$BJ208:$BT208,,T208)*(1-R208)+INDEX(Models!$BJ208:$BT208,,T208+1)*R208-ERP_i)*Q208*Ramure*Pc/MaxiM</f>
        <v>9.6600533315553336E-4</v>
      </c>
      <c r="Q208" s="305">
        <f t="shared" si="85"/>
        <v>0.7</v>
      </c>
      <c r="R208" s="177">
        <f t="shared" si="86"/>
        <v>0.39759470711051703</v>
      </c>
      <c r="S208" s="921">
        <f t="shared" ref="S208:S271" si="103">INDEX(Echel_vg,T208)</f>
        <v>-2</v>
      </c>
      <c r="T208" s="176">
        <f t="shared" si="87"/>
        <v>4</v>
      </c>
      <c r="U208" s="251">
        <f t="shared" si="88"/>
        <v>-1.602405292889483</v>
      </c>
      <c r="V208" s="383">
        <f t="shared" si="89"/>
        <v>55.932819754904969</v>
      </c>
      <c r="W208" s="58"/>
      <c r="X208" s="157">
        <f t="shared" si="90"/>
        <v>43294</v>
      </c>
      <c r="Y208" s="385">
        <f t="shared" si="91"/>
        <v>53.93</v>
      </c>
      <c r="Z208" s="385">
        <f t="shared" si="92"/>
        <v>53.990275794586871</v>
      </c>
      <c r="AA208" s="386">
        <f t="shared" si="93"/>
        <v>54.3536540713473</v>
      </c>
      <c r="AB208" s="197">
        <f t="shared" si="94"/>
        <v>43294</v>
      </c>
      <c r="AC208" s="427">
        <f t="shared" si="95"/>
        <v>6.6854433794541167E-3</v>
      </c>
      <c r="AD208" s="169">
        <f>(INDEX(Models!$BJ208:$BT208,,AH208)*(1-AF208)+INDEX(Models!$BJ208:$BT208,,AH208+1)*AF208-ERP_i)*AE208*Ramure*Pc/MaxiM</f>
        <v>9.6600533315553336E-4</v>
      </c>
      <c r="AE208" s="305">
        <f t="shared" si="96"/>
        <v>0.7</v>
      </c>
      <c r="AF208" s="177">
        <f t="shared" si="97"/>
        <v>0.39759470711051703</v>
      </c>
      <c r="AG208" s="921">
        <f t="shared" si="98"/>
        <v>-2</v>
      </c>
      <c r="AH208" s="176">
        <f t="shared" si="99"/>
        <v>4</v>
      </c>
      <c r="AI208" s="225">
        <f t="shared" si="100"/>
        <v>-1.602405292889483</v>
      </c>
      <c r="AJ208" s="265" t="b">
        <f t="shared" si="101"/>
        <v>0</v>
      </c>
      <c r="AK208" s="265" t="b">
        <f t="shared" si="102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ref="A209:A272" si="104">A208+1</f>
        <v>43295</v>
      </c>
      <c r="B209" s="620">
        <v>51.232999999999997</v>
      </c>
      <c r="C209" s="390"/>
      <c r="D209" s="393">
        <f t="shared" si="80"/>
        <v>51.291384858988181</v>
      </c>
      <c r="E209" s="385">
        <f t="shared" si="77"/>
        <v>51.643285435101362</v>
      </c>
      <c r="F209" s="385">
        <f t="shared" si="78"/>
        <v>51.686760245108772</v>
      </c>
      <c r="G209" s="110">
        <f t="shared" si="79"/>
        <v>0.91771151643246518</v>
      </c>
      <c r="I209" s="380">
        <f t="shared" si="81"/>
        <v>51.686760245108772</v>
      </c>
      <c r="J209" s="85">
        <v>2018</v>
      </c>
      <c r="K209" s="197">
        <f t="shared" si="82"/>
        <v>43295</v>
      </c>
      <c r="L209" s="438">
        <f t="shared" si="83"/>
        <v>1.1382975747037394E-3</v>
      </c>
      <c r="M209" s="970"/>
      <c r="N209" s="970"/>
      <c r="O209" s="324">
        <f t="shared" si="84"/>
        <v>6.8140625281365198E-3</v>
      </c>
      <c r="P209" s="169">
        <f>(INDEX(Models!$BJ209:$BT209,,T209)*(1-R209)+INDEX(Models!$BJ209:$BT209,,T209+1)*R209-ERP_i)*Q209*Ramure*Pc/MaxiM</f>
        <v>9.5301221328782451E-4</v>
      </c>
      <c r="Q209" s="305">
        <f t="shared" si="85"/>
        <v>0.7</v>
      </c>
      <c r="R209" s="177">
        <f t="shared" si="86"/>
        <v>0.40090699290864995</v>
      </c>
      <c r="S209" s="921">
        <f t="shared" si="103"/>
        <v>-2</v>
      </c>
      <c r="T209" s="176">
        <f t="shared" si="87"/>
        <v>4</v>
      </c>
      <c r="U209" s="251">
        <f t="shared" si="88"/>
        <v>-1.59909300709135</v>
      </c>
      <c r="V209" s="383">
        <f t="shared" si="89"/>
        <v>55.820660114876922</v>
      </c>
      <c r="W209" s="58"/>
      <c r="X209" s="157">
        <f t="shared" si="90"/>
        <v>43295</v>
      </c>
      <c r="Y209" s="385">
        <f t="shared" si="91"/>
        <v>51.232999999999997</v>
      </c>
      <c r="Z209" s="385">
        <f t="shared" si="92"/>
        <v>51.291384858988181</v>
      </c>
      <c r="AA209" s="386">
        <f t="shared" si="93"/>
        <v>51.643285435101362</v>
      </c>
      <c r="AB209" s="197">
        <f t="shared" si="94"/>
        <v>43295</v>
      </c>
      <c r="AC209" s="427">
        <f t="shared" si="95"/>
        <v>6.8140625281365198E-3</v>
      </c>
      <c r="AD209" s="169">
        <f>(INDEX(Models!$BJ209:$BT209,,AH209)*(1-AF209)+INDEX(Models!$BJ209:$BT209,,AH209+1)*AF209-ERP_i)*AE209*Ramure*Pc/MaxiM</f>
        <v>9.5301221328782451E-4</v>
      </c>
      <c r="AE209" s="305">
        <f t="shared" si="96"/>
        <v>0.7</v>
      </c>
      <c r="AF209" s="177">
        <f t="shared" si="97"/>
        <v>0.40090699290864995</v>
      </c>
      <c r="AG209" s="921">
        <f t="shared" si="98"/>
        <v>-2</v>
      </c>
      <c r="AH209" s="176">
        <f t="shared" si="99"/>
        <v>4</v>
      </c>
      <c r="AI209" s="225">
        <f t="shared" si="100"/>
        <v>-1.59909300709135</v>
      </c>
      <c r="AJ209" s="265" t="b">
        <f t="shared" si="101"/>
        <v>0</v>
      </c>
      <c r="AK209" s="265" t="b">
        <f t="shared" si="102"/>
        <v>0</v>
      </c>
      <c r="AL209" s="265"/>
      <c r="AM209" s="265"/>
      <c r="AN209" s="75"/>
    </row>
    <row r="210" spans="1:40" s="6" customFormat="1" ht="11.25" x14ac:dyDescent="0.2">
      <c r="A210" s="56">
        <f t="shared" si="104"/>
        <v>43296</v>
      </c>
      <c r="B210" s="620">
        <v>54.439</v>
      </c>
      <c r="C210" s="390"/>
      <c r="D210" s="393">
        <f t="shared" si="80"/>
        <v>54.502232138589491</v>
      </c>
      <c r="E210" s="385">
        <f t="shared" si="77"/>
        <v>54.88326047184065</v>
      </c>
      <c r="F210" s="385">
        <f t="shared" si="78"/>
        <v>54.933161931824934</v>
      </c>
      <c r="G210" s="110">
        <f t="shared" si="79"/>
        <v>0.97719636318692604</v>
      </c>
      <c r="I210" s="380">
        <f t="shared" si="81"/>
        <v>54.933161931824934</v>
      </c>
      <c r="J210" s="85">
        <v>2018</v>
      </c>
      <c r="K210" s="197">
        <f t="shared" si="82"/>
        <v>43296</v>
      </c>
      <c r="L210" s="438">
        <f t="shared" si="83"/>
        <v>1.160175209497849E-3</v>
      </c>
      <c r="M210" s="970"/>
      <c r="N210" s="970"/>
      <c r="O210" s="324">
        <f t="shared" si="84"/>
        <v>6.942523639729024E-3</v>
      </c>
      <c r="P210" s="169">
        <f>(INDEX(Models!$BJ210:$BT210,,T210)*(1-R210)+INDEX(Models!$BJ210:$BT210,,T210+1)*R210-ERP_i)*Q210*Ramure*Pc/MaxiM</f>
        <v>9.3895097220161275E-4</v>
      </c>
      <c r="Q210" s="305">
        <f t="shared" si="85"/>
        <v>0.7</v>
      </c>
      <c r="R210" s="177">
        <f t="shared" si="86"/>
        <v>0.40413814731380238</v>
      </c>
      <c r="S210" s="921">
        <f t="shared" si="103"/>
        <v>-2</v>
      </c>
      <c r="T210" s="176">
        <f t="shared" si="87"/>
        <v>4</v>
      </c>
      <c r="U210" s="251">
        <f t="shared" si="88"/>
        <v>-1.5958618526861976</v>
      </c>
      <c r="V210" s="383">
        <f t="shared" si="89"/>
        <v>55.707673041428293</v>
      </c>
      <c r="W210" s="58"/>
      <c r="X210" s="157">
        <f t="shared" si="90"/>
        <v>43296</v>
      </c>
      <c r="Y210" s="385">
        <f t="shared" si="91"/>
        <v>54.439</v>
      </c>
      <c r="Z210" s="385">
        <f t="shared" si="92"/>
        <v>54.502232138589491</v>
      </c>
      <c r="AA210" s="386">
        <f t="shared" si="93"/>
        <v>54.88326047184065</v>
      </c>
      <c r="AB210" s="197">
        <f t="shared" si="94"/>
        <v>43296</v>
      </c>
      <c r="AC210" s="427">
        <f t="shared" si="95"/>
        <v>6.942523639729024E-3</v>
      </c>
      <c r="AD210" s="169">
        <f>(INDEX(Models!$BJ210:$BT210,,AH210)*(1-AF210)+INDEX(Models!$BJ210:$BT210,,AH210+1)*AF210-ERP_i)*AE210*Ramure*Pc/MaxiM</f>
        <v>9.3895097220161275E-4</v>
      </c>
      <c r="AE210" s="305">
        <f t="shared" si="96"/>
        <v>0.7</v>
      </c>
      <c r="AF210" s="177">
        <f t="shared" si="97"/>
        <v>0.40413814731380238</v>
      </c>
      <c r="AG210" s="921">
        <f t="shared" si="98"/>
        <v>-2</v>
      </c>
      <c r="AH210" s="176">
        <f t="shared" si="99"/>
        <v>4</v>
      </c>
      <c r="AI210" s="225">
        <f t="shared" si="100"/>
        <v>-1.5958618526861976</v>
      </c>
      <c r="AJ210" s="265" t="b">
        <f t="shared" si="101"/>
        <v>0</v>
      </c>
      <c r="AK210" s="265" t="b">
        <f t="shared" si="102"/>
        <v>0</v>
      </c>
      <c r="AL210" s="265"/>
      <c r="AM210" s="265"/>
      <c r="AN210" s="75"/>
    </row>
    <row r="211" spans="1:40" s="6" customFormat="1" ht="11.25" x14ac:dyDescent="0.2">
      <c r="A211" s="56">
        <f t="shared" si="104"/>
        <v>43297</v>
      </c>
      <c r="B211" s="620">
        <v>24.225000000000001</v>
      </c>
      <c r="C211" s="390"/>
      <c r="D211" s="393">
        <f t="shared" si="80"/>
        <v>24.25366910693058</v>
      </c>
      <c r="E211" s="385">
        <f t="shared" si="77"/>
        <v>24.426383836439413</v>
      </c>
      <c r="F211" s="385">
        <f t="shared" si="78"/>
        <v>24.430760682966415</v>
      </c>
      <c r="G211" s="110">
        <f t="shared" si="79"/>
        <v>0.4354233526231413</v>
      </c>
      <c r="I211" s="380">
        <f t="shared" si="81"/>
        <v>24.430760682966415</v>
      </c>
      <c r="J211" s="85">
        <v>2018</v>
      </c>
      <c r="K211" s="197">
        <f t="shared" si="82"/>
        <v>43297</v>
      </c>
      <c r="L211" s="438">
        <f t="shared" si="83"/>
        <v>1.1820523651155934E-3</v>
      </c>
      <c r="M211" s="970"/>
      <c r="N211" s="970"/>
      <c r="O211" s="324">
        <f t="shared" si="84"/>
        <v>7.0708268020899063E-3</v>
      </c>
      <c r="P211" s="169">
        <f>(INDEX(Models!$BJ211:$BT211,,T211)*(1-R211)+INDEX(Models!$BJ211:$BT211,,T211+1)*R211-ERP_i)*Q211*Ramure*Pc/MaxiM</f>
        <v>9.2382402120440451E-4</v>
      </c>
      <c r="Q211" s="305">
        <f t="shared" si="85"/>
        <v>0.7</v>
      </c>
      <c r="R211" s="177">
        <f t="shared" si="86"/>
        <v>0.40728848667514383</v>
      </c>
      <c r="S211" s="921">
        <f t="shared" si="103"/>
        <v>-2</v>
      </c>
      <c r="T211" s="176">
        <f t="shared" si="87"/>
        <v>4</v>
      </c>
      <c r="U211" s="251">
        <f t="shared" si="88"/>
        <v>-1.5927115133248562</v>
      </c>
      <c r="V211" s="383">
        <f t="shared" si="89"/>
        <v>55.59407176642916</v>
      </c>
      <c r="W211" s="58"/>
      <c r="X211" s="157">
        <f t="shared" si="90"/>
        <v>43297</v>
      </c>
      <c r="Y211" s="385">
        <f t="shared" si="91"/>
        <v>24.225000000000001</v>
      </c>
      <c r="Z211" s="385">
        <f t="shared" si="92"/>
        <v>24.25366910693058</v>
      </c>
      <c r="AA211" s="386">
        <f t="shared" si="93"/>
        <v>24.426383836439413</v>
      </c>
      <c r="AB211" s="197">
        <f t="shared" si="94"/>
        <v>43297</v>
      </c>
      <c r="AC211" s="427">
        <f t="shared" si="95"/>
        <v>7.0708268020899063E-3</v>
      </c>
      <c r="AD211" s="169">
        <f>(INDEX(Models!$BJ211:$BT211,,AH211)*(1-AF211)+INDEX(Models!$BJ211:$BT211,,AH211+1)*AF211-ERP_i)*AE211*Ramure*Pc/MaxiM</f>
        <v>9.2382402120440451E-4</v>
      </c>
      <c r="AE211" s="305">
        <f t="shared" si="96"/>
        <v>0.7</v>
      </c>
      <c r="AF211" s="177">
        <f t="shared" si="97"/>
        <v>0.40728848667514383</v>
      </c>
      <c r="AG211" s="921">
        <f t="shared" si="98"/>
        <v>-2</v>
      </c>
      <c r="AH211" s="176">
        <f t="shared" si="99"/>
        <v>4</v>
      </c>
      <c r="AI211" s="225">
        <f t="shared" si="100"/>
        <v>-1.5927115133248562</v>
      </c>
      <c r="AJ211" s="265" t="b">
        <f t="shared" si="101"/>
        <v>0</v>
      </c>
      <c r="AK211" s="265" t="b">
        <f t="shared" si="102"/>
        <v>0</v>
      </c>
      <c r="AL211" s="265"/>
      <c r="AM211" s="265"/>
      <c r="AN211" s="75"/>
    </row>
    <row r="212" spans="1:40" s="6" customFormat="1" ht="11.25" x14ac:dyDescent="0.2">
      <c r="A212" s="56">
        <f t="shared" si="104"/>
        <v>43298</v>
      </c>
      <c r="B212" s="620">
        <v>46.722000000000001</v>
      </c>
      <c r="C212" s="390"/>
      <c r="D212" s="393">
        <f t="shared" si="80"/>
        <v>46.778317775285345</v>
      </c>
      <c r="E212" s="385">
        <f t="shared" si="77"/>
        <v>47.117515464514931</v>
      </c>
      <c r="F212" s="385">
        <f t="shared" si="78"/>
        <v>47.150659633444867</v>
      </c>
      <c r="G212" s="110">
        <f t="shared" si="79"/>
        <v>0.84196775829801895</v>
      </c>
      <c r="I212" s="380">
        <f t="shared" si="81"/>
        <v>47.150659633444867</v>
      </c>
      <c r="J212" s="85">
        <v>2018</v>
      </c>
      <c r="K212" s="197">
        <f t="shared" si="82"/>
        <v>43298</v>
      </c>
      <c r="L212" s="438">
        <f t="shared" si="83"/>
        <v>1.2039290415675197E-3</v>
      </c>
      <c r="M212" s="970"/>
      <c r="N212" s="970"/>
      <c r="O212" s="324">
        <f t="shared" si="84"/>
        <v>7.1989723117943565E-3</v>
      </c>
      <c r="P212" s="169">
        <f>(INDEX(Models!$BJ212:$BT212,,T212)*(1-R212)+INDEX(Models!$BJ212:$BT212,,T212+1)*R212-ERP_i)*Q212*Ramure*Pc/MaxiM</f>
        <v>9.0762353555944486E-4</v>
      </c>
      <c r="Q212" s="305">
        <f t="shared" si="85"/>
        <v>0.7</v>
      </c>
      <c r="R212" s="177">
        <f t="shared" si="86"/>
        <v>0.41035844474172012</v>
      </c>
      <c r="S212" s="921">
        <f t="shared" si="103"/>
        <v>-2</v>
      </c>
      <c r="T212" s="176">
        <f t="shared" si="87"/>
        <v>4</v>
      </c>
      <c r="U212" s="251">
        <f t="shared" si="88"/>
        <v>-1.5896415552582799</v>
      </c>
      <c r="V212" s="383">
        <f t="shared" si="89"/>
        <v>55.480069957428057</v>
      </c>
      <c r="W212" s="58"/>
      <c r="X212" s="157">
        <f t="shared" si="90"/>
        <v>43298</v>
      </c>
      <c r="Y212" s="385">
        <f t="shared" si="91"/>
        <v>46.722000000000001</v>
      </c>
      <c r="Z212" s="385">
        <f t="shared" si="92"/>
        <v>46.778317775285345</v>
      </c>
      <c r="AA212" s="386">
        <f t="shared" si="93"/>
        <v>47.117515464514931</v>
      </c>
      <c r="AB212" s="197">
        <f t="shared" si="94"/>
        <v>43298</v>
      </c>
      <c r="AC212" s="427">
        <f t="shared" si="95"/>
        <v>7.1989723117943565E-3</v>
      </c>
      <c r="AD212" s="169">
        <f>(INDEX(Models!$BJ212:$BT212,,AH212)*(1-AF212)+INDEX(Models!$BJ212:$BT212,,AH212+1)*AF212-ERP_i)*AE212*Ramure*Pc/MaxiM</f>
        <v>9.0762353555944486E-4</v>
      </c>
      <c r="AE212" s="305">
        <f t="shared" si="96"/>
        <v>0.7</v>
      </c>
      <c r="AF212" s="177">
        <f t="shared" si="97"/>
        <v>0.41035844474172012</v>
      </c>
      <c r="AG212" s="921">
        <f t="shared" si="98"/>
        <v>-2</v>
      </c>
      <c r="AH212" s="176">
        <f t="shared" si="99"/>
        <v>4</v>
      </c>
      <c r="AI212" s="225">
        <f t="shared" si="100"/>
        <v>-1.5896415552582799</v>
      </c>
      <c r="AJ212" s="265" t="b">
        <f t="shared" si="101"/>
        <v>0</v>
      </c>
      <c r="AK212" s="265" t="b">
        <f t="shared" si="102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104"/>
        <v>43299</v>
      </c>
      <c r="B213" s="620">
        <v>43.283999999999999</v>
      </c>
      <c r="C213" s="390"/>
      <c r="D213" s="393">
        <f t="shared" si="80"/>
        <v>43.337122872254099</v>
      </c>
      <c r="E213" s="385">
        <f t="shared" si="77"/>
        <v>43.656995963810104</v>
      </c>
      <c r="F213" s="385">
        <f t="shared" si="78"/>
        <v>43.68377735688307</v>
      </c>
      <c r="G213" s="110">
        <f t="shared" si="79"/>
        <v>0.78156421408562293</v>
      </c>
      <c r="I213" s="380">
        <f t="shared" si="81"/>
        <v>43.68377735688307</v>
      </c>
      <c r="J213" s="85">
        <v>2018</v>
      </c>
      <c r="K213" s="197">
        <f t="shared" si="82"/>
        <v>43299</v>
      </c>
      <c r="L213" s="438">
        <f t="shared" si="83"/>
        <v>1.2258052388639529E-3</v>
      </c>
      <c r="M213" s="970"/>
      <c r="N213" s="970"/>
      <c r="O213" s="324">
        <f t="shared" si="84"/>
        <v>7.3269606507320962E-3</v>
      </c>
      <c r="P213" s="169">
        <f>(INDEX(Models!$BJ213:$BT213,,T213)*(1-R213)+INDEX(Models!$BJ213:$BT213,,T213+1)*R213-ERP_i)*Q213*Ramure*Pc/MaxiM</f>
        <v>8.907605111491653E-4</v>
      </c>
      <c r="Q213" s="305">
        <f t="shared" si="85"/>
        <v>0.7</v>
      </c>
      <c r="R213" s="177">
        <f t="shared" si="86"/>
        <v>0.41334856565801048</v>
      </c>
      <c r="S213" s="921">
        <f t="shared" si="103"/>
        <v>-2</v>
      </c>
      <c r="T213" s="176">
        <f t="shared" si="87"/>
        <v>4</v>
      </c>
      <c r="U213" s="251">
        <f t="shared" si="88"/>
        <v>-1.5866514343419895</v>
      </c>
      <c r="V213" s="383">
        <f t="shared" si="89"/>
        <v>55.365857940790093</v>
      </c>
      <c r="W213" s="58"/>
      <c r="X213" s="157">
        <f t="shared" si="90"/>
        <v>43299</v>
      </c>
      <c r="Y213" s="385">
        <f t="shared" si="91"/>
        <v>43.283999999999999</v>
      </c>
      <c r="Z213" s="385">
        <f t="shared" si="92"/>
        <v>43.337122872254099</v>
      </c>
      <c r="AA213" s="386">
        <f t="shared" si="93"/>
        <v>43.656995963810104</v>
      </c>
      <c r="AB213" s="197">
        <f t="shared" si="94"/>
        <v>43299</v>
      </c>
      <c r="AC213" s="427">
        <f t="shared" si="95"/>
        <v>7.3269606507320962E-3</v>
      </c>
      <c r="AD213" s="169">
        <f>(INDEX(Models!$BJ213:$BT213,,AH213)*(1-AF213)+INDEX(Models!$BJ213:$BT213,,AH213+1)*AF213-ERP_i)*AE213*Ramure*Pc/MaxiM</f>
        <v>8.907605111491653E-4</v>
      </c>
      <c r="AE213" s="305">
        <f t="shared" si="96"/>
        <v>0.7</v>
      </c>
      <c r="AF213" s="177">
        <f t="shared" si="97"/>
        <v>0.41334856565801048</v>
      </c>
      <c r="AG213" s="921">
        <f t="shared" si="98"/>
        <v>-2</v>
      </c>
      <c r="AH213" s="176">
        <f t="shared" si="99"/>
        <v>4</v>
      </c>
      <c r="AI213" s="225">
        <f t="shared" si="100"/>
        <v>-1.5866514343419895</v>
      </c>
      <c r="AJ213" s="265" t="b">
        <f t="shared" si="101"/>
        <v>0</v>
      </c>
      <c r="AK213" s="265" t="b">
        <f t="shared" si="102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104"/>
        <v>43300</v>
      </c>
      <c r="B214" s="620">
        <v>54.176000000000002</v>
      </c>
      <c r="C214" s="390"/>
      <c r="D214" s="393">
        <f t="shared" si="80"/>
        <v>54.243678805083576</v>
      </c>
      <c r="E214" s="385">
        <f t="shared" si="77"/>
        <v>54.651091348912935</v>
      </c>
      <c r="F214" s="385">
        <f t="shared" si="78"/>
        <v>54.697527566916193</v>
      </c>
      <c r="G214" s="110">
        <f t="shared" si="79"/>
        <v>0.98050800489711953</v>
      </c>
      <c r="I214" s="380">
        <f t="shared" si="81"/>
        <v>54.697527566916193</v>
      </c>
      <c r="J214" s="85">
        <v>2018</v>
      </c>
      <c r="K214" s="197">
        <f t="shared" si="82"/>
        <v>43300</v>
      </c>
      <c r="L214" s="438">
        <f t="shared" si="83"/>
        <v>1.2476809570156622E-3</v>
      </c>
      <c r="M214" s="970"/>
      <c r="N214" s="970"/>
      <c r="O214" s="324">
        <f t="shared" si="84"/>
        <v>7.4547924620257996E-3</v>
      </c>
      <c r="P214" s="169">
        <f>(INDEX(Models!$BJ214:$BT214,,T214)*(1-R214)+INDEX(Models!$BJ214:$BT214,,T214+1)*R214-ERP_i)*Q214*Ramure*Pc/MaxiM</f>
        <v>8.7325028689114355E-4</v>
      </c>
      <c r="Q214" s="305">
        <f t="shared" si="85"/>
        <v>0.7</v>
      </c>
      <c r="R214" s="177">
        <f t="shared" si="86"/>
        <v>0.41625949692357422</v>
      </c>
      <c r="S214" s="921">
        <f t="shared" si="103"/>
        <v>-2</v>
      </c>
      <c r="T214" s="176">
        <f t="shared" si="87"/>
        <v>4</v>
      </c>
      <c r="U214" s="251">
        <f t="shared" si="88"/>
        <v>-1.5837405030764258</v>
      </c>
      <c r="V214" s="383">
        <f t="shared" si="89"/>
        <v>55.251647986470076</v>
      </c>
      <c r="W214" s="58"/>
      <c r="X214" s="157">
        <f t="shared" si="90"/>
        <v>43300</v>
      </c>
      <c r="Y214" s="385">
        <f t="shared" si="91"/>
        <v>54.176000000000002</v>
      </c>
      <c r="Z214" s="385">
        <f t="shared" si="92"/>
        <v>54.243678805083576</v>
      </c>
      <c r="AA214" s="386">
        <f t="shared" si="93"/>
        <v>54.651091348912935</v>
      </c>
      <c r="AB214" s="197">
        <f t="shared" si="94"/>
        <v>43300</v>
      </c>
      <c r="AC214" s="427">
        <f t="shared" si="95"/>
        <v>7.4547924620257996E-3</v>
      </c>
      <c r="AD214" s="169">
        <f>(INDEX(Models!$BJ214:$BT214,,AH214)*(1-AF214)+INDEX(Models!$BJ214:$BT214,,AH214+1)*AF214-ERP_i)*AE214*Ramure*Pc/MaxiM</f>
        <v>8.7325028689114355E-4</v>
      </c>
      <c r="AE214" s="305">
        <f t="shared" si="96"/>
        <v>0.7</v>
      </c>
      <c r="AF214" s="177">
        <f t="shared" si="97"/>
        <v>0.41625949692357422</v>
      </c>
      <c r="AG214" s="921">
        <f t="shared" si="98"/>
        <v>-2</v>
      </c>
      <c r="AH214" s="176">
        <f t="shared" si="99"/>
        <v>4</v>
      </c>
      <c r="AI214" s="225">
        <f t="shared" si="100"/>
        <v>-1.5837405030764258</v>
      </c>
      <c r="AJ214" s="265" t="b">
        <f t="shared" si="101"/>
        <v>0</v>
      </c>
      <c r="AK214" s="265" t="b">
        <f t="shared" si="102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104"/>
        <v>43301</v>
      </c>
      <c r="B215" s="620">
        <v>23.681999999999999</v>
      </c>
      <c r="C215" s="390"/>
      <c r="D215" s="393">
        <f t="shared" si="80"/>
        <v>23.712103848361664</v>
      </c>
      <c r="E215" s="385">
        <f t="shared" si="77"/>
        <v>23.893273845264826</v>
      </c>
      <c r="F215" s="385">
        <f t="shared" si="78"/>
        <v>23.897054441013477</v>
      </c>
      <c r="G215" s="110">
        <f t="shared" si="79"/>
        <v>0.42920748932266023</v>
      </c>
      <c r="I215" s="380">
        <f t="shared" si="81"/>
        <v>23.897054441013477</v>
      </c>
      <c r="J215" s="85">
        <v>2018</v>
      </c>
      <c r="K215" s="197">
        <f t="shared" si="82"/>
        <v>43301</v>
      </c>
      <c r="L215" s="438">
        <f t="shared" si="83"/>
        <v>1.2695561960329727E-3</v>
      </c>
      <c r="M215" s="970"/>
      <c r="N215" s="970"/>
      <c r="O215" s="324">
        <f t="shared" si="84"/>
        <v>7.5824685255121175E-3</v>
      </c>
      <c r="P215" s="169">
        <f>(INDEX(Models!$BJ215:$BT215,,T215)*(1-R215)+INDEX(Models!$BJ215:$BT215,,T215+1)*R215-ERP_i)*Q215*Ramure*Pc/MaxiM</f>
        <v>8.5510831185446113E-4</v>
      </c>
      <c r="Q215" s="305">
        <f t="shared" si="85"/>
        <v>0.7</v>
      </c>
      <c r="R215" s="177">
        <f t="shared" si="86"/>
        <v>0.41909198235900935</v>
      </c>
      <c r="S215" s="921">
        <f t="shared" si="103"/>
        <v>-2</v>
      </c>
      <c r="T215" s="176">
        <f t="shared" si="87"/>
        <v>4</v>
      </c>
      <c r="U215" s="251">
        <f t="shared" si="88"/>
        <v>-1.5809080176409906</v>
      </c>
      <c r="V215" s="383">
        <f t="shared" si="89"/>
        <v>55.137652244343748</v>
      </c>
      <c r="W215" s="58"/>
      <c r="X215" s="157">
        <f t="shared" si="90"/>
        <v>43301</v>
      </c>
      <c r="Y215" s="385">
        <f t="shared" si="91"/>
        <v>23.681999999999999</v>
      </c>
      <c r="Z215" s="385">
        <f t="shared" si="92"/>
        <v>23.712103848361664</v>
      </c>
      <c r="AA215" s="386">
        <f t="shared" si="93"/>
        <v>23.893273845264826</v>
      </c>
      <c r="AB215" s="197">
        <f t="shared" si="94"/>
        <v>43301</v>
      </c>
      <c r="AC215" s="427">
        <f t="shared" si="95"/>
        <v>7.5824685255121175E-3</v>
      </c>
      <c r="AD215" s="169">
        <f>(INDEX(Models!$BJ215:$BT215,,AH215)*(1-AF215)+INDEX(Models!$BJ215:$BT215,,AH215+1)*AF215-ERP_i)*AE215*Ramure*Pc/MaxiM</f>
        <v>8.5510831185446113E-4</v>
      </c>
      <c r="AE215" s="305">
        <f t="shared" si="96"/>
        <v>0.7</v>
      </c>
      <c r="AF215" s="177">
        <f t="shared" si="97"/>
        <v>0.41909198235900935</v>
      </c>
      <c r="AG215" s="921">
        <f t="shared" si="98"/>
        <v>-2</v>
      </c>
      <c r="AH215" s="176">
        <f t="shared" si="99"/>
        <v>4</v>
      </c>
      <c r="AI215" s="225">
        <f t="shared" si="100"/>
        <v>-1.5809080176409906</v>
      </c>
      <c r="AJ215" s="265" t="b">
        <f t="shared" si="101"/>
        <v>0</v>
      </c>
      <c r="AK215" s="265" t="b">
        <f t="shared" si="102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104"/>
        <v>43302</v>
      </c>
      <c r="B216" s="620">
        <v>30.847000000000001</v>
      </c>
      <c r="C216" s="390"/>
      <c r="D216" s="393">
        <f t="shared" si="80"/>
        <v>30.886888283661765</v>
      </c>
      <c r="E216" s="385">
        <f t="shared" si="77"/>
        <v>31.126876179426301</v>
      </c>
      <c r="F216" s="385">
        <f t="shared" si="78"/>
        <v>31.136571236898231</v>
      </c>
      <c r="G216" s="110">
        <f t="shared" si="79"/>
        <v>0.56031467344981811</v>
      </c>
      <c r="I216" s="380">
        <f t="shared" si="81"/>
        <v>31.136571236898231</v>
      </c>
      <c r="J216" s="85">
        <v>2018</v>
      </c>
      <c r="K216" s="197">
        <f t="shared" si="82"/>
        <v>43302</v>
      </c>
      <c r="L216" s="438">
        <f t="shared" si="83"/>
        <v>1.2914309559264314E-3</v>
      </c>
      <c r="M216" s="970"/>
      <c r="N216" s="970"/>
      <c r="O216" s="324">
        <f t="shared" si="84"/>
        <v>7.7099897330256068E-3</v>
      </c>
      <c r="P216" s="169">
        <f>(INDEX(Models!$BJ216:$BT216,,T216)*(1-R216)+INDEX(Models!$BJ216:$BT216,,T216+1)*R216-ERP_i)*Q216*Ramure*Pc/MaxiM</f>
        <v>8.3635009559873989E-4</v>
      </c>
      <c r="Q216" s="305">
        <f t="shared" si="85"/>
        <v>0.7</v>
      </c>
      <c r="R216" s="177">
        <f t="shared" si="86"/>
        <v>0.42184685511706932</v>
      </c>
      <c r="S216" s="921">
        <f t="shared" si="103"/>
        <v>-2</v>
      </c>
      <c r="T216" s="176">
        <f t="shared" si="87"/>
        <v>4</v>
      </c>
      <c r="U216" s="251">
        <f t="shared" si="88"/>
        <v>-1.5781531448829307</v>
      </c>
      <c r="V216" s="383">
        <f t="shared" si="89"/>
        <v>55.024082749674605</v>
      </c>
      <c r="W216" s="58"/>
      <c r="X216" s="157">
        <f t="shared" si="90"/>
        <v>43302</v>
      </c>
      <c r="Y216" s="385">
        <f t="shared" si="91"/>
        <v>30.847000000000001</v>
      </c>
      <c r="Z216" s="385">
        <f t="shared" si="92"/>
        <v>30.886888283661765</v>
      </c>
      <c r="AA216" s="386">
        <f t="shared" si="93"/>
        <v>31.126876179426301</v>
      </c>
      <c r="AB216" s="197">
        <f t="shared" si="94"/>
        <v>43302</v>
      </c>
      <c r="AC216" s="427">
        <f t="shared" si="95"/>
        <v>7.7099897330256068E-3</v>
      </c>
      <c r="AD216" s="169">
        <f>(INDEX(Models!$BJ216:$BT216,,AH216)*(1-AF216)+INDEX(Models!$BJ216:$BT216,,AH216+1)*AF216-ERP_i)*AE216*Ramure*Pc/MaxiM</f>
        <v>8.3635009559873989E-4</v>
      </c>
      <c r="AE216" s="305">
        <f t="shared" si="96"/>
        <v>0.7</v>
      </c>
      <c r="AF216" s="177">
        <f t="shared" si="97"/>
        <v>0.42184685511706932</v>
      </c>
      <c r="AG216" s="921">
        <f t="shared" si="98"/>
        <v>-2</v>
      </c>
      <c r="AH216" s="176">
        <f t="shared" si="99"/>
        <v>4</v>
      </c>
      <c r="AI216" s="225">
        <f t="shared" si="100"/>
        <v>-1.5781531448829307</v>
      </c>
      <c r="AJ216" s="265" t="b">
        <f t="shared" si="101"/>
        <v>0</v>
      </c>
      <c r="AK216" s="265" t="b">
        <f t="shared" si="102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104"/>
        <v>43303</v>
      </c>
      <c r="B217" s="620">
        <v>51.277999999999999</v>
      </c>
      <c r="C217" s="390"/>
      <c r="D217" s="393">
        <f t="shared" si="80"/>
        <v>51.34543222502208</v>
      </c>
      <c r="E217" s="385">
        <f t="shared" si="77"/>
        <v>51.751023474404064</v>
      </c>
      <c r="F217" s="385">
        <f t="shared" si="78"/>
        <v>51.78933561671316</v>
      </c>
      <c r="G217" s="110">
        <f t="shared" si="79"/>
        <v>0.93376365152997287</v>
      </c>
      <c r="I217" s="380">
        <f t="shared" si="81"/>
        <v>51.78933561671316</v>
      </c>
      <c r="J217" s="85">
        <v>2018</v>
      </c>
      <c r="K217" s="197">
        <f t="shared" si="82"/>
        <v>43303</v>
      </c>
      <c r="L217" s="438">
        <f t="shared" si="83"/>
        <v>1.3133052367064746E-3</v>
      </c>
      <c r="M217" s="970"/>
      <c r="N217" s="970"/>
      <c r="O217" s="324">
        <f t="shared" si="84"/>
        <v>7.8373570637224662E-3</v>
      </c>
      <c r="P217" s="169">
        <f>(INDEX(Models!$BJ217:$BT217,,T217)*(1-R217)+INDEX(Models!$BJ217:$BT217,,T217+1)*R217-ERP_i)*Q217*Ramure*Pc/MaxiM</f>
        <v>8.1699116526278792E-4</v>
      </c>
      <c r="Q217" s="305">
        <f t="shared" si="85"/>
        <v>0.7</v>
      </c>
      <c r="R217" s="177">
        <f t="shared" si="86"/>
        <v>0.42452503077434844</v>
      </c>
      <c r="S217" s="921">
        <f t="shared" si="103"/>
        <v>-2</v>
      </c>
      <c r="T217" s="176">
        <f t="shared" si="87"/>
        <v>4</v>
      </c>
      <c r="U217" s="251">
        <f t="shared" si="88"/>
        <v>-1.5754749692256516</v>
      </c>
      <c r="V217" s="383">
        <f t="shared" si="89"/>
        <v>54.911151428529841</v>
      </c>
      <c r="W217" s="58"/>
      <c r="X217" s="157">
        <f t="shared" si="90"/>
        <v>43303</v>
      </c>
      <c r="Y217" s="385">
        <f t="shared" si="91"/>
        <v>51.277999999999999</v>
      </c>
      <c r="Z217" s="385">
        <f t="shared" si="92"/>
        <v>51.34543222502208</v>
      </c>
      <c r="AA217" s="386">
        <f t="shared" si="93"/>
        <v>51.751023474404064</v>
      </c>
      <c r="AB217" s="197">
        <f t="shared" si="94"/>
        <v>43303</v>
      </c>
      <c r="AC217" s="427">
        <f t="shared" si="95"/>
        <v>7.8373570637224662E-3</v>
      </c>
      <c r="AD217" s="169">
        <f>(INDEX(Models!$BJ217:$BT217,,AH217)*(1-AF217)+INDEX(Models!$BJ217:$BT217,,AH217+1)*AF217-ERP_i)*AE217*Ramure*Pc/MaxiM</f>
        <v>8.1699116526278792E-4</v>
      </c>
      <c r="AE217" s="305">
        <f t="shared" si="96"/>
        <v>0.7</v>
      </c>
      <c r="AF217" s="177">
        <f t="shared" si="97"/>
        <v>0.42452503077434844</v>
      </c>
      <c r="AG217" s="921">
        <f t="shared" si="98"/>
        <v>-2</v>
      </c>
      <c r="AH217" s="176">
        <f t="shared" si="99"/>
        <v>4</v>
      </c>
      <c r="AI217" s="225">
        <f t="shared" si="100"/>
        <v>-1.5754749692256516</v>
      </c>
      <c r="AJ217" s="265" t="b">
        <f t="shared" si="101"/>
        <v>0</v>
      </c>
      <c r="AK217" s="265" t="b">
        <f t="shared" si="102"/>
        <v>0</v>
      </c>
      <c r="AL217" s="265"/>
      <c r="AM217" s="265"/>
      <c r="AN217" s="75"/>
    </row>
    <row r="218" spans="1:40" s="6" customFormat="1" ht="11.25" x14ac:dyDescent="0.2">
      <c r="A218" s="56">
        <f t="shared" si="104"/>
        <v>43304</v>
      </c>
      <c r="B218" s="620">
        <v>55.73</v>
      </c>
      <c r="C218" s="390"/>
      <c r="D218" s="393">
        <f t="shared" si="80"/>
        <v>55.804509010678338</v>
      </c>
      <c r="E218" s="385">
        <f t="shared" si="77"/>
        <v>56.252536361946163</v>
      </c>
      <c r="F218" s="385">
        <f t="shared" si="78"/>
        <v>56.297408043792899</v>
      </c>
      <c r="G218" s="110">
        <f t="shared" si="79"/>
        <v>1.0169880601151242</v>
      </c>
      <c r="I218" s="380">
        <f t="shared" si="81"/>
        <v>56.297408043792899</v>
      </c>
      <c r="J218" s="85">
        <v>2018</v>
      </c>
      <c r="K218" s="197">
        <f t="shared" si="82"/>
        <v>43304</v>
      </c>
      <c r="L218" s="438">
        <f t="shared" si="83"/>
        <v>1.3351790383835382E-3</v>
      </c>
      <c r="M218" s="970"/>
      <c r="N218" s="970"/>
      <c r="O218" s="324">
        <f t="shared" si="84"/>
        <v>7.9645715596729678E-3</v>
      </c>
      <c r="P218" s="169">
        <f>(INDEX(Models!$BJ218:$BT218,,T218)*(1-R218)+INDEX(Models!$BJ218:$BT218,,T218+1)*R218-ERP_i)*Q218*Ramure*Pc/MaxiM</f>
        <v>7.9704702944460035E-4</v>
      </c>
      <c r="Q218" s="305">
        <f t="shared" si="85"/>
        <v>0.7</v>
      </c>
      <c r="R218" s="177">
        <f t="shared" si="86"/>
        <v>0.42712750053548065</v>
      </c>
      <c r="S218" s="921">
        <f t="shared" si="103"/>
        <v>-2</v>
      </c>
      <c r="T218" s="176">
        <f t="shared" si="87"/>
        <v>4</v>
      </c>
      <c r="U218" s="251">
        <f t="shared" si="88"/>
        <v>-1.5728724994645193</v>
      </c>
      <c r="V218" s="383">
        <f t="shared" si="89"/>
        <v>54.799070102840041</v>
      </c>
      <c r="W218" s="58"/>
      <c r="X218" s="157">
        <f t="shared" si="90"/>
        <v>43304</v>
      </c>
      <c r="Y218" s="385">
        <f t="shared" si="91"/>
        <v>55.73</v>
      </c>
      <c r="Z218" s="385">
        <f t="shared" si="92"/>
        <v>55.804509010678338</v>
      </c>
      <c r="AA218" s="386">
        <f t="shared" si="93"/>
        <v>56.252536361946163</v>
      </c>
      <c r="AB218" s="197">
        <f t="shared" si="94"/>
        <v>43304</v>
      </c>
      <c r="AC218" s="427">
        <f t="shared" si="95"/>
        <v>7.9645715596729678E-3</v>
      </c>
      <c r="AD218" s="169">
        <f>(INDEX(Models!$BJ218:$BT218,,AH218)*(1-AF218)+INDEX(Models!$BJ218:$BT218,,AH218+1)*AF218-ERP_i)*AE218*Ramure*Pc/MaxiM</f>
        <v>7.9704702944460035E-4</v>
      </c>
      <c r="AE218" s="305">
        <f t="shared" si="96"/>
        <v>0.7</v>
      </c>
      <c r="AF218" s="177">
        <f t="shared" si="97"/>
        <v>0.42712750053548065</v>
      </c>
      <c r="AG218" s="921">
        <f t="shared" si="98"/>
        <v>-2</v>
      </c>
      <c r="AH218" s="176">
        <f t="shared" si="99"/>
        <v>4</v>
      </c>
      <c r="AI218" s="225">
        <f t="shared" si="100"/>
        <v>-1.5728724994645193</v>
      </c>
      <c r="AJ218" s="265" t="b">
        <f t="shared" si="101"/>
        <v>0</v>
      </c>
      <c r="AK218" s="265" t="b">
        <f t="shared" si="102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104"/>
        <v>43305</v>
      </c>
      <c r="B219" s="620">
        <v>46.265999999999998</v>
      </c>
      <c r="C219" s="390"/>
      <c r="D219" s="393">
        <f t="shared" si="80"/>
        <v>46.328870703369006</v>
      </c>
      <c r="E219" s="385">
        <f t="shared" si="77"/>
        <v>46.706805089565925</v>
      </c>
      <c r="F219" s="385">
        <f t="shared" si="78"/>
        <v>46.735112620569581</v>
      </c>
      <c r="G219" s="110">
        <f t="shared" si="79"/>
        <v>0.84585840145485258</v>
      </c>
      <c r="I219" s="380">
        <f t="shared" si="81"/>
        <v>46.735112620569581</v>
      </c>
      <c r="J219" s="85">
        <v>2018</v>
      </c>
      <c r="K219" s="197">
        <f t="shared" si="82"/>
        <v>43305</v>
      </c>
      <c r="L219" s="438">
        <f t="shared" si="83"/>
        <v>1.3570523609683915E-3</v>
      </c>
      <c r="M219" s="970"/>
      <c r="N219" s="970"/>
      <c r="O219" s="324">
        <f t="shared" si="84"/>
        <v>8.091634301943507E-3</v>
      </c>
      <c r="P219" s="169">
        <f>(INDEX(Models!$BJ219:$BT219,,T219)*(1-R219)+INDEX(Models!$BJ219:$BT219,,T219+1)*R219-ERP_i)*Q219*Ramure*Pc/MaxiM</f>
        <v>7.7653618309777065E-4</v>
      </c>
      <c r="Q219" s="305">
        <f t="shared" si="85"/>
        <v>0.7</v>
      </c>
      <c r="R219" s="177">
        <f t="shared" si="86"/>
        <v>0.42965532457835787</v>
      </c>
      <c r="S219" s="921">
        <f t="shared" si="103"/>
        <v>-2</v>
      </c>
      <c r="T219" s="176">
        <f t="shared" si="87"/>
        <v>4</v>
      </c>
      <c r="U219" s="251">
        <f t="shared" si="88"/>
        <v>-1.5703446754216421</v>
      </c>
      <c r="V219" s="383">
        <f t="shared" si="89"/>
        <v>54.687748322742443</v>
      </c>
      <c r="W219" s="58"/>
      <c r="X219" s="157">
        <f t="shared" si="90"/>
        <v>43305</v>
      </c>
      <c r="Y219" s="385">
        <f t="shared" si="91"/>
        <v>46.265999999999998</v>
      </c>
      <c r="Z219" s="385">
        <f t="shared" si="92"/>
        <v>46.328870703369006</v>
      </c>
      <c r="AA219" s="386">
        <f t="shared" si="93"/>
        <v>46.706805089565925</v>
      </c>
      <c r="AB219" s="197">
        <f t="shared" si="94"/>
        <v>43305</v>
      </c>
      <c r="AC219" s="427">
        <f t="shared" si="95"/>
        <v>8.091634301943507E-3</v>
      </c>
      <c r="AD219" s="169">
        <f>(INDEX(Models!$BJ219:$BT219,,AH219)*(1-AF219)+INDEX(Models!$BJ219:$BT219,,AH219+1)*AF219-ERP_i)*AE219*Ramure*Pc/MaxiM</f>
        <v>7.7653618309777065E-4</v>
      </c>
      <c r="AE219" s="305">
        <f t="shared" si="96"/>
        <v>0.7</v>
      </c>
      <c r="AF219" s="177">
        <f t="shared" si="97"/>
        <v>0.42965532457835787</v>
      </c>
      <c r="AG219" s="921">
        <f t="shared" si="98"/>
        <v>-2</v>
      </c>
      <c r="AH219" s="176">
        <f t="shared" si="99"/>
        <v>4</v>
      </c>
      <c r="AI219" s="225">
        <f t="shared" si="100"/>
        <v>-1.5703446754216421</v>
      </c>
      <c r="AJ219" s="265" t="b">
        <f t="shared" si="101"/>
        <v>0</v>
      </c>
      <c r="AK219" s="265" t="b">
        <f t="shared" si="102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104"/>
        <v>43306</v>
      </c>
      <c r="B220" s="620">
        <v>53.968000000000004</v>
      </c>
      <c r="C220" s="390"/>
      <c r="D220" s="393">
        <f t="shared" si="80"/>
        <v>54.042520593759896</v>
      </c>
      <c r="E220" s="385">
        <f t="shared" si="77"/>
        <v>54.49035207999377</v>
      </c>
      <c r="F220" s="385">
        <f t="shared" si="78"/>
        <v>54.530894378058939</v>
      </c>
      <c r="G220" s="110">
        <f t="shared" si="79"/>
        <v>0.98883170337890869</v>
      </c>
      <c r="I220" s="380">
        <f t="shared" si="81"/>
        <v>54.530894378058939</v>
      </c>
      <c r="J220" s="85">
        <v>2018</v>
      </c>
      <c r="K220" s="197">
        <f t="shared" si="82"/>
        <v>43306</v>
      </c>
      <c r="L220" s="438">
        <f t="shared" si="83"/>
        <v>1.3789252044712486E-3</v>
      </c>
      <c r="M220" s="970"/>
      <c r="N220" s="970"/>
      <c r="O220" s="324">
        <f t="shared" si="84"/>
        <v>8.2185463873759908E-3</v>
      </c>
      <c r="P220" s="169">
        <f>(INDEX(Models!$BJ220:$BT220,,T220)*(1-R220)+INDEX(Models!$BJ220:$BT220,,T220+1)*R220-ERP_i)*Q220*Ramure*Pc/MaxiM</f>
        <v>7.555150878137399E-4</v>
      </c>
      <c r="Q220" s="305">
        <f t="shared" si="85"/>
        <v>0.7</v>
      </c>
      <c r="R220" s="177">
        <f t="shared" si="86"/>
        <v>0.43210962556549282</v>
      </c>
      <c r="S220" s="921">
        <f t="shared" si="103"/>
        <v>-2</v>
      </c>
      <c r="T220" s="176">
        <f t="shared" si="87"/>
        <v>4</v>
      </c>
      <c r="U220" s="251">
        <f t="shared" si="88"/>
        <v>-1.5678903744345072</v>
      </c>
      <c r="V220" s="383">
        <f t="shared" si="89"/>
        <v>54.576880468745657</v>
      </c>
      <c r="W220" s="58"/>
      <c r="X220" s="157">
        <f t="shared" si="90"/>
        <v>43306</v>
      </c>
      <c r="Y220" s="385">
        <f t="shared" si="91"/>
        <v>53.968000000000004</v>
      </c>
      <c r="Z220" s="385">
        <f t="shared" si="92"/>
        <v>54.042520593759896</v>
      </c>
      <c r="AA220" s="386">
        <f t="shared" si="93"/>
        <v>54.49035207999377</v>
      </c>
      <c r="AB220" s="197">
        <f t="shared" si="94"/>
        <v>43306</v>
      </c>
      <c r="AC220" s="427">
        <f t="shared" si="95"/>
        <v>8.2185463873759908E-3</v>
      </c>
      <c r="AD220" s="169">
        <f>(INDEX(Models!$BJ220:$BT220,,AH220)*(1-AF220)+INDEX(Models!$BJ220:$BT220,,AH220+1)*AF220-ERP_i)*AE220*Ramure*Pc/MaxiM</f>
        <v>7.555150878137399E-4</v>
      </c>
      <c r="AE220" s="305">
        <f t="shared" si="96"/>
        <v>0.7</v>
      </c>
      <c r="AF220" s="177">
        <f t="shared" si="97"/>
        <v>0.43210962556549282</v>
      </c>
      <c r="AG220" s="921">
        <f t="shared" si="98"/>
        <v>-2</v>
      </c>
      <c r="AH220" s="176">
        <f t="shared" si="99"/>
        <v>4</v>
      </c>
      <c r="AI220" s="225">
        <f t="shared" si="100"/>
        <v>-1.5678903744345072</v>
      </c>
      <c r="AJ220" s="265" t="b">
        <f t="shared" si="101"/>
        <v>0</v>
      </c>
      <c r="AK220" s="265" t="b">
        <f t="shared" si="102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104"/>
        <v>43307</v>
      </c>
      <c r="B221" s="620">
        <v>53.863</v>
      </c>
      <c r="C221" s="390"/>
      <c r="D221" s="393">
        <f t="shared" si="80"/>
        <v>53.938556999515036</v>
      </c>
      <c r="E221" s="385">
        <f t="shared" si="77"/>
        <v>54.392479039275017</v>
      </c>
      <c r="F221" s="385">
        <f t="shared" si="78"/>
        <v>54.431799382786856</v>
      </c>
      <c r="G221" s="110">
        <f t="shared" si="79"/>
        <v>0.98891085954415969</v>
      </c>
      <c r="I221" s="380">
        <f t="shared" si="81"/>
        <v>54.431799382786856</v>
      </c>
      <c r="J221" s="85">
        <v>2018</v>
      </c>
      <c r="K221" s="197">
        <f t="shared" si="82"/>
        <v>43307</v>
      </c>
      <c r="L221" s="438">
        <f t="shared" si="83"/>
        <v>1.4007975689026564E-3</v>
      </c>
      <c r="M221" s="970"/>
      <c r="N221" s="970"/>
      <c r="O221" s="324">
        <f t="shared" si="84"/>
        <v>8.3453089062591988E-3</v>
      </c>
      <c r="P221" s="169">
        <f>(INDEX(Models!$BJ221:$BT221,,T221)*(1-R221)+INDEX(Models!$BJ221:$BT221,,T221+1)*R221-ERP_i)*Q221*Ramure*Pc/MaxiM</f>
        <v>7.3399377157620685E-4</v>
      </c>
      <c r="Q221" s="305">
        <f t="shared" si="85"/>
        <v>0.7</v>
      </c>
      <c r="R221" s="177">
        <f t="shared" si="86"/>
        <v>0.43449158234335172</v>
      </c>
      <c r="S221" s="921">
        <f t="shared" si="103"/>
        <v>-2</v>
      </c>
      <c r="T221" s="176">
        <f t="shared" si="87"/>
        <v>4</v>
      </c>
      <c r="U221" s="251">
        <f t="shared" si="88"/>
        <v>-1.5655084176566483</v>
      </c>
      <c r="V221" s="383">
        <f t="shared" si="89"/>
        <v>54.466359001540184</v>
      </c>
      <c r="W221" s="58"/>
      <c r="X221" s="157">
        <f t="shared" si="90"/>
        <v>43307</v>
      </c>
      <c r="Y221" s="385">
        <f t="shared" si="91"/>
        <v>53.863</v>
      </c>
      <c r="Z221" s="385">
        <f t="shared" si="92"/>
        <v>53.938556999515036</v>
      </c>
      <c r="AA221" s="386">
        <f t="shared" si="93"/>
        <v>54.392479039275017</v>
      </c>
      <c r="AB221" s="197">
        <f t="shared" si="94"/>
        <v>43307</v>
      </c>
      <c r="AC221" s="427">
        <f t="shared" si="95"/>
        <v>8.3453089062591988E-3</v>
      </c>
      <c r="AD221" s="169">
        <f>(INDEX(Models!$BJ221:$BT221,,AH221)*(1-AF221)+INDEX(Models!$BJ221:$BT221,,AH221+1)*AF221-ERP_i)*AE221*Ramure*Pc/MaxiM</f>
        <v>7.3399377157620685E-4</v>
      </c>
      <c r="AE221" s="305">
        <f t="shared" si="96"/>
        <v>0.7</v>
      </c>
      <c r="AF221" s="177">
        <f t="shared" si="97"/>
        <v>0.43449158234335172</v>
      </c>
      <c r="AG221" s="921">
        <f t="shared" si="98"/>
        <v>-2</v>
      </c>
      <c r="AH221" s="176">
        <f t="shared" si="99"/>
        <v>4</v>
      </c>
      <c r="AI221" s="225">
        <f t="shared" si="100"/>
        <v>-1.5655084176566483</v>
      </c>
      <c r="AJ221" s="265" t="b">
        <f t="shared" si="101"/>
        <v>0</v>
      </c>
      <c r="AK221" s="265" t="b">
        <f t="shared" si="102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104"/>
        <v>43308</v>
      </c>
      <c r="B222" s="620">
        <v>49.65</v>
      </c>
      <c r="C222" s="390"/>
      <c r="D222" s="393">
        <f t="shared" si="80"/>
        <v>49.720736172596723</v>
      </c>
      <c r="E222" s="385">
        <f t="shared" si="77"/>
        <v>50.145565538673821</v>
      </c>
      <c r="F222" s="385">
        <f t="shared" si="78"/>
        <v>50.176872336007754</v>
      </c>
      <c r="G222" s="110">
        <f t="shared" si="79"/>
        <v>0.9133408565394604</v>
      </c>
      <c r="I222" s="380">
        <f t="shared" si="81"/>
        <v>50.176872336007754</v>
      </c>
      <c r="J222" s="85">
        <v>2018</v>
      </c>
      <c r="K222" s="197">
        <f t="shared" si="82"/>
        <v>43308</v>
      </c>
      <c r="L222" s="438">
        <f t="shared" si="83"/>
        <v>1.4226694542731622E-3</v>
      </c>
      <c r="M222" s="970"/>
      <c r="N222" s="970"/>
      <c r="O222" s="324">
        <f t="shared" si="84"/>
        <v>8.471922921069748E-3</v>
      </c>
      <c r="P222" s="169">
        <f>(INDEX(Models!$BJ222:$BT222,,T222)*(1-R222)+INDEX(Models!$BJ222:$BT222,,T222+1)*R222-ERP_i)*Q222*Ramure*Pc/MaxiM</f>
        <v>7.1199052057173765E-4</v>
      </c>
      <c r="Q222" s="305">
        <f t="shared" si="85"/>
        <v>0.7</v>
      </c>
      <c r="R222" s="177">
        <f t="shared" si="86"/>
        <v>0.43680242384831769</v>
      </c>
      <c r="S222" s="921">
        <f t="shared" si="103"/>
        <v>-2</v>
      </c>
      <c r="T222" s="176">
        <f t="shared" si="87"/>
        <v>4</v>
      </c>
      <c r="U222" s="251">
        <f t="shared" si="88"/>
        <v>-1.5631975761516823</v>
      </c>
      <c r="V222" s="383">
        <f t="shared" si="89"/>
        <v>54.356075995071393</v>
      </c>
      <c r="W222" s="58"/>
      <c r="X222" s="157">
        <f t="shared" si="90"/>
        <v>43308</v>
      </c>
      <c r="Y222" s="385">
        <f t="shared" si="91"/>
        <v>49.65</v>
      </c>
      <c r="Z222" s="385">
        <f t="shared" si="92"/>
        <v>49.720736172596723</v>
      </c>
      <c r="AA222" s="386">
        <f t="shared" si="93"/>
        <v>50.145565538673821</v>
      </c>
      <c r="AB222" s="197">
        <f t="shared" si="94"/>
        <v>43308</v>
      </c>
      <c r="AC222" s="427">
        <f t="shared" si="95"/>
        <v>8.471922921069748E-3</v>
      </c>
      <c r="AD222" s="169">
        <f>(INDEX(Models!$BJ222:$BT222,,AH222)*(1-AF222)+INDEX(Models!$BJ222:$BT222,,AH222+1)*AF222-ERP_i)*AE222*Ramure*Pc/MaxiM</f>
        <v>7.1199052057173765E-4</v>
      </c>
      <c r="AE222" s="305">
        <f t="shared" si="96"/>
        <v>0.7</v>
      </c>
      <c r="AF222" s="177">
        <f t="shared" si="97"/>
        <v>0.43680242384831769</v>
      </c>
      <c r="AG222" s="921">
        <f t="shared" si="98"/>
        <v>-2</v>
      </c>
      <c r="AH222" s="176">
        <f t="shared" si="99"/>
        <v>4</v>
      </c>
      <c r="AI222" s="225">
        <f t="shared" si="100"/>
        <v>-1.5631975761516823</v>
      </c>
      <c r="AJ222" s="265" t="b">
        <f t="shared" si="101"/>
        <v>0</v>
      </c>
      <c r="AK222" s="265" t="b">
        <f t="shared" si="102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104"/>
        <v>43309</v>
      </c>
      <c r="B223" s="620">
        <v>24.204999999999998</v>
      </c>
      <c r="C223" s="390"/>
      <c r="D223" s="393">
        <f t="shared" si="80"/>
        <v>24.240015693130147</v>
      </c>
      <c r="E223" s="385">
        <f t="shared" si="77"/>
        <v>24.450248451377362</v>
      </c>
      <c r="F223" s="385">
        <f t="shared" si="78"/>
        <v>24.453770291225343</v>
      </c>
      <c r="G223" s="110">
        <f t="shared" si="79"/>
        <v>0.44596520051169575</v>
      </c>
      <c r="I223" s="380">
        <f t="shared" si="81"/>
        <v>24.453770291225343</v>
      </c>
      <c r="J223" s="85">
        <v>2018</v>
      </c>
      <c r="K223" s="197">
        <f t="shared" si="82"/>
        <v>43309</v>
      </c>
      <c r="L223" s="438">
        <f t="shared" si="83"/>
        <v>1.444540860593313E-3</v>
      </c>
      <c r="M223" s="970"/>
      <c r="N223" s="970"/>
      <c r="O223" s="324">
        <f t="shared" si="84"/>
        <v>8.5983894464422977E-3</v>
      </c>
      <c r="P223" s="169">
        <f>(INDEX(Models!$BJ223:$BT223,,T223)*(1-R223)+INDEX(Models!$BJ223:$BT223,,T223+1)*R223-ERP_i)*Q223*Ramure*Pc/MaxiM</f>
        <v>6.8952301487033895E-4</v>
      </c>
      <c r="Q223" s="305">
        <f t="shared" si="85"/>
        <v>0.7</v>
      </c>
      <c r="R223" s="177">
        <f t="shared" si="86"/>
        <v>0.4390434232348992</v>
      </c>
      <c r="S223" s="921">
        <f t="shared" si="103"/>
        <v>-2</v>
      </c>
      <c r="T223" s="176">
        <f t="shared" si="87"/>
        <v>4</v>
      </c>
      <c r="U223" s="251">
        <f t="shared" si="88"/>
        <v>-1.5609565767651008</v>
      </c>
      <c r="V223" s="383">
        <f t="shared" si="89"/>
        <v>54.245923622819994</v>
      </c>
      <c r="W223" s="58"/>
      <c r="X223" s="157">
        <f t="shared" si="90"/>
        <v>43309</v>
      </c>
      <c r="Y223" s="385">
        <f t="shared" si="91"/>
        <v>24.204999999999998</v>
      </c>
      <c r="Z223" s="385">
        <f t="shared" si="92"/>
        <v>24.240015693130147</v>
      </c>
      <c r="AA223" s="386">
        <f t="shared" si="93"/>
        <v>24.450248451377362</v>
      </c>
      <c r="AB223" s="197">
        <f t="shared" si="94"/>
        <v>43309</v>
      </c>
      <c r="AC223" s="427">
        <f t="shared" si="95"/>
        <v>8.5983894464422977E-3</v>
      </c>
      <c r="AD223" s="169">
        <f>(INDEX(Models!$BJ223:$BT223,,AH223)*(1-AF223)+INDEX(Models!$BJ223:$BT223,,AH223+1)*AF223-ERP_i)*AE223*Ramure*Pc/MaxiM</f>
        <v>6.8952301487033895E-4</v>
      </c>
      <c r="AE223" s="305">
        <f t="shared" si="96"/>
        <v>0.7</v>
      </c>
      <c r="AF223" s="177">
        <f t="shared" si="97"/>
        <v>0.4390434232348992</v>
      </c>
      <c r="AG223" s="921">
        <f t="shared" si="98"/>
        <v>-2</v>
      </c>
      <c r="AH223" s="176">
        <f t="shared" si="99"/>
        <v>4</v>
      </c>
      <c r="AI223" s="225">
        <f t="shared" si="100"/>
        <v>-1.5609565767651008</v>
      </c>
      <c r="AJ223" s="265" t="b">
        <f t="shared" si="101"/>
        <v>0</v>
      </c>
      <c r="AK223" s="265" t="b">
        <f t="shared" si="102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104"/>
        <v>43310</v>
      </c>
      <c r="B224" s="620">
        <v>53.170999999999999</v>
      </c>
      <c r="C224" s="390"/>
      <c r="D224" s="393">
        <f t="shared" si="80"/>
        <v>53.24908508606368</v>
      </c>
      <c r="E224" s="385">
        <f t="shared" si="77"/>
        <v>53.717756906330109</v>
      </c>
      <c r="F224" s="385">
        <f t="shared" si="78"/>
        <v>53.752676617864829</v>
      </c>
      <c r="G224" s="110">
        <f t="shared" si="79"/>
        <v>0.98216157798003678</v>
      </c>
      <c r="I224" s="380">
        <f t="shared" si="81"/>
        <v>53.752676617864829</v>
      </c>
      <c r="J224" s="85">
        <v>2018</v>
      </c>
      <c r="K224" s="197">
        <f t="shared" si="82"/>
        <v>43310</v>
      </c>
      <c r="L224" s="438">
        <f t="shared" si="83"/>
        <v>1.466411787873434E-3</v>
      </c>
      <c r="M224" s="970"/>
      <c r="N224" s="970"/>
      <c r="O224" s="324">
        <f t="shared" si="84"/>
        <v>8.7247094305085947E-3</v>
      </c>
      <c r="P224" s="169">
        <f>(INDEX(Models!$BJ224:$BT224,,T224)*(1-R224)+INDEX(Models!$BJ224:$BT224,,T224+1)*R224-ERP_i)*Q224*Ramure*Pc/MaxiM</f>
        <v>6.6660830324959531E-4</v>
      </c>
      <c r="Q224" s="305">
        <f t="shared" si="85"/>
        <v>0.7</v>
      </c>
      <c r="R224" s="177">
        <f t="shared" si="86"/>
        <v>0.44121589223893265</v>
      </c>
      <c r="S224" s="921">
        <f t="shared" si="103"/>
        <v>-2</v>
      </c>
      <c r="T224" s="176">
        <f t="shared" si="87"/>
        <v>4</v>
      </c>
      <c r="U224" s="251">
        <f t="shared" si="88"/>
        <v>-1.5587841077610674</v>
      </c>
      <c r="V224" s="383">
        <f t="shared" si="89"/>
        <v>54.135794158945068</v>
      </c>
      <c r="W224" s="58"/>
      <c r="X224" s="157">
        <f t="shared" si="90"/>
        <v>43310</v>
      </c>
      <c r="Y224" s="385">
        <f t="shared" si="91"/>
        <v>53.170999999999999</v>
      </c>
      <c r="Z224" s="385">
        <f t="shared" si="92"/>
        <v>53.24908508606368</v>
      </c>
      <c r="AA224" s="386">
        <f t="shared" si="93"/>
        <v>53.717756906330109</v>
      </c>
      <c r="AB224" s="197">
        <f t="shared" si="94"/>
        <v>43310</v>
      </c>
      <c r="AC224" s="427">
        <f t="shared" si="95"/>
        <v>8.7247094305085947E-3</v>
      </c>
      <c r="AD224" s="169">
        <f>(INDEX(Models!$BJ224:$BT224,,AH224)*(1-AF224)+INDEX(Models!$BJ224:$BT224,,AH224+1)*AF224-ERP_i)*AE224*Ramure*Pc/MaxiM</f>
        <v>6.6660830324959531E-4</v>
      </c>
      <c r="AE224" s="305">
        <f t="shared" si="96"/>
        <v>0.7</v>
      </c>
      <c r="AF224" s="177">
        <f t="shared" si="97"/>
        <v>0.44121589223893265</v>
      </c>
      <c r="AG224" s="921">
        <f t="shared" si="98"/>
        <v>-2</v>
      </c>
      <c r="AH224" s="176">
        <f t="shared" si="99"/>
        <v>4</v>
      </c>
      <c r="AI224" s="225">
        <f t="shared" si="100"/>
        <v>-1.5587841077610674</v>
      </c>
      <c r="AJ224" s="265" t="b">
        <f t="shared" si="101"/>
        <v>0</v>
      </c>
      <c r="AK224" s="265" t="b">
        <f t="shared" si="102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104"/>
        <v>43311</v>
      </c>
      <c r="B225" s="620">
        <v>52.948</v>
      </c>
      <c r="C225" s="390"/>
      <c r="D225" s="393">
        <f t="shared" si="80"/>
        <v>53.026919021616266</v>
      </c>
      <c r="E225" s="385">
        <f t="shared" si="77"/>
        <v>53.500445242372969</v>
      </c>
      <c r="F225" s="385">
        <f t="shared" si="78"/>
        <v>53.533900381500366</v>
      </c>
      <c r="G225" s="110">
        <f t="shared" si="79"/>
        <v>0.98003628884459848</v>
      </c>
      <c r="I225" s="380">
        <f t="shared" si="81"/>
        <v>53.533900381500366</v>
      </c>
      <c r="J225" s="85">
        <v>2018</v>
      </c>
      <c r="K225" s="197">
        <f t="shared" si="82"/>
        <v>43311</v>
      </c>
      <c r="L225" s="438">
        <f t="shared" si="83"/>
        <v>1.4882822361241832E-3</v>
      </c>
      <c r="M225" s="970"/>
      <c r="N225" s="970"/>
      <c r="O225" s="324">
        <f t="shared" si="84"/>
        <v>8.8508837377237748E-3</v>
      </c>
      <c r="P225" s="169">
        <f>(INDEX(Models!$BJ225:$BT225,,T225)*(1-R225)+INDEX(Models!$BJ225:$BT225,,T225+1)*R225-ERP_i)*Q225*Ramure*Pc/MaxiM</f>
        <v>6.4326278418712986E-4</v>
      </c>
      <c r="Q225" s="305">
        <f t="shared" si="85"/>
        <v>0.7</v>
      </c>
      <c r="R225" s="177">
        <f t="shared" si="86"/>
        <v>0.44332117578581487</v>
      </c>
      <c r="S225" s="921">
        <f t="shared" si="103"/>
        <v>-2</v>
      </c>
      <c r="T225" s="176">
        <f t="shared" si="87"/>
        <v>4</v>
      </c>
      <c r="U225" s="251">
        <f t="shared" si="88"/>
        <v>-1.5566788242141851</v>
      </c>
      <c r="V225" s="383">
        <f t="shared" si="89"/>
        <v>54.02557997916692</v>
      </c>
      <c r="W225" s="58"/>
      <c r="X225" s="157">
        <f t="shared" si="90"/>
        <v>43311</v>
      </c>
      <c r="Y225" s="385">
        <f t="shared" si="91"/>
        <v>52.948</v>
      </c>
      <c r="Z225" s="385">
        <f t="shared" si="92"/>
        <v>53.026919021616266</v>
      </c>
      <c r="AA225" s="386">
        <f t="shared" si="93"/>
        <v>53.500445242372969</v>
      </c>
      <c r="AB225" s="197">
        <f t="shared" si="94"/>
        <v>43311</v>
      </c>
      <c r="AC225" s="427">
        <f t="shared" si="95"/>
        <v>8.8508837377237748E-3</v>
      </c>
      <c r="AD225" s="169">
        <f>(INDEX(Models!$BJ225:$BT225,,AH225)*(1-AF225)+INDEX(Models!$BJ225:$BT225,,AH225+1)*AF225-ERP_i)*AE225*Ramure*Pc/MaxiM</f>
        <v>6.4326278418712986E-4</v>
      </c>
      <c r="AE225" s="305">
        <f t="shared" si="96"/>
        <v>0.7</v>
      </c>
      <c r="AF225" s="177">
        <f t="shared" si="97"/>
        <v>0.44332117578581487</v>
      </c>
      <c r="AG225" s="921">
        <f t="shared" si="98"/>
        <v>-2</v>
      </c>
      <c r="AH225" s="176">
        <f t="shared" si="99"/>
        <v>4</v>
      </c>
      <c r="AI225" s="225">
        <f t="shared" si="100"/>
        <v>-1.5566788242141851</v>
      </c>
      <c r="AJ225" s="265" t="b">
        <f t="shared" si="101"/>
        <v>0</v>
      </c>
      <c r="AK225" s="265" t="b">
        <f t="shared" si="102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104"/>
        <v>43312</v>
      </c>
      <c r="B226" s="620">
        <v>49.58</v>
      </c>
      <c r="C226" s="390"/>
      <c r="D226" s="393">
        <f t="shared" si="80"/>
        <v>49.654986587502037</v>
      </c>
      <c r="E226" s="385">
        <f t="shared" si="77"/>
        <v>50.104772780313411</v>
      </c>
      <c r="F226" s="385">
        <f t="shared" si="78"/>
        <v>50.132274372667354</v>
      </c>
      <c r="G226" s="110">
        <f t="shared" si="79"/>
        <v>0.91952744471494174</v>
      </c>
      <c r="I226" s="380">
        <f t="shared" si="81"/>
        <v>50.132274372667354</v>
      </c>
      <c r="J226" s="85">
        <v>2018</v>
      </c>
      <c r="K226" s="197">
        <f t="shared" si="82"/>
        <v>43312</v>
      </c>
      <c r="L226" s="438">
        <f t="shared" si="83"/>
        <v>1.5101522053559968E-3</v>
      </c>
      <c r="M226" s="970"/>
      <c r="N226" s="970"/>
      <c r="O226" s="324">
        <f t="shared" si="84"/>
        <v>8.9769131332753747E-3</v>
      </c>
      <c r="P226" s="169">
        <f>(INDEX(Models!$BJ226:$BT226,,T226)*(1-R226)+INDEX(Models!$BJ226:$BT226,,T226+1)*R226-ERP_i)*Q226*Ramure*Pc/MaxiM</f>
        <v>6.1977207803053287E-4</v>
      </c>
      <c r="Q226" s="305">
        <f t="shared" si="85"/>
        <v>0.7</v>
      </c>
      <c r="R226" s="177">
        <f t="shared" si="86"/>
        <v>0.44536064685128807</v>
      </c>
      <c r="S226" s="921">
        <f t="shared" si="103"/>
        <v>-2</v>
      </c>
      <c r="T226" s="176">
        <f t="shared" si="87"/>
        <v>4</v>
      </c>
      <c r="U226" s="251">
        <f t="shared" si="88"/>
        <v>-1.5546393531487119</v>
      </c>
      <c r="V226" s="383">
        <f t="shared" si="89"/>
        <v>53.915159001831277</v>
      </c>
      <c r="W226" s="58"/>
      <c r="X226" s="157">
        <f t="shared" si="90"/>
        <v>43312</v>
      </c>
      <c r="Y226" s="385">
        <f t="shared" si="91"/>
        <v>49.58</v>
      </c>
      <c r="Z226" s="385">
        <f t="shared" si="92"/>
        <v>49.654986587502037</v>
      </c>
      <c r="AA226" s="386">
        <f t="shared" si="93"/>
        <v>50.104772780313411</v>
      </c>
      <c r="AB226" s="197">
        <f t="shared" si="94"/>
        <v>43312</v>
      </c>
      <c r="AC226" s="427">
        <f t="shared" si="95"/>
        <v>8.9769131332753747E-3</v>
      </c>
      <c r="AD226" s="169">
        <f>(INDEX(Models!$BJ226:$BT226,,AH226)*(1-AF226)+INDEX(Models!$BJ226:$BT226,,AH226+1)*AF226-ERP_i)*AE226*Ramure*Pc/MaxiM</f>
        <v>6.1977207803053287E-4</v>
      </c>
      <c r="AE226" s="305">
        <f t="shared" si="96"/>
        <v>0.7</v>
      </c>
      <c r="AF226" s="177">
        <f t="shared" si="97"/>
        <v>0.44536064685128807</v>
      </c>
      <c r="AG226" s="921">
        <f t="shared" si="98"/>
        <v>-2</v>
      </c>
      <c r="AH226" s="176">
        <f t="shared" si="99"/>
        <v>4</v>
      </c>
      <c r="AI226" s="225">
        <f t="shared" si="100"/>
        <v>-1.5546393531487119</v>
      </c>
      <c r="AJ226" s="265" t="b">
        <f t="shared" si="101"/>
        <v>0</v>
      </c>
      <c r="AK226" s="265" t="b">
        <f t="shared" si="102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104"/>
        <v>43313</v>
      </c>
      <c r="B227" s="620">
        <v>51.976999999999997</v>
      </c>
      <c r="C227" s="390"/>
      <c r="D227" s="393">
        <f t="shared" si="80"/>
        <v>52.056752073578117</v>
      </c>
      <c r="E227" s="385">
        <f t="shared" si="77"/>
        <v>52.534967282829975</v>
      </c>
      <c r="F227" s="385">
        <f t="shared" si="78"/>
        <v>52.564784252265206</v>
      </c>
      <c r="G227" s="110">
        <f t="shared" si="79"/>
        <v>0.96600786295082974</v>
      </c>
      <c r="I227" s="380">
        <f t="shared" si="81"/>
        <v>52.564784252265206</v>
      </c>
      <c r="J227" s="85">
        <v>2018</v>
      </c>
      <c r="K227" s="197">
        <f t="shared" si="82"/>
        <v>43313</v>
      </c>
      <c r="L227" s="438">
        <f t="shared" si="83"/>
        <v>1.5320216955794219E-3</v>
      </c>
      <c r="M227" s="970"/>
      <c r="N227" s="970"/>
      <c r="O227" s="324">
        <f t="shared" si="84"/>
        <v>9.1027982691473594E-3</v>
      </c>
      <c r="P227" s="169">
        <f>(INDEX(Models!$BJ227:$BT227,,T227)*(1-R227)+INDEX(Models!$BJ227:$BT227,,T227+1)*R227-ERP_i)*Q227*Ramure*Pc/MaxiM</f>
        <v>5.961685554221061E-4</v>
      </c>
      <c r="Q227" s="305">
        <f t="shared" si="85"/>
        <v>0.7</v>
      </c>
      <c r="R227" s="177">
        <f t="shared" si="86"/>
        <v>0.44733570157995728</v>
      </c>
      <c r="S227" s="921">
        <f t="shared" si="103"/>
        <v>-2</v>
      </c>
      <c r="T227" s="176">
        <f t="shared" si="87"/>
        <v>4</v>
      </c>
      <c r="U227" s="251">
        <f t="shared" si="88"/>
        <v>-1.5526642984200427</v>
      </c>
      <c r="V227" s="383">
        <f t="shared" si="89"/>
        <v>53.804422966325554</v>
      </c>
      <c r="W227" s="58"/>
      <c r="X227" s="157">
        <f t="shared" si="90"/>
        <v>43313</v>
      </c>
      <c r="Y227" s="385">
        <f t="shared" si="91"/>
        <v>51.976999999999997</v>
      </c>
      <c r="Z227" s="385">
        <f t="shared" si="92"/>
        <v>52.056752073578117</v>
      </c>
      <c r="AA227" s="386">
        <f t="shared" si="93"/>
        <v>52.534967282829975</v>
      </c>
      <c r="AB227" s="197">
        <f t="shared" si="94"/>
        <v>43313</v>
      </c>
      <c r="AC227" s="427">
        <f t="shared" si="95"/>
        <v>9.1027982691473594E-3</v>
      </c>
      <c r="AD227" s="169">
        <f>(INDEX(Models!$BJ227:$BT227,,AH227)*(1-AF227)+INDEX(Models!$BJ227:$BT227,,AH227+1)*AF227-ERP_i)*AE227*Ramure*Pc/MaxiM</f>
        <v>5.961685554221061E-4</v>
      </c>
      <c r="AE227" s="305">
        <f t="shared" si="96"/>
        <v>0.7</v>
      </c>
      <c r="AF227" s="177">
        <f t="shared" si="97"/>
        <v>0.44733570157995728</v>
      </c>
      <c r="AG227" s="921">
        <f t="shared" si="98"/>
        <v>-2</v>
      </c>
      <c r="AH227" s="176">
        <f t="shared" si="99"/>
        <v>4</v>
      </c>
      <c r="AI227" s="225">
        <f t="shared" si="100"/>
        <v>-1.5526642984200427</v>
      </c>
      <c r="AJ227" s="265" t="b">
        <f t="shared" si="101"/>
        <v>0</v>
      </c>
      <c r="AK227" s="265" t="b">
        <f t="shared" si="102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104"/>
        <v>43314</v>
      </c>
      <c r="B228" s="620">
        <v>52.179000000000002</v>
      </c>
      <c r="C228" s="390"/>
      <c r="D228" s="393">
        <f t="shared" si="80"/>
        <v>52.260206649448278</v>
      </c>
      <c r="E228" s="385">
        <f t="shared" si="77"/>
        <v>52.746984286508749</v>
      </c>
      <c r="F228" s="385">
        <f t="shared" si="78"/>
        <v>52.775979801874328</v>
      </c>
      <c r="G228" s="110">
        <f t="shared" si="79"/>
        <v>0.97177544467619947</v>
      </c>
      <c r="I228" s="380">
        <f t="shared" si="81"/>
        <v>52.775979801874328</v>
      </c>
      <c r="J228" s="85">
        <v>2018</v>
      </c>
      <c r="K228" s="197">
        <f t="shared" si="82"/>
        <v>43314</v>
      </c>
      <c r="L228" s="438">
        <f t="shared" si="83"/>
        <v>1.5538907068047836E-3</v>
      </c>
      <c r="M228" s="970"/>
      <c r="N228" s="970"/>
      <c r="O228" s="324">
        <f t="shared" si="84"/>
        <v>9.2285396718874615E-3</v>
      </c>
      <c r="P228" s="169">
        <f>(INDEX(Models!$BJ228:$BT228,,T228)*(1-R228)+INDEX(Models!$BJ228:$BT228,,T228+1)*R228-ERP_i)*Q228*Ramure*Pc/MaxiM</f>
        <v>5.7247159738426441E-4</v>
      </c>
      <c r="Q228" s="305">
        <f t="shared" si="85"/>
        <v>0.7</v>
      </c>
      <c r="R228" s="177">
        <f t="shared" si="86"/>
        <v>0.4492477546645941</v>
      </c>
      <c r="S228" s="921">
        <f t="shared" si="103"/>
        <v>-2</v>
      </c>
      <c r="T228" s="176">
        <f t="shared" si="87"/>
        <v>4</v>
      </c>
      <c r="U228" s="251">
        <f t="shared" si="88"/>
        <v>-1.5507522453354059</v>
      </c>
      <c r="V228" s="383">
        <f t="shared" si="89"/>
        <v>53.693264384322212</v>
      </c>
      <c r="W228" s="58"/>
      <c r="X228" s="157">
        <f t="shared" si="90"/>
        <v>43314</v>
      </c>
      <c r="Y228" s="385">
        <f t="shared" si="91"/>
        <v>52.179000000000002</v>
      </c>
      <c r="Z228" s="385">
        <f t="shared" si="92"/>
        <v>52.260206649448278</v>
      </c>
      <c r="AA228" s="386">
        <f t="shared" si="93"/>
        <v>52.746984286508749</v>
      </c>
      <c r="AB228" s="197">
        <f t="shared" si="94"/>
        <v>43314</v>
      </c>
      <c r="AC228" s="427">
        <f t="shared" si="95"/>
        <v>9.2285396718874615E-3</v>
      </c>
      <c r="AD228" s="169">
        <f>(INDEX(Models!$BJ228:$BT228,,AH228)*(1-AF228)+INDEX(Models!$BJ228:$BT228,,AH228+1)*AF228-ERP_i)*AE228*Ramure*Pc/MaxiM</f>
        <v>5.7247159738426441E-4</v>
      </c>
      <c r="AE228" s="305">
        <f t="shared" si="96"/>
        <v>0.7</v>
      </c>
      <c r="AF228" s="177">
        <f t="shared" si="97"/>
        <v>0.4492477546645941</v>
      </c>
      <c r="AG228" s="921">
        <f t="shared" si="98"/>
        <v>-2</v>
      </c>
      <c r="AH228" s="176">
        <f t="shared" si="99"/>
        <v>4</v>
      </c>
      <c r="AI228" s="225">
        <f t="shared" si="100"/>
        <v>-1.5507522453354059</v>
      </c>
      <c r="AJ228" s="265" t="b">
        <f t="shared" si="101"/>
        <v>0</v>
      </c>
      <c r="AK228" s="265" t="b">
        <f t="shared" si="102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104"/>
        <v>43315</v>
      </c>
      <c r="B229" s="620">
        <v>52.386000000000003</v>
      </c>
      <c r="C229" s="390"/>
      <c r="D229" s="393">
        <f t="shared" si="80"/>
        <v>52.468678004125358</v>
      </c>
      <c r="E229" s="385">
        <f t="shared" si="77"/>
        <v>52.964111598879668</v>
      </c>
      <c r="F229" s="385">
        <f t="shared" ref="F229:F260" si="105">Wh_sa/(1-Pvg*MEDIAN((-Sdif+Wh/Env_an)/Csdif,0,1))</f>
        <v>52.992261584873972</v>
      </c>
      <c r="G229" s="110">
        <f t="shared" si="79"/>
        <v>0.97766970083339366</v>
      </c>
      <c r="I229" s="380">
        <f t="shared" si="81"/>
        <v>52.992261584873972</v>
      </c>
      <c r="J229" s="85">
        <v>2018</v>
      </c>
      <c r="K229" s="197">
        <f t="shared" si="82"/>
        <v>43315</v>
      </c>
      <c r="L229" s="438">
        <f t="shared" si="83"/>
        <v>1.5757592390426289E-3</v>
      </c>
      <c r="M229" s="970"/>
      <c r="N229" s="970"/>
      <c r="O229" s="324">
        <f t="shared" si="84"/>
        <v>9.3541377321013572E-3</v>
      </c>
      <c r="P229" s="169">
        <f>(INDEX(Models!$BJ229:$BT229,,T229)*(1-R229)+INDEX(Models!$BJ229:$BT229,,T229+1)*R229-ERP_i)*Q229*Ramure*Pc/MaxiM</f>
        <v>5.4869971625851131E-4</v>
      </c>
      <c r="Q229" s="305">
        <f t="shared" si="85"/>
        <v>0.7</v>
      </c>
      <c r="R229" s="177">
        <f t="shared" si="86"/>
        <v>0.45109823498731716</v>
      </c>
      <c r="S229" s="921">
        <f t="shared" si="103"/>
        <v>-2</v>
      </c>
      <c r="T229" s="176">
        <f t="shared" si="87"/>
        <v>4</v>
      </c>
      <c r="U229" s="251">
        <f t="shared" si="88"/>
        <v>-1.5489017650126828</v>
      </c>
      <c r="V229" s="383">
        <f t="shared" si="89"/>
        <v>53.581575883132388</v>
      </c>
      <c r="W229" s="58"/>
      <c r="X229" s="157">
        <f t="shared" si="90"/>
        <v>43315</v>
      </c>
      <c r="Y229" s="385">
        <f t="shared" si="91"/>
        <v>52.386000000000003</v>
      </c>
      <c r="Z229" s="385">
        <f t="shared" si="92"/>
        <v>52.468678004125358</v>
      </c>
      <c r="AA229" s="386">
        <f t="shared" si="93"/>
        <v>52.964111598879668</v>
      </c>
      <c r="AB229" s="197">
        <f t="shared" si="94"/>
        <v>43315</v>
      </c>
      <c r="AC229" s="427">
        <f t="shared" si="95"/>
        <v>9.3541377321013572E-3</v>
      </c>
      <c r="AD229" s="169">
        <f>(INDEX(Models!$BJ229:$BT229,,AH229)*(1-AF229)+INDEX(Models!$BJ229:$BT229,,AH229+1)*AF229-ERP_i)*AE229*Ramure*Pc/MaxiM</f>
        <v>5.4869971625851131E-4</v>
      </c>
      <c r="AE229" s="305">
        <f t="shared" si="96"/>
        <v>0.7</v>
      </c>
      <c r="AF229" s="177">
        <f t="shared" si="97"/>
        <v>0.45109823498731716</v>
      </c>
      <c r="AG229" s="921">
        <f t="shared" si="98"/>
        <v>-2</v>
      </c>
      <c r="AH229" s="176">
        <f t="shared" si="99"/>
        <v>4</v>
      </c>
      <c r="AI229" s="225">
        <f t="shared" si="100"/>
        <v>-1.5489017650126828</v>
      </c>
      <c r="AJ229" s="265" t="b">
        <f t="shared" si="101"/>
        <v>0</v>
      </c>
      <c r="AK229" s="265" t="b">
        <f t="shared" si="102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104"/>
        <v>43316</v>
      </c>
      <c r="B230" s="620">
        <v>50.515000000000001</v>
      </c>
      <c r="C230" s="390"/>
      <c r="D230" s="393">
        <f t="shared" si="80"/>
        <v>50.595833284131572</v>
      </c>
      <c r="E230" s="385">
        <f t="shared" si="77"/>
        <v>51.080051365954908</v>
      </c>
      <c r="F230" s="385">
        <f t="shared" si="105"/>
        <v>51.104757564979195</v>
      </c>
      <c r="G230" s="110">
        <f t="shared" si="79"/>
        <v>0.94470945529573191</v>
      </c>
      <c r="I230" s="380">
        <f t="shared" si="81"/>
        <v>51.104757564979195</v>
      </c>
      <c r="J230" s="85">
        <v>2018</v>
      </c>
      <c r="K230" s="197">
        <f t="shared" si="82"/>
        <v>43316</v>
      </c>
      <c r="L230" s="438">
        <f t="shared" si="83"/>
        <v>1.5976272923036161E-3</v>
      </c>
      <c r="M230" s="970"/>
      <c r="N230" s="970"/>
      <c r="O230" s="324">
        <f t="shared" si="84"/>
        <v>9.4795926956735468E-3</v>
      </c>
      <c r="P230" s="169">
        <f>(INDEX(Models!$BJ230:$BT230,,T230)*(1-R230)+INDEX(Models!$BJ230:$BT230,,T230+1)*R230-ERP_i)*Q230*Ramure*Pc/MaxiM</f>
        <v>5.248705750423374E-4</v>
      </c>
      <c r="Q230" s="305">
        <f t="shared" si="85"/>
        <v>0.7</v>
      </c>
      <c r="R230" s="177">
        <f t="shared" si="86"/>
        <v>0.45288858152199385</v>
      </c>
      <c r="S230" s="921">
        <f t="shared" si="103"/>
        <v>-2</v>
      </c>
      <c r="T230" s="176">
        <f t="shared" si="87"/>
        <v>4</v>
      </c>
      <c r="U230" s="251">
        <f t="shared" si="88"/>
        <v>-1.5471114184780062</v>
      </c>
      <c r="V230" s="383">
        <f t="shared" si="89"/>
        <v>53.469250204736049</v>
      </c>
      <c r="W230" s="58"/>
      <c r="X230" s="157">
        <f t="shared" si="90"/>
        <v>43316</v>
      </c>
      <c r="Y230" s="385">
        <f t="shared" si="91"/>
        <v>50.515000000000001</v>
      </c>
      <c r="Z230" s="385">
        <f t="shared" si="92"/>
        <v>50.595833284131572</v>
      </c>
      <c r="AA230" s="386">
        <f t="shared" si="93"/>
        <v>51.080051365954908</v>
      </c>
      <c r="AB230" s="197">
        <f t="shared" si="94"/>
        <v>43316</v>
      </c>
      <c r="AC230" s="427">
        <f t="shared" si="95"/>
        <v>9.4795926956735468E-3</v>
      </c>
      <c r="AD230" s="169">
        <f>(INDEX(Models!$BJ230:$BT230,,AH230)*(1-AF230)+INDEX(Models!$BJ230:$BT230,,AH230+1)*AF230-ERP_i)*AE230*Ramure*Pc/MaxiM</f>
        <v>5.248705750423374E-4</v>
      </c>
      <c r="AE230" s="305">
        <f t="shared" si="96"/>
        <v>0.7</v>
      </c>
      <c r="AF230" s="177">
        <f t="shared" si="97"/>
        <v>0.45288858152199385</v>
      </c>
      <c r="AG230" s="921">
        <f t="shared" si="98"/>
        <v>-2</v>
      </c>
      <c r="AH230" s="176">
        <f t="shared" si="99"/>
        <v>4</v>
      </c>
      <c r="AI230" s="225">
        <f t="shared" si="100"/>
        <v>-1.5471114184780062</v>
      </c>
      <c r="AJ230" s="265" t="b">
        <f t="shared" si="101"/>
        <v>0</v>
      </c>
      <c r="AK230" s="265" t="b">
        <f t="shared" si="102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104"/>
        <v>43317</v>
      </c>
      <c r="B231" s="620">
        <v>51.131999999999998</v>
      </c>
      <c r="C231" s="390"/>
      <c r="D231" s="393">
        <f t="shared" si="80"/>
        <v>51.214942336206597</v>
      </c>
      <c r="E231" s="385">
        <f t="shared" si="77"/>
        <v>51.711627588839676</v>
      </c>
      <c r="F231" s="385">
        <f t="shared" si="105"/>
        <v>51.736003836165686</v>
      </c>
      <c r="G231" s="110">
        <f t="shared" si="79"/>
        <v>0.9582858736100589</v>
      </c>
      <c r="I231" s="380">
        <f t="shared" si="81"/>
        <v>51.736003836165686</v>
      </c>
      <c r="J231" s="85">
        <v>2018</v>
      </c>
      <c r="K231" s="197">
        <f t="shared" si="82"/>
        <v>43317</v>
      </c>
      <c r="L231" s="438">
        <f t="shared" si="83"/>
        <v>1.6194948665980702E-3</v>
      </c>
      <c r="M231" s="970"/>
      <c r="N231" s="970"/>
      <c r="O231" s="324">
        <f t="shared" si="84"/>
        <v>9.6049046566903159E-3</v>
      </c>
      <c r="P231" s="169">
        <f>(INDEX(Models!$BJ231:$BT231,,T231)*(1-R231)+INDEX(Models!$BJ231:$BT231,,T231+1)*R231-ERP_i)*Q231*Ramure*Pc/MaxiM</f>
        <v>5.0100100938738393E-4</v>
      </c>
      <c r="Q231" s="305">
        <f t="shared" si="85"/>
        <v>0.7</v>
      </c>
      <c r="R231" s="177">
        <f t="shared" si="86"/>
        <v>0.45462023949563624</v>
      </c>
      <c r="S231" s="921">
        <f t="shared" si="103"/>
        <v>-2</v>
      </c>
      <c r="T231" s="176">
        <f t="shared" si="87"/>
        <v>4</v>
      </c>
      <c r="U231" s="251">
        <f t="shared" si="88"/>
        <v>-1.5453797605043638</v>
      </c>
      <c r="V231" s="383">
        <f t="shared" si="89"/>
        <v>53.356180203194242</v>
      </c>
      <c r="W231" s="58"/>
      <c r="X231" s="157">
        <f t="shared" si="90"/>
        <v>43317</v>
      </c>
      <c r="Y231" s="385">
        <f t="shared" si="91"/>
        <v>51.131999999999998</v>
      </c>
      <c r="Z231" s="385">
        <f t="shared" si="92"/>
        <v>51.214942336206597</v>
      </c>
      <c r="AA231" s="386">
        <f t="shared" si="93"/>
        <v>51.711627588839676</v>
      </c>
      <c r="AB231" s="197">
        <f t="shared" si="94"/>
        <v>43317</v>
      </c>
      <c r="AC231" s="427">
        <f t="shared" si="95"/>
        <v>9.6049046566903159E-3</v>
      </c>
      <c r="AD231" s="169">
        <f>(INDEX(Models!$BJ231:$BT231,,AH231)*(1-AF231)+INDEX(Models!$BJ231:$BT231,,AH231+1)*AF231-ERP_i)*AE231*Ramure*Pc/MaxiM</f>
        <v>5.0100100938738393E-4</v>
      </c>
      <c r="AE231" s="305">
        <f t="shared" si="96"/>
        <v>0.7</v>
      </c>
      <c r="AF231" s="177">
        <f t="shared" si="97"/>
        <v>0.45462023949563624</v>
      </c>
      <c r="AG231" s="921">
        <f t="shared" si="98"/>
        <v>-2</v>
      </c>
      <c r="AH231" s="176">
        <f t="shared" si="99"/>
        <v>4</v>
      </c>
      <c r="AI231" s="225">
        <f t="shared" si="100"/>
        <v>-1.5453797605043638</v>
      </c>
      <c r="AJ231" s="265" t="b">
        <f t="shared" si="101"/>
        <v>0</v>
      </c>
      <c r="AK231" s="265" t="b">
        <f t="shared" si="102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104"/>
        <v>43318</v>
      </c>
      <c r="B232" s="620">
        <v>51.597999999999999</v>
      </c>
      <c r="C232" s="390"/>
      <c r="D232" s="393">
        <f t="shared" si="80"/>
        <v>51.682830231627413</v>
      </c>
      <c r="E232" s="385">
        <f t="shared" si="77"/>
        <v>52.19064908596134</v>
      </c>
      <c r="F232" s="385">
        <f t="shared" si="105"/>
        <v>52.214461911625534</v>
      </c>
      <c r="G232" s="110">
        <f t="shared" si="79"/>
        <v>0.96909700186013248</v>
      </c>
      <c r="I232" s="380">
        <f t="shared" si="81"/>
        <v>52.214461911625534</v>
      </c>
      <c r="J232" s="85">
        <v>2018</v>
      </c>
      <c r="K232" s="197">
        <f t="shared" si="82"/>
        <v>43318</v>
      </c>
      <c r="L232" s="438">
        <f t="shared" si="83"/>
        <v>1.6413619619365383E-3</v>
      </c>
      <c r="M232" s="970"/>
      <c r="N232" s="970"/>
      <c r="O232" s="324">
        <f t="shared" si="84"/>
        <v>9.7300735520172797E-3</v>
      </c>
      <c r="P232" s="169">
        <f>(INDEX(Models!$BJ232:$BT232,,T232)*(1-R232)+INDEX(Models!$BJ232:$BT232,,T232+1)*R232-ERP_i)*Q232*Ramure*Pc/MaxiM</f>
        <v>4.7710705168130409E-4</v>
      </c>
      <c r="Q232" s="305">
        <f t="shared" si="85"/>
        <v>0.7</v>
      </c>
      <c r="R232" s="177">
        <f t="shared" si="86"/>
        <v>0.45629465680516779</v>
      </c>
      <c r="S232" s="921">
        <f t="shared" si="103"/>
        <v>-2</v>
      </c>
      <c r="T232" s="176">
        <f t="shared" si="87"/>
        <v>4</v>
      </c>
      <c r="U232" s="251">
        <f t="shared" si="88"/>
        <v>-1.5437053431948322</v>
      </c>
      <c r="V232" s="383">
        <f t="shared" si="89"/>
        <v>53.242258844070633</v>
      </c>
      <c r="W232" s="58"/>
      <c r="X232" s="157">
        <f t="shared" si="90"/>
        <v>43318</v>
      </c>
      <c r="Y232" s="385">
        <f t="shared" si="91"/>
        <v>51.597999999999999</v>
      </c>
      <c r="Z232" s="385">
        <f t="shared" si="92"/>
        <v>51.682830231627413</v>
      </c>
      <c r="AA232" s="386">
        <f t="shared" si="93"/>
        <v>52.19064908596134</v>
      </c>
      <c r="AB232" s="197">
        <f t="shared" si="94"/>
        <v>43318</v>
      </c>
      <c r="AC232" s="427">
        <f t="shared" si="95"/>
        <v>9.7300735520172797E-3</v>
      </c>
      <c r="AD232" s="169">
        <f>(INDEX(Models!$BJ232:$BT232,,AH232)*(1-AF232)+INDEX(Models!$BJ232:$BT232,,AH232+1)*AF232-ERP_i)*AE232*Ramure*Pc/MaxiM</f>
        <v>4.7710705168130409E-4</v>
      </c>
      <c r="AE232" s="305">
        <f t="shared" si="96"/>
        <v>0.7</v>
      </c>
      <c r="AF232" s="177">
        <f t="shared" si="97"/>
        <v>0.45629465680516779</v>
      </c>
      <c r="AG232" s="921">
        <f t="shared" si="98"/>
        <v>-2</v>
      </c>
      <c r="AH232" s="176">
        <f t="shared" si="99"/>
        <v>4</v>
      </c>
      <c r="AI232" s="225">
        <f t="shared" si="100"/>
        <v>-1.5437053431948322</v>
      </c>
      <c r="AJ232" s="265" t="b">
        <f t="shared" si="101"/>
        <v>0</v>
      </c>
      <c r="AK232" s="265" t="b">
        <f t="shared" si="102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104"/>
        <v>43319</v>
      </c>
      <c r="B233" s="620">
        <v>30.280999999999999</v>
      </c>
      <c r="C233" s="390"/>
      <c r="D233" s="393">
        <f t="shared" si="80"/>
        <v>30.331448131354186</v>
      </c>
      <c r="E233" s="385">
        <f t="shared" ref="E233:E296" si="106">Wh_pvt/(1-Psa)</f>
        <v>30.63334276179619</v>
      </c>
      <c r="F233" s="385">
        <f t="shared" si="105"/>
        <v>30.638698004627052</v>
      </c>
      <c r="G233" s="110">
        <f t="shared" ref="G233:G296" si="107">+Wh_hp/MaxiM</f>
        <v>0.56981023999486391</v>
      </c>
      <c r="I233" s="380">
        <f t="shared" si="81"/>
        <v>30.638698004627052</v>
      </c>
      <c r="J233" s="85">
        <v>2018</v>
      </c>
      <c r="K233" s="197">
        <f t="shared" si="82"/>
        <v>43319</v>
      </c>
      <c r="L233" s="438">
        <f t="shared" si="83"/>
        <v>1.6632285783294565E-3</v>
      </c>
      <c r="M233" s="970"/>
      <c r="N233" s="970"/>
      <c r="O233" s="324">
        <f t="shared" si="84"/>
        <v>9.8550991574614007E-3</v>
      </c>
      <c r="P233" s="169">
        <f>(INDEX(Models!$BJ233:$BT233,,T233)*(1-R233)+INDEX(Models!$BJ233:$BT233,,T233+1)*R233-ERP_i)*Q233*Ramure*Pc/MaxiM</f>
        <v>4.5320331171536256E-4</v>
      </c>
      <c r="Q233" s="305">
        <f t="shared" si="85"/>
        <v>0.7</v>
      </c>
      <c r="R233" s="177">
        <f t="shared" si="86"/>
        <v>0.45791328068473125</v>
      </c>
      <c r="S233" s="921">
        <f t="shared" si="103"/>
        <v>-2</v>
      </c>
      <c r="T233" s="176">
        <f t="shared" si="87"/>
        <v>4</v>
      </c>
      <c r="U233" s="251">
        <f t="shared" si="88"/>
        <v>-1.5420867193152688</v>
      </c>
      <c r="V233" s="383">
        <f t="shared" si="89"/>
        <v>53.127454850338445</v>
      </c>
      <c r="W233" s="58"/>
      <c r="X233" s="157">
        <f t="shared" si="90"/>
        <v>43319</v>
      </c>
      <c r="Y233" s="385">
        <f t="shared" si="91"/>
        <v>30.280999999999999</v>
      </c>
      <c r="Z233" s="385">
        <f t="shared" si="92"/>
        <v>30.331448131354186</v>
      </c>
      <c r="AA233" s="386">
        <f t="shared" si="93"/>
        <v>30.63334276179619</v>
      </c>
      <c r="AB233" s="197">
        <f t="shared" si="94"/>
        <v>43319</v>
      </c>
      <c r="AC233" s="427">
        <f t="shared" si="95"/>
        <v>9.8550991574614007E-3</v>
      </c>
      <c r="AD233" s="169">
        <f>(INDEX(Models!$BJ233:$BT233,,AH233)*(1-AF233)+INDEX(Models!$BJ233:$BT233,,AH233+1)*AF233-ERP_i)*AE233*Ramure*Pc/MaxiM</f>
        <v>4.5320331171536256E-4</v>
      </c>
      <c r="AE233" s="305">
        <f t="shared" si="96"/>
        <v>0.7</v>
      </c>
      <c r="AF233" s="177">
        <f t="shared" si="97"/>
        <v>0.45791328068473125</v>
      </c>
      <c r="AG233" s="921">
        <f t="shared" si="98"/>
        <v>-2</v>
      </c>
      <c r="AH233" s="176">
        <f t="shared" si="99"/>
        <v>4</v>
      </c>
      <c r="AI233" s="225">
        <f t="shared" si="100"/>
        <v>-1.5420867193152688</v>
      </c>
      <c r="AJ233" s="265" t="b">
        <f t="shared" si="101"/>
        <v>0</v>
      </c>
      <c r="AK233" s="265" t="b">
        <f t="shared" si="102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104"/>
        <v>43320</v>
      </c>
      <c r="B234" s="620">
        <v>45.744</v>
      </c>
      <c r="C234" s="390"/>
      <c r="D234" s="393">
        <f t="shared" si="80"/>
        <v>45.821213084038881</v>
      </c>
      <c r="E234" s="385">
        <f t="shared" si="106"/>
        <v>46.283117723493923</v>
      </c>
      <c r="F234" s="385">
        <f t="shared" si="105"/>
        <v>46.299112520745439</v>
      </c>
      <c r="G234" s="110">
        <f t="shared" si="107"/>
        <v>0.86282877097613475</v>
      </c>
      <c r="I234" s="380">
        <f t="shared" si="81"/>
        <v>46.299112520745439</v>
      </c>
      <c r="J234" s="85">
        <v>2018</v>
      </c>
      <c r="K234" s="197">
        <f t="shared" si="82"/>
        <v>43320</v>
      </c>
      <c r="L234" s="438">
        <f t="shared" si="83"/>
        <v>1.6850947157873719E-3</v>
      </c>
      <c r="M234" s="970"/>
      <c r="N234" s="970"/>
      <c r="O234" s="324">
        <f t="shared" si="84"/>
        <v>9.9799810854266802E-3</v>
      </c>
      <c r="P234" s="169">
        <f>(INDEX(Models!$BJ234:$BT234,,T234)*(1-R234)+INDEX(Models!$BJ234:$BT234,,T234+1)*R234-ERP_i)*Q234*Ramure*Pc/MaxiM</f>
        <v>4.2960742940343938E-4</v>
      </c>
      <c r="Q234" s="305">
        <f t="shared" si="85"/>
        <v>0.7</v>
      </c>
      <c r="R234" s="177">
        <f t="shared" si="86"/>
        <v>0.45947755461765283</v>
      </c>
      <c r="S234" s="921">
        <f t="shared" si="103"/>
        <v>-2</v>
      </c>
      <c r="T234" s="176">
        <f t="shared" si="87"/>
        <v>4</v>
      </c>
      <c r="U234" s="251">
        <f t="shared" si="88"/>
        <v>-1.5405224453823472</v>
      </c>
      <c r="V234" s="383">
        <f t="shared" si="89"/>
        <v>53.011850404891824</v>
      </c>
      <c r="W234" s="58"/>
      <c r="X234" s="157">
        <f t="shared" si="90"/>
        <v>43320</v>
      </c>
      <c r="Y234" s="385">
        <f t="shared" si="91"/>
        <v>45.744</v>
      </c>
      <c r="Z234" s="385">
        <f t="shared" si="92"/>
        <v>45.821213084038881</v>
      </c>
      <c r="AA234" s="386">
        <f t="shared" si="93"/>
        <v>46.283117723493923</v>
      </c>
      <c r="AB234" s="197">
        <f t="shared" si="94"/>
        <v>43320</v>
      </c>
      <c r="AC234" s="427">
        <f t="shared" si="95"/>
        <v>9.9799810854266802E-3</v>
      </c>
      <c r="AD234" s="169">
        <f>(INDEX(Models!$BJ234:$BT234,,AH234)*(1-AF234)+INDEX(Models!$BJ234:$BT234,,AH234+1)*AF234-ERP_i)*AE234*Ramure*Pc/MaxiM</f>
        <v>4.2960742940343938E-4</v>
      </c>
      <c r="AE234" s="305">
        <f t="shared" si="96"/>
        <v>0.7</v>
      </c>
      <c r="AF234" s="177">
        <f t="shared" si="97"/>
        <v>0.45947755461765283</v>
      </c>
      <c r="AG234" s="921">
        <f t="shared" si="98"/>
        <v>-2</v>
      </c>
      <c r="AH234" s="176">
        <f t="shared" si="99"/>
        <v>4</v>
      </c>
      <c r="AI234" s="225">
        <f t="shared" si="100"/>
        <v>-1.5405224453823472</v>
      </c>
      <c r="AJ234" s="265" t="b">
        <f t="shared" si="101"/>
        <v>0</v>
      </c>
      <c r="AK234" s="265" t="b">
        <f t="shared" si="102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104"/>
        <v>43321</v>
      </c>
      <c r="B235" s="620">
        <v>14.711</v>
      </c>
      <c r="C235" s="390"/>
      <c r="D235" s="393">
        <f t="shared" si="80"/>
        <v>14.736154031000805</v>
      </c>
      <c r="E235" s="385">
        <f t="shared" si="106"/>
        <v>14.886578722648341</v>
      </c>
      <c r="F235" s="385">
        <f t="shared" si="105"/>
        <v>14.886578722648341</v>
      </c>
      <c r="G235" s="110">
        <f t="shared" si="107"/>
        <v>0.27800121468174843</v>
      </c>
      <c r="I235" s="380">
        <f t="shared" si="81"/>
        <v>14.886578722648341</v>
      </c>
      <c r="J235" s="85">
        <v>2018</v>
      </c>
      <c r="K235" s="197">
        <f t="shared" si="82"/>
        <v>43321</v>
      </c>
      <c r="L235" s="438">
        <f t="shared" si="83"/>
        <v>1.7069603743207207E-3</v>
      </c>
      <c r="M235" s="970"/>
      <c r="N235" s="970"/>
      <c r="O235" s="324">
        <f t="shared" si="84"/>
        <v>1.0104718783952769E-2</v>
      </c>
      <c r="P235" s="169">
        <f>(INDEX(Models!$BJ235:$BT235,,T235)*(1-R235)+INDEX(Models!$BJ235:$BT235,,T235+1)*R235-ERP_i)*Q235*Ramure*Pc/MaxiM</f>
        <v>4.0629744634297491E-4</v>
      </c>
      <c r="Q235" s="305">
        <f t="shared" si="85"/>
        <v>0.7</v>
      </c>
      <c r="R235" s="177">
        <f t="shared" si="86"/>
        <v>0.46098891548628118</v>
      </c>
      <c r="S235" s="921">
        <f t="shared" si="103"/>
        <v>-2</v>
      </c>
      <c r="T235" s="176">
        <f t="shared" si="87"/>
        <v>4</v>
      </c>
      <c r="U235" s="251">
        <f t="shared" si="88"/>
        <v>-1.5390110845137188</v>
      </c>
      <c r="V235" s="383">
        <f t="shared" si="89"/>
        <v>52.895534917359747</v>
      </c>
      <c r="W235" s="58"/>
      <c r="X235" s="157">
        <f t="shared" si="90"/>
        <v>43321</v>
      </c>
      <c r="Y235" s="385">
        <f t="shared" si="91"/>
        <v>14.711</v>
      </c>
      <c r="Z235" s="385">
        <f t="shared" si="92"/>
        <v>14.736154031000805</v>
      </c>
      <c r="AA235" s="386">
        <f t="shared" si="93"/>
        <v>14.886578722648341</v>
      </c>
      <c r="AB235" s="197">
        <f t="shared" si="94"/>
        <v>43321</v>
      </c>
      <c r="AC235" s="427">
        <f t="shared" si="95"/>
        <v>1.0104718783952769E-2</v>
      </c>
      <c r="AD235" s="169">
        <f>(INDEX(Models!$BJ235:$BT235,,AH235)*(1-AF235)+INDEX(Models!$BJ235:$BT235,,AH235+1)*AF235-ERP_i)*AE235*Ramure*Pc/MaxiM</f>
        <v>4.0629744634297491E-4</v>
      </c>
      <c r="AE235" s="305">
        <f t="shared" si="96"/>
        <v>0.7</v>
      </c>
      <c r="AF235" s="177">
        <f t="shared" si="97"/>
        <v>0.46098891548628118</v>
      </c>
      <c r="AG235" s="921">
        <f t="shared" si="98"/>
        <v>-2</v>
      </c>
      <c r="AH235" s="176">
        <f t="shared" si="99"/>
        <v>4</v>
      </c>
      <c r="AI235" s="225">
        <f t="shared" si="100"/>
        <v>-1.5390110845137188</v>
      </c>
      <c r="AJ235" s="265" t="b">
        <f t="shared" si="101"/>
        <v>0</v>
      </c>
      <c r="AK235" s="265" t="b">
        <f t="shared" si="102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104"/>
        <v>43322</v>
      </c>
      <c r="B236" s="620">
        <v>48.536000000000001</v>
      </c>
      <c r="C236" s="390"/>
      <c r="D236" s="393">
        <f t="shared" si="80"/>
        <v>48.620055594545839</v>
      </c>
      <c r="E236" s="385">
        <f t="shared" si="106"/>
        <v>49.122545415087622</v>
      </c>
      <c r="F236" s="385">
        <f t="shared" si="105"/>
        <v>49.139217090165502</v>
      </c>
      <c r="G236" s="110">
        <f t="shared" si="107"/>
        <v>0.91957473049212268</v>
      </c>
      <c r="I236" s="380">
        <f t="shared" si="81"/>
        <v>49.139217090165502</v>
      </c>
      <c r="J236" s="85">
        <v>2018</v>
      </c>
      <c r="K236" s="197">
        <f t="shared" si="82"/>
        <v>43322</v>
      </c>
      <c r="L236" s="438">
        <f t="shared" si="83"/>
        <v>1.7288255539400499E-3</v>
      </c>
      <c r="M236" s="970"/>
      <c r="N236" s="970"/>
      <c r="O236" s="324">
        <f t="shared" si="84"/>
        <v>1.0229311537008533E-2</v>
      </c>
      <c r="P236" s="169">
        <f>(INDEX(Models!$BJ236:$BT236,,T236)*(1-R236)+INDEX(Models!$BJ236:$BT236,,T236+1)*R236-ERP_i)*Q236*Ramure*Pc/MaxiM</f>
        <v>3.8328953936689699E-4</v>
      </c>
      <c r="Q236" s="305">
        <f t="shared" si="85"/>
        <v>0.7</v>
      </c>
      <c r="R236" s="177">
        <f t="shared" si="86"/>
        <v>0.46244879095217817</v>
      </c>
      <c r="S236" s="921">
        <f t="shared" si="103"/>
        <v>-2</v>
      </c>
      <c r="T236" s="176">
        <f t="shared" si="87"/>
        <v>4</v>
      </c>
      <c r="U236" s="251">
        <f t="shared" si="88"/>
        <v>-1.5375512090478218</v>
      </c>
      <c r="V236" s="383">
        <f t="shared" si="89"/>
        <v>52.778595739468358</v>
      </c>
      <c r="W236" s="58"/>
      <c r="X236" s="157">
        <f t="shared" si="90"/>
        <v>43322</v>
      </c>
      <c r="Y236" s="385">
        <f t="shared" si="91"/>
        <v>48.536000000000001</v>
      </c>
      <c r="Z236" s="385">
        <f t="shared" si="92"/>
        <v>48.620055594545839</v>
      </c>
      <c r="AA236" s="386">
        <f t="shared" si="93"/>
        <v>49.122545415087622</v>
      </c>
      <c r="AB236" s="197">
        <f t="shared" si="94"/>
        <v>43322</v>
      </c>
      <c r="AC236" s="427">
        <f t="shared" si="95"/>
        <v>1.0229311537008533E-2</v>
      </c>
      <c r="AD236" s="169">
        <f>(INDEX(Models!$BJ236:$BT236,,AH236)*(1-AF236)+INDEX(Models!$BJ236:$BT236,,AH236+1)*AF236-ERP_i)*AE236*Ramure*Pc/MaxiM</f>
        <v>3.8328953936689699E-4</v>
      </c>
      <c r="AE236" s="305">
        <f t="shared" si="96"/>
        <v>0.7</v>
      </c>
      <c r="AF236" s="177">
        <f t="shared" si="97"/>
        <v>0.46244879095217817</v>
      </c>
      <c r="AG236" s="921">
        <f t="shared" si="98"/>
        <v>-2</v>
      </c>
      <c r="AH236" s="176">
        <f t="shared" si="99"/>
        <v>4</v>
      </c>
      <c r="AI236" s="225">
        <f t="shared" si="100"/>
        <v>-1.5375512090478218</v>
      </c>
      <c r="AJ236" s="265" t="b">
        <f t="shared" si="101"/>
        <v>0</v>
      </c>
      <c r="AK236" s="265" t="b">
        <f t="shared" si="102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104"/>
        <v>43323</v>
      </c>
      <c r="B237" s="620">
        <v>52.222000000000001</v>
      </c>
      <c r="C237" s="390"/>
      <c r="D237" s="393">
        <f t="shared" si="80"/>
        <v>52.313584883241205</v>
      </c>
      <c r="E237" s="385">
        <f t="shared" si="106"/>
        <v>52.860893810041794</v>
      </c>
      <c r="F237" s="385">
        <f t="shared" si="105"/>
        <v>52.879735063277003</v>
      </c>
      <c r="G237" s="110">
        <f t="shared" si="107"/>
        <v>0.99165713488529417</v>
      </c>
      <c r="I237" s="380">
        <f t="shared" si="81"/>
        <v>52.879735063277003</v>
      </c>
      <c r="J237" s="85">
        <v>2018</v>
      </c>
      <c r="K237" s="197">
        <f t="shared" si="82"/>
        <v>43323</v>
      </c>
      <c r="L237" s="438">
        <f t="shared" si="83"/>
        <v>1.7506902546559067E-3</v>
      </c>
      <c r="M237" s="970"/>
      <c r="N237" s="970"/>
      <c r="O237" s="324">
        <f t="shared" si="84"/>
        <v>1.0353758465896777E-2</v>
      </c>
      <c r="P237" s="169">
        <f>(INDEX(Models!$BJ237:$BT237,,T237)*(1-R237)+INDEX(Models!$BJ237:$BT237,,T237+1)*R237-ERP_i)*Q237*Ramure*Pc/MaxiM</f>
        <v>3.6059941611097312E-4</v>
      </c>
      <c r="Q237" s="305">
        <f t="shared" si="85"/>
        <v>0.7</v>
      </c>
      <c r="R237" s="177">
        <f t="shared" si="86"/>
        <v>0.46385859705852073</v>
      </c>
      <c r="S237" s="921">
        <f t="shared" si="103"/>
        <v>-2</v>
      </c>
      <c r="T237" s="176">
        <f t="shared" si="87"/>
        <v>4</v>
      </c>
      <c r="U237" s="251">
        <f t="shared" si="88"/>
        <v>-1.5361414029414793</v>
      </c>
      <c r="V237" s="383">
        <f t="shared" si="89"/>
        <v>52.661120219818784</v>
      </c>
      <c r="W237" s="58"/>
      <c r="X237" s="157">
        <f t="shared" si="90"/>
        <v>43323</v>
      </c>
      <c r="Y237" s="385">
        <f t="shared" si="91"/>
        <v>52.222000000000001</v>
      </c>
      <c r="Z237" s="385">
        <f t="shared" si="92"/>
        <v>52.313584883241205</v>
      </c>
      <c r="AA237" s="386">
        <f t="shared" si="93"/>
        <v>52.860893810041794</v>
      </c>
      <c r="AB237" s="197">
        <f t="shared" si="94"/>
        <v>43323</v>
      </c>
      <c r="AC237" s="427">
        <f t="shared" si="95"/>
        <v>1.0353758465896777E-2</v>
      </c>
      <c r="AD237" s="169">
        <f>(INDEX(Models!$BJ237:$BT237,,AH237)*(1-AF237)+INDEX(Models!$BJ237:$BT237,,AH237+1)*AF237-ERP_i)*AE237*Ramure*Pc/MaxiM</f>
        <v>3.6059941611097312E-4</v>
      </c>
      <c r="AE237" s="305">
        <f t="shared" si="96"/>
        <v>0.7</v>
      </c>
      <c r="AF237" s="177">
        <f t="shared" si="97"/>
        <v>0.46385859705852073</v>
      </c>
      <c r="AG237" s="921">
        <f t="shared" si="98"/>
        <v>-2</v>
      </c>
      <c r="AH237" s="176">
        <f t="shared" si="99"/>
        <v>4</v>
      </c>
      <c r="AI237" s="225">
        <f t="shared" si="100"/>
        <v>-1.5361414029414793</v>
      </c>
      <c r="AJ237" s="265" t="b">
        <f t="shared" si="101"/>
        <v>0</v>
      </c>
      <c r="AK237" s="265" t="b">
        <f t="shared" si="102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104"/>
        <v>43324</v>
      </c>
      <c r="B238" s="620">
        <v>50.585000000000001</v>
      </c>
      <c r="C238" s="390"/>
      <c r="D238" s="393">
        <f t="shared" si="80"/>
        <v>50.674823885923757</v>
      </c>
      <c r="E238" s="385">
        <f t="shared" si="106"/>
        <v>51.211420143676214</v>
      </c>
      <c r="F238" s="385">
        <f t="shared" si="105"/>
        <v>51.227825043986797</v>
      </c>
      <c r="G238" s="110">
        <f t="shared" si="107"/>
        <v>0.96271435509216619</v>
      </c>
      <c r="I238" s="380">
        <f t="shared" si="81"/>
        <v>51.227825043986797</v>
      </c>
      <c r="J238" s="85">
        <v>2018</v>
      </c>
      <c r="K238" s="197">
        <f t="shared" si="82"/>
        <v>43324</v>
      </c>
      <c r="L238" s="438">
        <f t="shared" si="83"/>
        <v>1.7725544764786161E-3</v>
      </c>
      <c r="M238" s="970"/>
      <c r="N238" s="970"/>
      <c r="O238" s="324">
        <f t="shared" si="84"/>
        <v>1.0478058531612929E-2</v>
      </c>
      <c r="P238" s="169">
        <f>(INDEX(Models!$BJ238:$BT238,,T238)*(1-R238)+INDEX(Models!$BJ238:$BT238,,T238+1)*R238-ERP_i)*Q238*Ramure*Pc/MaxiM</f>
        <v>3.3824234387128138E-4</v>
      </c>
      <c r="Q238" s="305">
        <f t="shared" si="85"/>
        <v>0.7</v>
      </c>
      <c r="R238" s="177">
        <f t="shared" si="86"/>
        <v>0.4652197360460868</v>
      </c>
      <c r="S238" s="921">
        <f t="shared" si="103"/>
        <v>-2</v>
      </c>
      <c r="T238" s="176">
        <f t="shared" si="87"/>
        <v>4</v>
      </c>
      <c r="U238" s="251">
        <f t="shared" si="88"/>
        <v>-1.5347802639539132</v>
      </c>
      <c r="V238" s="383">
        <f t="shared" si="89"/>
        <v>52.543195702266921</v>
      </c>
      <c r="W238" s="58"/>
      <c r="X238" s="157">
        <f t="shared" si="90"/>
        <v>43324</v>
      </c>
      <c r="Y238" s="385">
        <f t="shared" si="91"/>
        <v>50.585000000000001</v>
      </c>
      <c r="Z238" s="385">
        <f t="shared" si="92"/>
        <v>50.674823885923757</v>
      </c>
      <c r="AA238" s="386">
        <f t="shared" si="93"/>
        <v>51.211420143676214</v>
      </c>
      <c r="AB238" s="197">
        <f t="shared" si="94"/>
        <v>43324</v>
      </c>
      <c r="AC238" s="427">
        <f t="shared" si="95"/>
        <v>1.0478058531612929E-2</v>
      </c>
      <c r="AD238" s="169">
        <f>(INDEX(Models!$BJ238:$BT238,,AH238)*(1-AF238)+INDEX(Models!$BJ238:$BT238,,AH238+1)*AF238-ERP_i)*AE238*Ramure*Pc/MaxiM</f>
        <v>3.3824234387128138E-4</v>
      </c>
      <c r="AE238" s="305">
        <f t="shared" si="96"/>
        <v>0.7</v>
      </c>
      <c r="AF238" s="177">
        <f t="shared" si="97"/>
        <v>0.4652197360460868</v>
      </c>
      <c r="AG238" s="921">
        <f t="shared" si="98"/>
        <v>-2</v>
      </c>
      <c r="AH238" s="176">
        <f t="shared" si="99"/>
        <v>4</v>
      </c>
      <c r="AI238" s="225">
        <f t="shared" si="100"/>
        <v>-1.5347802639539132</v>
      </c>
      <c r="AJ238" s="265" t="b">
        <f t="shared" si="101"/>
        <v>0</v>
      </c>
      <c r="AK238" s="265" t="b">
        <f t="shared" si="102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104"/>
        <v>43325</v>
      </c>
      <c r="B239" s="620">
        <v>27.457999999999998</v>
      </c>
      <c r="C239" s="390"/>
      <c r="D239" s="393">
        <f t="shared" si="80"/>
        <v>27.507359707427113</v>
      </c>
      <c r="E239" s="385">
        <f t="shared" si="106"/>
        <v>27.802123676043752</v>
      </c>
      <c r="F239" s="385">
        <f t="shared" si="105"/>
        <v>27.804934354104226</v>
      </c>
      <c r="G239" s="110">
        <f t="shared" si="107"/>
        <v>0.52364595626682553</v>
      </c>
      <c r="I239" s="380">
        <f t="shared" si="81"/>
        <v>27.804934354104226</v>
      </c>
      <c r="J239" s="85">
        <v>2018</v>
      </c>
      <c r="K239" s="197">
        <f t="shared" si="82"/>
        <v>43325</v>
      </c>
      <c r="L239" s="438">
        <f t="shared" si="83"/>
        <v>1.7944182194188363E-3</v>
      </c>
      <c r="M239" s="970"/>
      <c r="N239" s="970"/>
      <c r="O239" s="324">
        <f t="shared" si="84"/>
        <v>1.060221053798952E-2</v>
      </c>
      <c r="P239" s="169">
        <f>(INDEX(Models!$BJ239:$BT239,,T239)*(1-R239)+INDEX(Models!$BJ239:$BT239,,T239+1)*R239-ERP_i)*Q239*Ramure*Pc/MaxiM</f>
        <v>3.1623317652593755E-4</v>
      </c>
      <c r="Q239" s="305">
        <f t="shared" si="85"/>
        <v>0.7</v>
      </c>
      <c r="R239" s="177">
        <f t="shared" si="86"/>
        <v>0.46653359437383046</v>
      </c>
      <c r="S239" s="921">
        <f t="shared" si="103"/>
        <v>-2</v>
      </c>
      <c r="T239" s="176">
        <f t="shared" si="87"/>
        <v>4</v>
      </c>
      <c r="U239" s="251">
        <f t="shared" si="88"/>
        <v>-1.5334664056261695</v>
      </c>
      <c r="V239" s="383">
        <f t="shared" si="89"/>
        <v>52.424909524600935</v>
      </c>
      <c r="W239" s="58"/>
      <c r="X239" s="157">
        <f t="shared" si="90"/>
        <v>43325</v>
      </c>
      <c r="Y239" s="385">
        <f t="shared" si="91"/>
        <v>27.457999999999998</v>
      </c>
      <c r="Z239" s="385">
        <f t="shared" si="92"/>
        <v>27.507359707427113</v>
      </c>
      <c r="AA239" s="386">
        <f t="shared" si="93"/>
        <v>27.802123676043752</v>
      </c>
      <c r="AB239" s="197">
        <f t="shared" si="94"/>
        <v>43325</v>
      </c>
      <c r="AC239" s="427">
        <f t="shared" si="95"/>
        <v>1.060221053798952E-2</v>
      </c>
      <c r="AD239" s="169">
        <f>(INDEX(Models!$BJ239:$BT239,,AH239)*(1-AF239)+INDEX(Models!$BJ239:$BT239,,AH239+1)*AF239-ERP_i)*AE239*Ramure*Pc/MaxiM</f>
        <v>3.1623317652593755E-4</v>
      </c>
      <c r="AE239" s="305">
        <f t="shared" si="96"/>
        <v>0.7</v>
      </c>
      <c r="AF239" s="177">
        <f t="shared" si="97"/>
        <v>0.46653359437383046</v>
      </c>
      <c r="AG239" s="921">
        <f t="shared" si="98"/>
        <v>-2</v>
      </c>
      <c r="AH239" s="176">
        <f t="shared" si="99"/>
        <v>4</v>
      </c>
      <c r="AI239" s="225">
        <f t="shared" si="100"/>
        <v>-1.5334664056261695</v>
      </c>
      <c r="AJ239" s="265" t="b">
        <f t="shared" si="101"/>
        <v>0</v>
      </c>
      <c r="AK239" s="265" t="b">
        <f t="shared" si="102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104"/>
        <v>43326</v>
      </c>
      <c r="B240" s="620">
        <v>36.409999999999997</v>
      </c>
      <c r="C240" s="390"/>
      <c r="D240" s="393">
        <f t="shared" si="80"/>
        <v>36.476251139531747</v>
      </c>
      <c r="E240" s="385">
        <f t="shared" si="106"/>
        <v>36.871745338710816</v>
      </c>
      <c r="F240" s="385">
        <f t="shared" si="105"/>
        <v>36.877904634425114</v>
      </c>
      <c r="G240" s="110">
        <f t="shared" si="107"/>
        <v>0.69600259177495294</v>
      </c>
      <c r="I240" s="380">
        <f t="shared" si="81"/>
        <v>36.877904634425114</v>
      </c>
      <c r="J240" s="85">
        <v>2018</v>
      </c>
      <c r="K240" s="197">
        <f t="shared" si="82"/>
        <v>43326</v>
      </c>
      <c r="L240" s="438">
        <f t="shared" si="83"/>
        <v>1.8162814834868923E-3</v>
      </c>
      <c r="M240" s="970"/>
      <c r="N240" s="970"/>
      <c r="O240" s="324">
        <f t="shared" si="84"/>
        <v>1.0726213135450583E-2</v>
      </c>
      <c r="P240" s="169">
        <f>(INDEX(Models!$BJ240:$BT240,,T240)*(1-R240)+INDEX(Models!$BJ240:$BT240,,T240+1)*R240-ERP_i)*Q240*Ramure*Pc/MaxiM</f>
        <v>2.9516645323104614E-4</v>
      </c>
      <c r="Q240" s="305">
        <f t="shared" si="85"/>
        <v>0.7</v>
      </c>
      <c r="R240" s="177">
        <f t="shared" si="86"/>
        <v>0.46780154093477933</v>
      </c>
      <c r="S240" s="921">
        <f t="shared" si="103"/>
        <v>-2</v>
      </c>
      <c r="T240" s="176">
        <f t="shared" si="87"/>
        <v>4</v>
      </c>
      <c r="U240" s="251">
        <f t="shared" si="88"/>
        <v>-1.5321984590652207</v>
      </c>
      <c r="V240" s="383">
        <f t="shared" si="89"/>
        <v>52.306318664879441</v>
      </c>
      <c r="W240" s="58"/>
      <c r="X240" s="157">
        <f t="shared" si="90"/>
        <v>43326</v>
      </c>
      <c r="Y240" s="385">
        <f t="shared" si="91"/>
        <v>36.409999999999997</v>
      </c>
      <c r="Z240" s="385">
        <f t="shared" si="92"/>
        <v>36.476251139531747</v>
      </c>
      <c r="AA240" s="386">
        <f t="shared" si="93"/>
        <v>36.871745338710816</v>
      </c>
      <c r="AB240" s="197">
        <f t="shared" si="94"/>
        <v>43326</v>
      </c>
      <c r="AC240" s="427">
        <f t="shared" si="95"/>
        <v>1.0726213135450583E-2</v>
      </c>
      <c r="AD240" s="169">
        <f>(INDEX(Models!$BJ240:$BT240,,AH240)*(1-AF240)+INDEX(Models!$BJ240:$BT240,,AH240+1)*AF240-ERP_i)*AE240*Ramure*Pc/MaxiM</f>
        <v>2.9516645323104614E-4</v>
      </c>
      <c r="AE240" s="305">
        <f t="shared" si="96"/>
        <v>0.7</v>
      </c>
      <c r="AF240" s="177">
        <f t="shared" si="97"/>
        <v>0.46780154093477933</v>
      </c>
      <c r="AG240" s="921">
        <f t="shared" si="98"/>
        <v>-2</v>
      </c>
      <c r="AH240" s="176">
        <f t="shared" si="99"/>
        <v>4</v>
      </c>
      <c r="AI240" s="225">
        <f t="shared" si="100"/>
        <v>-1.5321984590652207</v>
      </c>
      <c r="AJ240" s="265" t="b">
        <f t="shared" si="101"/>
        <v>0</v>
      </c>
      <c r="AK240" s="265" t="b">
        <f t="shared" si="102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104"/>
        <v>43327</v>
      </c>
      <c r="B241" s="620">
        <v>53.106999999999999</v>
      </c>
      <c r="C241" s="390"/>
      <c r="D241" s="393">
        <f t="shared" si="80"/>
        <v>53.204798094684733</v>
      </c>
      <c r="E241" s="385">
        <f t="shared" si="106"/>
        <v>53.788405784288081</v>
      </c>
      <c r="F241" s="385">
        <f t="shared" si="105"/>
        <v>53.803189402990363</v>
      </c>
      <c r="G241" s="110">
        <f t="shared" si="107"/>
        <v>1.0176186648138223</v>
      </c>
      <c r="I241" s="380">
        <f t="shared" si="81"/>
        <v>53.803189402990363</v>
      </c>
      <c r="J241" s="85">
        <v>2018</v>
      </c>
      <c r="K241" s="197">
        <f t="shared" si="82"/>
        <v>43327</v>
      </c>
      <c r="L241" s="438">
        <f t="shared" si="83"/>
        <v>1.8381442686933314E-3</v>
      </c>
      <c r="M241" s="970"/>
      <c r="N241" s="970"/>
      <c r="O241" s="324">
        <f t="shared" si="84"/>
        <v>1.0850064825193696E-2</v>
      </c>
      <c r="P241" s="169">
        <f>(INDEX(Models!$BJ241:$BT241,,T241)*(1-R241)+INDEX(Models!$BJ241:$BT241,,T241+1)*R241-ERP_i)*Q241*Ramure*Pc/MaxiM</f>
        <v>2.7477216251156107E-4</v>
      </c>
      <c r="Q241" s="305">
        <f t="shared" si="85"/>
        <v>0.7</v>
      </c>
      <c r="R241" s="177">
        <f t="shared" si="86"/>
        <v>0.4690249254578196</v>
      </c>
      <c r="S241" s="921">
        <f t="shared" si="103"/>
        <v>-2</v>
      </c>
      <c r="T241" s="176">
        <f t="shared" si="87"/>
        <v>4</v>
      </c>
      <c r="U241" s="251">
        <f t="shared" si="88"/>
        <v>-1.5309750745421804</v>
      </c>
      <c r="V241" s="383">
        <f t="shared" si="89"/>
        <v>52.187525481085935</v>
      </c>
      <c r="W241" s="58"/>
      <c r="X241" s="157">
        <f t="shared" si="90"/>
        <v>43327</v>
      </c>
      <c r="Y241" s="385">
        <f t="shared" si="91"/>
        <v>53.106999999999999</v>
      </c>
      <c r="Z241" s="385">
        <f t="shared" si="92"/>
        <v>53.204798094684733</v>
      </c>
      <c r="AA241" s="386">
        <f t="shared" si="93"/>
        <v>53.788405784288081</v>
      </c>
      <c r="AB241" s="197">
        <f t="shared" si="94"/>
        <v>43327</v>
      </c>
      <c r="AC241" s="427">
        <f t="shared" si="95"/>
        <v>1.0850064825193696E-2</v>
      </c>
      <c r="AD241" s="169">
        <f>(INDEX(Models!$BJ241:$BT241,,AH241)*(1-AF241)+INDEX(Models!$BJ241:$BT241,,AH241+1)*AF241-ERP_i)*AE241*Ramure*Pc/MaxiM</f>
        <v>2.7477216251156107E-4</v>
      </c>
      <c r="AE241" s="305">
        <f t="shared" si="96"/>
        <v>0.7</v>
      </c>
      <c r="AF241" s="177">
        <f t="shared" si="97"/>
        <v>0.4690249254578196</v>
      </c>
      <c r="AG241" s="921">
        <f t="shared" si="98"/>
        <v>-2</v>
      </c>
      <c r="AH241" s="176">
        <f t="shared" si="99"/>
        <v>4</v>
      </c>
      <c r="AI241" s="225">
        <f t="shared" si="100"/>
        <v>-1.5309750745421804</v>
      </c>
      <c r="AJ241" s="265" t="b">
        <f t="shared" si="101"/>
        <v>0</v>
      </c>
      <c r="AK241" s="265" t="b">
        <f t="shared" si="102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104"/>
        <v>43328</v>
      </c>
      <c r="B242" s="620">
        <v>50.119</v>
      </c>
      <c r="C242" s="390"/>
      <c r="D242" s="393">
        <f t="shared" si="80"/>
        <v>50.212395385566104</v>
      </c>
      <c r="E242" s="385">
        <f t="shared" si="106"/>
        <v>50.769528204627811</v>
      </c>
      <c r="F242" s="385">
        <f t="shared" si="105"/>
        <v>50.781788146549871</v>
      </c>
      <c r="G242" s="110">
        <f t="shared" si="107"/>
        <v>0.96254363423868439</v>
      </c>
      <c r="I242" s="380">
        <f t="shared" si="81"/>
        <v>50.781788146549871</v>
      </c>
      <c r="J242" s="85">
        <v>2018</v>
      </c>
      <c r="K242" s="197">
        <f t="shared" si="82"/>
        <v>43328</v>
      </c>
      <c r="L242" s="438">
        <f t="shared" si="83"/>
        <v>1.8600065750488115E-3</v>
      </c>
      <c r="M242" s="970"/>
      <c r="N242" s="970"/>
      <c r="O242" s="324">
        <f t="shared" si="84"/>
        <v>1.0973763963615456E-2</v>
      </c>
      <c r="P242" s="169">
        <f>(INDEX(Models!$BJ242:$BT242,,T242)*(1-R242)+INDEX(Models!$BJ242:$BT242,,T242+1)*R242-ERP_i)*Q242*Ramure*Pc/MaxiM</f>
        <v>2.5506764207492138E-4</v>
      </c>
      <c r="Q242" s="305">
        <f t="shared" si="85"/>
        <v>0.7</v>
      </c>
      <c r="R242" s="177">
        <f t="shared" si="86"/>
        <v>0.47020507708583836</v>
      </c>
      <c r="S242" s="921">
        <f t="shared" si="103"/>
        <v>-2</v>
      </c>
      <c r="T242" s="176">
        <f t="shared" si="87"/>
        <v>4</v>
      </c>
      <c r="U242" s="251">
        <f t="shared" si="88"/>
        <v>-1.5297949229141616</v>
      </c>
      <c r="V242" s="383">
        <f t="shared" si="89"/>
        <v>52.068617199181311</v>
      </c>
      <c r="W242" s="58"/>
      <c r="X242" s="157">
        <f t="shared" si="90"/>
        <v>43328</v>
      </c>
      <c r="Y242" s="385">
        <f t="shared" si="91"/>
        <v>50.119</v>
      </c>
      <c r="Z242" s="385">
        <f t="shared" si="92"/>
        <v>50.212395385566104</v>
      </c>
      <c r="AA242" s="386">
        <f t="shared" si="93"/>
        <v>50.769528204627811</v>
      </c>
      <c r="AB242" s="197">
        <f t="shared" si="94"/>
        <v>43328</v>
      </c>
      <c r="AC242" s="427">
        <f t="shared" si="95"/>
        <v>1.0973763963615456E-2</v>
      </c>
      <c r="AD242" s="169">
        <f>(INDEX(Models!$BJ242:$BT242,,AH242)*(1-AF242)+INDEX(Models!$BJ242:$BT242,,AH242+1)*AF242-ERP_i)*AE242*Ramure*Pc/MaxiM</f>
        <v>2.5506764207492138E-4</v>
      </c>
      <c r="AE242" s="305">
        <f t="shared" si="96"/>
        <v>0.7</v>
      </c>
      <c r="AF242" s="177">
        <f t="shared" si="97"/>
        <v>0.47020507708583836</v>
      </c>
      <c r="AG242" s="921">
        <f t="shared" si="98"/>
        <v>-2</v>
      </c>
      <c r="AH242" s="176">
        <f t="shared" si="99"/>
        <v>4</v>
      </c>
      <c r="AI242" s="225">
        <f t="shared" si="100"/>
        <v>-1.5297949229141616</v>
      </c>
      <c r="AJ242" s="265" t="b">
        <f t="shared" si="101"/>
        <v>0</v>
      </c>
      <c r="AK242" s="265" t="b">
        <f t="shared" si="102"/>
        <v>0</v>
      </c>
      <c r="AL242" s="265"/>
      <c r="AM242" s="265"/>
      <c r="AN242" s="75"/>
    </row>
    <row r="243" spans="1:40" s="6" customFormat="1" ht="11.25" x14ac:dyDescent="0.2">
      <c r="A243" s="56">
        <f t="shared" si="104"/>
        <v>43329</v>
      </c>
      <c r="B243" s="620">
        <v>37.314999999999998</v>
      </c>
      <c r="C243" s="390"/>
      <c r="D243" s="393">
        <f t="shared" si="80"/>
        <v>37.385354317007817</v>
      </c>
      <c r="E243" s="385">
        <f t="shared" si="106"/>
        <v>37.804886818931287</v>
      </c>
      <c r="F243" s="385">
        <f t="shared" si="105"/>
        <v>37.8102205395206</v>
      </c>
      <c r="G243" s="110">
        <f t="shared" si="107"/>
        <v>0.71822297407157154</v>
      </c>
      <c r="I243" s="380">
        <f t="shared" si="81"/>
        <v>37.8102205395206</v>
      </c>
      <c r="J243" s="85">
        <v>2018</v>
      </c>
      <c r="K243" s="197">
        <f t="shared" si="82"/>
        <v>43329</v>
      </c>
      <c r="L243" s="438">
        <f t="shared" si="83"/>
        <v>1.8818684025635468E-3</v>
      </c>
      <c r="M243" s="970"/>
      <c r="N243" s="970"/>
      <c r="O243" s="324">
        <f t="shared" si="84"/>
        <v>1.109730876679621E-2</v>
      </c>
      <c r="P243" s="169">
        <f>(INDEX(Models!$BJ243:$BT243,,T243)*(1-R243)+INDEX(Models!$BJ243:$BT243,,T243+1)*R243-ERP_i)*Q243*Ramure*Pc/MaxiM</f>
        <v>2.3606974848772915E-4</v>
      </c>
      <c r="Q243" s="305">
        <f t="shared" si="85"/>
        <v>0.7</v>
      </c>
      <c r="R243" s="177">
        <f t="shared" si="86"/>
        <v>0.47134330312069106</v>
      </c>
      <c r="S243" s="921">
        <f t="shared" si="103"/>
        <v>-2</v>
      </c>
      <c r="T243" s="176">
        <f t="shared" si="87"/>
        <v>4</v>
      </c>
      <c r="U243" s="251">
        <f t="shared" si="88"/>
        <v>-1.5286566968793089</v>
      </c>
      <c r="V243" s="383">
        <f t="shared" si="89"/>
        <v>51.94968104080121</v>
      </c>
      <c r="W243" s="58"/>
      <c r="X243" s="157">
        <f t="shared" si="90"/>
        <v>43329</v>
      </c>
      <c r="Y243" s="385">
        <f t="shared" si="91"/>
        <v>37.314999999999998</v>
      </c>
      <c r="Z243" s="385">
        <f t="shared" si="92"/>
        <v>37.385354317007817</v>
      </c>
      <c r="AA243" s="386">
        <f t="shared" si="93"/>
        <v>37.804886818931287</v>
      </c>
      <c r="AB243" s="197">
        <f t="shared" si="94"/>
        <v>43329</v>
      </c>
      <c r="AC243" s="427">
        <f t="shared" si="95"/>
        <v>1.109730876679621E-2</v>
      </c>
      <c r="AD243" s="169">
        <f>(INDEX(Models!$BJ243:$BT243,,AH243)*(1-AF243)+INDEX(Models!$BJ243:$BT243,,AH243+1)*AF243-ERP_i)*AE243*Ramure*Pc/MaxiM</f>
        <v>2.3606974848772915E-4</v>
      </c>
      <c r="AE243" s="305">
        <f t="shared" si="96"/>
        <v>0.7</v>
      </c>
      <c r="AF243" s="177">
        <f t="shared" si="97"/>
        <v>0.47134330312069106</v>
      </c>
      <c r="AG243" s="921">
        <f t="shared" si="98"/>
        <v>-2</v>
      </c>
      <c r="AH243" s="176">
        <f t="shared" si="99"/>
        <v>4</v>
      </c>
      <c r="AI243" s="225">
        <f t="shared" si="100"/>
        <v>-1.5286566968793089</v>
      </c>
      <c r="AJ243" s="265" t="b">
        <f t="shared" si="101"/>
        <v>0</v>
      </c>
      <c r="AK243" s="265" t="b">
        <f t="shared" si="102"/>
        <v>0</v>
      </c>
      <c r="AL243" s="265"/>
      <c r="AM243" s="265"/>
      <c r="AN243" s="75"/>
    </row>
    <row r="244" spans="1:40" s="6" customFormat="1" ht="11.25" x14ac:dyDescent="0.2">
      <c r="A244" s="56">
        <f t="shared" si="104"/>
        <v>43330</v>
      </c>
      <c r="B244" s="620">
        <v>30.876000000000001</v>
      </c>
      <c r="C244" s="390"/>
      <c r="D244" s="393">
        <f t="shared" si="80"/>
        <v>30.934891673630734</v>
      </c>
      <c r="E244" s="385">
        <f t="shared" si="106"/>
        <v>31.285941756288473</v>
      </c>
      <c r="F244" s="385">
        <f t="shared" si="105"/>
        <v>31.288820487875963</v>
      </c>
      <c r="G244" s="110">
        <f t="shared" si="107"/>
        <v>0.5956325822474311</v>
      </c>
      <c r="I244" s="380">
        <f t="shared" si="81"/>
        <v>31.288820487875963</v>
      </c>
      <c r="J244" s="85">
        <v>2018</v>
      </c>
      <c r="K244" s="197">
        <f t="shared" si="82"/>
        <v>43330</v>
      </c>
      <c r="L244" s="438">
        <f t="shared" si="83"/>
        <v>1.9037297512481954E-3</v>
      </c>
      <c r="M244" s="970"/>
      <c r="N244" s="970"/>
      <c r="O244" s="324">
        <f t="shared" si="84"/>
        <v>1.1220697314862804E-2</v>
      </c>
      <c r="P244" s="169">
        <f>(INDEX(Models!$BJ244:$BT244,,T244)*(1-R244)+INDEX(Models!$BJ244:$BT244,,T244+1)*R244-ERP_i)*Q244*Ramure*Pc/MaxiM</f>
        <v>2.1779487104553474E-4</v>
      </c>
      <c r="Q244" s="305">
        <f t="shared" si="85"/>
        <v>0.7</v>
      </c>
      <c r="R244" s="177">
        <f t="shared" si="86"/>
        <v>0.47244088792550465</v>
      </c>
      <c r="S244" s="921">
        <f t="shared" si="103"/>
        <v>-2</v>
      </c>
      <c r="T244" s="176">
        <f t="shared" si="87"/>
        <v>4</v>
      </c>
      <c r="U244" s="251">
        <f t="shared" si="88"/>
        <v>-1.5275591120744954</v>
      </c>
      <c r="V244" s="383">
        <f t="shared" si="89"/>
        <v>51.830804221111528</v>
      </c>
      <c r="W244" s="58"/>
      <c r="X244" s="157">
        <f t="shared" si="90"/>
        <v>43330</v>
      </c>
      <c r="Y244" s="385">
        <f t="shared" si="91"/>
        <v>30.876000000000001</v>
      </c>
      <c r="Z244" s="385">
        <f t="shared" si="92"/>
        <v>30.934891673630734</v>
      </c>
      <c r="AA244" s="386">
        <f t="shared" si="93"/>
        <v>31.285941756288473</v>
      </c>
      <c r="AB244" s="197">
        <f t="shared" si="94"/>
        <v>43330</v>
      </c>
      <c r="AC244" s="427">
        <f t="shared" si="95"/>
        <v>1.1220697314862804E-2</v>
      </c>
      <c r="AD244" s="169">
        <f>(INDEX(Models!$BJ244:$BT244,,AH244)*(1-AF244)+INDEX(Models!$BJ244:$BT244,,AH244+1)*AF244-ERP_i)*AE244*Ramure*Pc/MaxiM</f>
        <v>2.1779487104553474E-4</v>
      </c>
      <c r="AE244" s="305">
        <f t="shared" si="96"/>
        <v>0.7</v>
      </c>
      <c r="AF244" s="177">
        <f t="shared" si="97"/>
        <v>0.47244088792550465</v>
      </c>
      <c r="AG244" s="921">
        <f t="shared" si="98"/>
        <v>-2</v>
      </c>
      <c r="AH244" s="176">
        <f t="shared" si="99"/>
        <v>4</v>
      </c>
      <c r="AI244" s="225">
        <f t="shared" si="100"/>
        <v>-1.5275591120744954</v>
      </c>
      <c r="AJ244" s="265" t="b">
        <f t="shared" si="101"/>
        <v>0</v>
      </c>
      <c r="AK244" s="265" t="b">
        <f t="shared" si="102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104"/>
        <v>43331</v>
      </c>
      <c r="B245" s="620">
        <v>49.295999999999999</v>
      </c>
      <c r="C245" s="390"/>
      <c r="D245" s="393">
        <f t="shared" si="80"/>
        <v>49.391107052506705</v>
      </c>
      <c r="E245" s="385">
        <f t="shared" si="106"/>
        <v>49.957825000166643</v>
      </c>
      <c r="F245" s="385">
        <f t="shared" si="105"/>
        <v>49.967163493960541</v>
      </c>
      <c r="G245" s="110">
        <f t="shared" si="107"/>
        <v>0.95326559557924229</v>
      </c>
      <c r="I245" s="380">
        <f t="shared" si="81"/>
        <v>49.967163493960541</v>
      </c>
      <c r="J245" s="85">
        <v>2018</v>
      </c>
      <c r="K245" s="197">
        <f t="shared" si="82"/>
        <v>43331</v>
      </c>
      <c r="L245" s="438">
        <f t="shared" si="83"/>
        <v>1.9255906211131935E-3</v>
      </c>
      <c r="M245" s="970"/>
      <c r="N245" s="970"/>
      <c r="O245" s="324">
        <f t="shared" si="84"/>
        <v>1.1343927556054541E-2</v>
      </c>
      <c r="P245" s="169">
        <f>(INDEX(Models!$BJ245:$BT245,,T245)*(1-R245)+INDEX(Models!$BJ245:$BT245,,T245+1)*R245-ERP_i)*Q245*Ramure*Pc/MaxiM</f>
        <v>2.0025894286080555E-4</v>
      </c>
      <c r="Q245" s="305">
        <f t="shared" si="85"/>
        <v>0.7</v>
      </c>
      <c r="R245" s="177">
        <f t="shared" si="86"/>
        <v>0.473499091974944</v>
      </c>
      <c r="S245" s="921">
        <f t="shared" si="103"/>
        <v>-2</v>
      </c>
      <c r="T245" s="176">
        <f t="shared" si="87"/>
        <v>4</v>
      </c>
      <c r="U245" s="251">
        <f t="shared" si="88"/>
        <v>-1.526500908025056</v>
      </c>
      <c r="V245" s="383">
        <f t="shared" si="89"/>
        <v>51.712073947581516</v>
      </c>
      <c r="W245" s="58"/>
      <c r="X245" s="157">
        <f t="shared" si="90"/>
        <v>43331</v>
      </c>
      <c r="Y245" s="385">
        <f t="shared" si="91"/>
        <v>49.295999999999999</v>
      </c>
      <c r="Z245" s="385">
        <f t="shared" si="92"/>
        <v>49.391107052506705</v>
      </c>
      <c r="AA245" s="386">
        <f t="shared" si="93"/>
        <v>49.957825000166643</v>
      </c>
      <c r="AB245" s="197">
        <f t="shared" si="94"/>
        <v>43331</v>
      </c>
      <c r="AC245" s="427">
        <f t="shared" si="95"/>
        <v>1.1343927556054541E-2</v>
      </c>
      <c r="AD245" s="169">
        <f>(INDEX(Models!$BJ245:$BT245,,AH245)*(1-AF245)+INDEX(Models!$BJ245:$BT245,,AH245+1)*AF245-ERP_i)*AE245*Ramure*Pc/MaxiM</f>
        <v>2.0025894286080555E-4</v>
      </c>
      <c r="AE245" s="305">
        <f t="shared" si="96"/>
        <v>0.7</v>
      </c>
      <c r="AF245" s="177">
        <f t="shared" si="97"/>
        <v>0.473499091974944</v>
      </c>
      <c r="AG245" s="921">
        <f t="shared" si="98"/>
        <v>-2</v>
      </c>
      <c r="AH245" s="176">
        <f t="shared" si="99"/>
        <v>4</v>
      </c>
      <c r="AI245" s="225">
        <f t="shared" si="100"/>
        <v>-1.526500908025056</v>
      </c>
      <c r="AJ245" s="265" t="b">
        <f t="shared" si="101"/>
        <v>0</v>
      </c>
      <c r="AK245" s="265" t="b">
        <f t="shared" si="102"/>
        <v>0</v>
      </c>
      <c r="AL245" s="265"/>
      <c r="AM245" s="265"/>
      <c r="AN245" s="75"/>
    </row>
    <row r="246" spans="1:40" s="6" customFormat="1" ht="11.25" x14ac:dyDescent="0.2">
      <c r="A246" s="56">
        <f t="shared" si="104"/>
        <v>43332</v>
      </c>
      <c r="B246" s="620">
        <v>50.850999999999999</v>
      </c>
      <c r="C246" s="390"/>
      <c r="D246" s="393">
        <f t="shared" si="80"/>
        <v>50.9502230634752</v>
      </c>
      <c r="E246" s="385">
        <f t="shared" si="106"/>
        <v>51.541246397283722</v>
      </c>
      <c r="F246" s="385">
        <f t="shared" si="105"/>
        <v>51.550510278445401</v>
      </c>
      <c r="G246" s="110">
        <f t="shared" si="107"/>
        <v>0.98560345442333142</v>
      </c>
      <c r="I246" s="380">
        <f t="shared" si="81"/>
        <v>51.550510278445401</v>
      </c>
      <c r="J246" s="85">
        <v>2018</v>
      </c>
      <c r="K246" s="197">
        <f t="shared" si="82"/>
        <v>43332</v>
      </c>
      <c r="L246" s="438">
        <f t="shared" si="83"/>
        <v>1.947451012168977E-3</v>
      </c>
      <c r="M246" s="970"/>
      <c r="N246" s="970"/>
      <c r="O246" s="324">
        <f t="shared" si="84"/>
        <v>1.1466997310326424E-2</v>
      </c>
      <c r="P246" s="169">
        <f>(INDEX(Models!$BJ246:$BT246,,T246)*(1-R246)+INDEX(Models!$BJ246:$BT246,,T246+1)*R246-ERP_i)*Q246*Ramure*Pc/MaxiM</f>
        <v>1.8347744926137052E-4</v>
      </c>
      <c r="Q246" s="305">
        <f t="shared" si="85"/>
        <v>0.7</v>
      </c>
      <c r="R246" s="177">
        <f t="shared" si="86"/>
        <v>0.47451915104422926</v>
      </c>
      <c r="S246" s="921">
        <f t="shared" si="103"/>
        <v>-2</v>
      </c>
      <c r="T246" s="176">
        <f t="shared" si="87"/>
        <v>4</v>
      </c>
      <c r="U246" s="251">
        <f t="shared" si="88"/>
        <v>-1.5254808489557707</v>
      </c>
      <c r="V246" s="383">
        <f t="shared" si="89"/>
        <v>51.593577418224072</v>
      </c>
      <c r="W246" s="58"/>
      <c r="X246" s="157">
        <f t="shared" si="90"/>
        <v>43332</v>
      </c>
      <c r="Y246" s="385">
        <f t="shared" si="91"/>
        <v>50.850999999999999</v>
      </c>
      <c r="Z246" s="385">
        <f t="shared" si="92"/>
        <v>50.9502230634752</v>
      </c>
      <c r="AA246" s="386">
        <f t="shared" si="93"/>
        <v>51.541246397283722</v>
      </c>
      <c r="AB246" s="197">
        <f t="shared" si="94"/>
        <v>43332</v>
      </c>
      <c r="AC246" s="427">
        <f t="shared" si="95"/>
        <v>1.1466997310326424E-2</v>
      </c>
      <c r="AD246" s="169">
        <f>(INDEX(Models!$BJ246:$BT246,,AH246)*(1-AF246)+INDEX(Models!$BJ246:$BT246,,AH246+1)*AF246-ERP_i)*AE246*Ramure*Pc/MaxiM</f>
        <v>1.8347744926137052E-4</v>
      </c>
      <c r="AE246" s="305">
        <f t="shared" si="96"/>
        <v>0.7</v>
      </c>
      <c r="AF246" s="177">
        <f t="shared" si="97"/>
        <v>0.47451915104422926</v>
      </c>
      <c r="AG246" s="921">
        <f t="shared" si="98"/>
        <v>-2</v>
      </c>
      <c r="AH246" s="176">
        <f t="shared" si="99"/>
        <v>4</v>
      </c>
      <c r="AI246" s="225">
        <f t="shared" si="100"/>
        <v>-1.5254808489557707</v>
      </c>
      <c r="AJ246" s="265" t="b">
        <f t="shared" si="101"/>
        <v>0</v>
      </c>
      <c r="AK246" s="265" t="b">
        <f t="shared" si="102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104"/>
        <v>43333</v>
      </c>
      <c r="B247" s="620">
        <v>50.353000000000002</v>
      </c>
      <c r="C247" s="390"/>
      <c r="D247" s="393">
        <f t="shared" si="80"/>
        <v>50.452356376575437</v>
      </c>
      <c r="E247" s="385">
        <f t="shared" si="106"/>
        <v>51.043950880967628</v>
      </c>
      <c r="F247" s="385">
        <f t="shared" si="105"/>
        <v>51.052233719552078</v>
      </c>
      <c r="G247" s="110">
        <f t="shared" si="107"/>
        <v>0.97817411636691831</v>
      </c>
      <c r="I247" s="380">
        <f t="shared" si="81"/>
        <v>51.052233719552078</v>
      </c>
      <c r="J247" s="85">
        <v>2018</v>
      </c>
      <c r="K247" s="197">
        <f t="shared" si="82"/>
        <v>43333</v>
      </c>
      <c r="L247" s="438">
        <f t="shared" si="83"/>
        <v>1.9693109244262041E-3</v>
      </c>
      <c r="M247" s="970"/>
      <c r="N247" s="970"/>
      <c r="O247" s="324">
        <f t="shared" si="84"/>
        <v>1.1589904272335042E-2</v>
      </c>
      <c r="P247" s="169">
        <f>(INDEX(Models!$BJ247:$BT247,,T247)*(1-R247)+INDEX(Models!$BJ247:$BT247,,T247+1)*R247-ERP_i)*Q247*Ramure*Pc/MaxiM</f>
        <v>1.6746266890482137E-4</v>
      </c>
      <c r="Q247" s="305">
        <f t="shared" si="85"/>
        <v>0.7</v>
      </c>
      <c r="R247" s="177">
        <f t="shared" si="86"/>
        <v>0.47550227552789348</v>
      </c>
      <c r="S247" s="921">
        <f t="shared" si="103"/>
        <v>-2</v>
      </c>
      <c r="T247" s="176">
        <f t="shared" si="87"/>
        <v>4</v>
      </c>
      <c r="U247" s="251">
        <f t="shared" si="88"/>
        <v>-1.5244977244721065</v>
      </c>
      <c r="V247" s="383">
        <f t="shared" si="89"/>
        <v>51.476251784091239</v>
      </c>
      <c r="W247" s="58"/>
      <c r="X247" s="157">
        <f t="shared" si="90"/>
        <v>43333</v>
      </c>
      <c r="Y247" s="385">
        <f t="shared" si="91"/>
        <v>50.353000000000002</v>
      </c>
      <c r="Z247" s="385">
        <f t="shared" si="92"/>
        <v>50.452356376575437</v>
      </c>
      <c r="AA247" s="386">
        <f t="shared" si="93"/>
        <v>51.043950880967628</v>
      </c>
      <c r="AB247" s="197">
        <f t="shared" si="94"/>
        <v>43333</v>
      </c>
      <c r="AC247" s="427">
        <f t="shared" si="95"/>
        <v>1.1589904272335042E-2</v>
      </c>
      <c r="AD247" s="169">
        <f>(INDEX(Models!$BJ247:$BT247,,AH247)*(1-AF247)+INDEX(Models!$BJ247:$BT247,,AH247+1)*AF247-ERP_i)*AE247*Ramure*Pc/MaxiM</f>
        <v>1.6746266890482137E-4</v>
      </c>
      <c r="AE247" s="305">
        <f t="shared" si="96"/>
        <v>0.7</v>
      </c>
      <c r="AF247" s="177">
        <f t="shared" si="97"/>
        <v>0.47550227552789348</v>
      </c>
      <c r="AG247" s="921">
        <f t="shared" si="98"/>
        <v>-2</v>
      </c>
      <c r="AH247" s="176">
        <f t="shared" si="99"/>
        <v>4</v>
      </c>
      <c r="AI247" s="225">
        <f t="shared" si="100"/>
        <v>-1.5244977244721065</v>
      </c>
      <c r="AJ247" s="265" t="b">
        <f t="shared" si="101"/>
        <v>0</v>
      </c>
      <c r="AK247" s="265" t="b">
        <f t="shared" si="102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104"/>
        <v>43334</v>
      </c>
      <c r="B248" s="620">
        <v>49.588999999999999</v>
      </c>
      <c r="C248" s="390"/>
      <c r="D248" s="393">
        <f t="shared" si="80"/>
        <v>49.687937147593246</v>
      </c>
      <c r="E248" s="385">
        <f t="shared" si="106"/>
        <v>50.276811645088017</v>
      </c>
      <c r="F248" s="385">
        <f t="shared" si="105"/>
        <v>50.284118070169328</v>
      </c>
      <c r="G248" s="110">
        <f t="shared" si="107"/>
        <v>0.96549907639499977</v>
      </c>
      <c r="I248" s="380">
        <f t="shared" si="81"/>
        <v>50.284118070169328</v>
      </c>
      <c r="J248" s="85">
        <v>2018</v>
      </c>
      <c r="K248" s="197">
        <f t="shared" si="82"/>
        <v>43334</v>
      </c>
      <c r="L248" s="438">
        <f t="shared" si="83"/>
        <v>1.9911703578952E-3</v>
      </c>
      <c r="M248" s="970"/>
      <c r="N248" s="970"/>
      <c r="O248" s="324">
        <f t="shared" si="84"/>
        <v>1.1712646013667827E-2</v>
      </c>
      <c r="P248" s="169">
        <f>(INDEX(Models!$BJ248:$BT248,,T248)*(1-R248)+INDEX(Models!$BJ248:$BT248,,T248+1)*R248-ERP_i)*Q248*Ramure*Pc/MaxiM</f>
        <v>1.5283398430392399E-4</v>
      </c>
      <c r="Q248" s="305">
        <f t="shared" si="85"/>
        <v>0.7</v>
      </c>
      <c r="R248" s="177">
        <f t="shared" si="86"/>
        <v>0.47644964987951188</v>
      </c>
      <c r="S248" s="921">
        <f t="shared" si="103"/>
        <v>-2</v>
      </c>
      <c r="T248" s="176">
        <f t="shared" si="87"/>
        <v>4</v>
      </c>
      <c r="U248" s="251">
        <f t="shared" si="88"/>
        <v>-1.5235503501204881</v>
      </c>
      <c r="V248" s="383">
        <f t="shared" si="89"/>
        <v>51.360615143089639</v>
      </c>
      <c r="W248" s="58"/>
      <c r="X248" s="157">
        <f t="shared" si="90"/>
        <v>43334</v>
      </c>
      <c r="Y248" s="385">
        <f t="shared" si="91"/>
        <v>49.588999999999999</v>
      </c>
      <c r="Z248" s="385">
        <f t="shared" si="92"/>
        <v>49.687937147593246</v>
      </c>
      <c r="AA248" s="386">
        <f t="shared" si="93"/>
        <v>50.276811645088017</v>
      </c>
      <c r="AB248" s="197">
        <f t="shared" si="94"/>
        <v>43334</v>
      </c>
      <c r="AC248" s="427">
        <f t="shared" si="95"/>
        <v>1.1712646013667827E-2</v>
      </c>
      <c r="AD248" s="169">
        <f>(INDEX(Models!$BJ248:$BT248,,AH248)*(1-AF248)+INDEX(Models!$BJ248:$BT248,,AH248+1)*AF248-ERP_i)*AE248*Ramure*Pc/MaxiM</f>
        <v>1.5283398430392399E-4</v>
      </c>
      <c r="AE248" s="305">
        <f t="shared" si="96"/>
        <v>0.7</v>
      </c>
      <c r="AF248" s="177">
        <f t="shared" si="97"/>
        <v>0.47644964987951188</v>
      </c>
      <c r="AG248" s="921">
        <f t="shared" si="98"/>
        <v>-2</v>
      </c>
      <c r="AH248" s="176">
        <f t="shared" si="99"/>
        <v>4</v>
      </c>
      <c r="AI248" s="225">
        <f t="shared" si="100"/>
        <v>-1.5235503501204881</v>
      </c>
      <c r="AJ248" s="265" t="b">
        <f t="shared" si="101"/>
        <v>0</v>
      </c>
      <c r="AK248" s="265" t="b">
        <f t="shared" si="102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104"/>
        <v>43335</v>
      </c>
      <c r="B249" s="620">
        <v>24.058</v>
      </c>
      <c r="C249" s="390"/>
      <c r="D249" s="393">
        <f t="shared" si="80"/>
        <v>24.106527145769096</v>
      </c>
      <c r="E249" s="385">
        <f t="shared" si="106"/>
        <v>24.395250299634696</v>
      </c>
      <c r="F249" s="385">
        <f t="shared" si="105"/>
        <v>24.396072932630929</v>
      </c>
      <c r="G249" s="110">
        <f t="shared" si="107"/>
        <v>0.4694097324286351</v>
      </c>
      <c r="I249" s="380">
        <f t="shared" si="81"/>
        <v>24.396072932630929</v>
      </c>
      <c r="J249" s="85">
        <v>2018</v>
      </c>
      <c r="K249" s="197">
        <f t="shared" si="82"/>
        <v>43335</v>
      </c>
      <c r="L249" s="438">
        <f t="shared" si="83"/>
        <v>2.0130293125865117E-3</v>
      </c>
      <c r="M249" s="970"/>
      <c r="N249" s="970"/>
      <c r="O249" s="324">
        <f t="shared" si="84"/>
        <v>1.1835219984191932E-2</v>
      </c>
      <c r="P249" s="169">
        <f>(INDEX(Models!$BJ249:$BT249,,T249)*(1-R249)+INDEX(Models!$BJ249:$BT249,,T249+1)*R249-ERP_i)*Q249*Ramure*Pc/MaxiM</f>
        <v>1.3928965012790552E-4</v>
      </c>
      <c r="Q249" s="305">
        <f t="shared" si="85"/>
        <v>0.7</v>
      </c>
      <c r="R249" s="177">
        <f t="shared" si="86"/>
        <v>0.47736243216389806</v>
      </c>
      <c r="S249" s="921">
        <f t="shared" si="103"/>
        <v>-2</v>
      </c>
      <c r="T249" s="176">
        <f t="shared" si="87"/>
        <v>4</v>
      </c>
      <c r="U249" s="251">
        <f t="shared" si="88"/>
        <v>-1.5226375678361019</v>
      </c>
      <c r="V249" s="383">
        <f t="shared" si="89"/>
        <v>51.246189534049684</v>
      </c>
      <c r="W249" s="58"/>
      <c r="X249" s="157">
        <f t="shared" si="90"/>
        <v>43335</v>
      </c>
      <c r="Y249" s="385">
        <f t="shared" si="91"/>
        <v>24.058</v>
      </c>
      <c r="Z249" s="385">
        <f t="shared" si="92"/>
        <v>24.106527145769096</v>
      </c>
      <c r="AA249" s="386">
        <f t="shared" si="93"/>
        <v>24.395250299634696</v>
      </c>
      <c r="AB249" s="197">
        <f t="shared" si="94"/>
        <v>43335</v>
      </c>
      <c r="AC249" s="427">
        <f t="shared" si="95"/>
        <v>1.1835219984191932E-2</v>
      </c>
      <c r="AD249" s="169">
        <f>(INDEX(Models!$BJ249:$BT249,,AH249)*(1-AF249)+INDEX(Models!$BJ249:$BT249,,AH249+1)*AF249-ERP_i)*AE249*Ramure*Pc/MaxiM</f>
        <v>1.3928965012790552E-4</v>
      </c>
      <c r="AE249" s="305">
        <f t="shared" si="96"/>
        <v>0.7</v>
      </c>
      <c r="AF249" s="177">
        <f t="shared" si="97"/>
        <v>0.47736243216389806</v>
      </c>
      <c r="AG249" s="921">
        <f t="shared" si="98"/>
        <v>-2</v>
      </c>
      <c r="AH249" s="176">
        <f t="shared" si="99"/>
        <v>4</v>
      </c>
      <c r="AI249" s="225">
        <f t="shared" si="100"/>
        <v>-1.5226375678361019</v>
      </c>
      <c r="AJ249" s="265" t="b">
        <f t="shared" si="101"/>
        <v>0</v>
      </c>
      <c r="AK249" s="265" t="b">
        <f t="shared" si="102"/>
        <v>0</v>
      </c>
      <c r="AL249" s="265"/>
      <c r="AM249" s="265"/>
      <c r="AN249" s="75"/>
    </row>
    <row r="250" spans="1:40" s="6" customFormat="1" ht="11.25" x14ac:dyDescent="0.2">
      <c r="A250" s="56">
        <f t="shared" si="104"/>
        <v>43336</v>
      </c>
      <c r="B250" s="620">
        <v>15.885</v>
      </c>
      <c r="C250" s="390"/>
      <c r="D250" s="393">
        <f t="shared" si="80"/>
        <v>15.917390102745035</v>
      </c>
      <c r="E250" s="385">
        <f t="shared" si="106"/>
        <v>16.110027749346347</v>
      </c>
      <c r="F250" s="385">
        <f t="shared" si="105"/>
        <v>16.110058879867211</v>
      </c>
      <c r="G250" s="110">
        <f t="shared" si="107"/>
        <v>0.31062478251723386</v>
      </c>
      <c r="I250" s="380">
        <f t="shared" si="81"/>
        <v>16.110058879867211</v>
      </c>
      <c r="J250" s="85">
        <v>2018</v>
      </c>
      <c r="K250" s="197">
        <f t="shared" si="82"/>
        <v>43336</v>
      </c>
      <c r="L250" s="438">
        <f t="shared" si="83"/>
        <v>2.0348877885105754E-3</v>
      </c>
      <c r="M250" s="970"/>
      <c r="N250" s="970"/>
      <c r="O250" s="324">
        <f t="shared" si="84"/>
        <v>1.1957623512419382E-2</v>
      </c>
      <c r="P250" s="169">
        <f>(INDEX(Models!$BJ250:$BT250,,T250)*(1-R250)+INDEX(Models!$BJ250:$BT250,,T250+1)*R250-ERP_i)*Q250*Ramure*Pc/MaxiM</f>
        <v>1.2684807678363535E-4</v>
      </c>
      <c r="Q250" s="305">
        <f t="shared" si="85"/>
        <v>0.7</v>
      </c>
      <c r="R250" s="177">
        <f t="shared" si="86"/>
        <v>0.47824175371356237</v>
      </c>
      <c r="S250" s="921">
        <f t="shared" si="103"/>
        <v>-2</v>
      </c>
      <c r="T250" s="176">
        <f t="shared" si="87"/>
        <v>4</v>
      </c>
      <c r="U250" s="251">
        <f t="shared" si="88"/>
        <v>-1.5217582462864376</v>
      </c>
      <c r="V250" s="383">
        <f t="shared" si="89"/>
        <v>51.132480742130014</v>
      </c>
      <c r="W250" s="58"/>
      <c r="X250" s="157">
        <f t="shared" si="90"/>
        <v>43336</v>
      </c>
      <c r="Y250" s="385">
        <f t="shared" si="91"/>
        <v>15.885</v>
      </c>
      <c r="Z250" s="385">
        <f t="shared" si="92"/>
        <v>15.917390102745035</v>
      </c>
      <c r="AA250" s="386">
        <f t="shared" si="93"/>
        <v>16.110027749346347</v>
      </c>
      <c r="AB250" s="197">
        <f t="shared" si="94"/>
        <v>43336</v>
      </c>
      <c r="AC250" s="427">
        <f t="shared" si="95"/>
        <v>1.1957623512419382E-2</v>
      </c>
      <c r="AD250" s="169">
        <f>(INDEX(Models!$BJ250:$BT250,,AH250)*(1-AF250)+INDEX(Models!$BJ250:$BT250,,AH250+1)*AF250-ERP_i)*AE250*Ramure*Pc/MaxiM</f>
        <v>1.2684807678363535E-4</v>
      </c>
      <c r="AE250" s="305">
        <f t="shared" si="96"/>
        <v>0.7</v>
      </c>
      <c r="AF250" s="177">
        <f t="shared" si="97"/>
        <v>0.47824175371356237</v>
      </c>
      <c r="AG250" s="921">
        <f t="shared" si="98"/>
        <v>-2</v>
      </c>
      <c r="AH250" s="176">
        <f t="shared" si="99"/>
        <v>4</v>
      </c>
      <c r="AI250" s="225">
        <f t="shared" si="100"/>
        <v>-1.5217582462864376</v>
      </c>
      <c r="AJ250" s="265" t="b">
        <f t="shared" si="101"/>
        <v>0</v>
      </c>
      <c r="AK250" s="265" t="b">
        <f t="shared" si="102"/>
        <v>0</v>
      </c>
      <c r="AL250" s="265"/>
      <c r="AM250" s="265"/>
      <c r="AN250" s="75"/>
    </row>
    <row r="251" spans="1:40" s="6" customFormat="1" ht="11.25" x14ac:dyDescent="0.2">
      <c r="A251" s="56">
        <f t="shared" si="104"/>
        <v>43337</v>
      </c>
      <c r="B251" s="620">
        <v>23.423999999999999</v>
      </c>
      <c r="C251" s="390"/>
      <c r="D251" s="393">
        <f t="shared" si="80"/>
        <v>23.472276505783537</v>
      </c>
      <c r="E251" s="385">
        <f t="shared" si="106"/>
        <v>23.759285197475727</v>
      </c>
      <c r="F251" s="385">
        <f t="shared" si="105"/>
        <v>23.759909164329446</v>
      </c>
      <c r="G251" s="110">
        <f t="shared" si="107"/>
        <v>0.45908213306000961</v>
      </c>
      <c r="I251" s="380">
        <f t="shared" si="81"/>
        <v>23.759909164329446</v>
      </c>
      <c r="J251" s="85">
        <v>2018</v>
      </c>
      <c r="K251" s="197">
        <f t="shared" si="82"/>
        <v>43337</v>
      </c>
      <c r="L251" s="438">
        <f t="shared" si="83"/>
        <v>2.0567457856779381E-3</v>
      </c>
      <c r="M251" s="970"/>
      <c r="N251" s="970"/>
      <c r="O251" s="324">
        <f t="shared" si="84"/>
        <v>1.2079853804805604E-2</v>
      </c>
      <c r="P251" s="169">
        <f>(INDEX(Models!$BJ251:$BT251,,T251)*(1-R251)+INDEX(Models!$BJ251:$BT251,,T251+1)*R251-ERP_i)*Q251*Ramure*Pc/MaxiM</f>
        <v>1.1552647020846367E-4</v>
      </c>
      <c r="Q251" s="305">
        <f t="shared" si="85"/>
        <v>0.7</v>
      </c>
      <c r="R251" s="177">
        <f t="shared" si="86"/>
        <v>0.47908871888152693</v>
      </c>
      <c r="S251" s="921">
        <f t="shared" si="103"/>
        <v>-2</v>
      </c>
      <c r="T251" s="176">
        <f t="shared" si="87"/>
        <v>4</v>
      </c>
      <c r="U251" s="251">
        <f t="shared" si="88"/>
        <v>-1.5209112811184731</v>
      </c>
      <c r="V251" s="383">
        <f t="shared" si="89"/>
        <v>51.018994885212585</v>
      </c>
      <c r="W251" s="58"/>
      <c r="X251" s="157">
        <f t="shared" si="90"/>
        <v>43337</v>
      </c>
      <c r="Y251" s="385">
        <f t="shared" si="91"/>
        <v>23.423999999999999</v>
      </c>
      <c r="Z251" s="385">
        <f t="shared" si="92"/>
        <v>23.472276505783537</v>
      </c>
      <c r="AA251" s="386">
        <f t="shared" si="93"/>
        <v>23.759285197475727</v>
      </c>
      <c r="AB251" s="197">
        <f t="shared" si="94"/>
        <v>43337</v>
      </c>
      <c r="AC251" s="427">
        <f t="shared" si="95"/>
        <v>1.2079853804805604E-2</v>
      </c>
      <c r="AD251" s="169">
        <f>(INDEX(Models!$BJ251:$BT251,,AH251)*(1-AF251)+INDEX(Models!$BJ251:$BT251,,AH251+1)*AF251-ERP_i)*AE251*Ramure*Pc/MaxiM</f>
        <v>1.1552647020846367E-4</v>
      </c>
      <c r="AE251" s="305">
        <f t="shared" si="96"/>
        <v>0.7</v>
      </c>
      <c r="AF251" s="177">
        <f t="shared" si="97"/>
        <v>0.47908871888152693</v>
      </c>
      <c r="AG251" s="921">
        <f t="shared" si="98"/>
        <v>-2</v>
      </c>
      <c r="AH251" s="176">
        <f t="shared" si="99"/>
        <v>4</v>
      </c>
      <c r="AI251" s="225">
        <f t="shared" si="100"/>
        <v>-1.5209112811184731</v>
      </c>
      <c r="AJ251" s="265" t="b">
        <f t="shared" si="101"/>
        <v>0</v>
      </c>
      <c r="AK251" s="265" t="b">
        <f t="shared" si="102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104"/>
        <v>43338</v>
      </c>
      <c r="B252" s="620">
        <v>52.866999999999997</v>
      </c>
      <c r="C252" s="390"/>
      <c r="D252" s="393">
        <f t="shared" si="80"/>
        <v>52.977118413375692</v>
      </c>
      <c r="E252" s="385">
        <f t="shared" si="106"/>
        <v>53.631525348571046</v>
      </c>
      <c r="F252" s="385">
        <f t="shared" si="105"/>
        <v>53.637175533284911</v>
      </c>
      <c r="G252" s="110">
        <f t="shared" si="107"/>
        <v>1.0385375188006487</v>
      </c>
      <c r="I252" s="380">
        <f t="shared" si="81"/>
        <v>53.637175533284911</v>
      </c>
      <c r="J252" s="85">
        <v>2018</v>
      </c>
      <c r="K252" s="197">
        <f t="shared" si="82"/>
        <v>43338</v>
      </c>
      <c r="L252" s="438">
        <f t="shared" si="83"/>
        <v>2.078603304099147E-3</v>
      </c>
      <c r="M252" s="970"/>
      <c r="N252" s="970"/>
      <c r="O252" s="324">
        <f t="shared" si="84"/>
        <v>1.220190794392154E-2</v>
      </c>
      <c r="P252" s="169">
        <f>(INDEX(Models!$BJ252:$BT252,,T252)*(1-R252)+INDEX(Models!$BJ252:$BT252,,T252+1)*R252-ERP_i)*Q252*Ramure*Pc/MaxiM</f>
        <v>1.0534083231810623E-4</v>
      </c>
      <c r="Q252" s="305">
        <f t="shared" si="85"/>
        <v>0.7</v>
      </c>
      <c r="R252" s="177">
        <f t="shared" si="86"/>
        <v>0.47990440488293062</v>
      </c>
      <c r="S252" s="921">
        <f t="shared" si="103"/>
        <v>-2</v>
      </c>
      <c r="T252" s="176">
        <f t="shared" si="87"/>
        <v>4</v>
      </c>
      <c r="U252" s="251">
        <f t="shared" si="88"/>
        <v>-1.5200955951170694</v>
      </c>
      <c r="V252" s="383">
        <f t="shared" si="89"/>
        <v>50.905238417436529</v>
      </c>
      <c r="W252" s="58"/>
      <c r="X252" s="157">
        <f t="shared" si="90"/>
        <v>43338</v>
      </c>
      <c r="Y252" s="385">
        <f t="shared" si="91"/>
        <v>52.866999999999997</v>
      </c>
      <c r="Z252" s="385">
        <f t="shared" si="92"/>
        <v>52.977118413375692</v>
      </c>
      <c r="AA252" s="386">
        <f t="shared" si="93"/>
        <v>53.631525348571046</v>
      </c>
      <c r="AB252" s="197">
        <f t="shared" si="94"/>
        <v>43338</v>
      </c>
      <c r="AC252" s="427">
        <f t="shared" si="95"/>
        <v>1.220190794392154E-2</v>
      </c>
      <c r="AD252" s="169">
        <f>(INDEX(Models!$BJ252:$BT252,,AH252)*(1-AF252)+INDEX(Models!$BJ252:$BT252,,AH252+1)*AF252-ERP_i)*AE252*Ramure*Pc/MaxiM</f>
        <v>1.0534083231810623E-4</v>
      </c>
      <c r="AE252" s="305">
        <f t="shared" si="96"/>
        <v>0.7</v>
      </c>
      <c r="AF252" s="177">
        <f t="shared" si="97"/>
        <v>0.47990440488293062</v>
      </c>
      <c r="AG252" s="921">
        <f t="shared" si="98"/>
        <v>-2</v>
      </c>
      <c r="AH252" s="176">
        <f t="shared" si="99"/>
        <v>4</v>
      </c>
      <c r="AI252" s="225">
        <f t="shared" si="100"/>
        <v>-1.5200955951170694</v>
      </c>
      <c r="AJ252" s="265" t="b">
        <f t="shared" si="101"/>
        <v>0</v>
      </c>
      <c r="AK252" s="265" t="b">
        <f t="shared" si="102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104"/>
        <v>43339</v>
      </c>
      <c r="B253" s="620">
        <v>50.658999999999999</v>
      </c>
      <c r="C253" s="390"/>
      <c r="D253" s="393">
        <f t="shared" si="80"/>
        <v>50.765631195152608</v>
      </c>
      <c r="E253" s="385">
        <f t="shared" si="106"/>
        <v>51.3990620767024</v>
      </c>
      <c r="F253" s="385">
        <f t="shared" si="105"/>
        <v>51.403994258295555</v>
      </c>
      <c r="G253" s="110">
        <f t="shared" si="107"/>
        <v>0.99740629380101453</v>
      </c>
      <c r="I253" s="380">
        <f t="shared" si="81"/>
        <v>51.403994258295555</v>
      </c>
      <c r="J253" s="85">
        <v>2018</v>
      </c>
      <c r="K253" s="197">
        <f t="shared" si="82"/>
        <v>43339</v>
      </c>
      <c r="L253" s="438">
        <f t="shared" si="83"/>
        <v>2.1004603437845271E-3</v>
      </c>
      <c r="M253" s="970"/>
      <c r="N253" s="970"/>
      <c r="O253" s="324">
        <f t="shared" si="84"/>
        <v>1.23237828854644E-2</v>
      </c>
      <c r="P253" s="169">
        <f>(INDEX(Models!$BJ253:$BT253,,T253)*(1-R253)+INDEX(Models!$BJ253:$BT253,,T253+1)*R253-ERP_i)*Q253*Ramure*Pc/MaxiM</f>
        <v>9.6306177966940307E-5</v>
      </c>
      <c r="Q253" s="305">
        <f t="shared" si="85"/>
        <v>0.7</v>
      </c>
      <c r="R253" s="177">
        <f t="shared" si="86"/>
        <v>0.48068986171817785</v>
      </c>
      <c r="S253" s="921">
        <f t="shared" si="103"/>
        <v>-2</v>
      </c>
      <c r="T253" s="176">
        <f t="shared" si="87"/>
        <v>4</v>
      </c>
      <c r="U253" s="251">
        <f t="shared" si="88"/>
        <v>-1.5193101382818222</v>
      </c>
      <c r="V253" s="383">
        <f t="shared" si="89"/>
        <v>50.790718123897683</v>
      </c>
      <c r="W253" s="58"/>
      <c r="X253" s="157">
        <f t="shared" si="90"/>
        <v>43339</v>
      </c>
      <c r="Y253" s="385">
        <f t="shared" si="91"/>
        <v>50.658999999999999</v>
      </c>
      <c r="Z253" s="385">
        <f t="shared" si="92"/>
        <v>50.765631195152608</v>
      </c>
      <c r="AA253" s="386">
        <f t="shared" si="93"/>
        <v>51.3990620767024</v>
      </c>
      <c r="AB253" s="197">
        <f t="shared" si="94"/>
        <v>43339</v>
      </c>
      <c r="AC253" s="427">
        <f t="shared" si="95"/>
        <v>1.23237828854644E-2</v>
      </c>
      <c r="AD253" s="169">
        <f>(INDEX(Models!$BJ253:$BT253,,AH253)*(1-AF253)+INDEX(Models!$BJ253:$BT253,,AH253+1)*AF253-ERP_i)*AE253*Ramure*Pc/MaxiM</f>
        <v>9.6306177966940307E-5</v>
      </c>
      <c r="AE253" s="305">
        <f t="shared" si="96"/>
        <v>0.7</v>
      </c>
      <c r="AF253" s="177">
        <f t="shared" si="97"/>
        <v>0.48068986171817785</v>
      </c>
      <c r="AG253" s="921">
        <f t="shared" si="98"/>
        <v>-2</v>
      </c>
      <c r="AH253" s="176">
        <f t="shared" si="99"/>
        <v>4</v>
      </c>
      <c r="AI253" s="225">
        <f t="shared" si="100"/>
        <v>-1.5193101382818222</v>
      </c>
      <c r="AJ253" s="265" t="b">
        <f t="shared" si="101"/>
        <v>0</v>
      </c>
      <c r="AK253" s="265" t="b">
        <f t="shared" si="102"/>
        <v>0</v>
      </c>
      <c r="AL253" s="265"/>
      <c r="AM253" s="265"/>
      <c r="AN253" s="75"/>
    </row>
    <row r="254" spans="1:40" s="6" customFormat="1" ht="11.25" x14ac:dyDescent="0.2">
      <c r="A254" s="56">
        <f t="shared" si="104"/>
        <v>43340</v>
      </c>
      <c r="B254" s="620">
        <v>42.625999999999998</v>
      </c>
      <c r="C254" s="390"/>
      <c r="D254" s="393">
        <f t="shared" si="80"/>
        <v>42.716658285994562</v>
      </c>
      <c r="E254" s="385">
        <f t="shared" si="106"/>
        <v>43.254987167049379</v>
      </c>
      <c r="F254" s="385">
        <f t="shared" si="105"/>
        <v>43.257954582794689</v>
      </c>
      <c r="G254" s="110">
        <f t="shared" si="107"/>
        <v>0.84114857100510232</v>
      </c>
      <c r="I254" s="380">
        <f t="shared" si="81"/>
        <v>43.257954582794689</v>
      </c>
      <c r="J254" s="85">
        <v>2018</v>
      </c>
      <c r="K254" s="197">
        <f t="shared" si="82"/>
        <v>43340</v>
      </c>
      <c r="L254" s="438">
        <f t="shared" si="83"/>
        <v>2.1223169047446255E-3</v>
      </c>
      <c r="M254" s="970"/>
      <c r="N254" s="970"/>
      <c r="O254" s="324">
        <f t="shared" si="84"/>
        <v>1.2445475454097433E-2</v>
      </c>
      <c r="P254" s="169">
        <f>(INDEX(Models!$BJ254:$BT254,,T254)*(1-R254)+INDEX(Models!$BJ254:$BT254,,T254+1)*R254-ERP_i)*Q254*Ramure*Pc/MaxiM</f>
        <v>8.8732015824192451E-5</v>
      </c>
      <c r="Q254" s="305">
        <f t="shared" si="85"/>
        <v>0.7</v>
      </c>
      <c r="R254" s="177">
        <f t="shared" si="86"/>
        <v>0.48144611217073763</v>
      </c>
      <c r="S254" s="921">
        <f t="shared" si="103"/>
        <v>-2</v>
      </c>
      <c r="T254" s="176">
        <f t="shared" si="87"/>
        <v>4</v>
      </c>
      <c r="U254" s="251">
        <f t="shared" si="88"/>
        <v>-1.5185538878292624</v>
      </c>
      <c r="V254" s="383">
        <f t="shared" si="89"/>
        <v>50.674926147840914</v>
      </c>
      <c r="W254" s="58"/>
      <c r="X254" s="157">
        <f t="shared" si="90"/>
        <v>43340</v>
      </c>
      <c r="Y254" s="385">
        <f t="shared" si="91"/>
        <v>42.625999999999998</v>
      </c>
      <c r="Z254" s="385">
        <f t="shared" si="92"/>
        <v>42.716658285994562</v>
      </c>
      <c r="AA254" s="386">
        <f t="shared" si="93"/>
        <v>43.254987167049379</v>
      </c>
      <c r="AB254" s="197">
        <f t="shared" si="94"/>
        <v>43340</v>
      </c>
      <c r="AC254" s="427">
        <f t="shared" si="95"/>
        <v>1.2445475454097433E-2</v>
      </c>
      <c r="AD254" s="169">
        <f>(INDEX(Models!$BJ254:$BT254,,AH254)*(1-AF254)+INDEX(Models!$BJ254:$BT254,,AH254+1)*AF254-ERP_i)*AE254*Ramure*Pc/MaxiM</f>
        <v>8.8732015824192451E-5</v>
      </c>
      <c r="AE254" s="305">
        <f t="shared" si="96"/>
        <v>0.7</v>
      </c>
      <c r="AF254" s="177">
        <f t="shared" si="97"/>
        <v>0.48144611217073763</v>
      </c>
      <c r="AG254" s="921">
        <f t="shared" si="98"/>
        <v>-2</v>
      </c>
      <c r="AH254" s="176">
        <f t="shared" si="99"/>
        <v>4</v>
      </c>
      <c r="AI254" s="225">
        <f t="shared" si="100"/>
        <v>-1.5185538878292624</v>
      </c>
      <c r="AJ254" s="265" t="b">
        <f t="shared" si="101"/>
        <v>0</v>
      </c>
      <c r="AK254" s="265" t="b">
        <f t="shared" si="102"/>
        <v>0</v>
      </c>
      <c r="AL254" s="265"/>
      <c r="AM254" s="265"/>
      <c r="AN254" s="75"/>
    </row>
    <row r="255" spans="1:40" s="6" customFormat="1" ht="11.25" x14ac:dyDescent="0.2">
      <c r="A255" s="56">
        <f t="shared" si="104"/>
        <v>43341</v>
      </c>
      <c r="B255" s="620">
        <v>31.614999999999998</v>
      </c>
      <c r="C255" s="390"/>
      <c r="D255" s="393">
        <f t="shared" si="80"/>
        <v>31.682933690567911</v>
      </c>
      <c r="E255" s="385">
        <f t="shared" si="106"/>
        <v>32.086159895270384</v>
      </c>
      <c r="F255" s="385">
        <f t="shared" si="105"/>
        <v>32.087383069080744</v>
      </c>
      <c r="G255" s="110">
        <f t="shared" si="107"/>
        <v>0.62530136930888325</v>
      </c>
      <c r="I255" s="380">
        <f t="shared" si="81"/>
        <v>32.087383069080744</v>
      </c>
      <c r="J255" s="85">
        <v>2018</v>
      </c>
      <c r="K255" s="197">
        <f t="shared" si="82"/>
        <v>43341</v>
      </c>
      <c r="L255" s="438">
        <f t="shared" si="83"/>
        <v>2.1441729869899895E-3</v>
      </c>
      <c r="M255" s="970"/>
      <c r="N255" s="970"/>
      <c r="O255" s="324">
        <f t="shared" si="84"/>
        <v>1.2566982338135992E-2</v>
      </c>
      <c r="P255" s="169">
        <f>(INDEX(Models!$BJ255:$BT255,,T255)*(1-R255)+INDEX(Models!$BJ255:$BT255,,T255+1)*R255-ERP_i)*Q255*Ramure*Pc/MaxiM</f>
        <v>8.2021814432273242E-5</v>
      </c>
      <c r="Q255" s="305">
        <f t="shared" si="85"/>
        <v>0.7</v>
      </c>
      <c r="R255" s="177">
        <f t="shared" si="86"/>
        <v>0.48217415187303225</v>
      </c>
      <c r="S255" s="921">
        <f t="shared" si="103"/>
        <v>-2</v>
      </c>
      <c r="T255" s="176">
        <f t="shared" si="87"/>
        <v>4</v>
      </c>
      <c r="U255" s="251">
        <f t="shared" si="88"/>
        <v>-1.5178258481269677</v>
      </c>
      <c r="V255" s="383">
        <f t="shared" si="89"/>
        <v>50.557400871988975</v>
      </c>
      <c r="W255" s="58"/>
      <c r="X255" s="157">
        <f t="shared" si="90"/>
        <v>43341</v>
      </c>
      <c r="Y255" s="385">
        <f t="shared" si="91"/>
        <v>31.615000000000002</v>
      </c>
      <c r="Z255" s="385">
        <f t="shared" si="92"/>
        <v>31.682933690567914</v>
      </c>
      <c r="AA255" s="386">
        <f t="shared" si="93"/>
        <v>32.086159895270384</v>
      </c>
      <c r="AB255" s="197">
        <f t="shared" si="94"/>
        <v>43341</v>
      </c>
      <c r="AC255" s="427">
        <f t="shared" si="95"/>
        <v>1.2566982338135992E-2</v>
      </c>
      <c r="AD255" s="169">
        <f>(INDEX(Models!$BJ255:$BT255,,AH255)*(1-AF255)+INDEX(Models!$BJ255:$BT255,,AH255+1)*AF255-ERP_i)*AE255*Ramure*Pc/MaxiM</f>
        <v>8.2021814432273242E-5</v>
      </c>
      <c r="AE255" s="305">
        <f t="shared" si="96"/>
        <v>0.7</v>
      </c>
      <c r="AF255" s="177">
        <f t="shared" si="97"/>
        <v>0.48217415187303225</v>
      </c>
      <c r="AG255" s="921">
        <f t="shared" si="98"/>
        <v>-2</v>
      </c>
      <c r="AH255" s="176">
        <f t="shared" si="99"/>
        <v>4</v>
      </c>
      <c r="AI255" s="225">
        <f t="shared" si="100"/>
        <v>-1.5178258481269677</v>
      </c>
      <c r="AJ255" s="265" t="b">
        <f t="shared" si="101"/>
        <v>0</v>
      </c>
      <c r="AK255" s="265" t="b">
        <f t="shared" si="102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104"/>
        <v>43342</v>
      </c>
      <c r="B256" s="620">
        <v>46.749000000000002</v>
      </c>
      <c r="C256" s="390"/>
      <c r="D256" s="393">
        <f t="shared" si="80"/>
        <v>46.850479478029506</v>
      </c>
      <c r="E256" s="385">
        <f t="shared" si="106"/>
        <v>47.452571950655454</v>
      </c>
      <c r="F256" s="385">
        <f t="shared" si="105"/>
        <v>47.455809670138983</v>
      </c>
      <c r="G256" s="110">
        <f t="shared" si="107"/>
        <v>0.9268597523718104</v>
      </c>
      <c r="I256" s="380">
        <f t="shared" si="81"/>
        <v>47.455809670138983</v>
      </c>
      <c r="J256" s="85">
        <v>2018</v>
      </c>
      <c r="K256" s="197">
        <f t="shared" si="82"/>
        <v>43342</v>
      </c>
      <c r="L256" s="438">
        <f t="shared" si="83"/>
        <v>2.166028590531055E-3</v>
      </c>
      <c r="M256" s="970"/>
      <c r="N256" s="970"/>
      <c r="O256" s="324">
        <f t="shared" si="84"/>
        <v>1.2688300083124042E-2</v>
      </c>
      <c r="P256" s="169">
        <f>(INDEX(Models!$BJ256:$BT256,,T256)*(1-R256)+INDEX(Models!$BJ256:$BT256,,T256+1)*R256-ERP_i)*Q256*Ramure*Pc/MaxiM</f>
        <v>7.618550891108118E-5</v>
      </c>
      <c r="Q256" s="305">
        <f t="shared" si="85"/>
        <v>0.7</v>
      </c>
      <c r="R256" s="177">
        <f t="shared" si="86"/>
        <v>0.48287494943420706</v>
      </c>
      <c r="S256" s="921">
        <f t="shared" si="103"/>
        <v>-2</v>
      </c>
      <c r="T256" s="176">
        <f t="shared" si="87"/>
        <v>4</v>
      </c>
      <c r="U256" s="251">
        <f t="shared" si="88"/>
        <v>-1.5171250505657929</v>
      </c>
      <c r="V256" s="383">
        <f t="shared" si="89"/>
        <v>50.437650092500505</v>
      </c>
      <c r="W256" s="58"/>
      <c r="X256" s="157">
        <f t="shared" si="90"/>
        <v>43342</v>
      </c>
      <c r="Y256" s="385">
        <f t="shared" si="91"/>
        <v>46.749000000000002</v>
      </c>
      <c r="Z256" s="385">
        <f t="shared" si="92"/>
        <v>46.850479478029506</v>
      </c>
      <c r="AA256" s="386">
        <f t="shared" si="93"/>
        <v>47.452571950655454</v>
      </c>
      <c r="AB256" s="197">
        <f t="shared" si="94"/>
        <v>43342</v>
      </c>
      <c r="AC256" s="427">
        <f t="shared" si="95"/>
        <v>1.2688300083124042E-2</v>
      </c>
      <c r="AD256" s="169">
        <f>(INDEX(Models!$BJ256:$BT256,,AH256)*(1-AF256)+INDEX(Models!$BJ256:$BT256,,AH256+1)*AF256-ERP_i)*AE256*Ramure*Pc/MaxiM</f>
        <v>7.618550891108118E-5</v>
      </c>
      <c r="AE256" s="305">
        <f t="shared" si="96"/>
        <v>0.7</v>
      </c>
      <c r="AF256" s="177">
        <f t="shared" si="97"/>
        <v>0.48287494943420706</v>
      </c>
      <c r="AG256" s="921">
        <f t="shared" si="98"/>
        <v>-2</v>
      </c>
      <c r="AH256" s="176">
        <f t="shared" si="99"/>
        <v>4</v>
      </c>
      <c r="AI256" s="225">
        <f t="shared" si="100"/>
        <v>-1.5171250505657929</v>
      </c>
      <c r="AJ256" s="265" t="b">
        <f t="shared" si="101"/>
        <v>0</v>
      </c>
      <c r="AK256" s="265" t="b">
        <f t="shared" si="102"/>
        <v>0</v>
      </c>
      <c r="AL256" s="265"/>
      <c r="AM256" s="265"/>
      <c r="AN256" s="75"/>
    </row>
    <row r="257" spans="1:40" s="6" customFormat="1" ht="11.25" x14ac:dyDescent="0.2">
      <c r="A257" s="56">
        <f t="shared" si="104"/>
        <v>43343</v>
      </c>
      <c r="B257" s="620">
        <v>46.843000000000004</v>
      </c>
      <c r="C257" s="390"/>
      <c r="D257" s="393">
        <f t="shared" si="80"/>
        <v>46.945711758262746</v>
      </c>
      <c r="E257" s="385">
        <f t="shared" si="106"/>
        <v>47.554862203050391</v>
      </c>
      <c r="F257" s="385">
        <f t="shared" si="105"/>
        <v>47.557915907198883</v>
      </c>
      <c r="G257" s="110">
        <f t="shared" si="107"/>
        <v>0.93098482887761147</v>
      </c>
      <c r="I257" s="380">
        <f t="shared" si="81"/>
        <v>47.557915907198883</v>
      </c>
      <c r="J257" s="85">
        <v>2018</v>
      </c>
      <c r="K257" s="197">
        <f t="shared" si="82"/>
        <v>43343</v>
      </c>
      <c r="L257" s="438">
        <f t="shared" si="83"/>
        <v>2.1878837153782582E-3</v>
      </c>
      <c r="M257" s="970"/>
      <c r="N257" s="970"/>
      <c r="O257" s="324">
        <f t="shared" si="84"/>
        <v>1.2809425084372822E-2</v>
      </c>
      <c r="P257" s="169">
        <f>(INDEX(Models!$BJ257:$BT257,,T257)*(1-R257)+INDEX(Models!$BJ257:$BT257,,T257+1)*R257-ERP_i)*Q257*Ramure*Pc/MaxiM</f>
        <v>7.1232595170835967E-5</v>
      </c>
      <c r="Q257" s="305">
        <f t="shared" si="85"/>
        <v>0.7</v>
      </c>
      <c r="R257" s="177">
        <f t="shared" si="86"/>
        <v>0.4835494466239072</v>
      </c>
      <c r="S257" s="921">
        <f t="shared" si="103"/>
        <v>-2</v>
      </c>
      <c r="T257" s="176">
        <f t="shared" si="87"/>
        <v>4</v>
      </c>
      <c r="U257" s="251">
        <f t="shared" si="88"/>
        <v>-1.5164505533760928</v>
      </c>
      <c r="V257" s="383">
        <f t="shared" si="89"/>
        <v>50.315181919920832</v>
      </c>
      <c r="W257" s="58"/>
      <c r="X257" s="157">
        <f t="shared" si="90"/>
        <v>43343</v>
      </c>
      <c r="Y257" s="385">
        <f t="shared" si="91"/>
        <v>46.843000000000004</v>
      </c>
      <c r="Z257" s="385">
        <f t="shared" si="92"/>
        <v>46.945711758262746</v>
      </c>
      <c r="AA257" s="386">
        <f t="shared" si="93"/>
        <v>47.554862203050391</v>
      </c>
      <c r="AB257" s="197">
        <f t="shared" si="94"/>
        <v>43343</v>
      </c>
      <c r="AC257" s="427">
        <f t="shared" si="95"/>
        <v>1.2809425084372822E-2</v>
      </c>
      <c r="AD257" s="169">
        <f>(INDEX(Models!$BJ257:$BT257,,AH257)*(1-AF257)+INDEX(Models!$BJ257:$BT257,,AH257+1)*AF257-ERP_i)*AE257*Ramure*Pc/MaxiM</f>
        <v>7.1232595170835967E-5</v>
      </c>
      <c r="AE257" s="305">
        <f t="shared" si="96"/>
        <v>0.7</v>
      </c>
      <c r="AF257" s="177">
        <f t="shared" si="97"/>
        <v>0.4835494466239072</v>
      </c>
      <c r="AG257" s="921">
        <f t="shared" si="98"/>
        <v>-2</v>
      </c>
      <c r="AH257" s="176">
        <f t="shared" si="99"/>
        <v>4</v>
      </c>
      <c r="AI257" s="225">
        <f t="shared" si="100"/>
        <v>-1.5164505533760928</v>
      </c>
      <c r="AJ257" s="265" t="b">
        <f t="shared" si="101"/>
        <v>0</v>
      </c>
      <c r="AK257" s="265" t="b">
        <f t="shared" si="102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104"/>
        <v>43344</v>
      </c>
      <c r="B258" s="620">
        <v>51.292999999999999</v>
      </c>
      <c r="C258" s="390"/>
      <c r="D258" s="393">
        <f t="shared" si="80"/>
        <v>51.406595125284611</v>
      </c>
      <c r="E258" s="385">
        <f t="shared" si="106"/>
        <v>52.080008043663447</v>
      </c>
      <c r="F258" s="385">
        <f t="shared" si="105"/>
        <v>52.083506608695828</v>
      </c>
      <c r="G258" s="110">
        <f t="shared" si="107"/>
        <v>1.0219865731869024</v>
      </c>
      <c r="I258" s="380">
        <f t="shared" si="81"/>
        <v>52.083506608695828</v>
      </c>
      <c r="J258" s="85">
        <v>2018</v>
      </c>
      <c r="K258" s="197">
        <f t="shared" si="82"/>
        <v>43344</v>
      </c>
      <c r="L258" s="438">
        <f t="shared" si="83"/>
        <v>2.2097383615422572E-3</v>
      </c>
      <c r="M258" s="970"/>
      <c r="N258" s="970"/>
      <c r="O258" s="324">
        <f t="shared" si="84"/>
        <v>1.2930353578560365E-2</v>
      </c>
      <c r="P258" s="169">
        <f>(INDEX(Models!$BJ258:$BT258,,T258)*(1-R258)+INDEX(Models!$BJ258:$BT258,,T258+1)*R258-ERP_i)*Q258*Ramure*Pc/MaxiM</f>
        <v>6.7172225147345537E-5</v>
      </c>
      <c r="Q258" s="305">
        <f t="shared" si="85"/>
        <v>0.7</v>
      </c>
      <c r="R258" s="177">
        <f t="shared" si="86"/>
        <v>0.48419855860652872</v>
      </c>
      <c r="S258" s="921">
        <f t="shared" si="103"/>
        <v>-2</v>
      </c>
      <c r="T258" s="176">
        <f t="shared" si="87"/>
        <v>4</v>
      </c>
      <c r="U258" s="251">
        <f t="shared" si="88"/>
        <v>-1.5158014413934713</v>
      </c>
      <c r="V258" s="383">
        <f t="shared" si="89"/>
        <v>50.189504779941423</v>
      </c>
      <c r="W258" s="58"/>
      <c r="X258" s="157">
        <f t="shared" si="90"/>
        <v>43344</v>
      </c>
      <c r="Y258" s="385">
        <f t="shared" si="91"/>
        <v>51.292999999999999</v>
      </c>
      <c r="Z258" s="385">
        <f t="shared" si="92"/>
        <v>51.406595125284611</v>
      </c>
      <c r="AA258" s="386">
        <f t="shared" si="93"/>
        <v>52.080008043663447</v>
      </c>
      <c r="AB258" s="197">
        <f t="shared" si="94"/>
        <v>43344</v>
      </c>
      <c r="AC258" s="427">
        <f t="shared" si="95"/>
        <v>1.2930353578560365E-2</v>
      </c>
      <c r="AD258" s="169">
        <f>(INDEX(Models!$BJ258:$BT258,,AH258)*(1-AF258)+INDEX(Models!$BJ258:$BT258,,AH258+1)*AF258-ERP_i)*AE258*Ramure*Pc/MaxiM</f>
        <v>6.7172225147345537E-5</v>
      </c>
      <c r="AE258" s="305">
        <f t="shared" si="96"/>
        <v>0.7</v>
      </c>
      <c r="AF258" s="177">
        <f t="shared" si="97"/>
        <v>0.48419855860652872</v>
      </c>
      <c r="AG258" s="921">
        <f t="shared" si="98"/>
        <v>-2</v>
      </c>
      <c r="AH258" s="176">
        <f t="shared" si="99"/>
        <v>4</v>
      </c>
      <c r="AI258" s="225">
        <f t="shared" si="100"/>
        <v>-1.5158014413934713</v>
      </c>
      <c r="AJ258" s="265" t="b">
        <f t="shared" si="101"/>
        <v>0</v>
      </c>
      <c r="AK258" s="265" t="b">
        <f t="shared" si="102"/>
        <v>0</v>
      </c>
      <c r="AL258" s="265"/>
      <c r="AM258" s="265"/>
      <c r="AN258" s="75"/>
    </row>
    <row r="259" spans="1:40" s="6" customFormat="1" ht="11.25" x14ac:dyDescent="0.2">
      <c r="A259" s="56">
        <f t="shared" si="104"/>
        <v>43345</v>
      </c>
      <c r="B259" s="620">
        <v>49.728999999999999</v>
      </c>
      <c r="C259" s="390"/>
      <c r="D259" s="393">
        <f t="shared" si="80"/>
        <v>49.840223069447127</v>
      </c>
      <c r="E259" s="385">
        <f t="shared" si="106"/>
        <v>50.499293471022867</v>
      </c>
      <c r="F259" s="385">
        <f t="shared" si="105"/>
        <v>50.502495754224739</v>
      </c>
      <c r="G259" s="110">
        <f t="shared" si="107"/>
        <v>0.99338480525283646</v>
      </c>
      <c r="I259" s="380">
        <f t="shared" si="81"/>
        <v>50.502495754224739</v>
      </c>
      <c r="J259" s="85">
        <v>2018</v>
      </c>
      <c r="K259" s="197">
        <f t="shared" si="82"/>
        <v>43345</v>
      </c>
      <c r="L259" s="438">
        <f t="shared" si="83"/>
        <v>2.2315925290332661E-3</v>
      </c>
      <c r="M259" s="970"/>
      <c r="N259" s="970"/>
      <c r="O259" s="324">
        <f t="shared" si="84"/>
        <v>1.3051081634516865E-2</v>
      </c>
      <c r="P259" s="169">
        <f>(INDEX(Models!$BJ259:$BT259,,T259)*(1-R259)+INDEX(Models!$BJ259:$BT259,,T259+1)*R259-ERP_i)*Q259*Ramure*Pc/MaxiM</f>
        <v>6.4013303425859401E-5</v>
      </c>
      <c r="Q259" s="305">
        <f t="shared" si="85"/>
        <v>0.7</v>
      </c>
      <c r="R259" s="177">
        <f t="shared" si="86"/>
        <v>0.48482317422073518</v>
      </c>
      <c r="S259" s="921">
        <f t="shared" si="103"/>
        <v>-2</v>
      </c>
      <c r="T259" s="176">
        <f t="shared" si="87"/>
        <v>4</v>
      </c>
      <c r="U259" s="251">
        <f t="shared" si="88"/>
        <v>-1.5151768257792648</v>
      </c>
      <c r="V259" s="383">
        <f t="shared" si="89"/>
        <v>50.06012740947012</v>
      </c>
      <c r="W259" s="58"/>
      <c r="X259" s="157">
        <f t="shared" si="90"/>
        <v>43345</v>
      </c>
      <c r="Y259" s="385">
        <f t="shared" si="91"/>
        <v>49.728999999999999</v>
      </c>
      <c r="Z259" s="385">
        <f t="shared" si="92"/>
        <v>49.840223069447127</v>
      </c>
      <c r="AA259" s="386">
        <f t="shared" si="93"/>
        <v>50.499293471022867</v>
      </c>
      <c r="AB259" s="197">
        <f t="shared" si="94"/>
        <v>43345</v>
      </c>
      <c r="AC259" s="427">
        <f t="shared" si="95"/>
        <v>1.3051081634516865E-2</v>
      </c>
      <c r="AD259" s="169">
        <f>(INDEX(Models!$BJ259:$BT259,,AH259)*(1-AF259)+INDEX(Models!$BJ259:$BT259,,AH259+1)*AF259-ERP_i)*AE259*Ramure*Pc/MaxiM</f>
        <v>6.4013303425859401E-5</v>
      </c>
      <c r="AE259" s="305">
        <f t="shared" si="96"/>
        <v>0.7</v>
      </c>
      <c r="AF259" s="177">
        <f t="shared" si="97"/>
        <v>0.48482317422073518</v>
      </c>
      <c r="AG259" s="921">
        <f t="shared" si="98"/>
        <v>-2</v>
      </c>
      <c r="AH259" s="176">
        <f t="shared" si="99"/>
        <v>4</v>
      </c>
      <c r="AI259" s="225">
        <f t="shared" si="100"/>
        <v>-1.5151768257792648</v>
      </c>
      <c r="AJ259" s="265" t="b">
        <f t="shared" si="101"/>
        <v>0</v>
      </c>
      <c r="AK259" s="265" t="b">
        <f t="shared" si="102"/>
        <v>0</v>
      </c>
      <c r="AL259" s="265"/>
      <c r="AM259" s="265"/>
      <c r="AN259" s="75"/>
    </row>
    <row r="260" spans="1:40" s="6" customFormat="1" ht="11.25" x14ac:dyDescent="0.2">
      <c r="A260" s="56">
        <f t="shared" si="104"/>
        <v>43346</v>
      </c>
      <c r="B260" s="620">
        <v>50.831000000000003</v>
      </c>
      <c r="C260" s="390"/>
      <c r="D260" s="393">
        <f t="shared" si="80"/>
        <v>50.945803628502595</v>
      </c>
      <c r="E260" s="385">
        <f t="shared" si="106"/>
        <v>51.625798258371965</v>
      </c>
      <c r="F260" s="385">
        <f t="shared" si="105"/>
        <v>51.628987101346148</v>
      </c>
      <c r="G260" s="110">
        <f t="shared" si="107"/>
        <v>1.0181154311950718</v>
      </c>
      <c r="I260" s="380">
        <f t="shared" si="81"/>
        <v>51.628987101346148</v>
      </c>
      <c r="J260" s="85">
        <v>2018</v>
      </c>
      <c r="K260" s="197">
        <f t="shared" si="82"/>
        <v>43346</v>
      </c>
      <c r="L260" s="438">
        <f t="shared" si="83"/>
        <v>2.253446217862054E-3</v>
      </c>
      <c r="M260" s="970"/>
      <c r="N260" s="970"/>
      <c r="O260" s="324">
        <f t="shared" si="84"/>
        <v>1.317160514334703E-2</v>
      </c>
      <c r="P260" s="169">
        <f>(INDEX(Models!$BJ260:$BT260,,T260)*(1-R260)+INDEX(Models!$BJ260:$BT260,,T260+1)*R260-ERP_i)*Q260*Ramure*Pc/MaxiM</f>
        <v>6.1764585230484096E-5</v>
      </c>
      <c r="Q260" s="305">
        <f t="shared" si="85"/>
        <v>0.7</v>
      </c>
      <c r="R260" s="177">
        <f t="shared" si="86"/>
        <v>0.48542415629936064</v>
      </c>
      <c r="S260" s="921">
        <f t="shared" si="103"/>
        <v>-2</v>
      </c>
      <c r="T260" s="176">
        <f t="shared" si="87"/>
        <v>4</v>
      </c>
      <c r="U260" s="251">
        <f t="shared" si="88"/>
        <v>-1.5145758437006394</v>
      </c>
      <c r="V260" s="383">
        <f t="shared" si="89"/>
        <v>49.92655885819763</v>
      </c>
      <c r="W260" s="58"/>
      <c r="X260" s="157">
        <f t="shared" si="90"/>
        <v>43346</v>
      </c>
      <c r="Y260" s="385">
        <f t="shared" si="91"/>
        <v>50.831000000000003</v>
      </c>
      <c r="Z260" s="385">
        <f t="shared" si="92"/>
        <v>50.945803628502595</v>
      </c>
      <c r="AA260" s="386">
        <f t="shared" si="93"/>
        <v>51.625798258371965</v>
      </c>
      <c r="AB260" s="197">
        <f t="shared" si="94"/>
        <v>43346</v>
      </c>
      <c r="AC260" s="427">
        <f t="shared" si="95"/>
        <v>1.317160514334703E-2</v>
      </c>
      <c r="AD260" s="169">
        <f>(INDEX(Models!$BJ260:$BT260,,AH260)*(1-AF260)+INDEX(Models!$BJ260:$BT260,,AH260+1)*AF260-ERP_i)*AE260*Ramure*Pc/MaxiM</f>
        <v>6.1764585230484096E-5</v>
      </c>
      <c r="AE260" s="305">
        <f t="shared" si="96"/>
        <v>0.7</v>
      </c>
      <c r="AF260" s="177">
        <f t="shared" si="97"/>
        <v>0.48542415629936064</v>
      </c>
      <c r="AG260" s="921">
        <f t="shared" si="98"/>
        <v>-2</v>
      </c>
      <c r="AH260" s="176">
        <f t="shared" si="99"/>
        <v>4</v>
      </c>
      <c r="AI260" s="225">
        <f t="shared" si="100"/>
        <v>-1.5145758437006394</v>
      </c>
      <c r="AJ260" s="265" t="b">
        <f t="shared" si="101"/>
        <v>0</v>
      </c>
      <c r="AK260" s="265" t="b">
        <f t="shared" si="102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104"/>
        <v>43347</v>
      </c>
      <c r="B261" s="620">
        <v>46.945</v>
      </c>
      <c r="C261" s="390"/>
      <c r="D261" s="393">
        <f t="shared" si="80"/>
        <v>47.052057519562311</v>
      </c>
      <c r="E261" s="385">
        <f t="shared" si="106"/>
        <v>47.685894606649704</v>
      </c>
      <c r="F261" s="385">
        <f t="shared" ref="F261:F292" si="108">Wh_sa/(1-Pvg*MEDIAN((-Sdif+Wh/Env_an)/Csdif,0,1))</f>
        <v>47.688541275209225</v>
      </c>
      <c r="G261" s="110">
        <f t="shared" si="107"/>
        <v>0.9428509472959089</v>
      </c>
      <c r="I261" s="380">
        <f t="shared" si="81"/>
        <v>47.688541275209225</v>
      </c>
      <c r="J261" s="85">
        <v>2018</v>
      </c>
      <c r="K261" s="197">
        <f t="shared" si="82"/>
        <v>43347</v>
      </c>
      <c r="L261" s="438">
        <f t="shared" si="83"/>
        <v>2.275299428038835E-3</v>
      </c>
      <c r="M261" s="970"/>
      <c r="N261" s="970"/>
      <c r="O261" s="324">
        <f t="shared" si="84"/>
        <v>1.3291919808064236E-2</v>
      </c>
      <c r="P261" s="169">
        <f>(INDEX(Models!$BJ261:$BT261,,T261)*(1-R261)+INDEX(Models!$BJ261:$BT261,,T261+1)*R261-ERP_i)*Q261*Ramure*Pc/MaxiM</f>
        <v>6.0432439972975377E-5</v>
      </c>
      <c r="Q261" s="305">
        <f t="shared" si="85"/>
        <v>0.7</v>
      </c>
      <c r="R261" s="177">
        <f t="shared" si="86"/>
        <v>0.48600234202512493</v>
      </c>
      <c r="S261" s="921">
        <f t="shared" si="103"/>
        <v>-2</v>
      </c>
      <c r="T261" s="176">
        <f t="shared" si="87"/>
        <v>4</v>
      </c>
      <c r="U261" s="251">
        <f t="shared" si="88"/>
        <v>-1.5139976579748751</v>
      </c>
      <c r="V261" s="383">
        <f t="shared" si="89"/>
        <v>49.790233041199649</v>
      </c>
      <c r="W261" s="58"/>
      <c r="X261" s="157">
        <f t="shared" si="90"/>
        <v>43347</v>
      </c>
      <c r="Y261" s="385">
        <f t="shared" si="91"/>
        <v>46.945</v>
      </c>
      <c r="Z261" s="385">
        <f t="shared" si="92"/>
        <v>47.052057519562311</v>
      </c>
      <c r="AA261" s="386">
        <f t="shared" si="93"/>
        <v>47.685894606649704</v>
      </c>
      <c r="AB261" s="197">
        <f t="shared" si="94"/>
        <v>43347</v>
      </c>
      <c r="AC261" s="427">
        <f t="shared" si="95"/>
        <v>1.3291919808064236E-2</v>
      </c>
      <c r="AD261" s="169">
        <f>(INDEX(Models!$BJ261:$BT261,,AH261)*(1-AF261)+INDEX(Models!$BJ261:$BT261,,AH261+1)*AF261-ERP_i)*AE261*Ramure*Pc/MaxiM</f>
        <v>6.0432439972975377E-5</v>
      </c>
      <c r="AE261" s="305">
        <f t="shared" si="96"/>
        <v>0.7</v>
      </c>
      <c r="AF261" s="177">
        <f t="shared" si="97"/>
        <v>0.48600234202512493</v>
      </c>
      <c r="AG261" s="921">
        <f t="shared" si="98"/>
        <v>-2</v>
      </c>
      <c r="AH261" s="176">
        <f t="shared" si="99"/>
        <v>4</v>
      </c>
      <c r="AI261" s="225">
        <f t="shared" si="100"/>
        <v>-1.5139976579748751</v>
      </c>
      <c r="AJ261" s="265" t="b">
        <f t="shared" si="101"/>
        <v>0</v>
      </c>
      <c r="AK261" s="265" t="b">
        <f t="shared" si="102"/>
        <v>0</v>
      </c>
      <c r="AL261" s="265"/>
      <c r="AM261" s="265"/>
      <c r="AN261" s="75"/>
    </row>
    <row r="262" spans="1:40" s="6" customFormat="1" ht="11.25" x14ac:dyDescent="0.2">
      <c r="A262" s="56">
        <f t="shared" si="104"/>
        <v>43348</v>
      </c>
      <c r="B262" s="620">
        <v>43.360999999999997</v>
      </c>
      <c r="C262" s="390"/>
      <c r="D262" s="393">
        <f t="shared" si="80"/>
        <v>43.460836153627213</v>
      </c>
      <c r="E262" s="385">
        <f t="shared" si="106"/>
        <v>44.051657920599077</v>
      </c>
      <c r="F262" s="385">
        <f t="shared" si="108"/>
        <v>44.053826687887273</v>
      </c>
      <c r="G262" s="110">
        <f t="shared" si="107"/>
        <v>0.8732764508726969</v>
      </c>
      <c r="I262" s="380">
        <f t="shared" si="81"/>
        <v>44.053826687887273</v>
      </c>
      <c r="J262" s="85">
        <v>2018</v>
      </c>
      <c r="K262" s="197">
        <f t="shared" si="82"/>
        <v>43348</v>
      </c>
      <c r="L262" s="438">
        <f t="shared" si="83"/>
        <v>2.2971521595743782E-3</v>
      </c>
      <c r="M262" s="970"/>
      <c r="N262" s="970"/>
      <c r="O262" s="324">
        <f t="shared" si="84"/>
        <v>1.3412021132934247E-2</v>
      </c>
      <c r="P262" s="169">
        <f>(INDEX(Models!$BJ262:$BT262,,T262)*(1-R262)+INDEX(Models!$BJ262:$BT262,,T262+1)*R262-ERP_i)*Q262*Ramure*Pc/MaxiM</f>
        <v>6.011129081373592E-5</v>
      </c>
      <c r="Q262" s="305">
        <f t="shared" si="85"/>
        <v>0.7</v>
      </c>
      <c r="R262" s="177">
        <f t="shared" si="86"/>
        <v>0.48655854331789694</v>
      </c>
      <c r="S262" s="921">
        <f t="shared" si="103"/>
        <v>-2</v>
      </c>
      <c r="T262" s="176">
        <f t="shared" si="87"/>
        <v>4</v>
      </c>
      <c r="U262" s="251">
        <f t="shared" si="88"/>
        <v>-1.5134414566821031</v>
      </c>
      <c r="V262" s="383">
        <f t="shared" si="89"/>
        <v>49.6526937228519</v>
      </c>
      <c r="W262" s="58"/>
      <c r="X262" s="157">
        <f t="shared" si="90"/>
        <v>43348</v>
      </c>
      <c r="Y262" s="385">
        <f t="shared" si="91"/>
        <v>43.360999999999997</v>
      </c>
      <c r="Z262" s="385">
        <f t="shared" si="92"/>
        <v>43.460836153627213</v>
      </c>
      <c r="AA262" s="386">
        <f t="shared" si="93"/>
        <v>44.051657920599077</v>
      </c>
      <c r="AB262" s="197">
        <f t="shared" si="94"/>
        <v>43348</v>
      </c>
      <c r="AC262" s="427">
        <f t="shared" si="95"/>
        <v>1.3412021132934247E-2</v>
      </c>
      <c r="AD262" s="169">
        <f>(INDEX(Models!$BJ262:$BT262,,AH262)*(1-AF262)+INDEX(Models!$BJ262:$BT262,,AH262+1)*AF262-ERP_i)*AE262*Ramure*Pc/MaxiM</f>
        <v>6.011129081373592E-5</v>
      </c>
      <c r="AE262" s="305">
        <f t="shared" si="96"/>
        <v>0.7</v>
      </c>
      <c r="AF262" s="177">
        <f t="shared" si="97"/>
        <v>0.48655854331789694</v>
      </c>
      <c r="AG262" s="921">
        <f t="shared" si="98"/>
        <v>-2</v>
      </c>
      <c r="AH262" s="176">
        <f t="shared" si="99"/>
        <v>4</v>
      </c>
      <c r="AI262" s="225">
        <f t="shared" si="100"/>
        <v>-1.5134414566821031</v>
      </c>
      <c r="AJ262" s="265" t="b">
        <f t="shared" si="101"/>
        <v>0</v>
      </c>
      <c r="AK262" s="265" t="b">
        <f t="shared" si="102"/>
        <v>0</v>
      </c>
      <c r="AL262" s="265"/>
      <c r="AM262" s="265"/>
      <c r="AN262" s="75"/>
    </row>
    <row r="263" spans="1:40" s="6" customFormat="1" ht="11.25" x14ac:dyDescent="0.2">
      <c r="A263" s="56">
        <f t="shared" si="104"/>
        <v>43349</v>
      </c>
      <c r="B263" s="620">
        <v>31.773</v>
      </c>
      <c r="C263" s="390"/>
      <c r="D263" s="393">
        <f t="shared" si="80"/>
        <v>31.846852992613439</v>
      </c>
      <c r="E263" s="385">
        <f t="shared" si="106"/>
        <v>32.283713112540894</v>
      </c>
      <c r="F263" s="385">
        <f t="shared" si="108"/>
        <v>32.284661471199072</v>
      </c>
      <c r="G263" s="110">
        <f t="shared" si="107"/>
        <v>0.6416820279521952</v>
      </c>
      <c r="I263" s="380">
        <f t="shared" si="81"/>
        <v>32.284661471199072</v>
      </c>
      <c r="J263" s="85">
        <v>2018</v>
      </c>
      <c r="K263" s="197">
        <f t="shared" si="82"/>
        <v>43349</v>
      </c>
      <c r="L263" s="438">
        <f t="shared" si="83"/>
        <v>2.3190044124788978E-3</v>
      </c>
      <c r="M263" s="970"/>
      <c r="N263" s="970"/>
      <c r="O263" s="324">
        <f t="shared" si="84"/>
        <v>1.3531904412747067E-2</v>
      </c>
      <c r="P263" s="169">
        <f>(INDEX(Models!$BJ263:$BT263,,T263)*(1-R263)+INDEX(Models!$BJ263:$BT263,,T263+1)*R263-ERP_i)*Q263*Ramure*Pc/MaxiM</f>
        <v>6.0176532303049208E-5</v>
      </c>
      <c r="Q263" s="305">
        <f t="shared" si="85"/>
        <v>0.7</v>
      </c>
      <c r="R263" s="177">
        <f t="shared" si="86"/>
        <v>0.48709354724952858</v>
      </c>
      <c r="S263" s="921">
        <f t="shared" si="103"/>
        <v>-2</v>
      </c>
      <c r="T263" s="176">
        <f t="shared" si="87"/>
        <v>4</v>
      </c>
      <c r="U263" s="251">
        <f t="shared" si="88"/>
        <v>-1.5129064527504714</v>
      </c>
      <c r="V263" s="383">
        <f t="shared" si="89"/>
        <v>49.513653066361961</v>
      </c>
      <c r="W263" s="58"/>
      <c r="X263" s="157">
        <f t="shared" si="90"/>
        <v>43349</v>
      </c>
      <c r="Y263" s="385">
        <f t="shared" si="91"/>
        <v>31.773000000000003</v>
      </c>
      <c r="Z263" s="385">
        <f t="shared" si="92"/>
        <v>31.846852992613442</v>
      </c>
      <c r="AA263" s="386">
        <f t="shared" si="93"/>
        <v>32.283713112540894</v>
      </c>
      <c r="AB263" s="197">
        <f t="shared" si="94"/>
        <v>43349</v>
      </c>
      <c r="AC263" s="427">
        <f t="shared" si="95"/>
        <v>1.3531904412747067E-2</v>
      </c>
      <c r="AD263" s="169">
        <f>(INDEX(Models!$BJ263:$BT263,,AH263)*(1-AF263)+INDEX(Models!$BJ263:$BT263,,AH263+1)*AF263-ERP_i)*AE263*Ramure*Pc/MaxiM</f>
        <v>6.0176532303049208E-5</v>
      </c>
      <c r="AE263" s="305">
        <f t="shared" si="96"/>
        <v>0.7</v>
      </c>
      <c r="AF263" s="177">
        <f t="shared" si="97"/>
        <v>0.48709354724952858</v>
      </c>
      <c r="AG263" s="921">
        <f t="shared" si="98"/>
        <v>-2</v>
      </c>
      <c r="AH263" s="176">
        <f t="shared" si="99"/>
        <v>4</v>
      </c>
      <c r="AI263" s="225">
        <f t="shared" si="100"/>
        <v>-1.5129064527504714</v>
      </c>
      <c r="AJ263" s="265" t="b">
        <f t="shared" si="101"/>
        <v>0</v>
      </c>
      <c r="AK263" s="265" t="b">
        <f t="shared" si="102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104"/>
        <v>43350</v>
      </c>
      <c r="B264" s="620">
        <v>32.715000000000003</v>
      </c>
      <c r="C264" s="390"/>
      <c r="D264" s="393">
        <f t="shared" si="80"/>
        <v>32.79176079613449</v>
      </c>
      <c r="E264" s="385">
        <f t="shared" si="106"/>
        <v>33.245615467419093</v>
      </c>
      <c r="F264" s="385">
        <f t="shared" si="108"/>
        <v>33.24665968922605</v>
      </c>
      <c r="G264" s="110">
        <f t="shared" si="107"/>
        <v>0.66259254456803407</v>
      </c>
      <c r="I264" s="380">
        <f t="shared" si="81"/>
        <v>33.24665968922605</v>
      </c>
      <c r="J264" s="85">
        <v>2018</v>
      </c>
      <c r="K264" s="197">
        <f t="shared" si="82"/>
        <v>43350</v>
      </c>
      <c r="L264" s="438">
        <f t="shared" si="83"/>
        <v>2.3408561867630517E-3</v>
      </c>
      <c r="M264" s="970"/>
      <c r="N264" s="970"/>
      <c r="O264" s="324">
        <f t="shared" si="84"/>
        <v>1.3651564722252965E-2</v>
      </c>
      <c r="P264" s="169">
        <f>(INDEX(Models!$BJ264:$BT264,,T264)*(1-R264)+INDEX(Models!$BJ264:$BT264,,T264+1)*R264-ERP_i)*Q264*Ramure*Pc/MaxiM</f>
        <v>6.0631835711821132E-5</v>
      </c>
      <c r="Q264" s="305">
        <f t="shared" si="85"/>
        <v>0.7</v>
      </c>
      <c r="R264" s="177">
        <f t="shared" si="86"/>
        <v>0.48760811648256608</v>
      </c>
      <c r="S264" s="921">
        <f t="shared" si="103"/>
        <v>-2</v>
      </c>
      <c r="T264" s="176">
        <f t="shared" si="87"/>
        <v>4</v>
      </c>
      <c r="U264" s="251">
        <f t="shared" si="88"/>
        <v>-1.5123918835174339</v>
      </c>
      <c r="V264" s="383">
        <f t="shared" si="89"/>
        <v>49.372792058898412</v>
      </c>
      <c r="W264" s="58"/>
      <c r="X264" s="157">
        <f t="shared" si="90"/>
        <v>43350</v>
      </c>
      <c r="Y264" s="385">
        <f t="shared" si="91"/>
        <v>32.715000000000003</v>
      </c>
      <c r="Z264" s="385">
        <f t="shared" si="92"/>
        <v>32.79176079613449</v>
      </c>
      <c r="AA264" s="386">
        <f t="shared" si="93"/>
        <v>33.245615467419093</v>
      </c>
      <c r="AB264" s="197">
        <f t="shared" si="94"/>
        <v>43350</v>
      </c>
      <c r="AC264" s="427">
        <f t="shared" si="95"/>
        <v>1.3651564722252965E-2</v>
      </c>
      <c r="AD264" s="169">
        <f>(INDEX(Models!$BJ264:$BT264,,AH264)*(1-AF264)+INDEX(Models!$BJ264:$BT264,,AH264+1)*AF264-ERP_i)*AE264*Ramure*Pc/MaxiM</f>
        <v>6.0631835711821132E-5</v>
      </c>
      <c r="AE264" s="305">
        <f t="shared" si="96"/>
        <v>0.7</v>
      </c>
      <c r="AF264" s="177">
        <f t="shared" si="97"/>
        <v>0.48760811648256608</v>
      </c>
      <c r="AG264" s="921">
        <f t="shared" si="98"/>
        <v>-2</v>
      </c>
      <c r="AH264" s="176">
        <f t="shared" si="99"/>
        <v>4</v>
      </c>
      <c r="AI264" s="225">
        <f t="shared" si="100"/>
        <v>-1.5123918835174339</v>
      </c>
      <c r="AJ264" s="265" t="b">
        <f t="shared" si="101"/>
        <v>0</v>
      </c>
      <c r="AK264" s="265" t="b">
        <f t="shared" si="102"/>
        <v>0</v>
      </c>
      <c r="AL264" s="265"/>
      <c r="AM264" s="265"/>
      <c r="AN264" s="75"/>
    </row>
    <row r="265" spans="1:40" s="6" customFormat="1" ht="11.25" x14ac:dyDescent="0.2">
      <c r="A265" s="56">
        <f t="shared" si="104"/>
        <v>43351</v>
      </c>
      <c r="B265" s="620">
        <v>48.423000000000002</v>
      </c>
      <c r="C265" s="390"/>
      <c r="D265" s="393">
        <f t="shared" si="80"/>
        <v>48.537680340520701</v>
      </c>
      <c r="E265" s="385">
        <f t="shared" si="106"/>
        <v>49.215425817177291</v>
      </c>
      <c r="F265" s="385">
        <f t="shared" si="108"/>
        <v>49.21838095853591</v>
      </c>
      <c r="G265" s="110">
        <f t="shared" si="107"/>
        <v>0.9836102985322569</v>
      </c>
      <c r="I265" s="380">
        <f t="shared" si="81"/>
        <v>49.21838095853591</v>
      </c>
      <c r="J265" s="85">
        <v>2018</v>
      </c>
      <c r="K265" s="197">
        <f t="shared" si="82"/>
        <v>43351</v>
      </c>
      <c r="L265" s="438">
        <f t="shared" si="83"/>
        <v>2.3627074824372762E-3</v>
      </c>
      <c r="M265" s="970"/>
      <c r="N265" s="970"/>
      <c r="O265" s="324">
        <f t="shared" si="84"/>
        <v>1.377099690601556E-2</v>
      </c>
      <c r="P265" s="169">
        <f>(INDEX(Models!$BJ265:$BT265,,T265)*(1-R265)+INDEX(Models!$BJ265:$BT265,,T265+1)*R265-ERP_i)*Q265*Ramure*Pc/MaxiM</f>
        <v>6.1480795819415345E-5</v>
      </c>
      <c r="Q265" s="305">
        <f t="shared" si="85"/>
        <v>0.7</v>
      </c>
      <c r="R265" s="177">
        <f t="shared" si="86"/>
        <v>0.48810298972941202</v>
      </c>
      <c r="S265" s="921">
        <f t="shared" si="103"/>
        <v>-2</v>
      </c>
      <c r="T265" s="176">
        <f t="shared" si="87"/>
        <v>4</v>
      </c>
      <c r="U265" s="251">
        <f t="shared" si="88"/>
        <v>-1.511897010270588</v>
      </c>
      <c r="V265" s="383">
        <f t="shared" si="89"/>
        <v>49.229791889180184</v>
      </c>
      <c r="W265" s="58"/>
      <c r="X265" s="157">
        <f t="shared" si="90"/>
        <v>43351</v>
      </c>
      <c r="Y265" s="385">
        <f t="shared" si="91"/>
        <v>48.423000000000002</v>
      </c>
      <c r="Z265" s="385">
        <f t="shared" si="92"/>
        <v>48.537680340520701</v>
      </c>
      <c r="AA265" s="386">
        <f t="shared" si="93"/>
        <v>49.215425817177291</v>
      </c>
      <c r="AB265" s="197">
        <f t="shared" si="94"/>
        <v>43351</v>
      </c>
      <c r="AC265" s="427">
        <f t="shared" si="95"/>
        <v>1.377099690601556E-2</v>
      </c>
      <c r="AD265" s="169">
        <f>(INDEX(Models!$BJ265:$BT265,,AH265)*(1-AF265)+INDEX(Models!$BJ265:$BT265,,AH265+1)*AF265-ERP_i)*AE265*Ramure*Pc/MaxiM</f>
        <v>6.1480795819415345E-5</v>
      </c>
      <c r="AE265" s="305">
        <f t="shared" si="96"/>
        <v>0.7</v>
      </c>
      <c r="AF265" s="177">
        <f t="shared" si="97"/>
        <v>0.48810298972941202</v>
      </c>
      <c r="AG265" s="921">
        <f t="shared" si="98"/>
        <v>-2</v>
      </c>
      <c r="AH265" s="176">
        <f t="shared" si="99"/>
        <v>4</v>
      </c>
      <c r="AI265" s="225">
        <f t="shared" si="100"/>
        <v>-1.511897010270588</v>
      </c>
      <c r="AJ265" s="265" t="b">
        <f t="shared" si="101"/>
        <v>0</v>
      </c>
      <c r="AK265" s="265" t="b">
        <f t="shared" si="102"/>
        <v>0</v>
      </c>
      <c r="AL265" s="265"/>
      <c r="AM265" s="265"/>
      <c r="AN265" s="75"/>
    </row>
    <row r="266" spans="1:40" s="6" customFormat="1" ht="11.25" x14ac:dyDescent="0.2">
      <c r="A266" s="56">
        <f t="shared" si="104"/>
        <v>43352</v>
      </c>
      <c r="B266" s="620">
        <v>30.873000000000001</v>
      </c>
      <c r="C266" s="390"/>
      <c r="D266" s="393">
        <f t="shared" si="80"/>
        <v>30.946794435514498</v>
      </c>
      <c r="E266" s="385">
        <f t="shared" si="106"/>
        <v>31.382706364398814</v>
      </c>
      <c r="F266" s="385">
        <f t="shared" si="108"/>
        <v>31.38363154630116</v>
      </c>
      <c r="G266" s="110">
        <f t="shared" si="107"/>
        <v>0.62895777632344674</v>
      </c>
      <c r="I266" s="380">
        <f t="shared" si="81"/>
        <v>31.38363154630116</v>
      </c>
      <c r="J266" s="85">
        <v>2018</v>
      </c>
      <c r="K266" s="197">
        <f t="shared" si="82"/>
        <v>43352</v>
      </c>
      <c r="L266" s="438">
        <f t="shared" si="83"/>
        <v>2.3845582995120074E-3</v>
      </c>
      <c r="M266" s="970"/>
      <c r="N266" s="970"/>
      <c r="O266" s="324">
        <f t="shared" si="84"/>
        <v>1.3890195568946275E-2</v>
      </c>
      <c r="P266" s="169">
        <f>(INDEX(Models!$BJ266:$BT266,,T266)*(1-R266)+INDEX(Models!$BJ266:$BT266,,T266+1)*R266-ERP_i)*Q266*Ramure*Pc/MaxiM</f>
        <v>6.2726955216374066E-5</v>
      </c>
      <c r="Q266" s="305">
        <f t="shared" si="85"/>
        <v>0.7</v>
      </c>
      <c r="R266" s="177">
        <f t="shared" si="86"/>
        <v>0.48857888222876711</v>
      </c>
      <c r="S266" s="921">
        <f t="shared" si="103"/>
        <v>-2</v>
      </c>
      <c r="T266" s="176">
        <f t="shared" si="87"/>
        <v>4</v>
      </c>
      <c r="U266" s="251">
        <f t="shared" si="88"/>
        <v>-1.5114211177712329</v>
      </c>
      <c r="V266" s="383">
        <f t="shared" si="89"/>
        <v>49.08433394292372</v>
      </c>
      <c r="W266" s="58"/>
      <c r="X266" s="157">
        <f t="shared" si="90"/>
        <v>43352</v>
      </c>
      <c r="Y266" s="385">
        <f t="shared" si="91"/>
        <v>30.873000000000001</v>
      </c>
      <c r="Z266" s="385">
        <f t="shared" si="92"/>
        <v>30.946794435514498</v>
      </c>
      <c r="AA266" s="386">
        <f t="shared" si="93"/>
        <v>31.382706364398814</v>
      </c>
      <c r="AB266" s="197">
        <f t="shared" si="94"/>
        <v>43352</v>
      </c>
      <c r="AC266" s="427">
        <f t="shared" si="95"/>
        <v>1.3890195568946275E-2</v>
      </c>
      <c r="AD266" s="169">
        <f>(INDEX(Models!$BJ266:$BT266,,AH266)*(1-AF266)+INDEX(Models!$BJ266:$BT266,,AH266+1)*AF266-ERP_i)*AE266*Ramure*Pc/MaxiM</f>
        <v>6.2726955216374066E-5</v>
      </c>
      <c r="AE266" s="305">
        <f t="shared" si="96"/>
        <v>0.7</v>
      </c>
      <c r="AF266" s="177">
        <f t="shared" si="97"/>
        <v>0.48857888222876711</v>
      </c>
      <c r="AG266" s="921">
        <f t="shared" si="98"/>
        <v>-2</v>
      </c>
      <c r="AH266" s="176">
        <f t="shared" si="99"/>
        <v>4</v>
      </c>
      <c r="AI266" s="225">
        <f t="shared" si="100"/>
        <v>-1.5114211177712329</v>
      </c>
      <c r="AJ266" s="265" t="b">
        <f t="shared" si="101"/>
        <v>0</v>
      </c>
      <c r="AK266" s="265" t="b">
        <f t="shared" si="102"/>
        <v>0</v>
      </c>
      <c r="AL266" s="265"/>
      <c r="AM266" s="265"/>
      <c r="AN266" s="75"/>
    </row>
    <row r="267" spans="1:40" s="6" customFormat="1" ht="11.25" x14ac:dyDescent="0.2">
      <c r="A267" s="56">
        <f t="shared" si="104"/>
        <v>43353</v>
      </c>
      <c r="B267" s="620">
        <v>37.555</v>
      </c>
      <c r="C267" s="390"/>
      <c r="D267" s="393">
        <f t="shared" si="80"/>
        <v>37.64559067458184</v>
      </c>
      <c r="E267" s="385">
        <f t="shared" si="106"/>
        <v>38.180466753897988</v>
      </c>
      <c r="F267" s="385">
        <f t="shared" si="108"/>
        <v>38.182108050968154</v>
      </c>
      <c r="G267" s="110">
        <f t="shared" si="107"/>
        <v>0.7674129506493409</v>
      </c>
      <c r="I267" s="380">
        <f t="shared" si="81"/>
        <v>38.182108050968154</v>
      </c>
      <c r="J267" s="85">
        <v>2018</v>
      </c>
      <c r="K267" s="197">
        <f t="shared" si="82"/>
        <v>43353</v>
      </c>
      <c r="L267" s="438">
        <f t="shared" si="83"/>
        <v>2.4064086379977923E-3</v>
      </c>
      <c r="M267" s="970"/>
      <c r="N267" s="970"/>
      <c r="O267" s="324">
        <f t="shared" si="84"/>
        <v>1.40091550677951E-2</v>
      </c>
      <c r="P267" s="169">
        <f>(INDEX(Models!$BJ267:$BT267,,T267)*(1-R267)+INDEX(Models!$BJ267:$BT267,,T267+1)*R267-ERP_i)*Q267*Ramure*Pc/MaxiM</f>
        <v>6.4373828649184835E-5</v>
      </c>
      <c r="Q267" s="305">
        <f t="shared" si="85"/>
        <v>0.7</v>
      </c>
      <c r="R267" s="177">
        <f t="shared" si="86"/>
        <v>0.48903648623643203</v>
      </c>
      <c r="S267" s="921">
        <f t="shared" si="103"/>
        <v>-2</v>
      </c>
      <c r="T267" s="176">
        <f t="shared" si="87"/>
        <v>4</v>
      </c>
      <c r="U267" s="251">
        <f t="shared" si="88"/>
        <v>-1.510963513763568</v>
      </c>
      <c r="V267" s="383">
        <f t="shared" si="89"/>
        <v>48.936099807473518</v>
      </c>
      <c r="W267" s="58"/>
      <c r="X267" s="157">
        <f t="shared" si="90"/>
        <v>43353</v>
      </c>
      <c r="Y267" s="385">
        <f t="shared" si="91"/>
        <v>37.555</v>
      </c>
      <c r="Z267" s="385">
        <f t="shared" si="92"/>
        <v>37.64559067458184</v>
      </c>
      <c r="AA267" s="386">
        <f t="shared" si="93"/>
        <v>38.180466753897988</v>
      </c>
      <c r="AB267" s="197">
        <f t="shared" si="94"/>
        <v>43353</v>
      </c>
      <c r="AC267" s="427">
        <f t="shared" si="95"/>
        <v>1.40091550677951E-2</v>
      </c>
      <c r="AD267" s="169">
        <f>(INDEX(Models!$BJ267:$BT267,,AH267)*(1-AF267)+INDEX(Models!$BJ267:$BT267,,AH267+1)*AF267-ERP_i)*AE267*Ramure*Pc/MaxiM</f>
        <v>6.4373828649184835E-5</v>
      </c>
      <c r="AE267" s="305">
        <f t="shared" si="96"/>
        <v>0.7</v>
      </c>
      <c r="AF267" s="177">
        <f t="shared" si="97"/>
        <v>0.48903648623643203</v>
      </c>
      <c r="AG267" s="921">
        <f t="shared" si="98"/>
        <v>-2</v>
      </c>
      <c r="AH267" s="176">
        <f t="shared" si="99"/>
        <v>4</v>
      </c>
      <c r="AI267" s="225">
        <f t="shared" si="100"/>
        <v>-1.510963513763568</v>
      </c>
      <c r="AJ267" s="265" t="b">
        <f t="shared" si="101"/>
        <v>0</v>
      </c>
      <c r="AK267" s="265" t="b">
        <f t="shared" si="102"/>
        <v>0</v>
      </c>
      <c r="AL267" s="265"/>
      <c r="AM267" s="265"/>
      <c r="AN267" s="75"/>
    </row>
    <row r="268" spans="1:40" s="6" customFormat="1" ht="11.25" x14ac:dyDescent="0.2">
      <c r="A268" s="56">
        <f t="shared" si="104"/>
        <v>43354</v>
      </c>
      <c r="B268" s="620">
        <v>47.23</v>
      </c>
      <c r="C268" s="390"/>
      <c r="D268" s="393">
        <f t="shared" si="80"/>
        <v>47.344965815574689</v>
      </c>
      <c r="E268" s="385">
        <f t="shared" si="106"/>
        <v>48.023434633200559</v>
      </c>
      <c r="F268" s="385">
        <f t="shared" si="108"/>
        <v>48.02648130757494</v>
      </c>
      <c r="G268" s="110">
        <f t="shared" si="107"/>
        <v>0.96812709502660566</v>
      </c>
      <c r="I268" s="380">
        <f t="shared" si="81"/>
        <v>48.02648130757494</v>
      </c>
      <c r="J268" s="85">
        <v>2018</v>
      </c>
      <c r="K268" s="197">
        <f t="shared" si="82"/>
        <v>43354</v>
      </c>
      <c r="L268" s="438">
        <f t="shared" si="83"/>
        <v>2.428258497905067E-3</v>
      </c>
      <c r="M268" s="970"/>
      <c r="N268" s="970"/>
      <c r="O268" s="324">
        <f t="shared" si="84"/>
        <v>1.4127869503878046E-2</v>
      </c>
      <c r="P268" s="169">
        <f>(INDEX(Models!$BJ268:$BT268,,T268)*(1-R268)+INDEX(Models!$BJ268:$BT268,,T268+1)*R268-ERP_i)*Q268*Ramure*Pc/MaxiM</f>
        <v>6.6463364466990419E-5</v>
      </c>
      <c r="Q268" s="305">
        <f t="shared" si="85"/>
        <v>0.7</v>
      </c>
      <c r="R268" s="177">
        <f t="shared" si="86"/>
        <v>0.48947647152776863</v>
      </c>
      <c r="S268" s="921">
        <f t="shared" si="103"/>
        <v>-2</v>
      </c>
      <c r="T268" s="176">
        <f t="shared" si="87"/>
        <v>4</v>
      </c>
      <c r="U268" s="251">
        <f t="shared" si="88"/>
        <v>-1.5105235284722314</v>
      </c>
      <c r="V268" s="383">
        <f t="shared" si="89"/>
        <v>48.784769392922115</v>
      </c>
      <c r="W268" s="58"/>
      <c r="X268" s="157">
        <f t="shared" si="90"/>
        <v>43354</v>
      </c>
      <c r="Y268" s="385">
        <f t="shared" si="91"/>
        <v>47.23</v>
      </c>
      <c r="Z268" s="385">
        <f t="shared" si="92"/>
        <v>47.344965815574689</v>
      </c>
      <c r="AA268" s="386">
        <f t="shared" si="93"/>
        <v>48.023434633200559</v>
      </c>
      <c r="AB268" s="197">
        <f t="shared" si="94"/>
        <v>43354</v>
      </c>
      <c r="AC268" s="427">
        <f t="shared" si="95"/>
        <v>1.4127869503878046E-2</v>
      </c>
      <c r="AD268" s="169">
        <f>(INDEX(Models!$BJ268:$BT268,,AH268)*(1-AF268)+INDEX(Models!$BJ268:$BT268,,AH268+1)*AF268-ERP_i)*AE268*Ramure*Pc/MaxiM</f>
        <v>6.6463364466990419E-5</v>
      </c>
      <c r="AE268" s="305">
        <f t="shared" si="96"/>
        <v>0.7</v>
      </c>
      <c r="AF268" s="177">
        <f t="shared" si="97"/>
        <v>0.48947647152776863</v>
      </c>
      <c r="AG268" s="921">
        <f t="shared" si="98"/>
        <v>-2</v>
      </c>
      <c r="AH268" s="176">
        <f t="shared" si="99"/>
        <v>4</v>
      </c>
      <c r="AI268" s="225">
        <f t="shared" si="100"/>
        <v>-1.5105235284722314</v>
      </c>
      <c r="AJ268" s="265" t="b">
        <f t="shared" si="101"/>
        <v>0</v>
      </c>
      <c r="AK268" s="265" t="b">
        <f t="shared" si="102"/>
        <v>0</v>
      </c>
      <c r="AL268" s="265"/>
      <c r="AM268" s="265"/>
      <c r="AN268" s="75"/>
    </row>
    <row r="269" spans="1:40" s="6" customFormat="1" ht="11.25" x14ac:dyDescent="0.2">
      <c r="A269" s="56">
        <f t="shared" si="104"/>
        <v>43355</v>
      </c>
      <c r="B269" s="620">
        <v>31.661000000000001</v>
      </c>
      <c r="C269" s="390"/>
      <c r="D269" s="393">
        <f t="shared" si="80"/>
        <v>31.738763394269775</v>
      </c>
      <c r="E269" s="385">
        <f t="shared" si="106"/>
        <v>32.197459109394671</v>
      </c>
      <c r="F269" s="385">
        <f t="shared" si="108"/>
        <v>32.198568333806598</v>
      </c>
      <c r="G269" s="110">
        <f t="shared" si="107"/>
        <v>0.65103619182084105</v>
      </c>
      <c r="I269" s="380">
        <f t="shared" si="81"/>
        <v>32.198568333806598</v>
      </c>
      <c r="J269" s="85">
        <v>2018</v>
      </c>
      <c r="K269" s="197">
        <f t="shared" si="82"/>
        <v>43355</v>
      </c>
      <c r="L269" s="438">
        <f t="shared" si="83"/>
        <v>2.4501078792443787E-3</v>
      </c>
      <c r="M269" s="970"/>
      <c r="N269" s="970"/>
      <c r="O269" s="324">
        <f t="shared" si="84"/>
        <v>1.424633271732475E-2</v>
      </c>
      <c r="P269" s="169">
        <f>(INDEX(Models!$BJ269:$BT269,,T269)*(1-R269)+INDEX(Models!$BJ269:$BT269,,T269+1)*R269-ERP_i)*Q269*Ramure*Pc/MaxiM</f>
        <v>6.8691250357315225E-5</v>
      </c>
      <c r="Q269" s="305">
        <f t="shared" si="85"/>
        <v>0.7</v>
      </c>
      <c r="R269" s="177">
        <f t="shared" si="86"/>
        <v>0.48989948590935573</v>
      </c>
      <c r="S269" s="921">
        <f t="shared" si="103"/>
        <v>-2</v>
      </c>
      <c r="T269" s="176">
        <f t="shared" si="87"/>
        <v>4</v>
      </c>
      <c r="U269" s="251">
        <f t="shared" si="88"/>
        <v>-1.5101005140906443</v>
      </c>
      <c r="V269" s="383">
        <f t="shared" si="89"/>
        <v>48.630039669346687</v>
      </c>
      <c r="W269" s="58"/>
      <c r="X269" s="157">
        <f t="shared" si="90"/>
        <v>43355</v>
      </c>
      <c r="Y269" s="385">
        <f t="shared" si="91"/>
        <v>31.661000000000001</v>
      </c>
      <c r="Z269" s="385">
        <f t="shared" si="92"/>
        <v>31.738763394269775</v>
      </c>
      <c r="AA269" s="386">
        <f t="shared" si="93"/>
        <v>32.197459109394671</v>
      </c>
      <c r="AB269" s="197">
        <f t="shared" si="94"/>
        <v>43355</v>
      </c>
      <c r="AC269" s="427">
        <f t="shared" si="95"/>
        <v>1.424633271732475E-2</v>
      </c>
      <c r="AD269" s="169">
        <f>(INDEX(Models!$BJ269:$BT269,,AH269)*(1-AF269)+INDEX(Models!$BJ269:$BT269,,AH269+1)*AF269-ERP_i)*AE269*Ramure*Pc/MaxiM</f>
        <v>6.8691250357315225E-5</v>
      </c>
      <c r="AE269" s="305">
        <f t="shared" si="96"/>
        <v>0.7</v>
      </c>
      <c r="AF269" s="177">
        <f t="shared" si="97"/>
        <v>0.48989948590935573</v>
      </c>
      <c r="AG269" s="921">
        <f t="shared" si="98"/>
        <v>-2</v>
      </c>
      <c r="AH269" s="176">
        <f t="shared" si="99"/>
        <v>4</v>
      </c>
      <c r="AI269" s="225">
        <f t="shared" si="100"/>
        <v>-1.5101005140906443</v>
      </c>
      <c r="AJ269" s="265" t="b">
        <f t="shared" si="101"/>
        <v>0</v>
      </c>
      <c r="AK269" s="265" t="b">
        <f t="shared" si="102"/>
        <v>0</v>
      </c>
      <c r="AL269" s="265"/>
      <c r="AM269" s="265"/>
      <c r="AN269" s="75"/>
    </row>
    <row r="270" spans="1:40" s="6" customFormat="1" ht="11.25" x14ac:dyDescent="0.2">
      <c r="A270" s="56">
        <f t="shared" si="104"/>
        <v>43356</v>
      </c>
      <c r="B270" s="620">
        <v>26.545000000000002</v>
      </c>
      <c r="C270" s="390"/>
      <c r="D270" s="393">
        <f t="shared" si="80"/>
        <v>26.610780699825948</v>
      </c>
      <c r="E270" s="385">
        <f t="shared" si="106"/>
        <v>26.998603168632762</v>
      </c>
      <c r="F270" s="385">
        <f t="shared" si="108"/>
        <v>26.999281894194333</v>
      </c>
      <c r="G270" s="110">
        <f t="shared" si="107"/>
        <v>0.54761520070362257</v>
      </c>
      <c r="I270" s="380">
        <f t="shared" si="81"/>
        <v>26.999281894194333</v>
      </c>
      <c r="J270" s="85">
        <v>2018</v>
      </c>
      <c r="K270" s="197">
        <f t="shared" si="82"/>
        <v>43356</v>
      </c>
      <c r="L270" s="438">
        <f t="shared" si="83"/>
        <v>2.4719567820261634E-3</v>
      </c>
      <c r="M270" s="970"/>
      <c r="N270" s="970"/>
      <c r="O270" s="324">
        <f t="shared" si="84"/>
        <v>1.4364538283128215E-2</v>
      </c>
      <c r="P270" s="169">
        <f>(INDEX(Models!$BJ270:$BT270,,T270)*(1-R270)+INDEX(Models!$BJ270:$BT270,,T270+1)*R270-ERP_i)*Q270*Ramure*Pc/MaxiM</f>
        <v>7.1058923618494264E-5</v>
      </c>
      <c r="Q270" s="305">
        <f t="shared" si="85"/>
        <v>0.7</v>
      </c>
      <c r="R270" s="177">
        <f t="shared" si="86"/>
        <v>0.49030615573756586</v>
      </c>
      <c r="S270" s="921">
        <f t="shared" si="103"/>
        <v>-2</v>
      </c>
      <c r="T270" s="176">
        <f t="shared" si="87"/>
        <v>4</v>
      </c>
      <c r="U270" s="251">
        <f t="shared" si="88"/>
        <v>-1.5096938442624341</v>
      </c>
      <c r="V270" s="383">
        <f t="shared" si="89"/>
        <v>48.471592792987082</v>
      </c>
      <c r="W270" s="58"/>
      <c r="X270" s="157">
        <f t="shared" si="90"/>
        <v>43356</v>
      </c>
      <c r="Y270" s="385">
        <f t="shared" si="91"/>
        <v>26.545000000000002</v>
      </c>
      <c r="Z270" s="385">
        <f t="shared" si="92"/>
        <v>26.610780699825948</v>
      </c>
      <c r="AA270" s="386">
        <f t="shared" si="93"/>
        <v>26.998603168632762</v>
      </c>
      <c r="AB270" s="197">
        <f t="shared" si="94"/>
        <v>43356</v>
      </c>
      <c r="AC270" s="427">
        <f t="shared" si="95"/>
        <v>1.4364538283128215E-2</v>
      </c>
      <c r="AD270" s="169">
        <f>(INDEX(Models!$BJ270:$BT270,,AH270)*(1-AF270)+INDEX(Models!$BJ270:$BT270,,AH270+1)*AF270-ERP_i)*AE270*Ramure*Pc/MaxiM</f>
        <v>7.1058923618494264E-5</v>
      </c>
      <c r="AE270" s="305">
        <f t="shared" si="96"/>
        <v>0.7</v>
      </c>
      <c r="AF270" s="177">
        <f t="shared" si="97"/>
        <v>0.49030615573756586</v>
      </c>
      <c r="AG270" s="921">
        <f t="shared" si="98"/>
        <v>-2</v>
      </c>
      <c r="AH270" s="176">
        <f t="shared" si="99"/>
        <v>4</v>
      </c>
      <c r="AI270" s="225">
        <f t="shared" si="100"/>
        <v>-1.5096938442624341</v>
      </c>
      <c r="AJ270" s="265" t="b">
        <f t="shared" si="101"/>
        <v>0</v>
      </c>
      <c r="AK270" s="265" t="b">
        <f t="shared" si="102"/>
        <v>0</v>
      </c>
      <c r="AL270" s="265"/>
      <c r="AM270" s="265"/>
      <c r="AN270" s="75"/>
    </row>
    <row r="271" spans="1:40" s="6" customFormat="1" ht="11.25" x14ac:dyDescent="0.2">
      <c r="A271" s="56">
        <f t="shared" si="104"/>
        <v>43357</v>
      </c>
      <c r="B271" s="620">
        <v>28.488</v>
      </c>
      <c r="C271" s="390"/>
      <c r="D271" s="393">
        <f t="shared" ref="D271:D334" si="109">Wh/(1-Ppv)</f>
        <v>28.559221134351599</v>
      </c>
      <c r="E271" s="385">
        <f t="shared" si="106"/>
        <v>28.97890756942698</v>
      </c>
      <c r="F271" s="385">
        <f t="shared" si="108"/>
        <v>28.979789912638342</v>
      </c>
      <c r="G271" s="110">
        <f t="shared" si="107"/>
        <v>0.58967699625346182</v>
      </c>
      <c r="I271" s="380">
        <f t="shared" ref="I271:I334" si="110">Wh_hp</f>
        <v>28.979789912638342</v>
      </c>
      <c r="J271" s="85">
        <v>2018</v>
      </c>
      <c r="K271" s="197">
        <f t="shared" ref="K271:K334" si="111">t</f>
        <v>43357</v>
      </c>
      <c r="L271" s="438">
        <f t="shared" ref="L271:L334" si="112">IF(t&lt;T0,0,IF(t&lt;Tvie,1-EXP((T0-t)*PertePVj),1-EXP((T0-t)*PertePVj)+Pspv))</f>
        <v>2.4938052062608573E-3</v>
      </c>
      <c r="M271" s="970"/>
      <c r="N271" s="970"/>
      <c r="O271" s="324">
        <f t="shared" ref="O271:O334" si="113">IF(t&lt;T0,0,IF(t&lt;Tnet,Salim_i*(1-EXP((T0-t)/Tau_ij)),Resal+(Salim-Resal)*(1-EXP((Tnet-t)/(Tau_j)))))*Salcycl</f>
        <v>1.4482479509274336E-2</v>
      </c>
      <c r="P271" s="169">
        <f>(INDEX(Models!$BJ271:$BT271,,T271)*(1-R271)+INDEX(Models!$BJ271:$BT271,,T271+1)*R271-ERP_i)*Q271*Ramure*Pc/MaxiM</f>
        <v>7.3567877161951278E-5</v>
      </c>
      <c r="Q271" s="305">
        <f t="shared" ref="Q271:Q334" si="114">IF(OR(t&lt;Ttai,Notai),Dd+PousD*Croivg,Dens+PousD*(Croivg-Croi_tai))</f>
        <v>0.7</v>
      </c>
      <c r="R271" s="177">
        <f t="shared" ref="R271:R334" si="115">(Hp_vg-S271)/(INDEX(Echel_vg,T271+1)-S271)</f>
        <v>0.4906970864420015</v>
      </c>
      <c r="S271" s="921">
        <f t="shared" si="103"/>
        <v>-2</v>
      </c>
      <c r="T271" s="176">
        <f t="shared" ref="T271:T334" si="116">MIN(MATCH(Hp_vg,Echel_vg),10)</f>
        <v>4</v>
      </c>
      <c r="U271" s="251">
        <f t="shared" ref="U271:U334" si="117">IF(OR(t&lt;Ttai,Notai),Hdd+PousH*Croivg,Hdtf+PousH*(Croivg-Croi_tai))</f>
        <v>-1.5093029135579985</v>
      </c>
      <c r="V271" s="383">
        <f t="shared" ref="V271:V334" si="118">MaxiM*(1-Ppv)*(1-Pvg)*(1-Psa)</f>
        <v>48.309111109410345</v>
      </c>
      <c r="W271" s="58"/>
      <c r="X271" s="157">
        <f t="shared" ref="X271:X334" si="119">t</f>
        <v>43357</v>
      </c>
      <c r="Y271" s="385">
        <f t="shared" ref="Y271:Y334" si="120">Wh_pvt_s*(1-Ppv)</f>
        <v>28.488</v>
      </c>
      <c r="Z271" s="385">
        <f t="shared" ref="Z271:Z334" si="121">Wh_sa_s*(1-Psa_s)</f>
        <v>28.559221134351599</v>
      </c>
      <c r="AA271" s="386">
        <f t="shared" ref="AA271:AA334" si="122">Wh_hp*(1-Pvg_s*MEDIAN((-Sdif+Wh/Env_an)/Csdif,0,1))</f>
        <v>28.97890756942698</v>
      </c>
      <c r="AB271" s="197">
        <f t="shared" ref="AB271:AB334" si="123">t</f>
        <v>43357</v>
      </c>
      <c r="AC271" s="427">
        <f t="shared" ref="AC271:AC334" si="124">IF(t&lt;T0,0,IF(OR(t&lt;Tnet,NoTnet),Salim_i*(1-EXP((T0-t)/Tau_ij)),Resal_s+(Salim-Resal_s)*(1-EXP((Tnet_s-t)/Tau_j))))*Salcycl</f>
        <v>1.4482479509274336E-2</v>
      </c>
      <c r="AD271" s="169">
        <f>(INDEX(Models!$BJ271:$BT271,,AH271)*(1-AF271)+INDEX(Models!$BJ271:$BT271,,AH271+1)*AF271-ERP_i)*AE271*Ramure*Pc/MaxiM</f>
        <v>7.3567877161951278E-5</v>
      </c>
      <c r="AE271" s="305">
        <f t="shared" ref="AE271:AE334" si="125">Dd+PousD*Croivg</f>
        <v>0.7</v>
      </c>
      <c r="AF271" s="177">
        <f t="shared" ref="AF271:AF334" si="126">(Hp_vg_s-AG271)/(INDEX(Echel_vg,AH271+1)-AG271)</f>
        <v>0.4906970864420015</v>
      </c>
      <c r="AG271" s="921">
        <f t="shared" ref="AG271:AG334" si="127">INDEX(Echel_vg,AH271)</f>
        <v>-2</v>
      </c>
      <c r="AH271" s="176">
        <f t="shared" ref="AH271:AH334" si="128">MIN(MATCH(Hp_vg_s,Echel_vg),10)</f>
        <v>4</v>
      </c>
      <c r="AI271" s="225">
        <f t="shared" ref="AI271:AI334" si="129">Hdd+PousH*Croivg</f>
        <v>-1.5093029135579985</v>
      </c>
      <c r="AJ271" s="265" t="b">
        <f t="shared" ref="AJ271:AJ334" si="130">t&lt;Tnet</f>
        <v>0</v>
      </c>
      <c r="AK271" s="265" t="b">
        <f t="shared" ref="AK271:AK334" si="131">t&lt;Ttai</f>
        <v>0</v>
      </c>
      <c r="AL271" s="265"/>
      <c r="AM271" s="265"/>
      <c r="AN271" s="75"/>
    </row>
    <row r="272" spans="1:40" s="6" customFormat="1" ht="11.25" x14ac:dyDescent="0.2">
      <c r="A272" s="56">
        <f t="shared" si="104"/>
        <v>43358</v>
      </c>
      <c r="B272" s="620">
        <v>39.847000000000001</v>
      </c>
      <c r="C272" s="390"/>
      <c r="D272" s="393">
        <f t="shared" si="109"/>
        <v>39.947494039292813</v>
      </c>
      <c r="E272" s="385">
        <f t="shared" si="106"/>
        <v>40.539374971975128</v>
      </c>
      <c r="F272" s="385">
        <f t="shared" si="108"/>
        <v>40.541704414016117</v>
      </c>
      <c r="G272" s="110">
        <f t="shared" si="107"/>
        <v>0.82767693424481381</v>
      </c>
      <c r="I272" s="380">
        <f t="shared" si="110"/>
        <v>40.541704414016117</v>
      </c>
      <c r="J272" s="85">
        <v>2018</v>
      </c>
      <c r="K272" s="197">
        <f t="shared" si="111"/>
        <v>43358</v>
      </c>
      <c r="L272" s="438">
        <f t="shared" si="112"/>
        <v>2.5156531519590075E-3</v>
      </c>
      <c r="M272" s="970"/>
      <c r="N272" s="970"/>
      <c r="O272" s="324">
        <f t="shared" si="113"/>
        <v>1.4600149437219536E-2</v>
      </c>
      <c r="P272" s="169">
        <f>(INDEX(Models!$BJ272:$BT272,,T272)*(1-R272)+INDEX(Models!$BJ272:$BT272,,T272+1)*R272-ERP_i)*Q272*Ramure*Pc/MaxiM</f>
        <v>7.6219668255685701E-5</v>
      </c>
      <c r="Q272" s="305">
        <f t="shared" si="114"/>
        <v>0.7</v>
      </c>
      <c r="R272" s="177">
        <f t="shared" si="115"/>
        <v>0.49107286305189946</v>
      </c>
      <c r="S272" s="921">
        <f t="shared" ref="S272:S335" si="132">INDEX(Echel_vg,T272)</f>
        <v>-2</v>
      </c>
      <c r="T272" s="176">
        <f t="shared" si="116"/>
        <v>4</v>
      </c>
      <c r="U272" s="251">
        <f t="shared" si="117"/>
        <v>-1.5089271369481005</v>
      </c>
      <c r="V272" s="383">
        <f t="shared" si="118"/>
        <v>48.142277148326272</v>
      </c>
      <c r="W272" s="58"/>
      <c r="X272" s="157">
        <f t="shared" si="119"/>
        <v>43358</v>
      </c>
      <c r="Y272" s="385">
        <f t="shared" si="120"/>
        <v>39.847000000000001</v>
      </c>
      <c r="Z272" s="385">
        <f t="shared" si="121"/>
        <v>39.947494039292813</v>
      </c>
      <c r="AA272" s="386">
        <f t="shared" si="122"/>
        <v>40.539374971975128</v>
      </c>
      <c r="AB272" s="197">
        <f t="shared" si="123"/>
        <v>43358</v>
      </c>
      <c r="AC272" s="427">
        <f t="shared" si="124"/>
        <v>1.4600149437219536E-2</v>
      </c>
      <c r="AD272" s="169">
        <f>(INDEX(Models!$BJ272:$BT272,,AH272)*(1-AF272)+INDEX(Models!$BJ272:$BT272,,AH272+1)*AF272-ERP_i)*AE272*Ramure*Pc/MaxiM</f>
        <v>7.6219668255685701E-5</v>
      </c>
      <c r="AE272" s="305">
        <f t="shared" si="125"/>
        <v>0.7</v>
      </c>
      <c r="AF272" s="177">
        <f t="shared" si="126"/>
        <v>0.49107286305189946</v>
      </c>
      <c r="AG272" s="921">
        <f t="shared" si="127"/>
        <v>-2</v>
      </c>
      <c r="AH272" s="176">
        <f t="shared" si="128"/>
        <v>4</v>
      </c>
      <c r="AI272" s="225">
        <f t="shared" si="129"/>
        <v>-1.5089271369481005</v>
      </c>
      <c r="AJ272" s="265" t="b">
        <f t="shared" si="130"/>
        <v>0</v>
      </c>
      <c r="AK272" s="265" t="b">
        <f t="shared" si="131"/>
        <v>0</v>
      </c>
      <c r="AL272" s="265"/>
      <c r="AM272" s="265"/>
      <c r="AN272" s="75"/>
    </row>
    <row r="273" spans="1:40" s="6" customFormat="1" ht="11.25" x14ac:dyDescent="0.2">
      <c r="A273" s="56">
        <f t="shared" ref="A273:A336" si="133">A272+1</f>
        <v>43359</v>
      </c>
      <c r="B273" s="620">
        <v>46.442</v>
      </c>
      <c r="C273" s="390"/>
      <c r="D273" s="393">
        <f t="shared" si="109"/>
        <v>46.560146400317642</v>
      </c>
      <c r="E273" s="385">
        <f t="shared" si="106"/>
        <v>47.255633110780607</v>
      </c>
      <c r="F273" s="385">
        <f t="shared" si="108"/>
        <v>47.259197332077989</v>
      </c>
      <c r="G273" s="110">
        <f t="shared" si="107"/>
        <v>0.9681276620124184</v>
      </c>
      <c r="I273" s="380">
        <f t="shared" si="110"/>
        <v>47.259197332077989</v>
      </c>
      <c r="J273" s="85">
        <v>2018</v>
      </c>
      <c r="K273" s="197">
        <f t="shared" si="111"/>
        <v>43359</v>
      </c>
      <c r="L273" s="438">
        <f t="shared" si="112"/>
        <v>2.5375006191310501E-3</v>
      </c>
      <c r="M273" s="970"/>
      <c r="N273" s="970"/>
      <c r="O273" s="324">
        <f t="shared" si="113"/>
        <v>1.471754084497285E-2</v>
      </c>
      <c r="P273" s="169">
        <f>(INDEX(Models!$BJ273:$BT273,,T273)*(1-R273)+INDEX(Models!$BJ273:$BT273,,T273+1)*R273-ERP_i)*Q273*Ramure*Pc/MaxiM</f>
        <v>7.9015927613150126E-5</v>
      </c>
      <c r="Q273" s="305">
        <f t="shared" si="114"/>
        <v>0.7</v>
      </c>
      <c r="R273" s="177">
        <f t="shared" si="115"/>
        <v>0.49143405072379509</v>
      </c>
      <c r="S273" s="921">
        <f t="shared" si="132"/>
        <v>-2</v>
      </c>
      <c r="T273" s="176">
        <f t="shared" si="116"/>
        <v>4</v>
      </c>
      <c r="U273" s="251">
        <f t="shared" si="117"/>
        <v>-1.5085659492762049</v>
      </c>
      <c r="V273" s="383">
        <f t="shared" si="118"/>
        <v>47.970773629782443</v>
      </c>
      <c r="W273" s="58"/>
      <c r="X273" s="157">
        <f t="shared" si="119"/>
        <v>43359</v>
      </c>
      <c r="Y273" s="385">
        <f t="shared" si="120"/>
        <v>46.442</v>
      </c>
      <c r="Z273" s="385">
        <f t="shared" si="121"/>
        <v>46.560146400317642</v>
      </c>
      <c r="AA273" s="386">
        <f t="shared" si="122"/>
        <v>47.255633110780607</v>
      </c>
      <c r="AB273" s="197">
        <f t="shared" si="123"/>
        <v>43359</v>
      </c>
      <c r="AC273" s="427">
        <f t="shared" si="124"/>
        <v>1.471754084497285E-2</v>
      </c>
      <c r="AD273" s="169">
        <f>(INDEX(Models!$BJ273:$BT273,,AH273)*(1-AF273)+INDEX(Models!$BJ273:$BT273,,AH273+1)*AF273-ERP_i)*AE273*Ramure*Pc/MaxiM</f>
        <v>7.9015927613150126E-5</v>
      </c>
      <c r="AE273" s="305">
        <f t="shared" si="125"/>
        <v>0.7</v>
      </c>
      <c r="AF273" s="177">
        <f t="shared" si="126"/>
        <v>0.49143405072379509</v>
      </c>
      <c r="AG273" s="921">
        <f t="shared" si="127"/>
        <v>-2</v>
      </c>
      <c r="AH273" s="176">
        <f t="shared" si="128"/>
        <v>4</v>
      </c>
      <c r="AI273" s="225">
        <f t="shared" si="129"/>
        <v>-1.5085659492762049</v>
      </c>
      <c r="AJ273" s="265" t="b">
        <f t="shared" si="130"/>
        <v>0</v>
      </c>
      <c r="AK273" s="265" t="b">
        <f t="shared" si="131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33"/>
        <v>43360</v>
      </c>
      <c r="B274" s="620">
        <v>44.305</v>
      </c>
      <c r="C274" s="390"/>
      <c r="D274" s="393">
        <f t="shared" si="109"/>
        <v>44.418682849692431</v>
      </c>
      <c r="E274" s="385">
        <f t="shared" si="106"/>
        <v>45.087540564383843</v>
      </c>
      <c r="F274" s="385">
        <f t="shared" si="108"/>
        <v>45.090850708314242</v>
      </c>
      <c r="G274" s="110">
        <f t="shared" si="107"/>
        <v>0.92698578279978194</v>
      </c>
      <c r="I274" s="380">
        <f t="shared" si="110"/>
        <v>45.090850708314242</v>
      </c>
      <c r="J274" s="85">
        <v>2018</v>
      </c>
      <c r="K274" s="197">
        <f t="shared" si="111"/>
        <v>43360</v>
      </c>
      <c r="L274" s="438">
        <f t="shared" si="112"/>
        <v>2.5593476077875321E-3</v>
      </c>
      <c r="M274" s="970"/>
      <c r="N274" s="970"/>
      <c r="O274" s="324">
        <f t="shared" si="113"/>
        <v>1.4834646253021973E-2</v>
      </c>
      <c r="P274" s="169">
        <f>(INDEX(Models!$BJ274:$BT274,,T274)*(1-R274)+INDEX(Models!$BJ274:$BT274,,T274+1)*R274-ERP_i)*Q274*Ramure*Pc/MaxiM</f>
        <v>8.1958368954693542E-5</v>
      </c>
      <c r="Q274" s="305">
        <f t="shared" si="114"/>
        <v>0.7</v>
      </c>
      <c r="R274" s="177">
        <f t="shared" si="115"/>
        <v>0.49178119526889352</v>
      </c>
      <c r="S274" s="921">
        <f t="shared" si="132"/>
        <v>-2</v>
      </c>
      <c r="T274" s="176">
        <f t="shared" si="116"/>
        <v>4</v>
      </c>
      <c r="U274" s="251">
        <f t="shared" si="117"/>
        <v>-1.5082188047311065</v>
      </c>
      <c r="V274" s="383">
        <f t="shared" si="118"/>
        <v>47.794283453892845</v>
      </c>
      <c r="W274" s="58"/>
      <c r="X274" s="157">
        <f t="shared" si="119"/>
        <v>43360</v>
      </c>
      <c r="Y274" s="385">
        <f t="shared" si="120"/>
        <v>44.305</v>
      </c>
      <c r="Z274" s="385">
        <f t="shared" si="121"/>
        <v>44.418682849692431</v>
      </c>
      <c r="AA274" s="386">
        <f t="shared" si="122"/>
        <v>45.087540564383843</v>
      </c>
      <c r="AB274" s="197">
        <f t="shared" si="123"/>
        <v>43360</v>
      </c>
      <c r="AC274" s="427">
        <f t="shared" si="124"/>
        <v>1.4834646253021973E-2</v>
      </c>
      <c r="AD274" s="169">
        <f>(INDEX(Models!$BJ274:$BT274,,AH274)*(1-AF274)+INDEX(Models!$BJ274:$BT274,,AH274+1)*AF274-ERP_i)*AE274*Ramure*Pc/MaxiM</f>
        <v>8.1958368954693542E-5</v>
      </c>
      <c r="AE274" s="305">
        <f t="shared" si="125"/>
        <v>0.7</v>
      </c>
      <c r="AF274" s="177">
        <f t="shared" si="126"/>
        <v>0.49178119526889352</v>
      </c>
      <c r="AG274" s="921">
        <f t="shared" si="127"/>
        <v>-2</v>
      </c>
      <c r="AH274" s="176">
        <f t="shared" si="128"/>
        <v>4</v>
      </c>
      <c r="AI274" s="225">
        <f t="shared" si="129"/>
        <v>-1.5082188047311065</v>
      </c>
      <c r="AJ274" s="265" t="b">
        <f t="shared" si="130"/>
        <v>0</v>
      </c>
      <c r="AK274" s="265" t="b">
        <f t="shared" si="131"/>
        <v>0</v>
      </c>
      <c r="AL274" s="265"/>
      <c r="AM274" s="265"/>
      <c r="AN274" s="75"/>
    </row>
    <row r="275" spans="1:40" s="6" customFormat="1" ht="11.25" x14ac:dyDescent="0.2">
      <c r="A275" s="56">
        <f t="shared" si="133"/>
        <v>43361</v>
      </c>
      <c r="B275" s="620">
        <v>40.895000000000003</v>
      </c>
      <c r="C275" s="390"/>
      <c r="D275" s="393">
        <f t="shared" si="109"/>
        <v>41.000831104076454</v>
      </c>
      <c r="E275" s="385">
        <f t="shared" si="106"/>
        <v>41.623157999964988</v>
      </c>
      <c r="F275" s="385">
        <f t="shared" si="108"/>
        <v>41.625984598825738</v>
      </c>
      <c r="G275" s="110">
        <f t="shared" si="107"/>
        <v>0.85888692972475555</v>
      </c>
      <c r="I275" s="380">
        <f t="shared" si="110"/>
        <v>41.625984598825738</v>
      </c>
      <c r="J275" s="85">
        <v>2018</v>
      </c>
      <c r="K275" s="197">
        <f t="shared" si="111"/>
        <v>43361</v>
      </c>
      <c r="L275" s="438">
        <f t="shared" si="112"/>
        <v>2.5811941179388898E-3</v>
      </c>
      <c r="M275" s="970"/>
      <c r="N275" s="970"/>
      <c r="O275" s="324">
        <f t="shared" si="113"/>
        <v>1.4951457933322957E-2</v>
      </c>
      <c r="P275" s="169">
        <f>(INDEX(Models!$BJ275:$BT275,,T275)*(1-R275)+INDEX(Models!$BJ275:$BT275,,T275+1)*R275-ERP_i)*Q275*Ramure*Pc/MaxiM</f>
        <v>8.5047647452616071E-5</v>
      </c>
      <c r="Q275" s="305">
        <f t="shared" si="114"/>
        <v>0.7</v>
      </c>
      <c r="R275" s="177">
        <f t="shared" si="115"/>
        <v>0.49211482367875137</v>
      </c>
      <c r="S275" s="921">
        <f t="shared" si="132"/>
        <v>-2</v>
      </c>
      <c r="T275" s="176">
        <f t="shared" si="116"/>
        <v>4</v>
      </c>
      <c r="U275" s="251">
        <f t="shared" si="117"/>
        <v>-1.5078851763212486</v>
      </c>
      <c r="V275" s="383">
        <f t="shared" si="118"/>
        <v>47.613134482725059</v>
      </c>
      <c r="W275" s="58"/>
      <c r="X275" s="157">
        <f t="shared" si="119"/>
        <v>43361</v>
      </c>
      <c r="Y275" s="385">
        <f t="shared" si="120"/>
        <v>40.895000000000003</v>
      </c>
      <c r="Z275" s="385">
        <f t="shared" si="121"/>
        <v>41.000831104076454</v>
      </c>
      <c r="AA275" s="386">
        <f t="shared" si="122"/>
        <v>41.623157999964988</v>
      </c>
      <c r="AB275" s="197">
        <f t="shared" si="123"/>
        <v>43361</v>
      </c>
      <c r="AC275" s="427">
        <f t="shared" si="124"/>
        <v>1.4951457933322957E-2</v>
      </c>
      <c r="AD275" s="169">
        <f>(INDEX(Models!$BJ275:$BT275,,AH275)*(1-AF275)+INDEX(Models!$BJ275:$BT275,,AH275+1)*AF275-ERP_i)*AE275*Ramure*Pc/MaxiM</f>
        <v>8.5047647452616071E-5</v>
      </c>
      <c r="AE275" s="305">
        <f t="shared" si="125"/>
        <v>0.7</v>
      </c>
      <c r="AF275" s="177">
        <f t="shared" si="126"/>
        <v>0.49211482367875137</v>
      </c>
      <c r="AG275" s="921">
        <f t="shared" si="127"/>
        <v>-2</v>
      </c>
      <c r="AH275" s="176">
        <f t="shared" si="128"/>
        <v>4</v>
      </c>
      <c r="AI275" s="225">
        <f t="shared" si="129"/>
        <v>-1.5078851763212486</v>
      </c>
      <c r="AJ275" s="265" t="b">
        <f t="shared" si="130"/>
        <v>0</v>
      </c>
      <c r="AK275" s="265" t="b">
        <f t="shared" si="131"/>
        <v>0</v>
      </c>
      <c r="AL275" s="265"/>
      <c r="AM275" s="265"/>
      <c r="AN275" s="75"/>
    </row>
    <row r="276" spans="1:40" s="6" customFormat="1" ht="11.25" x14ac:dyDescent="0.2">
      <c r="A276" s="56">
        <f t="shared" si="133"/>
        <v>43362</v>
      </c>
      <c r="B276" s="620">
        <v>36.292999999999999</v>
      </c>
      <c r="C276" s="390"/>
      <c r="D276" s="393">
        <f t="shared" si="109"/>
        <v>36.387718692709313</v>
      </c>
      <c r="E276" s="385">
        <f t="shared" si="106"/>
        <v>36.944395661416578</v>
      </c>
      <c r="F276" s="385">
        <f t="shared" si="108"/>
        <v>36.946571616643965</v>
      </c>
      <c r="G276" s="110">
        <f t="shared" si="107"/>
        <v>0.76520196397627616</v>
      </c>
      <c r="I276" s="380">
        <f t="shared" si="110"/>
        <v>36.946571616643965</v>
      </c>
      <c r="J276" s="85">
        <v>2018</v>
      </c>
      <c r="K276" s="197">
        <f t="shared" si="111"/>
        <v>43362</v>
      </c>
      <c r="L276" s="438">
        <f t="shared" si="112"/>
        <v>2.6030401495955591E-3</v>
      </c>
      <c r="M276" s="970"/>
      <c r="N276" s="970"/>
      <c r="O276" s="324">
        <f t="shared" si="113"/>
        <v>1.5067967921549639E-2</v>
      </c>
      <c r="P276" s="169">
        <f>(INDEX(Models!$BJ276:$BT276,,T276)*(1-R276)+INDEX(Models!$BJ276:$BT276,,T276+1)*R276-ERP_i)*Q276*Ramure*Pc/MaxiM</f>
        <v>8.8615782620483466E-5</v>
      </c>
      <c r="Q276" s="305">
        <f t="shared" si="114"/>
        <v>0.7</v>
      </c>
      <c r="R276" s="177">
        <f t="shared" si="115"/>
        <v>0.49243544464801281</v>
      </c>
      <c r="S276" s="921">
        <f t="shared" si="132"/>
        <v>-2</v>
      </c>
      <c r="T276" s="176">
        <f t="shared" si="116"/>
        <v>4</v>
      </c>
      <c r="U276" s="251">
        <f t="shared" si="117"/>
        <v>-1.5075645553519872</v>
      </c>
      <c r="V276" s="383">
        <f t="shared" si="118"/>
        <v>47.427898745374684</v>
      </c>
      <c r="W276" s="58"/>
      <c r="X276" s="157">
        <f t="shared" si="119"/>
        <v>43362</v>
      </c>
      <c r="Y276" s="385">
        <f t="shared" si="120"/>
        <v>36.292999999999999</v>
      </c>
      <c r="Z276" s="385">
        <f t="shared" si="121"/>
        <v>36.387718692709313</v>
      </c>
      <c r="AA276" s="386">
        <f t="shared" si="122"/>
        <v>36.944395661416578</v>
      </c>
      <c r="AB276" s="197">
        <f t="shared" si="123"/>
        <v>43362</v>
      </c>
      <c r="AC276" s="427">
        <f t="shared" si="124"/>
        <v>1.5067967921549639E-2</v>
      </c>
      <c r="AD276" s="169">
        <f>(INDEX(Models!$BJ276:$BT276,,AH276)*(1-AF276)+INDEX(Models!$BJ276:$BT276,,AH276+1)*AF276-ERP_i)*AE276*Ramure*Pc/MaxiM</f>
        <v>8.8615782620483466E-5</v>
      </c>
      <c r="AE276" s="305">
        <f t="shared" si="125"/>
        <v>0.7</v>
      </c>
      <c r="AF276" s="177">
        <f t="shared" si="126"/>
        <v>0.49243544464801281</v>
      </c>
      <c r="AG276" s="921">
        <f t="shared" si="127"/>
        <v>-2</v>
      </c>
      <c r="AH276" s="176">
        <f t="shared" si="128"/>
        <v>4</v>
      </c>
      <c r="AI276" s="225">
        <f t="shared" si="129"/>
        <v>-1.5075645553519872</v>
      </c>
      <c r="AJ276" s="265" t="b">
        <f t="shared" si="130"/>
        <v>0</v>
      </c>
      <c r="AK276" s="265" t="b">
        <f t="shared" si="131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33"/>
        <v>43363</v>
      </c>
      <c r="B277" s="620">
        <v>45.975999999999999</v>
      </c>
      <c r="C277" s="390"/>
      <c r="D277" s="393">
        <f t="shared" si="109"/>
        <v>46.096999354546256</v>
      </c>
      <c r="E277" s="385">
        <f t="shared" si="106"/>
        <v>46.807735881403055</v>
      </c>
      <c r="F277" s="385">
        <f t="shared" si="108"/>
        <v>46.811903999404414</v>
      </c>
      <c r="G277" s="110">
        <f t="shared" si="107"/>
        <v>0.97326731485466234</v>
      </c>
      <c r="I277" s="380">
        <f t="shared" si="110"/>
        <v>46.811903999404414</v>
      </c>
      <c r="J277" s="85">
        <v>2018</v>
      </c>
      <c r="K277" s="197">
        <f t="shared" si="111"/>
        <v>43363</v>
      </c>
      <c r="L277" s="438">
        <f t="shared" si="112"/>
        <v>2.6248857027680872E-3</v>
      </c>
      <c r="M277" s="970"/>
      <c r="N277" s="970"/>
      <c r="O277" s="324">
        <f t="shared" si="113"/>
        <v>1.5184168032771199E-2</v>
      </c>
      <c r="P277" s="169">
        <f>(INDEX(Models!$BJ277:$BT277,,T277)*(1-R277)+INDEX(Models!$BJ277:$BT277,,T277+1)*R277-ERP_i)*Q277*Ramure*Pc/MaxiM</f>
        <v>9.2574630887104519E-5</v>
      </c>
      <c r="Q277" s="305">
        <f t="shared" si="114"/>
        <v>0.7</v>
      </c>
      <c r="R277" s="177">
        <f t="shared" si="115"/>
        <v>0.49274354909307161</v>
      </c>
      <c r="S277" s="921">
        <f t="shared" si="132"/>
        <v>-2</v>
      </c>
      <c r="T277" s="176">
        <f t="shared" si="116"/>
        <v>4</v>
      </c>
      <c r="U277" s="251">
        <f t="shared" si="117"/>
        <v>-1.5072564509069284</v>
      </c>
      <c r="V277" s="383">
        <f t="shared" si="118"/>
        <v>47.238653514755818</v>
      </c>
      <c r="W277" s="58"/>
      <c r="X277" s="157">
        <f t="shared" si="119"/>
        <v>43363</v>
      </c>
      <c r="Y277" s="385">
        <f t="shared" si="120"/>
        <v>45.975999999999999</v>
      </c>
      <c r="Z277" s="385">
        <f t="shared" si="121"/>
        <v>46.096999354546256</v>
      </c>
      <c r="AA277" s="386">
        <f t="shared" si="122"/>
        <v>46.807735881403055</v>
      </c>
      <c r="AB277" s="197">
        <f t="shared" si="123"/>
        <v>43363</v>
      </c>
      <c r="AC277" s="427">
        <f t="shared" si="124"/>
        <v>1.5184168032771199E-2</v>
      </c>
      <c r="AD277" s="169">
        <f>(INDEX(Models!$BJ277:$BT277,,AH277)*(1-AF277)+INDEX(Models!$BJ277:$BT277,,AH277+1)*AF277-ERP_i)*AE277*Ramure*Pc/MaxiM</f>
        <v>9.2574630887104519E-5</v>
      </c>
      <c r="AE277" s="305">
        <f t="shared" si="125"/>
        <v>0.7</v>
      </c>
      <c r="AF277" s="177">
        <f t="shared" si="126"/>
        <v>0.49274354909307161</v>
      </c>
      <c r="AG277" s="921">
        <f t="shared" si="127"/>
        <v>-2</v>
      </c>
      <c r="AH277" s="176">
        <f t="shared" si="128"/>
        <v>4</v>
      </c>
      <c r="AI277" s="225">
        <f t="shared" si="129"/>
        <v>-1.5072564509069284</v>
      </c>
      <c r="AJ277" s="265" t="b">
        <f t="shared" si="130"/>
        <v>0</v>
      </c>
      <c r="AK277" s="265" t="b">
        <f t="shared" si="131"/>
        <v>0</v>
      </c>
      <c r="AL277" s="265"/>
      <c r="AM277" s="265"/>
      <c r="AN277" s="75"/>
    </row>
    <row r="278" spans="1:40" s="6" customFormat="1" ht="11.25" x14ac:dyDescent="0.2">
      <c r="A278" s="56">
        <f t="shared" si="133"/>
        <v>43364</v>
      </c>
      <c r="B278" s="620">
        <v>33.662999999999997</v>
      </c>
      <c r="C278" s="390"/>
      <c r="D278" s="393">
        <f t="shared" si="109"/>
        <v>33.752333339460868</v>
      </c>
      <c r="E278" s="385">
        <f t="shared" si="106"/>
        <v>34.276769624464322</v>
      </c>
      <c r="F278" s="385">
        <f t="shared" si="108"/>
        <v>34.278741985006434</v>
      </c>
      <c r="G278" s="110">
        <f t="shared" si="107"/>
        <v>0.71551358279538479</v>
      </c>
      <c r="I278" s="380">
        <f t="shared" si="110"/>
        <v>34.278741985006434</v>
      </c>
      <c r="J278" s="85">
        <v>2018</v>
      </c>
      <c r="K278" s="197">
        <f t="shared" si="111"/>
        <v>43364</v>
      </c>
      <c r="L278" s="438">
        <f t="shared" si="112"/>
        <v>2.6467307774669102E-3</v>
      </c>
      <c r="M278" s="970"/>
      <c r="N278" s="970"/>
      <c r="O278" s="324">
        <f t="shared" si="113"/>
        <v>1.5300049880696647E-2</v>
      </c>
      <c r="P278" s="169">
        <f>(INDEX(Models!$BJ278:$BT278,,T278)*(1-R278)+INDEX(Models!$BJ278:$BT278,,T278+1)*R278-ERP_i)*Q278*Ramure*Pc/MaxiM</f>
        <v>9.6927003580992764E-5</v>
      </c>
      <c r="Q278" s="305">
        <f t="shared" si="114"/>
        <v>0.7</v>
      </c>
      <c r="R278" s="177">
        <f t="shared" si="115"/>
        <v>0.49303961066565938</v>
      </c>
      <c r="S278" s="921">
        <f t="shared" si="132"/>
        <v>-2</v>
      </c>
      <c r="T278" s="176">
        <f t="shared" si="116"/>
        <v>4</v>
      </c>
      <c r="U278" s="251">
        <f t="shared" si="117"/>
        <v>-1.5069603893343406</v>
      </c>
      <c r="V278" s="383">
        <f t="shared" si="118"/>
        <v>47.045471687494086</v>
      </c>
      <c r="W278" s="58"/>
      <c r="X278" s="157">
        <f t="shared" si="119"/>
        <v>43364</v>
      </c>
      <c r="Y278" s="385">
        <f t="shared" si="120"/>
        <v>33.662999999999997</v>
      </c>
      <c r="Z278" s="385">
        <f t="shared" si="121"/>
        <v>33.752333339460868</v>
      </c>
      <c r="AA278" s="386">
        <f t="shared" si="122"/>
        <v>34.276769624464322</v>
      </c>
      <c r="AB278" s="197">
        <f t="shared" si="123"/>
        <v>43364</v>
      </c>
      <c r="AC278" s="427">
        <f t="shared" si="124"/>
        <v>1.5300049880696647E-2</v>
      </c>
      <c r="AD278" s="169">
        <f>(INDEX(Models!$BJ278:$BT278,,AH278)*(1-AF278)+INDEX(Models!$BJ278:$BT278,,AH278+1)*AF278-ERP_i)*AE278*Ramure*Pc/MaxiM</f>
        <v>9.6927003580992764E-5</v>
      </c>
      <c r="AE278" s="305">
        <f t="shared" si="125"/>
        <v>0.7</v>
      </c>
      <c r="AF278" s="177">
        <f t="shared" si="126"/>
        <v>0.49303961066565938</v>
      </c>
      <c r="AG278" s="921">
        <f t="shared" si="127"/>
        <v>-2</v>
      </c>
      <c r="AH278" s="176">
        <f t="shared" si="128"/>
        <v>4</v>
      </c>
      <c r="AI278" s="225">
        <f t="shared" si="129"/>
        <v>-1.5069603893343406</v>
      </c>
      <c r="AJ278" s="265" t="b">
        <f t="shared" si="130"/>
        <v>0</v>
      </c>
      <c r="AK278" s="265" t="b">
        <f t="shared" si="131"/>
        <v>0</v>
      </c>
      <c r="AL278" s="265"/>
      <c r="AM278" s="265"/>
      <c r="AN278" s="75"/>
    </row>
    <row r="279" spans="1:40" s="6" customFormat="1" ht="11.25" x14ac:dyDescent="0.2">
      <c r="A279" s="56">
        <f t="shared" si="133"/>
        <v>43365</v>
      </c>
      <c r="B279" s="620">
        <v>44.999000000000002</v>
      </c>
      <c r="C279" s="390"/>
      <c r="D279" s="393">
        <f t="shared" si="109"/>
        <v>45.119404531809714</v>
      </c>
      <c r="E279" s="385">
        <f t="shared" si="106"/>
        <v>45.825837537526908</v>
      </c>
      <c r="F279" s="385">
        <f t="shared" si="108"/>
        <v>45.830234564690414</v>
      </c>
      <c r="G279" s="110">
        <f t="shared" si="107"/>
        <v>0.96051768799876225</v>
      </c>
      <c r="I279" s="380">
        <f t="shared" si="110"/>
        <v>45.830234564690414</v>
      </c>
      <c r="J279" s="85">
        <v>2018</v>
      </c>
      <c r="K279" s="197">
        <f t="shared" si="111"/>
        <v>43365</v>
      </c>
      <c r="L279" s="438">
        <f t="shared" si="112"/>
        <v>2.6685753737025752E-3</v>
      </c>
      <c r="M279" s="970"/>
      <c r="N279" s="970"/>
      <c r="O279" s="324">
        <f t="shared" si="113"/>
        <v>1.5415604900591221E-2</v>
      </c>
      <c r="P279" s="169">
        <f>(INDEX(Models!$BJ279:$BT279,,T279)*(1-R279)+INDEX(Models!$BJ279:$BT279,,T279+1)*R279-ERP_i)*Q279*Ramure*Pc/MaxiM</f>
        <v>1.0167566810681616E-4</v>
      </c>
      <c r="Q279" s="305">
        <f t="shared" si="114"/>
        <v>0.7</v>
      </c>
      <c r="R279" s="177">
        <f t="shared" si="115"/>
        <v>0.49332408626046931</v>
      </c>
      <c r="S279" s="921">
        <f t="shared" si="132"/>
        <v>-2</v>
      </c>
      <c r="T279" s="176">
        <f t="shared" si="116"/>
        <v>4</v>
      </c>
      <c r="U279" s="251">
        <f t="shared" si="117"/>
        <v>-1.5066759137395307</v>
      </c>
      <c r="V279" s="383">
        <f t="shared" si="118"/>
        <v>46.848426126099511</v>
      </c>
      <c r="W279" s="58"/>
      <c r="X279" s="157">
        <f t="shared" si="119"/>
        <v>43365</v>
      </c>
      <c r="Y279" s="385">
        <f t="shared" si="120"/>
        <v>44.999000000000002</v>
      </c>
      <c r="Z279" s="385">
        <f t="shared" si="121"/>
        <v>45.119404531809714</v>
      </c>
      <c r="AA279" s="386">
        <f t="shared" si="122"/>
        <v>45.825837537526908</v>
      </c>
      <c r="AB279" s="197">
        <f t="shared" si="123"/>
        <v>43365</v>
      </c>
      <c r="AC279" s="427">
        <f t="shared" si="124"/>
        <v>1.5415604900591221E-2</v>
      </c>
      <c r="AD279" s="169">
        <f>(INDEX(Models!$BJ279:$BT279,,AH279)*(1-AF279)+INDEX(Models!$BJ279:$BT279,,AH279+1)*AF279-ERP_i)*AE279*Ramure*Pc/MaxiM</f>
        <v>1.0167566810681616E-4</v>
      </c>
      <c r="AE279" s="305">
        <f t="shared" si="125"/>
        <v>0.7</v>
      </c>
      <c r="AF279" s="177">
        <f t="shared" si="126"/>
        <v>0.49332408626046931</v>
      </c>
      <c r="AG279" s="921">
        <f t="shared" si="127"/>
        <v>-2</v>
      </c>
      <c r="AH279" s="176">
        <f t="shared" si="128"/>
        <v>4</v>
      </c>
      <c r="AI279" s="225">
        <f t="shared" si="129"/>
        <v>-1.5066759137395307</v>
      </c>
      <c r="AJ279" s="265" t="b">
        <f t="shared" si="130"/>
        <v>0</v>
      </c>
      <c r="AK279" s="265" t="b">
        <f t="shared" si="131"/>
        <v>0</v>
      </c>
      <c r="AL279" s="265"/>
      <c r="AM279" s="265"/>
      <c r="AN279" s="75"/>
    </row>
    <row r="280" spans="1:40" s="6" customFormat="1" ht="11.25" x14ac:dyDescent="0.2">
      <c r="A280" s="56">
        <f t="shared" si="133"/>
        <v>43366</v>
      </c>
      <c r="B280" s="620">
        <v>45.396999999999998</v>
      </c>
      <c r="C280" s="390"/>
      <c r="D280" s="393">
        <f t="shared" si="109"/>
        <v>45.519466459805479</v>
      </c>
      <c r="E280" s="385">
        <f t="shared" si="106"/>
        <v>46.237574102764746</v>
      </c>
      <c r="F280" s="385">
        <f t="shared" si="108"/>
        <v>46.242324699542912</v>
      </c>
      <c r="G280" s="110">
        <f t="shared" si="107"/>
        <v>0.97318670937170504</v>
      </c>
      <c r="I280" s="380">
        <f t="shared" si="110"/>
        <v>46.242324699542912</v>
      </c>
      <c r="J280" s="85">
        <v>2018</v>
      </c>
      <c r="K280" s="197">
        <f t="shared" si="111"/>
        <v>43366</v>
      </c>
      <c r="L280" s="438">
        <f t="shared" si="112"/>
        <v>2.6904194914855184E-3</v>
      </c>
      <c r="M280" s="970"/>
      <c r="N280" s="970"/>
      <c r="O280" s="324">
        <f t="shared" si="113"/>
        <v>1.5530824375933944E-2</v>
      </c>
      <c r="P280" s="169">
        <f>(INDEX(Models!$BJ280:$BT280,,T280)*(1-R280)+INDEX(Models!$BJ280:$BT280,,T280+1)*R280-ERP_i)*Q280*Ramure*Pc/MaxiM</f>
        <v>1.0682390479974131E-4</v>
      </c>
      <c r="Q280" s="305">
        <f t="shared" si="114"/>
        <v>0.7</v>
      </c>
      <c r="R280" s="177">
        <f t="shared" si="115"/>
        <v>0.49359741651603461</v>
      </c>
      <c r="S280" s="921">
        <f t="shared" si="132"/>
        <v>-2</v>
      </c>
      <c r="T280" s="176">
        <f t="shared" si="116"/>
        <v>4</v>
      </c>
      <c r="U280" s="251">
        <f t="shared" si="117"/>
        <v>-1.5064025834839654</v>
      </c>
      <c r="V280" s="383">
        <f t="shared" si="118"/>
        <v>46.647589628250635</v>
      </c>
      <c r="W280" s="58"/>
      <c r="X280" s="157">
        <f t="shared" si="119"/>
        <v>43366</v>
      </c>
      <c r="Y280" s="385">
        <f t="shared" si="120"/>
        <v>45.396999999999998</v>
      </c>
      <c r="Z280" s="385">
        <f t="shared" si="121"/>
        <v>45.519466459805479</v>
      </c>
      <c r="AA280" s="386">
        <f t="shared" si="122"/>
        <v>46.237574102764746</v>
      </c>
      <c r="AB280" s="197">
        <f t="shared" si="123"/>
        <v>43366</v>
      </c>
      <c r="AC280" s="427">
        <f t="shared" si="124"/>
        <v>1.5530824375933944E-2</v>
      </c>
      <c r="AD280" s="169">
        <f>(INDEX(Models!$BJ280:$BT280,,AH280)*(1-AF280)+INDEX(Models!$BJ280:$BT280,,AH280+1)*AF280-ERP_i)*AE280*Ramure*Pc/MaxiM</f>
        <v>1.0682390479974131E-4</v>
      </c>
      <c r="AE280" s="305">
        <f t="shared" si="125"/>
        <v>0.7</v>
      </c>
      <c r="AF280" s="177">
        <f t="shared" si="126"/>
        <v>0.49359741651603461</v>
      </c>
      <c r="AG280" s="921">
        <f t="shared" si="127"/>
        <v>-2</v>
      </c>
      <c r="AH280" s="176">
        <f t="shared" si="128"/>
        <v>4</v>
      </c>
      <c r="AI280" s="225">
        <f t="shared" si="129"/>
        <v>-1.5064025834839654</v>
      </c>
      <c r="AJ280" s="265" t="b">
        <f t="shared" si="130"/>
        <v>0</v>
      </c>
      <c r="AK280" s="265" t="b">
        <f t="shared" si="131"/>
        <v>0</v>
      </c>
      <c r="AL280" s="265"/>
      <c r="AM280" s="265"/>
      <c r="AN280" s="75"/>
    </row>
    <row r="281" spans="1:40" s="6" customFormat="1" ht="11.25" x14ac:dyDescent="0.2">
      <c r="A281" s="56">
        <f t="shared" si="133"/>
        <v>43367</v>
      </c>
      <c r="B281" s="620">
        <v>33.628</v>
      </c>
      <c r="C281" s="390"/>
      <c r="D281" s="393">
        <f t="shared" si="109"/>
        <v>33.719456037401763</v>
      </c>
      <c r="E281" s="385">
        <f t="shared" si="106"/>
        <v>34.255405822077385</v>
      </c>
      <c r="F281" s="385">
        <f t="shared" si="108"/>
        <v>34.2577380271441</v>
      </c>
      <c r="G281" s="110">
        <f t="shared" si="107"/>
        <v>0.72403774463940951</v>
      </c>
      <c r="I281" s="380">
        <f t="shared" si="110"/>
        <v>34.2577380271441</v>
      </c>
      <c r="J281" s="85">
        <v>2018</v>
      </c>
      <c r="K281" s="197">
        <f t="shared" si="111"/>
        <v>43367</v>
      </c>
      <c r="L281" s="438">
        <f t="shared" si="112"/>
        <v>2.7122631308262868E-3</v>
      </c>
      <c r="M281" s="970"/>
      <c r="N281" s="970"/>
      <c r="O281" s="324">
        <f t="shared" si="113"/>
        <v>1.5645699468847345E-2</v>
      </c>
      <c r="P281" s="169">
        <f>(INDEX(Models!$BJ281:$BT281,,T281)*(1-R281)+INDEX(Models!$BJ281:$BT281,,T281+1)*R281-ERP_i)*Q281*Ramure*Pc/MaxiM</f>
        <v>1.1237474624711897E-4</v>
      </c>
      <c r="Q281" s="305">
        <f t="shared" si="114"/>
        <v>0.7</v>
      </c>
      <c r="R281" s="177">
        <f t="shared" si="115"/>
        <v>0.49386002630817072</v>
      </c>
      <c r="S281" s="921">
        <f t="shared" si="132"/>
        <v>-2</v>
      </c>
      <c r="T281" s="176">
        <f t="shared" si="116"/>
        <v>4</v>
      </c>
      <c r="U281" s="251">
        <f t="shared" si="117"/>
        <v>-1.5061399736918293</v>
      </c>
      <c r="V281" s="383">
        <f t="shared" si="118"/>
        <v>46.443034970504684</v>
      </c>
      <c r="W281" s="58"/>
      <c r="X281" s="157">
        <f t="shared" si="119"/>
        <v>43367</v>
      </c>
      <c r="Y281" s="385">
        <f t="shared" si="120"/>
        <v>33.628</v>
      </c>
      <c r="Z281" s="385">
        <f t="shared" si="121"/>
        <v>33.719456037401763</v>
      </c>
      <c r="AA281" s="386">
        <f t="shared" si="122"/>
        <v>34.255405822077385</v>
      </c>
      <c r="AB281" s="197">
        <f t="shared" si="123"/>
        <v>43367</v>
      </c>
      <c r="AC281" s="427">
        <f t="shared" si="124"/>
        <v>1.5645699468847345E-2</v>
      </c>
      <c r="AD281" s="169">
        <f>(INDEX(Models!$BJ281:$BT281,,AH281)*(1-AF281)+INDEX(Models!$BJ281:$BT281,,AH281+1)*AF281-ERP_i)*AE281*Ramure*Pc/MaxiM</f>
        <v>1.1237474624711897E-4</v>
      </c>
      <c r="AE281" s="305">
        <f t="shared" si="125"/>
        <v>0.7</v>
      </c>
      <c r="AF281" s="177">
        <f t="shared" si="126"/>
        <v>0.49386002630817072</v>
      </c>
      <c r="AG281" s="921">
        <f t="shared" si="127"/>
        <v>-2</v>
      </c>
      <c r="AH281" s="176">
        <f t="shared" si="128"/>
        <v>4</v>
      </c>
      <c r="AI281" s="225">
        <f t="shared" si="129"/>
        <v>-1.5061399736918293</v>
      </c>
      <c r="AJ281" s="265" t="b">
        <f t="shared" si="130"/>
        <v>0</v>
      </c>
      <c r="AK281" s="265" t="b">
        <f t="shared" si="131"/>
        <v>0</v>
      </c>
      <c r="AL281" s="265"/>
      <c r="AM281" s="265"/>
      <c r="AN281" s="75"/>
    </row>
    <row r="282" spans="1:40" s="6" customFormat="1" ht="11.25" x14ac:dyDescent="0.2">
      <c r="A282" s="56">
        <f t="shared" si="133"/>
        <v>43368</v>
      </c>
      <c r="B282" s="620">
        <v>48.006</v>
      </c>
      <c r="C282" s="390"/>
      <c r="D282" s="393">
        <f t="shared" si="109"/>
        <v>48.137613351533545</v>
      </c>
      <c r="E282" s="385">
        <f t="shared" si="106"/>
        <v>48.908420885893158</v>
      </c>
      <c r="F282" s="385">
        <f t="shared" si="108"/>
        <v>48.914209724554347</v>
      </c>
      <c r="G282" s="110">
        <f t="shared" si="107"/>
        <v>1.0383080390468189</v>
      </c>
      <c r="I282" s="380">
        <f t="shared" si="110"/>
        <v>48.914209724554347</v>
      </c>
      <c r="J282" s="85">
        <v>2018</v>
      </c>
      <c r="K282" s="197">
        <f t="shared" si="111"/>
        <v>43368</v>
      </c>
      <c r="L282" s="438">
        <f t="shared" si="112"/>
        <v>2.7341062917352055E-3</v>
      </c>
      <c r="M282" s="970"/>
      <c r="N282" s="970"/>
      <c r="O282" s="324">
        <f t="shared" si="113"/>
        <v>1.5760221254289955E-2</v>
      </c>
      <c r="P282" s="169">
        <f>(INDEX(Models!$BJ282:$BT282,,T282)*(1-R282)+INDEX(Models!$BJ282:$BT282,,T282+1)*R282-ERP_i)*Q282*Ramure*Pc/MaxiM</f>
        <v>1.1834676863412917E-4</v>
      </c>
      <c r="Q282" s="305">
        <f t="shared" si="114"/>
        <v>0.7</v>
      </c>
      <c r="R282" s="177">
        <f t="shared" si="115"/>
        <v>0.49411232523538895</v>
      </c>
      <c r="S282" s="921">
        <f t="shared" si="132"/>
        <v>-2</v>
      </c>
      <c r="T282" s="176">
        <f t="shared" si="116"/>
        <v>4</v>
      </c>
      <c r="U282" s="251">
        <f t="shared" si="117"/>
        <v>-1.5058876747646111</v>
      </c>
      <c r="V282" s="383">
        <f t="shared" si="118"/>
        <v>46.234834167392336</v>
      </c>
      <c r="W282" s="58"/>
      <c r="X282" s="157">
        <f t="shared" si="119"/>
        <v>43368</v>
      </c>
      <c r="Y282" s="385">
        <f t="shared" si="120"/>
        <v>48.006</v>
      </c>
      <c r="Z282" s="385">
        <f t="shared" si="121"/>
        <v>48.137613351533545</v>
      </c>
      <c r="AA282" s="386">
        <f t="shared" si="122"/>
        <v>48.908420885893158</v>
      </c>
      <c r="AB282" s="197">
        <f t="shared" si="123"/>
        <v>43368</v>
      </c>
      <c r="AC282" s="427">
        <f t="shared" si="124"/>
        <v>1.5760221254289955E-2</v>
      </c>
      <c r="AD282" s="169">
        <f>(INDEX(Models!$BJ282:$BT282,,AH282)*(1-AF282)+INDEX(Models!$BJ282:$BT282,,AH282+1)*AF282-ERP_i)*AE282*Ramure*Pc/MaxiM</f>
        <v>1.1834676863412917E-4</v>
      </c>
      <c r="AE282" s="305">
        <f t="shared" si="125"/>
        <v>0.7</v>
      </c>
      <c r="AF282" s="177">
        <f t="shared" si="126"/>
        <v>0.49411232523538895</v>
      </c>
      <c r="AG282" s="921">
        <f t="shared" si="127"/>
        <v>-2</v>
      </c>
      <c r="AH282" s="176">
        <f t="shared" si="128"/>
        <v>4</v>
      </c>
      <c r="AI282" s="225">
        <f t="shared" si="129"/>
        <v>-1.5058876747646111</v>
      </c>
      <c r="AJ282" s="265" t="b">
        <f t="shared" si="130"/>
        <v>0</v>
      </c>
      <c r="AK282" s="265" t="b">
        <f t="shared" si="131"/>
        <v>0</v>
      </c>
      <c r="AL282" s="265"/>
      <c r="AM282" s="265"/>
      <c r="AN282" s="75"/>
    </row>
    <row r="283" spans="1:40" s="6" customFormat="1" ht="11.25" x14ac:dyDescent="0.2">
      <c r="A283" s="56">
        <f t="shared" si="133"/>
        <v>43369</v>
      </c>
      <c r="B283" s="620">
        <v>47.082000000000001</v>
      </c>
      <c r="C283" s="390"/>
      <c r="D283" s="393">
        <f t="shared" si="109"/>
        <v>47.212114177638753</v>
      </c>
      <c r="E283" s="385">
        <f t="shared" si="106"/>
        <v>47.973666424821779</v>
      </c>
      <c r="F283" s="385">
        <f t="shared" si="108"/>
        <v>47.979649608380406</v>
      </c>
      <c r="G283" s="110">
        <f t="shared" si="107"/>
        <v>1.0230088607180976</v>
      </c>
      <c r="I283" s="380">
        <f t="shared" si="110"/>
        <v>47.979649608380406</v>
      </c>
      <c r="J283" s="85">
        <v>2018</v>
      </c>
      <c r="K283" s="197">
        <f t="shared" si="111"/>
        <v>43369</v>
      </c>
      <c r="L283" s="438">
        <f t="shared" si="112"/>
        <v>2.7559489742228216E-3</v>
      </c>
      <c r="M283" s="970"/>
      <c r="N283" s="970"/>
      <c r="O283" s="324">
        <f t="shared" si="113"/>
        <v>1.5874380757960858E-2</v>
      </c>
      <c r="P283" s="169">
        <f>(INDEX(Models!$BJ283:$BT283,,T283)*(1-R283)+INDEX(Models!$BJ283:$BT283,,T283+1)*R283-ERP_i)*Q283*Ramure*Pc/MaxiM</f>
        <v>1.2470252716449752E-4</v>
      </c>
      <c r="Q283" s="305">
        <f t="shared" si="114"/>
        <v>0.7</v>
      </c>
      <c r="R283" s="177">
        <f t="shared" si="115"/>
        <v>0.49435470809576687</v>
      </c>
      <c r="S283" s="921">
        <f t="shared" si="132"/>
        <v>-2</v>
      </c>
      <c r="T283" s="176">
        <f t="shared" si="116"/>
        <v>4</v>
      </c>
      <c r="U283" s="251">
        <f t="shared" si="117"/>
        <v>-1.5056452919042331</v>
      </c>
      <c r="V283" s="383">
        <f t="shared" si="118"/>
        <v>46.023061781645708</v>
      </c>
      <c r="W283" s="58"/>
      <c r="X283" s="157">
        <f t="shared" si="119"/>
        <v>43369</v>
      </c>
      <c r="Y283" s="385">
        <f t="shared" si="120"/>
        <v>47.082000000000001</v>
      </c>
      <c r="Z283" s="385">
        <f t="shared" si="121"/>
        <v>47.212114177638753</v>
      </c>
      <c r="AA283" s="386">
        <f t="shared" si="122"/>
        <v>47.973666424821779</v>
      </c>
      <c r="AB283" s="197">
        <f t="shared" si="123"/>
        <v>43369</v>
      </c>
      <c r="AC283" s="427">
        <f t="shared" si="124"/>
        <v>1.5874380757960858E-2</v>
      </c>
      <c r="AD283" s="169">
        <f>(INDEX(Models!$BJ283:$BT283,,AH283)*(1-AF283)+INDEX(Models!$BJ283:$BT283,,AH283+1)*AF283-ERP_i)*AE283*Ramure*Pc/MaxiM</f>
        <v>1.2470252716449752E-4</v>
      </c>
      <c r="AE283" s="305">
        <f t="shared" si="125"/>
        <v>0.7</v>
      </c>
      <c r="AF283" s="177">
        <f t="shared" si="126"/>
        <v>0.49435470809576687</v>
      </c>
      <c r="AG283" s="921">
        <f t="shared" si="127"/>
        <v>-2</v>
      </c>
      <c r="AH283" s="176">
        <f t="shared" si="128"/>
        <v>4</v>
      </c>
      <c r="AI283" s="225">
        <f t="shared" si="129"/>
        <v>-1.5056452919042331</v>
      </c>
      <c r="AJ283" s="265" t="b">
        <f t="shared" si="130"/>
        <v>0</v>
      </c>
      <c r="AK283" s="265" t="b">
        <f t="shared" si="131"/>
        <v>0</v>
      </c>
      <c r="AL283" s="265"/>
      <c r="AM283" s="265"/>
      <c r="AN283" s="75"/>
    </row>
    <row r="284" spans="1:40" s="6" customFormat="1" ht="11.25" x14ac:dyDescent="0.2">
      <c r="A284" s="56">
        <f t="shared" si="133"/>
        <v>43370</v>
      </c>
      <c r="B284" s="620">
        <v>46.103000000000002</v>
      </c>
      <c r="C284" s="390"/>
      <c r="D284" s="393">
        <f t="shared" si="109"/>
        <v>46.231421234064243</v>
      </c>
      <c r="E284" s="385">
        <f t="shared" si="106"/>
        <v>46.982586771318942</v>
      </c>
      <c r="F284" s="385">
        <f t="shared" si="108"/>
        <v>46.988763169188566</v>
      </c>
      <c r="G284" s="110">
        <f t="shared" si="107"/>
        <v>1.0064445263653861</v>
      </c>
      <c r="I284" s="380">
        <f t="shared" si="110"/>
        <v>46.988763169188566</v>
      </c>
      <c r="J284" s="85">
        <v>2018</v>
      </c>
      <c r="K284" s="197">
        <f t="shared" si="111"/>
        <v>43370</v>
      </c>
      <c r="L284" s="438">
        <f t="shared" si="112"/>
        <v>2.7777911782996823E-3</v>
      </c>
      <c r="M284" s="970"/>
      <c r="N284" s="970"/>
      <c r="O284" s="324">
        <f t="shared" si="113"/>
        <v>1.5988168997822426E-2</v>
      </c>
      <c r="P284" s="169">
        <f>(INDEX(Models!$BJ284:$BT284,,T284)*(1-R284)+INDEX(Models!$BJ284:$BT284,,T284+1)*R284-ERP_i)*Q284*Ramure*Pc/MaxiM</f>
        <v>1.3144414649491259E-4</v>
      </c>
      <c r="Q284" s="305">
        <f t="shared" si="114"/>
        <v>0.7</v>
      </c>
      <c r="R284" s="177">
        <f t="shared" si="115"/>
        <v>0.49458755535483623</v>
      </c>
      <c r="S284" s="921">
        <f t="shared" si="132"/>
        <v>-2</v>
      </c>
      <c r="T284" s="176">
        <f t="shared" si="116"/>
        <v>4</v>
      </c>
      <c r="U284" s="251">
        <f t="shared" si="117"/>
        <v>-1.5054124446451638</v>
      </c>
      <c r="V284" s="383">
        <f t="shared" si="118"/>
        <v>45.807790486469862</v>
      </c>
      <c r="W284" s="58"/>
      <c r="X284" s="157">
        <f t="shared" si="119"/>
        <v>43370</v>
      </c>
      <c r="Y284" s="385">
        <f t="shared" si="120"/>
        <v>46.103000000000002</v>
      </c>
      <c r="Z284" s="385">
        <f t="shared" si="121"/>
        <v>46.231421234064243</v>
      </c>
      <c r="AA284" s="386">
        <f t="shared" si="122"/>
        <v>46.982586771318942</v>
      </c>
      <c r="AB284" s="197">
        <f t="shared" si="123"/>
        <v>43370</v>
      </c>
      <c r="AC284" s="427">
        <f t="shared" si="124"/>
        <v>1.5988168997822426E-2</v>
      </c>
      <c r="AD284" s="169">
        <f>(INDEX(Models!$BJ284:$BT284,,AH284)*(1-AF284)+INDEX(Models!$BJ284:$BT284,,AH284+1)*AF284-ERP_i)*AE284*Ramure*Pc/MaxiM</f>
        <v>1.3144414649491259E-4</v>
      </c>
      <c r="AE284" s="305">
        <f t="shared" si="125"/>
        <v>0.7</v>
      </c>
      <c r="AF284" s="177">
        <f t="shared" si="126"/>
        <v>0.49458755535483623</v>
      </c>
      <c r="AG284" s="921">
        <f t="shared" si="127"/>
        <v>-2</v>
      </c>
      <c r="AH284" s="176">
        <f t="shared" si="128"/>
        <v>4</v>
      </c>
      <c r="AI284" s="225">
        <f t="shared" si="129"/>
        <v>-1.5054124446451638</v>
      </c>
      <c r="AJ284" s="265" t="b">
        <f t="shared" si="130"/>
        <v>0</v>
      </c>
      <c r="AK284" s="265" t="b">
        <f t="shared" si="131"/>
        <v>0</v>
      </c>
      <c r="AL284" s="265"/>
      <c r="AM284" s="265"/>
      <c r="AN284" s="75"/>
    </row>
    <row r="285" spans="1:40" s="6" customFormat="1" ht="11.25" x14ac:dyDescent="0.2">
      <c r="A285" s="56">
        <f t="shared" si="133"/>
        <v>43371</v>
      </c>
      <c r="B285" s="620">
        <v>43.301000000000002</v>
      </c>
      <c r="C285" s="390"/>
      <c r="D285" s="393">
        <f t="shared" si="109"/>
        <v>43.422567248042739</v>
      </c>
      <c r="E285" s="385">
        <f t="shared" si="106"/>
        <v>44.133181062459307</v>
      </c>
      <c r="F285" s="385">
        <f t="shared" si="108"/>
        <v>44.138858996476266</v>
      </c>
      <c r="G285" s="110">
        <f t="shared" si="107"/>
        <v>0.94980108084566361</v>
      </c>
      <c r="I285" s="380">
        <f t="shared" si="110"/>
        <v>44.138858996476266</v>
      </c>
      <c r="J285" s="85">
        <v>2018</v>
      </c>
      <c r="K285" s="197">
        <f t="shared" si="111"/>
        <v>43371</v>
      </c>
      <c r="L285" s="438">
        <f t="shared" si="112"/>
        <v>2.7996329039762236E-3</v>
      </c>
      <c r="M285" s="970"/>
      <c r="N285" s="970"/>
      <c r="O285" s="324">
        <f t="shared" si="113"/>
        <v>1.6101577029103704E-2</v>
      </c>
      <c r="P285" s="169">
        <f>(INDEX(Models!$BJ285:$BT285,,T285)*(1-R285)+INDEX(Models!$BJ285:$BT285,,T285+1)*R285-ERP_i)*Q285*Ramure*Pc/MaxiM</f>
        <v>1.3857361340322867E-4</v>
      </c>
      <c r="Q285" s="305">
        <f t="shared" si="114"/>
        <v>0.7</v>
      </c>
      <c r="R285" s="177">
        <f t="shared" si="115"/>
        <v>0.49481123360412282</v>
      </c>
      <c r="S285" s="921">
        <f t="shared" si="132"/>
        <v>-2</v>
      </c>
      <c r="T285" s="176">
        <f t="shared" si="116"/>
        <v>4</v>
      </c>
      <c r="U285" s="251">
        <f t="shared" si="117"/>
        <v>-1.5051887663958772</v>
      </c>
      <c r="V285" s="383">
        <f t="shared" si="118"/>
        <v>45.589092911522343</v>
      </c>
      <c r="W285" s="58"/>
      <c r="X285" s="157">
        <f t="shared" si="119"/>
        <v>43371</v>
      </c>
      <c r="Y285" s="385">
        <f t="shared" si="120"/>
        <v>43.301000000000002</v>
      </c>
      <c r="Z285" s="385">
        <f t="shared" si="121"/>
        <v>43.422567248042739</v>
      </c>
      <c r="AA285" s="386">
        <f t="shared" si="122"/>
        <v>44.133181062459307</v>
      </c>
      <c r="AB285" s="197">
        <f t="shared" si="123"/>
        <v>43371</v>
      </c>
      <c r="AC285" s="427">
        <f t="shared" si="124"/>
        <v>1.6101577029103704E-2</v>
      </c>
      <c r="AD285" s="169">
        <f>(INDEX(Models!$BJ285:$BT285,,AH285)*(1-AF285)+INDEX(Models!$BJ285:$BT285,,AH285+1)*AF285-ERP_i)*AE285*Ramure*Pc/MaxiM</f>
        <v>1.3857361340322867E-4</v>
      </c>
      <c r="AE285" s="305">
        <f t="shared" si="125"/>
        <v>0.7</v>
      </c>
      <c r="AF285" s="177">
        <f t="shared" si="126"/>
        <v>0.49481123360412282</v>
      </c>
      <c r="AG285" s="921">
        <f t="shared" si="127"/>
        <v>-2</v>
      </c>
      <c r="AH285" s="176">
        <f t="shared" si="128"/>
        <v>4</v>
      </c>
      <c r="AI285" s="225">
        <f t="shared" si="129"/>
        <v>-1.5051887663958772</v>
      </c>
      <c r="AJ285" s="265" t="b">
        <f t="shared" si="130"/>
        <v>0</v>
      </c>
      <c r="AK285" s="265" t="b">
        <f t="shared" si="131"/>
        <v>0</v>
      </c>
      <c r="AL285" s="265"/>
      <c r="AM285" s="265"/>
      <c r="AN285" s="75"/>
    </row>
    <row r="286" spans="1:40" s="6" customFormat="1" ht="11.25" x14ac:dyDescent="0.2">
      <c r="A286" s="56">
        <f t="shared" si="133"/>
        <v>43372</v>
      </c>
      <c r="B286" s="620">
        <v>44.597999999999999</v>
      </c>
      <c r="C286" s="390"/>
      <c r="D286" s="393">
        <f t="shared" si="109"/>
        <v>44.724188140775418</v>
      </c>
      <c r="E286" s="385">
        <f t="shared" si="106"/>
        <v>45.461325161558484</v>
      </c>
      <c r="F286" s="385">
        <f t="shared" si="108"/>
        <v>45.467806820564945</v>
      </c>
      <c r="G286" s="110">
        <f t="shared" si="107"/>
        <v>0.98304497237688671</v>
      </c>
      <c r="I286" s="380">
        <f t="shared" si="110"/>
        <v>45.467806820564945</v>
      </c>
      <c r="J286" s="85">
        <v>2018</v>
      </c>
      <c r="K286" s="197">
        <f t="shared" si="111"/>
        <v>43372</v>
      </c>
      <c r="L286" s="438">
        <f t="shared" si="112"/>
        <v>2.8214741512629926E-3</v>
      </c>
      <c r="M286" s="970"/>
      <c r="N286" s="970"/>
      <c r="O286" s="324">
        <f t="shared" si="113"/>
        <v>1.6214595992603862E-2</v>
      </c>
      <c r="P286" s="169">
        <f>(INDEX(Models!$BJ286:$BT286,,T286)*(1-R286)+INDEX(Models!$BJ286:$BT286,,T286+1)*R286-ERP_i)*Q286*Ramure*Pc/MaxiM</f>
        <v>1.4609276297724026E-4</v>
      </c>
      <c r="Q286" s="305">
        <f t="shared" si="114"/>
        <v>0.7</v>
      </c>
      <c r="R286" s="177">
        <f t="shared" si="115"/>
        <v>0.495026096010033</v>
      </c>
      <c r="S286" s="921">
        <f t="shared" si="132"/>
        <v>-2</v>
      </c>
      <c r="T286" s="176">
        <f t="shared" si="116"/>
        <v>4</v>
      </c>
      <c r="U286" s="251">
        <f t="shared" si="117"/>
        <v>-1.504973903989967</v>
      </c>
      <c r="V286" s="383">
        <f t="shared" si="118"/>
        <v>45.367041640428845</v>
      </c>
      <c r="W286" s="58"/>
      <c r="X286" s="157">
        <f t="shared" si="119"/>
        <v>43372</v>
      </c>
      <c r="Y286" s="385">
        <f t="shared" si="120"/>
        <v>44.597999999999999</v>
      </c>
      <c r="Z286" s="385">
        <f t="shared" si="121"/>
        <v>44.724188140775418</v>
      </c>
      <c r="AA286" s="386">
        <f t="shared" si="122"/>
        <v>45.461325161558484</v>
      </c>
      <c r="AB286" s="197">
        <f t="shared" si="123"/>
        <v>43372</v>
      </c>
      <c r="AC286" s="427">
        <f t="shared" si="124"/>
        <v>1.6214595992603862E-2</v>
      </c>
      <c r="AD286" s="169">
        <f>(INDEX(Models!$BJ286:$BT286,,AH286)*(1-AF286)+INDEX(Models!$BJ286:$BT286,,AH286+1)*AF286-ERP_i)*AE286*Ramure*Pc/MaxiM</f>
        <v>1.4609276297724026E-4</v>
      </c>
      <c r="AE286" s="305">
        <f t="shared" si="125"/>
        <v>0.7</v>
      </c>
      <c r="AF286" s="177">
        <f t="shared" si="126"/>
        <v>0.495026096010033</v>
      </c>
      <c r="AG286" s="921">
        <f t="shared" si="127"/>
        <v>-2</v>
      </c>
      <c r="AH286" s="176">
        <f t="shared" si="128"/>
        <v>4</v>
      </c>
      <c r="AI286" s="225">
        <f t="shared" si="129"/>
        <v>-1.504973903989967</v>
      </c>
      <c r="AJ286" s="265" t="b">
        <f t="shared" si="130"/>
        <v>0</v>
      </c>
      <c r="AK286" s="265" t="b">
        <f t="shared" si="131"/>
        <v>0</v>
      </c>
      <c r="AL286" s="265"/>
      <c r="AM286" s="265"/>
      <c r="AN286" s="75"/>
    </row>
    <row r="287" spans="1:40" s="6" customFormat="1" ht="11.25" x14ac:dyDescent="0.2">
      <c r="A287" s="56">
        <f t="shared" si="133"/>
        <v>43373</v>
      </c>
      <c r="B287" s="620">
        <v>40.588999999999999</v>
      </c>
      <c r="C287" s="390"/>
      <c r="D287" s="393">
        <f t="shared" si="109"/>
        <v>40.704736384283024</v>
      </c>
      <c r="E287" s="385">
        <f t="shared" si="106"/>
        <v>41.380362550048417</v>
      </c>
      <c r="F287" s="385">
        <f t="shared" si="108"/>
        <v>41.385817820684117</v>
      </c>
      <c r="G287" s="110">
        <f t="shared" si="107"/>
        <v>0.89912632878845555</v>
      </c>
      <c r="I287" s="380">
        <f t="shared" si="110"/>
        <v>41.385817820684117</v>
      </c>
      <c r="J287" s="85">
        <v>2018</v>
      </c>
      <c r="K287" s="197">
        <f t="shared" si="111"/>
        <v>43373</v>
      </c>
      <c r="L287" s="438">
        <f t="shared" si="112"/>
        <v>2.8433149201702035E-3</v>
      </c>
      <c r="M287" s="970"/>
      <c r="N287" s="970"/>
      <c r="O287" s="324">
        <f t="shared" si="113"/>
        <v>1.6327217166071037E-2</v>
      </c>
      <c r="P287" s="169">
        <f>(INDEX(Models!$BJ287:$BT287,,T287)*(1-R287)+INDEX(Models!$BJ287:$BT287,,T287+1)*R287-ERP_i)*Q287*Ramure*Pc/MaxiM</f>
        <v>1.5400326577524249E-4</v>
      </c>
      <c r="Q287" s="305">
        <f t="shared" si="114"/>
        <v>0.7</v>
      </c>
      <c r="R287" s="177">
        <f t="shared" si="115"/>
        <v>0.49523248275284204</v>
      </c>
      <c r="S287" s="921">
        <f t="shared" si="132"/>
        <v>-2</v>
      </c>
      <c r="T287" s="176">
        <f t="shared" si="116"/>
        <v>4</v>
      </c>
      <c r="U287" s="251">
        <f t="shared" si="117"/>
        <v>-1.504767517247158</v>
      </c>
      <c r="V287" s="383">
        <f t="shared" si="118"/>
        <v>45.141709214011264</v>
      </c>
      <c r="W287" s="58"/>
      <c r="X287" s="157">
        <f t="shared" si="119"/>
        <v>43373</v>
      </c>
      <c r="Y287" s="385">
        <f t="shared" si="120"/>
        <v>40.588999999999999</v>
      </c>
      <c r="Z287" s="385">
        <f t="shared" si="121"/>
        <v>40.704736384283024</v>
      </c>
      <c r="AA287" s="386">
        <f t="shared" si="122"/>
        <v>41.380362550048417</v>
      </c>
      <c r="AB287" s="197">
        <f t="shared" si="123"/>
        <v>43373</v>
      </c>
      <c r="AC287" s="427">
        <f t="shared" si="124"/>
        <v>1.6327217166071037E-2</v>
      </c>
      <c r="AD287" s="169">
        <f>(INDEX(Models!$BJ287:$BT287,,AH287)*(1-AF287)+INDEX(Models!$BJ287:$BT287,,AH287+1)*AF287-ERP_i)*AE287*Ramure*Pc/MaxiM</f>
        <v>1.5400326577524249E-4</v>
      </c>
      <c r="AE287" s="305">
        <f t="shared" si="125"/>
        <v>0.7</v>
      </c>
      <c r="AF287" s="177">
        <f t="shared" si="126"/>
        <v>0.49523248275284204</v>
      </c>
      <c r="AG287" s="921">
        <f t="shared" si="127"/>
        <v>-2</v>
      </c>
      <c r="AH287" s="176">
        <f t="shared" si="128"/>
        <v>4</v>
      </c>
      <c r="AI287" s="225">
        <f t="shared" si="129"/>
        <v>-1.504767517247158</v>
      </c>
      <c r="AJ287" s="265" t="b">
        <f t="shared" si="130"/>
        <v>0</v>
      </c>
      <c r="AK287" s="265" t="b">
        <f t="shared" si="131"/>
        <v>0</v>
      </c>
      <c r="AL287" s="265"/>
      <c r="AM287" s="265"/>
      <c r="AN287" s="75"/>
    </row>
    <row r="288" spans="1:40" s="6" customFormat="1" ht="11.25" x14ac:dyDescent="0.2">
      <c r="A288" s="56">
        <f t="shared" si="133"/>
        <v>43374</v>
      </c>
      <c r="B288" s="620">
        <v>30.856999999999999</v>
      </c>
      <c r="C288" s="390"/>
      <c r="D288" s="393">
        <f t="shared" si="109"/>
        <v>30.945664130833297</v>
      </c>
      <c r="E288" s="385">
        <f t="shared" si="106"/>
        <v>31.462896275251943</v>
      </c>
      <c r="F288" s="385">
        <f t="shared" si="108"/>
        <v>31.465720037551144</v>
      </c>
      <c r="G288" s="110">
        <f t="shared" si="107"/>
        <v>0.68698695566027668</v>
      </c>
      <c r="I288" s="380">
        <f t="shared" si="110"/>
        <v>31.465720037551144</v>
      </c>
      <c r="J288" s="85">
        <v>2018</v>
      </c>
      <c r="K288" s="197">
        <f t="shared" si="111"/>
        <v>43374</v>
      </c>
      <c r="L288" s="438">
        <f t="shared" si="112"/>
        <v>2.8651552107086253E-3</v>
      </c>
      <c r="M288" s="970"/>
      <c r="N288" s="970"/>
      <c r="O288" s="324">
        <f t="shared" si="113"/>
        <v>1.6439432018389506E-2</v>
      </c>
      <c r="P288" s="169">
        <f>(INDEX(Models!$BJ288:$BT288,,T288)*(1-R288)+INDEX(Models!$BJ288:$BT288,,T288+1)*R288-ERP_i)*Q288*Ramure*Pc/MaxiM</f>
        <v>1.6230661622666735E-4</v>
      </c>
      <c r="Q288" s="305">
        <f t="shared" si="114"/>
        <v>0.7</v>
      </c>
      <c r="R288" s="177">
        <f t="shared" si="115"/>
        <v>0.4954307214555902</v>
      </c>
      <c r="S288" s="921">
        <f t="shared" si="132"/>
        <v>-2</v>
      </c>
      <c r="T288" s="176">
        <f t="shared" si="116"/>
        <v>4</v>
      </c>
      <c r="U288" s="251">
        <f t="shared" si="117"/>
        <v>-1.5045692785444098</v>
      </c>
      <c r="V288" s="383">
        <f t="shared" si="118"/>
        <v>44.913168124620015</v>
      </c>
      <c r="W288" s="58"/>
      <c r="X288" s="157">
        <f t="shared" si="119"/>
        <v>43374</v>
      </c>
      <c r="Y288" s="385">
        <f t="shared" si="120"/>
        <v>30.856999999999999</v>
      </c>
      <c r="Z288" s="385">
        <f t="shared" si="121"/>
        <v>30.945664130833297</v>
      </c>
      <c r="AA288" s="386">
        <f t="shared" si="122"/>
        <v>31.462896275251943</v>
      </c>
      <c r="AB288" s="197">
        <f t="shared" si="123"/>
        <v>43374</v>
      </c>
      <c r="AC288" s="427">
        <f t="shared" si="124"/>
        <v>1.6439432018389506E-2</v>
      </c>
      <c r="AD288" s="169">
        <f>(INDEX(Models!$BJ288:$BT288,,AH288)*(1-AF288)+INDEX(Models!$BJ288:$BT288,,AH288+1)*AF288-ERP_i)*AE288*Ramure*Pc/MaxiM</f>
        <v>1.6230661622666735E-4</v>
      </c>
      <c r="AE288" s="305">
        <f t="shared" si="125"/>
        <v>0.7</v>
      </c>
      <c r="AF288" s="177">
        <f t="shared" si="126"/>
        <v>0.4954307214555902</v>
      </c>
      <c r="AG288" s="921">
        <f t="shared" si="127"/>
        <v>-2</v>
      </c>
      <c r="AH288" s="176">
        <f t="shared" si="128"/>
        <v>4</v>
      </c>
      <c r="AI288" s="225">
        <f t="shared" si="129"/>
        <v>-1.5045692785444098</v>
      </c>
      <c r="AJ288" s="265" t="b">
        <f t="shared" si="130"/>
        <v>0</v>
      </c>
      <c r="AK288" s="265" t="b">
        <f t="shared" si="131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33"/>
        <v>43375</v>
      </c>
      <c r="B289" s="620">
        <v>46.716000000000001</v>
      </c>
      <c r="C289" s="390"/>
      <c r="D289" s="393">
        <f t="shared" si="109"/>
        <v>46.851259352566927</v>
      </c>
      <c r="E289" s="385">
        <f t="shared" si="106"/>
        <v>47.639756019554873</v>
      </c>
      <c r="F289" s="385">
        <f t="shared" si="108"/>
        <v>47.647904130278036</v>
      </c>
      <c r="G289" s="110">
        <f t="shared" si="107"/>
        <v>1.0455493472194759</v>
      </c>
      <c r="I289" s="380">
        <f t="shared" si="110"/>
        <v>47.647904130278036</v>
      </c>
      <c r="J289" s="85">
        <v>2018</v>
      </c>
      <c r="K289" s="197">
        <f t="shared" si="111"/>
        <v>43375</v>
      </c>
      <c r="L289" s="438">
        <f t="shared" si="112"/>
        <v>2.8869950228886943E-3</v>
      </c>
      <c r="M289" s="970"/>
      <c r="N289" s="970"/>
      <c r="O289" s="324">
        <f t="shared" si="113"/>
        <v>1.6551232266266945E-2</v>
      </c>
      <c r="P289" s="169">
        <f>(INDEX(Models!$BJ289:$BT289,,T289)*(1-R289)+INDEX(Models!$BJ289:$BT289,,T289+1)*R289-ERP_i)*Q289*Ramure*Pc/MaxiM</f>
        <v>1.7100669739604751E-4</v>
      </c>
      <c r="Q289" s="305">
        <f t="shared" si="114"/>
        <v>0.7</v>
      </c>
      <c r="R289" s="177">
        <f t="shared" si="115"/>
        <v>0.49562112760274668</v>
      </c>
      <c r="S289" s="921">
        <f t="shared" si="132"/>
        <v>-2</v>
      </c>
      <c r="T289" s="176">
        <f t="shared" si="116"/>
        <v>4</v>
      </c>
      <c r="U289" s="251">
        <f t="shared" si="117"/>
        <v>-1.5043788723972533</v>
      </c>
      <c r="V289" s="383">
        <f t="shared" si="118"/>
        <v>44.6808179109251</v>
      </c>
      <c r="W289" s="58"/>
      <c r="X289" s="157">
        <f t="shared" si="119"/>
        <v>43375</v>
      </c>
      <c r="Y289" s="385">
        <f t="shared" si="120"/>
        <v>46.716000000000001</v>
      </c>
      <c r="Z289" s="385">
        <f t="shared" si="121"/>
        <v>46.851259352566927</v>
      </c>
      <c r="AA289" s="386">
        <f t="shared" si="122"/>
        <v>47.639756019554873</v>
      </c>
      <c r="AB289" s="197">
        <f t="shared" si="123"/>
        <v>43375</v>
      </c>
      <c r="AC289" s="427">
        <f t="shared" si="124"/>
        <v>1.6551232266266945E-2</v>
      </c>
      <c r="AD289" s="169">
        <f>(INDEX(Models!$BJ289:$BT289,,AH289)*(1-AF289)+INDEX(Models!$BJ289:$BT289,,AH289+1)*AF289-ERP_i)*AE289*Ramure*Pc/MaxiM</f>
        <v>1.7100669739604751E-4</v>
      </c>
      <c r="AE289" s="305">
        <f t="shared" si="125"/>
        <v>0.7</v>
      </c>
      <c r="AF289" s="177">
        <f t="shared" si="126"/>
        <v>0.49562112760274668</v>
      </c>
      <c r="AG289" s="921">
        <f t="shared" si="127"/>
        <v>-2</v>
      </c>
      <c r="AH289" s="176">
        <f t="shared" si="128"/>
        <v>4</v>
      </c>
      <c r="AI289" s="225">
        <f t="shared" si="129"/>
        <v>-1.5043788723972533</v>
      </c>
      <c r="AJ289" s="265" t="b">
        <f t="shared" si="130"/>
        <v>0</v>
      </c>
      <c r="AK289" s="265" t="b">
        <f t="shared" si="131"/>
        <v>0</v>
      </c>
      <c r="AL289" s="265"/>
      <c r="AM289" s="265"/>
      <c r="AN289" s="75"/>
    </row>
    <row r="290" spans="1:40" s="6" customFormat="1" ht="11.25" x14ac:dyDescent="0.2">
      <c r="A290" s="56">
        <f t="shared" si="133"/>
        <v>43376</v>
      </c>
      <c r="B290" s="620">
        <v>42.497999999999998</v>
      </c>
      <c r="C290" s="390"/>
      <c r="D290" s="393">
        <f t="shared" si="109"/>
        <v>42.621980280591657</v>
      </c>
      <c r="E290" s="385">
        <f t="shared" si="106"/>
        <v>43.344207909851562</v>
      </c>
      <c r="F290" s="385">
        <f t="shared" si="108"/>
        <v>43.351504842538631</v>
      </c>
      <c r="G290" s="110">
        <f t="shared" si="107"/>
        <v>0.95619976293901221</v>
      </c>
      <c r="I290" s="380">
        <f t="shared" si="110"/>
        <v>43.351504842538631</v>
      </c>
      <c r="J290" s="85">
        <v>2018</v>
      </c>
      <c r="K290" s="197">
        <f t="shared" si="111"/>
        <v>43376</v>
      </c>
      <c r="L290" s="438">
        <f t="shared" si="112"/>
        <v>2.9088343567207353E-3</v>
      </c>
      <c r="M290" s="970"/>
      <c r="N290" s="970"/>
      <c r="O290" s="324">
        <f t="shared" si="113"/>
        <v>1.6662609933073742E-2</v>
      </c>
      <c r="P290" s="169">
        <f>(INDEX(Models!$BJ290:$BT290,,T290)*(1-R290)+INDEX(Models!$BJ290:$BT290,,T290+1)*R290-ERP_i)*Q290*Ramure*Pc/MaxiM</f>
        <v>1.7955232117201276E-4</v>
      </c>
      <c r="Q290" s="305">
        <f t="shared" si="114"/>
        <v>0.7</v>
      </c>
      <c r="R290" s="177">
        <f t="shared" si="115"/>
        <v>0.49580400494853483</v>
      </c>
      <c r="S290" s="921">
        <f t="shared" si="132"/>
        <v>-2</v>
      </c>
      <c r="T290" s="176">
        <f t="shared" si="116"/>
        <v>4</v>
      </c>
      <c r="U290" s="251">
        <f t="shared" si="117"/>
        <v>-1.5041959950514652</v>
      </c>
      <c r="V290" s="383">
        <f t="shared" si="118"/>
        <v>44.444188571098479</v>
      </c>
      <c r="W290" s="58"/>
      <c r="X290" s="157">
        <f t="shared" si="119"/>
        <v>43376</v>
      </c>
      <c r="Y290" s="385">
        <f t="shared" si="120"/>
        <v>42.497999999999998</v>
      </c>
      <c r="Z290" s="385">
        <f t="shared" si="121"/>
        <v>42.621980280591657</v>
      </c>
      <c r="AA290" s="386">
        <f t="shared" si="122"/>
        <v>43.344207909851562</v>
      </c>
      <c r="AB290" s="197">
        <f t="shared" si="123"/>
        <v>43376</v>
      </c>
      <c r="AC290" s="427">
        <f t="shared" si="124"/>
        <v>1.6662609933073742E-2</v>
      </c>
      <c r="AD290" s="169">
        <f>(INDEX(Models!$BJ290:$BT290,,AH290)*(1-AF290)+INDEX(Models!$BJ290:$BT290,,AH290+1)*AF290-ERP_i)*AE290*Ramure*Pc/MaxiM</f>
        <v>1.7955232117201276E-4</v>
      </c>
      <c r="AE290" s="305">
        <f t="shared" si="125"/>
        <v>0.7</v>
      </c>
      <c r="AF290" s="177">
        <f t="shared" si="126"/>
        <v>0.49580400494853483</v>
      </c>
      <c r="AG290" s="921">
        <f t="shared" si="127"/>
        <v>-2</v>
      </c>
      <c r="AH290" s="176">
        <f t="shared" si="128"/>
        <v>4</v>
      </c>
      <c r="AI290" s="225">
        <f t="shared" si="129"/>
        <v>-1.5041959950514652</v>
      </c>
      <c r="AJ290" s="265" t="b">
        <f t="shared" si="130"/>
        <v>0</v>
      </c>
      <c r="AK290" s="265" t="b">
        <f t="shared" si="131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33"/>
        <v>43377</v>
      </c>
      <c r="B291" s="620">
        <v>43.954999999999998</v>
      </c>
      <c r="C291" s="390"/>
      <c r="D291" s="393">
        <f t="shared" si="109"/>
        <v>44.084196373393539</v>
      </c>
      <c r="E291" s="385">
        <f t="shared" si="106"/>
        <v>44.836259953752773</v>
      </c>
      <c r="F291" s="385">
        <f t="shared" si="108"/>
        <v>44.844605022343991</v>
      </c>
      <c r="G291" s="110">
        <f t="shared" si="107"/>
        <v>0.994376186132363</v>
      </c>
      <c r="I291" s="380">
        <f t="shared" si="110"/>
        <v>44.844605022343991</v>
      </c>
      <c r="J291" s="85">
        <v>2018</v>
      </c>
      <c r="K291" s="197">
        <f t="shared" si="111"/>
        <v>43377</v>
      </c>
      <c r="L291" s="438">
        <f t="shared" si="112"/>
        <v>2.9306732122152956E-3</v>
      </c>
      <c r="M291" s="970"/>
      <c r="N291" s="970"/>
      <c r="O291" s="324">
        <f t="shared" si="113"/>
        <v>1.6773557409448622E-2</v>
      </c>
      <c r="P291" s="169">
        <f>(INDEX(Models!$BJ291:$BT291,,T291)*(1-R291)+INDEX(Models!$BJ291:$BT291,,T291+1)*R291-ERP_i)*Q291*Ramure*Pc/MaxiM</f>
        <v>1.8759531668890498E-4</v>
      </c>
      <c r="Q291" s="305">
        <f t="shared" si="114"/>
        <v>0.7</v>
      </c>
      <c r="R291" s="177">
        <f t="shared" si="115"/>
        <v>0.49597964591486532</v>
      </c>
      <c r="S291" s="921">
        <f t="shared" si="132"/>
        <v>-2</v>
      </c>
      <c r="T291" s="176">
        <f t="shared" si="116"/>
        <v>4</v>
      </c>
      <c r="U291" s="251">
        <f t="shared" si="117"/>
        <v>-1.5040203540851347</v>
      </c>
      <c r="V291" s="383">
        <f t="shared" si="118"/>
        <v>44.203526162219106</v>
      </c>
      <c r="W291" s="58"/>
      <c r="X291" s="157">
        <f t="shared" si="119"/>
        <v>43377</v>
      </c>
      <c r="Y291" s="385">
        <f t="shared" si="120"/>
        <v>43.954999999999998</v>
      </c>
      <c r="Z291" s="385">
        <f t="shared" si="121"/>
        <v>44.084196373393539</v>
      </c>
      <c r="AA291" s="386">
        <f t="shared" si="122"/>
        <v>44.836259953752773</v>
      </c>
      <c r="AB291" s="197">
        <f t="shared" si="123"/>
        <v>43377</v>
      </c>
      <c r="AC291" s="427">
        <f t="shared" si="124"/>
        <v>1.6773557409448622E-2</v>
      </c>
      <c r="AD291" s="169">
        <f>(INDEX(Models!$BJ291:$BT291,,AH291)*(1-AF291)+INDEX(Models!$BJ291:$BT291,,AH291+1)*AF291-ERP_i)*AE291*Ramure*Pc/MaxiM</f>
        <v>1.8759531668890498E-4</v>
      </c>
      <c r="AE291" s="305">
        <f t="shared" si="125"/>
        <v>0.7</v>
      </c>
      <c r="AF291" s="177">
        <f t="shared" si="126"/>
        <v>0.49597964591486532</v>
      </c>
      <c r="AG291" s="921">
        <f t="shared" si="127"/>
        <v>-2</v>
      </c>
      <c r="AH291" s="176">
        <f t="shared" si="128"/>
        <v>4</v>
      </c>
      <c r="AI291" s="225">
        <f t="shared" si="129"/>
        <v>-1.5040203540851347</v>
      </c>
      <c r="AJ291" s="265" t="b">
        <f t="shared" si="130"/>
        <v>0</v>
      </c>
      <c r="AK291" s="265" t="b">
        <f t="shared" si="131"/>
        <v>0</v>
      </c>
      <c r="AL291" s="265"/>
      <c r="AM291" s="265"/>
      <c r="AN291" s="75"/>
    </row>
    <row r="292" spans="1:40" s="6" customFormat="1" ht="11.25" x14ac:dyDescent="0.2">
      <c r="A292" s="56">
        <f t="shared" si="133"/>
        <v>43378</v>
      </c>
      <c r="B292" s="620">
        <v>43.790999999999997</v>
      </c>
      <c r="C292" s="390"/>
      <c r="D292" s="393">
        <f t="shared" si="109"/>
        <v>43.920676305806424</v>
      </c>
      <c r="E292" s="385">
        <f t="shared" si="106"/>
        <v>44.674971541555969</v>
      </c>
      <c r="F292" s="385">
        <f t="shared" si="108"/>
        <v>44.683643039833356</v>
      </c>
      <c r="G292" s="110">
        <f t="shared" si="107"/>
        <v>0.99617580888278223</v>
      </c>
      <c r="I292" s="380">
        <f t="shared" si="110"/>
        <v>44.683643039833356</v>
      </c>
      <c r="J292" s="85">
        <v>2018</v>
      </c>
      <c r="K292" s="197">
        <f t="shared" si="111"/>
        <v>43378</v>
      </c>
      <c r="L292" s="438">
        <f t="shared" si="112"/>
        <v>2.9525115893829224E-3</v>
      </c>
      <c r="M292" s="970"/>
      <c r="N292" s="970"/>
      <c r="O292" s="324">
        <f t="shared" si="113"/>
        <v>1.6884067515250956E-2</v>
      </c>
      <c r="P292" s="169">
        <f>(INDEX(Models!$BJ292:$BT292,,T292)*(1-R292)+INDEX(Models!$BJ292:$BT292,,T292+1)*R292-ERP_i)*Q292*Ramure*Pc/MaxiM</f>
        <v>1.9512998803246766E-4</v>
      </c>
      <c r="Q292" s="305">
        <f t="shared" si="114"/>
        <v>0.7</v>
      </c>
      <c r="R292" s="177">
        <f t="shared" si="115"/>
        <v>0.49614833197884689</v>
      </c>
      <c r="S292" s="921">
        <f t="shared" si="132"/>
        <v>-2</v>
      </c>
      <c r="T292" s="176">
        <f t="shared" si="116"/>
        <v>4</v>
      </c>
      <c r="U292" s="251">
        <f t="shared" si="117"/>
        <v>-1.5038516680211531</v>
      </c>
      <c r="V292" s="383">
        <f t="shared" si="118"/>
        <v>43.959061173058018</v>
      </c>
      <c r="W292" s="58"/>
      <c r="X292" s="157">
        <f t="shared" si="119"/>
        <v>43378</v>
      </c>
      <c r="Y292" s="385">
        <f t="shared" si="120"/>
        <v>43.790999999999997</v>
      </c>
      <c r="Z292" s="385">
        <f t="shared" si="121"/>
        <v>43.920676305806424</v>
      </c>
      <c r="AA292" s="386">
        <f t="shared" si="122"/>
        <v>44.674971541555969</v>
      </c>
      <c r="AB292" s="197">
        <f t="shared" si="123"/>
        <v>43378</v>
      </c>
      <c r="AC292" s="427">
        <f t="shared" si="124"/>
        <v>1.6884067515250956E-2</v>
      </c>
      <c r="AD292" s="169">
        <f>(INDEX(Models!$BJ292:$BT292,,AH292)*(1-AF292)+INDEX(Models!$BJ292:$BT292,,AH292+1)*AF292-ERP_i)*AE292*Ramure*Pc/MaxiM</f>
        <v>1.9512998803246766E-4</v>
      </c>
      <c r="AE292" s="305">
        <f t="shared" si="125"/>
        <v>0.7</v>
      </c>
      <c r="AF292" s="177">
        <f t="shared" si="126"/>
        <v>0.49614833197884689</v>
      </c>
      <c r="AG292" s="921">
        <f t="shared" si="127"/>
        <v>-2</v>
      </c>
      <c r="AH292" s="176">
        <f t="shared" si="128"/>
        <v>4</v>
      </c>
      <c r="AI292" s="225">
        <f t="shared" si="129"/>
        <v>-1.5038516680211531</v>
      </c>
      <c r="AJ292" s="265" t="b">
        <f t="shared" si="130"/>
        <v>0</v>
      </c>
      <c r="AK292" s="265" t="b">
        <f t="shared" si="131"/>
        <v>0</v>
      </c>
      <c r="AL292" s="265"/>
      <c r="AM292" s="265"/>
      <c r="AN292" s="75"/>
    </row>
    <row r="293" spans="1:40" s="6" customFormat="1" ht="11.25" x14ac:dyDescent="0.2">
      <c r="A293" s="56">
        <f t="shared" si="133"/>
        <v>43379</v>
      </c>
      <c r="B293" s="620">
        <v>41.433</v>
      </c>
      <c r="C293" s="390"/>
      <c r="D293" s="393">
        <f t="shared" si="109"/>
        <v>41.556603863433949</v>
      </c>
      <c r="E293" s="385">
        <f t="shared" si="106"/>
        <v>42.275031393286426</v>
      </c>
      <c r="F293" s="385">
        <f t="shared" ref="F293:F324" si="134">Wh_sa/(1-Pvg*MEDIAN((-Sdif+Wh/Env_an)/Csdif,0,1))</f>
        <v>42.282942542755286</v>
      </c>
      <c r="G293" s="110">
        <f t="shared" si="107"/>
        <v>0.94787018472648343</v>
      </c>
      <c r="I293" s="380">
        <f t="shared" si="110"/>
        <v>42.282942542755286</v>
      </c>
      <c r="J293" s="85">
        <v>2018</v>
      </c>
      <c r="K293" s="197">
        <f t="shared" si="111"/>
        <v>43379</v>
      </c>
      <c r="L293" s="438">
        <f t="shared" si="112"/>
        <v>2.9743494882340515E-3</v>
      </c>
      <c r="M293" s="970"/>
      <c r="N293" s="970"/>
      <c r="O293" s="324">
        <f t="shared" si="113"/>
        <v>1.6994133562407466E-2</v>
      </c>
      <c r="P293" s="169">
        <f>(INDEX(Models!$BJ293:$BT293,,T293)*(1-R293)+INDEX(Models!$BJ293:$BT293,,T293+1)*R293-ERP_i)*Q293*Ramure*Pc/MaxiM</f>
        <v>2.0215052251789064E-4</v>
      </c>
      <c r="Q293" s="305">
        <f t="shared" si="114"/>
        <v>0.7</v>
      </c>
      <c r="R293" s="177">
        <f t="shared" si="115"/>
        <v>0.496310334049886</v>
      </c>
      <c r="S293" s="921">
        <f t="shared" si="132"/>
        <v>-2</v>
      </c>
      <c r="T293" s="176">
        <f t="shared" si="116"/>
        <v>4</v>
      </c>
      <c r="U293" s="251">
        <f t="shared" si="117"/>
        <v>-1.503689665950114</v>
      </c>
      <c r="V293" s="383">
        <f t="shared" si="118"/>
        <v>43.711023907416674</v>
      </c>
      <c r="W293" s="58"/>
      <c r="X293" s="157">
        <f t="shared" si="119"/>
        <v>43379</v>
      </c>
      <c r="Y293" s="385">
        <f t="shared" si="120"/>
        <v>41.433</v>
      </c>
      <c r="Z293" s="385">
        <f t="shared" si="121"/>
        <v>41.556603863433949</v>
      </c>
      <c r="AA293" s="386">
        <f t="shared" si="122"/>
        <v>42.275031393286426</v>
      </c>
      <c r="AB293" s="197">
        <f t="shared" si="123"/>
        <v>43379</v>
      </c>
      <c r="AC293" s="427">
        <f t="shared" si="124"/>
        <v>1.6994133562407466E-2</v>
      </c>
      <c r="AD293" s="169">
        <f>(INDEX(Models!$BJ293:$BT293,,AH293)*(1-AF293)+INDEX(Models!$BJ293:$BT293,,AH293+1)*AF293-ERP_i)*AE293*Ramure*Pc/MaxiM</f>
        <v>2.0215052251789064E-4</v>
      </c>
      <c r="AE293" s="305">
        <f t="shared" si="125"/>
        <v>0.7</v>
      </c>
      <c r="AF293" s="177">
        <f t="shared" si="126"/>
        <v>0.496310334049886</v>
      </c>
      <c r="AG293" s="921">
        <f t="shared" si="127"/>
        <v>-2</v>
      </c>
      <c r="AH293" s="176">
        <f t="shared" si="128"/>
        <v>4</v>
      </c>
      <c r="AI293" s="225">
        <f t="shared" si="129"/>
        <v>-1.503689665950114</v>
      </c>
      <c r="AJ293" s="265" t="b">
        <f t="shared" si="130"/>
        <v>0</v>
      </c>
      <c r="AK293" s="265" t="b">
        <f t="shared" si="131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33"/>
        <v>43380</v>
      </c>
      <c r="B294" s="620">
        <v>10.583</v>
      </c>
      <c r="C294" s="390"/>
      <c r="D294" s="393">
        <f t="shared" si="109"/>
        <v>10.614803936594081</v>
      </c>
      <c r="E294" s="385">
        <f t="shared" si="106"/>
        <v>10.799516154742316</v>
      </c>
      <c r="F294" s="385">
        <f t="shared" si="134"/>
        <v>10.799516154742316</v>
      </c>
      <c r="G294" s="110">
        <f t="shared" si="107"/>
        <v>0.24346245743266806</v>
      </c>
      <c r="I294" s="380">
        <f t="shared" si="110"/>
        <v>10.799516154742316</v>
      </c>
      <c r="J294" s="85">
        <v>2018</v>
      </c>
      <c r="K294" s="197">
        <f t="shared" si="111"/>
        <v>43380</v>
      </c>
      <c r="L294" s="438">
        <f t="shared" si="112"/>
        <v>2.9961869087792303E-3</v>
      </c>
      <c r="M294" s="970"/>
      <c r="N294" s="970"/>
      <c r="O294" s="324">
        <f t="shared" si="113"/>
        <v>1.7103749418173927E-2</v>
      </c>
      <c r="P294" s="169">
        <f>(INDEX(Models!$BJ294:$BT294,,T294)*(1-R294)+INDEX(Models!$BJ294:$BT294,,T294+1)*R294-ERP_i)*Q294*Ramure*Pc/MaxiM</f>
        <v>2.0865103533995217E-4</v>
      </c>
      <c r="Q294" s="305">
        <f t="shared" si="114"/>
        <v>0.7</v>
      </c>
      <c r="R294" s="177">
        <f t="shared" si="115"/>
        <v>0.49646591283640884</v>
      </c>
      <c r="S294" s="921">
        <f t="shared" si="132"/>
        <v>-2</v>
      </c>
      <c r="T294" s="176">
        <f t="shared" si="116"/>
        <v>4</v>
      </c>
      <c r="U294" s="251">
        <f t="shared" si="117"/>
        <v>-1.5035340871635912</v>
      </c>
      <c r="V294" s="383">
        <f t="shared" si="118"/>
        <v>43.459644487566301</v>
      </c>
      <c r="W294" s="58"/>
      <c r="X294" s="157">
        <f t="shared" si="119"/>
        <v>43380</v>
      </c>
      <c r="Y294" s="385">
        <f t="shared" si="120"/>
        <v>10.583</v>
      </c>
      <c r="Z294" s="385">
        <f t="shared" si="121"/>
        <v>10.614803936594081</v>
      </c>
      <c r="AA294" s="386">
        <f t="shared" si="122"/>
        <v>10.799516154742316</v>
      </c>
      <c r="AB294" s="197">
        <f t="shared" si="123"/>
        <v>43380</v>
      </c>
      <c r="AC294" s="427">
        <f t="shared" si="124"/>
        <v>1.7103749418173927E-2</v>
      </c>
      <c r="AD294" s="169">
        <f>(INDEX(Models!$BJ294:$BT294,,AH294)*(1-AF294)+INDEX(Models!$BJ294:$BT294,,AH294+1)*AF294-ERP_i)*AE294*Ramure*Pc/MaxiM</f>
        <v>2.0865103533995217E-4</v>
      </c>
      <c r="AE294" s="305">
        <f t="shared" si="125"/>
        <v>0.7</v>
      </c>
      <c r="AF294" s="177">
        <f t="shared" si="126"/>
        <v>0.49646591283640884</v>
      </c>
      <c r="AG294" s="921">
        <f t="shared" si="127"/>
        <v>-2</v>
      </c>
      <c r="AH294" s="176">
        <f t="shared" si="128"/>
        <v>4</v>
      </c>
      <c r="AI294" s="225">
        <f t="shared" si="129"/>
        <v>-1.5035340871635912</v>
      </c>
      <c r="AJ294" s="265" t="b">
        <f t="shared" si="130"/>
        <v>0</v>
      </c>
      <c r="AK294" s="265" t="b">
        <f t="shared" si="131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33"/>
        <v>43381</v>
      </c>
      <c r="B295" s="620">
        <v>13.284000000000001</v>
      </c>
      <c r="C295" s="390"/>
      <c r="D295" s="393">
        <f t="shared" si="109"/>
        <v>13.324212792002445</v>
      </c>
      <c r="E295" s="385">
        <f t="shared" si="106"/>
        <v>13.557578158815403</v>
      </c>
      <c r="F295" s="385">
        <f t="shared" si="134"/>
        <v>13.557609182904672</v>
      </c>
      <c r="G295" s="110">
        <f t="shared" si="107"/>
        <v>0.30739804003445448</v>
      </c>
      <c r="I295" s="380">
        <f t="shared" si="110"/>
        <v>13.557609182904672</v>
      </c>
      <c r="J295" s="85">
        <v>2018</v>
      </c>
      <c r="K295" s="197">
        <f t="shared" si="111"/>
        <v>43381</v>
      </c>
      <c r="L295" s="438">
        <f t="shared" si="112"/>
        <v>3.0180238510286728E-3</v>
      </c>
      <c r="M295" s="970"/>
      <c r="N295" s="970"/>
      <c r="O295" s="324">
        <f t="shared" si="113"/>
        <v>1.7212909568307969E-2</v>
      </c>
      <c r="P295" s="169">
        <f>(INDEX(Models!$BJ295:$BT295,,T295)*(1-R295)+INDEX(Models!$BJ295:$BT295,,T295+1)*R295-ERP_i)*Q295*Ramure*Pc/MaxiM</f>
        <v>2.1462561465049066E-4</v>
      </c>
      <c r="Q295" s="305">
        <f t="shared" si="114"/>
        <v>0.7</v>
      </c>
      <c r="R295" s="177">
        <f t="shared" si="115"/>
        <v>0.4966153192022702</v>
      </c>
      <c r="S295" s="921">
        <f t="shared" si="132"/>
        <v>-2</v>
      </c>
      <c r="T295" s="176">
        <f t="shared" si="116"/>
        <v>4</v>
      </c>
      <c r="U295" s="251">
        <f t="shared" si="117"/>
        <v>-1.5033846807977298</v>
      </c>
      <c r="V295" s="383">
        <f t="shared" si="118"/>
        <v>43.205152848003934</v>
      </c>
      <c r="W295" s="58"/>
      <c r="X295" s="157">
        <f t="shared" si="119"/>
        <v>43381</v>
      </c>
      <c r="Y295" s="385">
        <f t="shared" si="120"/>
        <v>13.284000000000001</v>
      </c>
      <c r="Z295" s="385">
        <f t="shared" si="121"/>
        <v>13.324212792002445</v>
      </c>
      <c r="AA295" s="386">
        <f t="shared" si="122"/>
        <v>13.557578158815403</v>
      </c>
      <c r="AB295" s="197">
        <f t="shared" si="123"/>
        <v>43381</v>
      </c>
      <c r="AC295" s="427">
        <f t="shared" si="124"/>
        <v>1.7212909568307969E-2</v>
      </c>
      <c r="AD295" s="169">
        <f>(INDEX(Models!$BJ295:$BT295,,AH295)*(1-AF295)+INDEX(Models!$BJ295:$BT295,,AH295+1)*AF295-ERP_i)*AE295*Ramure*Pc/MaxiM</f>
        <v>2.1462561465049066E-4</v>
      </c>
      <c r="AE295" s="305">
        <f t="shared" si="125"/>
        <v>0.7</v>
      </c>
      <c r="AF295" s="177">
        <f t="shared" si="126"/>
        <v>0.4966153192022702</v>
      </c>
      <c r="AG295" s="921">
        <f t="shared" si="127"/>
        <v>-2</v>
      </c>
      <c r="AH295" s="176">
        <f t="shared" si="128"/>
        <v>4</v>
      </c>
      <c r="AI295" s="225">
        <f t="shared" si="129"/>
        <v>-1.5033846807977298</v>
      </c>
      <c r="AJ295" s="265" t="b">
        <f t="shared" si="130"/>
        <v>0</v>
      </c>
      <c r="AK295" s="265" t="b">
        <f t="shared" si="131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33"/>
        <v>43382</v>
      </c>
      <c r="B296" s="620">
        <v>35.954000000000001</v>
      </c>
      <c r="C296" s="390"/>
      <c r="D296" s="393">
        <f t="shared" si="109"/>
        <v>36.063628392765828</v>
      </c>
      <c r="E296" s="385">
        <f t="shared" si="106"/>
        <v>36.699319665164076</v>
      </c>
      <c r="F296" s="385">
        <f t="shared" si="134"/>
        <v>36.705511878602785</v>
      </c>
      <c r="G296" s="110">
        <f t="shared" si="107"/>
        <v>0.83711320685961066</v>
      </c>
      <c r="I296" s="380">
        <f t="shared" si="110"/>
        <v>36.705511878602785</v>
      </c>
      <c r="J296" s="85">
        <v>2018</v>
      </c>
      <c r="K296" s="197">
        <f t="shared" si="111"/>
        <v>43382</v>
      </c>
      <c r="L296" s="438">
        <f t="shared" si="112"/>
        <v>3.039860314993148E-3</v>
      </c>
      <c r="M296" s="970"/>
      <c r="N296" s="970"/>
      <c r="O296" s="324">
        <f t="shared" si="113"/>
        <v>1.7321609179628994E-2</v>
      </c>
      <c r="P296" s="169">
        <f>(INDEX(Models!$BJ296:$BT296,,T296)*(1-R296)+INDEX(Models!$BJ296:$BT296,,T296+1)*R296-ERP_i)*Q296*Ramure*Pc/MaxiM</f>
        <v>2.1984278560274251E-4</v>
      </c>
      <c r="Q296" s="305">
        <f t="shared" si="114"/>
        <v>0.7</v>
      </c>
      <c r="R296" s="177">
        <f t="shared" si="115"/>
        <v>0.49675879451293259</v>
      </c>
      <c r="S296" s="921">
        <f t="shared" si="132"/>
        <v>-2</v>
      </c>
      <c r="T296" s="176">
        <f t="shared" si="116"/>
        <v>4</v>
      </c>
      <c r="U296" s="251">
        <f t="shared" si="117"/>
        <v>-1.5032412054870674</v>
      </c>
      <c r="V296" s="383">
        <f t="shared" si="118"/>
        <v>42.947788424720706</v>
      </c>
      <c r="W296" s="58"/>
      <c r="X296" s="157">
        <f t="shared" si="119"/>
        <v>43382</v>
      </c>
      <c r="Y296" s="385">
        <f t="shared" si="120"/>
        <v>35.954000000000001</v>
      </c>
      <c r="Z296" s="385">
        <f t="shared" si="121"/>
        <v>36.063628392765828</v>
      </c>
      <c r="AA296" s="386">
        <f t="shared" si="122"/>
        <v>36.699319665164076</v>
      </c>
      <c r="AB296" s="197">
        <f t="shared" si="123"/>
        <v>43382</v>
      </c>
      <c r="AC296" s="427">
        <f t="shared" si="124"/>
        <v>1.7321609179628994E-2</v>
      </c>
      <c r="AD296" s="169">
        <f>(INDEX(Models!$BJ296:$BT296,,AH296)*(1-AF296)+INDEX(Models!$BJ296:$BT296,,AH296+1)*AF296-ERP_i)*AE296*Ramure*Pc/MaxiM</f>
        <v>2.1984278560274251E-4</v>
      </c>
      <c r="AE296" s="305">
        <f t="shared" si="125"/>
        <v>0.7</v>
      </c>
      <c r="AF296" s="177">
        <f t="shared" si="126"/>
        <v>0.49675879451293259</v>
      </c>
      <c r="AG296" s="921">
        <f t="shared" si="127"/>
        <v>-2</v>
      </c>
      <c r="AH296" s="176">
        <f t="shared" si="128"/>
        <v>4</v>
      </c>
      <c r="AI296" s="225">
        <f t="shared" si="129"/>
        <v>-1.5032412054870674</v>
      </c>
      <c r="AJ296" s="265" t="b">
        <f t="shared" si="130"/>
        <v>0</v>
      </c>
      <c r="AK296" s="265" t="b">
        <f t="shared" si="131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33"/>
        <v>43383</v>
      </c>
      <c r="B297" s="620">
        <v>23.152999999999999</v>
      </c>
      <c r="C297" s="390"/>
      <c r="D297" s="393">
        <f t="shared" si="109"/>
        <v>23.224105156845386</v>
      </c>
      <c r="E297" s="385">
        <f t="shared" ref="E297:E360" si="135">Wh_pvt/(1-Psa)</f>
        <v>23.636078318524547</v>
      </c>
      <c r="F297" s="385">
        <f t="shared" si="134"/>
        <v>23.637913993410017</v>
      </c>
      <c r="G297" s="110">
        <f t="shared" ref="G297:G360" si="136">+Wh_hp/MaxiM</f>
        <v>0.54230049648259637</v>
      </c>
      <c r="I297" s="380">
        <f t="shared" si="110"/>
        <v>23.637913993410017</v>
      </c>
      <c r="J297" s="85">
        <v>2018</v>
      </c>
      <c r="K297" s="197">
        <f t="shared" si="111"/>
        <v>43383</v>
      </c>
      <c r="L297" s="438">
        <f t="shared" si="112"/>
        <v>3.0616963006829812E-3</v>
      </c>
      <c r="M297" s="970"/>
      <c r="N297" s="970"/>
      <c r="O297" s="324">
        <f t="shared" si="113"/>
        <v>1.742984416142675E-2</v>
      </c>
      <c r="P297" s="169">
        <f>(INDEX(Models!$BJ297:$BT297,,T297)*(1-R297)+INDEX(Models!$BJ297:$BT297,,T297+1)*R297-ERP_i)*Q297*Ramure*Pc/MaxiM</f>
        <v>2.242785962043435E-4</v>
      </c>
      <c r="Q297" s="305">
        <f t="shared" si="114"/>
        <v>0.7</v>
      </c>
      <c r="R297" s="177">
        <f t="shared" si="115"/>
        <v>0.49689657097152384</v>
      </c>
      <c r="S297" s="921">
        <f t="shared" si="132"/>
        <v>-2</v>
      </c>
      <c r="T297" s="176">
        <f t="shared" si="116"/>
        <v>4</v>
      </c>
      <c r="U297" s="251">
        <f t="shared" si="117"/>
        <v>-1.5031034290284762</v>
      </c>
      <c r="V297" s="383">
        <f t="shared" si="118"/>
        <v>42.68778137133188</v>
      </c>
      <c r="W297" s="58"/>
      <c r="X297" s="157">
        <f t="shared" si="119"/>
        <v>43383</v>
      </c>
      <c r="Y297" s="385">
        <f t="shared" si="120"/>
        <v>23.152999999999999</v>
      </c>
      <c r="Z297" s="385">
        <f t="shared" si="121"/>
        <v>23.224105156845386</v>
      </c>
      <c r="AA297" s="386">
        <f t="shared" si="122"/>
        <v>23.636078318524547</v>
      </c>
      <c r="AB297" s="197">
        <f t="shared" si="123"/>
        <v>43383</v>
      </c>
      <c r="AC297" s="427">
        <f t="shared" si="124"/>
        <v>1.742984416142675E-2</v>
      </c>
      <c r="AD297" s="169">
        <f>(INDEX(Models!$BJ297:$BT297,,AH297)*(1-AF297)+INDEX(Models!$BJ297:$BT297,,AH297+1)*AF297-ERP_i)*AE297*Ramure*Pc/MaxiM</f>
        <v>2.242785962043435E-4</v>
      </c>
      <c r="AE297" s="305">
        <f t="shared" si="125"/>
        <v>0.7</v>
      </c>
      <c r="AF297" s="177">
        <f t="shared" si="126"/>
        <v>0.49689657097152384</v>
      </c>
      <c r="AG297" s="921">
        <f t="shared" si="127"/>
        <v>-2</v>
      </c>
      <c r="AH297" s="176">
        <f t="shared" si="128"/>
        <v>4</v>
      </c>
      <c r="AI297" s="225">
        <f t="shared" si="129"/>
        <v>-1.5031034290284762</v>
      </c>
      <c r="AJ297" s="265" t="b">
        <f t="shared" si="130"/>
        <v>0</v>
      </c>
      <c r="AK297" s="265" t="b">
        <f t="shared" si="131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33"/>
        <v>43384</v>
      </c>
      <c r="B298" s="620">
        <v>31.094999999999999</v>
      </c>
      <c r="C298" s="390"/>
      <c r="D298" s="393">
        <f t="shared" si="109"/>
        <v>31.191178992555958</v>
      </c>
      <c r="E298" s="385">
        <f t="shared" si="135"/>
        <v>31.747962414574037</v>
      </c>
      <c r="F298" s="385">
        <f t="shared" si="134"/>
        <v>31.752438460099782</v>
      </c>
      <c r="G298" s="110">
        <f t="shared" si="136"/>
        <v>0.73287050380535934</v>
      </c>
      <c r="I298" s="380">
        <f t="shared" si="110"/>
        <v>31.752438460099782</v>
      </c>
      <c r="J298" s="85">
        <v>2018</v>
      </c>
      <c r="K298" s="197">
        <f t="shared" si="111"/>
        <v>43384</v>
      </c>
      <c r="L298" s="438">
        <f t="shared" si="112"/>
        <v>3.0835318081087193E-3</v>
      </c>
      <c r="M298" s="970"/>
      <c r="N298" s="970"/>
      <c r="O298" s="324">
        <f t="shared" si="113"/>
        <v>1.7537611225169007E-2</v>
      </c>
      <c r="P298" s="169">
        <f>(INDEX(Models!$BJ298:$BT298,,T298)*(1-R298)+INDEX(Models!$BJ298:$BT298,,T298+1)*R298-ERP_i)*Q298*Ramure*Pc/MaxiM</f>
        <v>2.2792581135012537E-4</v>
      </c>
      <c r="Q298" s="305">
        <f t="shared" si="114"/>
        <v>0.7</v>
      </c>
      <c r="R298" s="177">
        <f t="shared" si="115"/>
        <v>0.49702887194489009</v>
      </c>
      <c r="S298" s="921">
        <f t="shared" si="132"/>
        <v>-2</v>
      </c>
      <c r="T298" s="176">
        <f t="shared" si="116"/>
        <v>4</v>
      </c>
      <c r="U298" s="251">
        <f t="shared" si="117"/>
        <v>-1.5029711280551099</v>
      </c>
      <c r="V298" s="383">
        <f t="shared" si="118"/>
        <v>42.425360923429196</v>
      </c>
      <c r="W298" s="58"/>
      <c r="X298" s="157">
        <f t="shared" si="119"/>
        <v>43384</v>
      </c>
      <c r="Y298" s="385">
        <f t="shared" si="120"/>
        <v>31.094999999999999</v>
      </c>
      <c r="Z298" s="385">
        <f t="shared" si="121"/>
        <v>31.191178992555958</v>
      </c>
      <c r="AA298" s="386">
        <f t="shared" si="122"/>
        <v>31.747962414574037</v>
      </c>
      <c r="AB298" s="197">
        <f t="shared" si="123"/>
        <v>43384</v>
      </c>
      <c r="AC298" s="427">
        <f t="shared" si="124"/>
        <v>1.7537611225169007E-2</v>
      </c>
      <c r="AD298" s="169">
        <f>(INDEX(Models!$BJ298:$BT298,,AH298)*(1-AF298)+INDEX(Models!$BJ298:$BT298,,AH298+1)*AF298-ERP_i)*AE298*Ramure*Pc/MaxiM</f>
        <v>2.2792581135012537E-4</v>
      </c>
      <c r="AE298" s="305">
        <f t="shared" si="125"/>
        <v>0.7</v>
      </c>
      <c r="AF298" s="177">
        <f t="shared" si="126"/>
        <v>0.49702887194489009</v>
      </c>
      <c r="AG298" s="921">
        <f t="shared" si="127"/>
        <v>-2</v>
      </c>
      <c r="AH298" s="176">
        <f t="shared" si="128"/>
        <v>4</v>
      </c>
      <c r="AI298" s="225">
        <f t="shared" si="129"/>
        <v>-1.5029711280551099</v>
      </c>
      <c r="AJ298" s="265" t="b">
        <f t="shared" si="130"/>
        <v>0</v>
      </c>
      <c r="AK298" s="265" t="b">
        <f t="shared" si="131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33"/>
        <v>43385</v>
      </c>
      <c r="B299" s="620">
        <v>39.625999999999998</v>
      </c>
      <c r="C299" s="390"/>
      <c r="D299" s="393">
        <f t="shared" si="109"/>
        <v>39.749436582162843</v>
      </c>
      <c r="E299" s="385">
        <f t="shared" si="135"/>
        <v>40.463409721720161</v>
      </c>
      <c r="F299" s="385">
        <f t="shared" si="134"/>
        <v>40.471947544594585</v>
      </c>
      <c r="G299" s="110">
        <f t="shared" si="136"/>
        <v>0.93986014637188831</v>
      </c>
      <c r="I299" s="380">
        <f t="shared" si="110"/>
        <v>40.471947544594585</v>
      </c>
      <c r="J299" s="85">
        <v>2018</v>
      </c>
      <c r="K299" s="197">
        <f t="shared" si="111"/>
        <v>43385</v>
      </c>
      <c r="L299" s="438">
        <f t="shared" si="112"/>
        <v>3.1053668372807985E-3</v>
      </c>
      <c r="M299" s="970"/>
      <c r="N299" s="970"/>
      <c r="O299" s="324">
        <f t="shared" si="113"/>
        <v>1.7644907941954016E-2</v>
      </c>
      <c r="P299" s="169">
        <f>(INDEX(Models!$BJ299:$BT299,,T299)*(1-R299)+INDEX(Models!$BJ299:$BT299,,T299+1)*R299-ERP_i)*Q299*Ramure*Pc/MaxiM</f>
        <v>2.307774495456804E-4</v>
      </c>
      <c r="Q299" s="305">
        <f t="shared" si="114"/>
        <v>0.7</v>
      </c>
      <c r="R299" s="177">
        <f t="shared" si="115"/>
        <v>0.4971559122797915</v>
      </c>
      <c r="S299" s="921">
        <f t="shared" si="132"/>
        <v>-2</v>
      </c>
      <c r="T299" s="176">
        <f t="shared" si="116"/>
        <v>4</v>
      </c>
      <c r="U299" s="251">
        <f t="shared" si="117"/>
        <v>-1.5028440877202085</v>
      </c>
      <c r="V299" s="383">
        <f t="shared" si="118"/>
        <v>42.160756113250237</v>
      </c>
      <c r="W299" s="58"/>
      <c r="X299" s="157">
        <f t="shared" si="119"/>
        <v>43385</v>
      </c>
      <c r="Y299" s="385">
        <f t="shared" si="120"/>
        <v>39.625999999999998</v>
      </c>
      <c r="Z299" s="385">
        <f t="shared" si="121"/>
        <v>39.749436582162843</v>
      </c>
      <c r="AA299" s="386">
        <f t="shared" si="122"/>
        <v>40.463409721720161</v>
      </c>
      <c r="AB299" s="197">
        <f t="shared" si="123"/>
        <v>43385</v>
      </c>
      <c r="AC299" s="427">
        <f t="shared" si="124"/>
        <v>1.7644907941954016E-2</v>
      </c>
      <c r="AD299" s="169">
        <f>(INDEX(Models!$BJ299:$BT299,,AH299)*(1-AF299)+INDEX(Models!$BJ299:$BT299,,AH299+1)*AF299-ERP_i)*AE299*Ramure*Pc/MaxiM</f>
        <v>2.307774495456804E-4</v>
      </c>
      <c r="AE299" s="305">
        <f t="shared" si="125"/>
        <v>0.7</v>
      </c>
      <c r="AF299" s="177">
        <f t="shared" si="126"/>
        <v>0.4971559122797915</v>
      </c>
      <c r="AG299" s="921">
        <f t="shared" si="127"/>
        <v>-2</v>
      </c>
      <c r="AH299" s="176">
        <f t="shared" si="128"/>
        <v>4</v>
      </c>
      <c r="AI299" s="225">
        <f t="shared" si="129"/>
        <v>-1.5028440877202085</v>
      </c>
      <c r="AJ299" s="265" t="b">
        <f t="shared" si="130"/>
        <v>0</v>
      </c>
      <c r="AK299" s="265" t="b">
        <f t="shared" si="131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33"/>
        <v>43386</v>
      </c>
      <c r="B300" s="620">
        <v>31.007999999999999</v>
      </c>
      <c r="C300" s="390"/>
      <c r="D300" s="393">
        <f t="shared" si="109"/>
        <v>31.105272451190004</v>
      </c>
      <c r="E300" s="385">
        <f t="shared" si="135"/>
        <v>31.667424102226871</v>
      </c>
      <c r="F300" s="385">
        <f t="shared" si="134"/>
        <v>31.672060837370708</v>
      </c>
      <c r="G300" s="110">
        <f t="shared" si="136"/>
        <v>0.74008628307961988</v>
      </c>
      <c r="I300" s="380">
        <f t="shared" si="110"/>
        <v>31.672060837370708</v>
      </c>
      <c r="J300" s="85">
        <v>2018</v>
      </c>
      <c r="K300" s="197">
        <f t="shared" si="111"/>
        <v>43386</v>
      </c>
      <c r="L300" s="438">
        <f t="shared" si="112"/>
        <v>3.127201388209766E-3</v>
      </c>
      <c r="M300" s="970"/>
      <c r="N300" s="970"/>
      <c r="O300" s="324">
        <f t="shared" si="113"/>
        <v>1.7751732797153391E-2</v>
      </c>
      <c r="P300" s="169">
        <f>(INDEX(Models!$BJ300:$BT300,,T300)*(1-R300)+INDEX(Models!$BJ300:$BT300,,T300+1)*R300-ERP_i)*Q300*Ramure*Pc/MaxiM</f>
        <v>2.3282683846069521E-4</v>
      </c>
      <c r="Q300" s="305">
        <f t="shared" si="114"/>
        <v>0.7</v>
      </c>
      <c r="R300" s="177">
        <f t="shared" si="115"/>
        <v>0.49727789860938554</v>
      </c>
      <c r="S300" s="921">
        <f t="shared" si="132"/>
        <v>-2</v>
      </c>
      <c r="T300" s="176">
        <f t="shared" si="116"/>
        <v>4</v>
      </c>
      <c r="U300" s="251">
        <f t="shared" si="117"/>
        <v>-1.5027221013906145</v>
      </c>
      <c r="V300" s="383">
        <f t="shared" si="118"/>
        <v>41.894195771004739</v>
      </c>
      <c r="W300" s="58"/>
      <c r="X300" s="157">
        <f t="shared" si="119"/>
        <v>43386</v>
      </c>
      <c r="Y300" s="385">
        <f t="shared" si="120"/>
        <v>31.007999999999999</v>
      </c>
      <c r="Z300" s="385">
        <f t="shared" si="121"/>
        <v>31.105272451190004</v>
      </c>
      <c r="AA300" s="386">
        <f t="shared" si="122"/>
        <v>31.667424102226871</v>
      </c>
      <c r="AB300" s="197">
        <f t="shared" si="123"/>
        <v>43386</v>
      </c>
      <c r="AC300" s="427">
        <f t="shared" si="124"/>
        <v>1.7751732797153391E-2</v>
      </c>
      <c r="AD300" s="169">
        <f>(INDEX(Models!$BJ300:$BT300,,AH300)*(1-AF300)+INDEX(Models!$BJ300:$BT300,,AH300+1)*AF300-ERP_i)*AE300*Ramure*Pc/MaxiM</f>
        <v>2.3282683846069521E-4</v>
      </c>
      <c r="AE300" s="305">
        <f t="shared" si="125"/>
        <v>0.7</v>
      </c>
      <c r="AF300" s="177">
        <f t="shared" si="126"/>
        <v>0.49727789860938554</v>
      </c>
      <c r="AG300" s="921">
        <f t="shared" si="127"/>
        <v>-2</v>
      </c>
      <c r="AH300" s="176">
        <f t="shared" si="128"/>
        <v>4</v>
      </c>
      <c r="AI300" s="225">
        <f t="shared" si="129"/>
        <v>-1.5027221013906145</v>
      </c>
      <c r="AJ300" s="265" t="b">
        <f t="shared" si="130"/>
        <v>0</v>
      </c>
      <c r="AK300" s="265" t="b">
        <f t="shared" si="131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33"/>
        <v>43387</v>
      </c>
      <c r="B301" s="620">
        <v>34.676000000000002</v>
      </c>
      <c r="C301" s="390"/>
      <c r="D301" s="393">
        <f t="shared" si="109"/>
        <v>34.78554090182665</v>
      </c>
      <c r="E301" s="385">
        <f t="shared" si="135"/>
        <v>35.41803926613504</v>
      </c>
      <c r="F301" s="385">
        <f t="shared" si="134"/>
        <v>35.424353260670031</v>
      </c>
      <c r="G301" s="110">
        <f t="shared" si="136"/>
        <v>0.83299235888553802</v>
      </c>
      <c r="I301" s="380">
        <f t="shared" si="110"/>
        <v>35.424353260670031</v>
      </c>
      <c r="J301" s="85">
        <v>2018</v>
      </c>
      <c r="K301" s="197">
        <f t="shared" si="111"/>
        <v>43387</v>
      </c>
      <c r="L301" s="438">
        <f t="shared" si="112"/>
        <v>3.1490354609059468E-3</v>
      </c>
      <c r="M301" s="970"/>
      <c r="N301" s="970"/>
      <c r="O301" s="324">
        <f t="shared" si="113"/>
        <v>1.7858085241696374E-2</v>
      </c>
      <c r="P301" s="169">
        <f>(INDEX(Models!$BJ301:$BT301,,T301)*(1-R301)+INDEX(Models!$BJ301:$BT301,,T301+1)*R301-ERP_i)*Q301*Ramure*Pc/MaxiM</f>
        <v>2.3406766786816387E-4</v>
      </c>
      <c r="Q301" s="305">
        <f t="shared" si="114"/>
        <v>0.7</v>
      </c>
      <c r="R301" s="177">
        <f t="shared" si="115"/>
        <v>0.49739502965016635</v>
      </c>
      <c r="S301" s="921">
        <f t="shared" si="132"/>
        <v>-2</v>
      </c>
      <c r="T301" s="176">
        <f t="shared" si="116"/>
        <v>4</v>
      </c>
      <c r="U301" s="251">
        <f t="shared" si="117"/>
        <v>-1.5026049703498336</v>
      </c>
      <c r="V301" s="383">
        <f t="shared" si="118"/>
        <v>41.625908525454825</v>
      </c>
      <c r="W301" s="58"/>
      <c r="X301" s="157">
        <f t="shared" si="119"/>
        <v>43387</v>
      </c>
      <c r="Y301" s="385">
        <f t="shared" si="120"/>
        <v>34.676000000000002</v>
      </c>
      <c r="Z301" s="385">
        <f t="shared" si="121"/>
        <v>34.78554090182665</v>
      </c>
      <c r="AA301" s="386">
        <f t="shared" si="122"/>
        <v>35.41803926613504</v>
      </c>
      <c r="AB301" s="197">
        <f t="shared" si="123"/>
        <v>43387</v>
      </c>
      <c r="AC301" s="427">
        <f t="shared" si="124"/>
        <v>1.7858085241696374E-2</v>
      </c>
      <c r="AD301" s="169">
        <f>(INDEX(Models!$BJ301:$BT301,,AH301)*(1-AF301)+INDEX(Models!$BJ301:$BT301,,AH301+1)*AF301-ERP_i)*AE301*Ramure*Pc/MaxiM</f>
        <v>2.3406766786816387E-4</v>
      </c>
      <c r="AE301" s="305">
        <f t="shared" si="125"/>
        <v>0.7</v>
      </c>
      <c r="AF301" s="177">
        <f t="shared" si="126"/>
        <v>0.49739502965016635</v>
      </c>
      <c r="AG301" s="921">
        <f t="shared" si="127"/>
        <v>-2</v>
      </c>
      <c r="AH301" s="176">
        <f t="shared" si="128"/>
        <v>4</v>
      </c>
      <c r="AI301" s="225">
        <f t="shared" si="129"/>
        <v>-1.5026049703498336</v>
      </c>
      <c r="AJ301" s="265" t="b">
        <f t="shared" si="130"/>
        <v>0</v>
      </c>
      <c r="AK301" s="265" t="b">
        <f t="shared" si="131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33"/>
        <v>43388</v>
      </c>
      <c r="B302" s="620">
        <v>11.744999999999999</v>
      </c>
      <c r="C302" s="390"/>
      <c r="D302" s="393">
        <f t="shared" si="109"/>
        <v>11.782360321743552</v>
      </c>
      <c r="E302" s="385">
        <f t="shared" si="135"/>
        <v>11.997890006770966</v>
      </c>
      <c r="F302" s="385">
        <f t="shared" si="134"/>
        <v>11.997890006770966</v>
      </c>
      <c r="G302" s="110">
        <f t="shared" si="136"/>
        <v>0.28393004642440545</v>
      </c>
      <c r="I302" s="380">
        <f t="shared" si="110"/>
        <v>11.997890006770966</v>
      </c>
      <c r="J302" s="85">
        <v>2018</v>
      </c>
      <c r="K302" s="197">
        <f t="shared" si="111"/>
        <v>43388</v>
      </c>
      <c r="L302" s="438">
        <f t="shared" si="112"/>
        <v>3.1708690553798879E-3</v>
      </c>
      <c r="M302" s="970"/>
      <c r="N302" s="970"/>
      <c r="O302" s="324">
        <f t="shared" si="113"/>
        <v>1.7963965739457619E-2</v>
      </c>
      <c r="P302" s="169">
        <f>(INDEX(Models!$BJ302:$BT302,,T302)*(1-R302)+INDEX(Models!$BJ302:$BT302,,T302+1)*R302-ERP_i)*Q302*Ramure*Pc/MaxiM</f>
        <v>2.3449403949038963E-4</v>
      </c>
      <c r="Q302" s="305">
        <f t="shared" si="114"/>
        <v>0.7</v>
      </c>
      <c r="R302" s="177">
        <f t="shared" si="115"/>
        <v>0.49750749648953252</v>
      </c>
      <c r="S302" s="921">
        <f t="shared" si="132"/>
        <v>-2</v>
      </c>
      <c r="T302" s="176">
        <f t="shared" si="116"/>
        <v>4</v>
      </c>
      <c r="U302" s="251">
        <f t="shared" si="117"/>
        <v>-1.5024925035104675</v>
      </c>
      <c r="V302" s="383">
        <f t="shared" si="118"/>
        <v>41.356122803412006</v>
      </c>
      <c r="W302" s="58"/>
      <c r="X302" s="157">
        <f t="shared" si="119"/>
        <v>43388</v>
      </c>
      <c r="Y302" s="385">
        <f t="shared" si="120"/>
        <v>11.744999999999999</v>
      </c>
      <c r="Z302" s="385">
        <f t="shared" si="121"/>
        <v>11.782360321743552</v>
      </c>
      <c r="AA302" s="386">
        <f t="shared" si="122"/>
        <v>11.997890006770966</v>
      </c>
      <c r="AB302" s="197">
        <f t="shared" si="123"/>
        <v>43388</v>
      </c>
      <c r="AC302" s="427">
        <f t="shared" si="124"/>
        <v>1.7963965739457619E-2</v>
      </c>
      <c r="AD302" s="169">
        <f>(INDEX(Models!$BJ302:$BT302,,AH302)*(1-AF302)+INDEX(Models!$BJ302:$BT302,,AH302+1)*AF302-ERP_i)*AE302*Ramure*Pc/MaxiM</f>
        <v>2.3449403949038963E-4</v>
      </c>
      <c r="AE302" s="305">
        <f t="shared" si="125"/>
        <v>0.7</v>
      </c>
      <c r="AF302" s="177">
        <f t="shared" si="126"/>
        <v>0.49750749648953252</v>
      </c>
      <c r="AG302" s="921">
        <f t="shared" si="127"/>
        <v>-2</v>
      </c>
      <c r="AH302" s="176">
        <f t="shared" si="128"/>
        <v>4</v>
      </c>
      <c r="AI302" s="225">
        <f t="shared" si="129"/>
        <v>-1.5024925035104675</v>
      </c>
      <c r="AJ302" s="265" t="b">
        <f t="shared" si="130"/>
        <v>0</v>
      </c>
      <c r="AK302" s="265" t="b">
        <f t="shared" si="131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33"/>
        <v>43389</v>
      </c>
      <c r="B303" s="620">
        <v>25.49</v>
      </c>
      <c r="C303" s="390"/>
      <c r="D303" s="393">
        <f t="shared" si="109"/>
        <v>25.571642638985946</v>
      </c>
      <c r="E303" s="385">
        <f t="shared" si="135"/>
        <v>26.042209102181772</v>
      </c>
      <c r="F303" s="385">
        <f t="shared" si="134"/>
        <v>26.045000097080738</v>
      </c>
      <c r="G303" s="110">
        <f t="shared" si="136"/>
        <v>0.62034648151733207</v>
      </c>
      <c r="I303" s="380">
        <f t="shared" si="110"/>
        <v>26.045000097080738</v>
      </c>
      <c r="J303" s="85">
        <v>2018</v>
      </c>
      <c r="K303" s="197">
        <f t="shared" si="111"/>
        <v>43389</v>
      </c>
      <c r="L303" s="438">
        <f t="shared" si="112"/>
        <v>3.1927021716421367E-3</v>
      </c>
      <c r="M303" s="970"/>
      <c r="N303" s="970"/>
      <c r="O303" s="324">
        <f t="shared" si="113"/>
        <v>1.8069375810226645E-2</v>
      </c>
      <c r="P303" s="169">
        <f>(INDEX(Models!$BJ303:$BT303,,T303)*(1-R303)+INDEX(Models!$BJ303:$BT303,,T303+1)*R303-ERP_i)*Q303*Ramure*Pc/MaxiM</f>
        <v>2.3410246695869594E-4</v>
      </c>
      <c r="Q303" s="305">
        <f t="shared" si="114"/>
        <v>0.7</v>
      </c>
      <c r="R303" s="177">
        <f t="shared" si="115"/>
        <v>0.49761548286416546</v>
      </c>
      <c r="S303" s="921">
        <f t="shared" si="132"/>
        <v>-2</v>
      </c>
      <c r="T303" s="176">
        <f t="shared" si="116"/>
        <v>4</v>
      </c>
      <c r="U303" s="251">
        <f t="shared" si="117"/>
        <v>-1.5023845171358345</v>
      </c>
      <c r="V303" s="383">
        <f t="shared" si="118"/>
        <v>41.084723878524152</v>
      </c>
      <c r="W303" s="58"/>
      <c r="X303" s="157">
        <f t="shared" si="119"/>
        <v>43389</v>
      </c>
      <c r="Y303" s="385">
        <f t="shared" si="120"/>
        <v>25.49</v>
      </c>
      <c r="Z303" s="385">
        <f t="shared" si="121"/>
        <v>25.571642638985946</v>
      </c>
      <c r="AA303" s="386">
        <f t="shared" si="122"/>
        <v>26.042209102181772</v>
      </c>
      <c r="AB303" s="197">
        <f t="shared" si="123"/>
        <v>43389</v>
      </c>
      <c r="AC303" s="427">
        <f t="shared" si="124"/>
        <v>1.8069375810226645E-2</v>
      </c>
      <c r="AD303" s="169">
        <f>(INDEX(Models!$BJ303:$BT303,,AH303)*(1-AF303)+INDEX(Models!$BJ303:$BT303,,AH303+1)*AF303-ERP_i)*AE303*Ramure*Pc/MaxiM</f>
        <v>2.3410246695869594E-4</v>
      </c>
      <c r="AE303" s="305">
        <f t="shared" si="125"/>
        <v>0.7</v>
      </c>
      <c r="AF303" s="177">
        <f t="shared" si="126"/>
        <v>0.49761548286416546</v>
      </c>
      <c r="AG303" s="921">
        <f t="shared" si="127"/>
        <v>-2</v>
      </c>
      <c r="AH303" s="176">
        <f t="shared" si="128"/>
        <v>4</v>
      </c>
      <c r="AI303" s="225">
        <f t="shared" si="129"/>
        <v>-1.5023845171358345</v>
      </c>
      <c r="AJ303" s="265" t="b">
        <f t="shared" si="130"/>
        <v>0</v>
      </c>
      <c r="AK303" s="265" t="b">
        <f t="shared" si="131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33"/>
        <v>43390</v>
      </c>
      <c r="B304" s="620">
        <v>22.975000000000001</v>
      </c>
      <c r="C304" s="390"/>
      <c r="D304" s="393">
        <f t="shared" si="109"/>
        <v>23.049092108916163</v>
      </c>
      <c r="E304" s="385">
        <f t="shared" si="135"/>
        <v>23.475747816613811</v>
      </c>
      <c r="F304" s="385">
        <f t="shared" si="134"/>
        <v>23.477802408188175</v>
      </c>
      <c r="G304" s="110">
        <f t="shared" si="136"/>
        <v>0.56287395255585071</v>
      </c>
      <c r="I304" s="380">
        <f t="shared" si="110"/>
        <v>23.477802408188175</v>
      </c>
      <c r="J304" s="85">
        <v>2018</v>
      </c>
      <c r="K304" s="197">
        <f t="shared" si="111"/>
        <v>43390</v>
      </c>
      <c r="L304" s="438">
        <f t="shared" si="112"/>
        <v>3.214534809703018E-3</v>
      </c>
      <c r="M304" s="970"/>
      <c r="N304" s="970"/>
      <c r="O304" s="324">
        <f t="shared" si="113"/>
        <v>1.8174318067759505E-2</v>
      </c>
      <c r="P304" s="169">
        <f>(INDEX(Models!$BJ304:$BT304,,T304)*(1-R304)+INDEX(Models!$BJ304:$BT304,,T304+1)*R304-ERP_i)*Q304*Ramure*Pc/MaxiM</f>
        <v>2.329610297389417E-4</v>
      </c>
      <c r="Q304" s="305">
        <f t="shared" si="114"/>
        <v>0.7</v>
      </c>
      <c r="R304" s="177">
        <f t="shared" si="115"/>
        <v>0.49771916542941019</v>
      </c>
      <c r="S304" s="921">
        <f t="shared" si="132"/>
        <v>-2</v>
      </c>
      <c r="T304" s="176">
        <f t="shared" si="116"/>
        <v>4</v>
      </c>
      <c r="U304" s="251">
        <f t="shared" si="117"/>
        <v>-1.5022808345705898</v>
      </c>
      <c r="V304" s="383">
        <f t="shared" si="118"/>
        <v>40.811371558151805</v>
      </c>
      <c r="W304" s="58"/>
      <c r="X304" s="157">
        <f t="shared" si="119"/>
        <v>43390</v>
      </c>
      <c r="Y304" s="385">
        <f t="shared" si="120"/>
        <v>22.975000000000001</v>
      </c>
      <c r="Z304" s="385">
        <f t="shared" si="121"/>
        <v>23.049092108916163</v>
      </c>
      <c r="AA304" s="386">
        <f t="shared" si="122"/>
        <v>23.475747816613811</v>
      </c>
      <c r="AB304" s="197">
        <f t="shared" si="123"/>
        <v>43390</v>
      </c>
      <c r="AC304" s="427">
        <f t="shared" si="124"/>
        <v>1.8174318067759505E-2</v>
      </c>
      <c r="AD304" s="169">
        <f>(INDEX(Models!$BJ304:$BT304,,AH304)*(1-AF304)+INDEX(Models!$BJ304:$BT304,,AH304+1)*AF304-ERP_i)*AE304*Ramure*Pc/MaxiM</f>
        <v>2.329610297389417E-4</v>
      </c>
      <c r="AE304" s="305">
        <f t="shared" si="125"/>
        <v>0.7</v>
      </c>
      <c r="AF304" s="177">
        <f t="shared" si="126"/>
        <v>0.49771916542941019</v>
      </c>
      <c r="AG304" s="921">
        <f t="shared" si="127"/>
        <v>-2</v>
      </c>
      <c r="AH304" s="176">
        <f t="shared" si="128"/>
        <v>4</v>
      </c>
      <c r="AI304" s="225">
        <f t="shared" si="129"/>
        <v>-1.5022808345705898</v>
      </c>
      <c r="AJ304" s="265" t="b">
        <f t="shared" si="130"/>
        <v>0</v>
      </c>
      <c r="AK304" s="265" t="b">
        <f t="shared" si="131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33"/>
        <v>43391</v>
      </c>
      <c r="B305" s="620">
        <v>10.602</v>
      </c>
      <c r="C305" s="390"/>
      <c r="D305" s="393">
        <f t="shared" si="109"/>
        <v>10.636423369266691</v>
      </c>
      <c r="E305" s="385">
        <f t="shared" si="135"/>
        <v>10.834464335357007</v>
      </c>
      <c r="F305" s="385">
        <f t="shared" si="134"/>
        <v>10.834464335357007</v>
      </c>
      <c r="G305" s="110">
        <f t="shared" si="136"/>
        <v>0.26148511510776073</v>
      </c>
      <c r="I305" s="380">
        <f t="shared" si="110"/>
        <v>10.834464335357007</v>
      </c>
      <c r="J305" s="85">
        <v>2018</v>
      </c>
      <c r="K305" s="197">
        <f t="shared" si="111"/>
        <v>43391</v>
      </c>
      <c r="L305" s="438">
        <f t="shared" si="112"/>
        <v>3.23636696957319E-3</v>
      </c>
      <c r="M305" s="970"/>
      <c r="N305" s="970"/>
      <c r="O305" s="324">
        <f t="shared" si="113"/>
        <v>1.8278796252439798E-2</v>
      </c>
      <c r="P305" s="169">
        <f>(INDEX(Models!$BJ305:$BT305,,T305)*(1-R305)+INDEX(Models!$BJ305:$BT305,,T305+1)*R305-ERP_i)*Q305*Ramure*Pc/MaxiM</f>
        <v>2.3164021518838458E-4</v>
      </c>
      <c r="Q305" s="305">
        <f t="shared" si="114"/>
        <v>0.7</v>
      </c>
      <c r="R305" s="177">
        <f t="shared" si="115"/>
        <v>0.49781871401985089</v>
      </c>
      <c r="S305" s="921">
        <f t="shared" si="132"/>
        <v>-2</v>
      </c>
      <c r="T305" s="176">
        <f t="shared" si="116"/>
        <v>4</v>
      </c>
      <c r="U305" s="251">
        <f t="shared" si="117"/>
        <v>-1.5021812859801491</v>
      </c>
      <c r="V305" s="383">
        <f t="shared" si="118"/>
        <v>40.535936992323215</v>
      </c>
      <c r="W305" s="58"/>
      <c r="X305" s="157">
        <f t="shared" si="119"/>
        <v>43391</v>
      </c>
      <c r="Y305" s="385">
        <f t="shared" si="120"/>
        <v>10.602</v>
      </c>
      <c r="Z305" s="385">
        <f t="shared" si="121"/>
        <v>10.636423369266691</v>
      </c>
      <c r="AA305" s="386">
        <f t="shared" si="122"/>
        <v>10.834464335357007</v>
      </c>
      <c r="AB305" s="197">
        <f t="shared" si="123"/>
        <v>43391</v>
      </c>
      <c r="AC305" s="427">
        <f t="shared" si="124"/>
        <v>1.8278796252439798E-2</v>
      </c>
      <c r="AD305" s="169">
        <f>(INDEX(Models!$BJ305:$BT305,,AH305)*(1-AF305)+INDEX(Models!$BJ305:$BT305,,AH305+1)*AF305-ERP_i)*AE305*Ramure*Pc/MaxiM</f>
        <v>2.3164021518838458E-4</v>
      </c>
      <c r="AE305" s="305">
        <f t="shared" si="125"/>
        <v>0.7</v>
      </c>
      <c r="AF305" s="177">
        <f t="shared" si="126"/>
        <v>0.49781871401985089</v>
      </c>
      <c r="AG305" s="921">
        <f t="shared" si="127"/>
        <v>-2</v>
      </c>
      <c r="AH305" s="176">
        <f t="shared" si="128"/>
        <v>4</v>
      </c>
      <c r="AI305" s="225">
        <f t="shared" si="129"/>
        <v>-1.5021812859801491</v>
      </c>
      <c r="AJ305" s="265" t="b">
        <f t="shared" si="130"/>
        <v>0</v>
      </c>
      <c r="AK305" s="265" t="b">
        <f t="shared" si="131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33"/>
        <v>43392</v>
      </c>
      <c r="B306" s="620">
        <v>24.963999999999999</v>
      </c>
      <c r="C306" s="390"/>
      <c r="D306" s="393">
        <f t="shared" si="109"/>
        <v>25.045603551712254</v>
      </c>
      <c r="E306" s="385">
        <f t="shared" si="135"/>
        <v>25.514634361558997</v>
      </c>
      <c r="F306" s="385">
        <f t="shared" si="134"/>
        <v>25.517319769533525</v>
      </c>
      <c r="G306" s="110">
        <f t="shared" si="136"/>
        <v>0.62001804288008999</v>
      </c>
      <c r="I306" s="380">
        <f t="shared" si="110"/>
        <v>25.517319769533525</v>
      </c>
      <c r="J306" s="85">
        <v>2018</v>
      </c>
      <c r="K306" s="197">
        <f t="shared" si="111"/>
        <v>43392</v>
      </c>
      <c r="L306" s="438">
        <f t="shared" si="112"/>
        <v>3.2581986512629779E-3</v>
      </c>
      <c r="M306" s="970"/>
      <c r="N306" s="970"/>
      <c r="O306" s="324">
        <f t="shared" si="113"/>
        <v>1.8382815258109194E-2</v>
      </c>
      <c r="P306" s="169">
        <f>(INDEX(Models!$BJ306:$BT306,,T306)*(1-R306)+INDEX(Models!$BJ306:$BT306,,T306+1)*R306-ERP_i)*Q306*Ramure*Pc/MaxiM</f>
        <v>2.3014083600475529E-4</v>
      </c>
      <c r="Q306" s="305">
        <f t="shared" si="114"/>
        <v>0.7</v>
      </c>
      <c r="R306" s="177">
        <f t="shared" si="115"/>
        <v>0.49791429190128089</v>
      </c>
      <c r="S306" s="921">
        <f t="shared" si="132"/>
        <v>-2</v>
      </c>
      <c r="T306" s="176">
        <f t="shared" si="116"/>
        <v>4</v>
      </c>
      <c r="U306" s="251">
        <f t="shared" si="117"/>
        <v>-1.5020857080987191</v>
      </c>
      <c r="V306" s="383">
        <f t="shared" si="118"/>
        <v>40.258314899036357</v>
      </c>
      <c r="W306" s="58"/>
      <c r="X306" s="157">
        <f t="shared" si="119"/>
        <v>43392</v>
      </c>
      <c r="Y306" s="385">
        <f t="shared" si="120"/>
        <v>24.963999999999999</v>
      </c>
      <c r="Z306" s="385">
        <f t="shared" si="121"/>
        <v>25.045603551712254</v>
      </c>
      <c r="AA306" s="386">
        <f t="shared" si="122"/>
        <v>25.514634361558997</v>
      </c>
      <c r="AB306" s="197">
        <f t="shared" si="123"/>
        <v>43392</v>
      </c>
      <c r="AC306" s="427">
        <f t="shared" si="124"/>
        <v>1.8382815258109194E-2</v>
      </c>
      <c r="AD306" s="169">
        <f>(INDEX(Models!$BJ306:$BT306,,AH306)*(1-AF306)+INDEX(Models!$BJ306:$BT306,,AH306+1)*AF306-ERP_i)*AE306*Ramure*Pc/MaxiM</f>
        <v>2.3014083600475529E-4</v>
      </c>
      <c r="AE306" s="305">
        <f t="shared" si="125"/>
        <v>0.7</v>
      </c>
      <c r="AF306" s="177">
        <f t="shared" si="126"/>
        <v>0.49791429190128089</v>
      </c>
      <c r="AG306" s="921">
        <f t="shared" si="127"/>
        <v>-2</v>
      </c>
      <c r="AH306" s="176">
        <f t="shared" si="128"/>
        <v>4</v>
      </c>
      <c r="AI306" s="225">
        <f t="shared" si="129"/>
        <v>-1.5020857080987191</v>
      </c>
      <c r="AJ306" s="265" t="b">
        <f t="shared" si="130"/>
        <v>0</v>
      </c>
      <c r="AK306" s="265" t="b">
        <f t="shared" si="131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33"/>
        <v>43393</v>
      </c>
      <c r="B307" s="620">
        <v>9.7059999999999995</v>
      </c>
      <c r="C307" s="390"/>
      <c r="D307" s="393">
        <f t="shared" si="109"/>
        <v>9.7379407363392989</v>
      </c>
      <c r="E307" s="385">
        <f t="shared" si="135"/>
        <v>9.9213506051757925</v>
      </c>
      <c r="F307" s="385">
        <f t="shared" si="134"/>
        <v>9.9213506051757925</v>
      </c>
      <c r="G307" s="110">
        <f t="shared" si="136"/>
        <v>0.24272563512724563</v>
      </c>
      <c r="I307" s="380">
        <f t="shared" si="110"/>
        <v>9.9213506051757925</v>
      </c>
      <c r="J307" s="85">
        <v>2018</v>
      </c>
      <c r="K307" s="197">
        <f t="shared" si="111"/>
        <v>43393</v>
      </c>
      <c r="L307" s="438">
        <f t="shared" si="112"/>
        <v>3.2800298547829287E-3</v>
      </c>
      <c r="M307" s="970"/>
      <c r="N307" s="970"/>
      <c r="O307" s="324">
        <f t="shared" si="113"/>
        <v>1.8486381152664117E-2</v>
      </c>
      <c r="P307" s="169">
        <f>(INDEX(Models!$BJ307:$BT307,,T307)*(1-R307)+INDEX(Models!$BJ307:$BT307,,T307+1)*R307-ERP_i)*Q307*Ramure*Pc/MaxiM</f>
        <v>2.2846387455293009E-4</v>
      </c>
      <c r="Q307" s="305">
        <f t="shared" si="114"/>
        <v>0.7</v>
      </c>
      <c r="R307" s="177">
        <f t="shared" si="115"/>
        <v>0.49800605601427428</v>
      </c>
      <c r="S307" s="921">
        <f t="shared" si="132"/>
        <v>-2</v>
      </c>
      <c r="T307" s="176">
        <f t="shared" si="116"/>
        <v>4</v>
      </c>
      <c r="U307" s="251">
        <f t="shared" si="117"/>
        <v>-1.5019939439857257</v>
      </c>
      <c r="V307" s="383">
        <f t="shared" si="118"/>
        <v>39.978399992841759</v>
      </c>
      <c r="W307" s="58"/>
      <c r="X307" s="157">
        <f t="shared" si="119"/>
        <v>43393</v>
      </c>
      <c r="Y307" s="385">
        <f t="shared" si="120"/>
        <v>9.7059999999999995</v>
      </c>
      <c r="Z307" s="385">
        <f t="shared" si="121"/>
        <v>9.7379407363392989</v>
      </c>
      <c r="AA307" s="386">
        <f t="shared" si="122"/>
        <v>9.9213506051757925</v>
      </c>
      <c r="AB307" s="197">
        <f t="shared" si="123"/>
        <v>43393</v>
      </c>
      <c r="AC307" s="427">
        <f t="shared" si="124"/>
        <v>1.8486381152664117E-2</v>
      </c>
      <c r="AD307" s="169">
        <f>(INDEX(Models!$BJ307:$BT307,,AH307)*(1-AF307)+INDEX(Models!$BJ307:$BT307,,AH307+1)*AF307-ERP_i)*AE307*Ramure*Pc/MaxiM</f>
        <v>2.2846387455293009E-4</v>
      </c>
      <c r="AE307" s="305">
        <f t="shared" si="125"/>
        <v>0.7</v>
      </c>
      <c r="AF307" s="177">
        <f t="shared" si="126"/>
        <v>0.49800605601427428</v>
      </c>
      <c r="AG307" s="921">
        <f t="shared" si="127"/>
        <v>-2</v>
      </c>
      <c r="AH307" s="176">
        <f t="shared" si="128"/>
        <v>4</v>
      </c>
      <c r="AI307" s="225">
        <f t="shared" si="129"/>
        <v>-1.5019939439857257</v>
      </c>
      <c r="AJ307" s="265" t="b">
        <f t="shared" si="130"/>
        <v>0</v>
      </c>
      <c r="AK307" s="265" t="b">
        <f t="shared" si="131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33"/>
        <v>43394</v>
      </c>
      <c r="B308" s="620">
        <v>18.215</v>
      </c>
      <c r="C308" s="390"/>
      <c r="D308" s="393">
        <f t="shared" si="109"/>
        <v>18.275342633429936</v>
      </c>
      <c r="E308" s="385">
        <f t="shared" si="135"/>
        <v>18.621507163035101</v>
      </c>
      <c r="F308" s="385">
        <f t="shared" si="134"/>
        <v>18.622464880357207</v>
      </c>
      <c r="G308" s="110">
        <f t="shared" si="136"/>
        <v>0.45878095981023626</v>
      </c>
      <c r="I308" s="380">
        <f t="shared" si="110"/>
        <v>18.622464880357207</v>
      </c>
      <c r="J308" s="85">
        <v>2018</v>
      </c>
      <c r="K308" s="197">
        <f t="shared" si="111"/>
        <v>43394</v>
      </c>
      <c r="L308" s="438">
        <f t="shared" si="112"/>
        <v>3.3018605801434786E-3</v>
      </c>
      <c r="M308" s="970"/>
      <c r="N308" s="970"/>
      <c r="O308" s="324">
        <f t="shared" si="113"/>
        <v>1.8589501192058405E-2</v>
      </c>
      <c r="P308" s="169">
        <f>(INDEX(Models!$BJ308:$BT308,,T308)*(1-R308)+INDEX(Models!$BJ308:$BT308,,T308+1)*R308-ERP_i)*Q308*Ramure*Pc/MaxiM</f>
        <v>2.2661047138131815E-4</v>
      </c>
      <c r="Q308" s="305">
        <f t="shared" si="114"/>
        <v>0.7</v>
      </c>
      <c r="R308" s="177">
        <f t="shared" si="115"/>
        <v>0.49809415720955963</v>
      </c>
      <c r="S308" s="921">
        <f t="shared" si="132"/>
        <v>-2</v>
      </c>
      <c r="T308" s="176">
        <f t="shared" si="116"/>
        <v>4</v>
      </c>
      <c r="U308" s="251">
        <f t="shared" si="117"/>
        <v>-1.5019058427904404</v>
      </c>
      <c r="V308" s="383">
        <f t="shared" si="118"/>
        <v>39.696086986425918</v>
      </c>
      <c r="W308" s="58"/>
      <c r="X308" s="157">
        <f t="shared" si="119"/>
        <v>43394</v>
      </c>
      <c r="Y308" s="385">
        <f t="shared" si="120"/>
        <v>18.215</v>
      </c>
      <c r="Z308" s="385">
        <f t="shared" si="121"/>
        <v>18.275342633429936</v>
      </c>
      <c r="AA308" s="386">
        <f t="shared" si="122"/>
        <v>18.621507163035101</v>
      </c>
      <c r="AB308" s="197">
        <f t="shared" si="123"/>
        <v>43394</v>
      </c>
      <c r="AC308" s="427">
        <f t="shared" si="124"/>
        <v>1.8589501192058405E-2</v>
      </c>
      <c r="AD308" s="169">
        <f>(INDEX(Models!$BJ308:$BT308,,AH308)*(1-AF308)+INDEX(Models!$BJ308:$BT308,,AH308+1)*AF308-ERP_i)*AE308*Ramure*Pc/MaxiM</f>
        <v>2.2661047138131815E-4</v>
      </c>
      <c r="AE308" s="305">
        <f t="shared" si="125"/>
        <v>0.7</v>
      </c>
      <c r="AF308" s="177">
        <f t="shared" si="126"/>
        <v>0.49809415720955963</v>
      </c>
      <c r="AG308" s="921">
        <f t="shared" si="127"/>
        <v>-2</v>
      </c>
      <c r="AH308" s="176">
        <f t="shared" si="128"/>
        <v>4</v>
      </c>
      <c r="AI308" s="225">
        <f t="shared" si="129"/>
        <v>-1.5019058427904404</v>
      </c>
      <c r="AJ308" s="265" t="b">
        <f t="shared" si="130"/>
        <v>0</v>
      </c>
      <c r="AK308" s="265" t="b">
        <f t="shared" si="131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33"/>
        <v>43395</v>
      </c>
      <c r="B309" s="620">
        <v>23.86</v>
      </c>
      <c r="C309" s="390"/>
      <c r="D309" s="393">
        <f t="shared" si="109"/>
        <v>23.939567721647283</v>
      </c>
      <c r="E309" s="385">
        <f t="shared" si="135"/>
        <v>24.395574280676605</v>
      </c>
      <c r="F309" s="385">
        <f t="shared" si="134"/>
        <v>24.397964921918717</v>
      </c>
      <c r="G309" s="110">
        <f t="shared" si="136"/>
        <v>0.60533392479820713</v>
      </c>
      <c r="I309" s="380">
        <f t="shared" si="110"/>
        <v>24.397964921918717</v>
      </c>
      <c r="J309" s="85">
        <v>2018</v>
      </c>
      <c r="K309" s="197">
        <f t="shared" si="111"/>
        <v>43395</v>
      </c>
      <c r="L309" s="438">
        <f t="shared" si="112"/>
        <v>3.3236908273550636E-3</v>
      </c>
      <c r="M309" s="970"/>
      <c r="N309" s="970"/>
      <c r="O309" s="324">
        <f t="shared" si="113"/>
        <v>1.8692183827396951E-2</v>
      </c>
      <c r="P309" s="169">
        <f>(INDEX(Models!$BJ309:$BT309,,T309)*(1-R309)+INDEX(Models!$BJ309:$BT309,,T309+1)*R309-ERP_i)*Q309*Ramure*Pc/MaxiM</f>
        <v>2.2458191146756338E-4</v>
      </c>
      <c r="Q309" s="305">
        <f t="shared" si="114"/>
        <v>0.7</v>
      </c>
      <c r="R309" s="177">
        <f t="shared" si="115"/>
        <v>0.49817874047540545</v>
      </c>
      <c r="S309" s="921">
        <f t="shared" si="132"/>
        <v>-2</v>
      </c>
      <c r="T309" s="176">
        <f t="shared" si="116"/>
        <v>4</v>
      </c>
      <c r="U309" s="251">
        <f t="shared" si="117"/>
        <v>-1.5018212595245946</v>
      </c>
      <c r="V309" s="383">
        <f t="shared" si="118"/>
        <v>39.411270591095679</v>
      </c>
      <c r="W309" s="58"/>
      <c r="X309" s="157">
        <f t="shared" si="119"/>
        <v>43395</v>
      </c>
      <c r="Y309" s="385">
        <f t="shared" si="120"/>
        <v>23.86</v>
      </c>
      <c r="Z309" s="385">
        <f t="shared" si="121"/>
        <v>23.939567721647283</v>
      </c>
      <c r="AA309" s="386">
        <f t="shared" si="122"/>
        <v>24.395574280676605</v>
      </c>
      <c r="AB309" s="197">
        <f t="shared" si="123"/>
        <v>43395</v>
      </c>
      <c r="AC309" s="427">
        <f t="shared" si="124"/>
        <v>1.8692183827396951E-2</v>
      </c>
      <c r="AD309" s="169">
        <f>(INDEX(Models!$BJ309:$BT309,,AH309)*(1-AF309)+INDEX(Models!$BJ309:$BT309,,AH309+1)*AF309-ERP_i)*AE309*Ramure*Pc/MaxiM</f>
        <v>2.2458191146756338E-4</v>
      </c>
      <c r="AE309" s="305">
        <f t="shared" si="125"/>
        <v>0.7</v>
      </c>
      <c r="AF309" s="177">
        <f t="shared" si="126"/>
        <v>0.49817874047540545</v>
      </c>
      <c r="AG309" s="921">
        <f t="shared" si="127"/>
        <v>-2</v>
      </c>
      <c r="AH309" s="176">
        <f t="shared" si="128"/>
        <v>4</v>
      </c>
      <c r="AI309" s="225">
        <f t="shared" si="129"/>
        <v>-1.5018212595245946</v>
      </c>
      <c r="AJ309" s="265" t="b">
        <f t="shared" si="130"/>
        <v>0</v>
      </c>
      <c r="AK309" s="265" t="b">
        <f t="shared" si="131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33"/>
        <v>43396</v>
      </c>
      <c r="B310" s="620">
        <v>38.948</v>
      </c>
      <c r="C310" s="390"/>
      <c r="D310" s="393">
        <f t="shared" si="109"/>
        <v>39.078738725287891</v>
      </c>
      <c r="E310" s="385">
        <f t="shared" si="135"/>
        <v>39.827269908362396</v>
      </c>
      <c r="F310" s="385">
        <f t="shared" si="134"/>
        <v>39.836073518385142</v>
      </c>
      <c r="G310" s="110">
        <f t="shared" si="136"/>
        <v>0.99550403542653865</v>
      </c>
      <c r="I310" s="380">
        <f t="shared" si="110"/>
        <v>39.836073518385142</v>
      </c>
      <c r="J310" s="85">
        <v>2018</v>
      </c>
      <c r="K310" s="197">
        <f t="shared" si="111"/>
        <v>43396</v>
      </c>
      <c r="L310" s="438">
        <f t="shared" si="112"/>
        <v>3.3455205964282309E-3</v>
      </c>
      <c r="M310" s="970"/>
      <c r="N310" s="970"/>
      <c r="O310" s="324">
        <f t="shared" si="113"/>
        <v>1.8794438704856746E-2</v>
      </c>
      <c r="P310" s="169">
        <f>(INDEX(Models!$BJ310:$BT310,,T310)*(1-R310)+INDEX(Models!$BJ310:$BT310,,T310+1)*R310-ERP_i)*Q310*Ramure*Pc/MaxiM</f>
        <v>2.2242406256468467E-4</v>
      </c>
      <c r="Q310" s="305">
        <f t="shared" si="114"/>
        <v>0.7</v>
      </c>
      <c r="R310" s="177">
        <f t="shared" si="115"/>
        <v>0.49825994515722716</v>
      </c>
      <c r="S310" s="921">
        <f t="shared" si="132"/>
        <v>-2</v>
      </c>
      <c r="T310" s="176">
        <f t="shared" si="116"/>
        <v>4</v>
      </c>
      <c r="U310" s="251">
        <f t="shared" si="117"/>
        <v>-1.5017400548427728</v>
      </c>
      <c r="V310" s="383">
        <f t="shared" si="118"/>
        <v>39.123843780321714</v>
      </c>
      <c r="W310" s="58"/>
      <c r="X310" s="157">
        <f t="shared" si="119"/>
        <v>43396</v>
      </c>
      <c r="Y310" s="385">
        <f t="shared" si="120"/>
        <v>38.948</v>
      </c>
      <c r="Z310" s="385">
        <f t="shared" si="121"/>
        <v>39.078738725287891</v>
      </c>
      <c r="AA310" s="386">
        <f t="shared" si="122"/>
        <v>39.827269908362396</v>
      </c>
      <c r="AB310" s="197">
        <f t="shared" si="123"/>
        <v>43396</v>
      </c>
      <c r="AC310" s="427">
        <f t="shared" si="124"/>
        <v>1.8794438704856746E-2</v>
      </c>
      <c r="AD310" s="169">
        <f>(INDEX(Models!$BJ310:$BT310,,AH310)*(1-AF310)+INDEX(Models!$BJ310:$BT310,,AH310+1)*AF310-ERP_i)*AE310*Ramure*Pc/MaxiM</f>
        <v>2.2242406256468467E-4</v>
      </c>
      <c r="AE310" s="305">
        <f t="shared" si="125"/>
        <v>0.7</v>
      </c>
      <c r="AF310" s="177">
        <f t="shared" si="126"/>
        <v>0.49825994515722716</v>
      </c>
      <c r="AG310" s="921">
        <f t="shared" si="127"/>
        <v>-2</v>
      </c>
      <c r="AH310" s="176">
        <f t="shared" si="128"/>
        <v>4</v>
      </c>
      <c r="AI310" s="225">
        <f t="shared" si="129"/>
        <v>-1.5017400548427728</v>
      </c>
      <c r="AJ310" s="265" t="b">
        <f t="shared" si="130"/>
        <v>0</v>
      </c>
      <c r="AK310" s="265" t="b">
        <f t="shared" si="131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33"/>
        <v>43397</v>
      </c>
      <c r="B311" s="620">
        <v>35.939</v>
      </c>
      <c r="C311" s="390"/>
      <c r="D311" s="393">
        <f t="shared" si="109"/>
        <v>36.060428078428536</v>
      </c>
      <c r="E311" s="385">
        <f t="shared" si="135"/>
        <v>36.754959970594889</v>
      </c>
      <c r="F311" s="385">
        <f t="shared" si="134"/>
        <v>36.762198666415699</v>
      </c>
      <c r="G311" s="110">
        <f t="shared" si="136"/>
        <v>0.92543753677702678</v>
      </c>
      <c r="I311" s="380">
        <f t="shared" si="110"/>
        <v>36.762198666415699</v>
      </c>
      <c r="J311" s="85">
        <v>2018</v>
      </c>
      <c r="K311" s="197">
        <f t="shared" si="111"/>
        <v>43397</v>
      </c>
      <c r="L311" s="438">
        <f t="shared" si="112"/>
        <v>3.3673498873735275E-3</v>
      </c>
      <c r="M311" s="970"/>
      <c r="N311" s="970"/>
      <c r="O311" s="324">
        <f t="shared" si="113"/>
        <v>1.889627665822529E-2</v>
      </c>
      <c r="P311" s="169">
        <f>(INDEX(Models!$BJ311:$BT311,,T311)*(1-R311)+INDEX(Models!$BJ311:$BT311,,T311+1)*R311-ERP_i)*Q311*Ramure*Pc/MaxiM</f>
        <v>2.2037273620735694E-4</v>
      </c>
      <c r="Q311" s="305">
        <f t="shared" si="114"/>
        <v>0.7</v>
      </c>
      <c r="R311" s="177">
        <f t="shared" si="115"/>
        <v>0.49833790516961995</v>
      </c>
      <c r="S311" s="921">
        <f t="shared" si="132"/>
        <v>-2</v>
      </c>
      <c r="T311" s="176">
        <f t="shared" si="116"/>
        <v>4</v>
      </c>
      <c r="U311" s="251">
        <f t="shared" si="117"/>
        <v>-1.50166209483038</v>
      </c>
      <c r="V311" s="383">
        <f t="shared" si="118"/>
        <v>38.833692208333339</v>
      </c>
      <c r="W311" s="58"/>
      <c r="X311" s="157">
        <f t="shared" si="119"/>
        <v>43397</v>
      </c>
      <c r="Y311" s="385">
        <f t="shared" si="120"/>
        <v>35.939</v>
      </c>
      <c r="Z311" s="385">
        <f t="shared" si="121"/>
        <v>36.060428078428536</v>
      </c>
      <c r="AA311" s="386">
        <f t="shared" si="122"/>
        <v>36.754959970594889</v>
      </c>
      <c r="AB311" s="197">
        <f t="shared" si="123"/>
        <v>43397</v>
      </c>
      <c r="AC311" s="427">
        <f t="shared" si="124"/>
        <v>1.889627665822529E-2</v>
      </c>
      <c r="AD311" s="169">
        <f>(INDEX(Models!$BJ311:$BT311,,AH311)*(1-AF311)+INDEX(Models!$BJ311:$BT311,,AH311+1)*AF311-ERP_i)*AE311*Ramure*Pc/MaxiM</f>
        <v>2.2037273620735694E-4</v>
      </c>
      <c r="AE311" s="305">
        <f t="shared" si="125"/>
        <v>0.7</v>
      </c>
      <c r="AF311" s="177">
        <f t="shared" si="126"/>
        <v>0.49833790516961995</v>
      </c>
      <c r="AG311" s="921">
        <f t="shared" si="127"/>
        <v>-2</v>
      </c>
      <c r="AH311" s="176">
        <f t="shared" si="128"/>
        <v>4</v>
      </c>
      <c r="AI311" s="225">
        <f t="shared" si="129"/>
        <v>-1.50166209483038</v>
      </c>
      <c r="AJ311" s="265" t="b">
        <f t="shared" si="130"/>
        <v>0</v>
      </c>
      <c r="AK311" s="265" t="b">
        <f t="shared" si="131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33"/>
        <v>43398</v>
      </c>
      <c r="B312" s="620">
        <v>38.493000000000002</v>
      </c>
      <c r="C312" s="390"/>
      <c r="D312" s="393">
        <f t="shared" si="109"/>
        <v>38.623903310418306</v>
      </c>
      <c r="E312" s="385">
        <f t="shared" si="135"/>
        <v>39.371878834621995</v>
      </c>
      <c r="F312" s="385">
        <f t="shared" si="134"/>
        <v>39.380465592356508</v>
      </c>
      <c r="G312" s="110">
        <f t="shared" si="136"/>
        <v>0.99876168323739611</v>
      </c>
      <c r="I312" s="380">
        <f t="shared" si="110"/>
        <v>39.380465592356508</v>
      </c>
      <c r="J312" s="85">
        <v>2018</v>
      </c>
      <c r="K312" s="197">
        <f t="shared" si="111"/>
        <v>43398</v>
      </c>
      <c r="L312" s="438">
        <f t="shared" si="112"/>
        <v>3.3891787002012785E-3</v>
      </c>
      <c r="M312" s="970"/>
      <c r="N312" s="970"/>
      <c r="O312" s="324">
        <f t="shared" si="113"/>
        <v>1.8997709693903301E-2</v>
      </c>
      <c r="P312" s="169">
        <f>(INDEX(Models!$BJ312:$BT312,,T312)*(1-R312)+INDEX(Models!$BJ312:$BT312,,T312+1)*R312-ERP_i)*Q312*Ramure*Pc/MaxiM</f>
        <v>2.184324119604322E-4</v>
      </c>
      <c r="Q312" s="305">
        <f t="shared" si="114"/>
        <v>0.7</v>
      </c>
      <c r="R312" s="177">
        <f t="shared" si="115"/>
        <v>0.49841274920102818</v>
      </c>
      <c r="S312" s="921">
        <f t="shared" si="132"/>
        <v>-2</v>
      </c>
      <c r="T312" s="176">
        <f t="shared" si="116"/>
        <v>4</v>
      </c>
      <c r="U312" s="251">
        <f t="shared" si="117"/>
        <v>-1.5015872507989718</v>
      </c>
      <c r="V312" s="383">
        <f t="shared" si="118"/>
        <v>38.540710735375022</v>
      </c>
      <c r="W312" s="58"/>
      <c r="X312" s="157">
        <f t="shared" si="119"/>
        <v>43398</v>
      </c>
      <c r="Y312" s="385">
        <f t="shared" si="120"/>
        <v>38.493000000000002</v>
      </c>
      <c r="Z312" s="385">
        <f t="shared" si="121"/>
        <v>38.623903310418306</v>
      </c>
      <c r="AA312" s="386">
        <f t="shared" si="122"/>
        <v>39.371878834621995</v>
      </c>
      <c r="AB312" s="197">
        <f t="shared" si="123"/>
        <v>43398</v>
      </c>
      <c r="AC312" s="427">
        <f t="shared" si="124"/>
        <v>1.8997709693903301E-2</v>
      </c>
      <c r="AD312" s="169">
        <f>(INDEX(Models!$BJ312:$BT312,,AH312)*(1-AF312)+INDEX(Models!$BJ312:$BT312,,AH312+1)*AF312-ERP_i)*AE312*Ramure*Pc/MaxiM</f>
        <v>2.184324119604322E-4</v>
      </c>
      <c r="AE312" s="305">
        <f t="shared" si="125"/>
        <v>0.7</v>
      </c>
      <c r="AF312" s="177">
        <f t="shared" si="126"/>
        <v>0.49841274920102818</v>
      </c>
      <c r="AG312" s="921">
        <f t="shared" si="127"/>
        <v>-2</v>
      </c>
      <c r="AH312" s="176">
        <f t="shared" si="128"/>
        <v>4</v>
      </c>
      <c r="AI312" s="225">
        <f t="shared" si="129"/>
        <v>-1.5015872507989718</v>
      </c>
      <c r="AJ312" s="265" t="b">
        <f t="shared" si="130"/>
        <v>0</v>
      </c>
      <c r="AK312" s="265" t="b">
        <f t="shared" si="131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33"/>
        <v>43399</v>
      </c>
      <c r="B313" s="620">
        <v>4.4669999999999996</v>
      </c>
      <c r="C313" s="390"/>
      <c r="D313" s="393">
        <f t="shared" si="109"/>
        <v>4.4822891197199182</v>
      </c>
      <c r="E313" s="385">
        <f t="shared" si="135"/>
        <v>4.5695620472953111</v>
      </c>
      <c r="F313" s="385">
        <f t="shared" si="134"/>
        <v>4.5695620472953111</v>
      </c>
      <c r="G313" s="110">
        <f t="shared" si="136"/>
        <v>0.11677491022829266</v>
      </c>
      <c r="I313" s="380">
        <f t="shared" si="110"/>
        <v>4.5695620472953111</v>
      </c>
      <c r="J313" s="85">
        <v>2018</v>
      </c>
      <c r="K313" s="197">
        <f t="shared" si="111"/>
        <v>43399</v>
      </c>
      <c r="L313" s="438">
        <f t="shared" si="112"/>
        <v>3.4110070349219201E-3</v>
      </c>
      <c r="M313" s="970"/>
      <c r="N313" s="970"/>
      <c r="O313" s="324">
        <f t="shared" si="113"/>
        <v>1.9098750968279048E-2</v>
      </c>
      <c r="P313" s="169">
        <f>(INDEX(Models!$BJ313:$BT313,,T313)*(1-R313)+INDEX(Models!$BJ313:$BT313,,T313+1)*R313-ERP_i)*Q313*Ramure*Pc/MaxiM</f>
        <v>2.166057914054514E-4</v>
      </c>
      <c r="Q313" s="305">
        <f t="shared" si="114"/>
        <v>0.7</v>
      </c>
      <c r="R313" s="177">
        <f t="shared" si="115"/>
        <v>0.49848460091125757</v>
      </c>
      <c r="S313" s="921">
        <f t="shared" si="132"/>
        <v>-2</v>
      </c>
      <c r="T313" s="176">
        <f t="shared" si="116"/>
        <v>4</v>
      </c>
      <c r="U313" s="251">
        <f t="shared" si="117"/>
        <v>-1.5015153990887424</v>
      </c>
      <c r="V313" s="383">
        <f t="shared" si="118"/>
        <v>38.244794307259887</v>
      </c>
      <c r="W313" s="58"/>
      <c r="X313" s="157">
        <f t="shared" si="119"/>
        <v>43399</v>
      </c>
      <c r="Y313" s="385">
        <f t="shared" si="120"/>
        <v>4.4669999999999996</v>
      </c>
      <c r="Z313" s="385">
        <f t="shared" si="121"/>
        <v>4.4822891197199182</v>
      </c>
      <c r="AA313" s="386">
        <f t="shared" si="122"/>
        <v>4.5695620472953111</v>
      </c>
      <c r="AB313" s="197">
        <f t="shared" si="123"/>
        <v>43399</v>
      </c>
      <c r="AC313" s="427">
        <f t="shared" si="124"/>
        <v>1.9098750968279048E-2</v>
      </c>
      <c r="AD313" s="169">
        <f>(INDEX(Models!$BJ313:$BT313,,AH313)*(1-AF313)+INDEX(Models!$BJ313:$BT313,,AH313+1)*AF313-ERP_i)*AE313*Ramure*Pc/MaxiM</f>
        <v>2.166057914054514E-4</v>
      </c>
      <c r="AE313" s="305">
        <f t="shared" si="125"/>
        <v>0.7</v>
      </c>
      <c r="AF313" s="177">
        <f t="shared" si="126"/>
        <v>0.49848460091125757</v>
      </c>
      <c r="AG313" s="921">
        <f t="shared" si="127"/>
        <v>-2</v>
      </c>
      <c r="AH313" s="176">
        <f t="shared" si="128"/>
        <v>4</v>
      </c>
      <c r="AI313" s="225">
        <f t="shared" si="129"/>
        <v>-1.5015153990887424</v>
      </c>
      <c r="AJ313" s="265" t="b">
        <f t="shared" si="130"/>
        <v>0</v>
      </c>
      <c r="AK313" s="265" t="b">
        <f t="shared" si="131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33"/>
        <v>43400</v>
      </c>
      <c r="B314" s="620">
        <v>8.51</v>
      </c>
      <c r="C314" s="390"/>
      <c r="D314" s="393">
        <f t="shared" si="109"/>
        <v>8.5393140552386928</v>
      </c>
      <c r="E314" s="385">
        <f t="shared" si="135"/>
        <v>8.7064732461664196</v>
      </c>
      <c r="F314" s="385">
        <f t="shared" si="134"/>
        <v>8.7064732461664196</v>
      </c>
      <c r="G314" s="110">
        <f>+Wh_hp/MaxiM</f>
        <v>0.22421882637526563</v>
      </c>
      <c r="I314" s="380">
        <f t="shared" si="110"/>
        <v>8.7064732461664196</v>
      </c>
      <c r="J314" s="85">
        <v>2018</v>
      </c>
      <c r="K314" s="197">
        <f t="shared" si="111"/>
        <v>43400</v>
      </c>
      <c r="L314" s="438">
        <f t="shared" si="112"/>
        <v>3.4328348915461104E-3</v>
      </c>
      <c r="M314" s="970"/>
      <c r="N314" s="970"/>
      <c r="O314" s="324">
        <f t="shared" si="113"/>
        <v>1.9199414757442707E-2</v>
      </c>
      <c r="P314" s="169">
        <f>(INDEX(Models!$BJ314:$BT314,,T314)*(1-R314)+INDEX(Models!$BJ314:$BT314,,T314+1)*R314-ERP_i)*Q314*Ramure*Pc/MaxiM</f>
        <v>2.1489566292556036E-4</v>
      </c>
      <c r="Q314" s="305">
        <f t="shared" si="114"/>
        <v>0.7</v>
      </c>
      <c r="R314" s="177">
        <f t="shared" si="115"/>
        <v>0.49855357912203502</v>
      </c>
      <c r="S314" s="921">
        <f t="shared" si="132"/>
        <v>-2</v>
      </c>
      <c r="T314" s="176">
        <f t="shared" si="116"/>
        <v>4</v>
      </c>
      <c r="U314" s="251">
        <f t="shared" si="117"/>
        <v>-1.501446420877965</v>
      </c>
      <c r="V314" s="383">
        <f t="shared" si="118"/>
        <v>37.945837891724281</v>
      </c>
      <c r="W314" s="58"/>
      <c r="X314" s="157">
        <f t="shared" si="119"/>
        <v>43400</v>
      </c>
      <c r="Y314" s="385">
        <f t="shared" si="120"/>
        <v>8.51</v>
      </c>
      <c r="Z314" s="385">
        <f t="shared" si="121"/>
        <v>8.5393140552386928</v>
      </c>
      <c r="AA314" s="386">
        <f t="shared" si="122"/>
        <v>8.7064732461664196</v>
      </c>
      <c r="AB314" s="197">
        <f t="shared" si="123"/>
        <v>43400</v>
      </c>
      <c r="AC314" s="427">
        <f t="shared" si="124"/>
        <v>1.9199414757442707E-2</v>
      </c>
      <c r="AD314" s="169">
        <f>(INDEX(Models!$BJ314:$BT314,,AH314)*(1-AF314)+INDEX(Models!$BJ314:$BT314,,AH314+1)*AF314-ERP_i)*AE314*Ramure*Pc/MaxiM</f>
        <v>2.1489566292556036E-4</v>
      </c>
      <c r="AE314" s="305">
        <f t="shared" si="125"/>
        <v>0.7</v>
      </c>
      <c r="AF314" s="177">
        <f t="shared" si="126"/>
        <v>0.49855357912203502</v>
      </c>
      <c r="AG314" s="921">
        <f t="shared" si="127"/>
        <v>-2</v>
      </c>
      <c r="AH314" s="176">
        <f t="shared" si="128"/>
        <v>4</v>
      </c>
      <c r="AI314" s="225">
        <f t="shared" si="129"/>
        <v>-1.501446420877965</v>
      </c>
      <c r="AJ314" s="265" t="b">
        <f t="shared" si="130"/>
        <v>0</v>
      </c>
      <c r="AK314" s="265" t="b">
        <f t="shared" si="131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33"/>
        <v>43401</v>
      </c>
      <c r="B315" s="620">
        <v>3.6749999999999998</v>
      </c>
      <c r="C315" s="390"/>
      <c r="D315" s="393">
        <f t="shared" si="109"/>
        <v>3.6877398958801813</v>
      </c>
      <c r="E315" s="385">
        <f t="shared" si="135"/>
        <v>3.7603128678779698</v>
      </c>
      <c r="F315" s="385">
        <f t="shared" si="134"/>
        <v>3.7603128678779698</v>
      </c>
      <c r="G315" s="110">
        <f t="shared" si="136"/>
        <v>9.7604978898193126E-2</v>
      </c>
      <c r="I315" s="380">
        <f t="shared" si="110"/>
        <v>3.7603128678779698</v>
      </c>
      <c r="J315" s="85">
        <v>2018</v>
      </c>
      <c r="K315" s="197">
        <f t="shared" si="111"/>
        <v>43401</v>
      </c>
      <c r="L315" s="438">
        <f t="shared" si="112"/>
        <v>3.4546622700841745E-3</v>
      </c>
      <c r="M315" s="970"/>
      <c r="N315" s="970"/>
      <c r="O315" s="324">
        <f t="shared" si="113"/>
        <v>1.9299716419273201E-2</v>
      </c>
      <c r="P315" s="169">
        <f>(INDEX(Models!$BJ315:$BT315,,T315)*(1-R315)+INDEX(Models!$BJ315:$BT315,,T315+1)*R315-ERP_i)*Q315*Ramure*Pc/MaxiM</f>
        <v>2.133049090017709E-4</v>
      </c>
      <c r="Q315" s="305">
        <f t="shared" si="114"/>
        <v>0.7</v>
      </c>
      <c r="R315" s="177">
        <f t="shared" si="115"/>
        <v>0.49861979800081713</v>
      </c>
      <c r="S315" s="921">
        <f t="shared" si="132"/>
        <v>-2</v>
      </c>
      <c r="T315" s="176">
        <f t="shared" si="116"/>
        <v>4</v>
      </c>
      <c r="U315" s="251">
        <f t="shared" si="117"/>
        <v>-1.5013802019991829</v>
      </c>
      <c r="V315" s="383">
        <f t="shared" si="118"/>
        <v>37.643736476720207</v>
      </c>
      <c r="W315" s="58"/>
      <c r="X315" s="157">
        <f t="shared" si="119"/>
        <v>43401</v>
      </c>
      <c r="Y315" s="385">
        <f t="shared" si="120"/>
        <v>3.6749999999999998</v>
      </c>
      <c r="Z315" s="385">
        <f t="shared" si="121"/>
        <v>3.6877398958801813</v>
      </c>
      <c r="AA315" s="386">
        <f t="shared" si="122"/>
        <v>3.7603128678779698</v>
      </c>
      <c r="AB315" s="197">
        <f t="shared" si="123"/>
        <v>43401</v>
      </c>
      <c r="AC315" s="427">
        <f t="shared" si="124"/>
        <v>1.9299716419273201E-2</v>
      </c>
      <c r="AD315" s="169">
        <f>(INDEX(Models!$BJ315:$BT315,,AH315)*(1-AF315)+INDEX(Models!$BJ315:$BT315,,AH315+1)*AF315-ERP_i)*AE315*Ramure*Pc/MaxiM</f>
        <v>2.133049090017709E-4</v>
      </c>
      <c r="AE315" s="305">
        <f t="shared" si="125"/>
        <v>0.7</v>
      </c>
      <c r="AF315" s="177">
        <f t="shared" si="126"/>
        <v>0.49861979800081713</v>
      </c>
      <c r="AG315" s="921">
        <f t="shared" si="127"/>
        <v>-2</v>
      </c>
      <c r="AH315" s="176">
        <f t="shared" si="128"/>
        <v>4</v>
      </c>
      <c r="AI315" s="225">
        <f t="shared" si="129"/>
        <v>-1.5013802019991829</v>
      </c>
      <c r="AJ315" s="265" t="b">
        <f t="shared" si="130"/>
        <v>0</v>
      </c>
      <c r="AK315" s="265" t="b">
        <f t="shared" si="131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33"/>
        <v>43402</v>
      </c>
      <c r="B316" s="620">
        <v>4.617</v>
      </c>
      <c r="C316" s="390"/>
      <c r="D316" s="393">
        <f t="shared" si="109"/>
        <v>4.6331069461241849</v>
      </c>
      <c r="E316" s="385">
        <f t="shared" si="135"/>
        <v>4.7247658556446801</v>
      </c>
      <c r="F316" s="385">
        <f t="shared" si="134"/>
        <v>4.7247658556446801</v>
      </c>
      <c r="G316" s="110">
        <f t="shared" si="136"/>
        <v>0.12362671662008812</v>
      </c>
      <c r="I316" s="380">
        <f t="shared" si="110"/>
        <v>4.7247658556446801</v>
      </c>
      <c r="J316" s="85">
        <v>2018</v>
      </c>
      <c r="K316" s="197">
        <f t="shared" si="111"/>
        <v>43402</v>
      </c>
      <c r="L316" s="438">
        <f t="shared" si="112"/>
        <v>3.4764891705466594E-3</v>
      </c>
      <c r="M316" s="970"/>
      <c r="N316" s="970"/>
      <c r="O316" s="324">
        <f t="shared" si="113"/>
        <v>1.939967234799363E-2</v>
      </c>
      <c r="P316" s="169">
        <f>(INDEX(Models!$BJ316:$BT316,,T316)*(1-R316)+INDEX(Models!$BJ316:$BT316,,T316+1)*R316-ERP_i)*Q316*Ramure*Pc/MaxiM</f>
        <v>2.1183651448228481E-4</v>
      </c>
      <c r="Q316" s="305">
        <f t="shared" si="114"/>
        <v>0.7</v>
      </c>
      <c r="R316" s="177">
        <f t="shared" si="115"/>
        <v>0.49868336723805329</v>
      </c>
      <c r="S316" s="921">
        <f t="shared" si="132"/>
        <v>-2</v>
      </c>
      <c r="T316" s="176">
        <f t="shared" si="116"/>
        <v>4</v>
      </c>
      <c r="U316" s="251">
        <f t="shared" si="117"/>
        <v>-1.5013166327619467</v>
      </c>
      <c r="V316" s="383">
        <f t="shared" si="118"/>
        <v>37.338385075759405</v>
      </c>
      <c r="W316" s="58"/>
      <c r="X316" s="157">
        <f t="shared" si="119"/>
        <v>43402</v>
      </c>
      <c r="Y316" s="385">
        <f t="shared" si="120"/>
        <v>4.617</v>
      </c>
      <c r="Z316" s="385">
        <f t="shared" si="121"/>
        <v>4.6331069461241849</v>
      </c>
      <c r="AA316" s="386">
        <f t="shared" si="122"/>
        <v>4.7247658556446801</v>
      </c>
      <c r="AB316" s="197">
        <f t="shared" si="123"/>
        <v>43402</v>
      </c>
      <c r="AC316" s="427">
        <f t="shared" si="124"/>
        <v>1.939967234799363E-2</v>
      </c>
      <c r="AD316" s="169">
        <f>(INDEX(Models!$BJ316:$BT316,,AH316)*(1-AF316)+INDEX(Models!$BJ316:$BT316,,AH316+1)*AF316-ERP_i)*AE316*Ramure*Pc/MaxiM</f>
        <v>2.1183651448228481E-4</v>
      </c>
      <c r="AE316" s="305">
        <f t="shared" si="125"/>
        <v>0.7</v>
      </c>
      <c r="AF316" s="177">
        <f t="shared" si="126"/>
        <v>0.49868336723805329</v>
      </c>
      <c r="AG316" s="921">
        <f t="shared" si="127"/>
        <v>-2</v>
      </c>
      <c r="AH316" s="176">
        <f t="shared" si="128"/>
        <v>4</v>
      </c>
      <c r="AI316" s="225">
        <f t="shared" si="129"/>
        <v>-1.5013166327619467</v>
      </c>
      <c r="AJ316" s="265" t="b">
        <f t="shared" si="130"/>
        <v>0</v>
      </c>
      <c r="AK316" s="265" t="b">
        <f t="shared" si="131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33"/>
        <v>43403</v>
      </c>
      <c r="B317" s="620">
        <v>34.393999999999998</v>
      </c>
      <c r="C317" s="390"/>
      <c r="D317" s="393">
        <f t="shared" si="109"/>
        <v>34.514743465250945</v>
      </c>
      <c r="E317" s="385">
        <f t="shared" si="135"/>
        <v>35.201141072599562</v>
      </c>
      <c r="F317" s="385">
        <f t="shared" si="134"/>
        <v>35.207799824990232</v>
      </c>
      <c r="G317" s="110">
        <f t="shared" si="136"/>
        <v>0.92887613191889518</v>
      </c>
      <c r="I317" s="380">
        <f t="shared" si="110"/>
        <v>35.207799824990232</v>
      </c>
      <c r="J317" s="85">
        <v>2018</v>
      </c>
      <c r="K317" s="197">
        <f t="shared" si="111"/>
        <v>43403</v>
      </c>
      <c r="L317" s="438">
        <f t="shared" si="112"/>
        <v>3.4983155929440013E-3</v>
      </c>
      <c r="M317" s="970"/>
      <c r="N317" s="970"/>
      <c r="O317" s="324">
        <f t="shared" si="113"/>
        <v>1.949929992135695E-2</v>
      </c>
      <c r="P317" s="169">
        <f>(INDEX(Models!$BJ317:$BT317,,T317)*(1-R317)+INDEX(Models!$BJ317:$BT317,,T317+1)*R317-ERP_i)*Q317*Ramure*Pc/MaxiM</f>
        <v>2.1051022143217998E-4</v>
      </c>
      <c r="Q317" s="305">
        <f t="shared" si="114"/>
        <v>0.7</v>
      </c>
      <c r="R317" s="177">
        <f t="shared" si="115"/>
        <v>0.49874439221809586</v>
      </c>
      <c r="S317" s="921">
        <f t="shared" si="132"/>
        <v>-2</v>
      </c>
      <c r="T317" s="176">
        <f t="shared" si="116"/>
        <v>4</v>
      </c>
      <c r="U317" s="251">
        <f t="shared" si="117"/>
        <v>-1.5012556077819041</v>
      </c>
      <c r="V317" s="383">
        <f t="shared" si="118"/>
        <v>37.026750102823009</v>
      </c>
      <c r="W317" s="58"/>
      <c r="X317" s="157">
        <f t="shared" si="119"/>
        <v>43403</v>
      </c>
      <c r="Y317" s="385">
        <f t="shared" si="120"/>
        <v>34.393999999999998</v>
      </c>
      <c r="Z317" s="385">
        <f t="shared" si="121"/>
        <v>34.514743465250945</v>
      </c>
      <c r="AA317" s="386">
        <f t="shared" si="122"/>
        <v>35.201141072599562</v>
      </c>
      <c r="AB317" s="197">
        <f t="shared" si="123"/>
        <v>43403</v>
      </c>
      <c r="AC317" s="427">
        <f t="shared" si="124"/>
        <v>1.949929992135695E-2</v>
      </c>
      <c r="AD317" s="169">
        <f>(INDEX(Models!$BJ317:$BT317,,AH317)*(1-AF317)+INDEX(Models!$BJ317:$BT317,,AH317+1)*AF317-ERP_i)*AE317*Ramure*Pc/MaxiM</f>
        <v>2.1051022143217998E-4</v>
      </c>
      <c r="AE317" s="305">
        <f t="shared" si="125"/>
        <v>0.7</v>
      </c>
      <c r="AF317" s="177">
        <f t="shared" si="126"/>
        <v>0.49874439221809586</v>
      </c>
      <c r="AG317" s="921">
        <f t="shared" si="127"/>
        <v>-2</v>
      </c>
      <c r="AH317" s="176">
        <f t="shared" si="128"/>
        <v>4</v>
      </c>
      <c r="AI317" s="225">
        <f t="shared" si="129"/>
        <v>-1.5012556077819041</v>
      </c>
      <c r="AJ317" s="265" t="b">
        <f t="shared" si="130"/>
        <v>0</v>
      </c>
      <c r="AK317" s="265" t="b">
        <f t="shared" si="131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33"/>
        <v>43404</v>
      </c>
      <c r="B318" s="620">
        <v>7.6029999999999998</v>
      </c>
      <c r="C318" s="390"/>
      <c r="D318" s="393">
        <f t="shared" si="109"/>
        <v>7.629858180705507</v>
      </c>
      <c r="E318" s="385">
        <f t="shared" si="135"/>
        <v>7.78238211046577</v>
      </c>
      <c r="F318" s="385">
        <f t="shared" si="134"/>
        <v>7.78238211046577</v>
      </c>
      <c r="G318" s="110">
        <f t="shared" si="136"/>
        <v>0.2070841838172805</v>
      </c>
      <c r="I318" s="380">
        <f t="shared" si="110"/>
        <v>7.78238211046577</v>
      </c>
      <c r="J318" s="85">
        <v>2018</v>
      </c>
      <c r="K318" s="197">
        <f t="shared" si="111"/>
        <v>43404</v>
      </c>
      <c r="L318" s="438">
        <f t="shared" si="112"/>
        <v>3.5201415372866363E-3</v>
      </c>
      <c r="M318" s="970"/>
      <c r="N318" s="970"/>
      <c r="O318" s="324">
        <f t="shared" si="113"/>
        <v>1.9598617440686673E-2</v>
      </c>
      <c r="P318" s="169">
        <f>(INDEX(Models!$BJ318:$BT318,,T318)*(1-R318)+INDEX(Models!$BJ318:$BT318,,T318+1)*R318-ERP_i)*Q318*Ramure*Pc/MaxiM</f>
        <v>2.0940217465289344E-4</v>
      </c>
      <c r="Q318" s="305">
        <f t="shared" si="114"/>
        <v>0.7</v>
      </c>
      <c r="R318" s="177">
        <f t="shared" si="115"/>
        <v>0.4988029741839568</v>
      </c>
      <c r="S318" s="921">
        <f t="shared" si="132"/>
        <v>-2</v>
      </c>
      <c r="T318" s="176">
        <f t="shared" si="116"/>
        <v>4</v>
      </c>
      <c r="U318" s="251">
        <f t="shared" si="117"/>
        <v>-1.5011970258160432</v>
      </c>
      <c r="V318" s="383">
        <f t="shared" si="118"/>
        <v>36.706849239501416</v>
      </c>
      <c r="W318" s="58"/>
      <c r="X318" s="157">
        <f t="shared" si="119"/>
        <v>43404</v>
      </c>
      <c r="Y318" s="385">
        <f t="shared" si="120"/>
        <v>7.6029999999999998</v>
      </c>
      <c r="Z318" s="385">
        <f t="shared" si="121"/>
        <v>7.629858180705507</v>
      </c>
      <c r="AA318" s="386">
        <f t="shared" si="122"/>
        <v>7.78238211046577</v>
      </c>
      <c r="AB318" s="197">
        <f t="shared" si="123"/>
        <v>43404</v>
      </c>
      <c r="AC318" s="427">
        <f t="shared" si="124"/>
        <v>1.9598617440686673E-2</v>
      </c>
      <c r="AD318" s="169">
        <f>(INDEX(Models!$BJ318:$BT318,,AH318)*(1-AF318)+INDEX(Models!$BJ318:$BT318,,AH318+1)*AF318-ERP_i)*AE318*Ramure*Pc/MaxiM</f>
        <v>2.0940217465289344E-4</v>
      </c>
      <c r="AE318" s="305">
        <f t="shared" si="125"/>
        <v>0.7</v>
      </c>
      <c r="AF318" s="177">
        <f t="shared" si="126"/>
        <v>0.4988029741839568</v>
      </c>
      <c r="AG318" s="921">
        <f t="shared" si="127"/>
        <v>-2</v>
      </c>
      <c r="AH318" s="176">
        <f t="shared" si="128"/>
        <v>4</v>
      </c>
      <c r="AI318" s="225">
        <f t="shared" si="129"/>
        <v>-1.5011970258160432</v>
      </c>
      <c r="AJ318" s="265" t="b">
        <f t="shared" si="130"/>
        <v>0</v>
      </c>
      <c r="AK318" s="265" t="b">
        <f t="shared" si="131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33"/>
        <v>43405</v>
      </c>
      <c r="B319" s="620">
        <v>24.800999999999998</v>
      </c>
      <c r="C319" s="390"/>
      <c r="D319" s="393">
        <f t="shared" si="109"/>
        <v>24.889156571322687</v>
      </c>
      <c r="E319" s="385">
        <f t="shared" si="135"/>
        <v>25.389265281893476</v>
      </c>
      <c r="F319" s="385">
        <f t="shared" si="134"/>
        <v>25.392151416441983</v>
      </c>
      <c r="G319" s="110">
        <f t="shared" si="136"/>
        <v>0.6816531126440849</v>
      </c>
      <c r="I319" s="380">
        <f t="shared" si="110"/>
        <v>25.392151416441983</v>
      </c>
      <c r="J319" s="85">
        <v>2018</v>
      </c>
      <c r="K319" s="197">
        <f t="shared" si="111"/>
        <v>43405</v>
      </c>
      <c r="L319" s="438">
        <f t="shared" si="112"/>
        <v>3.5419670035851114E-3</v>
      </c>
      <c r="M319" s="970"/>
      <c r="N319" s="970"/>
      <c r="O319" s="324">
        <f t="shared" si="113"/>
        <v>1.9697644064062197E-2</v>
      </c>
      <c r="P319" s="169">
        <f>(INDEX(Models!$BJ319:$BT319,,T319)*(1-R319)+INDEX(Models!$BJ319:$BT319,,T319+1)*R319-ERP_i)*Q319*Ramure*Pc/MaxiM</f>
        <v>2.0843602546252163E-4</v>
      </c>
      <c r="Q319" s="305">
        <f t="shared" si="114"/>
        <v>0.7</v>
      </c>
      <c r="R319" s="177">
        <f t="shared" si="115"/>
        <v>0.49885921039609848</v>
      </c>
      <c r="S319" s="921">
        <f t="shared" si="132"/>
        <v>-2</v>
      </c>
      <c r="T319" s="176">
        <f t="shared" si="116"/>
        <v>4</v>
      </c>
      <c r="U319" s="251">
        <f t="shared" si="117"/>
        <v>-1.5011407896039015</v>
      </c>
      <c r="V319" s="383">
        <f t="shared" si="118"/>
        <v>36.380159928514601</v>
      </c>
      <c r="W319" s="58"/>
      <c r="X319" s="157">
        <f t="shared" si="119"/>
        <v>43405</v>
      </c>
      <c r="Y319" s="385">
        <f t="shared" si="120"/>
        <v>24.800999999999998</v>
      </c>
      <c r="Z319" s="385">
        <f t="shared" si="121"/>
        <v>24.889156571322687</v>
      </c>
      <c r="AA319" s="386">
        <f t="shared" si="122"/>
        <v>25.389265281893476</v>
      </c>
      <c r="AB319" s="197">
        <f t="shared" si="123"/>
        <v>43405</v>
      </c>
      <c r="AC319" s="427">
        <f t="shared" si="124"/>
        <v>1.9697644064062197E-2</v>
      </c>
      <c r="AD319" s="169">
        <f>(INDEX(Models!$BJ319:$BT319,,AH319)*(1-AF319)+INDEX(Models!$BJ319:$BT319,,AH319+1)*AF319-ERP_i)*AE319*Ramure*Pc/MaxiM</f>
        <v>2.0843602546252163E-4</v>
      </c>
      <c r="AE319" s="305">
        <f t="shared" si="125"/>
        <v>0.7</v>
      </c>
      <c r="AF319" s="177">
        <f t="shared" si="126"/>
        <v>0.49885921039609848</v>
      </c>
      <c r="AG319" s="921">
        <f t="shared" si="127"/>
        <v>-2</v>
      </c>
      <c r="AH319" s="176">
        <f t="shared" si="128"/>
        <v>4</v>
      </c>
      <c r="AI319" s="225">
        <f t="shared" si="129"/>
        <v>-1.5011407896039015</v>
      </c>
      <c r="AJ319" s="265" t="b">
        <f t="shared" si="130"/>
        <v>0</v>
      </c>
      <c r="AK319" s="265" t="b">
        <f t="shared" si="131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33"/>
        <v>43406</v>
      </c>
      <c r="B320" s="620">
        <v>7.2080000000000002</v>
      </c>
      <c r="C320" s="390"/>
      <c r="D320" s="393">
        <f t="shared" si="109"/>
        <v>7.2337796861161872</v>
      </c>
      <c r="E320" s="385">
        <f t="shared" si="135"/>
        <v>7.3798746343573471</v>
      </c>
      <c r="F320" s="385">
        <f t="shared" si="134"/>
        <v>7.3798746343573471</v>
      </c>
      <c r="G320" s="110">
        <f t="shared" si="136"/>
        <v>0.19991323627544494</v>
      </c>
      <c r="I320" s="380">
        <f t="shared" si="110"/>
        <v>7.3798746343573471</v>
      </c>
      <c r="J320" s="85">
        <v>2018</v>
      </c>
      <c r="K320" s="197">
        <f t="shared" si="111"/>
        <v>43406</v>
      </c>
      <c r="L320" s="438">
        <f t="shared" si="112"/>
        <v>3.5637919918498628E-3</v>
      </c>
      <c r="M320" s="970"/>
      <c r="N320" s="970"/>
      <c r="O320" s="324">
        <f t="shared" si="113"/>
        <v>1.9796399732999306E-2</v>
      </c>
      <c r="P320" s="169">
        <f>(INDEX(Models!$BJ320:$BT320,,T320)*(1-R320)+INDEX(Models!$BJ320:$BT320,,T320+1)*R320-ERP_i)*Q320*Ramure*Pc/MaxiM</f>
        <v>2.0760654029450604E-4</v>
      </c>
      <c r="Q320" s="305">
        <f t="shared" si="114"/>
        <v>0.7</v>
      </c>
      <c r="R320" s="177">
        <f t="shared" si="115"/>
        <v>0.49891319428545255</v>
      </c>
      <c r="S320" s="921">
        <f t="shared" si="132"/>
        <v>-2</v>
      </c>
      <c r="T320" s="176">
        <f t="shared" si="116"/>
        <v>4</v>
      </c>
      <c r="U320" s="251">
        <f t="shared" si="117"/>
        <v>-1.5010868057145474</v>
      </c>
      <c r="V320" s="383">
        <f t="shared" si="118"/>
        <v>36.048156221773503</v>
      </c>
      <c r="W320" s="58"/>
      <c r="X320" s="157">
        <f t="shared" si="119"/>
        <v>43406</v>
      </c>
      <c r="Y320" s="385">
        <f t="shared" si="120"/>
        <v>7.2080000000000002</v>
      </c>
      <c r="Z320" s="385">
        <f t="shared" si="121"/>
        <v>7.2337796861161872</v>
      </c>
      <c r="AA320" s="386">
        <f t="shared" si="122"/>
        <v>7.3798746343573471</v>
      </c>
      <c r="AB320" s="197">
        <f t="shared" si="123"/>
        <v>43406</v>
      </c>
      <c r="AC320" s="427">
        <f t="shared" si="124"/>
        <v>1.9796399732999306E-2</v>
      </c>
      <c r="AD320" s="169">
        <f>(INDEX(Models!$BJ320:$BT320,,AH320)*(1-AF320)+INDEX(Models!$BJ320:$BT320,,AH320+1)*AF320-ERP_i)*AE320*Ramure*Pc/MaxiM</f>
        <v>2.0760654029450604E-4</v>
      </c>
      <c r="AE320" s="305">
        <f t="shared" si="125"/>
        <v>0.7</v>
      </c>
      <c r="AF320" s="177">
        <f t="shared" si="126"/>
        <v>0.49891319428545255</v>
      </c>
      <c r="AG320" s="921">
        <f t="shared" si="127"/>
        <v>-2</v>
      </c>
      <c r="AH320" s="176">
        <f t="shared" si="128"/>
        <v>4</v>
      </c>
      <c r="AI320" s="225">
        <f t="shared" si="129"/>
        <v>-1.5010868057145474</v>
      </c>
      <c r="AJ320" s="265" t="b">
        <f t="shared" si="130"/>
        <v>0</v>
      </c>
      <c r="AK320" s="265" t="b">
        <f t="shared" si="131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33"/>
        <v>43407</v>
      </c>
      <c r="B321" s="620">
        <v>30.452999999999999</v>
      </c>
      <c r="C321" s="390"/>
      <c r="D321" s="393">
        <f t="shared" si="109"/>
        <v>30.562585711674362</v>
      </c>
      <c r="E321" s="385">
        <f t="shared" si="135"/>
        <v>31.182967898534919</v>
      </c>
      <c r="F321" s="385">
        <f t="shared" si="134"/>
        <v>31.18806335046073</v>
      </c>
      <c r="G321" s="110">
        <f t="shared" si="136"/>
        <v>0.85269401305506587</v>
      </c>
      <c r="I321" s="380">
        <f t="shared" si="110"/>
        <v>31.18806335046073</v>
      </c>
      <c r="J321" s="85">
        <v>2018</v>
      </c>
      <c r="K321" s="197">
        <f t="shared" si="111"/>
        <v>43407</v>
      </c>
      <c r="L321" s="438">
        <f t="shared" si="112"/>
        <v>3.5856165020914377E-3</v>
      </c>
      <c r="M321" s="970"/>
      <c r="N321" s="970"/>
      <c r="O321" s="324">
        <f t="shared" si="113"/>
        <v>1.9894905093036458E-2</v>
      </c>
      <c r="P321" s="169">
        <f>(INDEX(Models!$BJ321:$BT321,,T321)*(1-R321)+INDEX(Models!$BJ321:$BT321,,T321+1)*R321-ERP_i)*Q321*Ramure*Pc/MaxiM</f>
        <v>2.0690853658791541E-4</v>
      </c>
      <c r="Q321" s="305">
        <f t="shared" si="114"/>
        <v>0.7</v>
      </c>
      <c r="R321" s="177">
        <f t="shared" si="115"/>
        <v>0.49896501560084583</v>
      </c>
      <c r="S321" s="921">
        <f t="shared" si="132"/>
        <v>-2</v>
      </c>
      <c r="T321" s="176">
        <f t="shared" si="116"/>
        <v>4</v>
      </c>
      <c r="U321" s="251">
        <f t="shared" si="117"/>
        <v>-1.5010349843991542</v>
      </c>
      <c r="V321" s="383">
        <f t="shared" si="118"/>
        <v>35.712311438851188</v>
      </c>
      <c r="W321" s="58"/>
      <c r="X321" s="157">
        <f t="shared" si="119"/>
        <v>43407</v>
      </c>
      <c r="Y321" s="385">
        <f t="shared" si="120"/>
        <v>30.452999999999999</v>
      </c>
      <c r="Z321" s="385">
        <f t="shared" si="121"/>
        <v>30.562585711674362</v>
      </c>
      <c r="AA321" s="386">
        <f t="shared" si="122"/>
        <v>31.182967898534919</v>
      </c>
      <c r="AB321" s="197">
        <f t="shared" si="123"/>
        <v>43407</v>
      </c>
      <c r="AC321" s="427">
        <f t="shared" si="124"/>
        <v>1.9894905093036458E-2</v>
      </c>
      <c r="AD321" s="169">
        <f>(INDEX(Models!$BJ321:$BT321,,AH321)*(1-AF321)+INDEX(Models!$BJ321:$BT321,,AH321+1)*AF321-ERP_i)*AE321*Ramure*Pc/MaxiM</f>
        <v>2.0690853658791541E-4</v>
      </c>
      <c r="AE321" s="305">
        <f t="shared" si="125"/>
        <v>0.7</v>
      </c>
      <c r="AF321" s="177">
        <f t="shared" si="126"/>
        <v>0.49896501560084583</v>
      </c>
      <c r="AG321" s="921">
        <f t="shared" si="127"/>
        <v>-2</v>
      </c>
      <c r="AH321" s="176">
        <f t="shared" si="128"/>
        <v>4</v>
      </c>
      <c r="AI321" s="225">
        <f t="shared" si="129"/>
        <v>-1.5010349843991542</v>
      </c>
      <c r="AJ321" s="265" t="b">
        <f t="shared" si="130"/>
        <v>0</v>
      </c>
      <c r="AK321" s="265" t="b">
        <f t="shared" si="131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33"/>
        <v>43408</v>
      </c>
      <c r="B322" s="620">
        <v>29.116</v>
      </c>
      <c r="C322" s="390"/>
      <c r="D322" s="393">
        <f t="shared" si="109"/>
        <v>29.221414515192272</v>
      </c>
      <c r="E322" s="385">
        <f t="shared" si="135"/>
        <v>29.817562450428788</v>
      </c>
      <c r="F322" s="385">
        <f t="shared" si="134"/>
        <v>29.822160701304174</v>
      </c>
      <c r="G322" s="110">
        <f t="shared" si="136"/>
        <v>0.82304519210125515</v>
      </c>
      <c r="I322" s="380">
        <f t="shared" si="110"/>
        <v>29.822160701304174</v>
      </c>
      <c r="J322" s="85">
        <v>2018</v>
      </c>
      <c r="K322" s="197">
        <f t="shared" si="111"/>
        <v>43408</v>
      </c>
      <c r="L322" s="438">
        <f t="shared" si="112"/>
        <v>3.60744053432005E-3</v>
      </c>
      <c r="M322" s="970"/>
      <c r="N322" s="970"/>
      <c r="O322" s="324">
        <f t="shared" si="113"/>
        <v>1.9993181408695042E-2</v>
      </c>
      <c r="P322" s="169">
        <f>(INDEX(Models!$BJ322:$BT322,,T322)*(1-R322)+INDEX(Models!$BJ322:$BT322,,T322+1)*R322-ERP_i)*Q322*Ramure*Pc/MaxiM</f>
        <v>2.0633682261398507E-4</v>
      </c>
      <c r="Q322" s="305">
        <f t="shared" si="114"/>
        <v>0.7</v>
      </c>
      <c r="R322" s="177">
        <f t="shared" si="115"/>
        <v>0.49901476055101823</v>
      </c>
      <c r="S322" s="921">
        <f t="shared" si="132"/>
        <v>-2</v>
      </c>
      <c r="T322" s="176">
        <f t="shared" si="116"/>
        <v>4</v>
      </c>
      <c r="U322" s="251">
        <f t="shared" si="117"/>
        <v>-1.5009852394489818</v>
      </c>
      <c r="V322" s="383">
        <f t="shared" si="118"/>
        <v>35.374098179491163</v>
      </c>
      <c r="W322" s="58"/>
      <c r="X322" s="157">
        <f t="shared" si="119"/>
        <v>43408</v>
      </c>
      <c r="Y322" s="385">
        <f t="shared" si="120"/>
        <v>29.116</v>
      </c>
      <c r="Z322" s="385">
        <f t="shared" si="121"/>
        <v>29.221414515192272</v>
      </c>
      <c r="AA322" s="386">
        <f t="shared" si="122"/>
        <v>29.817562450428788</v>
      </c>
      <c r="AB322" s="197">
        <f t="shared" si="123"/>
        <v>43408</v>
      </c>
      <c r="AC322" s="427">
        <f t="shared" si="124"/>
        <v>1.9993181408695042E-2</v>
      </c>
      <c r="AD322" s="169">
        <f>(INDEX(Models!$BJ322:$BT322,,AH322)*(1-AF322)+INDEX(Models!$BJ322:$BT322,,AH322+1)*AF322-ERP_i)*AE322*Ramure*Pc/MaxiM</f>
        <v>2.0633682261398507E-4</v>
      </c>
      <c r="AE322" s="305">
        <f t="shared" si="125"/>
        <v>0.7</v>
      </c>
      <c r="AF322" s="177">
        <f t="shared" si="126"/>
        <v>0.49901476055101823</v>
      </c>
      <c r="AG322" s="921">
        <f t="shared" si="127"/>
        <v>-2</v>
      </c>
      <c r="AH322" s="176">
        <f t="shared" si="128"/>
        <v>4</v>
      </c>
      <c r="AI322" s="225">
        <f t="shared" si="129"/>
        <v>-1.5009852394489818</v>
      </c>
      <c r="AJ322" s="265" t="b">
        <f t="shared" si="130"/>
        <v>0</v>
      </c>
      <c r="AK322" s="265" t="b">
        <f t="shared" si="131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33"/>
        <v>43409</v>
      </c>
      <c r="B323" s="620">
        <v>12.119</v>
      </c>
      <c r="C323" s="390"/>
      <c r="D323" s="393">
        <f t="shared" si="109"/>
        <v>12.163143259033857</v>
      </c>
      <c r="E323" s="385">
        <f t="shared" si="135"/>
        <v>12.412526436680084</v>
      </c>
      <c r="F323" s="385">
        <f t="shared" si="134"/>
        <v>12.412694052556738</v>
      </c>
      <c r="G323" s="110">
        <f t="shared" si="136"/>
        <v>0.34584479864279516</v>
      </c>
      <c r="I323" s="380">
        <f t="shared" si="110"/>
        <v>12.412694052556738</v>
      </c>
      <c r="J323" s="85">
        <v>2018</v>
      </c>
      <c r="K323" s="197">
        <f t="shared" si="111"/>
        <v>43409</v>
      </c>
      <c r="L323" s="438">
        <f t="shared" si="112"/>
        <v>3.6292640885464689E-3</v>
      </c>
      <c r="M323" s="970"/>
      <c r="N323" s="970"/>
      <c r="O323" s="324">
        <f t="shared" si="113"/>
        <v>2.0091250473334602E-2</v>
      </c>
      <c r="P323" s="169">
        <f>(INDEX(Models!$BJ323:$BT323,,T323)*(1-R323)+INDEX(Models!$BJ323:$BT323,,T323+1)*R323-ERP_i)*Q323*Ramure*Pc/MaxiM</f>
        <v>2.0588613856981072E-4</v>
      </c>
      <c r="Q323" s="305">
        <f t="shared" si="114"/>
        <v>0.7</v>
      </c>
      <c r="R323" s="177">
        <f t="shared" si="115"/>
        <v>0.4990625119414076</v>
      </c>
      <c r="S323" s="921">
        <f t="shared" si="132"/>
        <v>-2</v>
      </c>
      <c r="T323" s="176">
        <f t="shared" si="116"/>
        <v>4</v>
      </c>
      <c r="U323" s="251">
        <f t="shared" si="117"/>
        <v>-1.5009374880585924</v>
      </c>
      <c r="V323" s="383">
        <f t="shared" si="118"/>
        <v>35.034988329754796</v>
      </c>
      <c r="W323" s="58"/>
      <c r="X323" s="157">
        <f t="shared" si="119"/>
        <v>43409</v>
      </c>
      <c r="Y323" s="385">
        <f t="shared" si="120"/>
        <v>12.119</v>
      </c>
      <c r="Z323" s="385">
        <f t="shared" si="121"/>
        <v>12.163143259033857</v>
      </c>
      <c r="AA323" s="386">
        <f t="shared" si="122"/>
        <v>12.412526436680084</v>
      </c>
      <c r="AB323" s="197">
        <f t="shared" si="123"/>
        <v>43409</v>
      </c>
      <c r="AC323" s="427">
        <f t="shared" si="124"/>
        <v>2.0091250473334602E-2</v>
      </c>
      <c r="AD323" s="169">
        <f>(INDEX(Models!$BJ323:$BT323,,AH323)*(1-AF323)+INDEX(Models!$BJ323:$BT323,,AH323+1)*AF323-ERP_i)*AE323*Ramure*Pc/MaxiM</f>
        <v>2.0588613856981072E-4</v>
      </c>
      <c r="AE323" s="305">
        <f t="shared" si="125"/>
        <v>0.7</v>
      </c>
      <c r="AF323" s="177">
        <f t="shared" si="126"/>
        <v>0.4990625119414076</v>
      </c>
      <c r="AG323" s="921">
        <f t="shared" si="127"/>
        <v>-2</v>
      </c>
      <c r="AH323" s="176">
        <f t="shared" si="128"/>
        <v>4</v>
      </c>
      <c r="AI323" s="225">
        <f t="shared" si="129"/>
        <v>-1.5009374880585924</v>
      </c>
      <c r="AJ323" s="265" t="b">
        <f t="shared" si="130"/>
        <v>0</v>
      </c>
      <c r="AK323" s="265" t="b">
        <f t="shared" si="131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33"/>
        <v>43410</v>
      </c>
      <c r="B324" s="620">
        <v>21.164000000000001</v>
      </c>
      <c r="C324" s="390"/>
      <c r="D324" s="393">
        <f t="shared" si="109"/>
        <v>21.241554767973341</v>
      </c>
      <c r="E324" s="385">
        <f t="shared" si="135"/>
        <v>21.679239857630609</v>
      </c>
      <c r="F324" s="385">
        <f t="shared" si="134"/>
        <v>21.681215275304478</v>
      </c>
      <c r="G324" s="110">
        <f t="shared" si="136"/>
        <v>0.60990608305141747</v>
      </c>
      <c r="I324" s="380">
        <f t="shared" si="110"/>
        <v>21.681215275304478</v>
      </c>
      <c r="J324" s="85">
        <v>2018</v>
      </c>
      <c r="K324" s="197">
        <f t="shared" si="111"/>
        <v>43410</v>
      </c>
      <c r="L324" s="438">
        <f t="shared" si="112"/>
        <v>3.6510871647810195E-3</v>
      </c>
      <c r="M324" s="970"/>
      <c r="N324" s="970"/>
      <c r="O324" s="324">
        <f t="shared" si="113"/>
        <v>2.0189134514474762E-2</v>
      </c>
      <c r="P324" s="169">
        <f>(INDEX(Models!$BJ324:$BT324,,T324)*(1-R324)+INDEX(Models!$BJ324:$BT324,,T324+1)*R324-ERP_i)*Q324*Ramure*Pc/MaxiM</f>
        <v>2.0575256558175224E-4</v>
      </c>
      <c r="Q324" s="305">
        <f t="shared" si="114"/>
        <v>0.7</v>
      </c>
      <c r="R324" s="177">
        <f t="shared" si="115"/>
        <v>0.49910834930587678</v>
      </c>
      <c r="S324" s="921">
        <f t="shared" si="132"/>
        <v>-2</v>
      </c>
      <c r="T324" s="176">
        <f t="shared" si="116"/>
        <v>4</v>
      </c>
      <c r="U324" s="251">
        <f t="shared" si="117"/>
        <v>-1.5008916506941232</v>
      </c>
      <c r="V324" s="383">
        <f t="shared" si="118"/>
        <v>34.696446080571029</v>
      </c>
      <c r="W324" s="58"/>
      <c r="X324" s="157">
        <f t="shared" si="119"/>
        <v>43410</v>
      </c>
      <c r="Y324" s="385">
        <f t="shared" si="120"/>
        <v>21.164000000000001</v>
      </c>
      <c r="Z324" s="385">
        <f t="shared" si="121"/>
        <v>21.241554767973341</v>
      </c>
      <c r="AA324" s="386">
        <f t="shared" si="122"/>
        <v>21.679239857630609</v>
      </c>
      <c r="AB324" s="197">
        <f t="shared" si="123"/>
        <v>43410</v>
      </c>
      <c r="AC324" s="427">
        <f t="shared" si="124"/>
        <v>2.0189134514474762E-2</v>
      </c>
      <c r="AD324" s="169">
        <f>(INDEX(Models!$BJ324:$BT324,,AH324)*(1-AF324)+INDEX(Models!$BJ324:$BT324,,AH324+1)*AF324-ERP_i)*AE324*Ramure*Pc/MaxiM</f>
        <v>2.0575256558175224E-4</v>
      </c>
      <c r="AE324" s="305">
        <f t="shared" si="125"/>
        <v>0.7</v>
      </c>
      <c r="AF324" s="177">
        <f t="shared" si="126"/>
        <v>0.49910834930587678</v>
      </c>
      <c r="AG324" s="921">
        <f t="shared" si="127"/>
        <v>-2</v>
      </c>
      <c r="AH324" s="176">
        <f t="shared" si="128"/>
        <v>4</v>
      </c>
      <c r="AI324" s="225">
        <f t="shared" si="129"/>
        <v>-1.5008916506941232</v>
      </c>
      <c r="AJ324" s="265" t="b">
        <f t="shared" si="130"/>
        <v>0</v>
      </c>
      <c r="AK324" s="265" t="b">
        <f t="shared" si="131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33"/>
        <v>43411</v>
      </c>
      <c r="B325" s="620">
        <v>10.244</v>
      </c>
      <c r="C325" s="390"/>
      <c r="D325" s="393">
        <f t="shared" si="109"/>
        <v>10.281763991345025</v>
      </c>
      <c r="E325" s="385">
        <f t="shared" si="135"/>
        <v>10.494667806910758</v>
      </c>
      <c r="F325" s="385">
        <f t="shared" ref="F325:F356" si="137">Wh_sa/(1-Pvg*MEDIAN((-Sdif+Wh/Env_an)/Csdif,0,1))</f>
        <v>10.494667806910758</v>
      </c>
      <c r="G325" s="110">
        <f t="shared" si="136"/>
        <v>0.29807647556248545</v>
      </c>
      <c r="I325" s="380">
        <f t="shared" si="110"/>
        <v>10.494667806910758</v>
      </c>
      <c r="J325" s="85">
        <v>2018</v>
      </c>
      <c r="K325" s="197">
        <f t="shared" si="111"/>
        <v>43411</v>
      </c>
      <c r="L325" s="438">
        <f t="shared" si="112"/>
        <v>3.6729097630342489E-3</v>
      </c>
      <c r="M325" s="970"/>
      <c r="N325" s="970"/>
      <c r="O325" s="324">
        <f t="shared" si="113"/>
        <v>2.0286856095200655E-2</v>
      </c>
      <c r="P325" s="169">
        <f>(INDEX(Models!$BJ325:$BT325,,T325)*(1-R325)+INDEX(Models!$BJ325:$BT325,,T325+1)*R325-ERP_i)*Q325*Ramure*Pc/MaxiM</f>
        <v>2.058863910729001E-4</v>
      </c>
      <c r="Q325" s="305">
        <f t="shared" si="114"/>
        <v>0.7</v>
      </c>
      <c r="R325" s="177">
        <f t="shared" si="115"/>
        <v>0.49915234903354788</v>
      </c>
      <c r="S325" s="921">
        <f t="shared" si="132"/>
        <v>-2</v>
      </c>
      <c r="T325" s="176">
        <f t="shared" si="116"/>
        <v>4</v>
      </c>
      <c r="U325" s="251">
        <f t="shared" si="117"/>
        <v>-1.5008476509664521</v>
      </c>
      <c r="V325" s="383">
        <f t="shared" si="118"/>
        <v>34.359943636890094</v>
      </c>
      <c r="W325" s="58"/>
      <c r="X325" s="157">
        <f t="shared" si="119"/>
        <v>43411</v>
      </c>
      <c r="Y325" s="385">
        <f t="shared" si="120"/>
        <v>10.244</v>
      </c>
      <c r="Z325" s="385">
        <f t="shared" si="121"/>
        <v>10.281763991345025</v>
      </c>
      <c r="AA325" s="386">
        <f t="shared" si="122"/>
        <v>10.494667806910758</v>
      </c>
      <c r="AB325" s="197">
        <f t="shared" si="123"/>
        <v>43411</v>
      </c>
      <c r="AC325" s="427">
        <f t="shared" si="124"/>
        <v>2.0286856095200655E-2</v>
      </c>
      <c r="AD325" s="169">
        <f>(INDEX(Models!$BJ325:$BT325,,AH325)*(1-AF325)+INDEX(Models!$BJ325:$BT325,,AH325+1)*AF325-ERP_i)*AE325*Ramure*Pc/MaxiM</f>
        <v>2.058863910729001E-4</v>
      </c>
      <c r="AE325" s="305">
        <f t="shared" si="125"/>
        <v>0.7</v>
      </c>
      <c r="AF325" s="177">
        <f t="shared" si="126"/>
        <v>0.49915234903354788</v>
      </c>
      <c r="AG325" s="921">
        <f t="shared" si="127"/>
        <v>-2</v>
      </c>
      <c r="AH325" s="176">
        <f t="shared" si="128"/>
        <v>4</v>
      </c>
      <c r="AI325" s="225">
        <f t="shared" si="129"/>
        <v>-1.5008476509664521</v>
      </c>
      <c r="AJ325" s="265" t="b">
        <f t="shared" si="130"/>
        <v>0</v>
      </c>
      <c r="AK325" s="265" t="b">
        <f t="shared" si="131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33"/>
        <v>43412</v>
      </c>
      <c r="B326" s="620">
        <v>17.484999999999999</v>
      </c>
      <c r="C326" s="390"/>
      <c r="D326" s="393">
        <f t="shared" si="109"/>
        <v>17.549841960639139</v>
      </c>
      <c r="E326" s="385">
        <f t="shared" si="135"/>
        <v>17.915029774567486</v>
      </c>
      <c r="F326" s="385">
        <f t="shared" si="137"/>
        <v>17.916158880352736</v>
      </c>
      <c r="G326" s="110">
        <f t="shared" si="136"/>
        <v>0.51378376410161752</v>
      </c>
      <c r="I326" s="380">
        <f t="shared" si="110"/>
        <v>17.916158880352736</v>
      </c>
      <c r="J326" s="85">
        <v>2018</v>
      </c>
      <c r="K326" s="197">
        <f t="shared" si="111"/>
        <v>43412</v>
      </c>
      <c r="L326" s="438">
        <f t="shared" si="112"/>
        <v>3.6947318833164822E-3</v>
      </c>
      <c r="M326" s="970"/>
      <c r="N326" s="970"/>
      <c r="O326" s="324">
        <f t="shared" si="113"/>
        <v>2.0384438012309308E-2</v>
      </c>
      <c r="P326" s="169">
        <f>(INDEX(Models!$BJ326:$BT326,,T326)*(1-R326)+INDEX(Models!$BJ326:$BT326,,T326+1)*R326-ERP_i)*Q326*Ramure*Pc/MaxiM</f>
        <v>2.0628303674524593E-4</v>
      </c>
      <c r="Q326" s="305">
        <f t="shared" si="114"/>
        <v>0.7</v>
      </c>
      <c r="R326" s="177">
        <f t="shared" si="115"/>
        <v>0.49919458449091403</v>
      </c>
      <c r="S326" s="921">
        <f t="shared" si="132"/>
        <v>-2</v>
      </c>
      <c r="T326" s="176">
        <f t="shared" si="116"/>
        <v>4</v>
      </c>
      <c r="U326" s="251">
        <f t="shared" si="117"/>
        <v>-1.500805415509086</v>
      </c>
      <c r="V326" s="383">
        <f t="shared" si="118"/>
        <v>34.026950904610779</v>
      </c>
      <c r="W326" s="58"/>
      <c r="X326" s="157">
        <f t="shared" si="119"/>
        <v>43412</v>
      </c>
      <c r="Y326" s="385">
        <f t="shared" si="120"/>
        <v>17.484999999999999</v>
      </c>
      <c r="Z326" s="385">
        <f t="shared" si="121"/>
        <v>17.549841960639139</v>
      </c>
      <c r="AA326" s="386">
        <f t="shared" si="122"/>
        <v>17.915029774567486</v>
      </c>
      <c r="AB326" s="197">
        <f t="shared" si="123"/>
        <v>43412</v>
      </c>
      <c r="AC326" s="427">
        <f t="shared" si="124"/>
        <v>2.0384438012309308E-2</v>
      </c>
      <c r="AD326" s="169">
        <f>(INDEX(Models!$BJ326:$BT326,,AH326)*(1-AF326)+INDEX(Models!$BJ326:$BT326,,AH326+1)*AF326-ERP_i)*AE326*Ramure*Pc/MaxiM</f>
        <v>2.0628303674524593E-4</v>
      </c>
      <c r="AE326" s="305">
        <f t="shared" si="125"/>
        <v>0.7</v>
      </c>
      <c r="AF326" s="177">
        <f t="shared" si="126"/>
        <v>0.49919458449091403</v>
      </c>
      <c r="AG326" s="921">
        <f t="shared" si="127"/>
        <v>-2</v>
      </c>
      <c r="AH326" s="176">
        <f t="shared" si="128"/>
        <v>4</v>
      </c>
      <c r="AI326" s="225">
        <f t="shared" si="129"/>
        <v>-1.500805415509086</v>
      </c>
      <c r="AJ326" s="265" t="b">
        <f t="shared" si="130"/>
        <v>0</v>
      </c>
      <c r="AK326" s="265" t="b">
        <f t="shared" si="131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33"/>
        <v>43413</v>
      </c>
      <c r="B327" s="620">
        <v>5.2430000000000003</v>
      </c>
      <c r="C327" s="390"/>
      <c r="D327" s="393">
        <f t="shared" si="109"/>
        <v>5.2625585806467807</v>
      </c>
      <c r="E327" s="385">
        <f t="shared" si="135"/>
        <v>5.3725996464950745</v>
      </c>
      <c r="F327" s="385">
        <f t="shared" si="137"/>
        <v>5.3725996464950745</v>
      </c>
      <c r="G327" s="110">
        <f t="shared" si="136"/>
        <v>0.15555134602828841</v>
      </c>
      <c r="I327" s="380">
        <f t="shared" si="110"/>
        <v>5.3725996464950745</v>
      </c>
      <c r="J327" s="85">
        <v>2018</v>
      </c>
      <c r="K327" s="197">
        <f t="shared" si="111"/>
        <v>43413</v>
      </c>
      <c r="L327" s="438">
        <f t="shared" si="112"/>
        <v>3.7165535256382665E-3</v>
      </c>
      <c r="M327" s="970"/>
      <c r="N327" s="970"/>
      <c r="O327" s="324">
        <f t="shared" si="113"/>
        <v>2.0481903191889757E-2</v>
      </c>
      <c r="P327" s="169">
        <f>(INDEX(Models!$BJ327:$BT327,,T327)*(1-R327)+INDEX(Models!$BJ327:$BT327,,T327+1)*R327-ERP_i)*Q327*Ramure*Pc/MaxiM</f>
        <v>2.0693757134004673E-4</v>
      </c>
      <c r="Q327" s="305">
        <f t="shared" si="114"/>
        <v>0.7</v>
      </c>
      <c r="R327" s="177">
        <f t="shared" si="115"/>
        <v>0.49923512613938348</v>
      </c>
      <c r="S327" s="921">
        <f t="shared" si="132"/>
        <v>-2</v>
      </c>
      <c r="T327" s="176">
        <f t="shared" si="116"/>
        <v>4</v>
      </c>
      <c r="U327" s="251">
        <f t="shared" si="117"/>
        <v>-1.5007648738606165</v>
      </c>
      <c r="V327" s="383">
        <f t="shared" si="118"/>
        <v>33.698937104409083</v>
      </c>
      <c r="W327" s="58"/>
      <c r="X327" s="157">
        <f t="shared" si="119"/>
        <v>43413</v>
      </c>
      <c r="Y327" s="385">
        <f t="shared" si="120"/>
        <v>5.2430000000000003</v>
      </c>
      <c r="Z327" s="385">
        <f t="shared" si="121"/>
        <v>5.2625585806467807</v>
      </c>
      <c r="AA327" s="386">
        <f t="shared" si="122"/>
        <v>5.3725996464950745</v>
      </c>
      <c r="AB327" s="197">
        <f t="shared" si="123"/>
        <v>43413</v>
      </c>
      <c r="AC327" s="427">
        <f t="shared" si="124"/>
        <v>2.0481903191889757E-2</v>
      </c>
      <c r="AD327" s="169">
        <f>(INDEX(Models!$BJ327:$BT327,,AH327)*(1-AF327)+INDEX(Models!$BJ327:$BT327,,AH327+1)*AF327-ERP_i)*AE327*Ramure*Pc/MaxiM</f>
        <v>2.0693757134004673E-4</v>
      </c>
      <c r="AE327" s="305">
        <f t="shared" si="125"/>
        <v>0.7</v>
      </c>
      <c r="AF327" s="177">
        <f t="shared" si="126"/>
        <v>0.49923512613938348</v>
      </c>
      <c r="AG327" s="921">
        <f t="shared" si="127"/>
        <v>-2</v>
      </c>
      <c r="AH327" s="176">
        <f t="shared" si="128"/>
        <v>4</v>
      </c>
      <c r="AI327" s="225">
        <f t="shared" si="129"/>
        <v>-1.5007648738606165</v>
      </c>
      <c r="AJ327" s="265" t="b">
        <f t="shared" si="130"/>
        <v>0</v>
      </c>
      <c r="AK327" s="265" t="b">
        <f t="shared" si="131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33"/>
        <v>43414</v>
      </c>
      <c r="B328" s="620">
        <v>21.134</v>
      </c>
      <c r="C328" s="390"/>
      <c r="D328" s="393">
        <f t="shared" si="109"/>
        <v>21.213303276058728</v>
      </c>
      <c r="E328" s="385">
        <f t="shared" si="135"/>
        <v>21.659030410070397</v>
      </c>
      <c r="F328" s="385">
        <f t="shared" si="137"/>
        <v>21.661173331050904</v>
      </c>
      <c r="G328" s="110">
        <f t="shared" si="136"/>
        <v>0.63311451635592686</v>
      </c>
      <c r="I328" s="380">
        <f t="shared" si="110"/>
        <v>21.661173331050904</v>
      </c>
      <c r="J328" s="85">
        <v>2018</v>
      </c>
      <c r="K328" s="197">
        <f t="shared" si="111"/>
        <v>43414</v>
      </c>
      <c r="L328" s="438">
        <f t="shared" si="112"/>
        <v>3.7383746900101489E-3</v>
      </c>
      <c r="M328" s="970"/>
      <c r="N328" s="970"/>
      <c r="O328" s="324">
        <f t="shared" si="113"/>
        <v>2.0579274583059311E-2</v>
      </c>
      <c r="P328" s="169">
        <f>(INDEX(Models!$BJ328:$BT328,,T328)*(1-R328)+INDEX(Models!$BJ328:$BT328,,T328+1)*R328-ERP_i)*Q328*Ramure*Pc/MaxiM</f>
        <v>2.0784460243456751E-4</v>
      </c>
      <c r="Q328" s="305">
        <f t="shared" si="114"/>
        <v>0.7</v>
      </c>
      <c r="R328" s="177">
        <f t="shared" si="115"/>
        <v>0.49927404164841871</v>
      </c>
      <c r="S328" s="921">
        <f t="shared" si="132"/>
        <v>-2</v>
      </c>
      <c r="T328" s="176">
        <f t="shared" si="116"/>
        <v>4</v>
      </c>
      <c r="U328" s="251">
        <f t="shared" si="117"/>
        <v>-1.5007259583515813</v>
      </c>
      <c r="V328" s="383">
        <f t="shared" si="118"/>
        <v>33.377370770528145</v>
      </c>
      <c r="W328" s="58"/>
      <c r="X328" s="157">
        <f t="shared" si="119"/>
        <v>43414</v>
      </c>
      <c r="Y328" s="385">
        <f t="shared" si="120"/>
        <v>21.134</v>
      </c>
      <c r="Z328" s="385">
        <f t="shared" si="121"/>
        <v>21.213303276058728</v>
      </c>
      <c r="AA328" s="386">
        <f t="shared" si="122"/>
        <v>21.659030410070397</v>
      </c>
      <c r="AB328" s="197">
        <f t="shared" si="123"/>
        <v>43414</v>
      </c>
      <c r="AC328" s="427">
        <f t="shared" si="124"/>
        <v>2.0579274583059311E-2</v>
      </c>
      <c r="AD328" s="169">
        <f>(INDEX(Models!$BJ328:$BT328,,AH328)*(1-AF328)+INDEX(Models!$BJ328:$BT328,,AH328+1)*AF328-ERP_i)*AE328*Ramure*Pc/MaxiM</f>
        <v>2.0784460243456751E-4</v>
      </c>
      <c r="AE328" s="305">
        <f t="shared" si="125"/>
        <v>0.7</v>
      </c>
      <c r="AF328" s="177">
        <f t="shared" si="126"/>
        <v>0.49927404164841871</v>
      </c>
      <c r="AG328" s="921">
        <f t="shared" si="127"/>
        <v>-2</v>
      </c>
      <c r="AH328" s="176">
        <f t="shared" si="128"/>
        <v>4</v>
      </c>
      <c r="AI328" s="225">
        <f t="shared" si="129"/>
        <v>-1.5007259583515813</v>
      </c>
      <c r="AJ328" s="265" t="b">
        <f t="shared" si="130"/>
        <v>0</v>
      </c>
      <c r="AK328" s="265" t="b">
        <f t="shared" si="131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33"/>
        <v>43415</v>
      </c>
      <c r="B329" s="620">
        <v>28.439</v>
      </c>
      <c r="C329" s="390"/>
      <c r="D329" s="393">
        <f t="shared" si="109"/>
        <v>28.54633981498667</v>
      </c>
      <c r="E329" s="385">
        <f t="shared" si="135"/>
        <v>29.149042173132603</v>
      </c>
      <c r="F329" s="385">
        <f t="shared" si="137"/>
        <v>29.153917771397072</v>
      </c>
      <c r="G329" s="110">
        <f t="shared" si="136"/>
        <v>0.86009113150075711</v>
      </c>
      <c r="I329" s="380">
        <f t="shared" si="110"/>
        <v>29.153917771397072</v>
      </c>
      <c r="J329" s="85">
        <v>2018</v>
      </c>
      <c r="K329" s="197">
        <f t="shared" si="111"/>
        <v>43415</v>
      </c>
      <c r="L329" s="438">
        <f t="shared" si="112"/>
        <v>3.7601953764424545E-3</v>
      </c>
      <c r="M329" s="970"/>
      <c r="N329" s="970"/>
      <c r="O329" s="324">
        <f t="shared" si="113"/>
        <v>2.0676575050601855E-2</v>
      </c>
      <c r="P329" s="169">
        <f>(INDEX(Models!$BJ329:$BT329,,T329)*(1-R329)+INDEX(Models!$BJ329:$BT329,,T329+1)*R329-ERP_i)*Q329*Ramure*Pc/MaxiM</f>
        <v>2.0899816680313791E-4</v>
      </c>
      <c r="Q329" s="305">
        <f t="shared" si="114"/>
        <v>0.7</v>
      </c>
      <c r="R329" s="177">
        <f t="shared" si="115"/>
        <v>0.49931139600441576</v>
      </c>
      <c r="S329" s="921">
        <f t="shared" si="132"/>
        <v>-2</v>
      </c>
      <c r="T329" s="176">
        <f t="shared" si="116"/>
        <v>4</v>
      </c>
      <c r="U329" s="251">
        <f t="shared" si="117"/>
        <v>-1.5006886039955842</v>
      </c>
      <c r="V329" s="383">
        <f t="shared" si="118"/>
        <v>33.063719760487494</v>
      </c>
      <c r="W329" s="58"/>
      <c r="X329" s="157">
        <f t="shared" si="119"/>
        <v>43415</v>
      </c>
      <c r="Y329" s="385">
        <f t="shared" si="120"/>
        <v>28.439</v>
      </c>
      <c r="Z329" s="385">
        <f t="shared" si="121"/>
        <v>28.54633981498667</v>
      </c>
      <c r="AA329" s="386">
        <f t="shared" si="122"/>
        <v>29.149042173132603</v>
      </c>
      <c r="AB329" s="197">
        <f t="shared" si="123"/>
        <v>43415</v>
      </c>
      <c r="AC329" s="427">
        <f t="shared" si="124"/>
        <v>2.0676575050601855E-2</v>
      </c>
      <c r="AD329" s="169">
        <f>(INDEX(Models!$BJ329:$BT329,,AH329)*(1-AF329)+INDEX(Models!$BJ329:$BT329,,AH329+1)*AF329-ERP_i)*AE329*Ramure*Pc/MaxiM</f>
        <v>2.0899816680313791E-4</v>
      </c>
      <c r="AE329" s="305">
        <f t="shared" si="125"/>
        <v>0.7</v>
      </c>
      <c r="AF329" s="177">
        <f t="shared" si="126"/>
        <v>0.49931139600441576</v>
      </c>
      <c r="AG329" s="921">
        <f t="shared" si="127"/>
        <v>-2</v>
      </c>
      <c r="AH329" s="176">
        <f t="shared" si="128"/>
        <v>4</v>
      </c>
      <c r="AI329" s="225">
        <f t="shared" si="129"/>
        <v>-1.5006886039955842</v>
      </c>
      <c r="AJ329" s="265" t="b">
        <f t="shared" si="130"/>
        <v>0</v>
      </c>
      <c r="AK329" s="265" t="b">
        <f t="shared" si="131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33"/>
        <v>43416</v>
      </c>
      <c r="B330" s="620">
        <v>27.134</v>
      </c>
      <c r="C330" s="390"/>
      <c r="D330" s="393">
        <f t="shared" si="109"/>
        <v>27.237010799330406</v>
      </c>
      <c r="E330" s="385">
        <f t="shared" si="135"/>
        <v>27.814831300229667</v>
      </c>
      <c r="F330" s="385">
        <f t="shared" si="137"/>
        <v>27.819248428423119</v>
      </c>
      <c r="G330" s="110">
        <f t="shared" si="136"/>
        <v>0.82823729637265686</v>
      </c>
      <c r="I330" s="380">
        <f t="shared" si="110"/>
        <v>27.819248428423119</v>
      </c>
      <c r="J330" s="85">
        <v>2018</v>
      </c>
      <c r="K330" s="197">
        <f t="shared" si="111"/>
        <v>43416</v>
      </c>
      <c r="L330" s="438">
        <f t="shared" si="112"/>
        <v>3.7820155849458414E-3</v>
      </c>
      <c r="M330" s="970"/>
      <c r="N330" s="970"/>
      <c r="O330" s="324">
        <f t="shared" si="113"/>
        <v>2.0773827267271228E-2</v>
      </c>
      <c r="P330" s="169">
        <f>(INDEX(Models!$BJ330:$BT330,,T330)*(1-R330)+INDEX(Models!$BJ330:$BT330,,T330+1)*R330-ERP_i)*Q330*Ramure*Pc/MaxiM</f>
        <v>2.1039162038125712E-4</v>
      </c>
      <c r="Q330" s="305">
        <f t="shared" si="114"/>
        <v>0.7</v>
      </c>
      <c r="R330" s="177">
        <f t="shared" si="115"/>
        <v>0.49934725161547888</v>
      </c>
      <c r="S330" s="921">
        <f t="shared" si="132"/>
        <v>-2</v>
      </c>
      <c r="T330" s="176">
        <f t="shared" si="116"/>
        <v>4</v>
      </c>
      <c r="U330" s="251">
        <f t="shared" si="117"/>
        <v>-1.5006527483845211</v>
      </c>
      <c r="V330" s="383">
        <f t="shared" si="118"/>
        <v>32.759451252619137</v>
      </c>
      <c r="W330" s="58"/>
      <c r="X330" s="157">
        <f t="shared" si="119"/>
        <v>43416</v>
      </c>
      <c r="Y330" s="385">
        <f t="shared" si="120"/>
        <v>27.134</v>
      </c>
      <c r="Z330" s="385">
        <f t="shared" si="121"/>
        <v>27.237010799330406</v>
      </c>
      <c r="AA330" s="386">
        <f t="shared" si="122"/>
        <v>27.814831300229667</v>
      </c>
      <c r="AB330" s="197">
        <f t="shared" si="123"/>
        <v>43416</v>
      </c>
      <c r="AC330" s="427">
        <f t="shared" si="124"/>
        <v>2.0773827267271228E-2</v>
      </c>
      <c r="AD330" s="169">
        <f>(INDEX(Models!$BJ330:$BT330,,AH330)*(1-AF330)+INDEX(Models!$BJ330:$BT330,,AH330+1)*AF330-ERP_i)*AE330*Ramure*Pc/MaxiM</f>
        <v>2.1039162038125712E-4</v>
      </c>
      <c r="AE330" s="305">
        <f t="shared" si="125"/>
        <v>0.7</v>
      </c>
      <c r="AF330" s="177">
        <f t="shared" si="126"/>
        <v>0.49934725161547888</v>
      </c>
      <c r="AG330" s="921">
        <f t="shared" si="127"/>
        <v>-2</v>
      </c>
      <c r="AH330" s="176">
        <f t="shared" si="128"/>
        <v>4</v>
      </c>
      <c r="AI330" s="225">
        <f t="shared" si="129"/>
        <v>-1.5006527483845211</v>
      </c>
      <c r="AJ330" s="265" t="b">
        <f t="shared" si="130"/>
        <v>0</v>
      </c>
      <c r="AK330" s="265" t="b">
        <f t="shared" si="131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33"/>
        <v>43417</v>
      </c>
      <c r="B331" s="620">
        <v>8.4469999999999992</v>
      </c>
      <c r="C331" s="390"/>
      <c r="D331" s="393">
        <f t="shared" si="109"/>
        <v>8.4792536846148803</v>
      </c>
      <c r="E331" s="385">
        <f t="shared" si="135"/>
        <v>8.659996945088233</v>
      </c>
      <c r="F331" s="385">
        <f t="shared" si="137"/>
        <v>8.659996945088233</v>
      </c>
      <c r="G331" s="110">
        <f t="shared" si="136"/>
        <v>0.2601612110291146</v>
      </c>
      <c r="I331" s="380">
        <f t="shared" si="110"/>
        <v>8.659996945088233</v>
      </c>
      <c r="J331" s="85">
        <v>2018</v>
      </c>
      <c r="K331" s="197">
        <f t="shared" si="111"/>
        <v>43417</v>
      </c>
      <c r="L331" s="438">
        <f t="shared" si="112"/>
        <v>3.8038353155305238E-3</v>
      </c>
      <c r="M331" s="970"/>
      <c r="N331" s="970"/>
      <c r="O331" s="324">
        <f t="shared" si="113"/>
        <v>2.0871053606533484E-2</v>
      </c>
      <c r="P331" s="169">
        <f>(INDEX(Models!$BJ331:$BT331,,T331)*(1-R331)+INDEX(Models!$BJ331:$BT331,,T331+1)*R331-ERP_i)*Q331*Ramure*Pc/MaxiM</f>
        <v>2.1204748055080624E-4</v>
      </c>
      <c r="Q331" s="305">
        <f t="shared" si="114"/>
        <v>0.7</v>
      </c>
      <c r="R331" s="177">
        <f t="shared" si="115"/>
        <v>0.49938166841222964</v>
      </c>
      <c r="S331" s="921">
        <f t="shared" si="132"/>
        <v>-2</v>
      </c>
      <c r="T331" s="176">
        <f t="shared" si="116"/>
        <v>4</v>
      </c>
      <c r="U331" s="251">
        <f t="shared" si="117"/>
        <v>-1.5006183315877704</v>
      </c>
      <c r="V331" s="383">
        <f t="shared" si="118"/>
        <v>32.461444969160624</v>
      </c>
      <c r="W331" s="58"/>
      <c r="X331" s="157">
        <f t="shared" si="119"/>
        <v>43417</v>
      </c>
      <c r="Y331" s="385">
        <f t="shared" si="120"/>
        <v>8.4469999999999992</v>
      </c>
      <c r="Z331" s="385">
        <f t="shared" si="121"/>
        <v>8.4792536846148803</v>
      </c>
      <c r="AA331" s="386">
        <f t="shared" si="122"/>
        <v>8.659996945088233</v>
      </c>
      <c r="AB331" s="197">
        <f t="shared" si="123"/>
        <v>43417</v>
      </c>
      <c r="AC331" s="427">
        <f t="shared" si="124"/>
        <v>2.0871053606533484E-2</v>
      </c>
      <c r="AD331" s="169">
        <f>(INDEX(Models!$BJ331:$BT331,,AH331)*(1-AF331)+INDEX(Models!$BJ331:$BT331,,AH331+1)*AF331-ERP_i)*AE331*Ramure*Pc/MaxiM</f>
        <v>2.1204748055080624E-4</v>
      </c>
      <c r="AE331" s="305">
        <f t="shared" si="125"/>
        <v>0.7</v>
      </c>
      <c r="AF331" s="177">
        <f t="shared" si="126"/>
        <v>0.49938166841222964</v>
      </c>
      <c r="AG331" s="921">
        <f t="shared" si="127"/>
        <v>-2</v>
      </c>
      <c r="AH331" s="176">
        <f t="shared" si="128"/>
        <v>4</v>
      </c>
      <c r="AI331" s="225">
        <f t="shared" si="129"/>
        <v>-1.5006183315877704</v>
      </c>
      <c r="AJ331" s="265" t="b">
        <f t="shared" si="130"/>
        <v>0</v>
      </c>
      <c r="AK331" s="265" t="b">
        <f t="shared" si="131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33"/>
        <v>43418</v>
      </c>
      <c r="B332" s="620">
        <v>18.725000000000001</v>
      </c>
      <c r="C332" s="390"/>
      <c r="D332" s="393">
        <f t="shared" si="109"/>
        <v>18.79691048647075</v>
      </c>
      <c r="E332" s="385">
        <f t="shared" si="135"/>
        <v>19.19949070738388</v>
      </c>
      <c r="F332" s="385">
        <f t="shared" si="137"/>
        <v>19.201146475349681</v>
      </c>
      <c r="G332" s="110">
        <f t="shared" si="136"/>
        <v>0.58206417180416414</v>
      </c>
      <c r="I332" s="380">
        <f t="shared" si="110"/>
        <v>19.201146475349681</v>
      </c>
      <c r="J332" s="85">
        <v>2018</v>
      </c>
      <c r="K332" s="197">
        <f t="shared" si="111"/>
        <v>43418</v>
      </c>
      <c r="L332" s="438">
        <f t="shared" si="112"/>
        <v>3.8256545682071597E-3</v>
      </c>
      <c r="M332" s="970"/>
      <c r="N332" s="970"/>
      <c r="O332" s="324">
        <f t="shared" si="113"/>
        <v>2.0968276036525475E-2</v>
      </c>
      <c r="P332" s="169">
        <f>(INDEX(Models!$BJ332:$BT332,,T332)*(1-R332)+INDEX(Models!$BJ332:$BT332,,T332+1)*R332-ERP_i)*Q332*Ramure*Pc/MaxiM</f>
        <v>2.1394786755167568E-4</v>
      </c>
      <c r="Q332" s="305">
        <f t="shared" si="114"/>
        <v>0.7</v>
      </c>
      <c r="R332" s="177">
        <f t="shared" si="115"/>
        <v>0.49941470394479137</v>
      </c>
      <c r="S332" s="921">
        <f t="shared" si="132"/>
        <v>-2</v>
      </c>
      <c r="T332" s="176">
        <f t="shared" si="116"/>
        <v>4</v>
      </c>
      <c r="U332" s="251">
        <f t="shared" si="117"/>
        <v>-1.5005852960552086</v>
      </c>
      <c r="V332" s="383">
        <f t="shared" si="118"/>
        <v>32.165883480588491</v>
      </c>
      <c r="W332" s="58"/>
      <c r="X332" s="157">
        <f t="shared" si="119"/>
        <v>43418</v>
      </c>
      <c r="Y332" s="385">
        <f t="shared" si="120"/>
        <v>18.725000000000001</v>
      </c>
      <c r="Z332" s="385">
        <f t="shared" si="121"/>
        <v>18.79691048647075</v>
      </c>
      <c r="AA332" s="386">
        <f t="shared" si="122"/>
        <v>19.19949070738388</v>
      </c>
      <c r="AB332" s="197">
        <f t="shared" si="123"/>
        <v>43418</v>
      </c>
      <c r="AC332" s="427">
        <f t="shared" si="124"/>
        <v>2.0968276036525475E-2</v>
      </c>
      <c r="AD332" s="169">
        <f>(INDEX(Models!$BJ332:$BT332,,AH332)*(1-AF332)+INDEX(Models!$BJ332:$BT332,,AH332+1)*AF332-ERP_i)*AE332*Ramure*Pc/MaxiM</f>
        <v>2.1394786755167568E-4</v>
      </c>
      <c r="AE332" s="305">
        <f t="shared" si="125"/>
        <v>0.7</v>
      </c>
      <c r="AF332" s="177">
        <f t="shared" si="126"/>
        <v>0.49941470394479137</v>
      </c>
      <c r="AG332" s="921">
        <f t="shared" si="127"/>
        <v>-2</v>
      </c>
      <c r="AH332" s="176">
        <f t="shared" si="128"/>
        <v>4</v>
      </c>
      <c r="AI332" s="225">
        <f t="shared" si="129"/>
        <v>-1.5005852960552086</v>
      </c>
      <c r="AJ332" s="265" t="b">
        <f t="shared" si="130"/>
        <v>0</v>
      </c>
      <c r="AK332" s="265" t="b">
        <f t="shared" si="131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33"/>
        <v>43419</v>
      </c>
      <c r="B333" s="620">
        <v>21.306000000000001</v>
      </c>
      <c r="C333" s="390"/>
      <c r="D333" s="393">
        <f t="shared" si="109"/>
        <v>21.388290879009023</v>
      </c>
      <c r="E333" s="385">
        <f t="shared" si="135"/>
        <v>21.848541683774929</v>
      </c>
      <c r="F333" s="385">
        <f t="shared" si="137"/>
        <v>21.851026415041137</v>
      </c>
      <c r="G333" s="110">
        <f t="shared" si="136"/>
        <v>0.66839313907897879</v>
      </c>
      <c r="I333" s="380">
        <f t="shared" si="110"/>
        <v>21.851026415041137</v>
      </c>
      <c r="J333" s="85">
        <v>2018</v>
      </c>
      <c r="K333" s="197">
        <f t="shared" si="111"/>
        <v>43419</v>
      </c>
      <c r="L333" s="438">
        <f t="shared" si="112"/>
        <v>3.8474733429861852E-3</v>
      </c>
      <c r="M333" s="970"/>
      <c r="N333" s="970"/>
      <c r="O333" s="324">
        <f t="shared" si="113"/>
        <v>2.1065516016004707E-2</v>
      </c>
      <c r="P333" s="169">
        <f>(INDEX(Models!$BJ333:$BT333,,T333)*(1-R333)+INDEX(Models!$BJ333:$BT333,,T333+1)*R333-ERP_i)*Q333*Ramure*Pc/MaxiM</f>
        <v>2.160296974959141E-4</v>
      </c>
      <c r="Q333" s="305">
        <f t="shared" si="114"/>
        <v>0.7</v>
      </c>
      <c r="R333" s="177">
        <f t="shared" si="115"/>
        <v>0.49944641347608654</v>
      </c>
      <c r="S333" s="921">
        <f t="shared" si="132"/>
        <v>-2</v>
      </c>
      <c r="T333" s="176">
        <f t="shared" si="116"/>
        <v>4</v>
      </c>
      <c r="U333" s="251">
        <f t="shared" si="117"/>
        <v>-1.5005535865239135</v>
      </c>
      <c r="V333" s="383">
        <f t="shared" si="118"/>
        <v>31.873187399472858</v>
      </c>
      <c r="W333" s="58"/>
      <c r="X333" s="157">
        <f t="shared" si="119"/>
        <v>43419</v>
      </c>
      <c r="Y333" s="385">
        <f t="shared" si="120"/>
        <v>21.306000000000001</v>
      </c>
      <c r="Z333" s="385">
        <f t="shared" si="121"/>
        <v>21.388290879009023</v>
      </c>
      <c r="AA333" s="386">
        <f t="shared" si="122"/>
        <v>21.848541683774929</v>
      </c>
      <c r="AB333" s="197">
        <f t="shared" si="123"/>
        <v>43419</v>
      </c>
      <c r="AC333" s="427">
        <f t="shared" si="124"/>
        <v>2.1065516016004707E-2</v>
      </c>
      <c r="AD333" s="169">
        <f>(INDEX(Models!$BJ333:$BT333,,AH333)*(1-AF333)+INDEX(Models!$BJ333:$BT333,,AH333+1)*AF333-ERP_i)*AE333*Ramure*Pc/MaxiM</f>
        <v>2.160296974959141E-4</v>
      </c>
      <c r="AE333" s="305">
        <f t="shared" si="125"/>
        <v>0.7</v>
      </c>
      <c r="AF333" s="177">
        <f t="shared" si="126"/>
        <v>0.49944641347608654</v>
      </c>
      <c r="AG333" s="921">
        <f t="shared" si="127"/>
        <v>-2</v>
      </c>
      <c r="AH333" s="176">
        <f t="shared" si="128"/>
        <v>4</v>
      </c>
      <c r="AI333" s="225">
        <f t="shared" si="129"/>
        <v>-1.5005535865239135</v>
      </c>
      <c r="AJ333" s="265" t="b">
        <f t="shared" si="130"/>
        <v>0</v>
      </c>
      <c r="AK333" s="265" t="b">
        <f t="shared" si="131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33"/>
        <v>43420</v>
      </c>
      <c r="B334" s="620">
        <v>25.712</v>
      </c>
      <c r="C334" s="390"/>
      <c r="D334" s="393">
        <f t="shared" si="109"/>
        <v>25.811873666989268</v>
      </c>
      <c r="E334" s="385">
        <f t="shared" si="135"/>
        <v>26.369935183434485</v>
      </c>
      <c r="F334" s="385">
        <f t="shared" si="137"/>
        <v>26.374163427809396</v>
      </c>
      <c r="G334" s="110">
        <f t="shared" si="136"/>
        <v>0.81404167210692902</v>
      </c>
      <c r="I334" s="380">
        <f t="shared" si="110"/>
        <v>26.374163427809396</v>
      </c>
      <c r="J334" s="85">
        <v>2018</v>
      </c>
      <c r="K334" s="197">
        <f t="shared" si="111"/>
        <v>43420</v>
      </c>
      <c r="L334" s="438">
        <f t="shared" si="112"/>
        <v>3.8692916398780364E-3</v>
      </c>
      <c r="M334" s="970"/>
      <c r="N334" s="970"/>
      <c r="O334" s="324">
        <f t="shared" si="113"/>
        <v>2.1162794393055247E-2</v>
      </c>
      <c r="P334" s="169">
        <f>(INDEX(Models!$BJ334:$BT334,,T334)*(1-R334)+INDEX(Models!$BJ334:$BT334,,T334+1)*R334-ERP_i)*Q334*Ramure*Pc/MaxiM</f>
        <v>2.1829370857020053E-4</v>
      </c>
      <c r="Q334" s="305">
        <f t="shared" si="114"/>
        <v>0.7</v>
      </c>
      <c r="R334" s="177">
        <f t="shared" si="115"/>
        <v>0.49947685007157605</v>
      </c>
      <c r="S334" s="921">
        <f t="shared" si="132"/>
        <v>-2</v>
      </c>
      <c r="T334" s="176">
        <f t="shared" si="116"/>
        <v>4</v>
      </c>
      <c r="U334" s="251">
        <f t="shared" si="117"/>
        <v>-1.5005231499284239</v>
      </c>
      <c r="V334" s="383">
        <f t="shared" si="118"/>
        <v>31.583775084238837</v>
      </c>
      <c r="W334" s="58"/>
      <c r="X334" s="157">
        <f t="shared" si="119"/>
        <v>43420</v>
      </c>
      <c r="Y334" s="385">
        <f t="shared" si="120"/>
        <v>25.712</v>
      </c>
      <c r="Z334" s="385">
        <f t="shared" si="121"/>
        <v>25.811873666989268</v>
      </c>
      <c r="AA334" s="386">
        <f t="shared" si="122"/>
        <v>26.369935183434485</v>
      </c>
      <c r="AB334" s="197">
        <f t="shared" si="123"/>
        <v>43420</v>
      </c>
      <c r="AC334" s="427">
        <f t="shared" si="124"/>
        <v>2.1162794393055247E-2</v>
      </c>
      <c r="AD334" s="169">
        <f>(INDEX(Models!$BJ334:$BT334,,AH334)*(1-AF334)+INDEX(Models!$BJ334:$BT334,,AH334+1)*AF334-ERP_i)*AE334*Ramure*Pc/MaxiM</f>
        <v>2.1829370857020053E-4</v>
      </c>
      <c r="AE334" s="305">
        <f t="shared" si="125"/>
        <v>0.7</v>
      </c>
      <c r="AF334" s="177">
        <f t="shared" si="126"/>
        <v>0.49947685007157605</v>
      </c>
      <c r="AG334" s="921">
        <f t="shared" si="127"/>
        <v>-2</v>
      </c>
      <c r="AH334" s="176">
        <f t="shared" si="128"/>
        <v>4</v>
      </c>
      <c r="AI334" s="225">
        <f t="shared" si="129"/>
        <v>-1.5005231499284239</v>
      </c>
      <c r="AJ334" s="265" t="b">
        <f t="shared" si="130"/>
        <v>0</v>
      </c>
      <c r="AK334" s="265" t="b">
        <f t="shared" si="131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33"/>
        <v>43421</v>
      </c>
      <c r="B335" s="620">
        <v>30.687000000000001</v>
      </c>
      <c r="C335" s="390"/>
      <c r="D335" s="393">
        <f t="shared" ref="D335:D379" si="138">Wh/(1-Ppv)</f>
        <v>30.806872914596912</v>
      </c>
      <c r="E335" s="385">
        <f t="shared" si="135"/>
        <v>31.476058041597398</v>
      </c>
      <c r="F335" s="385">
        <f t="shared" si="137"/>
        <v>31.482813740825435</v>
      </c>
      <c r="G335" s="110">
        <f t="shared" si="136"/>
        <v>0.98046992010709288</v>
      </c>
      <c r="I335" s="380">
        <f t="shared" ref="I335:I380" si="139">Wh_hp</f>
        <v>31.482813740825435</v>
      </c>
      <c r="J335" s="85">
        <v>2018</v>
      </c>
      <c r="K335" s="197">
        <f t="shared" ref="K335:K379" si="140">t</f>
        <v>43421</v>
      </c>
      <c r="L335" s="438">
        <f t="shared" ref="L335:L378" si="141">IF(t&lt;T0,0,IF(t&lt;Tvie,1-EXP((T0-t)*PertePVj),1-EXP((T0-t)*PertePVj)+Pspv))</f>
        <v>3.8911094588932604E-3</v>
      </c>
      <c r="M335" s="970"/>
      <c r="N335" s="970"/>
      <c r="O335" s="324">
        <f t="shared" ref="O335:O379" si="142">IF(t&lt;T0,0,IF(t&lt;Tnet,Salim_i*(1-EXP((T0-t)/Tau_ij)),Resal+(Salim-Resal)*(1-EXP((Tnet-t)/(Tau_j)))))*Salcycl</f>
        <v>2.1260131307297786E-2</v>
      </c>
      <c r="P335" s="169">
        <f>(INDEX(Models!$BJ335:$BT335,,T335)*(1-R335)+INDEX(Models!$BJ335:$BT335,,T335+1)*R335-ERP_i)*Q335*Ramure*Pc/MaxiM</f>
        <v>2.2074049919448491E-4</v>
      </c>
      <c r="Q335" s="305">
        <f t="shared" ref="Q335:Q379" si="143">IF(OR(t&lt;Ttai,Notai),Dd+PousD*Croivg,Dens+PousD*(Croivg-Croi_tai))</f>
        <v>0.7</v>
      </c>
      <c r="R335" s="177">
        <f t="shared" ref="R335:R379" si="144">(Hp_vg-S335)/(INDEX(Echel_vg,T335+1)-S335)</f>
        <v>0.49950606468557024</v>
      </c>
      <c r="S335" s="921">
        <f t="shared" si="132"/>
        <v>-2</v>
      </c>
      <c r="T335" s="176">
        <f t="shared" ref="T335:T379" si="145">MIN(MATCH(Hp_vg,Echel_vg),10)</f>
        <v>4</v>
      </c>
      <c r="U335" s="251">
        <f t="shared" ref="U335:U379" si="146">IF(OR(t&lt;Ttai,Notai),Hdd+PousH*Croivg,Hdtf+PousH*(Croivg-Croi_tai))</f>
        <v>-1.5004939353144298</v>
      </c>
      <c r="V335" s="383">
        <f t="shared" ref="V335:V379" si="147">MaxiM*(1-Ppv)*(1-Pvg)*(1-Psa)</f>
        <v>31.298064730996924</v>
      </c>
      <c r="W335" s="58"/>
      <c r="X335" s="157">
        <f t="shared" ref="X335:X379" si="148">t</f>
        <v>43421</v>
      </c>
      <c r="Y335" s="385">
        <f t="shared" ref="Y335:Y379" si="149">Wh_pvt_s*(1-Ppv)</f>
        <v>30.687000000000001</v>
      </c>
      <c r="Z335" s="385">
        <f t="shared" ref="Z335:Z379" si="150">Wh_sa_s*(1-Psa_s)</f>
        <v>30.806872914596912</v>
      </c>
      <c r="AA335" s="386">
        <f t="shared" ref="AA335:AA379" si="151">Wh_hp*(1-Pvg_s*MEDIAN((-Sdif+Wh/Env_an)/Csdif,0,1))</f>
        <v>31.476058041597398</v>
      </c>
      <c r="AB335" s="197">
        <f t="shared" ref="AB335:AB379" si="152">t</f>
        <v>43421</v>
      </c>
      <c r="AC335" s="427">
        <f t="shared" ref="AC335:AC379" si="153">IF(t&lt;T0,0,IF(OR(t&lt;Tnet,NoTnet),Salim_i*(1-EXP((T0-t)/Tau_ij)),Resal_s+(Salim-Resal_s)*(1-EXP((Tnet_s-t)/Tau_j))))*Salcycl</f>
        <v>2.1260131307297786E-2</v>
      </c>
      <c r="AD335" s="169">
        <f>(INDEX(Models!$BJ335:$BT335,,AH335)*(1-AF335)+INDEX(Models!$BJ335:$BT335,,AH335+1)*AF335-ERP_i)*AE335*Ramure*Pc/MaxiM</f>
        <v>2.2074049919448491E-4</v>
      </c>
      <c r="AE335" s="305">
        <f t="shared" ref="AE335:AE379" si="154">Dd+PousD*Croivg</f>
        <v>0.7</v>
      </c>
      <c r="AF335" s="177">
        <f t="shared" ref="AF335:AF379" si="155">(Hp_vg_s-AG335)/(INDEX(Echel_vg,AH335+1)-AG335)</f>
        <v>0.49950606468557024</v>
      </c>
      <c r="AG335" s="921">
        <f t="shared" ref="AG335:AG379" si="156">INDEX(Echel_vg,AH335)</f>
        <v>-2</v>
      </c>
      <c r="AH335" s="176">
        <f t="shared" ref="AH335:AH379" si="157">MIN(MATCH(Hp_vg_s,Echel_vg),10)</f>
        <v>4</v>
      </c>
      <c r="AI335" s="225">
        <f t="shared" ref="AI335:AI379" si="158">Hdd+PousH*Croivg</f>
        <v>-1.5004939353144298</v>
      </c>
      <c r="AJ335" s="265" t="b">
        <f t="shared" ref="AJ335:AJ380" si="159">t&lt;Tnet</f>
        <v>0</v>
      </c>
      <c r="AK335" s="265" t="b">
        <f t="shared" ref="AK335:AK380" si="160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si="133"/>
        <v>43422</v>
      </c>
      <c r="B336" s="620">
        <v>22.553000000000001</v>
      </c>
      <c r="C336" s="390"/>
      <c r="D336" s="393">
        <f t="shared" si="138"/>
        <v>22.64159490349358</v>
      </c>
      <c r="E336" s="385">
        <f t="shared" si="135"/>
        <v>23.135717046792077</v>
      </c>
      <c r="F336" s="385">
        <f t="shared" si="137"/>
        <v>23.138870814554306</v>
      </c>
      <c r="G336" s="110">
        <f t="shared" si="136"/>
        <v>0.72706638718428773</v>
      </c>
      <c r="I336" s="380">
        <f t="shared" si="139"/>
        <v>23.138870814554306</v>
      </c>
      <c r="J336" s="85">
        <v>2018</v>
      </c>
      <c r="K336" s="197">
        <f t="shared" si="140"/>
        <v>43422</v>
      </c>
      <c r="L336" s="438">
        <f t="shared" si="141"/>
        <v>3.9129268000421824E-3</v>
      </c>
      <c r="M336" s="970"/>
      <c r="N336" s="970"/>
      <c r="O336" s="324">
        <f t="shared" si="142"/>
        <v>2.1357546096329415E-2</v>
      </c>
      <c r="P336" s="169">
        <f>(INDEX(Models!$BJ336:$BT336,,T336)*(1-R336)+INDEX(Models!$BJ336:$BT336,,T336+1)*R336-ERP_i)*Q336*Ramure*Pc/MaxiM</f>
        <v>2.233704957258946E-4</v>
      </c>
      <c r="Q336" s="305">
        <f t="shared" si="143"/>
        <v>0.7</v>
      </c>
      <c r="R336" s="177">
        <f t="shared" si="144"/>
        <v>0.49953410624423356</v>
      </c>
      <c r="S336" s="921">
        <f t="shared" ref="S336:S379" si="161">INDEX(Echel_vg,T336)</f>
        <v>-2</v>
      </c>
      <c r="T336" s="176">
        <f t="shared" si="145"/>
        <v>4</v>
      </c>
      <c r="U336" s="251">
        <f t="shared" si="146"/>
        <v>-1.5004658937557664</v>
      </c>
      <c r="V336" s="383">
        <f t="shared" si="147"/>
        <v>31.016474382689168</v>
      </c>
      <c r="W336" s="58"/>
      <c r="X336" s="157">
        <f t="shared" si="148"/>
        <v>43422</v>
      </c>
      <c r="Y336" s="385">
        <f t="shared" si="149"/>
        <v>22.553000000000001</v>
      </c>
      <c r="Z336" s="385">
        <f t="shared" si="150"/>
        <v>22.64159490349358</v>
      </c>
      <c r="AA336" s="386">
        <f t="shared" si="151"/>
        <v>23.135717046792077</v>
      </c>
      <c r="AB336" s="197">
        <f t="shared" si="152"/>
        <v>43422</v>
      </c>
      <c r="AC336" s="427">
        <f t="shared" si="153"/>
        <v>2.1357546096329415E-2</v>
      </c>
      <c r="AD336" s="169">
        <f>(INDEX(Models!$BJ336:$BT336,,AH336)*(1-AF336)+INDEX(Models!$BJ336:$BT336,,AH336+1)*AF336-ERP_i)*AE336*Ramure*Pc/MaxiM</f>
        <v>2.233704957258946E-4</v>
      </c>
      <c r="AE336" s="305">
        <f t="shared" si="154"/>
        <v>0.7</v>
      </c>
      <c r="AF336" s="177">
        <f t="shared" si="155"/>
        <v>0.49953410624423356</v>
      </c>
      <c r="AG336" s="921">
        <f t="shared" si="156"/>
        <v>-2</v>
      </c>
      <c r="AH336" s="176">
        <f t="shared" si="157"/>
        <v>4</v>
      </c>
      <c r="AI336" s="225">
        <f t="shared" si="158"/>
        <v>-1.5004658937557664</v>
      </c>
      <c r="AJ336" s="265" t="b">
        <f t="shared" si="159"/>
        <v>0</v>
      </c>
      <c r="AK336" s="265" t="b">
        <f t="shared" si="160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ref="A337:A379" si="162">A336+1</f>
        <v>43423</v>
      </c>
      <c r="B337" s="620">
        <v>22.507000000000001</v>
      </c>
      <c r="C337" s="390"/>
      <c r="D337" s="393">
        <f t="shared" si="138"/>
        <v>22.595909110188618</v>
      </c>
      <c r="E337" s="385">
        <f t="shared" si="135"/>
        <v>23.091335024119118</v>
      </c>
      <c r="F337" s="385">
        <f t="shared" si="137"/>
        <v>23.094560136920578</v>
      </c>
      <c r="G337" s="110">
        <f t="shared" si="136"/>
        <v>0.7321234643615524</v>
      </c>
      <c r="I337" s="380">
        <f t="shared" si="139"/>
        <v>23.094560136920578</v>
      </c>
      <c r="J337" s="85">
        <v>2018</v>
      </c>
      <c r="K337" s="197">
        <f t="shared" si="140"/>
        <v>43423</v>
      </c>
      <c r="L337" s="438">
        <f t="shared" si="141"/>
        <v>3.9347436633353494E-3</v>
      </c>
      <c r="M337" s="970"/>
      <c r="N337" s="970"/>
      <c r="O337" s="324">
        <f t="shared" si="142"/>
        <v>2.1455057207087503E-2</v>
      </c>
      <c r="P337" s="169">
        <f>(INDEX(Models!$BJ337:$BT337,,T337)*(1-R337)+INDEX(Models!$BJ337:$BT337,,T337+1)*R337-ERP_i)*Q337*Ramure*Pc/MaxiM</f>
        <v>2.2618391762986245E-4</v>
      </c>
      <c r="Q337" s="305">
        <f t="shared" si="143"/>
        <v>0.7</v>
      </c>
      <c r="R337" s="177">
        <f t="shared" si="144"/>
        <v>0.49956102172540406</v>
      </c>
      <c r="S337" s="921">
        <f t="shared" si="161"/>
        <v>-2</v>
      </c>
      <c r="T337" s="176">
        <f t="shared" si="145"/>
        <v>4</v>
      </c>
      <c r="U337" s="251">
        <f t="shared" si="146"/>
        <v>-1.5004389782745959</v>
      </c>
      <c r="V337" s="383">
        <f t="shared" si="147"/>
        <v>30.739421918783062</v>
      </c>
      <c r="W337" s="58"/>
      <c r="X337" s="157">
        <f t="shared" si="148"/>
        <v>43423</v>
      </c>
      <c r="Y337" s="385">
        <f t="shared" si="149"/>
        <v>22.507000000000001</v>
      </c>
      <c r="Z337" s="385">
        <f t="shared" si="150"/>
        <v>22.595909110188618</v>
      </c>
      <c r="AA337" s="386">
        <f t="shared" si="151"/>
        <v>23.091335024119118</v>
      </c>
      <c r="AB337" s="197">
        <f t="shared" si="152"/>
        <v>43423</v>
      </c>
      <c r="AC337" s="427">
        <f t="shared" si="153"/>
        <v>2.1455057207087503E-2</v>
      </c>
      <c r="AD337" s="169">
        <f>(INDEX(Models!$BJ337:$BT337,,AH337)*(1-AF337)+INDEX(Models!$BJ337:$BT337,,AH337+1)*AF337-ERP_i)*AE337*Ramure*Pc/MaxiM</f>
        <v>2.2618391762986245E-4</v>
      </c>
      <c r="AE337" s="305">
        <f t="shared" si="154"/>
        <v>0.7</v>
      </c>
      <c r="AF337" s="177">
        <f t="shared" si="155"/>
        <v>0.49956102172540406</v>
      </c>
      <c r="AG337" s="921">
        <f t="shared" si="156"/>
        <v>-2</v>
      </c>
      <c r="AH337" s="176">
        <f t="shared" si="157"/>
        <v>4</v>
      </c>
      <c r="AI337" s="225">
        <f t="shared" si="158"/>
        <v>-1.5004389782745959</v>
      </c>
      <c r="AJ337" s="265" t="b">
        <f t="shared" si="159"/>
        <v>0</v>
      </c>
      <c r="AK337" s="265" t="b">
        <f t="shared" si="160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62"/>
        <v>43424</v>
      </c>
      <c r="B338" s="620">
        <v>10.316000000000001</v>
      </c>
      <c r="C338" s="390"/>
      <c r="D338" s="393">
        <f t="shared" si="138"/>
        <v>10.356978005402302</v>
      </c>
      <c r="E338" s="385">
        <f t="shared" si="135"/>
        <v>10.585115637872569</v>
      </c>
      <c r="F338" s="385">
        <f t="shared" si="137"/>
        <v>10.585249209500249</v>
      </c>
      <c r="G338" s="110">
        <f t="shared" si="136"/>
        <v>0.33851891805066542</v>
      </c>
      <c r="I338" s="380">
        <f t="shared" si="139"/>
        <v>10.585249209500249</v>
      </c>
      <c r="J338" s="85">
        <v>2018</v>
      </c>
      <c r="K338" s="197">
        <f t="shared" si="140"/>
        <v>43424</v>
      </c>
      <c r="L338" s="438">
        <f t="shared" si="141"/>
        <v>3.9565600487831976E-3</v>
      </c>
      <c r="M338" s="970"/>
      <c r="N338" s="970"/>
      <c r="O338" s="324">
        <f t="shared" si="142"/>
        <v>2.155268211279722E-2</v>
      </c>
      <c r="P338" s="169">
        <f>(INDEX(Models!$BJ338:$BT338,,T338)*(1-R338)+INDEX(Models!$BJ338:$BT338,,T338+1)*R338-ERP_i)*Q338*Ramure*Pc/MaxiM</f>
        <v>2.288823283568297E-4</v>
      </c>
      <c r="Q338" s="305">
        <f t="shared" si="143"/>
        <v>0.7</v>
      </c>
      <c r="R338" s="177">
        <f t="shared" si="144"/>
        <v>0.49958685623534316</v>
      </c>
      <c r="S338" s="921">
        <f t="shared" si="161"/>
        <v>-2</v>
      </c>
      <c r="T338" s="176">
        <f t="shared" si="145"/>
        <v>4</v>
      </c>
      <c r="U338" s="251">
        <f t="shared" si="146"/>
        <v>-1.5004131437646568</v>
      </c>
      <c r="V338" s="383">
        <f t="shared" si="147"/>
        <v>30.46733416024049</v>
      </c>
      <c r="W338" s="58"/>
      <c r="X338" s="157">
        <f t="shared" si="148"/>
        <v>43424</v>
      </c>
      <c r="Y338" s="385">
        <f t="shared" si="149"/>
        <v>10.316000000000001</v>
      </c>
      <c r="Z338" s="385">
        <f t="shared" si="150"/>
        <v>10.356978005402302</v>
      </c>
      <c r="AA338" s="386">
        <f t="shared" si="151"/>
        <v>10.585115637872569</v>
      </c>
      <c r="AB338" s="197">
        <f t="shared" si="152"/>
        <v>43424</v>
      </c>
      <c r="AC338" s="427">
        <f t="shared" si="153"/>
        <v>2.155268211279722E-2</v>
      </c>
      <c r="AD338" s="169">
        <f>(INDEX(Models!$BJ338:$BT338,,AH338)*(1-AF338)+INDEX(Models!$BJ338:$BT338,,AH338+1)*AF338-ERP_i)*AE338*Ramure*Pc/MaxiM</f>
        <v>2.288823283568297E-4</v>
      </c>
      <c r="AE338" s="305">
        <f t="shared" si="154"/>
        <v>0.7</v>
      </c>
      <c r="AF338" s="177">
        <f t="shared" si="155"/>
        <v>0.49958685623534316</v>
      </c>
      <c r="AG338" s="921">
        <f t="shared" si="156"/>
        <v>-2</v>
      </c>
      <c r="AH338" s="176">
        <f t="shared" si="157"/>
        <v>4</v>
      </c>
      <c r="AI338" s="225">
        <f t="shared" si="158"/>
        <v>-1.5004131437646568</v>
      </c>
      <c r="AJ338" s="265" t="b">
        <f t="shared" si="159"/>
        <v>0</v>
      </c>
      <c r="AK338" s="265" t="b">
        <f t="shared" si="160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62"/>
        <v>43425</v>
      </c>
      <c r="B339" s="620">
        <v>30.09</v>
      </c>
      <c r="C339" s="390"/>
      <c r="D339" s="393">
        <f t="shared" si="138"/>
        <v>30.21018748352267</v>
      </c>
      <c r="E339" s="385">
        <f t="shared" si="135"/>
        <v>30.87872538949938</v>
      </c>
      <c r="F339" s="385">
        <f t="shared" si="137"/>
        <v>30.885830486283265</v>
      </c>
      <c r="G339" s="110">
        <f t="shared" si="136"/>
        <v>0.99633546636946158</v>
      </c>
      <c r="I339" s="380">
        <f t="shared" si="139"/>
        <v>30.885830486283265</v>
      </c>
      <c r="J339" s="85">
        <v>2018</v>
      </c>
      <c r="K339" s="197">
        <f t="shared" si="140"/>
        <v>43425</v>
      </c>
      <c r="L339" s="438">
        <f t="shared" si="141"/>
        <v>3.9783759563962739E-3</v>
      </c>
      <c r="M339" s="970"/>
      <c r="N339" s="970"/>
      <c r="O339" s="324">
        <f t="shared" si="142"/>
        <v>2.1650437236118918E-2</v>
      </c>
      <c r="P339" s="169">
        <f>(INDEX(Models!$BJ339:$BT339,,T339)*(1-R339)+INDEX(Models!$BJ339:$BT339,,T339+1)*R339-ERP_i)*Q339*Ramure*Pc/MaxiM</f>
        <v>2.3125412425609518E-4</v>
      </c>
      <c r="Q339" s="305">
        <f t="shared" si="143"/>
        <v>0.7</v>
      </c>
      <c r="R339" s="177">
        <f t="shared" si="144"/>
        <v>0.49961165308252831</v>
      </c>
      <c r="S339" s="921">
        <f t="shared" si="161"/>
        <v>-2</v>
      </c>
      <c r="T339" s="176">
        <f t="shared" si="145"/>
        <v>4</v>
      </c>
      <c r="U339" s="251">
        <f t="shared" si="146"/>
        <v>-1.5003883469174717</v>
      </c>
      <c r="V339" s="383">
        <f t="shared" si="147"/>
        <v>30.20063481781354</v>
      </c>
      <c r="W339" s="58"/>
      <c r="X339" s="157">
        <f t="shared" si="148"/>
        <v>43425</v>
      </c>
      <c r="Y339" s="385">
        <f t="shared" si="149"/>
        <v>30.09</v>
      </c>
      <c r="Z339" s="385">
        <f t="shared" si="150"/>
        <v>30.21018748352267</v>
      </c>
      <c r="AA339" s="386">
        <f t="shared" si="151"/>
        <v>30.87872538949938</v>
      </c>
      <c r="AB339" s="197">
        <f t="shared" si="152"/>
        <v>43425</v>
      </c>
      <c r="AC339" s="427">
        <f t="shared" si="153"/>
        <v>2.1650437236118918E-2</v>
      </c>
      <c r="AD339" s="169">
        <f>(INDEX(Models!$BJ339:$BT339,,AH339)*(1-AF339)+INDEX(Models!$BJ339:$BT339,,AH339+1)*AF339-ERP_i)*AE339*Ramure*Pc/MaxiM</f>
        <v>2.3125412425609518E-4</v>
      </c>
      <c r="AE339" s="305">
        <f t="shared" si="154"/>
        <v>0.7</v>
      </c>
      <c r="AF339" s="177">
        <f t="shared" si="155"/>
        <v>0.49961165308252831</v>
      </c>
      <c r="AG339" s="921">
        <f t="shared" si="156"/>
        <v>-2</v>
      </c>
      <c r="AH339" s="176">
        <f t="shared" si="157"/>
        <v>4</v>
      </c>
      <c r="AI339" s="225">
        <f t="shared" si="158"/>
        <v>-1.5003883469174717</v>
      </c>
      <c r="AJ339" s="265" t="b">
        <f t="shared" si="159"/>
        <v>0</v>
      </c>
      <c r="AK339" s="265" t="b">
        <f t="shared" si="160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62"/>
        <v>43426</v>
      </c>
      <c r="B340" s="620">
        <v>22.675000000000001</v>
      </c>
      <c r="C340" s="390"/>
      <c r="D340" s="393">
        <f t="shared" si="138"/>
        <v>22.766068631637573</v>
      </c>
      <c r="E340" s="385">
        <f t="shared" si="135"/>
        <v>23.272200307105777</v>
      </c>
      <c r="F340" s="385">
        <f t="shared" si="137"/>
        <v>23.275748141901541</v>
      </c>
      <c r="G340" s="110">
        <f t="shared" si="136"/>
        <v>0.75729332490789614</v>
      </c>
      <c r="I340" s="380">
        <f t="shared" si="139"/>
        <v>23.275748141901541</v>
      </c>
      <c r="J340" s="85">
        <v>2018</v>
      </c>
      <c r="K340" s="197">
        <f t="shared" si="140"/>
        <v>43426</v>
      </c>
      <c r="L340" s="438">
        <f t="shared" si="141"/>
        <v>4.0001913861849037E-3</v>
      </c>
      <c r="M340" s="970"/>
      <c r="N340" s="970"/>
      <c r="O340" s="324">
        <f t="shared" si="142"/>
        <v>2.1748337879064359E-2</v>
      </c>
      <c r="P340" s="169">
        <f>(INDEX(Models!$BJ340:$BT340,,T340)*(1-R340)+INDEX(Models!$BJ340:$BT340,,T340+1)*R340-ERP_i)*Q340*Ramure*Pc/MaxiM</f>
        <v>2.332946324337661E-4</v>
      </c>
      <c r="Q340" s="305">
        <f t="shared" si="143"/>
        <v>0.7</v>
      </c>
      <c r="R340" s="177">
        <f t="shared" si="144"/>
        <v>0.49963545384859698</v>
      </c>
      <c r="S340" s="921">
        <f t="shared" si="161"/>
        <v>-2</v>
      </c>
      <c r="T340" s="176">
        <f t="shared" si="145"/>
        <v>4</v>
      </c>
      <c r="U340" s="251">
        <f t="shared" si="146"/>
        <v>-1.500364546151403</v>
      </c>
      <c r="V340" s="383">
        <f t="shared" si="147"/>
        <v>29.939741027608608</v>
      </c>
      <c r="W340" s="58"/>
      <c r="X340" s="157">
        <f t="shared" si="148"/>
        <v>43426</v>
      </c>
      <c r="Y340" s="385">
        <f t="shared" si="149"/>
        <v>22.675000000000001</v>
      </c>
      <c r="Z340" s="385">
        <f t="shared" si="150"/>
        <v>22.766068631637573</v>
      </c>
      <c r="AA340" s="386">
        <f t="shared" si="151"/>
        <v>23.272200307105777</v>
      </c>
      <c r="AB340" s="197">
        <f t="shared" si="152"/>
        <v>43426</v>
      </c>
      <c r="AC340" s="427">
        <f t="shared" si="153"/>
        <v>2.1748337879064359E-2</v>
      </c>
      <c r="AD340" s="169">
        <f>(INDEX(Models!$BJ340:$BT340,,AH340)*(1-AF340)+INDEX(Models!$BJ340:$BT340,,AH340+1)*AF340-ERP_i)*AE340*Ramure*Pc/MaxiM</f>
        <v>2.332946324337661E-4</v>
      </c>
      <c r="AE340" s="305">
        <f t="shared" si="154"/>
        <v>0.7</v>
      </c>
      <c r="AF340" s="177">
        <f t="shared" si="155"/>
        <v>0.49963545384859698</v>
      </c>
      <c r="AG340" s="921">
        <f t="shared" si="156"/>
        <v>-2</v>
      </c>
      <c r="AH340" s="176">
        <f t="shared" si="157"/>
        <v>4</v>
      </c>
      <c r="AI340" s="225">
        <f t="shared" si="158"/>
        <v>-1.500364546151403</v>
      </c>
      <c r="AJ340" s="265" t="b">
        <f t="shared" si="159"/>
        <v>0</v>
      </c>
      <c r="AK340" s="265" t="b">
        <f t="shared" si="160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62"/>
        <v>43427</v>
      </c>
      <c r="B341" s="620">
        <v>12.962</v>
      </c>
      <c r="C341" s="390"/>
      <c r="D341" s="393">
        <f t="shared" si="138"/>
        <v>13.014343773142567</v>
      </c>
      <c r="E341" s="385">
        <f t="shared" si="135"/>
        <v>13.305010326255484</v>
      </c>
      <c r="F341" s="385">
        <f t="shared" si="137"/>
        <v>13.305620721497654</v>
      </c>
      <c r="G341" s="110">
        <f t="shared" si="136"/>
        <v>0.43656789618823549</v>
      </c>
      <c r="I341" s="380">
        <f t="shared" si="139"/>
        <v>13.305620721497654</v>
      </c>
      <c r="J341" s="85">
        <v>2018</v>
      </c>
      <c r="K341" s="197">
        <f t="shared" si="140"/>
        <v>43427</v>
      </c>
      <c r="L341" s="438">
        <f t="shared" si="141"/>
        <v>4.0220063381596338E-3</v>
      </c>
      <c r="M341" s="970"/>
      <c r="N341" s="970"/>
      <c r="O341" s="324">
        <f t="shared" si="142"/>
        <v>2.1846398160197466E-2</v>
      </c>
      <c r="P341" s="169">
        <f>(INDEX(Models!$BJ341:$BT341,,T341)*(1-R341)+INDEX(Models!$BJ341:$BT341,,T341+1)*R341-ERP_i)*Q341*Ramure*Pc/MaxiM</f>
        <v>2.3499730274816681E-4</v>
      </c>
      <c r="Q341" s="305">
        <f t="shared" si="143"/>
        <v>0.7</v>
      </c>
      <c r="R341" s="177">
        <f t="shared" si="144"/>
        <v>0.49965829845654652</v>
      </c>
      <c r="S341" s="921">
        <f t="shared" si="161"/>
        <v>-2</v>
      </c>
      <c r="T341" s="176">
        <f t="shared" si="145"/>
        <v>4</v>
      </c>
      <c r="U341" s="251">
        <f t="shared" si="146"/>
        <v>-1.5003417015434535</v>
      </c>
      <c r="V341" s="383">
        <f t="shared" si="147"/>
        <v>29.685069830593076</v>
      </c>
      <c r="W341" s="58"/>
      <c r="X341" s="157">
        <f t="shared" si="148"/>
        <v>43427</v>
      </c>
      <c r="Y341" s="385">
        <f t="shared" si="149"/>
        <v>12.962</v>
      </c>
      <c r="Z341" s="385">
        <f t="shared" si="150"/>
        <v>13.014343773142567</v>
      </c>
      <c r="AA341" s="386">
        <f t="shared" si="151"/>
        <v>13.305010326255484</v>
      </c>
      <c r="AB341" s="197">
        <f t="shared" si="152"/>
        <v>43427</v>
      </c>
      <c r="AC341" s="427">
        <f t="shared" si="153"/>
        <v>2.1846398160197466E-2</v>
      </c>
      <c r="AD341" s="169">
        <f>(INDEX(Models!$BJ341:$BT341,,AH341)*(1-AF341)+INDEX(Models!$BJ341:$BT341,,AH341+1)*AF341-ERP_i)*AE341*Ramure*Pc/MaxiM</f>
        <v>2.3499730274816681E-4</v>
      </c>
      <c r="AE341" s="305">
        <f t="shared" si="154"/>
        <v>0.7</v>
      </c>
      <c r="AF341" s="177">
        <f t="shared" si="155"/>
        <v>0.49965829845654652</v>
      </c>
      <c r="AG341" s="921">
        <f t="shared" si="156"/>
        <v>-2</v>
      </c>
      <c r="AH341" s="176">
        <f t="shared" si="157"/>
        <v>4</v>
      </c>
      <c r="AI341" s="225">
        <f t="shared" si="158"/>
        <v>-1.5003417015434535</v>
      </c>
      <c r="AJ341" s="265" t="b">
        <f t="shared" si="159"/>
        <v>0</v>
      </c>
      <c r="AK341" s="265" t="b">
        <f t="shared" si="160"/>
        <v>0</v>
      </c>
      <c r="AL341" s="265"/>
      <c r="AM341" s="265"/>
      <c r="AN341" s="75"/>
    </row>
    <row r="342" spans="1:40" s="6" customFormat="1" ht="11.25" x14ac:dyDescent="0.2">
      <c r="A342" s="56">
        <f t="shared" si="162"/>
        <v>43428</v>
      </c>
      <c r="B342" s="620">
        <v>22.835999999999999</v>
      </c>
      <c r="C342" s="390"/>
      <c r="D342" s="393">
        <f t="shared" si="138"/>
        <v>22.928719633654673</v>
      </c>
      <c r="E342" s="385">
        <f t="shared" si="135"/>
        <v>23.443171378068506</v>
      </c>
      <c r="F342" s="385">
        <f t="shared" si="137"/>
        <v>23.446937900123171</v>
      </c>
      <c r="G342" s="110">
        <f t="shared" si="136"/>
        <v>0.77569864891560136</v>
      </c>
      <c r="I342" s="380">
        <f t="shared" si="139"/>
        <v>23.446937900123171</v>
      </c>
      <c r="J342" s="85">
        <v>2018</v>
      </c>
      <c r="K342" s="197">
        <f t="shared" si="140"/>
        <v>43428</v>
      </c>
      <c r="L342" s="438">
        <f t="shared" si="141"/>
        <v>4.0438208123310115E-3</v>
      </c>
      <c r="M342" s="970"/>
      <c r="N342" s="970"/>
      <c r="O342" s="324">
        <f t="shared" si="142"/>
        <v>2.1944630959576973E-2</v>
      </c>
      <c r="P342" s="169">
        <f>(INDEX(Models!$BJ342:$BT342,,T342)*(1-R342)+INDEX(Models!$BJ342:$BT342,,T342+1)*R342-ERP_i)*Q342*Ramure*Pc/MaxiM</f>
        <v>2.3635613173675834E-4</v>
      </c>
      <c r="Q342" s="305">
        <f t="shared" si="143"/>
        <v>0.7</v>
      </c>
      <c r="R342" s="177">
        <f t="shared" si="144"/>
        <v>0.49968022523629463</v>
      </c>
      <c r="S342" s="921">
        <f t="shared" si="161"/>
        <v>-2</v>
      </c>
      <c r="T342" s="176">
        <f t="shared" si="145"/>
        <v>4</v>
      </c>
      <c r="U342" s="251">
        <f t="shared" si="146"/>
        <v>-1.5003197747637054</v>
      </c>
      <c r="V342" s="383">
        <f t="shared" si="147"/>
        <v>29.437038089898937</v>
      </c>
      <c r="W342" s="58"/>
      <c r="X342" s="157">
        <f t="shared" si="148"/>
        <v>43428</v>
      </c>
      <c r="Y342" s="385">
        <f t="shared" si="149"/>
        <v>22.835999999999999</v>
      </c>
      <c r="Z342" s="385">
        <f t="shared" si="150"/>
        <v>22.928719633654673</v>
      </c>
      <c r="AA342" s="386">
        <f t="shared" si="151"/>
        <v>23.443171378068506</v>
      </c>
      <c r="AB342" s="197">
        <f t="shared" si="152"/>
        <v>43428</v>
      </c>
      <c r="AC342" s="427">
        <f t="shared" si="153"/>
        <v>2.1944630959576973E-2</v>
      </c>
      <c r="AD342" s="169">
        <f>(INDEX(Models!$BJ342:$BT342,,AH342)*(1-AF342)+INDEX(Models!$BJ342:$BT342,,AH342+1)*AF342-ERP_i)*AE342*Ramure*Pc/MaxiM</f>
        <v>2.3635613173675834E-4</v>
      </c>
      <c r="AE342" s="305">
        <f t="shared" si="154"/>
        <v>0.7</v>
      </c>
      <c r="AF342" s="177">
        <f t="shared" si="155"/>
        <v>0.49968022523629463</v>
      </c>
      <c r="AG342" s="921">
        <f t="shared" si="156"/>
        <v>-2</v>
      </c>
      <c r="AH342" s="176">
        <f t="shared" si="157"/>
        <v>4</v>
      </c>
      <c r="AI342" s="225">
        <f t="shared" si="158"/>
        <v>-1.5003197747637054</v>
      </c>
      <c r="AJ342" s="265" t="b">
        <f t="shared" si="159"/>
        <v>0</v>
      </c>
      <c r="AK342" s="265" t="b">
        <f t="shared" si="160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62"/>
        <v>43429</v>
      </c>
      <c r="B343" s="620">
        <v>11.73</v>
      </c>
      <c r="C343" s="390"/>
      <c r="D343" s="393">
        <f t="shared" si="138"/>
        <v>11.777884577511292</v>
      </c>
      <c r="E343" s="385">
        <f t="shared" si="135"/>
        <v>12.043356869523819</v>
      </c>
      <c r="F343" s="385">
        <f t="shared" si="137"/>
        <v>12.043772481262371</v>
      </c>
      <c r="G343" s="110">
        <f t="shared" si="136"/>
        <v>0.40168500124508366</v>
      </c>
      <c r="I343" s="380">
        <f t="shared" si="139"/>
        <v>12.043772481262371</v>
      </c>
      <c r="J343" s="85">
        <v>2018</v>
      </c>
      <c r="K343" s="197">
        <f t="shared" si="140"/>
        <v>43429</v>
      </c>
      <c r="L343" s="438">
        <f t="shared" si="141"/>
        <v>4.0656348087093619E-3</v>
      </c>
      <c r="M343" s="970"/>
      <c r="N343" s="970"/>
      <c r="O343" s="324">
        <f t="shared" si="142"/>
        <v>2.2043047871836724E-2</v>
      </c>
      <c r="P343" s="169">
        <f>(INDEX(Models!$BJ343:$BT343,,T343)*(1-R343)+INDEX(Models!$BJ343:$BT343,,T343+1)*R343-ERP_i)*Q343*Ramure*Pc/MaxiM</f>
        <v>2.3736596168789009E-4</v>
      </c>
      <c r="Q343" s="305">
        <f t="shared" si="143"/>
        <v>0.7</v>
      </c>
      <c r="R343" s="177">
        <f t="shared" si="144"/>
        <v>0.49970127098769179</v>
      </c>
      <c r="S343" s="921">
        <f t="shared" si="161"/>
        <v>-2</v>
      </c>
      <c r="T343" s="176">
        <f t="shared" si="145"/>
        <v>4</v>
      </c>
      <c r="U343" s="251">
        <f t="shared" si="146"/>
        <v>-1.5002987290123082</v>
      </c>
      <c r="V343" s="383">
        <f t="shared" si="147"/>
        <v>29.19606249360287</v>
      </c>
      <c r="W343" s="58"/>
      <c r="X343" s="157">
        <f t="shared" si="148"/>
        <v>43429</v>
      </c>
      <c r="Y343" s="385">
        <f t="shared" si="149"/>
        <v>11.73</v>
      </c>
      <c r="Z343" s="385">
        <f t="shared" si="150"/>
        <v>11.777884577511292</v>
      </c>
      <c r="AA343" s="386">
        <f t="shared" si="151"/>
        <v>12.043356869523819</v>
      </c>
      <c r="AB343" s="197">
        <f t="shared" si="152"/>
        <v>43429</v>
      </c>
      <c r="AC343" s="427">
        <f t="shared" si="153"/>
        <v>2.2043047871836724E-2</v>
      </c>
      <c r="AD343" s="169">
        <f>(INDEX(Models!$BJ343:$BT343,,AH343)*(1-AF343)+INDEX(Models!$BJ343:$BT343,,AH343+1)*AF343-ERP_i)*AE343*Ramure*Pc/MaxiM</f>
        <v>2.3736596168789009E-4</v>
      </c>
      <c r="AE343" s="305">
        <f t="shared" si="154"/>
        <v>0.7</v>
      </c>
      <c r="AF343" s="177">
        <f t="shared" si="155"/>
        <v>0.49970127098769179</v>
      </c>
      <c r="AG343" s="921">
        <f t="shared" si="156"/>
        <v>-2</v>
      </c>
      <c r="AH343" s="176">
        <f t="shared" si="157"/>
        <v>4</v>
      </c>
      <c r="AI343" s="225">
        <f t="shared" si="158"/>
        <v>-1.5002987290123082</v>
      </c>
      <c r="AJ343" s="265" t="b">
        <f t="shared" si="159"/>
        <v>0</v>
      </c>
      <c r="AK343" s="265" t="b">
        <f t="shared" si="160"/>
        <v>0</v>
      </c>
      <c r="AL343" s="265"/>
      <c r="AM343" s="265"/>
      <c r="AN343" s="75"/>
    </row>
    <row r="344" spans="1:40" s="6" customFormat="1" ht="11.25" x14ac:dyDescent="0.2">
      <c r="A344" s="56">
        <f t="shared" si="162"/>
        <v>43430</v>
      </c>
      <c r="B344" s="620">
        <v>4.3040000000000003</v>
      </c>
      <c r="C344" s="390"/>
      <c r="D344" s="393">
        <f t="shared" si="138"/>
        <v>4.3216645806613991</v>
      </c>
      <c r="E344" s="385">
        <f t="shared" si="135"/>
        <v>4.4195200881378982</v>
      </c>
      <c r="F344" s="385">
        <f t="shared" si="137"/>
        <v>4.4195200881378982</v>
      </c>
      <c r="G344" s="110">
        <f t="shared" si="136"/>
        <v>0.14857027896145167</v>
      </c>
      <c r="I344" s="380">
        <f t="shared" si="139"/>
        <v>4.4195200881378982</v>
      </c>
      <c r="J344" s="85">
        <v>2018</v>
      </c>
      <c r="K344" s="197">
        <f t="shared" si="140"/>
        <v>43430</v>
      </c>
      <c r="L344" s="438">
        <f t="shared" si="141"/>
        <v>4.087448327305232E-3</v>
      </c>
      <c r="M344" s="970"/>
      <c r="N344" s="970"/>
      <c r="O344" s="324">
        <f t="shared" si="142"/>
        <v>2.214165916773304E-2</v>
      </c>
      <c r="P344" s="169">
        <f>(INDEX(Models!$BJ344:$BT344,,T344)*(1-R344)+INDEX(Models!$BJ344:$BT344,,T344+1)*R344-ERP_i)*Q344*Ramure*Pc/MaxiM</f>
        <v>2.3802131794164043E-4</v>
      </c>
      <c r="Q344" s="305">
        <f t="shared" si="143"/>
        <v>0.7</v>
      </c>
      <c r="R344" s="177">
        <f t="shared" si="144"/>
        <v>0.49972147104109021</v>
      </c>
      <c r="S344" s="921">
        <f t="shared" si="161"/>
        <v>-2</v>
      </c>
      <c r="T344" s="176">
        <f t="shared" si="145"/>
        <v>4</v>
      </c>
      <c r="U344" s="251">
        <f t="shared" si="146"/>
        <v>-1.5002785289589098</v>
      </c>
      <c r="V344" s="383">
        <f t="shared" si="147"/>
        <v>28.962559580062702</v>
      </c>
      <c r="W344" s="58"/>
      <c r="X344" s="157">
        <f t="shared" si="148"/>
        <v>43430</v>
      </c>
      <c r="Y344" s="385">
        <f t="shared" si="149"/>
        <v>4.3040000000000003</v>
      </c>
      <c r="Z344" s="385">
        <f t="shared" si="150"/>
        <v>4.3216645806613991</v>
      </c>
      <c r="AA344" s="386">
        <f t="shared" si="151"/>
        <v>4.4195200881378982</v>
      </c>
      <c r="AB344" s="197">
        <f t="shared" si="152"/>
        <v>43430</v>
      </c>
      <c r="AC344" s="427">
        <f t="shared" si="153"/>
        <v>2.214165916773304E-2</v>
      </c>
      <c r="AD344" s="169">
        <f>(INDEX(Models!$BJ344:$BT344,,AH344)*(1-AF344)+INDEX(Models!$BJ344:$BT344,,AH344+1)*AF344-ERP_i)*AE344*Ramure*Pc/MaxiM</f>
        <v>2.3802131794164043E-4</v>
      </c>
      <c r="AE344" s="305">
        <f t="shared" si="154"/>
        <v>0.7</v>
      </c>
      <c r="AF344" s="177">
        <f t="shared" si="155"/>
        <v>0.49972147104109021</v>
      </c>
      <c r="AG344" s="921">
        <f t="shared" si="156"/>
        <v>-2</v>
      </c>
      <c r="AH344" s="176">
        <f t="shared" si="157"/>
        <v>4</v>
      </c>
      <c r="AI344" s="225">
        <f t="shared" si="158"/>
        <v>-1.5002785289589098</v>
      </c>
      <c r="AJ344" s="265" t="b">
        <f t="shared" si="159"/>
        <v>0</v>
      </c>
      <c r="AK344" s="265" t="b">
        <f t="shared" si="160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62"/>
        <v>43431</v>
      </c>
      <c r="B345" s="620">
        <v>26.93</v>
      </c>
      <c r="C345" s="390"/>
      <c r="D345" s="393">
        <f t="shared" si="138"/>
        <v>27.04111902576355</v>
      </c>
      <c r="E345" s="385">
        <f t="shared" si="135"/>
        <v>27.656206153135738</v>
      </c>
      <c r="F345" s="385">
        <f t="shared" si="137"/>
        <v>27.662208875171967</v>
      </c>
      <c r="G345" s="110">
        <f t="shared" si="136"/>
        <v>0.93726131864683326</v>
      </c>
      <c r="I345" s="380">
        <f t="shared" si="139"/>
        <v>27.662208875171967</v>
      </c>
      <c r="J345" s="85">
        <v>2018</v>
      </c>
      <c r="K345" s="197">
        <f t="shared" si="140"/>
        <v>43431</v>
      </c>
      <c r="L345" s="438">
        <f t="shared" si="141"/>
        <v>4.109261368129058E-3</v>
      </c>
      <c r="M345" s="970"/>
      <c r="N345" s="970"/>
      <c r="O345" s="324">
        <f t="shared" si="142"/>
        <v>2.2240473764419448E-2</v>
      </c>
      <c r="P345" s="169">
        <f>(INDEX(Models!$BJ345:$BT345,,T345)*(1-R345)+INDEX(Models!$BJ345:$BT345,,T345+1)*R345-ERP_i)*Q345*Ramure*Pc/MaxiM</f>
        <v>2.3835716689234922E-4</v>
      </c>
      <c r="Q345" s="305">
        <f t="shared" si="143"/>
        <v>0.7</v>
      </c>
      <c r="R345" s="177">
        <f t="shared" si="144"/>
        <v>0.49974085931555079</v>
      </c>
      <c r="S345" s="921">
        <f t="shared" si="161"/>
        <v>-2</v>
      </c>
      <c r="T345" s="176">
        <f t="shared" si="145"/>
        <v>4</v>
      </c>
      <c r="U345" s="251">
        <f t="shared" si="146"/>
        <v>-1.5002591406844492</v>
      </c>
      <c r="V345" s="383">
        <f t="shared" si="147"/>
        <v>28.732034719680968</v>
      </c>
      <c r="W345" s="58"/>
      <c r="X345" s="157">
        <f t="shared" si="148"/>
        <v>43431</v>
      </c>
      <c r="Y345" s="385">
        <f t="shared" si="149"/>
        <v>26.93</v>
      </c>
      <c r="Z345" s="385">
        <f t="shared" si="150"/>
        <v>27.04111902576355</v>
      </c>
      <c r="AA345" s="386">
        <f t="shared" si="151"/>
        <v>27.656206153135738</v>
      </c>
      <c r="AB345" s="197">
        <f t="shared" si="152"/>
        <v>43431</v>
      </c>
      <c r="AC345" s="427">
        <f t="shared" si="153"/>
        <v>2.2240473764419448E-2</v>
      </c>
      <c r="AD345" s="169">
        <f>(INDEX(Models!$BJ345:$BT345,,AH345)*(1-AF345)+INDEX(Models!$BJ345:$BT345,,AH345+1)*AF345-ERP_i)*AE345*Ramure*Pc/MaxiM</f>
        <v>2.3835716689234922E-4</v>
      </c>
      <c r="AE345" s="305">
        <f t="shared" si="154"/>
        <v>0.7</v>
      </c>
      <c r="AF345" s="177">
        <f t="shared" si="155"/>
        <v>0.49974085931555079</v>
      </c>
      <c r="AG345" s="921">
        <f t="shared" si="156"/>
        <v>-2</v>
      </c>
      <c r="AH345" s="176">
        <f t="shared" si="157"/>
        <v>4</v>
      </c>
      <c r="AI345" s="225">
        <f t="shared" si="158"/>
        <v>-1.5002591406844492</v>
      </c>
      <c r="AJ345" s="265" t="b">
        <f t="shared" si="159"/>
        <v>0</v>
      </c>
      <c r="AK345" s="265" t="b">
        <f t="shared" si="160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62"/>
        <v>43432</v>
      </c>
      <c r="B346" s="620">
        <v>19.803999999999998</v>
      </c>
      <c r="C346" s="390"/>
      <c r="D346" s="393">
        <f t="shared" si="138"/>
        <v>19.886151160651494</v>
      </c>
      <c r="E346" s="385">
        <f t="shared" si="135"/>
        <v>20.340548835176826</v>
      </c>
      <c r="F346" s="385">
        <f t="shared" si="137"/>
        <v>20.343286490073936</v>
      </c>
      <c r="G346" s="110">
        <f t="shared" si="136"/>
        <v>0.69478299106083663</v>
      </c>
      <c r="I346" s="380">
        <f t="shared" si="139"/>
        <v>20.343286490073936</v>
      </c>
      <c r="J346" s="85">
        <v>2018</v>
      </c>
      <c r="K346" s="197">
        <f t="shared" si="140"/>
        <v>43432</v>
      </c>
      <c r="L346" s="438">
        <f t="shared" si="141"/>
        <v>4.1310739311912759E-3</v>
      </c>
      <c r="M346" s="970"/>
      <c r="N346" s="970"/>
      <c r="O346" s="324">
        <f t="shared" si="142"/>
        <v>2.2339499204637986E-2</v>
      </c>
      <c r="P346" s="169">
        <f>(INDEX(Models!$BJ346:$BT346,,T346)*(1-R346)+INDEX(Models!$BJ346:$BT346,,T346+1)*R346-ERP_i)*Q346*Ramure*Pc/MaxiM</f>
        <v>2.3857102318559342E-4</v>
      </c>
      <c r="Q346" s="305">
        <f t="shared" si="143"/>
        <v>0.7</v>
      </c>
      <c r="R346" s="177">
        <f t="shared" si="144"/>
        <v>0.49975946837478569</v>
      </c>
      <c r="S346" s="921">
        <f t="shared" si="161"/>
        <v>-2</v>
      </c>
      <c r="T346" s="176">
        <f t="shared" si="145"/>
        <v>4</v>
      </c>
      <c r="U346" s="251">
        <f t="shared" si="146"/>
        <v>-1.5002405316252143</v>
      </c>
      <c r="V346" s="383">
        <f t="shared" si="147"/>
        <v>28.500899415478951</v>
      </c>
      <c r="W346" s="58"/>
      <c r="X346" s="157">
        <f t="shared" si="148"/>
        <v>43432</v>
      </c>
      <c r="Y346" s="385">
        <f t="shared" si="149"/>
        <v>19.803999999999998</v>
      </c>
      <c r="Z346" s="385">
        <f t="shared" si="150"/>
        <v>19.886151160651494</v>
      </c>
      <c r="AA346" s="386">
        <f t="shared" si="151"/>
        <v>20.340548835176826</v>
      </c>
      <c r="AB346" s="197">
        <f t="shared" si="152"/>
        <v>43432</v>
      </c>
      <c r="AC346" s="427">
        <f t="shared" si="153"/>
        <v>2.2339499204637986E-2</v>
      </c>
      <c r="AD346" s="169">
        <f>(INDEX(Models!$BJ346:$BT346,,AH346)*(1-AF346)+INDEX(Models!$BJ346:$BT346,,AH346+1)*AF346-ERP_i)*AE346*Ramure*Pc/MaxiM</f>
        <v>2.3857102318559342E-4</v>
      </c>
      <c r="AE346" s="305">
        <f t="shared" si="154"/>
        <v>0.7</v>
      </c>
      <c r="AF346" s="177">
        <f t="shared" si="155"/>
        <v>0.49975946837478569</v>
      </c>
      <c r="AG346" s="921">
        <f t="shared" si="156"/>
        <v>-2</v>
      </c>
      <c r="AH346" s="176">
        <f t="shared" si="157"/>
        <v>4</v>
      </c>
      <c r="AI346" s="225">
        <f t="shared" si="158"/>
        <v>-1.5002405316252143</v>
      </c>
      <c r="AJ346" s="265" t="b">
        <f t="shared" si="159"/>
        <v>0</v>
      </c>
      <c r="AK346" s="265" t="b">
        <f t="shared" si="160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62"/>
        <v>43433</v>
      </c>
      <c r="B347" s="620">
        <v>28.76</v>
      </c>
      <c r="C347" s="390"/>
      <c r="D347" s="393">
        <f t="shared" si="138"/>
        <v>28.879935078545191</v>
      </c>
      <c r="E347" s="385">
        <f t="shared" si="135"/>
        <v>29.542839215152064</v>
      </c>
      <c r="F347" s="385">
        <f t="shared" si="137"/>
        <v>29.549892661364552</v>
      </c>
      <c r="G347" s="110">
        <f t="shared" si="136"/>
        <v>1.0172992284558136</v>
      </c>
      <c r="I347" s="380">
        <f t="shared" si="139"/>
        <v>29.549892661364552</v>
      </c>
      <c r="J347" s="85">
        <v>2018</v>
      </c>
      <c r="K347" s="197">
        <f t="shared" si="140"/>
        <v>43433</v>
      </c>
      <c r="L347" s="438">
        <f t="shared" si="141"/>
        <v>4.1528860165024328E-3</v>
      </c>
      <c r="M347" s="970"/>
      <c r="N347" s="970"/>
      <c r="O347" s="324">
        <f t="shared" si="142"/>
        <v>2.2438741644942525E-2</v>
      </c>
      <c r="P347" s="169">
        <f>(INDEX(Models!$BJ347:$BT347,,T347)*(1-R347)+INDEX(Models!$BJ347:$BT347,,T347+1)*R347-ERP_i)*Q347*Ramure*Pc/MaxiM</f>
        <v>2.3869617034883421E-4</v>
      </c>
      <c r="Q347" s="305">
        <f t="shared" si="143"/>
        <v>0.7</v>
      </c>
      <c r="R347" s="177">
        <f t="shared" si="144"/>
        <v>0.49977732948091469</v>
      </c>
      <c r="S347" s="921">
        <f t="shared" si="161"/>
        <v>-2</v>
      </c>
      <c r="T347" s="176">
        <f t="shared" si="145"/>
        <v>4</v>
      </c>
      <c r="U347" s="251">
        <f t="shared" si="146"/>
        <v>-1.5002226705190853</v>
      </c>
      <c r="V347" s="383">
        <f t="shared" si="147"/>
        <v>28.270934642952199</v>
      </c>
      <c r="W347" s="58"/>
      <c r="X347" s="157">
        <f t="shared" si="148"/>
        <v>43433</v>
      </c>
      <c r="Y347" s="385">
        <f t="shared" si="149"/>
        <v>28.76</v>
      </c>
      <c r="Z347" s="385">
        <f t="shared" si="150"/>
        <v>28.879935078545191</v>
      </c>
      <c r="AA347" s="386">
        <f t="shared" si="151"/>
        <v>29.542839215152064</v>
      </c>
      <c r="AB347" s="197">
        <f t="shared" si="152"/>
        <v>43433</v>
      </c>
      <c r="AC347" s="427">
        <f t="shared" si="153"/>
        <v>2.2438741644942525E-2</v>
      </c>
      <c r="AD347" s="169">
        <f>(INDEX(Models!$BJ347:$BT347,,AH347)*(1-AF347)+INDEX(Models!$BJ347:$BT347,,AH347+1)*AF347-ERP_i)*AE347*Ramure*Pc/MaxiM</f>
        <v>2.3869617034883421E-4</v>
      </c>
      <c r="AE347" s="305">
        <f t="shared" si="154"/>
        <v>0.7</v>
      </c>
      <c r="AF347" s="177">
        <f t="shared" si="155"/>
        <v>0.49977732948091469</v>
      </c>
      <c r="AG347" s="921">
        <f t="shared" si="156"/>
        <v>-2</v>
      </c>
      <c r="AH347" s="176">
        <f t="shared" si="157"/>
        <v>4</v>
      </c>
      <c r="AI347" s="225">
        <f t="shared" si="158"/>
        <v>-1.5002226705190853</v>
      </c>
      <c r="AJ347" s="265" t="b">
        <f t="shared" si="159"/>
        <v>0</v>
      </c>
      <c r="AK347" s="265" t="b">
        <f t="shared" si="160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62"/>
        <v>43434</v>
      </c>
      <c r="B348" s="620">
        <v>10.721</v>
      </c>
      <c r="C348" s="390"/>
      <c r="D348" s="393">
        <f t="shared" si="138"/>
        <v>10.765944563188844</v>
      </c>
      <c r="E348" s="385">
        <f t="shared" si="135"/>
        <v>11.014184521231227</v>
      </c>
      <c r="F348" s="385">
        <f t="shared" si="137"/>
        <v>11.014493632077157</v>
      </c>
      <c r="G348" s="110">
        <f t="shared" si="136"/>
        <v>0.38221264312649572</v>
      </c>
      <c r="I348" s="380">
        <f t="shared" si="139"/>
        <v>11.014493632077157</v>
      </c>
      <c r="J348" s="85">
        <v>2018</v>
      </c>
      <c r="K348" s="197">
        <f t="shared" si="140"/>
        <v>43434</v>
      </c>
      <c r="L348" s="438">
        <f t="shared" si="141"/>
        <v>4.1746976240728539E-3</v>
      </c>
      <c r="M348" s="970"/>
      <c r="N348" s="970"/>
      <c r="O348" s="324">
        <f t="shared" si="142"/>
        <v>2.2538205852995263E-2</v>
      </c>
      <c r="P348" s="169">
        <f>(INDEX(Models!$BJ348:$BT348,,T348)*(1-R348)+INDEX(Models!$BJ348:$BT348,,T348+1)*R348-ERP_i)*Q348*Ramure*Pc/MaxiM</f>
        <v>2.3871731445520433E-4</v>
      </c>
      <c r="Q348" s="305">
        <f t="shared" si="143"/>
        <v>0.7</v>
      </c>
      <c r="R348" s="177">
        <f t="shared" si="144"/>
        <v>0.49979447264612387</v>
      </c>
      <c r="S348" s="921">
        <f t="shared" si="161"/>
        <v>-2</v>
      </c>
      <c r="T348" s="176">
        <f t="shared" si="145"/>
        <v>4</v>
      </c>
      <c r="U348" s="251">
        <f t="shared" si="146"/>
        <v>-1.5002055273538761</v>
      </c>
      <c r="V348" s="383">
        <f t="shared" si="147"/>
        <v>28.043921924844387</v>
      </c>
      <c r="W348" s="58"/>
      <c r="X348" s="157">
        <f t="shared" si="148"/>
        <v>43434</v>
      </c>
      <c r="Y348" s="385">
        <f t="shared" si="149"/>
        <v>10.721</v>
      </c>
      <c r="Z348" s="385">
        <f t="shared" si="150"/>
        <v>10.765944563188844</v>
      </c>
      <c r="AA348" s="386">
        <f t="shared" si="151"/>
        <v>11.014184521231227</v>
      </c>
      <c r="AB348" s="197">
        <f t="shared" si="152"/>
        <v>43434</v>
      </c>
      <c r="AC348" s="427">
        <f t="shared" si="153"/>
        <v>2.2538205852995263E-2</v>
      </c>
      <c r="AD348" s="169">
        <f>(INDEX(Models!$BJ348:$BT348,,AH348)*(1-AF348)+INDEX(Models!$BJ348:$BT348,,AH348+1)*AF348-ERP_i)*AE348*Ramure*Pc/MaxiM</f>
        <v>2.3871731445520433E-4</v>
      </c>
      <c r="AE348" s="305">
        <f t="shared" si="154"/>
        <v>0.7</v>
      </c>
      <c r="AF348" s="177">
        <f t="shared" si="155"/>
        <v>0.49979447264612387</v>
      </c>
      <c r="AG348" s="921">
        <f t="shared" si="156"/>
        <v>-2</v>
      </c>
      <c r="AH348" s="176">
        <f t="shared" si="157"/>
        <v>4</v>
      </c>
      <c r="AI348" s="225">
        <f t="shared" si="158"/>
        <v>-1.5002055273538761</v>
      </c>
      <c r="AJ348" s="265" t="b">
        <f t="shared" si="159"/>
        <v>0</v>
      </c>
      <c r="AK348" s="265" t="b">
        <f t="shared" si="160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62"/>
        <v>43435</v>
      </c>
      <c r="B349" s="620">
        <v>19.683</v>
      </c>
      <c r="C349" s="390"/>
      <c r="D349" s="393">
        <f t="shared" si="138"/>
        <v>19.765947973701028</v>
      </c>
      <c r="E349" s="385">
        <f t="shared" si="135"/>
        <v>20.223771595919349</v>
      </c>
      <c r="F349" s="385">
        <f t="shared" si="137"/>
        <v>20.226581068449882</v>
      </c>
      <c r="G349" s="110">
        <f t="shared" si="136"/>
        <v>0.7074002676695258</v>
      </c>
      <c r="I349" s="380">
        <f t="shared" si="139"/>
        <v>20.226581068449882</v>
      </c>
      <c r="J349" s="85">
        <v>2018</v>
      </c>
      <c r="K349" s="197">
        <f t="shared" si="140"/>
        <v>43435</v>
      </c>
      <c r="L349" s="438">
        <f t="shared" si="141"/>
        <v>4.1965087539131973E-3</v>
      </c>
      <c r="M349" s="970"/>
      <c r="N349" s="970"/>
      <c r="O349" s="324">
        <f t="shared" si="142"/>
        <v>2.2637895213902446E-2</v>
      </c>
      <c r="P349" s="169">
        <f>(INDEX(Models!$BJ349:$BT349,,T349)*(1-R349)+INDEX(Models!$BJ349:$BT349,,T349+1)*R349-ERP_i)*Q349*Ramure*Pc/MaxiM</f>
        <v>2.3861834641474656E-4</v>
      </c>
      <c r="Q349" s="305">
        <f t="shared" si="143"/>
        <v>0.7</v>
      </c>
      <c r="R349" s="177">
        <f t="shared" si="144"/>
        <v>0.49981092668229943</v>
      </c>
      <c r="S349" s="921">
        <f t="shared" si="161"/>
        <v>-2</v>
      </c>
      <c r="T349" s="176">
        <f t="shared" si="145"/>
        <v>4</v>
      </c>
      <c r="U349" s="251">
        <f t="shared" si="146"/>
        <v>-1.5001890733177006</v>
      </c>
      <c r="V349" s="383">
        <f t="shared" si="147"/>
        <v>27.821641962858283</v>
      </c>
      <c r="W349" s="58"/>
      <c r="X349" s="157">
        <f t="shared" si="148"/>
        <v>43435</v>
      </c>
      <c r="Y349" s="385">
        <f t="shared" si="149"/>
        <v>19.683</v>
      </c>
      <c r="Z349" s="385">
        <f t="shared" si="150"/>
        <v>19.765947973701028</v>
      </c>
      <c r="AA349" s="386">
        <f t="shared" si="151"/>
        <v>20.223771595919349</v>
      </c>
      <c r="AB349" s="197">
        <f t="shared" si="152"/>
        <v>43435</v>
      </c>
      <c r="AC349" s="427">
        <f t="shared" si="153"/>
        <v>2.2637895213902446E-2</v>
      </c>
      <c r="AD349" s="169">
        <f>(INDEX(Models!$BJ349:$BT349,,AH349)*(1-AF349)+INDEX(Models!$BJ349:$BT349,,AH349+1)*AF349-ERP_i)*AE349*Ramure*Pc/MaxiM</f>
        <v>2.3861834641474656E-4</v>
      </c>
      <c r="AE349" s="305">
        <f t="shared" si="154"/>
        <v>0.7</v>
      </c>
      <c r="AF349" s="177">
        <f t="shared" si="155"/>
        <v>0.49981092668229943</v>
      </c>
      <c r="AG349" s="921">
        <f t="shared" si="156"/>
        <v>-2</v>
      </c>
      <c r="AH349" s="176">
        <f t="shared" si="157"/>
        <v>4</v>
      </c>
      <c r="AI349" s="225">
        <f t="shared" si="158"/>
        <v>-1.5001890733177006</v>
      </c>
      <c r="AJ349" s="265" t="b">
        <f t="shared" si="159"/>
        <v>0</v>
      </c>
      <c r="AK349" s="265" t="b">
        <f t="shared" si="160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62"/>
        <v>43436</v>
      </c>
      <c r="B350" s="620">
        <v>7.6029999999999998</v>
      </c>
      <c r="C350" s="390"/>
      <c r="D350" s="393">
        <f t="shared" si="138"/>
        <v>7.6352077449998319</v>
      </c>
      <c r="E350" s="385">
        <f t="shared" si="135"/>
        <v>7.8128549705141292</v>
      </c>
      <c r="F350" s="385">
        <f t="shared" si="137"/>
        <v>7.8128549705141292</v>
      </c>
      <c r="G350" s="110">
        <f t="shared" si="136"/>
        <v>0.27534673990414443</v>
      </c>
      <c r="I350" s="380">
        <f t="shared" si="139"/>
        <v>7.8128549705141292</v>
      </c>
      <c r="J350" s="85">
        <v>2018</v>
      </c>
      <c r="K350" s="197">
        <f t="shared" si="140"/>
        <v>43436</v>
      </c>
      <c r="L350" s="438">
        <f t="shared" si="141"/>
        <v>4.2183194060337881E-3</v>
      </c>
      <c r="M350" s="970"/>
      <c r="N350" s="970"/>
      <c r="O350" s="324">
        <f t="shared" si="142"/>
        <v>2.2737811745481212E-2</v>
      </c>
      <c r="P350" s="169">
        <f>(INDEX(Models!$BJ350:$BT350,,T350)*(1-R350)+INDEX(Models!$BJ350:$BT350,,T350+1)*R350-ERP_i)*Q350*Ramure*Pc/MaxiM</f>
        <v>2.3838241289055097E-4</v>
      </c>
      <c r="Q350" s="305">
        <f t="shared" si="143"/>
        <v>0.7</v>
      </c>
      <c r="R350" s="177">
        <f t="shared" si="144"/>
        <v>0.49982671924872113</v>
      </c>
      <c r="S350" s="921">
        <f t="shared" si="161"/>
        <v>-2</v>
      </c>
      <c r="T350" s="176">
        <f t="shared" si="145"/>
        <v>4</v>
      </c>
      <c r="U350" s="251">
        <f t="shared" si="146"/>
        <v>-1.5001732807512789</v>
      </c>
      <c r="V350" s="383">
        <f t="shared" si="147"/>
        <v>27.605874618893147</v>
      </c>
      <c r="W350" s="58"/>
      <c r="X350" s="157">
        <f t="shared" si="148"/>
        <v>43436</v>
      </c>
      <c r="Y350" s="385">
        <f t="shared" si="149"/>
        <v>7.6029999999999998</v>
      </c>
      <c r="Z350" s="385">
        <f t="shared" si="150"/>
        <v>7.6352077449998319</v>
      </c>
      <c r="AA350" s="386">
        <f t="shared" si="151"/>
        <v>7.8128549705141292</v>
      </c>
      <c r="AB350" s="197">
        <f t="shared" si="152"/>
        <v>43436</v>
      </c>
      <c r="AC350" s="427">
        <f t="shared" si="153"/>
        <v>2.2737811745481212E-2</v>
      </c>
      <c r="AD350" s="169">
        <f>(INDEX(Models!$BJ350:$BT350,,AH350)*(1-AF350)+INDEX(Models!$BJ350:$BT350,,AH350+1)*AF350-ERP_i)*AE350*Ramure*Pc/MaxiM</f>
        <v>2.3838241289055097E-4</v>
      </c>
      <c r="AE350" s="305">
        <f t="shared" si="154"/>
        <v>0.7</v>
      </c>
      <c r="AF350" s="177">
        <f t="shared" si="155"/>
        <v>0.49982671924872113</v>
      </c>
      <c r="AG350" s="921">
        <f t="shared" si="156"/>
        <v>-2</v>
      </c>
      <c r="AH350" s="176">
        <f t="shared" si="157"/>
        <v>4</v>
      </c>
      <c r="AI350" s="225">
        <f t="shared" si="158"/>
        <v>-1.5001732807512789</v>
      </c>
      <c r="AJ350" s="265" t="b">
        <f t="shared" si="159"/>
        <v>0</v>
      </c>
      <c r="AK350" s="265" t="b">
        <f t="shared" si="160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62"/>
        <v>43437</v>
      </c>
      <c r="B351" s="620">
        <v>9.9179999999999993</v>
      </c>
      <c r="C351" s="390"/>
      <c r="D351" s="393">
        <f t="shared" si="138"/>
        <v>9.9602326772027219</v>
      </c>
      <c r="E351" s="385">
        <f t="shared" si="135"/>
        <v>10.193020430549051</v>
      </c>
      <c r="F351" s="385">
        <f t="shared" si="137"/>
        <v>10.193235268861663</v>
      </c>
      <c r="G351" s="110">
        <f t="shared" si="136"/>
        <v>0.36191343219245942</v>
      </c>
      <c r="I351" s="380">
        <f t="shared" si="139"/>
        <v>10.193235268861663</v>
      </c>
      <c r="J351" s="85">
        <v>2018</v>
      </c>
      <c r="K351" s="197">
        <f t="shared" si="140"/>
        <v>43437</v>
      </c>
      <c r="L351" s="438">
        <f t="shared" si="141"/>
        <v>4.2401295804450623E-3</v>
      </c>
      <c r="M351" s="970"/>
      <c r="N351" s="970"/>
      <c r="O351" s="324">
        <f t="shared" si="142"/>
        <v>2.2837956122274791E-2</v>
      </c>
      <c r="P351" s="169">
        <f>(INDEX(Models!$BJ351:$BT351,,T351)*(1-R351)+INDEX(Models!$BJ351:$BT351,,T351+1)*R351-ERP_i)*Q351*Ramure*Pc/MaxiM</f>
        <v>2.379920162536631E-4</v>
      </c>
      <c r="Q351" s="305">
        <f t="shared" si="143"/>
        <v>0.7</v>
      </c>
      <c r="R351" s="177">
        <f t="shared" si="144"/>
        <v>0.49984187689788384</v>
      </c>
      <c r="S351" s="921">
        <f t="shared" si="161"/>
        <v>-2</v>
      </c>
      <c r="T351" s="176">
        <f t="shared" si="145"/>
        <v>4</v>
      </c>
      <c r="U351" s="251">
        <f t="shared" si="146"/>
        <v>-1.5001581231021162</v>
      </c>
      <c r="V351" s="383">
        <f t="shared" si="147"/>
        <v>27.398398912881159</v>
      </c>
      <c r="W351" s="58"/>
      <c r="X351" s="157">
        <f t="shared" si="148"/>
        <v>43437</v>
      </c>
      <c r="Y351" s="385">
        <f t="shared" si="149"/>
        <v>9.9179999999999993</v>
      </c>
      <c r="Z351" s="385">
        <f t="shared" si="150"/>
        <v>9.9602326772027219</v>
      </c>
      <c r="AA351" s="386">
        <f t="shared" si="151"/>
        <v>10.193020430549051</v>
      </c>
      <c r="AB351" s="197">
        <f t="shared" si="152"/>
        <v>43437</v>
      </c>
      <c r="AC351" s="427">
        <f t="shared" si="153"/>
        <v>2.2837956122274791E-2</v>
      </c>
      <c r="AD351" s="169">
        <f>(INDEX(Models!$BJ351:$BT351,,AH351)*(1-AF351)+INDEX(Models!$BJ351:$BT351,,AH351+1)*AF351-ERP_i)*AE351*Ramure*Pc/MaxiM</f>
        <v>2.379920162536631E-4</v>
      </c>
      <c r="AE351" s="305">
        <f t="shared" si="154"/>
        <v>0.7</v>
      </c>
      <c r="AF351" s="177">
        <f t="shared" si="155"/>
        <v>0.49984187689788384</v>
      </c>
      <c r="AG351" s="921">
        <f t="shared" si="156"/>
        <v>-2</v>
      </c>
      <c r="AH351" s="176">
        <f t="shared" si="157"/>
        <v>4</v>
      </c>
      <c r="AI351" s="225">
        <f t="shared" si="158"/>
        <v>-1.5001581231021162</v>
      </c>
      <c r="AJ351" s="265" t="b">
        <f t="shared" si="159"/>
        <v>0</v>
      </c>
      <c r="AK351" s="265" t="b">
        <f t="shared" si="160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62"/>
        <v>43438</v>
      </c>
      <c r="B352" s="620">
        <v>5.9429999999999996</v>
      </c>
      <c r="C352" s="390"/>
      <c r="D352" s="393">
        <f t="shared" si="138"/>
        <v>5.9684371165703567</v>
      </c>
      <c r="E352" s="385">
        <f t="shared" si="135"/>
        <v>6.108557203528334</v>
      </c>
      <c r="F352" s="385">
        <f t="shared" si="137"/>
        <v>6.108557203528334</v>
      </c>
      <c r="G352" s="110">
        <f t="shared" si="136"/>
        <v>0.21843279605780436</v>
      </c>
      <c r="I352" s="380">
        <f t="shared" si="139"/>
        <v>6.108557203528334</v>
      </c>
      <c r="J352" s="85">
        <v>2018</v>
      </c>
      <c r="K352" s="197">
        <f t="shared" si="140"/>
        <v>43438</v>
      </c>
      <c r="L352" s="438">
        <f t="shared" si="141"/>
        <v>4.2619392771576781E-3</v>
      </c>
      <c r="M352" s="970"/>
      <c r="N352" s="970"/>
      <c r="O352" s="324">
        <f t="shared" si="142"/>
        <v>2.2938327708062214E-2</v>
      </c>
      <c r="P352" s="169">
        <f>(INDEX(Models!$BJ352:$BT352,,T352)*(1-R352)+INDEX(Models!$BJ352:$BT352,,T352+1)*R352-ERP_i)*Q352*Ramure*Pc/MaxiM</f>
        <v>2.3753677786097886E-4</v>
      </c>
      <c r="Q352" s="305">
        <f t="shared" si="143"/>
        <v>0.7</v>
      </c>
      <c r="R352" s="177">
        <f t="shared" si="144"/>
        <v>0.49985642511951878</v>
      </c>
      <c r="S352" s="921">
        <f t="shared" si="161"/>
        <v>-2</v>
      </c>
      <c r="T352" s="176">
        <f t="shared" si="145"/>
        <v>4</v>
      </c>
      <c r="U352" s="251">
        <f t="shared" si="146"/>
        <v>-1.5001435748804812</v>
      </c>
      <c r="V352" s="383">
        <f t="shared" si="147"/>
        <v>27.200990080980496</v>
      </c>
      <c r="W352" s="58"/>
      <c r="X352" s="157">
        <f t="shared" si="148"/>
        <v>43438</v>
      </c>
      <c r="Y352" s="385">
        <f t="shared" si="149"/>
        <v>5.9429999999999996</v>
      </c>
      <c r="Z352" s="385">
        <f t="shared" si="150"/>
        <v>5.9684371165703567</v>
      </c>
      <c r="AA352" s="386">
        <f t="shared" si="151"/>
        <v>6.108557203528334</v>
      </c>
      <c r="AB352" s="197">
        <f t="shared" si="152"/>
        <v>43438</v>
      </c>
      <c r="AC352" s="427">
        <f t="shared" si="153"/>
        <v>2.2938327708062214E-2</v>
      </c>
      <c r="AD352" s="169">
        <f>(INDEX(Models!$BJ352:$BT352,,AH352)*(1-AF352)+INDEX(Models!$BJ352:$BT352,,AH352+1)*AF352-ERP_i)*AE352*Ramure*Pc/MaxiM</f>
        <v>2.3753677786097886E-4</v>
      </c>
      <c r="AE352" s="305">
        <f t="shared" si="154"/>
        <v>0.7</v>
      </c>
      <c r="AF352" s="177">
        <f t="shared" si="155"/>
        <v>0.49985642511951878</v>
      </c>
      <c r="AG352" s="921">
        <f t="shared" si="156"/>
        <v>-2</v>
      </c>
      <c r="AH352" s="176">
        <f t="shared" si="157"/>
        <v>4</v>
      </c>
      <c r="AI352" s="225">
        <f t="shared" si="158"/>
        <v>-1.5001435748804812</v>
      </c>
      <c r="AJ352" s="265" t="b">
        <f t="shared" si="159"/>
        <v>0</v>
      </c>
      <c r="AK352" s="265" t="b">
        <f t="shared" si="160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62"/>
        <v>43439</v>
      </c>
      <c r="B353" s="620">
        <v>21.015000000000001</v>
      </c>
      <c r="C353" s="390"/>
      <c r="D353" s="393">
        <f t="shared" si="138"/>
        <v>21.105410269503285</v>
      </c>
      <c r="E353" s="385">
        <f t="shared" si="135"/>
        <v>21.603122991146041</v>
      </c>
      <c r="F353" s="385">
        <f t="shared" si="137"/>
        <v>21.606623524518486</v>
      </c>
      <c r="G353" s="110">
        <f t="shared" si="136"/>
        <v>0.77783057365518871</v>
      </c>
      <c r="I353" s="380">
        <f t="shared" si="139"/>
        <v>21.606623524518486</v>
      </c>
      <c r="J353" s="85">
        <v>2018</v>
      </c>
      <c r="K353" s="197">
        <f t="shared" si="140"/>
        <v>43439</v>
      </c>
      <c r="L353" s="438">
        <f t="shared" si="141"/>
        <v>4.2837484961818495E-3</v>
      </c>
      <c r="M353" s="970"/>
      <c r="N353" s="970"/>
      <c r="O353" s="324">
        <f t="shared" si="142"/>
        <v>2.3038924596538255E-2</v>
      </c>
      <c r="P353" s="169">
        <f>(INDEX(Models!$BJ353:$BT353,,T353)*(1-R353)+INDEX(Models!$BJ353:$BT353,,T353+1)*R353-ERP_i)*Q353*Ramure*Pc/MaxiM</f>
        <v>2.3731116990263125E-4</v>
      </c>
      <c r="Q353" s="305">
        <f t="shared" si="143"/>
        <v>0.7</v>
      </c>
      <c r="R353" s="177">
        <f t="shared" si="144"/>
        <v>0.49987038838288766</v>
      </c>
      <c r="S353" s="921">
        <f t="shared" si="161"/>
        <v>-2</v>
      </c>
      <c r="T353" s="176">
        <f t="shared" si="145"/>
        <v>4</v>
      </c>
      <c r="U353" s="251">
        <f t="shared" si="146"/>
        <v>-1.5001296116171123</v>
      </c>
      <c r="V353" s="383">
        <f t="shared" si="147"/>
        <v>27.015417038493641</v>
      </c>
      <c r="W353" s="58"/>
      <c r="X353" s="157">
        <f t="shared" si="148"/>
        <v>43439</v>
      </c>
      <c r="Y353" s="385">
        <f t="shared" si="149"/>
        <v>21.015000000000001</v>
      </c>
      <c r="Z353" s="385">
        <f t="shared" si="150"/>
        <v>21.105410269503285</v>
      </c>
      <c r="AA353" s="386">
        <f t="shared" si="151"/>
        <v>21.603122991146041</v>
      </c>
      <c r="AB353" s="197">
        <f t="shared" si="152"/>
        <v>43439</v>
      </c>
      <c r="AC353" s="427">
        <f t="shared" si="153"/>
        <v>2.3038924596538255E-2</v>
      </c>
      <c r="AD353" s="169">
        <f>(INDEX(Models!$BJ353:$BT353,,AH353)*(1-AF353)+INDEX(Models!$BJ353:$BT353,,AH353+1)*AF353-ERP_i)*AE353*Ramure*Pc/MaxiM</f>
        <v>2.3731116990263125E-4</v>
      </c>
      <c r="AE353" s="305">
        <f t="shared" si="154"/>
        <v>0.7</v>
      </c>
      <c r="AF353" s="177">
        <f t="shared" si="155"/>
        <v>0.49987038838288766</v>
      </c>
      <c r="AG353" s="921">
        <f t="shared" si="156"/>
        <v>-2</v>
      </c>
      <c r="AH353" s="176">
        <f t="shared" si="157"/>
        <v>4</v>
      </c>
      <c r="AI353" s="225">
        <f t="shared" si="158"/>
        <v>-1.5001296116171123</v>
      </c>
      <c r="AJ353" s="265" t="b">
        <f t="shared" si="159"/>
        <v>0</v>
      </c>
      <c r="AK353" s="265" t="b">
        <f t="shared" si="160"/>
        <v>0</v>
      </c>
      <c r="AL353" s="265"/>
      <c r="AM353" s="265"/>
      <c r="AN353" s="75"/>
    </row>
    <row r="354" spans="1:40" s="6" customFormat="1" ht="11.25" x14ac:dyDescent="0.2">
      <c r="A354" s="56">
        <f t="shared" si="162"/>
        <v>43440</v>
      </c>
      <c r="B354" s="620">
        <v>10.673999999999999</v>
      </c>
      <c r="C354" s="390"/>
      <c r="D354" s="393">
        <f t="shared" si="138"/>
        <v>10.720156246313747</v>
      </c>
      <c r="E354" s="385">
        <f t="shared" si="135"/>
        <v>10.9740939676228</v>
      </c>
      <c r="F354" s="385">
        <f t="shared" si="137"/>
        <v>10.974457217410322</v>
      </c>
      <c r="G354" s="110">
        <f t="shared" si="136"/>
        <v>0.3975576076306182</v>
      </c>
      <c r="I354" s="380">
        <f t="shared" si="139"/>
        <v>10.974457217410322</v>
      </c>
      <c r="J354" s="85">
        <v>2018</v>
      </c>
      <c r="K354" s="197">
        <f t="shared" si="140"/>
        <v>43440</v>
      </c>
      <c r="L354" s="438">
        <f t="shared" si="141"/>
        <v>4.3055572375281237E-3</v>
      </c>
      <c r="M354" s="970"/>
      <c r="N354" s="970"/>
      <c r="O354" s="324">
        <f t="shared" si="142"/>
        <v>2.3139743659772848E-2</v>
      </c>
      <c r="P354" s="169">
        <f>(INDEX(Models!$BJ354:$BT354,,T354)*(1-R354)+INDEX(Models!$BJ354:$BT354,,T354+1)*R354-ERP_i)*Q354*Ramure*Pc/MaxiM</f>
        <v>2.3730008223546724E-4</v>
      </c>
      <c r="Q354" s="305">
        <f t="shared" si="143"/>
        <v>0.7</v>
      </c>
      <c r="R354" s="177">
        <f t="shared" si="144"/>
        <v>0.49988379017741069</v>
      </c>
      <c r="S354" s="921">
        <f t="shared" si="161"/>
        <v>-2</v>
      </c>
      <c r="T354" s="176">
        <f t="shared" si="145"/>
        <v>4</v>
      </c>
      <c r="U354" s="251">
        <f t="shared" si="146"/>
        <v>-1.5001162098225893</v>
      </c>
      <c r="V354" s="383">
        <f t="shared" si="147"/>
        <v>26.843456361357994</v>
      </c>
      <c r="W354" s="58"/>
      <c r="X354" s="157">
        <f t="shared" si="148"/>
        <v>43440</v>
      </c>
      <c r="Y354" s="385">
        <f t="shared" si="149"/>
        <v>10.673999999999999</v>
      </c>
      <c r="Z354" s="385">
        <f t="shared" si="150"/>
        <v>10.720156246313747</v>
      </c>
      <c r="AA354" s="386">
        <f t="shared" si="151"/>
        <v>10.9740939676228</v>
      </c>
      <c r="AB354" s="197">
        <f t="shared" si="152"/>
        <v>43440</v>
      </c>
      <c r="AC354" s="427">
        <f t="shared" si="153"/>
        <v>2.3139743659772848E-2</v>
      </c>
      <c r="AD354" s="169">
        <f>(INDEX(Models!$BJ354:$BT354,,AH354)*(1-AF354)+INDEX(Models!$BJ354:$BT354,,AH354+1)*AF354-ERP_i)*AE354*Ramure*Pc/MaxiM</f>
        <v>2.3730008223546724E-4</v>
      </c>
      <c r="AE354" s="305">
        <f t="shared" si="154"/>
        <v>0.7</v>
      </c>
      <c r="AF354" s="177">
        <f t="shared" si="155"/>
        <v>0.49988379017741069</v>
      </c>
      <c r="AG354" s="921">
        <f t="shared" si="156"/>
        <v>-2</v>
      </c>
      <c r="AH354" s="176">
        <f t="shared" si="157"/>
        <v>4</v>
      </c>
      <c r="AI354" s="225">
        <f t="shared" si="158"/>
        <v>-1.5001162098225893</v>
      </c>
      <c r="AJ354" s="265" t="b">
        <f t="shared" si="159"/>
        <v>0</v>
      </c>
      <c r="AK354" s="265" t="b">
        <f t="shared" si="160"/>
        <v>0</v>
      </c>
      <c r="AL354" s="265"/>
      <c r="AM354" s="265"/>
      <c r="AN354" s="75"/>
    </row>
    <row r="355" spans="1:40" s="6" customFormat="1" ht="11.25" x14ac:dyDescent="0.2">
      <c r="A355" s="56">
        <f t="shared" si="162"/>
        <v>43441</v>
      </c>
      <c r="B355" s="620">
        <v>22.962</v>
      </c>
      <c r="C355" s="390"/>
      <c r="D355" s="393">
        <f t="shared" si="138"/>
        <v>23.061796823971903</v>
      </c>
      <c r="E355" s="385">
        <f t="shared" si="135"/>
        <v>23.61052382820872</v>
      </c>
      <c r="F355" s="385">
        <f t="shared" si="137"/>
        <v>23.615013833101326</v>
      </c>
      <c r="G355" s="110">
        <f t="shared" si="136"/>
        <v>0.86038192720790785</v>
      </c>
      <c r="I355" s="380">
        <f t="shared" si="139"/>
        <v>23.615013833101326</v>
      </c>
      <c r="J355" s="85">
        <v>2018</v>
      </c>
      <c r="K355" s="197">
        <f t="shared" si="140"/>
        <v>43441</v>
      </c>
      <c r="L355" s="438">
        <f t="shared" si="141"/>
        <v>4.3273655012070478E-3</v>
      </c>
      <c r="M355" s="970"/>
      <c r="N355" s="970"/>
      <c r="O355" s="324">
        <f t="shared" si="142"/>
        <v>2.3240780603995936E-2</v>
      </c>
      <c r="P355" s="169">
        <f>(INDEX(Models!$BJ355:$BT355,,T355)*(1-R355)+INDEX(Models!$BJ355:$BT355,,T355+1)*R355-ERP_i)*Q355*Ramure*Pc/MaxiM</f>
        <v>2.3748760495572509E-4</v>
      </c>
      <c r="Q355" s="305">
        <f t="shared" si="143"/>
        <v>0.7</v>
      </c>
      <c r="R355" s="177">
        <f t="shared" si="144"/>
        <v>0.49989665305169573</v>
      </c>
      <c r="S355" s="921">
        <f t="shared" si="161"/>
        <v>-2</v>
      </c>
      <c r="T355" s="176">
        <f t="shared" si="145"/>
        <v>4</v>
      </c>
      <c r="U355" s="251">
        <f t="shared" si="146"/>
        <v>-1.5001033469483043</v>
      </c>
      <c r="V355" s="383">
        <f t="shared" si="147"/>
        <v>26.686883722027442</v>
      </c>
      <c r="W355" s="58"/>
      <c r="X355" s="157">
        <f t="shared" si="148"/>
        <v>43441</v>
      </c>
      <c r="Y355" s="385">
        <f t="shared" si="149"/>
        <v>22.962</v>
      </c>
      <c r="Z355" s="385">
        <f t="shared" si="150"/>
        <v>23.061796823971903</v>
      </c>
      <c r="AA355" s="386">
        <f t="shared" si="151"/>
        <v>23.61052382820872</v>
      </c>
      <c r="AB355" s="197">
        <f t="shared" si="152"/>
        <v>43441</v>
      </c>
      <c r="AC355" s="427">
        <f t="shared" si="153"/>
        <v>2.3240780603995936E-2</v>
      </c>
      <c r="AD355" s="169">
        <f>(INDEX(Models!$BJ355:$BT355,,AH355)*(1-AF355)+INDEX(Models!$BJ355:$BT355,,AH355+1)*AF355-ERP_i)*AE355*Ramure*Pc/MaxiM</f>
        <v>2.3748760495572509E-4</v>
      </c>
      <c r="AE355" s="305">
        <f t="shared" si="154"/>
        <v>0.7</v>
      </c>
      <c r="AF355" s="177">
        <f t="shared" si="155"/>
        <v>0.49989665305169573</v>
      </c>
      <c r="AG355" s="921">
        <f t="shared" si="156"/>
        <v>-2</v>
      </c>
      <c r="AH355" s="176">
        <f t="shared" si="157"/>
        <v>4</v>
      </c>
      <c r="AI355" s="225">
        <f t="shared" si="158"/>
        <v>-1.5001033469483043</v>
      </c>
      <c r="AJ355" s="265" t="b">
        <f t="shared" si="159"/>
        <v>0</v>
      </c>
      <c r="AK355" s="265" t="b">
        <f t="shared" si="160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62"/>
        <v>43442</v>
      </c>
      <c r="B356" s="620">
        <v>17.545000000000002</v>
      </c>
      <c r="C356" s="390"/>
      <c r="D356" s="393">
        <f t="shared" si="138"/>
        <v>17.62163956406923</v>
      </c>
      <c r="E356" s="385">
        <f t="shared" si="135"/>
        <v>18.042795027465054</v>
      </c>
      <c r="F356" s="385">
        <f t="shared" si="137"/>
        <v>18.045007875310837</v>
      </c>
      <c r="G356" s="110">
        <f t="shared" si="136"/>
        <v>0.66081534313372825</v>
      </c>
      <c r="I356" s="380">
        <f t="shared" si="139"/>
        <v>18.045007875310837</v>
      </c>
      <c r="J356" s="85">
        <v>2018</v>
      </c>
      <c r="K356" s="197">
        <f t="shared" si="140"/>
        <v>43442</v>
      </c>
      <c r="L356" s="438">
        <f t="shared" si="141"/>
        <v>4.3491732872290578E-3</v>
      </c>
      <c r="M356" s="970"/>
      <c r="N356" s="970"/>
      <c r="O356" s="324">
        <f t="shared" si="142"/>
        <v>2.3342030032194861E-2</v>
      </c>
      <c r="P356" s="169">
        <f>(INDEX(Models!$BJ356:$BT356,,T356)*(1-R356)+INDEX(Models!$BJ356:$BT356,,T356+1)*R356-ERP_i)*Q356*Ramure*Pc/MaxiM</f>
        <v>2.3785695637436384E-4</v>
      </c>
      <c r="Q356" s="305">
        <f t="shared" si="143"/>
        <v>0.7</v>
      </c>
      <c r="R356" s="177">
        <f t="shared" si="144"/>
        <v>0.49990899865102989</v>
      </c>
      <c r="S356" s="921">
        <f t="shared" si="161"/>
        <v>-2</v>
      </c>
      <c r="T356" s="176">
        <f t="shared" si="145"/>
        <v>4</v>
      </c>
      <c r="U356" s="251">
        <f t="shared" si="146"/>
        <v>-1.5000910013489701</v>
      </c>
      <c r="V356" s="383">
        <f t="shared" si="147"/>
        <v>26.547473914209402</v>
      </c>
      <c r="W356" s="58"/>
      <c r="X356" s="157">
        <f t="shared" si="148"/>
        <v>43442</v>
      </c>
      <c r="Y356" s="385">
        <f t="shared" si="149"/>
        <v>17.545000000000002</v>
      </c>
      <c r="Z356" s="385">
        <f t="shared" si="150"/>
        <v>17.62163956406923</v>
      </c>
      <c r="AA356" s="386">
        <f t="shared" si="151"/>
        <v>18.042795027465054</v>
      </c>
      <c r="AB356" s="197">
        <f t="shared" si="152"/>
        <v>43442</v>
      </c>
      <c r="AC356" s="427">
        <f t="shared" si="153"/>
        <v>2.3342030032194861E-2</v>
      </c>
      <c r="AD356" s="169">
        <f>(INDEX(Models!$BJ356:$BT356,,AH356)*(1-AF356)+INDEX(Models!$BJ356:$BT356,,AH356+1)*AF356-ERP_i)*AE356*Ramure*Pc/MaxiM</f>
        <v>2.3785695637436384E-4</v>
      </c>
      <c r="AE356" s="305">
        <f t="shared" si="154"/>
        <v>0.7</v>
      </c>
      <c r="AF356" s="177">
        <f t="shared" si="155"/>
        <v>0.49990899865102989</v>
      </c>
      <c r="AG356" s="921">
        <f t="shared" si="156"/>
        <v>-2</v>
      </c>
      <c r="AH356" s="176">
        <f t="shared" si="157"/>
        <v>4</v>
      </c>
      <c r="AI356" s="225">
        <f t="shared" si="158"/>
        <v>-1.5000910013489701</v>
      </c>
      <c r="AJ356" s="265" t="b">
        <f t="shared" si="159"/>
        <v>0</v>
      </c>
      <c r="AK356" s="265" t="b">
        <f t="shared" si="160"/>
        <v>0</v>
      </c>
      <c r="AL356" s="265"/>
      <c r="AM356" s="265"/>
      <c r="AN356" s="75"/>
    </row>
    <row r="357" spans="1:40" s="6" customFormat="1" ht="11.25" x14ac:dyDescent="0.2">
      <c r="A357" s="56">
        <f t="shared" si="162"/>
        <v>43443</v>
      </c>
      <c r="B357" s="620">
        <v>4.5650000000000004</v>
      </c>
      <c r="C357" s="390"/>
      <c r="D357" s="393">
        <f t="shared" si="138"/>
        <v>4.5850411257908812</v>
      </c>
      <c r="E357" s="385">
        <f t="shared" si="135"/>
        <v>4.6951108899204579</v>
      </c>
      <c r="F357" s="385">
        <f t="shared" ref="F357:F379" si="163">Wh_sa/(1-Pvg*MEDIAN((-Sdif+Wh/Env_an)/Csdif,0,1))</f>
        <v>4.6951108899204579</v>
      </c>
      <c r="G357" s="110">
        <f t="shared" si="136"/>
        <v>0.17269881570341919</v>
      </c>
      <c r="I357" s="380">
        <f t="shared" si="139"/>
        <v>4.6951108899204579</v>
      </c>
      <c r="J357" s="85">
        <v>2018</v>
      </c>
      <c r="K357" s="197">
        <f t="shared" si="140"/>
        <v>43443</v>
      </c>
      <c r="L357" s="438">
        <f t="shared" si="141"/>
        <v>4.37098059560459E-3</v>
      </c>
      <c r="M357" s="970"/>
      <c r="N357" s="970"/>
      <c r="O357" s="324">
        <f t="shared" si="142"/>
        <v>2.3443485512956982E-2</v>
      </c>
      <c r="P357" s="169">
        <f>(INDEX(Models!$BJ357:$BT357,,T357)*(1-R357)+INDEX(Models!$BJ357:$BT357,,T357+1)*R357-ERP_i)*Q357*Ramure*Pc/MaxiM</f>
        <v>2.3839043635163405E-4</v>
      </c>
      <c r="Q357" s="305">
        <f t="shared" si="143"/>
        <v>0.7</v>
      </c>
      <c r="R357" s="177">
        <f t="shared" si="144"/>
        <v>0.49992084775338985</v>
      </c>
      <c r="S357" s="921">
        <f t="shared" si="161"/>
        <v>-2</v>
      </c>
      <c r="T357" s="176">
        <f t="shared" si="145"/>
        <v>4</v>
      </c>
      <c r="U357" s="251">
        <f t="shared" si="146"/>
        <v>-1.5000791522466101</v>
      </c>
      <c r="V357" s="383">
        <f t="shared" si="147"/>
        <v>26.427000839981414</v>
      </c>
      <c r="W357" s="58"/>
      <c r="X357" s="157">
        <f t="shared" si="148"/>
        <v>43443</v>
      </c>
      <c r="Y357" s="385">
        <f t="shared" si="149"/>
        <v>4.5650000000000004</v>
      </c>
      <c r="Z357" s="385">
        <f t="shared" si="150"/>
        <v>4.5850411257908812</v>
      </c>
      <c r="AA357" s="386">
        <f t="shared" si="151"/>
        <v>4.6951108899204579</v>
      </c>
      <c r="AB357" s="197">
        <f t="shared" si="152"/>
        <v>43443</v>
      </c>
      <c r="AC357" s="427">
        <f t="shared" si="153"/>
        <v>2.3443485512956982E-2</v>
      </c>
      <c r="AD357" s="169">
        <f>(INDEX(Models!$BJ357:$BT357,,AH357)*(1-AF357)+INDEX(Models!$BJ357:$BT357,,AH357+1)*AF357-ERP_i)*AE357*Ramure*Pc/MaxiM</f>
        <v>2.3839043635163405E-4</v>
      </c>
      <c r="AE357" s="305">
        <f t="shared" si="154"/>
        <v>0.7</v>
      </c>
      <c r="AF357" s="177">
        <f t="shared" si="155"/>
        <v>0.49992084775338985</v>
      </c>
      <c r="AG357" s="921">
        <f t="shared" si="156"/>
        <v>-2</v>
      </c>
      <c r="AH357" s="176">
        <f t="shared" si="157"/>
        <v>4</v>
      </c>
      <c r="AI357" s="225">
        <f t="shared" si="158"/>
        <v>-1.5000791522466101</v>
      </c>
      <c r="AJ357" s="265" t="b">
        <f t="shared" si="159"/>
        <v>0</v>
      </c>
      <c r="AK357" s="265" t="b">
        <f t="shared" si="160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62"/>
        <v>43444</v>
      </c>
      <c r="B358" s="620">
        <v>15.03</v>
      </c>
      <c r="C358" s="390"/>
      <c r="D358" s="393">
        <f t="shared" si="138"/>
        <v>15.096314902286895</v>
      </c>
      <c r="E358" s="385">
        <f t="shared" si="135"/>
        <v>15.460330544058309</v>
      </c>
      <c r="F358" s="385">
        <f t="shared" si="163"/>
        <v>15.461761019938425</v>
      </c>
      <c r="G358" s="110">
        <f t="shared" si="136"/>
        <v>0.57080797489389667</v>
      </c>
      <c r="I358" s="380">
        <f t="shared" si="139"/>
        <v>15.461761019938425</v>
      </c>
      <c r="J358" s="85">
        <v>2018</v>
      </c>
      <c r="K358" s="197">
        <f t="shared" si="140"/>
        <v>43444</v>
      </c>
      <c r="L358" s="438">
        <f t="shared" si="141"/>
        <v>4.3927874263440803E-3</v>
      </c>
      <c r="M358" s="970"/>
      <c r="N358" s="970"/>
      <c r="O358" s="324">
        <f t="shared" si="142"/>
        <v>2.3545139654941663E-2</v>
      </c>
      <c r="P358" s="169">
        <f>(INDEX(Models!$BJ358:$BT358,,T358)*(1-R358)+INDEX(Models!$BJ358:$BT358,,T358+1)*R358-ERP_i)*Q358*Ramure*Pc/MaxiM</f>
        <v>2.3906940869417636E-4</v>
      </c>
      <c r="Q358" s="305">
        <f t="shared" si="143"/>
        <v>0.7</v>
      </c>
      <c r="R358" s="177">
        <f t="shared" si="144"/>
        <v>0.49993222030403439</v>
      </c>
      <c r="S358" s="921">
        <f t="shared" si="161"/>
        <v>-2</v>
      </c>
      <c r="T358" s="176">
        <f t="shared" si="145"/>
        <v>4</v>
      </c>
      <c r="U358" s="251">
        <f t="shared" si="146"/>
        <v>-1.5000677796959656</v>
      </c>
      <c r="V358" s="383">
        <f t="shared" si="147"/>
        <v>26.3272374854579</v>
      </c>
      <c r="W358" s="58"/>
      <c r="X358" s="157">
        <f t="shared" si="148"/>
        <v>43444</v>
      </c>
      <c r="Y358" s="385">
        <f t="shared" si="149"/>
        <v>15.03</v>
      </c>
      <c r="Z358" s="385">
        <f t="shared" si="150"/>
        <v>15.096314902286895</v>
      </c>
      <c r="AA358" s="386">
        <f t="shared" si="151"/>
        <v>15.460330544058309</v>
      </c>
      <c r="AB358" s="197">
        <f t="shared" si="152"/>
        <v>43444</v>
      </c>
      <c r="AC358" s="427">
        <f t="shared" si="153"/>
        <v>2.3545139654941663E-2</v>
      </c>
      <c r="AD358" s="169">
        <f>(INDEX(Models!$BJ358:$BT358,,AH358)*(1-AF358)+INDEX(Models!$BJ358:$BT358,,AH358+1)*AF358-ERP_i)*AE358*Ramure*Pc/MaxiM</f>
        <v>2.3906940869417636E-4</v>
      </c>
      <c r="AE358" s="305">
        <f t="shared" si="154"/>
        <v>0.7</v>
      </c>
      <c r="AF358" s="177">
        <f t="shared" si="155"/>
        <v>0.49993222030403439</v>
      </c>
      <c r="AG358" s="921">
        <f t="shared" si="156"/>
        <v>-2</v>
      </c>
      <c r="AH358" s="176">
        <f t="shared" si="157"/>
        <v>4</v>
      </c>
      <c r="AI358" s="225">
        <f t="shared" si="158"/>
        <v>-1.5000677796959656</v>
      </c>
      <c r="AJ358" s="265" t="b">
        <f t="shared" si="159"/>
        <v>0</v>
      </c>
      <c r="AK358" s="265" t="b">
        <f t="shared" si="160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62"/>
        <v>43445</v>
      </c>
      <c r="B359" s="620">
        <v>22.369</v>
      </c>
      <c r="C359" s="390"/>
      <c r="D359" s="393">
        <f t="shared" si="138"/>
        <v>22.468187922638975</v>
      </c>
      <c r="E359" s="385">
        <f t="shared" si="135"/>
        <v>23.012360855888094</v>
      </c>
      <c r="F359" s="385">
        <f t="shared" si="163"/>
        <v>23.016717284204159</v>
      </c>
      <c r="G359" s="110">
        <f t="shared" si="136"/>
        <v>0.852219763692461</v>
      </c>
      <c r="I359" s="380">
        <f t="shared" si="139"/>
        <v>23.016717284204159</v>
      </c>
      <c r="J359" s="85">
        <v>2018</v>
      </c>
      <c r="K359" s="197">
        <f t="shared" si="140"/>
        <v>43445</v>
      </c>
      <c r="L359" s="438">
        <f t="shared" si="141"/>
        <v>4.4145937794579648E-3</v>
      </c>
      <c r="M359" s="970"/>
      <c r="N359" s="970"/>
      <c r="O359" s="324">
        <f t="shared" si="142"/>
        <v>2.3646984186321971E-2</v>
      </c>
      <c r="P359" s="169">
        <f>(INDEX(Models!$BJ359:$BT359,,T359)*(1-R359)+INDEX(Models!$BJ359:$BT359,,T359+1)*R359-ERP_i)*Q359*Ramure*Pc/MaxiM</f>
        <v>2.3990502285273541E-4</v>
      </c>
      <c r="Q359" s="305">
        <f t="shared" si="143"/>
        <v>0.7</v>
      </c>
      <c r="R359" s="177">
        <f t="shared" si="144"/>
        <v>0.49994313544872582</v>
      </c>
      <c r="S359" s="921">
        <f t="shared" si="161"/>
        <v>-2</v>
      </c>
      <c r="T359" s="176">
        <f t="shared" si="145"/>
        <v>4</v>
      </c>
      <c r="U359" s="251">
        <f t="shared" si="146"/>
        <v>-1.5000568645512742</v>
      </c>
      <c r="V359" s="383">
        <f t="shared" si="147"/>
        <v>26.246595228627243</v>
      </c>
      <c r="W359" s="58"/>
      <c r="X359" s="157">
        <f t="shared" si="148"/>
        <v>43445</v>
      </c>
      <c r="Y359" s="385">
        <f t="shared" si="149"/>
        <v>22.369</v>
      </c>
      <c r="Z359" s="385">
        <f t="shared" si="150"/>
        <v>22.468187922638975</v>
      </c>
      <c r="AA359" s="386">
        <f t="shared" si="151"/>
        <v>23.012360855888094</v>
      </c>
      <c r="AB359" s="197">
        <f t="shared" si="152"/>
        <v>43445</v>
      </c>
      <c r="AC359" s="427">
        <f t="shared" si="153"/>
        <v>2.3646984186321971E-2</v>
      </c>
      <c r="AD359" s="169">
        <f>(INDEX(Models!$BJ359:$BT359,,AH359)*(1-AF359)+INDEX(Models!$BJ359:$BT359,,AH359+1)*AF359-ERP_i)*AE359*Ramure*Pc/MaxiM</f>
        <v>2.3990502285273541E-4</v>
      </c>
      <c r="AE359" s="305">
        <f t="shared" si="154"/>
        <v>0.7</v>
      </c>
      <c r="AF359" s="177">
        <f t="shared" si="155"/>
        <v>0.49994313544872582</v>
      </c>
      <c r="AG359" s="921">
        <f t="shared" si="156"/>
        <v>-2</v>
      </c>
      <c r="AH359" s="176">
        <f t="shared" si="157"/>
        <v>4</v>
      </c>
      <c r="AI359" s="225">
        <f t="shared" si="158"/>
        <v>-1.5000568645512742</v>
      </c>
      <c r="AJ359" s="265" t="b">
        <f t="shared" si="159"/>
        <v>0</v>
      </c>
      <c r="AK359" s="265" t="b">
        <f t="shared" si="160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62"/>
        <v>43446</v>
      </c>
      <c r="B360" s="620">
        <v>3.3620000000000001</v>
      </c>
      <c r="C360" s="390"/>
      <c r="D360" s="393">
        <f t="shared" si="138"/>
        <v>3.3769816401833048</v>
      </c>
      <c r="E360" s="385">
        <f t="shared" si="135"/>
        <v>3.4591326153907218</v>
      </c>
      <c r="F360" s="385">
        <f t="shared" si="163"/>
        <v>3.4591326153907218</v>
      </c>
      <c r="G360" s="110">
        <f t="shared" si="136"/>
        <v>0.12837806428938964</v>
      </c>
      <c r="I360" s="380">
        <f t="shared" si="139"/>
        <v>3.4591326153907218</v>
      </c>
      <c r="J360" s="85">
        <v>2018</v>
      </c>
      <c r="K360" s="197">
        <f t="shared" si="140"/>
        <v>43446</v>
      </c>
      <c r="L360" s="438">
        <f t="shared" si="141"/>
        <v>4.4363996549567908E-3</v>
      </c>
      <c r="M360" s="970"/>
      <c r="N360" s="970"/>
      <c r="O360" s="324">
        <f t="shared" si="142"/>
        <v>2.3749010038499978E-2</v>
      </c>
      <c r="P360" s="169">
        <f>(INDEX(Models!$BJ360:$BT360,,T360)*(1-R360)+INDEX(Models!$BJ360:$BT360,,T360+1)*R360-ERP_i)*Q360*Ramure*Pc/MaxiM</f>
        <v>2.4092229691836795E-4</v>
      </c>
      <c r="Q360" s="305">
        <f t="shared" si="143"/>
        <v>0.7</v>
      </c>
      <c r="R360" s="177">
        <f t="shared" si="144"/>
        <v>0.49995361156564044</v>
      </c>
      <c r="S360" s="921">
        <f t="shared" si="161"/>
        <v>-2</v>
      </c>
      <c r="T360" s="176">
        <f t="shared" si="145"/>
        <v>4</v>
      </c>
      <c r="U360" s="251">
        <f t="shared" si="146"/>
        <v>-1.5000463884343596</v>
      </c>
      <c r="V360" s="383">
        <f t="shared" si="147"/>
        <v>26.181965258963334</v>
      </c>
      <c r="W360" s="58"/>
      <c r="X360" s="157">
        <f t="shared" si="148"/>
        <v>43446</v>
      </c>
      <c r="Y360" s="385">
        <f t="shared" si="149"/>
        <v>3.3620000000000001</v>
      </c>
      <c r="Z360" s="385">
        <f t="shared" si="150"/>
        <v>3.3769816401833048</v>
      </c>
      <c r="AA360" s="386">
        <f t="shared" si="151"/>
        <v>3.4591326153907218</v>
      </c>
      <c r="AB360" s="197">
        <f t="shared" si="152"/>
        <v>43446</v>
      </c>
      <c r="AC360" s="427">
        <f t="shared" si="153"/>
        <v>2.3749010038499978E-2</v>
      </c>
      <c r="AD360" s="169">
        <f>(INDEX(Models!$BJ360:$BT360,,AH360)*(1-AF360)+INDEX(Models!$BJ360:$BT360,,AH360+1)*AF360-ERP_i)*AE360*Ramure*Pc/MaxiM</f>
        <v>2.4092229691836795E-4</v>
      </c>
      <c r="AE360" s="305">
        <f t="shared" si="154"/>
        <v>0.7</v>
      </c>
      <c r="AF360" s="177">
        <f t="shared" si="155"/>
        <v>0.49995361156564044</v>
      </c>
      <c r="AG360" s="921">
        <f t="shared" si="156"/>
        <v>-2</v>
      </c>
      <c r="AH360" s="176">
        <f t="shared" si="157"/>
        <v>4</v>
      </c>
      <c r="AI360" s="225">
        <f t="shared" si="158"/>
        <v>-1.5000463884343596</v>
      </c>
      <c r="AJ360" s="265" t="b">
        <f t="shared" si="159"/>
        <v>0</v>
      </c>
      <c r="AK360" s="265" t="b">
        <f t="shared" si="160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62"/>
        <v>43447</v>
      </c>
      <c r="B361" s="620">
        <v>1.8149999999999999</v>
      </c>
      <c r="C361" s="390"/>
      <c r="D361" s="393">
        <f t="shared" si="138"/>
        <v>1.8231278779173246</v>
      </c>
      <c r="E361" s="385">
        <f t="shared" ref="E361:E379" si="164">Wh_pvt/(1-Psa)</f>
        <v>1.8676741617675858</v>
      </c>
      <c r="F361" s="385">
        <f t="shared" si="163"/>
        <v>1.8676741617675858</v>
      </c>
      <c r="G361" s="110">
        <f t="shared" ref="G361:G379" si="165">+Wh_hp/MaxiM</f>
        <v>6.9436026208153923E-2</v>
      </c>
      <c r="I361" s="380">
        <f t="shared" si="139"/>
        <v>1.8676741617675858</v>
      </c>
      <c r="J361" s="85">
        <v>2018</v>
      </c>
      <c r="K361" s="197">
        <f t="shared" si="140"/>
        <v>43447</v>
      </c>
      <c r="L361" s="438">
        <f t="shared" si="141"/>
        <v>4.4582050528509942E-3</v>
      </c>
      <c r="M361" s="970"/>
      <c r="N361" s="970"/>
      <c r="O361" s="324">
        <f t="shared" si="142"/>
        <v>2.385120743336841E-2</v>
      </c>
      <c r="P361" s="169">
        <f>(INDEX(Models!$BJ361:$BT361,,T361)*(1-R361)+INDEX(Models!$BJ361:$BT361,,T361+1)*R361-ERP_i)*Q361*Ramure*Pc/MaxiM</f>
        <v>2.4183545414326767E-4</v>
      </c>
      <c r="Q361" s="305">
        <f t="shared" si="143"/>
        <v>0.7</v>
      </c>
      <c r="R361" s="177">
        <f t="shared" si="144"/>
        <v>0.4999636662960163</v>
      </c>
      <c r="S361" s="921">
        <f t="shared" si="161"/>
        <v>-2</v>
      </c>
      <c r="T361" s="176">
        <f t="shared" si="145"/>
        <v>4</v>
      </c>
      <c r="U361" s="251">
        <f t="shared" si="146"/>
        <v>-1.5000363337039837</v>
      </c>
      <c r="V361" s="383">
        <f t="shared" si="147"/>
        <v>26.132847280330751</v>
      </c>
      <c r="W361" s="58"/>
      <c r="X361" s="157">
        <f t="shared" si="148"/>
        <v>43447</v>
      </c>
      <c r="Y361" s="385">
        <f t="shared" si="149"/>
        <v>1.8149999999999999</v>
      </c>
      <c r="Z361" s="385">
        <f t="shared" si="150"/>
        <v>1.8231278779173246</v>
      </c>
      <c r="AA361" s="386">
        <f t="shared" si="151"/>
        <v>1.8676741617675858</v>
      </c>
      <c r="AB361" s="197">
        <f t="shared" si="152"/>
        <v>43447</v>
      </c>
      <c r="AC361" s="427">
        <f t="shared" si="153"/>
        <v>2.385120743336841E-2</v>
      </c>
      <c r="AD361" s="169">
        <f>(INDEX(Models!$BJ361:$BT361,,AH361)*(1-AF361)+INDEX(Models!$BJ361:$BT361,,AH361+1)*AF361-ERP_i)*AE361*Ramure*Pc/MaxiM</f>
        <v>2.4183545414326767E-4</v>
      </c>
      <c r="AE361" s="305">
        <f t="shared" si="154"/>
        <v>0.7</v>
      </c>
      <c r="AF361" s="177">
        <f t="shared" si="155"/>
        <v>0.4999636662960163</v>
      </c>
      <c r="AG361" s="921">
        <f t="shared" si="156"/>
        <v>-2</v>
      </c>
      <c r="AH361" s="176">
        <f t="shared" si="157"/>
        <v>4</v>
      </c>
      <c r="AI361" s="225">
        <f t="shared" si="158"/>
        <v>-1.5000363337039837</v>
      </c>
      <c r="AJ361" s="265" t="b">
        <f t="shared" si="159"/>
        <v>0</v>
      </c>
      <c r="AK361" s="265" t="b">
        <f t="shared" si="160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62"/>
        <v>43448</v>
      </c>
      <c r="B362" s="620">
        <v>1.6919999999999999</v>
      </c>
      <c r="C362" s="390"/>
      <c r="D362" s="393">
        <f t="shared" si="138"/>
        <v>1.6996142889650734</v>
      </c>
      <c r="E362" s="385">
        <f t="shared" si="164"/>
        <v>1.7413252379329918</v>
      </c>
      <c r="F362" s="385">
        <f t="shared" si="163"/>
        <v>1.7413252379329918</v>
      </c>
      <c r="G362" s="110">
        <f t="shared" si="165"/>
        <v>6.4815000668408465E-2</v>
      </c>
      <c r="I362" s="380">
        <f t="shared" si="139"/>
        <v>1.7413252379329918</v>
      </c>
      <c r="J362" s="85">
        <v>2018</v>
      </c>
      <c r="K362" s="197">
        <f t="shared" si="140"/>
        <v>43448</v>
      </c>
      <c r="L362" s="438">
        <f t="shared" si="141"/>
        <v>4.4800099731510112E-3</v>
      </c>
      <c r="M362" s="970"/>
      <c r="N362" s="970"/>
      <c r="O362" s="324">
        <f t="shared" si="142"/>
        <v>2.3953565973367796E-2</v>
      </c>
      <c r="P362" s="169">
        <f>(INDEX(Models!$BJ362:$BT362,,T362)*(1-R362)+INDEX(Models!$BJ362:$BT362,,T362+1)*R362-ERP_i)*Q362*Ramure*Pc/MaxiM</f>
        <v>2.4264613013480713E-4</v>
      </c>
      <c r="Q362" s="305">
        <f t="shared" si="143"/>
        <v>0.7</v>
      </c>
      <c r="R362" s="177">
        <f t="shared" si="144"/>
        <v>0.49997331657358579</v>
      </c>
      <c r="S362" s="921">
        <f t="shared" si="161"/>
        <v>-2</v>
      </c>
      <c r="T362" s="176">
        <f t="shared" si="145"/>
        <v>4</v>
      </c>
      <c r="U362" s="251">
        <f t="shared" si="146"/>
        <v>-1.5000266834264142</v>
      </c>
      <c r="V362" s="383">
        <f t="shared" si="147"/>
        <v>26.098733708295875</v>
      </c>
      <c r="W362" s="58"/>
      <c r="X362" s="157">
        <f t="shared" si="148"/>
        <v>43448</v>
      </c>
      <c r="Y362" s="385">
        <f t="shared" si="149"/>
        <v>1.6919999999999999</v>
      </c>
      <c r="Z362" s="385">
        <f t="shared" si="150"/>
        <v>1.6996142889650734</v>
      </c>
      <c r="AA362" s="386">
        <f t="shared" si="151"/>
        <v>1.7413252379329918</v>
      </c>
      <c r="AB362" s="197">
        <f t="shared" si="152"/>
        <v>43448</v>
      </c>
      <c r="AC362" s="427">
        <f t="shared" si="153"/>
        <v>2.3953565973367796E-2</v>
      </c>
      <c r="AD362" s="169">
        <f>(INDEX(Models!$BJ362:$BT362,,AH362)*(1-AF362)+INDEX(Models!$BJ362:$BT362,,AH362+1)*AF362-ERP_i)*AE362*Ramure*Pc/MaxiM</f>
        <v>2.4264613013480713E-4</v>
      </c>
      <c r="AE362" s="305">
        <f t="shared" si="154"/>
        <v>0.7</v>
      </c>
      <c r="AF362" s="177">
        <f t="shared" si="155"/>
        <v>0.49997331657358579</v>
      </c>
      <c r="AG362" s="921">
        <f t="shared" si="156"/>
        <v>-2</v>
      </c>
      <c r="AH362" s="176">
        <f t="shared" si="157"/>
        <v>4</v>
      </c>
      <c r="AI362" s="225">
        <f t="shared" si="158"/>
        <v>-1.5000266834264142</v>
      </c>
      <c r="AJ362" s="265" t="b">
        <f t="shared" si="159"/>
        <v>0</v>
      </c>
      <c r="AK362" s="265" t="b">
        <f t="shared" si="160"/>
        <v>0</v>
      </c>
      <c r="AL362" s="265"/>
      <c r="AM362" s="265"/>
      <c r="AN362" s="75"/>
    </row>
    <row r="363" spans="1:40" s="6" customFormat="1" ht="11.25" x14ac:dyDescent="0.2">
      <c r="A363" s="56">
        <f t="shared" si="162"/>
        <v>43449</v>
      </c>
      <c r="B363" s="620">
        <v>6.3929999999999998</v>
      </c>
      <c r="C363" s="390"/>
      <c r="D363" s="393">
        <f t="shared" si="138"/>
        <v>6.4219102481324484</v>
      </c>
      <c r="E363" s="385">
        <f t="shared" si="164"/>
        <v>6.580204130456873</v>
      </c>
      <c r="F363" s="385">
        <f t="shared" si="163"/>
        <v>6.580204130456873</v>
      </c>
      <c r="G363" s="110">
        <f t="shared" si="165"/>
        <v>0.24507900982927536</v>
      </c>
      <c r="I363" s="380">
        <f t="shared" si="139"/>
        <v>6.580204130456873</v>
      </c>
      <c r="J363" s="85">
        <v>2018</v>
      </c>
      <c r="K363" s="197">
        <f t="shared" si="140"/>
        <v>43449</v>
      </c>
      <c r="L363" s="438">
        <f t="shared" si="141"/>
        <v>4.5018144158672779E-3</v>
      </c>
      <c r="M363" s="970"/>
      <c r="N363" s="970"/>
      <c r="O363" s="324">
        <f t="shared" si="142"/>
        <v>2.4056074733571318E-2</v>
      </c>
      <c r="P363" s="169">
        <f>(INDEX(Models!$BJ363:$BT363,,T363)*(1-R363)+INDEX(Models!$BJ363:$BT363,,T363+1)*R363-ERP_i)*Q363*Ramure*Pc/MaxiM</f>
        <v>2.4335632550911724E-4</v>
      </c>
      <c r="Q363" s="305">
        <f t="shared" si="143"/>
        <v>0.7</v>
      </c>
      <c r="R363" s="177">
        <f t="shared" si="144"/>
        <v>0.49998257865284224</v>
      </c>
      <c r="S363" s="921">
        <f t="shared" si="161"/>
        <v>-2</v>
      </c>
      <c r="T363" s="176">
        <f t="shared" si="145"/>
        <v>4</v>
      </c>
      <c r="U363" s="251">
        <f t="shared" si="146"/>
        <v>-1.5000174213471578</v>
      </c>
      <c r="V363" s="383">
        <f t="shared" si="147"/>
        <v>26.079117209847418</v>
      </c>
      <c r="W363" s="58"/>
      <c r="X363" s="157">
        <f t="shared" si="148"/>
        <v>43449</v>
      </c>
      <c r="Y363" s="385">
        <f t="shared" si="149"/>
        <v>6.3929999999999998</v>
      </c>
      <c r="Z363" s="385">
        <f t="shared" si="150"/>
        <v>6.4219102481324484</v>
      </c>
      <c r="AA363" s="386">
        <f t="shared" si="151"/>
        <v>6.580204130456873</v>
      </c>
      <c r="AB363" s="197">
        <f t="shared" si="152"/>
        <v>43449</v>
      </c>
      <c r="AC363" s="427">
        <f t="shared" si="153"/>
        <v>2.4056074733571318E-2</v>
      </c>
      <c r="AD363" s="169">
        <f>(INDEX(Models!$BJ363:$BT363,,AH363)*(1-AF363)+INDEX(Models!$BJ363:$BT363,,AH363+1)*AF363-ERP_i)*AE363*Ramure*Pc/MaxiM</f>
        <v>2.4335632550911724E-4</v>
      </c>
      <c r="AE363" s="305">
        <f t="shared" si="154"/>
        <v>0.7</v>
      </c>
      <c r="AF363" s="177">
        <f t="shared" si="155"/>
        <v>0.49998257865284224</v>
      </c>
      <c r="AG363" s="921">
        <f t="shared" si="156"/>
        <v>-2</v>
      </c>
      <c r="AH363" s="176">
        <f t="shared" si="157"/>
        <v>4</v>
      </c>
      <c r="AI363" s="225">
        <f t="shared" si="158"/>
        <v>-1.5000174213471578</v>
      </c>
      <c r="AJ363" s="265" t="b">
        <f t="shared" si="159"/>
        <v>0</v>
      </c>
      <c r="AK363" s="265" t="b">
        <f t="shared" si="160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62"/>
        <v>43450</v>
      </c>
      <c r="B364" s="620">
        <v>3.819</v>
      </c>
      <c r="C364" s="390"/>
      <c r="D364" s="393">
        <f t="shared" si="138"/>
        <v>3.8363542023859796</v>
      </c>
      <c r="E364" s="385">
        <f t="shared" si="164"/>
        <v>3.9313301151231674</v>
      </c>
      <c r="F364" s="385">
        <f t="shared" si="163"/>
        <v>3.9313301151231674</v>
      </c>
      <c r="G364" s="110">
        <f t="shared" si="165"/>
        <v>0.14643487245494111</v>
      </c>
      <c r="I364" s="380">
        <f t="shared" si="139"/>
        <v>3.9313301151231674</v>
      </c>
      <c r="J364" s="85">
        <v>2018</v>
      </c>
      <c r="K364" s="197">
        <f t="shared" si="140"/>
        <v>43450</v>
      </c>
      <c r="L364" s="438">
        <f t="shared" si="141"/>
        <v>4.5236183810103414E-3</v>
      </c>
      <c r="M364" s="970"/>
      <c r="N364" s="970"/>
      <c r="O364" s="324">
        <f t="shared" si="142"/>
        <v>2.4158722355019584E-2</v>
      </c>
      <c r="P364" s="169">
        <f>(INDEX(Models!$BJ364:$BT364,,T364)*(1-R364)+INDEX(Models!$BJ364:$BT364,,T364+1)*R364-ERP_i)*Q364*Ramure*Pc/MaxiM</f>
        <v>2.4396839023752538E-4</v>
      </c>
      <c r="Q364" s="305">
        <f t="shared" si="143"/>
        <v>0.7</v>
      </c>
      <c r="R364" s="177">
        <f t="shared" si="144"/>
        <v>0.49999146813618744</v>
      </c>
      <c r="S364" s="921">
        <f t="shared" si="161"/>
        <v>-2</v>
      </c>
      <c r="T364" s="176">
        <f t="shared" si="145"/>
        <v>4</v>
      </c>
      <c r="U364" s="251">
        <f t="shared" si="146"/>
        <v>-1.5000085318638126</v>
      </c>
      <c r="V364" s="383">
        <f t="shared" si="147"/>
        <v>26.073490697323656</v>
      </c>
      <c r="W364" s="58"/>
      <c r="X364" s="157">
        <f t="shared" si="148"/>
        <v>43450</v>
      </c>
      <c r="Y364" s="385">
        <f t="shared" si="149"/>
        <v>3.819</v>
      </c>
      <c r="Z364" s="385">
        <f t="shared" si="150"/>
        <v>3.8363542023859796</v>
      </c>
      <c r="AA364" s="386">
        <f t="shared" si="151"/>
        <v>3.9313301151231674</v>
      </c>
      <c r="AB364" s="197">
        <f t="shared" si="152"/>
        <v>43450</v>
      </c>
      <c r="AC364" s="427">
        <f t="shared" si="153"/>
        <v>2.4158722355019584E-2</v>
      </c>
      <c r="AD364" s="169">
        <f>(INDEX(Models!$BJ364:$BT364,,AH364)*(1-AF364)+INDEX(Models!$BJ364:$BT364,,AH364+1)*AF364-ERP_i)*AE364*Ramure*Pc/MaxiM</f>
        <v>2.4396839023752538E-4</v>
      </c>
      <c r="AE364" s="305">
        <f t="shared" si="154"/>
        <v>0.7</v>
      </c>
      <c r="AF364" s="177">
        <f t="shared" si="155"/>
        <v>0.49999146813618744</v>
      </c>
      <c r="AG364" s="921">
        <f t="shared" si="156"/>
        <v>-2</v>
      </c>
      <c r="AH364" s="176">
        <f t="shared" si="157"/>
        <v>4</v>
      </c>
      <c r="AI364" s="225">
        <f t="shared" si="158"/>
        <v>-1.5000085318638126</v>
      </c>
      <c r="AJ364" s="265" t="b">
        <f t="shared" si="159"/>
        <v>0</v>
      </c>
      <c r="AK364" s="265" t="b">
        <f t="shared" si="160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62"/>
        <v>43451</v>
      </c>
      <c r="B365" s="620">
        <v>20.666</v>
      </c>
      <c r="C365" s="390"/>
      <c r="D365" s="393">
        <f t="shared" si="138"/>
        <v>20.760364615322398</v>
      </c>
      <c r="E365" s="385">
        <f t="shared" si="164"/>
        <v>21.276565959465614</v>
      </c>
      <c r="F365" s="385">
        <f t="shared" si="163"/>
        <v>21.280225439535702</v>
      </c>
      <c r="G365" s="110">
        <f t="shared" si="165"/>
        <v>0.79230956892088811</v>
      </c>
      <c r="I365" s="380">
        <f t="shared" si="139"/>
        <v>21.280225439535702</v>
      </c>
      <c r="J365" s="85">
        <v>2018</v>
      </c>
      <c r="K365" s="197">
        <f t="shared" si="140"/>
        <v>43451</v>
      </c>
      <c r="L365" s="438">
        <f t="shared" si="141"/>
        <v>4.5454218685905268E-3</v>
      </c>
      <c r="M365" s="970"/>
      <c r="N365" s="970"/>
      <c r="O365" s="324">
        <f t="shared" si="142"/>
        <v>2.4261497138525059E-2</v>
      </c>
      <c r="P365" s="169">
        <f>(INDEX(Models!$BJ365:$BT365,,T365)*(1-R365)+INDEX(Models!$BJ365:$BT365,,T365+1)*R365-ERP_i)*Q365*Ramure*Pc/MaxiM</f>
        <v>2.4448500563678191E-4</v>
      </c>
      <c r="Q365" s="305">
        <f t="shared" si="143"/>
        <v>0.7</v>
      </c>
      <c r="R365" s="177">
        <f t="shared" si="144"/>
        <v>0.5</v>
      </c>
      <c r="S365" s="921">
        <f t="shared" si="161"/>
        <v>-2</v>
      </c>
      <c r="T365" s="176">
        <f t="shared" si="145"/>
        <v>4</v>
      </c>
      <c r="U365" s="251">
        <f t="shared" si="146"/>
        <v>-1.5</v>
      </c>
      <c r="V365" s="383">
        <f t="shared" si="147"/>
        <v>26.081347341660511</v>
      </c>
      <c r="W365" s="58"/>
      <c r="X365" s="157">
        <f t="shared" si="148"/>
        <v>43451</v>
      </c>
      <c r="Y365" s="385">
        <f t="shared" si="149"/>
        <v>20.666</v>
      </c>
      <c r="Z365" s="385">
        <f t="shared" si="150"/>
        <v>20.760364615322398</v>
      </c>
      <c r="AA365" s="386">
        <f t="shared" si="151"/>
        <v>21.276565959465614</v>
      </c>
      <c r="AB365" s="197">
        <f t="shared" si="152"/>
        <v>43451</v>
      </c>
      <c r="AC365" s="427">
        <f t="shared" si="153"/>
        <v>2.4261497138525059E-2</v>
      </c>
      <c r="AD365" s="169">
        <f>(INDEX(Models!$BJ365:$BT365,,AH365)*(1-AF365)+INDEX(Models!$BJ365:$BT365,,AH365+1)*AF365-ERP_i)*AE365*Ramure*Pc/MaxiM</f>
        <v>2.4448500563678191E-4</v>
      </c>
      <c r="AE365" s="305">
        <f t="shared" si="154"/>
        <v>0.7</v>
      </c>
      <c r="AF365" s="177">
        <f t="shared" si="155"/>
        <v>0.5</v>
      </c>
      <c r="AG365" s="921">
        <f t="shared" si="156"/>
        <v>-2</v>
      </c>
      <c r="AH365" s="176">
        <f t="shared" si="157"/>
        <v>4</v>
      </c>
      <c r="AI365" s="225">
        <f t="shared" si="158"/>
        <v>-1.5</v>
      </c>
      <c r="AJ365" s="265" t="b">
        <f t="shared" si="159"/>
        <v>0</v>
      </c>
      <c r="AK365" s="265" t="b">
        <f t="shared" si="160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62"/>
        <v>43452</v>
      </c>
      <c r="B366" s="620">
        <v>13.035</v>
      </c>
      <c r="C366" s="390"/>
      <c r="D366" s="393">
        <f t="shared" si="138"/>
        <v>13.094806927982185</v>
      </c>
      <c r="E366" s="385">
        <f t="shared" si="164"/>
        <v>13.42182138018847</v>
      </c>
      <c r="F366" s="385">
        <f t="shared" si="163"/>
        <v>13.422757303719896</v>
      </c>
      <c r="G366" s="110">
        <f t="shared" si="165"/>
        <v>0.49929607612481391</v>
      </c>
      <c r="I366" s="380">
        <f t="shared" si="139"/>
        <v>13.422757303719896</v>
      </c>
      <c r="J366" s="85">
        <v>2018</v>
      </c>
      <c r="K366" s="197">
        <f t="shared" si="140"/>
        <v>43452</v>
      </c>
      <c r="L366" s="438">
        <f t="shared" si="141"/>
        <v>4.5672248786184921E-3</v>
      </c>
      <c r="M366" s="970"/>
      <c r="N366" s="970"/>
      <c r="O366" s="324">
        <f t="shared" si="142"/>
        <v>2.4364387138170469E-2</v>
      </c>
      <c r="P366" s="169">
        <f>(INDEX(Models!$BJ366:$BT366,,T366)*(1-R366)+INDEX(Models!$BJ366:$BT366,,T366+1)*R366-ERP_i)*Q366*Ramure*Pc/MaxiM</f>
        <v>2.4479775576589263E-4</v>
      </c>
      <c r="Q366" s="305">
        <f t="shared" si="143"/>
        <v>0.7</v>
      </c>
      <c r="R366" s="177">
        <f t="shared" si="144"/>
        <v>0.50000818861966922</v>
      </c>
      <c r="S366" s="921">
        <f t="shared" si="161"/>
        <v>-2</v>
      </c>
      <c r="T366" s="176">
        <f t="shared" si="145"/>
        <v>4</v>
      </c>
      <c r="U366" s="251">
        <f t="shared" si="146"/>
        <v>-1.4999918113803308</v>
      </c>
      <c r="V366" s="383">
        <f t="shared" si="147"/>
        <v>26.102183477582692</v>
      </c>
      <c r="W366" s="58"/>
      <c r="X366" s="157">
        <f t="shared" si="148"/>
        <v>43452</v>
      </c>
      <c r="Y366" s="385">
        <f t="shared" si="149"/>
        <v>13.035</v>
      </c>
      <c r="Z366" s="385">
        <f t="shared" si="150"/>
        <v>13.094806927982185</v>
      </c>
      <c r="AA366" s="386">
        <f t="shared" si="151"/>
        <v>13.42182138018847</v>
      </c>
      <c r="AB366" s="197">
        <f t="shared" si="152"/>
        <v>43452</v>
      </c>
      <c r="AC366" s="427">
        <f t="shared" si="153"/>
        <v>2.4364387138170469E-2</v>
      </c>
      <c r="AD366" s="169">
        <f>(INDEX(Models!$BJ366:$BT366,,AH366)*(1-AF366)+INDEX(Models!$BJ366:$BT366,,AH366+1)*AF366-ERP_i)*AE366*Ramure*Pc/MaxiM</f>
        <v>2.4479775576589263E-4</v>
      </c>
      <c r="AE366" s="305">
        <f t="shared" si="154"/>
        <v>0.7</v>
      </c>
      <c r="AF366" s="177">
        <f t="shared" si="155"/>
        <v>0.50000818861966922</v>
      </c>
      <c r="AG366" s="921">
        <f t="shared" si="156"/>
        <v>-2</v>
      </c>
      <c r="AH366" s="176">
        <f t="shared" si="157"/>
        <v>4</v>
      </c>
      <c r="AI366" s="225">
        <f t="shared" si="158"/>
        <v>-1.4999918113803308</v>
      </c>
      <c r="AJ366" s="265" t="b">
        <f t="shared" si="159"/>
        <v>0</v>
      </c>
      <c r="AK366" s="265" t="b">
        <f t="shared" si="160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62"/>
        <v>43453</v>
      </c>
      <c r="B367" s="620">
        <v>24.201000000000001</v>
      </c>
      <c r="C367" s="390"/>
      <c r="D367" s="393">
        <f t="shared" si="138"/>
        <v>24.312571055005847</v>
      </c>
      <c r="E367" s="385">
        <f t="shared" si="164"/>
        <v>24.922355811463859</v>
      </c>
      <c r="F367" s="385">
        <f t="shared" si="163"/>
        <v>24.927812947970743</v>
      </c>
      <c r="G367" s="110">
        <f t="shared" si="165"/>
        <v>0.92595808360636356</v>
      </c>
      <c r="I367" s="380">
        <f t="shared" si="139"/>
        <v>24.927812947970743</v>
      </c>
      <c r="J367" s="85">
        <v>2018</v>
      </c>
      <c r="K367" s="197">
        <f t="shared" si="140"/>
        <v>43453</v>
      </c>
      <c r="L367" s="438">
        <f t="shared" si="141"/>
        <v>4.5890274111044516E-3</v>
      </c>
      <c r="M367" s="970"/>
      <c r="N367" s="970"/>
      <c r="O367" s="324">
        <f t="shared" si="142"/>
        <v>2.4467380253736782E-2</v>
      </c>
      <c r="P367" s="169">
        <f>(INDEX(Models!$BJ367:$BT367,,T367)*(1-R367)+INDEX(Models!$BJ367:$BT367,,T367+1)*R367-ERP_i)*Q367*Ramure*Pc/MaxiM</f>
        <v>2.448030332029162E-4</v>
      </c>
      <c r="Q367" s="305">
        <f t="shared" si="143"/>
        <v>0.7</v>
      </c>
      <c r="R367" s="177">
        <f t="shared" si="144"/>
        <v>0.50001604779363529</v>
      </c>
      <c r="S367" s="921">
        <f t="shared" si="161"/>
        <v>-2</v>
      </c>
      <c r="T367" s="176">
        <f t="shared" si="145"/>
        <v>4</v>
      </c>
      <c r="U367" s="251">
        <f t="shared" si="146"/>
        <v>-1.4999839522063647</v>
      </c>
      <c r="V367" s="383">
        <f t="shared" si="147"/>
        <v>26.135495588247519</v>
      </c>
      <c r="W367" s="58"/>
      <c r="X367" s="157">
        <f t="shared" si="148"/>
        <v>43453</v>
      </c>
      <c r="Y367" s="385">
        <f t="shared" si="149"/>
        <v>24.201000000000001</v>
      </c>
      <c r="Z367" s="385">
        <f t="shared" si="150"/>
        <v>24.312571055005847</v>
      </c>
      <c r="AA367" s="386">
        <f t="shared" si="151"/>
        <v>24.922355811463859</v>
      </c>
      <c r="AB367" s="197">
        <f t="shared" si="152"/>
        <v>43453</v>
      </c>
      <c r="AC367" s="427">
        <f t="shared" si="153"/>
        <v>2.4467380253736782E-2</v>
      </c>
      <c r="AD367" s="169">
        <f>(INDEX(Models!$BJ367:$BT367,,AH367)*(1-AF367)+INDEX(Models!$BJ367:$BT367,,AH367+1)*AF367-ERP_i)*AE367*Ramure*Pc/MaxiM</f>
        <v>2.448030332029162E-4</v>
      </c>
      <c r="AE367" s="305">
        <f t="shared" si="154"/>
        <v>0.7</v>
      </c>
      <c r="AF367" s="177">
        <f t="shared" si="155"/>
        <v>0.50001604779363529</v>
      </c>
      <c r="AG367" s="921">
        <f t="shared" si="156"/>
        <v>-2</v>
      </c>
      <c r="AH367" s="176">
        <f t="shared" si="157"/>
        <v>4</v>
      </c>
      <c r="AI367" s="225">
        <f t="shared" si="158"/>
        <v>-1.4999839522063647</v>
      </c>
      <c r="AJ367" s="265" t="b">
        <f t="shared" si="159"/>
        <v>0</v>
      </c>
      <c r="AK367" s="265" t="b">
        <f t="shared" si="160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62"/>
        <v>43454</v>
      </c>
      <c r="B368" s="620">
        <v>15.422000000000001</v>
      </c>
      <c r="C368" s="390"/>
      <c r="D368" s="393">
        <f t="shared" si="138"/>
        <v>15.493437598610219</v>
      </c>
      <c r="E368" s="385">
        <f t="shared" si="164"/>
        <v>15.883707671236541</v>
      </c>
      <c r="F368" s="385">
        <f t="shared" si="163"/>
        <v>15.88531155636926</v>
      </c>
      <c r="G368" s="110">
        <f t="shared" si="165"/>
        <v>0.58897357269998341</v>
      </c>
      <c r="I368" s="380">
        <f t="shared" si="139"/>
        <v>15.88531155636926</v>
      </c>
      <c r="J368" s="85">
        <v>2018</v>
      </c>
      <c r="K368" s="197">
        <f t="shared" si="140"/>
        <v>43454</v>
      </c>
      <c r="L368" s="438">
        <f t="shared" si="141"/>
        <v>4.6108294660590632E-3</v>
      </c>
      <c r="M368" s="970"/>
      <c r="N368" s="970"/>
      <c r="O368" s="324">
        <f t="shared" si="142"/>
        <v>2.4570464321315481E-2</v>
      </c>
      <c r="P368" s="169">
        <f>(INDEX(Models!$BJ368:$BT368,,T368)*(1-R368)+INDEX(Models!$BJ368:$BT368,,T368+1)*R368-ERP_i)*Q368*Ramure*Pc/MaxiM</f>
        <v>2.4450647751073101E-4</v>
      </c>
      <c r="Q368" s="305">
        <f t="shared" si="143"/>
        <v>0.7</v>
      </c>
      <c r="R368" s="177">
        <f t="shared" si="144"/>
        <v>0.50002359076647362</v>
      </c>
      <c r="S368" s="921">
        <f t="shared" si="161"/>
        <v>-2</v>
      </c>
      <c r="T368" s="176">
        <f t="shared" si="145"/>
        <v>4</v>
      </c>
      <c r="U368" s="251">
        <f t="shared" si="146"/>
        <v>-1.4999764092335264</v>
      </c>
      <c r="V368" s="383">
        <f t="shared" si="147"/>
        <v>26.180777573854691</v>
      </c>
      <c r="W368" s="58"/>
      <c r="X368" s="157">
        <f t="shared" si="148"/>
        <v>43454</v>
      </c>
      <c r="Y368" s="385">
        <f t="shared" si="149"/>
        <v>15.422000000000001</v>
      </c>
      <c r="Z368" s="385">
        <f t="shared" si="150"/>
        <v>15.493437598610219</v>
      </c>
      <c r="AA368" s="386">
        <f t="shared" si="151"/>
        <v>15.883707671236541</v>
      </c>
      <c r="AB368" s="197">
        <f t="shared" si="152"/>
        <v>43454</v>
      </c>
      <c r="AC368" s="427">
        <f t="shared" si="153"/>
        <v>2.4570464321315481E-2</v>
      </c>
      <c r="AD368" s="169">
        <f>(INDEX(Models!$BJ368:$BT368,,AH368)*(1-AF368)+INDEX(Models!$BJ368:$BT368,,AH368+1)*AF368-ERP_i)*AE368*Ramure*Pc/MaxiM</f>
        <v>2.4450647751073101E-4</v>
      </c>
      <c r="AE368" s="305">
        <f t="shared" si="154"/>
        <v>0.7</v>
      </c>
      <c r="AF368" s="177">
        <f t="shared" si="155"/>
        <v>0.50002359076647362</v>
      </c>
      <c r="AG368" s="921">
        <f t="shared" si="156"/>
        <v>-2</v>
      </c>
      <c r="AH368" s="176">
        <f t="shared" si="157"/>
        <v>4</v>
      </c>
      <c r="AI368" s="225">
        <f t="shared" si="158"/>
        <v>-1.4999764092335264</v>
      </c>
      <c r="AJ368" s="265" t="b">
        <f t="shared" si="159"/>
        <v>0</v>
      </c>
      <c r="AK368" s="265" t="b">
        <f t="shared" si="160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62"/>
        <v>43455</v>
      </c>
      <c r="B369" s="620">
        <v>8.6959999999999997</v>
      </c>
      <c r="C369" s="390"/>
      <c r="D369" s="393">
        <f t="shared" si="138"/>
        <v>8.7364728553603737</v>
      </c>
      <c r="E369" s="385">
        <f t="shared" si="164"/>
        <v>8.9574865388821756</v>
      </c>
      <c r="F369" s="385">
        <f t="shared" si="163"/>
        <v>8.9575846517536011</v>
      </c>
      <c r="G369" s="110">
        <f t="shared" si="165"/>
        <v>0.3313565060402861</v>
      </c>
      <c r="I369" s="380">
        <f t="shared" si="139"/>
        <v>8.9575846517536011</v>
      </c>
      <c r="J369" s="85">
        <v>2018</v>
      </c>
      <c r="K369" s="197">
        <f t="shared" si="140"/>
        <v>43455</v>
      </c>
      <c r="L369" s="438">
        <f t="shared" si="141"/>
        <v>4.6326310434927631E-3</v>
      </c>
      <c r="M369" s="970"/>
      <c r="N369" s="970"/>
      <c r="O369" s="324">
        <f t="shared" si="142"/>
        <v>2.4673627201384881E-2</v>
      </c>
      <c r="P369" s="169">
        <f>(INDEX(Models!$BJ369:$BT369,,T369)*(1-R369)+INDEX(Models!$BJ369:$BT369,,T369+1)*R369-ERP_i)*Q369*Ramure*Pc/MaxiM</f>
        <v>2.4391434962770981E-4</v>
      </c>
      <c r="Q369" s="305">
        <f t="shared" si="143"/>
        <v>0.7</v>
      </c>
      <c r="R369" s="177">
        <f t="shared" si="144"/>
        <v>0.50003083025106054</v>
      </c>
      <c r="S369" s="921">
        <f t="shared" si="161"/>
        <v>-2</v>
      </c>
      <c r="T369" s="176">
        <f t="shared" si="145"/>
        <v>4</v>
      </c>
      <c r="U369" s="251">
        <f t="shared" si="146"/>
        <v>-1.4999691697489395</v>
      </c>
      <c r="V369" s="383">
        <f t="shared" si="147"/>
        <v>26.237523597291439</v>
      </c>
      <c r="W369" s="58"/>
      <c r="X369" s="157">
        <f t="shared" si="148"/>
        <v>43455</v>
      </c>
      <c r="Y369" s="385">
        <f t="shared" si="149"/>
        <v>8.6959999999999997</v>
      </c>
      <c r="Z369" s="385">
        <f t="shared" si="150"/>
        <v>8.7364728553603737</v>
      </c>
      <c r="AA369" s="386">
        <f t="shared" si="151"/>
        <v>8.9574865388821756</v>
      </c>
      <c r="AB369" s="197">
        <f t="shared" si="152"/>
        <v>43455</v>
      </c>
      <c r="AC369" s="427">
        <f t="shared" si="153"/>
        <v>2.4673627201384881E-2</v>
      </c>
      <c r="AD369" s="169">
        <f>(INDEX(Models!$BJ369:$BT369,,AH369)*(1-AF369)+INDEX(Models!$BJ369:$BT369,,AH369+1)*AF369-ERP_i)*AE369*Ramure*Pc/MaxiM</f>
        <v>2.4391434962770981E-4</v>
      </c>
      <c r="AE369" s="305">
        <f t="shared" si="154"/>
        <v>0.7</v>
      </c>
      <c r="AF369" s="177">
        <f t="shared" si="155"/>
        <v>0.50003083025106054</v>
      </c>
      <c r="AG369" s="921">
        <f t="shared" si="156"/>
        <v>-2</v>
      </c>
      <c r="AH369" s="176">
        <f t="shared" si="157"/>
        <v>4</v>
      </c>
      <c r="AI369" s="225">
        <f t="shared" si="158"/>
        <v>-1.4999691697489395</v>
      </c>
      <c r="AJ369" s="265" t="b">
        <f t="shared" si="159"/>
        <v>0</v>
      </c>
      <c r="AK369" s="265" t="b">
        <f t="shared" si="160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62"/>
        <v>43456</v>
      </c>
      <c r="B370" s="620">
        <v>6.9550000000000001</v>
      </c>
      <c r="C370" s="390"/>
      <c r="D370" s="393">
        <f t="shared" si="138"/>
        <v>6.9875229514279829</v>
      </c>
      <c r="E370" s="385">
        <f t="shared" si="164"/>
        <v>7.1650503790916655</v>
      </c>
      <c r="F370" s="385">
        <f>Wh_sa/(1-Pvg*MEDIAN((-Sdif+Wh/Env_an)/Csdif,0,1))</f>
        <v>7.1650503790916655</v>
      </c>
      <c r="G370" s="110">
        <f t="shared" si="165"/>
        <v>0.26433185381980795</v>
      </c>
      <c r="I370" s="380">
        <f t="shared" si="139"/>
        <v>7.1650503790916655</v>
      </c>
      <c r="J370" s="85">
        <v>2018</v>
      </c>
      <c r="K370" s="197">
        <f t="shared" si="140"/>
        <v>43456</v>
      </c>
      <c r="L370" s="438">
        <f t="shared" si="141"/>
        <v>4.6544321434158764E-3</v>
      </c>
      <c r="M370" s="970"/>
      <c r="N370" s="970"/>
      <c r="O370" s="324">
        <f t="shared" si="142"/>
        <v>2.4776856863662163E-2</v>
      </c>
      <c r="P370" s="169">
        <f>(INDEX(Models!$BJ370:$BT370,,T370)*(1-R370)+INDEX(Models!$BJ370:$BT370,,T370+1)*R370-ERP_i)*Q370*Ramure*Pc/MaxiM</f>
        <v>2.4303346492807312E-4</v>
      </c>
      <c r="Q370" s="305">
        <f t="shared" si="143"/>
        <v>0.7</v>
      </c>
      <c r="R370" s="177">
        <f t="shared" si="144"/>
        <v>0.50003777844985797</v>
      </c>
      <c r="S370" s="921">
        <f t="shared" si="161"/>
        <v>-2</v>
      </c>
      <c r="T370" s="176">
        <f t="shared" si="145"/>
        <v>4</v>
      </c>
      <c r="U370" s="251">
        <f t="shared" si="146"/>
        <v>-1.499962221550142</v>
      </c>
      <c r="V370" s="383">
        <f t="shared" si="147"/>
        <v>26.305228075127932</v>
      </c>
      <c r="W370" s="58"/>
      <c r="X370" s="157">
        <f t="shared" si="148"/>
        <v>43456</v>
      </c>
      <c r="Y370" s="385">
        <f t="shared" si="149"/>
        <v>6.9550000000000001</v>
      </c>
      <c r="Z370" s="385">
        <f t="shared" si="150"/>
        <v>6.9875229514279829</v>
      </c>
      <c r="AA370" s="386">
        <f t="shared" si="151"/>
        <v>7.1650503790916655</v>
      </c>
      <c r="AB370" s="197">
        <f t="shared" si="152"/>
        <v>43456</v>
      </c>
      <c r="AC370" s="427">
        <f t="shared" si="153"/>
        <v>2.4776856863662163E-2</v>
      </c>
      <c r="AD370" s="169">
        <f>(INDEX(Models!$BJ370:$BT370,,AH370)*(1-AF370)+INDEX(Models!$BJ370:$BT370,,AH370+1)*AF370-ERP_i)*AE370*Ramure*Pc/MaxiM</f>
        <v>2.4303346492807312E-4</v>
      </c>
      <c r="AE370" s="305">
        <f t="shared" si="154"/>
        <v>0.7</v>
      </c>
      <c r="AF370" s="177">
        <f t="shared" si="155"/>
        <v>0.50003777844985797</v>
      </c>
      <c r="AG370" s="921">
        <f t="shared" si="156"/>
        <v>-2</v>
      </c>
      <c r="AH370" s="176">
        <f t="shared" si="157"/>
        <v>4</v>
      </c>
      <c r="AI370" s="225">
        <f t="shared" si="158"/>
        <v>-1.499962221550142</v>
      </c>
      <c r="AJ370" s="265" t="b">
        <f t="shared" si="159"/>
        <v>0</v>
      </c>
      <c r="AK370" s="265" t="b">
        <f t="shared" si="160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62"/>
        <v>43457</v>
      </c>
      <c r="B371" s="620">
        <v>4.7510000000000003</v>
      </c>
      <c r="C371" s="390"/>
      <c r="D371" s="393">
        <f t="shared" si="138"/>
        <v>4.7733211608140724</v>
      </c>
      <c r="E371" s="385">
        <f t="shared" si="164"/>
        <v>4.8951122459966037</v>
      </c>
      <c r="F371" s="385">
        <f t="shared" si="163"/>
        <v>4.8951122459966037</v>
      </c>
      <c r="G371" s="110">
        <f t="shared" si="165"/>
        <v>0.18003189315263116</v>
      </c>
      <c r="I371" s="380">
        <f t="shared" si="139"/>
        <v>4.8951122459966037</v>
      </c>
      <c r="J371" s="85">
        <v>2018</v>
      </c>
      <c r="K371" s="197">
        <f t="shared" si="140"/>
        <v>43457</v>
      </c>
      <c r="L371" s="438">
        <f t="shared" si="141"/>
        <v>4.6762327658390612E-3</v>
      </c>
      <c r="M371" s="970"/>
      <c r="N371" s="970"/>
      <c r="O371" s="324">
        <f t="shared" si="142"/>
        <v>2.4880141468080926E-2</v>
      </c>
      <c r="P371" s="169">
        <f>(INDEX(Models!$BJ371:$BT371,,T371)*(1-R371)+INDEX(Models!$BJ371:$BT371,,T371+1)*R371-ERP_i)*Q371*Ramure*Pc/MaxiM</f>
        <v>2.4186806588805097E-4</v>
      </c>
      <c r="Q371" s="305">
        <f t="shared" si="143"/>
        <v>0.7</v>
      </c>
      <c r="R371" s="177">
        <f t="shared" si="144"/>
        <v>0.50003777844985797</v>
      </c>
      <c r="S371" s="921">
        <f t="shared" si="161"/>
        <v>-2</v>
      </c>
      <c r="T371" s="176">
        <f t="shared" si="145"/>
        <v>4</v>
      </c>
      <c r="U371" s="251">
        <f t="shared" si="146"/>
        <v>-1.499962221550142</v>
      </c>
      <c r="V371" s="383">
        <f t="shared" si="147"/>
        <v>26.383385752612401</v>
      </c>
      <c r="W371" s="58"/>
      <c r="X371" s="157">
        <f t="shared" si="148"/>
        <v>43457</v>
      </c>
      <c r="Y371" s="385">
        <f t="shared" si="149"/>
        <v>4.7510000000000003</v>
      </c>
      <c r="Z371" s="385">
        <f t="shared" si="150"/>
        <v>4.7733211608140724</v>
      </c>
      <c r="AA371" s="386">
        <f t="shared" si="151"/>
        <v>4.8951122459966037</v>
      </c>
      <c r="AB371" s="197">
        <f t="shared" si="152"/>
        <v>43457</v>
      </c>
      <c r="AC371" s="427">
        <f t="shared" si="153"/>
        <v>2.4880141468080926E-2</v>
      </c>
      <c r="AD371" s="169">
        <f>(INDEX(Models!$BJ371:$BT371,,AH371)*(1-AF371)+INDEX(Models!$BJ371:$BT371,,AH371+1)*AF371-ERP_i)*AE371*Ramure*Pc/MaxiM</f>
        <v>2.4186806588805097E-4</v>
      </c>
      <c r="AE371" s="305">
        <f t="shared" si="154"/>
        <v>0.7</v>
      </c>
      <c r="AF371" s="177">
        <f t="shared" si="155"/>
        <v>0.50003777844985797</v>
      </c>
      <c r="AG371" s="921">
        <f t="shared" si="156"/>
        <v>-2</v>
      </c>
      <c r="AH371" s="176">
        <f t="shared" si="157"/>
        <v>4</v>
      </c>
      <c r="AI371" s="225">
        <f t="shared" si="158"/>
        <v>-1.499962221550142</v>
      </c>
      <c r="AJ371" s="265" t="b">
        <f t="shared" si="159"/>
        <v>0</v>
      </c>
      <c r="AK371" s="265" t="b">
        <f t="shared" si="160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62"/>
        <v>43458</v>
      </c>
      <c r="B372" s="620">
        <v>4.4889999999999999</v>
      </c>
      <c r="C372" s="390"/>
      <c r="D372" s="393">
        <f t="shared" si="138"/>
        <v>4.5101890164330065</v>
      </c>
      <c r="E372" s="385">
        <f t="shared" si="164"/>
        <v>4.625756461635107</v>
      </c>
      <c r="F372" s="385">
        <f t="shared" si="163"/>
        <v>4.625756461635107</v>
      </c>
      <c r="G372" s="110">
        <f t="shared" si="165"/>
        <v>0.16953788640639622</v>
      </c>
      <c r="I372" s="380">
        <f t="shared" si="139"/>
        <v>4.625756461635107</v>
      </c>
      <c r="J372" s="85">
        <v>2018</v>
      </c>
      <c r="K372" s="197">
        <f t="shared" si="140"/>
        <v>43458</v>
      </c>
      <c r="L372" s="438">
        <f t="shared" si="141"/>
        <v>4.6980329107725316E-3</v>
      </c>
      <c r="M372" s="970"/>
      <c r="N372" s="970"/>
      <c r="O372" s="324">
        <f t="shared" si="142"/>
        <v>2.4983469441287782E-2</v>
      </c>
      <c r="P372" s="169">
        <f>(INDEX(Models!$BJ372:$BT372,,T372)*(1-R372)+INDEX(Models!$BJ372:$BT372,,T372+1)*R372-ERP_i)*Q372*Ramure*Pc/MaxiM</f>
        <v>2.4042872432671953E-4</v>
      </c>
      <c r="Q372" s="305">
        <f t="shared" si="143"/>
        <v>0.7</v>
      </c>
      <c r="R372" s="177">
        <f t="shared" si="144"/>
        <v>0.50003777844985797</v>
      </c>
      <c r="S372" s="921">
        <f t="shared" si="161"/>
        <v>-2</v>
      </c>
      <c r="T372" s="176">
        <f t="shared" si="145"/>
        <v>4</v>
      </c>
      <c r="U372" s="251">
        <f t="shared" si="146"/>
        <v>-1.499962221550142</v>
      </c>
      <c r="V372" s="383">
        <f t="shared" si="147"/>
        <v>26.471491479483131</v>
      </c>
      <c r="W372" s="58"/>
      <c r="X372" s="157">
        <f t="shared" si="148"/>
        <v>43458</v>
      </c>
      <c r="Y372" s="385">
        <f t="shared" si="149"/>
        <v>4.4889999999999999</v>
      </c>
      <c r="Z372" s="385">
        <f t="shared" si="150"/>
        <v>4.5101890164330065</v>
      </c>
      <c r="AA372" s="386">
        <f t="shared" si="151"/>
        <v>4.625756461635107</v>
      </c>
      <c r="AB372" s="197">
        <f t="shared" si="152"/>
        <v>43458</v>
      </c>
      <c r="AC372" s="427">
        <f t="shared" si="153"/>
        <v>2.4983469441287782E-2</v>
      </c>
      <c r="AD372" s="169">
        <f>(INDEX(Models!$BJ372:$BT372,,AH372)*(1-AF372)+INDEX(Models!$BJ372:$BT372,,AH372+1)*AF372-ERP_i)*AE372*Ramure*Pc/MaxiM</f>
        <v>2.4042872432671953E-4</v>
      </c>
      <c r="AE372" s="305">
        <f t="shared" si="154"/>
        <v>0.7</v>
      </c>
      <c r="AF372" s="177">
        <f t="shared" si="155"/>
        <v>0.50003777844985797</v>
      </c>
      <c r="AG372" s="921">
        <f t="shared" si="156"/>
        <v>-2</v>
      </c>
      <c r="AH372" s="176">
        <f t="shared" si="157"/>
        <v>4</v>
      </c>
      <c r="AI372" s="225">
        <f t="shared" si="158"/>
        <v>-1.499962221550142</v>
      </c>
      <c r="AJ372" s="265" t="b">
        <f t="shared" si="159"/>
        <v>0</v>
      </c>
      <c r="AK372" s="265" t="b">
        <f t="shared" si="160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62"/>
        <v>43459</v>
      </c>
      <c r="B373" s="620">
        <v>13.209</v>
      </c>
      <c r="C373" s="390"/>
      <c r="D373" s="393">
        <f t="shared" si="138"/>
        <v>13.271639918453614</v>
      </c>
      <c r="E373" s="385">
        <f t="shared" si="164"/>
        <v>13.613150709926137</v>
      </c>
      <c r="F373" s="385">
        <f t="shared" si="163"/>
        <v>13.614065497581036</v>
      </c>
      <c r="G373" s="110">
        <f t="shared" si="165"/>
        <v>0.49698257594667156</v>
      </c>
      <c r="I373" s="380">
        <f t="shared" si="139"/>
        <v>13.614065497581036</v>
      </c>
      <c r="J373" s="85">
        <v>2018</v>
      </c>
      <c r="K373" s="197">
        <f t="shared" si="140"/>
        <v>43459</v>
      </c>
      <c r="L373" s="438">
        <f t="shared" si="141"/>
        <v>4.7198325782269457E-3</v>
      </c>
      <c r="M373" s="970"/>
      <c r="N373" s="970"/>
      <c r="O373" s="324">
        <f t="shared" si="142"/>
        <v>2.508682954810074E-2</v>
      </c>
      <c r="P373" s="169">
        <f>(INDEX(Models!$BJ373:$BT373,,T373)*(1-R373)+INDEX(Models!$BJ373:$BT373,,T373+1)*R373-ERP_i)*Q373*Ramure*Pc/MaxiM</f>
        <v>2.3867931575078947E-4</v>
      </c>
      <c r="Q373" s="305">
        <f t="shared" si="143"/>
        <v>0.7</v>
      </c>
      <c r="R373" s="177">
        <f t="shared" si="144"/>
        <v>0.50003777844985797</v>
      </c>
      <c r="S373" s="921">
        <f t="shared" si="161"/>
        <v>-2</v>
      </c>
      <c r="T373" s="176">
        <f t="shared" si="145"/>
        <v>4</v>
      </c>
      <c r="U373" s="251">
        <f t="shared" si="146"/>
        <v>-1.499962221550142</v>
      </c>
      <c r="V373" s="383">
        <f t="shared" si="147"/>
        <v>26.573838483385828</v>
      </c>
      <c r="W373" s="58"/>
      <c r="X373" s="157">
        <f t="shared" si="148"/>
        <v>43459</v>
      </c>
      <c r="Y373" s="385">
        <f t="shared" si="149"/>
        <v>13.209</v>
      </c>
      <c r="Z373" s="385">
        <f t="shared" si="150"/>
        <v>13.271639918453614</v>
      </c>
      <c r="AA373" s="386">
        <f t="shared" si="151"/>
        <v>13.613150709926137</v>
      </c>
      <c r="AB373" s="197">
        <f t="shared" si="152"/>
        <v>43459</v>
      </c>
      <c r="AC373" s="427">
        <f t="shared" si="153"/>
        <v>2.508682954810074E-2</v>
      </c>
      <c r="AD373" s="169">
        <f>(INDEX(Models!$BJ373:$BT373,,AH373)*(1-AF373)+INDEX(Models!$BJ373:$BT373,,AH373+1)*AF373-ERP_i)*AE373*Ramure*Pc/MaxiM</f>
        <v>2.3867931575078947E-4</v>
      </c>
      <c r="AE373" s="305">
        <f t="shared" si="154"/>
        <v>0.7</v>
      </c>
      <c r="AF373" s="177">
        <f t="shared" si="155"/>
        <v>0.50003777844985797</v>
      </c>
      <c r="AG373" s="921">
        <f t="shared" si="156"/>
        <v>-2</v>
      </c>
      <c r="AH373" s="176">
        <f t="shared" si="157"/>
        <v>4</v>
      </c>
      <c r="AI373" s="225">
        <f t="shared" si="158"/>
        <v>-1.499962221550142</v>
      </c>
      <c r="AJ373" s="265" t="b">
        <f t="shared" si="159"/>
        <v>0</v>
      </c>
      <c r="AK373" s="265" t="b">
        <f t="shared" si="160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62"/>
        <v>43460</v>
      </c>
      <c r="B374" s="620">
        <v>25.539000000000001</v>
      </c>
      <c r="C374" s="390"/>
      <c r="D374" s="393">
        <f t="shared" si="138"/>
        <v>25.660673464492977</v>
      </c>
      <c r="E374" s="385">
        <f t="shared" si="164"/>
        <v>26.323774907611497</v>
      </c>
      <c r="F374" s="385">
        <f t="shared" si="163"/>
        <v>26.329619230701343</v>
      </c>
      <c r="G374" s="110">
        <f t="shared" si="165"/>
        <v>0.95671644578654846</v>
      </c>
      <c r="I374" s="380">
        <f t="shared" si="139"/>
        <v>26.329619230701343</v>
      </c>
      <c r="J374" s="85">
        <v>2018</v>
      </c>
      <c r="K374" s="197">
        <f t="shared" si="140"/>
        <v>43460</v>
      </c>
      <c r="L374" s="438">
        <f t="shared" si="141"/>
        <v>4.7416317682127396E-3</v>
      </c>
      <c r="M374" s="970"/>
      <c r="N374" s="970"/>
      <c r="O374" s="324">
        <f t="shared" si="142"/>
        <v>2.5190210957425706E-2</v>
      </c>
      <c r="P374" s="169">
        <f>(INDEX(Models!$BJ374:$BT374,,T374)*(1-R374)+INDEX(Models!$BJ374:$BT374,,T374+1)*R374-ERP_i)*Q374*Ramure*Pc/MaxiM</f>
        <v>2.3659225914167875E-4</v>
      </c>
      <c r="Q374" s="305">
        <f t="shared" si="143"/>
        <v>0.7</v>
      </c>
      <c r="R374" s="177">
        <f t="shared" si="144"/>
        <v>0.50003777844985797</v>
      </c>
      <c r="S374" s="921">
        <f t="shared" si="161"/>
        <v>-2</v>
      </c>
      <c r="T374" s="176">
        <f t="shared" si="145"/>
        <v>4</v>
      </c>
      <c r="U374" s="251">
        <f t="shared" si="146"/>
        <v>-1.499962221550142</v>
      </c>
      <c r="V374" s="383">
        <f t="shared" si="147"/>
        <v>26.694039316519028</v>
      </c>
      <c r="W374" s="58"/>
      <c r="X374" s="157">
        <f t="shared" si="148"/>
        <v>43460</v>
      </c>
      <c r="Y374" s="385">
        <f t="shared" si="149"/>
        <v>25.539000000000001</v>
      </c>
      <c r="Z374" s="385">
        <f t="shared" si="150"/>
        <v>25.660673464492977</v>
      </c>
      <c r="AA374" s="386">
        <f t="shared" si="151"/>
        <v>26.323774907611497</v>
      </c>
      <c r="AB374" s="197">
        <f t="shared" si="152"/>
        <v>43460</v>
      </c>
      <c r="AC374" s="427">
        <f t="shared" si="153"/>
        <v>2.5190210957425706E-2</v>
      </c>
      <c r="AD374" s="169">
        <f>(INDEX(Models!$BJ374:$BT374,,AH374)*(1-AF374)+INDEX(Models!$BJ374:$BT374,,AH374+1)*AF374-ERP_i)*AE374*Ramure*Pc/MaxiM</f>
        <v>2.3659225914167875E-4</v>
      </c>
      <c r="AE374" s="305">
        <f t="shared" si="154"/>
        <v>0.7</v>
      </c>
      <c r="AF374" s="177">
        <f t="shared" si="155"/>
        <v>0.50003777844985797</v>
      </c>
      <c r="AG374" s="921">
        <f t="shared" si="156"/>
        <v>-2</v>
      </c>
      <c r="AH374" s="176">
        <f t="shared" si="157"/>
        <v>4</v>
      </c>
      <c r="AI374" s="225">
        <f t="shared" si="158"/>
        <v>-1.499962221550142</v>
      </c>
      <c r="AJ374" s="265" t="b">
        <f t="shared" si="159"/>
        <v>0</v>
      </c>
      <c r="AK374" s="265" t="b">
        <f t="shared" si="160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62"/>
        <v>43461</v>
      </c>
      <c r="B375" s="620">
        <v>26.783000000000001</v>
      </c>
      <c r="C375" s="390"/>
      <c r="D375" s="393">
        <f t="shared" si="138"/>
        <v>26.911189580721789</v>
      </c>
      <c r="E375" s="385">
        <f t="shared" si="164"/>
        <v>27.609534185774926</v>
      </c>
      <c r="F375" s="385">
        <f t="shared" si="163"/>
        <v>27.615988001355355</v>
      </c>
      <c r="G375" s="110">
        <f t="shared" si="165"/>
        <v>0.99822658359005534</v>
      </c>
      <c r="I375" s="380">
        <f t="shared" si="139"/>
        <v>27.615988001355355</v>
      </c>
      <c r="J375" s="85">
        <v>2018</v>
      </c>
      <c r="K375" s="197">
        <f t="shared" si="140"/>
        <v>43461</v>
      </c>
      <c r="L375" s="438">
        <f t="shared" si="141"/>
        <v>4.7634304807402383E-3</v>
      </c>
      <c r="M375" s="970"/>
      <c r="N375" s="970"/>
      <c r="O375" s="324">
        <f t="shared" si="142"/>
        <v>2.5293603302186132E-2</v>
      </c>
      <c r="P375" s="169">
        <f>(INDEX(Models!$BJ375:$BT375,,T375)*(1-R375)+INDEX(Models!$BJ375:$BT375,,T375+1)*R375-ERP_i)*Q375*Ramure*Pc/MaxiM</f>
        <v>2.3429189100089277E-4</v>
      </c>
      <c r="Q375" s="305">
        <f t="shared" si="143"/>
        <v>0.7</v>
      </c>
      <c r="R375" s="177">
        <f t="shared" si="144"/>
        <v>0.50003777844985797</v>
      </c>
      <c r="S375" s="921">
        <f t="shared" si="161"/>
        <v>-2</v>
      </c>
      <c r="T375" s="176">
        <f t="shared" si="145"/>
        <v>4</v>
      </c>
      <c r="U375" s="251">
        <f t="shared" si="146"/>
        <v>-1.499962221550142</v>
      </c>
      <c r="V375" s="383">
        <f t="shared" si="147"/>
        <v>26.83056586988587</v>
      </c>
      <c r="W375" s="58"/>
      <c r="X375" s="157">
        <f t="shared" si="148"/>
        <v>43461</v>
      </c>
      <c r="Y375" s="385">
        <f t="shared" si="149"/>
        <v>26.783000000000001</v>
      </c>
      <c r="Z375" s="385">
        <f t="shared" si="150"/>
        <v>26.911189580721789</v>
      </c>
      <c r="AA375" s="386">
        <f t="shared" si="151"/>
        <v>27.609534185774926</v>
      </c>
      <c r="AB375" s="197">
        <f t="shared" si="152"/>
        <v>43461</v>
      </c>
      <c r="AC375" s="427">
        <f t="shared" si="153"/>
        <v>2.5293603302186132E-2</v>
      </c>
      <c r="AD375" s="169">
        <f>(INDEX(Models!$BJ375:$BT375,,AH375)*(1-AF375)+INDEX(Models!$BJ375:$BT375,,AH375+1)*AF375-ERP_i)*AE375*Ramure*Pc/MaxiM</f>
        <v>2.3429189100089277E-4</v>
      </c>
      <c r="AE375" s="305">
        <f t="shared" si="154"/>
        <v>0.7</v>
      </c>
      <c r="AF375" s="177">
        <f t="shared" si="155"/>
        <v>0.50003777844985797</v>
      </c>
      <c r="AG375" s="921">
        <f t="shared" si="156"/>
        <v>-2</v>
      </c>
      <c r="AH375" s="176">
        <f t="shared" si="157"/>
        <v>4</v>
      </c>
      <c r="AI375" s="225">
        <f t="shared" si="158"/>
        <v>-1.499962221550142</v>
      </c>
      <c r="AJ375" s="265" t="b">
        <f t="shared" si="159"/>
        <v>0</v>
      </c>
      <c r="AK375" s="265" t="b">
        <f t="shared" si="160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62"/>
        <v>43462</v>
      </c>
      <c r="B376" s="620">
        <v>3.0419999999999998</v>
      </c>
      <c r="C376" s="390"/>
      <c r="D376" s="393">
        <f t="shared" si="138"/>
        <v>3.0566266576557553</v>
      </c>
      <c r="E376" s="385">
        <f t="shared" si="164"/>
        <v>3.136278718010475</v>
      </c>
      <c r="F376" s="385">
        <f t="shared" si="163"/>
        <v>3.136278718010475</v>
      </c>
      <c r="G376" s="110">
        <f t="shared" si="165"/>
        <v>0.11271613915876565</v>
      </c>
      <c r="I376" s="380">
        <f t="shared" si="139"/>
        <v>3.136278718010475</v>
      </c>
      <c r="J376" s="85">
        <v>2018</v>
      </c>
      <c r="K376" s="197">
        <f t="shared" si="140"/>
        <v>43462</v>
      </c>
      <c r="L376" s="438">
        <f t="shared" si="141"/>
        <v>4.7852287158201001E-3</v>
      </c>
      <c r="M376" s="970"/>
      <c r="N376" s="970"/>
      <c r="O376" s="324">
        <f t="shared" si="142"/>
        <v>2.5396996732882114E-2</v>
      </c>
      <c r="P376" s="169">
        <f>(INDEX(Models!$BJ376:$BT376,,T376)*(1-R376)+INDEX(Models!$BJ376:$BT376,,T376+1)*R376-ERP_i)*Q376*Ramure*Pc/MaxiM</f>
        <v>2.3190347663275547E-4</v>
      </c>
      <c r="Q376" s="305">
        <f t="shared" si="143"/>
        <v>0.7</v>
      </c>
      <c r="R376" s="177">
        <f t="shared" si="144"/>
        <v>0.50003777844985797</v>
      </c>
      <c r="S376" s="921">
        <f t="shared" si="161"/>
        <v>-2</v>
      </c>
      <c r="T376" s="176">
        <f t="shared" si="145"/>
        <v>4</v>
      </c>
      <c r="U376" s="251">
        <f t="shared" si="146"/>
        <v>-1.499962221550142</v>
      </c>
      <c r="V376" s="383">
        <f t="shared" si="147"/>
        <v>26.981890724098395</v>
      </c>
      <c r="W376" s="58"/>
      <c r="X376" s="157">
        <f t="shared" si="148"/>
        <v>43462</v>
      </c>
      <c r="Y376" s="385">
        <f t="shared" si="149"/>
        <v>3.0419999999999998</v>
      </c>
      <c r="Z376" s="385">
        <f t="shared" si="150"/>
        <v>3.0566266576557553</v>
      </c>
      <c r="AA376" s="386">
        <f t="shared" si="151"/>
        <v>3.136278718010475</v>
      </c>
      <c r="AB376" s="197">
        <f t="shared" si="152"/>
        <v>43462</v>
      </c>
      <c r="AC376" s="427">
        <f t="shared" si="153"/>
        <v>2.5396996732882114E-2</v>
      </c>
      <c r="AD376" s="169">
        <f>(INDEX(Models!$BJ376:$BT376,,AH376)*(1-AF376)+INDEX(Models!$BJ376:$BT376,,AH376+1)*AF376-ERP_i)*AE376*Ramure*Pc/MaxiM</f>
        <v>2.3190347663275547E-4</v>
      </c>
      <c r="AE376" s="305">
        <f t="shared" si="154"/>
        <v>0.7</v>
      </c>
      <c r="AF376" s="177">
        <f t="shared" si="155"/>
        <v>0.50003777844985797</v>
      </c>
      <c r="AG376" s="921">
        <f t="shared" si="156"/>
        <v>-2</v>
      </c>
      <c r="AH376" s="176">
        <f t="shared" si="157"/>
        <v>4</v>
      </c>
      <c r="AI376" s="225">
        <f t="shared" si="158"/>
        <v>-1.499962221550142</v>
      </c>
      <c r="AJ376" s="265" t="b">
        <f t="shared" si="159"/>
        <v>0</v>
      </c>
      <c r="AK376" s="265" t="b">
        <f t="shared" si="160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62"/>
        <v>43463</v>
      </c>
      <c r="B377" s="620">
        <v>3.3839999999999999</v>
      </c>
      <c r="C377" s="390"/>
      <c r="D377" s="393">
        <f t="shared" si="138"/>
        <v>3.4003455510829763</v>
      </c>
      <c r="E377" s="385">
        <f t="shared" si="164"/>
        <v>3.4893246627819283</v>
      </c>
      <c r="F377" s="385">
        <f t="shared" si="163"/>
        <v>3.4893246627819283</v>
      </c>
      <c r="G377" s="110">
        <f t="shared" si="165"/>
        <v>0.12462839765983064</v>
      </c>
      <c r="I377" s="380">
        <f t="shared" si="139"/>
        <v>3.4893246627819283</v>
      </c>
      <c r="J377" s="85">
        <v>2018</v>
      </c>
      <c r="K377" s="197">
        <f t="shared" si="140"/>
        <v>43463</v>
      </c>
      <c r="L377" s="438">
        <f t="shared" si="141"/>
        <v>4.807026473462539E-3</v>
      </c>
      <c r="M377" s="970"/>
      <c r="N377" s="970"/>
      <c r="O377" s="324">
        <f t="shared" si="142"/>
        <v>2.5500381964460573E-2</v>
      </c>
      <c r="P377" s="169">
        <f>(INDEX(Models!$BJ377:$BT377,,T377)*(1-R377)+INDEX(Models!$BJ377:$BT377,,T377+1)*R377-ERP_i)*Q377*Ramure*Pc/MaxiM</f>
        <v>2.2944318441396163E-4</v>
      </c>
      <c r="Q377" s="305">
        <f t="shared" si="143"/>
        <v>0.7</v>
      </c>
      <c r="R377" s="177">
        <f t="shared" si="144"/>
        <v>0.50003777844985797</v>
      </c>
      <c r="S377" s="921">
        <f t="shared" si="161"/>
        <v>-2</v>
      </c>
      <c r="T377" s="176">
        <f t="shared" si="145"/>
        <v>4</v>
      </c>
      <c r="U377" s="251">
        <f t="shared" si="146"/>
        <v>-1.499962221550142</v>
      </c>
      <c r="V377" s="383">
        <f t="shared" si="147"/>
        <v>27.146490108124055</v>
      </c>
      <c r="W377" s="58"/>
      <c r="X377" s="157">
        <f t="shared" si="148"/>
        <v>43463</v>
      </c>
      <c r="Y377" s="385">
        <f t="shared" si="149"/>
        <v>3.3839999999999999</v>
      </c>
      <c r="Z377" s="385">
        <f t="shared" si="150"/>
        <v>3.4003455510829763</v>
      </c>
      <c r="AA377" s="386">
        <f t="shared" si="151"/>
        <v>3.4893246627819283</v>
      </c>
      <c r="AB377" s="197">
        <f t="shared" si="152"/>
        <v>43463</v>
      </c>
      <c r="AC377" s="427">
        <f t="shared" si="153"/>
        <v>2.5500381964460573E-2</v>
      </c>
      <c r="AD377" s="169">
        <f>(INDEX(Models!$BJ377:$BT377,,AH377)*(1-AF377)+INDEX(Models!$BJ377:$BT377,,AH377+1)*AF377-ERP_i)*AE377*Ramure*Pc/MaxiM</f>
        <v>2.2944318441396163E-4</v>
      </c>
      <c r="AE377" s="305">
        <f t="shared" si="154"/>
        <v>0.7</v>
      </c>
      <c r="AF377" s="177">
        <f t="shared" si="155"/>
        <v>0.50003777844985797</v>
      </c>
      <c r="AG377" s="921">
        <f t="shared" si="156"/>
        <v>-2</v>
      </c>
      <c r="AH377" s="176">
        <f t="shared" si="157"/>
        <v>4</v>
      </c>
      <c r="AI377" s="225">
        <f t="shared" si="158"/>
        <v>-1.499962221550142</v>
      </c>
      <c r="AJ377" s="265" t="b">
        <f t="shared" si="159"/>
        <v>0</v>
      </c>
      <c r="AK377" s="265" t="b">
        <f t="shared" si="160"/>
        <v>0</v>
      </c>
      <c r="AL377" s="265"/>
      <c r="AM377" s="265"/>
      <c r="AN377" s="75"/>
    </row>
    <row r="378" spans="1:40" s="6" customFormat="1" ht="11.25" x14ac:dyDescent="0.2">
      <c r="A378" s="56">
        <f t="shared" si="162"/>
        <v>43464</v>
      </c>
      <c r="B378" s="620">
        <v>3.3420000000000001</v>
      </c>
      <c r="C378" s="390"/>
      <c r="D378" s="393">
        <f t="shared" si="138"/>
        <v>3.3582162343222834</v>
      </c>
      <c r="E378" s="385">
        <f t="shared" si="164"/>
        <v>3.4464584971588406</v>
      </c>
      <c r="F378" s="385">
        <f t="shared" si="163"/>
        <v>3.4464584971588406</v>
      </c>
      <c r="G378" s="110">
        <f t="shared" si="165"/>
        <v>0.12228748865784882</v>
      </c>
      <c r="I378" s="380">
        <f t="shared" si="139"/>
        <v>3.4464584971588406</v>
      </c>
      <c r="J378" s="85">
        <v>2018</v>
      </c>
      <c r="K378" s="197">
        <f t="shared" si="140"/>
        <v>43464</v>
      </c>
      <c r="L378" s="438">
        <f t="shared" si="141"/>
        <v>4.828823753678213E-3</v>
      </c>
      <c r="M378" s="970"/>
      <c r="N378" s="970"/>
      <c r="O378" s="324">
        <f t="shared" si="142"/>
        <v>2.5603750316245247E-2</v>
      </c>
      <c r="P378" s="169">
        <f>(INDEX(Models!$BJ378:$BT378,,T378)*(1-R378)+INDEX(Models!$BJ378:$BT378,,T378+1)*R378-ERP_i)*Q378*Ramure*Pc/MaxiM</f>
        <v>2.2692659640840621E-4</v>
      </c>
      <c r="Q378" s="305">
        <f t="shared" si="143"/>
        <v>0.7</v>
      </c>
      <c r="R378" s="177">
        <f t="shared" si="144"/>
        <v>0.50003777844985797</v>
      </c>
      <c r="S378" s="921">
        <f t="shared" si="161"/>
        <v>-2</v>
      </c>
      <c r="T378" s="176">
        <f t="shared" si="145"/>
        <v>4</v>
      </c>
      <c r="U378" s="251">
        <f t="shared" si="146"/>
        <v>-1.499962221550142</v>
      </c>
      <c r="V378" s="383">
        <f t="shared" si="147"/>
        <v>27.322841019847463</v>
      </c>
      <c r="W378" s="58"/>
      <c r="X378" s="157">
        <f t="shared" si="148"/>
        <v>43464</v>
      </c>
      <c r="Y378" s="385">
        <f t="shared" si="149"/>
        <v>3.3420000000000001</v>
      </c>
      <c r="Z378" s="385">
        <f t="shared" si="150"/>
        <v>3.3582162343222834</v>
      </c>
      <c r="AA378" s="386">
        <f t="shared" si="151"/>
        <v>3.4464584971588406</v>
      </c>
      <c r="AB378" s="197">
        <f t="shared" si="152"/>
        <v>43464</v>
      </c>
      <c r="AC378" s="427">
        <f t="shared" si="153"/>
        <v>2.5603750316245247E-2</v>
      </c>
      <c r="AD378" s="169">
        <f>(INDEX(Models!$BJ378:$BT378,,AH378)*(1-AF378)+INDEX(Models!$BJ378:$BT378,,AH378+1)*AF378-ERP_i)*AE378*Ramure*Pc/MaxiM</f>
        <v>2.2692659640840621E-4</v>
      </c>
      <c r="AE378" s="305">
        <f t="shared" si="154"/>
        <v>0.7</v>
      </c>
      <c r="AF378" s="177">
        <f t="shared" si="155"/>
        <v>0.50003777844985797</v>
      </c>
      <c r="AG378" s="921">
        <f t="shared" si="156"/>
        <v>-2</v>
      </c>
      <c r="AH378" s="176">
        <f t="shared" si="157"/>
        <v>4</v>
      </c>
      <c r="AI378" s="225">
        <f t="shared" si="158"/>
        <v>-1.499962221550142</v>
      </c>
      <c r="AJ378" s="265" t="b">
        <f t="shared" si="159"/>
        <v>0</v>
      </c>
      <c r="AK378" s="265" t="b">
        <f t="shared" si="160"/>
        <v>0</v>
      </c>
      <c r="AL378" s="265"/>
      <c r="AM378" s="265"/>
      <c r="AN378" s="75"/>
    </row>
    <row r="379" spans="1:40" s="18" customFormat="1" ht="12.75" x14ac:dyDescent="0.2">
      <c r="A379" s="56">
        <f t="shared" si="162"/>
        <v>43465</v>
      </c>
      <c r="B379" s="620">
        <v>5.65</v>
      </c>
      <c r="C379" s="390"/>
      <c r="D379" s="393">
        <f t="shared" si="138"/>
        <v>5.6775395902466661</v>
      </c>
      <c r="E379" s="385">
        <f t="shared" si="164"/>
        <v>5.827343659997049</v>
      </c>
      <c r="F379" s="385">
        <f t="shared" si="163"/>
        <v>5.827343659997049</v>
      </c>
      <c r="G379" s="110">
        <f t="shared" si="165"/>
        <v>0.20533810117101289</v>
      </c>
      <c r="I379" s="380">
        <f t="shared" si="139"/>
        <v>5.827343659997049</v>
      </c>
      <c r="J379" s="85">
        <v>2018</v>
      </c>
      <c r="K379" s="197">
        <f t="shared" si="140"/>
        <v>43465</v>
      </c>
      <c r="L379" s="438">
        <f>IF(t&lt;T0,0,IF(t&lt;Tvie,1-EXP((T0-t)*PertePVj),1-EXP((T0-t)*PertePVj)+Pspv))</f>
        <v>4.8506205564775584E-3</v>
      </c>
      <c r="M379" s="970"/>
      <c r="N379" s="970"/>
      <c r="O379" s="324">
        <f t="shared" si="142"/>
        <v>2.5707093744743881E-2</v>
      </c>
      <c r="P379" s="169">
        <f>(INDEX(Models!$BJ379:$BT379,,T379)*(1-R379)+INDEX(Models!$BJ379:$BT379,,T379+1)*R379-ERP_i)*Q379*Ramure*Pc/MaxiM</f>
        <v>2.2436861963048049E-4</v>
      </c>
      <c r="Q379" s="306">
        <f t="shared" si="143"/>
        <v>0.7</v>
      </c>
      <c r="R379" s="177">
        <f t="shared" si="144"/>
        <v>0.50003777844985797</v>
      </c>
      <c r="S379" s="921">
        <f t="shared" si="161"/>
        <v>-2</v>
      </c>
      <c r="T379" s="176">
        <f t="shared" si="145"/>
        <v>4</v>
      </c>
      <c r="U379" s="307">
        <f t="shared" si="146"/>
        <v>-1.499962221550142</v>
      </c>
      <c r="V379" s="383">
        <f t="shared" si="147"/>
        <v>27.509421218396398</v>
      </c>
      <c r="W379" s="392"/>
      <c r="X379" s="157">
        <f t="shared" si="148"/>
        <v>43465</v>
      </c>
      <c r="Y379" s="385">
        <f t="shared" si="149"/>
        <v>5.65</v>
      </c>
      <c r="Z379" s="385">
        <f t="shared" si="150"/>
        <v>5.6775395902466661</v>
      </c>
      <c r="AA379" s="386">
        <f t="shared" si="151"/>
        <v>5.827343659997049</v>
      </c>
      <c r="AB379" s="197">
        <f t="shared" si="152"/>
        <v>43465</v>
      </c>
      <c r="AC379" s="427">
        <f t="shared" si="153"/>
        <v>2.5707093744743881E-2</v>
      </c>
      <c r="AD379" s="169">
        <f>(INDEX(Models!$BJ379:$BT379,,AH379)*(1-AF379)+INDEX(Models!$BJ379:$BT379,,AH379+1)*AF379-ERP_i)*AE379*Ramure*Pc/MaxiM</f>
        <v>2.2436861963048049E-4</v>
      </c>
      <c r="AE379" s="306">
        <f t="shared" si="154"/>
        <v>0.7</v>
      </c>
      <c r="AF379" s="177">
        <f t="shared" si="155"/>
        <v>0.50003777844985797</v>
      </c>
      <c r="AG379" s="921">
        <f t="shared" si="156"/>
        <v>-2</v>
      </c>
      <c r="AH379" s="176">
        <f t="shared" si="157"/>
        <v>4</v>
      </c>
      <c r="AI379" s="222">
        <f t="shared" si="158"/>
        <v>-1.499962221550142</v>
      </c>
      <c r="AJ379" s="265" t="b">
        <f t="shared" si="159"/>
        <v>0</v>
      </c>
      <c r="AK379" s="265" t="b">
        <f t="shared" si="160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6"/>
      <c r="C380" s="969"/>
      <c r="D380" s="394"/>
      <c r="E380" s="395"/>
      <c r="F380" s="395"/>
      <c r="G380" s="97"/>
      <c r="I380" s="381">
        <f t="shared" si="139"/>
        <v>0</v>
      </c>
      <c r="J380" s="151">
        <v>2018</v>
      </c>
      <c r="K380" s="199"/>
      <c r="L380" s="471"/>
      <c r="M380" s="971"/>
      <c r="N380" s="971"/>
      <c r="O380" s="472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9"/>
        <v>1</v>
      </c>
      <c r="AK380" s="265" t="b">
        <f t="shared" si="160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1.6919999999999999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6">MIN(L15:L380)</f>
        <v>0</v>
      </c>
      <c r="M381" s="961"/>
      <c r="N381" s="961"/>
      <c r="O381" s="47">
        <f t="shared" si="166"/>
        <v>0</v>
      </c>
      <c r="P381" s="168">
        <f t="shared" si="166"/>
        <v>5.3028345570172775E-10</v>
      </c>
      <c r="Q381" s="310">
        <f t="shared" si="166"/>
        <v>0.7</v>
      </c>
      <c r="R381" s="311">
        <f t="shared" si="166"/>
        <v>3.9051486028895965E-5</v>
      </c>
      <c r="S381" s="921">
        <f t="shared" si="166"/>
        <v>-2</v>
      </c>
      <c r="T381" s="176">
        <f t="shared" si="166"/>
        <v>4</v>
      </c>
      <c r="U381" s="252">
        <f>+MIN(U15:U380)</f>
        <v>-1.9999609485139711</v>
      </c>
      <c r="V381" s="373">
        <f>MIN(V15:V380)</f>
        <v>26.073490697323656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7">MIN(AC15:AC380)</f>
        <v>0</v>
      </c>
      <c r="AD381" s="168">
        <f t="shared" si="167"/>
        <v>5.3028345570172775E-10</v>
      </c>
      <c r="AE381" s="310">
        <f t="shared" si="167"/>
        <v>0.7</v>
      </c>
      <c r="AF381" s="311">
        <f t="shared" si="167"/>
        <v>3.9051486028895965E-5</v>
      </c>
      <c r="AG381" s="921">
        <f t="shared" si="167"/>
        <v>-2</v>
      </c>
      <c r="AH381" s="176">
        <f t="shared" si="167"/>
        <v>4</v>
      </c>
      <c r="AI381" s="226">
        <f>MIN(AI15:AI380)</f>
        <v>-1.9999609485139711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31.011081967213126</v>
      </c>
      <c r="C382" s="375"/>
      <c r="D382" s="375">
        <f>AVERAGE(D15:D380)</f>
        <v>26.960347508698714</v>
      </c>
      <c r="E382" s="375">
        <f>AVERAGE(E15:E380)</f>
        <v>27.334178414535337</v>
      </c>
      <c r="F382" s="376">
        <f>AVERAGE(F15:F380)</f>
        <v>27.342244829569321</v>
      </c>
      <c r="G382" s="126">
        <f>AVERAGE(G15:G380)</f>
        <v>0.60177005925886995</v>
      </c>
      <c r="H382" s="94"/>
      <c r="I382" s="376">
        <f>AVERAGE(I15:I380)</f>
        <v>15.76287884983368</v>
      </c>
      <c r="J382" s="166">
        <f>AVERAGE(J15:J380)</f>
        <v>2018</v>
      </c>
      <c r="K382" s="200" t="s">
        <v>8</v>
      </c>
      <c r="L382" s="147">
        <f t="shared" ref="L382:V382" si="168">AVERAGE(L15:L380)</f>
        <v>1.4829603280748747E-3</v>
      </c>
      <c r="M382" s="959"/>
      <c r="N382" s="959"/>
      <c r="O382" s="48">
        <f t="shared" si="168"/>
        <v>8.3235867655175062E-3</v>
      </c>
      <c r="P382" s="169">
        <f t="shared" si="168"/>
        <v>2.3985579526258544E-4</v>
      </c>
      <c r="Q382" s="312">
        <f t="shared" si="168"/>
        <v>0.69999999999999529</v>
      </c>
      <c r="R382" s="177">
        <f t="shared" si="168"/>
        <v>0.27992264848517262</v>
      </c>
      <c r="S382" s="921">
        <f t="shared" si="168"/>
        <v>-2</v>
      </c>
      <c r="T382" s="176">
        <f t="shared" si="168"/>
        <v>4</v>
      </c>
      <c r="U382" s="251">
        <f t="shared" si="168"/>
        <v>-1.7200773515148275</v>
      </c>
      <c r="V382" s="375">
        <f t="shared" si="168"/>
        <v>46.294292028022085</v>
      </c>
      <c r="X382" s="112" t="s">
        <v>8</v>
      </c>
      <c r="Y382" s="375">
        <f>AVERAGE(Y15:Y380)</f>
        <v>15.548021917808224</v>
      </c>
      <c r="Z382" s="375">
        <f>AVERAGE(Z15:Z380)</f>
        <v>15.585296779001174</v>
      </c>
      <c r="AA382" s="375">
        <f>AVERAGE(AA15:AA380)</f>
        <v>15.80140176840262</v>
      </c>
      <c r="AB382" s="200" t="s">
        <v>8</v>
      </c>
      <c r="AC382" s="48">
        <f t="shared" ref="AC382:AH382" si="169">AVERAGE(AC15:AC380)</f>
        <v>8.3235867655175062E-3</v>
      </c>
      <c r="AD382" s="169">
        <f t="shared" si="169"/>
        <v>2.3985579526258544E-4</v>
      </c>
      <c r="AE382" s="312">
        <f t="shared" si="169"/>
        <v>0.69999999999999529</v>
      </c>
      <c r="AF382" s="177">
        <f t="shared" si="169"/>
        <v>0.27992264848517262</v>
      </c>
      <c r="AG382" s="921">
        <f t="shared" si="169"/>
        <v>-2</v>
      </c>
      <c r="AH382" s="176">
        <f t="shared" si="169"/>
        <v>4</v>
      </c>
      <c r="AI382" s="225">
        <f>AVERAGE(AI15:AI380)</f>
        <v>-1.7200773515148275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56.649000000000001</v>
      </c>
      <c r="C383" s="377"/>
      <c r="D383" s="377">
        <f>MAX(D15:D380)</f>
        <v>56.708588377724325</v>
      </c>
      <c r="E383" s="377">
        <f>MAX(E15:E380)</f>
        <v>57.06803943800967</v>
      </c>
      <c r="F383" s="378">
        <f>MAX(F15:F380)</f>
        <v>57.125082544615957</v>
      </c>
      <c r="G383" s="127">
        <f>+MAX(G15:G380)</f>
        <v>1.0455493472194759</v>
      </c>
      <c r="H383" s="94"/>
      <c r="I383" s="378">
        <f>MAX(I15:I380)</f>
        <v>57.125082544615957</v>
      </c>
      <c r="J383" s="167">
        <f>MAX(J15:J380)</f>
        <v>2018</v>
      </c>
      <c r="K383" s="200" t="s">
        <v>9</v>
      </c>
      <c r="L383" s="148">
        <f t="shared" ref="L383:T383" si="170">MAX(L15:L380)</f>
        <v>4.8506205564775584E-3</v>
      </c>
      <c r="M383" s="962"/>
      <c r="N383" s="962"/>
      <c r="O383" s="49">
        <f t="shared" si="170"/>
        <v>2.5707093744743881E-2</v>
      </c>
      <c r="P383" s="170">
        <f t="shared" si="170"/>
        <v>1.0221323497353549E-3</v>
      </c>
      <c r="Q383" s="313">
        <f t="shared" si="170"/>
        <v>0.7</v>
      </c>
      <c r="R383" s="314">
        <f t="shared" si="170"/>
        <v>0.50003777844985797</v>
      </c>
      <c r="S383" s="922">
        <f t="shared" si="170"/>
        <v>-2</v>
      </c>
      <c r="T383" s="233">
        <f t="shared" si="170"/>
        <v>4</v>
      </c>
      <c r="U383" s="253">
        <f>+MAX(U15:U380)</f>
        <v>-1.499962221550142</v>
      </c>
      <c r="V383" s="377">
        <f>MAX(V15:V380)</f>
        <v>59.746570900535424</v>
      </c>
      <c r="X383" s="112" t="s">
        <v>9</v>
      </c>
      <c r="Y383" s="377">
        <f>MAX(Y15:Y380)</f>
        <v>56.649000000000001</v>
      </c>
      <c r="Z383" s="377">
        <f>MAX(Z15:Z380)</f>
        <v>56.708588377724325</v>
      </c>
      <c r="AA383" s="377">
        <f>MAX(AA15:AA380)</f>
        <v>57.06803943800967</v>
      </c>
      <c r="AB383" s="200" t="s">
        <v>9</v>
      </c>
      <c r="AC383" s="49">
        <f t="shared" ref="AC383:AH383" si="171">MAX(AC15:AC380)</f>
        <v>2.5707093744743881E-2</v>
      </c>
      <c r="AD383" s="170">
        <f t="shared" si="171"/>
        <v>1.0221323497353549E-3</v>
      </c>
      <c r="AE383" s="313">
        <f t="shared" si="171"/>
        <v>0.7</v>
      </c>
      <c r="AF383" s="314">
        <f t="shared" si="171"/>
        <v>0.50003777844985797</v>
      </c>
      <c r="AG383" s="922">
        <f t="shared" si="171"/>
        <v>-2</v>
      </c>
      <c r="AH383" s="233">
        <f t="shared" si="171"/>
        <v>4</v>
      </c>
      <c r="AI383" s="227">
        <f>MAX(AI15:AI380)</f>
        <v>-1.499962221550142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'2018'!An+1</f>
        <v>2019</v>
      </c>
      <c r="K1" s="1217"/>
      <c r="L1" s="113" t="str">
        <f>"Calcul pertes et enveloppes en "&amp;TEXT(An,0)</f>
        <v>Calcul pertes et enveloppes en 2019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2019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473"/>
      <c r="H3" s="75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334"/>
      <c r="I5" s="158"/>
      <c r="K5" s="192"/>
      <c r="L5" s="507"/>
      <c r="M5" s="506"/>
      <c r="N5" s="506"/>
      <c r="O5" s="429"/>
      <c r="P5" s="509"/>
      <c r="Q5" s="509"/>
      <c r="R5" s="496"/>
      <c r="S5" s="500"/>
      <c r="T5" s="500"/>
      <c r="U5" s="514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7348.0719999999928</v>
      </c>
      <c r="AK5" s="517">
        <f>SUMIF(AK15:AK380,"VRAI",Wh)</f>
        <v>0</v>
      </c>
      <c r="AL5" s="517">
        <f>SUMIF(AJ15:AJ380,"VRAI",Wh_s)</f>
        <v>7348.0719999999928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532"/>
      <c r="AD6" s="463"/>
      <c r="AE6" s="463"/>
      <c r="AF6" s="463"/>
      <c r="AG6" s="463"/>
      <c r="AH6" s="463"/>
      <c r="AI6" s="463"/>
      <c r="AJ6" s="517">
        <f>SUMIF(AJ15:AJ380,"FAUX",Wh)</f>
        <v>3873.3389999999986</v>
      </c>
      <c r="AK6" s="517">
        <f>SUMIF(AK15:AK380,"FAUX",Wh)</f>
        <v>11221.410999999996</v>
      </c>
      <c r="AL6" s="517">
        <f>SUMIF(AJ15:AJ380,"FAUX",Wh_s)</f>
        <v>3873.3389999999986</v>
      </c>
      <c r="AM6" s="517">
        <f>SUMIF(AK15:AK380,"FAUX",Wh_s)</f>
        <v>11221.410999999996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AND(YEAR(Tnet)=An,Resal_2019="I")</f>
        <v>1</v>
      </c>
      <c r="F7" s="320" t="b">
        <f>YEAR(Tnet)=An</f>
        <v>1</v>
      </c>
      <c r="H7" s="335"/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32"/>
      <c r="AD7" s="248"/>
      <c r="AE7" s="248"/>
      <c r="AF7" s="494"/>
      <c r="AG7" s="494"/>
      <c r="AH7" s="494"/>
      <c r="AI7" s="519"/>
      <c r="AJ7" s="517">
        <f>SUMIF(AJ15:AJ380,"VRAI",Wh_pvt)</f>
        <v>7403.6820883884448</v>
      </c>
      <c r="AK7" s="517">
        <f>SUMIF(AK15:AK380,"VRAI",Wh_sa)</f>
        <v>0</v>
      </c>
      <c r="AL7" s="517">
        <f>SUMIF(AJ15:AJ380,"VRAI",Wh_pvt_s)</f>
        <v>7403.6820883884448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AND(YEAR(Tnet)=An,Resal_2019&lt;&gt;"I")</f>
        <v>0</v>
      </c>
      <c r="F8" s="321" t="b">
        <f>YEAR(Ttai)=An</f>
        <v>0</v>
      </c>
      <c r="H8" s="336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3915.2630260361552</v>
      </c>
      <c r="AK8" s="517">
        <f>SUMIF(AK15:AK380,"FAUX",Wh_sa)</f>
        <v>11849.465661845712</v>
      </c>
      <c r="AL8" s="517">
        <f>SUMIF(AJ15:AJ380,"FAUX",Wh_pvt_s)</f>
        <v>3915.2630260361552</v>
      </c>
      <c r="AM8" s="517">
        <f>SUMIF(AK15:AK380,"FAUX",Wh_sa_s)</f>
        <v>11849.465661845712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11318.945114424601</v>
      </c>
      <c r="E9" s="184">
        <f>SUM(E$15:E$380)</f>
        <v>11849.465661845712</v>
      </c>
      <c r="F9" s="184">
        <f>SUM(F$15:F$380)</f>
        <v>11856.245260033535</v>
      </c>
      <c r="H9" s="1218">
        <f>+SUM(Wh)</f>
        <v>11221.410999999996</v>
      </c>
      <c r="I9" s="1219"/>
      <c r="J9" s="1220"/>
      <c r="K9" s="191"/>
      <c r="L9" s="114"/>
      <c r="M9" s="114"/>
      <c r="N9" s="114"/>
      <c r="O9" s="223">
        <f>Tnet_2019</f>
        <v>43678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11221.410999999996</v>
      </c>
      <c r="Y9" s="1213"/>
      <c r="Z9" s="517">
        <f>SUM(Z$15:Z$380)</f>
        <v>11318.945114424601</v>
      </c>
      <c r="AA9" s="517">
        <f>SUM(AA$15:AA$380)</f>
        <v>11849.465661845712</v>
      </c>
      <c r="AB9" s="517">
        <f>F9</f>
        <v>11856.245260033535</v>
      </c>
      <c r="AC9" s="325">
        <f>IF(An_Tnet,Tnet,'2018'!Tnet_s)</f>
        <v>43678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7700.5229805459885</v>
      </c>
      <c r="AK9" s="517">
        <f>SUMIF(AK15:AK380,"VRAI",Wh_hp)</f>
        <v>0</v>
      </c>
      <c r="AL9" s="517">
        <f>SUMIF(AJ15:AJ380,"VRAI",Wh_sa_s)</f>
        <v>7700.5229805459885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4.5897731970198939E-2</v>
      </c>
      <c r="P10" s="422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IF(OR(Inflex,GainD),'2018'!Resal_s+('2018'!Salim-'2018'!Resal_s)*(1-EXP(('2018'!Tnet_s-Tnet)/('2018'!Tau_j))),IF(Acti_net,'2018'!Resal+('2018'!Salim-'2018'!Resal)*(1-EXP(('2018'!Tnet-Tnet)/'2018'!Tau_j)),'2018'!Resal_s))</f>
        <v>4.5897731970198939E-2</v>
      </c>
      <c r="AD10" s="429"/>
      <c r="AE10" s="429"/>
      <c r="AF10" s="260"/>
      <c r="AG10" s="261"/>
      <c r="AH10" s="262"/>
      <c r="AI10" s="524"/>
      <c r="AJ10" s="517">
        <f>SUMIF(AJ15:AJ380,"FAUX",Wh_sa)</f>
        <v>4148.942681299729</v>
      </c>
      <c r="AK10" s="517">
        <f>SUMIF(AK15:AK380,"FAUX",Wh_hp)</f>
        <v>11856.245260033535</v>
      </c>
      <c r="AL10" s="517">
        <f>SUMIF(AJ15:AJ380,"FAUX",Wh_sa_s)</f>
        <v>4148.942681299729</v>
      </c>
      <c r="AM10" s="517">
        <f>SUMIF(AK15:AK380,"FAUX",Wh_hp)</f>
        <v>11856.245260033535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97.534114424604923</v>
      </c>
      <c r="E11" s="51">
        <f>(E$9-D$9)*Prod_an/D$9</f>
        <v>525.94910977796553</v>
      </c>
      <c r="F11" s="186">
        <f>(F$9-E$9)*Prod_an/E$9</f>
        <v>6.4202606135542934</v>
      </c>
      <c r="G11" s="185" t="s">
        <v>6</v>
      </c>
      <c r="H11" s="335"/>
      <c r="K11" s="194"/>
      <c r="L11" s="182">
        <f>Tvie_2019</f>
        <v>43243</v>
      </c>
      <c r="M11" s="958"/>
      <c r="N11" s="958"/>
      <c r="O11" s="202">
        <f>IF(An_Tnet,Salim_2019,'2018'!Salim)</f>
        <v>0.08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-0.99996222155014203</v>
      </c>
      <c r="V11" s="429"/>
      <c r="W11" s="520"/>
      <c r="X11" s="527" t="s">
        <v>44</v>
      </c>
      <c r="Y11" s="50">
        <f>Z$9-Prod_an_s</f>
        <v>97.534114424604923</v>
      </c>
      <c r="Z11" s="51">
        <f>(AA$9-Z$9)*Prod_an_s/Z$9</f>
        <v>525.94910977796553</v>
      </c>
      <c r="AA11" s="186">
        <f>(AB$9-AA$9)*Prod_an_s/AA$9</f>
        <v>6.4202606135542934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294.61127883094275</v>
      </c>
      <c r="AK11" s="948">
        <f>IF($AK7=0,0,($AK9-$AK7)*$AK5/$AK7)</f>
        <v>0</v>
      </c>
      <c r="AL11" s="947">
        <f>IF($AL7=0,0,($AL9-$AL7)*$AL5/$AL7)</f>
        <v>294.61127883094275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4.8208038888630789E-2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182.5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-1.499962221550142</v>
      </c>
      <c r="V12" s="519"/>
      <c r="W12" s="506"/>
      <c r="X12" s="507"/>
      <c r="Y12" s="506"/>
      <c r="Z12" s="429"/>
      <c r="AA12" s="429"/>
      <c r="AB12" s="533"/>
      <c r="AC12" s="318" t="b">
        <f>NOT(An_Tnet)</f>
        <v>0</v>
      </c>
      <c r="AD12" s="429"/>
      <c r="AE12" s="296">
        <f>'2018'!Df_s</f>
        <v>0.7</v>
      </c>
      <c r="AF12" s="203"/>
      <c r="AG12" s="203"/>
      <c r="AH12" s="203"/>
      <c r="AI12" s="297">
        <f>'2018'!Hdf_s</f>
        <v>-1.499962221550142</v>
      </c>
      <c r="AJ12" s="947">
        <f>IF($AJ8=0,0,($AJ10-$AJ8)*$AJ6/$AJ8)</f>
        <v>231.17744994907957</v>
      </c>
      <c r="AK12" s="948">
        <f>IF($AK8=0,0,($AK10-$AK8)*$AK6/$AK8)</f>
        <v>6.4202606135542934</v>
      </c>
      <c r="AL12" s="947">
        <f>IF($AL8=0,0,($AL10-$AL8)*$AL6/$AL8)</f>
        <v>231.17744994907957</v>
      </c>
      <c r="AM12" s="948">
        <f>IF($AM8=0,0,($AM10-$AM8)*$AM6/$AM8)</f>
        <v>6.4202606135542934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815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525.78872878002232</v>
      </c>
      <c r="AK13" s="73">
        <f>+AK11+AK12</f>
        <v>6.4202606135542934</v>
      </c>
      <c r="AL13" s="73">
        <f>+AL11+AL12</f>
        <v>525.78872878002232</v>
      </c>
      <c r="AM13" s="73">
        <f>+AM11+AM12</f>
        <v>6.4202606135542934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2019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331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9">
        <v>2.0030000000000001</v>
      </c>
      <c r="C15" s="390"/>
      <c r="D15" s="393">
        <f t="shared" ref="D15:D78" si="0">Wh/(1-Ppv)</f>
        <v>2.012807235956426</v>
      </c>
      <c r="E15" s="385">
        <f t="shared" ref="E15:E79" si="1">Wh_pvt/(1-Psa)</f>
        <v>2.0661350172665505</v>
      </c>
      <c r="F15" s="385">
        <f t="shared" ref="F15:F78" si="2">Wh_sa/(1-Pvg*MEDIAN((-Sdif+Wh/Env_an)/Csdif,0,1))</f>
        <v>2.0661350172665505</v>
      </c>
      <c r="G15" s="110">
        <f>+Wh_hp/MaxiM</f>
        <v>7.2282143501937804E-2</v>
      </c>
      <c r="H15" s="414" t="b">
        <f>Wh_hp&gt;='2018'!Maxi_hp</f>
        <v>1</v>
      </c>
      <c r="I15" s="396">
        <f>IF(H15,Wh_hp,'2018'!Maxi_hp)</f>
        <v>2.0661350172665505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4.8724168818709002E-3</v>
      </c>
      <c r="M15" s="961"/>
      <c r="N15" s="961"/>
      <c r="O15" s="423">
        <f>IF(t&lt;Tnet,'2018'!Resal+('2018'!Salim-'2018'!Resal)*(1-EXP(('2018'!Tnet-t)/('2018'!Tau_j))),Resal+(Salim-Resal)*(1-EXP((Tnet-t)/(Tau_j))))*Salcycl</f>
        <v>2.581040486922101E-2</v>
      </c>
      <c r="P15" s="302">
        <f>(INDEX(Models!$BJ15:$BT15,,T15)*(1-R15)+INDEX(Models!$BJ15:$BT15,,T15+1)*R15-ERP_i)*Q15*Ramure*Pc/MaxiM</f>
        <v>2.2178395099329071E-4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0.50003897394808727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-1.4999610260519127</v>
      </c>
      <c r="V15" s="382">
        <f t="shared" ref="V15:V78" si="8">MaxiM*(1-Ppv)*(1-Pvg)*(1-Psa)</f>
        <v>27.704709209301104</v>
      </c>
      <c r="W15" s="424"/>
      <c r="X15" s="425">
        <f t="shared" ref="X15:X78" si="9">t</f>
        <v>43466</v>
      </c>
      <c r="Y15" s="385">
        <f t="shared" ref="Y15:Y78" si="10">Wh_pvt_s*(1-Ppv)</f>
        <v>2.0030000000000001</v>
      </c>
      <c r="Z15" s="385">
        <f t="shared" ref="Z15:Z78" si="11">Wh_sa_s*(1-Psa_s)</f>
        <v>2.012807235956426</v>
      </c>
      <c r="AA15" s="386">
        <f t="shared" ref="AA15:AA78" si="12">Wh_hp*(1-Pvg_s*MEDIAN((-Sdif+Wh/Env_an)/Csdif,0,1))</f>
        <v>2.0661350172665505</v>
      </c>
      <c r="AB15" s="426">
        <f t="shared" ref="AB15:AB78" si="13">t</f>
        <v>43466</v>
      </c>
      <c r="AC15" s="427">
        <f>IF(OR(t&lt;Tnet,NoTnet),'2018'!Resal_s+('2018'!Salim-'2018'!Resal_s)*(1-EXP(('2018'!Tnet_s-t)/'2018'!Tau_j)),Resal_s+(Salim-Resal_s)*(1-EXP((Tnet_s-t)/Tau_j)))*Salcycl</f>
        <v>2.581040486922101E-2</v>
      </c>
      <c r="AD15" s="231">
        <f>(INDEX(Models!$BJ15:$BT15,,AH15)*(1-AF15)+INDEX(Models!$BJ15:$BT15,,AH15+1)*AF15-ERP_i)*AE15*Ramure*Pc/MaxiM</f>
        <v>2.2178395099329071E-4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0.50003897394808727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-1.4999610260519127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20">
        <v>5.3070000000000004</v>
      </c>
      <c r="C16" s="390"/>
      <c r="D16" s="393">
        <f t="shared" si="0"/>
        <v>5.3331013324308634</v>
      </c>
      <c r="E16" s="385">
        <f t="shared" si="1"/>
        <v>5.4749781476770405</v>
      </c>
      <c r="F16" s="385">
        <f t="shared" si="2"/>
        <v>5.4749781476770405</v>
      </c>
      <c r="G16" s="110">
        <f>+Wh_hp/MaxiM</f>
        <v>0.19012440406471373</v>
      </c>
      <c r="H16" s="414" t="b">
        <f>Wh_hp&gt;='2018'!Maxi_hp</f>
        <v>1</v>
      </c>
      <c r="I16" s="390">
        <f>IF(H16,Wh_hp,'2018'!Maxi_hp)</f>
        <v>5.4749781476770405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4.8942127298687854E-3</v>
      </c>
      <c r="M16" s="959"/>
      <c r="N16" s="959"/>
      <c r="O16" s="48">
        <f>IF(t&lt;Tnet,'2018'!Resal+('2018'!Salim-'2018'!Resal)*(1-EXP(('2018'!Tnet-t)/('2018'!Tau_j))),Resal+(Salim-Resal)*(1-EXP((Tnet-t)/(Tau_j))))*Salcycl</f>
        <v>2.5913676989993677E-2</v>
      </c>
      <c r="P16" s="169">
        <f>(INDEX(Models!$BJ16:$BT16,,T16)*(1-R16)+INDEX(Models!$BJ16:$BT16,,T16+1)*R16-ERP_i)*Q16*Ramure*Pc/MaxiM</f>
        <v>2.1946120508253278E-4</v>
      </c>
      <c r="Q16" s="305">
        <f t="shared" si="4"/>
        <v>0.7</v>
      </c>
      <c r="R16" s="177">
        <f t="shared" si="5"/>
        <v>0.50006818856208168</v>
      </c>
      <c r="S16" s="921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-1.4999318114379183</v>
      </c>
      <c r="V16" s="383">
        <f t="shared" si="8"/>
        <v>27.907176595691787</v>
      </c>
      <c r="W16" s="58"/>
      <c r="X16" s="157">
        <f t="shared" si="9"/>
        <v>43467</v>
      </c>
      <c r="Y16" s="385">
        <f t="shared" si="10"/>
        <v>5.3070000000000004</v>
      </c>
      <c r="Z16" s="385">
        <f t="shared" si="11"/>
        <v>5.3331013324308634</v>
      </c>
      <c r="AA16" s="386">
        <f t="shared" si="12"/>
        <v>5.4749781476770405</v>
      </c>
      <c r="AB16" s="197">
        <f t="shared" si="13"/>
        <v>43467</v>
      </c>
      <c r="AC16" s="427">
        <f>IF(OR(t&lt;Tnet,NoTnet),'2018'!Resal_s+('2018'!Salim-'2018'!Resal_s)*(1-EXP(('2018'!Tnet_s-t)/'2018'!Tau_j)),Resal_s+(Salim-Resal_s)*(1-EXP((Tnet_s-t)/Tau_j)))*Salcycl</f>
        <v>2.5913676989993677E-2</v>
      </c>
      <c r="AD16" s="231">
        <f>(INDEX(Models!$BJ16:$BT16,,AH16)*(1-AF16)+INDEX(Models!$BJ16:$BT16,,AH16+1)*AF16-ERP_i)*AE16*Ramure*Pc/MaxiM</f>
        <v>2.1946120508253278E-4</v>
      </c>
      <c r="AE16" s="305">
        <f t="shared" si="14"/>
        <v>0.7</v>
      </c>
      <c r="AF16" s="177">
        <f t="shared" si="15"/>
        <v>0.50006818856208168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-1.4999318114379183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20">
        <v>29.332000000000001</v>
      </c>
      <c r="C17" s="390"/>
      <c r="D17" s="393">
        <f t="shared" si="0"/>
        <v>29.47690872205478</v>
      </c>
      <c r="E17" s="385">
        <f>Wh_pvt/(1-Psa)</f>
        <v>30.264291902110628</v>
      </c>
      <c r="F17" s="385">
        <f t="shared" si="2"/>
        <v>30.270872638205173</v>
      </c>
      <c r="G17" s="110">
        <f t="shared" ref="G17:G79" si="23">+Wh_hp/MaxiM</f>
        <v>1.0432752302563371</v>
      </c>
      <c r="H17" s="414" t="b">
        <f>Wh_hp&gt;='2018'!Maxi_hp</f>
        <v>1</v>
      </c>
      <c r="I17" s="390">
        <f>IF(H17,Wh_hp,'2018'!Maxi_hp)</f>
        <v>30.270872638205173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4.9160081004816503E-3</v>
      </c>
      <c r="M17" s="959"/>
      <c r="N17" s="959"/>
      <c r="O17" s="48">
        <f>IF(t&lt;Tnet,'2018'!Resal+('2018'!Salim-'2018'!Resal)*(1-EXP(('2018'!Tnet-t)/('2018'!Tau_j))),Resal+(Salim-Resal)*(1-EXP((Tnet-t)/(Tau_j))))*Salcycl</f>
        <v>2.6016904099478839E-2</v>
      </c>
      <c r="P17" s="169">
        <f>(INDEX(Models!$BJ17:$BT17,,T17)*(1-R17)+INDEX(Models!$BJ17:$BT17,,T17+1)*R17-ERP_i)*Q17*Ramure*Pc/MaxiM</f>
        <v>2.1739499132376056E-4</v>
      </c>
      <c r="Q17" s="305">
        <f t="shared" si="4"/>
        <v>0.7</v>
      </c>
      <c r="R17" s="177">
        <f t="shared" si="5"/>
        <v>0.5000986251575712</v>
      </c>
      <c r="S17" s="921">
        <f t="shared" si="6"/>
        <v>-2</v>
      </c>
      <c r="T17" s="176">
        <f t="shared" si="7"/>
        <v>4</v>
      </c>
      <c r="U17" s="251">
        <f t="shared" si="21"/>
        <v>-1.4999013748424288</v>
      </c>
      <c r="V17" s="383">
        <f t="shared" si="8"/>
        <v>28.115303756222609</v>
      </c>
      <c r="W17" s="58"/>
      <c r="X17" s="157">
        <f t="shared" si="9"/>
        <v>43468</v>
      </c>
      <c r="Y17" s="385">
        <f t="shared" si="10"/>
        <v>29.332000000000001</v>
      </c>
      <c r="Z17" s="385">
        <f t="shared" si="11"/>
        <v>29.47690872205478</v>
      </c>
      <c r="AA17" s="386">
        <f t="shared" si="12"/>
        <v>30.264291902110628</v>
      </c>
      <c r="AB17" s="197">
        <f t="shared" si="13"/>
        <v>43468</v>
      </c>
      <c r="AC17" s="427">
        <f>IF(OR(t&lt;Tnet,NoTnet),'2018'!Resal_s+('2018'!Salim-'2018'!Resal_s)*(1-EXP(('2018'!Tnet_s-t)/'2018'!Tau_j)),Resal_s+(Salim-Resal_s)*(1-EXP((Tnet_s-t)/Tau_j)))*Salcycl</f>
        <v>2.6016904099478839E-2</v>
      </c>
      <c r="AD17" s="231">
        <f>(INDEX(Models!$BJ17:$BT17,,AH17)*(1-AF17)+INDEX(Models!$BJ17:$BT17,,AH17+1)*AF17-ERP_i)*AE17*Ramure*Pc/MaxiM</f>
        <v>2.1739499132376056E-4</v>
      </c>
      <c r="AE17" s="305">
        <f t="shared" si="14"/>
        <v>0.7</v>
      </c>
      <c r="AF17" s="177">
        <f t="shared" si="15"/>
        <v>0.5000986251575712</v>
      </c>
      <c r="AG17" s="176">
        <f t="shared" si="16"/>
        <v>-2</v>
      </c>
      <c r="AH17" s="176">
        <f t="shared" si="17"/>
        <v>4</v>
      </c>
      <c r="AI17" s="225">
        <f t="shared" si="22"/>
        <v>-1.4999013748424288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20">
        <v>25.105</v>
      </c>
      <c r="C18" s="390"/>
      <c r="D18" s="393">
        <f t="shared" si="0"/>
        <v>25.229578689181736</v>
      </c>
      <c r="E18" s="385">
        <f>Wh_pvt/(1-Psa)</f>
        <v>25.906252089207243</v>
      </c>
      <c r="F18" s="385">
        <f t="shared" si="2"/>
        <v>25.910930416910517</v>
      </c>
      <c r="G18" s="110">
        <f>+Wh_hp/MaxiM</f>
        <v>0.88620799154756658</v>
      </c>
      <c r="H18" s="414" t="b">
        <f>Wh_hp&gt;='2018'!Maxi_hp</f>
        <v>1</v>
      </c>
      <c r="I18" s="390">
        <f>IF(H18,Wh_hp,'2018'!Maxi_hp)</f>
        <v>25.910930416910517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4.9378029937200418E-3</v>
      </c>
      <c r="M18" s="959"/>
      <c r="N18" s="959"/>
      <c r="O18" s="48">
        <f>IF(t&lt;Tnet,'2018'!Resal+('2018'!Salim-'2018'!Resal)*(1-EXP(('2018'!Tnet-t)/('2018'!Tau_j))),Resal+(Salim-Resal)*(1-EXP((Tnet-t)/(Tau_j))))*Salcycl</f>
        <v>2.6120080886089119E-2</v>
      </c>
      <c r="P18" s="169">
        <f>(INDEX(Models!$BJ18:$BT18,,T18)*(1-R18)+INDEX(Models!$BJ18:$BT18,,T18+1)*R18-ERP_i)*Q18*Ramure*Pc/MaxiM</f>
        <v>2.1559114993856927E-4</v>
      </c>
      <c r="Q18" s="305">
        <f>IF(OR(t&lt;Ttai,Notai),Dd+PousD*Croivg,Dens+PousD*(Croivg-Croi_tai))</f>
        <v>0.7</v>
      </c>
      <c r="R18" s="177">
        <f t="shared" si="5"/>
        <v>0.50013033468886636</v>
      </c>
      <c r="S18" s="921">
        <f t="shared" si="6"/>
        <v>-2</v>
      </c>
      <c r="T18" s="176">
        <f t="shared" si="7"/>
        <v>4</v>
      </c>
      <c r="U18" s="251">
        <f t="shared" si="21"/>
        <v>-1.4998696653111336</v>
      </c>
      <c r="V18" s="383">
        <f t="shared" si="8"/>
        <v>28.32757149376058</v>
      </c>
      <c r="W18" s="58"/>
      <c r="X18" s="157">
        <f t="shared" si="9"/>
        <v>43469</v>
      </c>
      <c r="Y18" s="385">
        <f t="shared" si="10"/>
        <v>25.105</v>
      </c>
      <c r="Z18" s="385">
        <f>Wh_sa_s*(1-Psa_s)</f>
        <v>25.229578689181736</v>
      </c>
      <c r="AA18" s="386">
        <f t="shared" si="12"/>
        <v>25.906252089207243</v>
      </c>
      <c r="AB18" s="197">
        <f>t</f>
        <v>43469</v>
      </c>
      <c r="AC18" s="427">
        <f>IF(OR(t&lt;Tnet,NoTnet),'2018'!Resal_s+('2018'!Salim-'2018'!Resal_s)*(1-EXP(('2018'!Tnet_s-t)/'2018'!Tau_j)),Resal_s+(Salim-Resal_s)*(1-EXP((Tnet_s-t)/Tau_j)))*Salcycl</f>
        <v>2.6120080886089119E-2</v>
      </c>
      <c r="AD18" s="231">
        <f>(INDEX(Models!$BJ18:$BT18,,AH18)*(1-AF18)+INDEX(Models!$BJ18:$BT18,,AH18+1)*AF18-ERP_i)*AE18*Ramure*Pc/MaxiM</f>
        <v>2.1559114993856927E-4</v>
      </c>
      <c r="AE18" s="305">
        <f t="shared" si="14"/>
        <v>0.7</v>
      </c>
      <c r="AF18" s="177">
        <f t="shared" si="15"/>
        <v>0.50013033468886636</v>
      </c>
      <c r="AG18" s="176">
        <f t="shared" si="16"/>
        <v>-2</v>
      </c>
      <c r="AH18" s="176">
        <f t="shared" si="17"/>
        <v>4</v>
      </c>
      <c r="AI18" s="225">
        <f t="shared" si="22"/>
        <v>-1.4998696653111336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20">
        <v>28.934999999999999</v>
      </c>
      <c r="C19" s="390"/>
      <c r="D19" s="393">
        <f t="shared" si="0"/>
        <v>29.079221230286748</v>
      </c>
      <c r="E19" s="385">
        <f>Wh_pvt/(1-Psa)</f>
        <v>29.86230654893907</v>
      </c>
      <c r="F19" s="385">
        <f t="shared" si="2"/>
        <v>29.868700088933423</v>
      </c>
      <c r="G19" s="110">
        <f>+Wh_hp/MaxiM</f>
        <v>1.0137527952270253</v>
      </c>
      <c r="H19" s="414" t="b">
        <f>Wh_hp&gt;='2018'!Maxi_hp</f>
        <v>1</v>
      </c>
      <c r="I19" s="390">
        <f>IF(H19,Wh_hp,'2018'!Maxi_hp)</f>
        <v>29.868700088933423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4.9595974095942852E-3</v>
      </c>
      <c r="M19" s="959"/>
      <c r="N19" s="959"/>
      <c r="O19" s="48">
        <f>IF(t&lt;Tnet,'2018'!Resal+('2018'!Salim-'2018'!Resal)*(1-EXP(('2018'!Tnet-t)/('2018'!Tau_j))),Resal+(Salim-Resal)*(1-EXP((Tnet-t)/(Tau_j))))*Salcycl</f>
        <v>2.6223202731141447E-2</v>
      </c>
      <c r="P19" s="169">
        <f>(INDEX(Models!$BJ19:$BT19,,T19)*(1-R19)+INDEX(Models!$BJ19:$BT19,,T19+1)*R19-ERP_i)*Q19*Ramure*Pc/MaxiM</f>
        <v>2.1405484588594742E-4</v>
      </c>
      <c r="Q19" s="305">
        <f t="shared" si="4"/>
        <v>0.7</v>
      </c>
      <c r="R19" s="177">
        <f t="shared" si="5"/>
        <v>0.50016337022142787</v>
      </c>
      <c r="S19" s="921">
        <f t="shared" si="6"/>
        <v>-2</v>
      </c>
      <c r="T19" s="176">
        <f t="shared" si="7"/>
        <v>4</v>
      </c>
      <c r="U19" s="251">
        <f t="shared" si="21"/>
        <v>-1.4998366297785721</v>
      </c>
      <c r="V19" s="383">
        <f t="shared" si="8"/>
        <v>28.542461373455584</v>
      </c>
      <c r="W19" s="58"/>
      <c r="X19" s="157">
        <f t="shared" si="9"/>
        <v>43470</v>
      </c>
      <c r="Y19" s="385">
        <f t="shared" si="10"/>
        <v>28.934999999999999</v>
      </c>
      <c r="Z19" s="385">
        <f t="shared" si="11"/>
        <v>29.079221230286748</v>
      </c>
      <c r="AA19" s="386">
        <f t="shared" si="12"/>
        <v>29.86230654893907</v>
      </c>
      <c r="AB19" s="197">
        <f t="shared" si="13"/>
        <v>43470</v>
      </c>
      <c r="AC19" s="427">
        <f>IF(OR(t&lt;Tnet,NoTnet),'2018'!Resal_s+('2018'!Salim-'2018'!Resal_s)*(1-EXP(('2018'!Tnet_s-t)/'2018'!Tau_j)),Resal_s+(Salim-Resal_s)*(1-EXP((Tnet_s-t)/Tau_j)))*Salcycl</f>
        <v>2.6223202731141447E-2</v>
      </c>
      <c r="AD19" s="231">
        <f>(INDEX(Models!$BJ19:$BT19,,AH19)*(1-AF19)+INDEX(Models!$BJ19:$BT19,,AH19+1)*AF19-ERP_i)*AE19*Ramure*Pc/MaxiM</f>
        <v>2.1405484588594742E-4</v>
      </c>
      <c r="AE19" s="305">
        <f t="shared" si="14"/>
        <v>0.7</v>
      </c>
      <c r="AF19" s="177">
        <f t="shared" si="15"/>
        <v>0.50016337022142787</v>
      </c>
      <c r="AG19" s="176">
        <f t="shared" si="16"/>
        <v>-2</v>
      </c>
      <c r="AH19" s="176">
        <f t="shared" si="17"/>
        <v>4</v>
      </c>
      <c r="AI19" s="225">
        <f t="shared" si="22"/>
        <v>-1.4998366297785721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20">
        <v>5.101</v>
      </c>
      <c r="C20" s="390"/>
      <c r="D20" s="393">
        <f t="shared" si="0"/>
        <v>5.1265372884946956</v>
      </c>
      <c r="E20" s="385">
        <f t="shared" si="1"/>
        <v>5.2651490000139267</v>
      </c>
      <c r="F20" s="385">
        <f t="shared" si="2"/>
        <v>5.2651490000139267</v>
      </c>
      <c r="G20" s="110">
        <f t="shared" si="23"/>
        <v>0.17733617567110374</v>
      </c>
      <c r="H20" s="414" t="b">
        <f>Wh_hp&gt;='2018'!Maxi_hp</f>
        <v>1</v>
      </c>
      <c r="I20" s="390">
        <f>IF(H20,Wh_hp,'2018'!Maxi_hp)</f>
        <v>5.2651490000139267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4.9813913481149275E-3</v>
      </c>
      <c r="M20" s="959"/>
      <c r="N20" s="959"/>
      <c r="O20" s="48">
        <f>IF(t&lt;Tnet,'2018'!Resal+('2018'!Salim-'2018'!Resal)*(1-EXP(('2018'!Tnet-t)/('2018'!Tau_j))),Resal+(Salim-Resal)*(1-EXP((Tnet-t)/(Tau_j))))*Salcycl</f>
        <v>2.6326265699007687E-2</v>
      </c>
      <c r="P20" s="169">
        <f>(INDEX(Models!$BJ20:$BT20,,T20)*(1-R20)+INDEX(Models!$BJ20:$BT20,,T20+1)*R20-ERP_i)*Q20*Ramure*Pc/MaxiM</f>
        <v>2.1279071171815067E-4</v>
      </c>
      <c r="Q20" s="305">
        <f t="shared" si="4"/>
        <v>0.7</v>
      </c>
      <c r="R20" s="177">
        <f t="shared" si="5"/>
        <v>0.50019778701817863</v>
      </c>
      <c r="S20" s="921">
        <f t="shared" si="6"/>
        <v>-2</v>
      </c>
      <c r="T20" s="176">
        <f t="shared" si="7"/>
        <v>4</v>
      </c>
      <c r="U20" s="251">
        <f t="shared" si="21"/>
        <v>-1.4998022129818214</v>
      </c>
      <c r="V20" s="383">
        <f t="shared" si="8"/>
        <v>28.758455714293021</v>
      </c>
      <c r="W20" s="58"/>
      <c r="X20" s="157">
        <f t="shared" si="9"/>
        <v>43471</v>
      </c>
      <c r="Y20" s="385">
        <f t="shared" si="10"/>
        <v>5.101</v>
      </c>
      <c r="Z20" s="385">
        <f t="shared" si="11"/>
        <v>5.1265372884946956</v>
      </c>
      <c r="AA20" s="386">
        <f t="shared" si="12"/>
        <v>5.2651490000139267</v>
      </c>
      <c r="AB20" s="197">
        <f t="shared" si="13"/>
        <v>43471</v>
      </c>
      <c r="AC20" s="427">
        <f>IF(OR(t&lt;Tnet,NoTnet),'2018'!Resal_s+('2018'!Salim-'2018'!Resal_s)*(1-EXP(('2018'!Tnet_s-t)/'2018'!Tau_j)),Resal_s+(Salim-Resal_s)*(1-EXP((Tnet_s-t)/Tau_j)))*Salcycl</f>
        <v>2.6326265699007687E-2</v>
      </c>
      <c r="AD20" s="231">
        <f>(INDEX(Models!$BJ20:$BT20,,AH20)*(1-AF20)+INDEX(Models!$BJ20:$BT20,,AH20+1)*AF20-ERP_i)*AE20*Ramure*Pc/MaxiM</f>
        <v>2.1279071171815067E-4</v>
      </c>
      <c r="AE20" s="305">
        <f>IF(OR(t&lt;Ttai,Notai),Dd_s+PousD*Croivg,Dens_s+PousD*(Croivg-Croi_tai))</f>
        <v>0.7</v>
      </c>
      <c r="AF20" s="177">
        <f t="shared" si="15"/>
        <v>0.50019778701817863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-1.4998022129818214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20">
        <v>2.8239999999999998</v>
      </c>
      <c r="C21" s="390"/>
      <c r="D21" s="393">
        <f t="shared" si="0"/>
        <v>2.8382000393224707</v>
      </c>
      <c r="E21" s="385">
        <f t="shared" si="1"/>
        <v>2.9152479031284511</v>
      </c>
      <c r="F21" s="385">
        <f t="shared" si="2"/>
        <v>2.9152479031284511</v>
      </c>
      <c r="G21" s="110">
        <f t="shared" si="23"/>
        <v>9.7445924108427187E-2</v>
      </c>
      <c r="H21" s="414" t="b">
        <f>Wh_hp&gt;='2018'!Maxi_hp</f>
        <v>1</v>
      </c>
      <c r="I21" s="390">
        <f>IF(H21,Wh_hp,'2018'!Maxi_hp)</f>
        <v>2.9152479031284511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5.0031848092922937E-3</v>
      </c>
      <c r="M21" s="959"/>
      <c r="N21" s="959"/>
      <c r="O21" s="48">
        <f>IF(t&lt;Tnet,'2018'!Resal+('2018'!Salim-'2018'!Resal)*(1-EXP(('2018'!Tnet-t)/('2018'!Tau_j))),Resal+(Salim-Resal)*(1-EXP((Tnet-t)/(Tau_j))))*Salcycl</f>
        <v>2.642926652079837E-2</v>
      </c>
      <c r="P21" s="169">
        <f>(INDEX(Models!$BJ21:$BT21,,T21)*(1-R21)+INDEX(Models!$BJ21:$BT21,,T21+1)*R21-ERP_i)*Q21*Ramure*Pc/MaxiM</f>
        <v>2.1180299073097843E-4</v>
      </c>
      <c r="Q21" s="305">
        <f t="shared" si="4"/>
        <v>0.7</v>
      </c>
      <c r="R21" s="177">
        <f t="shared" si="5"/>
        <v>0.50023364262924175</v>
      </c>
      <c r="S21" s="921">
        <f t="shared" si="6"/>
        <v>-2</v>
      </c>
      <c r="T21" s="176">
        <f t="shared" si="7"/>
        <v>4</v>
      </c>
      <c r="U21" s="251">
        <f t="shared" si="21"/>
        <v>-1.4997663573707583</v>
      </c>
      <c r="V21" s="383">
        <f t="shared" si="8"/>
        <v>28.974037592507226</v>
      </c>
      <c r="W21" s="58"/>
      <c r="X21" s="157">
        <f t="shared" si="9"/>
        <v>43472</v>
      </c>
      <c r="Y21" s="385">
        <f t="shared" si="10"/>
        <v>2.8239999999999998</v>
      </c>
      <c r="Z21" s="385">
        <f t="shared" si="11"/>
        <v>2.8382000393224707</v>
      </c>
      <c r="AA21" s="386">
        <f t="shared" si="12"/>
        <v>2.9152479031284511</v>
      </c>
      <c r="AB21" s="197">
        <f t="shared" si="13"/>
        <v>43472</v>
      </c>
      <c r="AC21" s="427">
        <f>IF(OR(t&lt;Tnet,NoTnet),'2018'!Resal_s+('2018'!Salim-'2018'!Resal_s)*(1-EXP(('2018'!Tnet_s-t)/'2018'!Tau_j)),Resal_s+(Salim-Resal_s)*(1-EXP((Tnet_s-t)/Tau_j)))*Salcycl</f>
        <v>2.642926652079837E-2</v>
      </c>
      <c r="AD21" s="231">
        <f>(INDEX(Models!$BJ21:$BT21,,AH21)*(1-AF21)+INDEX(Models!$BJ21:$BT21,,AH21+1)*AF21-ERP_i)*AE21*Ramure*Pc/MaxiM</f>
        <v>2.1180299073097843E-4</v>
      </c>
      <c r="AE21" s="305">
        <f t="shared" si="14"/>
        <v>0.7</v>
      </c>
      <c r="AF21" s="177">
        <f t="shared" si="15"/>
        <v>0.50023364262924175</v>
      </c>
      <c r="AG21" s="176">
        <f t="shared" si="16"/>
        <v>-2</v>
      </c>
      <c r="AH21" s="176">
        <f t="shared" si="17"/>
        <v>4</v>
      </c>
      <c r="AI21" s="225">
        <f t="shared" si="22"/>
        <v>-1.4997663573707583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20">
        <v>5.6879999999999997</v>
      </c>
      <c r="C22" s="390"/>
      <c r="D22" s="393">
        <f t="shared" si="0"/>
        <v>5.7167264233266559</v>
      </c>
      <c r="E22" s="385">
        <f t="shared" si="1"/>
        <v>5.8725377854618364</v>
      </c>
      <c r="F22" s="385">
        <f t="shared" si="2"/>
        <v>5.8725377854618364</v>
      </c>
      <c r="G22" s="110">
        <f t="shared" si="23"/>
        <v>0.19483553251971331</v>
      </c>
      <c r="H22" s="414" t="b">
        <f>Wh_hp&gt;='2018'!Maxi_hp</f>
        <v>1</v>
      </c>
      <c r="I22" s="390">
        <f>IF(H22,Wh_hp,'2018'!Maxi_hp)</f>
        <v>5.8725377854618364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5.0249777931370421E-3</v>
      </c>
      <c r="M22" s="959"/>
      <c r="N22" s="959"/>
      <c r="O22" s="48">
        <f>IF(t&lt;Tnet,'2018'!Resal+('2018'!Salim-'2018'!Resal)*(1-EXP(('2018'!Tnet-t)/('2018'!Tau_j))),Resal+(Salim-Resal)*(1-EXP((Tnet-t)/(Tau_j))))*Salcycl</f>
        <v>2.653220257192887E-2</v>
      </c>
      <c r="P22" s="169">
        <f>(INDEX(Models!$BJ22:$BT22,,T22)*(1-R22)+INDEX(Models!$BJ22:$BT22,,T22+1)*R22-ERP_i)*Q22*Ramure*Pc/MaxiM</f>
        <v>2.1109567943982166E-4</v>
      </c>
      <c r="Q22" s="305">
        <f t="shared" si="4"/>
        <v>0.7</v>
      </c>
      <c r="R22" s="177">
        <f t="shared" si="5"/>
        <v>0.50027099698523902</v>
      </c>
      <c r="S22" s="921">
        <f t="shared" si="6"/>
        <v>-2</v>
      </c>
      <c r="T22" s="176">
        <f t="shared" si="7"/>
        <v>4</v>
      </c>
      <c r="U22" s="251">
        <f t="shared" si="21"/>
        <v>-1.499729003014761</v>
      </c>
      <c r="V22" s="383">
        <f t="shared" si="8"/>
        <v>29.187690839708413</v>
      </c>
      <c r="W22" s="58"/>
      <c r="X22" s="157">
        <f t="shared" si="9"/>
        <v>43473</v>
      </c>
      <c r="Y22" s="385">
        <f t="shared" si="10"/>
        <v>5.6879999999999997</v>
      </c>
      <c r="Z22" s="385">
        <f t="shared" si="11"/>
        <v>5.7167264233266559</v>
      </c>
      <c r="AA22" s="386">
        <f t="shared" si="12"/>
        <v>5.8725377854618364</v>
      </c>
      <c r="AB22" s="197">
        <f t="shared" si="13"/>
        <v>43473</v>
      </c>
      <c r="AC22" s="427">
        <f>IF(OR(t&lt;Tnet,NoTnet),'2018'!Resal_s+('2018'!Salim-'2018'!Resal_s)*(1-EXP(('2018'!Tnet_s-t)/'2018'!Tau_j)),Resal_s+(Salim-Resal_s)*(1-EXP((Tnet_s-t)/Tau_j)))*Salcycl</f>
        <v>2.653220257192887E-2</v>
      </c>
      <c r="AD22" s="231">
        <f>(INDEX(Models!$BJ22:$BT22,,AH22)*(1-AF22)+INDEX(Models!$BJ22:$BT22,,AH22+1)*AF22-ERP_i)*AE22*Ramure*Pc/MaxiM</f>
        <v>2.1109567943982166E-4</v>
      </c>
      <c r="AE22" s="305">
        <f t="shared" si="14"/>
        <v>0.7</v>
      </c>
      <c r="AF22" s="177">
        <f t="shared" si="15"/>
        <v>0.50027099698523902</v>
      </c>
      <c r="AG22" s="176">
        <f t="shared" si="16"/>
        <v>-2</v>
      </c>
      <c r="AH22" s="176">
        <f t="shared" si="17"/>
        <v>4</v>
      </c>
      <c r="AI22" s="225">
        <f t="shared" si="22"/>
        <v>-1.499729003014761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20">
        <v>8.6560000000000006</v>
      </c>
      <c r="C23" s="390"/>
      <c r="D23" s="393">
        <f t="shared" si="0"/>
        <v>8.6999064293775987</v>
      </c>
      <c r="E23" s="385">
        <f t="shared" si="1"/>
        <v>8.9379698997979755</v>
      </c>
      <c r="F23" s="385">
        <f t="shared" si="2"/>
        <v>8.9379698997979755</v>
      </c>
      <c r="G23" s="110">
        <f t="shared" si="23"/>
        <v>0.29434792678533478</v>
      </c>
      <c r="H23" s="414" t="b">
        <f>Wh_hp&gt;='2018'!Maxi_hp</f>
        <v>1</v>
      </c>
      <c r="I23" s="390">
        <f>IF(H23,Wh_hp,'2018'!Maxi_hp)</f>
        <v>8.9379698997979755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5.0467702996593866E-3</v>
      </c>
      <c r="M23" s="959"/>
      <c r="N23" s="959"/>
      <c r="O23" s="48">
        <f>IF(t&lt;Tnet,'2018'!Resal+('2018'!Salim-'2018'!Resal)*(1-EXP(('2018'!Tnet-t)/('2018'!Tau_j))),Resal+(Salim-Resal)*(1-EXP((Tnet-t)/(Tau_j))))*Salcycl</f>
        <v>2.6635071843971743E-2</v>
      </c>
      <c r="P23" s="169">
        <f>(INDEX(Models!$BJ23:$BT23,,T23)*(1-R23)+INDEX(Models!$BJ23:$BT23,,T23+1)*R23-ERP_i)*Q23*Ramure*Pc/MaxiM</f>
        <v>2.1064916538101965E-4</v>
      </c>
      <c r="Q23" s="305">
        <f t="shared" si="4"/>
        <v>0.7</v>
      </c>
      <c r="R23" s="177">
        <f t="shared" si="5"/>
        <v>0.50030991249427403</v>
      </c>
      <c r="S23" s="921">
        <f t="shared" si="6"/>
        <v>-2</v>
      </c>
      <c r="T23" s="176">
        <f t="shared" si="7"/>
        <v>4</v>
      </c>
      <c r="U23" s="251">
        <f t="shared" si="21"/>
        <v>-1.499690087505726</v>
      </c>
      <c r="V23" s="383">
        <f t="shared" si="8"/>
        <v>29.401180824813057</v>
      </c>
      <c r="W23" s="58"/>
      <c r="X23" s="157">
        <f t="shared" si="9"/>
        <v>43474</v>
      </c>
      <c r="Y23" s="385">
        <f t="shared" si="10"/>
        <v>8.6560000000000006</v>
      </c>
      <c r="Z23" s="385">
        <f t="shared" si="11"/>
        <v>8.6999064293775987</v>
      </c>
      <c r="AA23" s="386">
        <f t="shared" si="12"/>
        <v>8.9379698997979755</v>
      </c>
      <c r="AB23" s="197">
        <f t="shared" si="13"/>
        <v>43474</v>
      </c>
      <c r="AC23" s="427">
        <f>IF(OR(t&lt;Tnet,NoTnet),'2018'!Resal_s+('2018'!Salim-'2018'!Resal_s)*(1-EXP(('2018'!Tnet_s-t)/'2018'!Tau_j)),Resal_s+(Salim-Resal_s)*(1-EXP((Tnet_s-t)/Tau_j)))*Salcycl</f>
        <v>2.6635071843971743E-2</v>
      </c>
      <c r="AD23" s="231">
        <f>(INDEX(Models!$BJ23:$BT23,,AH23)*(1-AF23)+INDEX(Models!$BJ23:$BT23,,AH23+1)*AF23-ERP_i)*AE23*Ramure*Pc/MaxiM</f>
        <v>2.1064916538101965E-4</v>
      </c>
      <c r="AE23" s="305">
        <f t="shared" si="14"/>
        <v>0.7</v>
      </c>
      <c r="AF23" s="177">
        <f t="shared" si="15"/>
        <v>0.50030991249427403</v>
      </c>
      <c r="AG23" s="176">
        <f t="shared" si="16"/>
        <v>-2</v>
      </c>
      <c r="AH23" s="176">
        <f t="shared" si="17"/>
        <v>4</v>
      </c>
      <c r="AI23" s="225">
        <f t="shared" si="22"/>
        <v>-1.499690087505726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20">
        <v>10.48</v>
      </c>
      <c r="C24" s="390"/>
      <c r="D24" s="393">
        <f t="shared" si="0"/>
        <v>10.533389139387227</v>
      </c>
      <c r="E24" s="385">
        <f t="shared" si="1"/>
        <v>10.822766905453298</v>
      </c>
      <c r="F24" s="385">
        <f t="shared" si="2"/>
        <v>10.822941868477683</v>
      </c>
      <c r="G24" s="110">
        <f t="shared" si="23"/>
        <v>0.35377590601962383</v>
      </c>
      <c r="H24" s="414" t="b">
        <f>Wh_hp&gt;='2018'!Maxi_hp</f>
        <v>1</v>
      </c>
      <c r="I24" s="390">
        <f>IF(H24,Wh_hp,'2018'!Maxi_hp)</f>
        <v>10.822941868477683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5.0685623288699855E-3</v>
      </c>
      <c r="M24" s="959"/>
      <c r="N24" s="959"/>
      <c r="O24" s="48">
        <f>IF(t&lt;Tnet,'2018'!Resal+('2018'!Salim-'2018'!Resal)*(1-EXP(('2018'!Tnet-t)/('2018'!Tau_j))),Resal+(Salim-Resal)*(1-EXP((Tnet-t)/(Tau_j))))*Salcycl</f>
        <v>2.6737872911248035E-2</v>
      </c>
      <c r="P24" s="169">
        <f>(INDEX(Models!$BJ24:$BT24,,T24)*(1-R24)+INDEX(Models!$BJ24:$BT24,,T24+1)*R24-ERP_i)*Q24*Ramure*Pc/MaxiM</f>
        <v>2.1016346629683339E-4</v>
      </c>
      <c r="Q24" s="305">
        <f t="shared" si="4"/>
        <v>0.7</v>
      </c>
      <c r="R24" s="177">
        <f t="shared" si="5"/>
        <v>0.50035045414274371</v>
      </c>
      <c r="S24" s="921">
        <f t="shared" si="6"/>
        <v>-2</v>
      </c>
      <c r="T24" s="176">
        <f t="shared" si="7"/>
        <v>4</v>
      </c>
      <c r="U24" s="251">
        <f t="shared" si="21"/>
        <v>-1.4996495458572563</v>
      </c>
      <c r="V24" s="383">
        <f t="shared" si="8"/>
        <v>29.617525373453358</v>
      </c>
      <c r="W24" s="58"/>
      <c r="X24" s="157">
        <f t="shared" si="9"/>
        <v>43475</v>
      </c>
      <c r="Y24" s="385">
        <f t="shared" si="10"/>
        <v>10.48</v>
      </c>
      <c r="Z24" s="385">
        <f t="shared" si="11"/>
        <v>10.533389139387227</v>
      </c>
      <c r="AA24" s="386">
        <f t="shared" si="12"/>
        <v>10.822766905453298</v>
      </c>
      <c r="AB24" s="197">
        <f t="shared" si="13"/>
        <v>43475</v>
      </c>
      <c r="AC24" s="427">
        <f>IF(OR(t&lt;Tnet,NoTnet),'2018'!Resal_s+('2018'!Salim-'2018'!Resal_s)*(1-EXP(('2018'!Tnet_s-t)/'2018'!Tau_j)),Resal_s+(Salim-Resal_s)*(1-EXP((Tnet_s-t)/Tau_j)))*Salcycl</f>
        <v>2.6737872911248035E-2</v>
      </c>
      <c r="AD24" s="231">
        <f>(INDEX(Models!$BJ24:$BT24,,AH24)*(1-AF24)+INDEX(Models!$BJ24:$BT24,,AH24+1)*AF24-ERP_i)*AE24*Ramure*Pc/MaxiM</f>
        <v>2.1016346629683339E-4</v>
      </c>
      <c r="AE24" s="305">
        <f t="shared" si="14"/>
        <v>0.7</v>
      </c>
      <c r="AF24" s="177">
        <f t="shared" si="15"/>
        <v>0.50035045414274371</v>
      </c>
      <c r="AG24" s="176">
        <f t="shared" si="16"/>
        <v>-2</v>
      </c>
      <c r="AH24" s="176">
        <f t="shared" si="17"/>
        <v>4</v>
      </c>
      <c r="AI24" s="225">
        <f t="shared" si="22"/>
        <v>-1.4996495458572563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20">
        <v>28.016999999999999</v>
      </c>
      <c r="C25" s="390"/>
      <c r="D25" s="393">
        <f t="shared" si="0"/>
        <v>28.160346127192643</v>
      </c>
      <c r="E25" s="385">
        <f t="shared" si="1"/>
        <v>28.937033613169206</v>
      </c>
      <c r="F25" s="385">
        <f t="shared" si="2"/>
        <v>28.942569822543398</v>
      </c>
      <c r="G25" s="110">
        <f t="shared" si="23"/>
        <v>0.93898230185671927</v>
      </c>
      <c r="H25" s="414" t="b">
        <f>Wh_hp&gt;='2018'!Maxi_hp</f>
        <v>1</v>
      </c>
      <c r="I25" s="390">
        <f>IF(H25,Wh_hp,'2018'!Maxi_hp)</f>
        <v>28.942569822543398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5.0903538807792748E-3</v>
      </c>
      <c r="M25" s="959"/>
      <c r="N25" s="959"/>
      <c r="O25" s="48">
        <f>IF(t&lt;Tnet,'2018'!Resal+('2018'!Salim-'2018'!Resal)*(1-EXP(('2018'!Tnet-t)/('2018'!Tau_j))),Resal+(Salim-Resal)*(1-EXP((Tnet-t)/(Tau_j))))*Salcycl</f>
        <v>2.6840604892655395E-2</v>
      </c>
      <c r="P25" s="169">
        <f>(INDEX(Models!$BJ25:$BT25,,T25)*(1-R25)+INDEX(Models!$BJ25:$BT25,,T25+1)*R25-ERP_i)*Q25*Ramure*Pc/MaxiM</f>
        <v>2.0954291021718421E-4</v>
      </c>
      <c r="Q25" s="305">
        <f t="shared" si="4"/>
        <v>0.7</v>
      </c>
      <c r="R25" s="177">
        <f t="shared" si="5"/>
        <v>0.50039268960010963</v>
      </c>
      <c r="S25" s="921">
        <f t="shared" si="6"/>
        <v>-2</v>
      </c>
      <c r="T25" s="176">
        <f t="shared" si="7"/>
        <v>4</v>
      </c>
      <c r="U25" s="251">
        <f t="shared" si="21"/>
        <v>-1.4996073103998904</v>
      </c>
      <c r="V25" s="383">
        <f t="shared" si="8"/>
        <v>29.837078129160478</v>
      </c>
      <c r="W25" s="58"/>
      <c r="X25" s="157">
        <f t="shared" si="9"/>
        <v>43476</v>
      </c>
      <c r="Y25" s="385">
        <f t="shared" si="10"/>
        <v>28.016999999999999</v>
      </c>
      <c r="Z25" s="385">
        <f t="shared" si="11"/>
        <v>28.160346127192643</v>
      </c>
      <c r="AA25" s="386">
        <f t="shared" si="12"/>
        <v>28.937033613169206</v>
      </c>
      <c r="AB25" s="197">
        <f t="shared" si="13"/>
        <v>43476</v>
      </c>
      <c r="AC25" s="427">
        <f>IF(OR(t&lt;Tnet,NoTnet),'2018'!Resal_s+('2018'!Salim-'2018'!Resal_s)*(1-EXP(('2018'!Tnet_s-t)/'2018'!Tau_j)),Resal_s+(Salim-Resal_s)*(1-EXP((Tnet_s-t)/Tau_j)))*Salcycl</f>
        <v>2.6840604892655395E-2</v>
      </c>
      <c r="AD25" s="231">
        <f>(INDEX(Models!$BJ25:$BT25,,AH25)*(1-AF25)+INDEX(Models!$BJ25:$BT25,,AH25+1)*AF25-ERP_i)*AE25*Ramure*Pc/MaxiM</f>
        <v>2.0954291021718421E-4</v>
      </c>
      <c r="AE25" s="305">
        <f t="shared" si="14"/>
        <v>0.7</v>
      </c>
      <c r="AF25" s="177">
        <f t="shared" si="15"/>
        <v>0.50039268960010963</v>
      </c>
      <c r="AG25" s="176">
        <f t="shared" si="16"/>
        <v>-2</v>
      </c>
      <c r="AH25" s="176">
        <f t="shared" si="17"/>
        <v>4</v>
      </c>
      <c r="AI25" s="225">
        <f t="shared" si="22"/>
        <v>-1.4996073103998904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20">
        <v>8.0869999999999997</v>
      </c>
      <c r="C26" s="390"/>
      <c r="D26" s="393">
        <f t="shared" si="0"/>
        <v>8.1285543481053413</v>
      </c>
      <c r="E26" s="385">
        <f t="shared" si="1"/>
        <v>8.3536283917005942</v>
      </c>
      <c r="F26" s="385">
        <f t="shared" si="2"/>
        <v>8.3536283917005942</v>
      </c>
      <c r="G26" s="110">
        <f t="shared" si="23"/>
        <v>0.26897074176535524</v>
      </c>
      <c r="H26" s="414" t="b">
        <f>Wh_hp&gt;='2018'!Maxi_hp</f>
        <v>1</v>
      </c>
      <c r="I26" s="390">
        <f>IF(H26,Wh_hp,'2018'!Maxi_hp)</f>
        <v>8.3536283917005942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5.1121449553975795E-3</v>
      </c>
      <c r="M26" s="959"/>
      <c r="N26" s="959"/>
      <c r="O26" s="48">
        <f>IF(t&lt;Tnet,'2018'!Resal+('2018'!Salim-'2018'!Resal)*(1-EXP(('2018'!Tnet-t)/('2018'!Tau_j))),Resal+(Salim-Resal)*(1-EXP((Tnet-t)/(Tau_j))))*Salcycl</f>
        <v>2.6943267409269191E-2</v>
      </c>
      <c r="P26" s="169">
        <f>(INDEX(Models!$BJ26:$BT26,,T26)*(1-R26)+INDEX(Models!$BJ26:$BT26,,T26+1)*R26-ERP_i)*Q26*Ramure*Pc/MaxiM</f>
        <v>2.0878763043823801E-4</v>
      </c>
      <c r="Q26" s="305">
        <f t="shared" si="4"/>
        <v>0.7</v>
      </c>
      <c r="R26" s="177">
        <f t="shared" si="5"/>
        <v>0.50043668932778074</v>
      </c>
      <c r="S26" s="921">
        <f t="shared" si="6"/>
        <v>-2</v>
      </c>
      <c r="T26" s="176">
        <f t="shared" si="7"/>
        <v>4</v>
      </c>
      <c r="U26" s="251">
        <f t="shared" si="21"/>
        <v>-1.4995633106722193</v>
      </c>
      <c r="V26" s="383">
        <f t="shared" si="8"/>
        <v>30.060189749136779</v>
      </c>
      <c r="W26" s="58"/>
      <c r="X26" s="157">
        <f t="shared" si="9"/>
        <v>43477</v>
      </c>
      <c r="Y26" s="385">
        <f t="shared" si="10"/>
        <v>8.0869999999999997</v>
      </c>
      <c r="Z26" s="385">
        <f t="shared" si="11"/>
        <v>8.1285543481053413</v>
      </c>
      <c r="AA26" s="386">
        <f t="shared" si="12"/>
        <v>8.3536283917005942</v>
      </c>
      <c r="AB26" s="197">
        <f t="shared" si="13"/>
        <v>43477</v>
      </c>
      <c r="AC26" s="427">
        <f>IF(OR(t&lt;Tnet,NoTnet),'2018'!Resal_s+('2018'!Salim-'2018'!Resal_s)*(1-EXP(('2018'!Tnet_s-t)/'2018'!Tau_j)),Resal_s+(Salim-Resal_s)*(1-EXP((Tnet_s-t)/Tau_j)))*Salcycl</f>
        <v>2.6943267409269191E-2</v>
      </c>
      <c r="AD26" s="231">
        <f>(INDEX(Models!$BJ26:$BT26,,AH26)*(1-AF26)+INDEX(Models!$BJ26:$BT26,,AH26+1)*AF26-ERP_i)*AE26*Ramure*Pc/MaxiM</f>
        <v>2.0878763043823801E-4</v>
      </c>
      <c r="AE26" s="305">
        <f t="shared" si="14"/>
        <v>0.7</v>
      </c>
      <c r="AF26" s="177">
        <f t="shared" si="15"/>
        <v>0.50043668932778074</v>
      </c>
      <c r="AG26" s="176">
        <f t="shared" si="16"/>
        <v>-2</v>
      </c>
      <c r="AH26" s="176">
        <f t="shared" si="17"/>
        <v>4</v>
      </c>
      <c r="AI26" s="225">
        <f t="shared" si="22"/>
        <v>-1.4995633106722193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20">
        <v>3.1240000000000001</v>
      </c>
      <c r="C27" s="390"/>
      <c r="D27" s="393">
        <f t="shared" si="0"/>
        <v>3.1401211797646913</v>
      </c>
      <c r="E27" s="385">
        <f t="shared" si="1"/>
        <v>3.2274092399688667</v>
      </c>
      <c r="F27" s="385">
        <f t="shared" si="2"/>
        <v>3.2274092399688667</v>
      </c>
      <c r="G27" s="110">
        <f t="shared" si="23"/>
        <v>0.10312440318117429</v>
      </c>
      <c r="H27" s="414" t="b">
        <f>Wh_hp&gt;='2018'!Maxi_hp</f>
        <v>1</v>
      </c>
      <c r="I27" s="390">
        <f>IF(H27,Wh_hp,'2018'!Maxi_hp)</f>
        <v>3.2274092399688667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5.1339355527353359E-3</v>
      </c>
      <c r="M27" s="959"/>
      <c r="N27" s="959"/>
      <c r="O27" s="48">
        <f>IF(t&lt;Tnet,'2018'!Resal+('2018'!Salim-'2018'!Resal)*(1-EXP(('2018'!Tnet-t)/('2018'!Tau_j))),Resal+(Salim-Resal)*(1-EXP((Tnet-t)/(Tau_j))))*Salcycl</f>
        <v>2.7045860538286576E-2</v>
      </c>
      <c r="P27" s="169">
        <f>(INDEX(Models!$BJ27:$BT27,,T27)*(1-R27)+INDEX(Models!$BJ27:$BT27,,T27+1)*R27-ERP_i)*Q27*Ramure*Pc/MaxiM</f>
        <v>2.0789792356120849E-4</v>
      </c>
      <c r="Q27" s="305">
        <f t="shared" si="4"/>
        <v>0.7</v>
      </c>
      <c r="R27" s="177">
        <f t="shared" si="5"/>
        <v>0.50048252669224991</v>
      </c>
      <c r="S27" s="921">
        <f t="shared" si="6"/>
        <v>-2</v>
      </c>
      <c r="T27" s="176">
        <f t="shared" si="7"/>
        <v>4</v>
      </c>
      <c r="U27" s="251">
        <f t="shared" si="21"/>
        <v>-1.4995174733077501</v>
      </c>
      <c r="V27" s="383">
        <f t="shared" si="8"/>
        <v>30.287210694441846</v>
      </c>
      <c r="W27" s="58"/>
      <c r="X27" s="157">
        <f t="shared" si="9"/>
        <v>43478</v>
      </c>
      <c r="Y27" s="385">
        <f t="shared" si="10"/>
        <v>3.1240000000000001</v>
      </c>
      <c r="Z27" s="385">
        <f t="shared" si="11"/>
        <v>3.1401211797646913</v>
      </c>
      <c r="AA27" s="386">
        <f t="shared" si="12"/>
        <v>3.2274092399688667</v>
      </c>
      <c r="AB27" s="197">
        <f t="shared" si="13"/>
        <v>43478</v>
      </c>
      <c r="AC27" s="427">
        <f>IF(OR(t&lt;Tnet,NoTnet),'2018'!Resal_s+('2018'!Salim-'2018'!Resal_s)*(1-EXP(('2018'!Tnet_s-t)/'2018'!Tau_j)),Resal_s+(Salim-Resal_s)*(1-EXP((Tnet_s-t)/Tau_j)))*Salcycl</f>
        <v>2.7045860538286576E-2</v>
      </c>
      <c r="AD27" s="231">
        <f>(INDEX(Models!$BJ27:$BT27,,AH27)*(1-AF27)+INDEX(Models!$BJ27:$BT27,,AH27+1)*AF27-ERP_i)*AE27*Ramure*Pc/MaxiM</f>
        <v>2.0789792356120849E-4</v>
      </c>
      <c r="AE27" s="305">
        <f t="shared" si="14"/>
        <v>0.7</v>
      </c>
      <c r="AF27" s="177">
        <f t="shared" si="15"/>
        <v>0.50048252669224991</v>
      </c>
      <c r="AG27" s="176">
        <f t="shared" si="16"/>
        <v>-2</v>
      </c>
      <c r="AH27" s="300">
        <f t="shared" si="17"/>
        <v>4</v>
      </c>
      <c r="AI27" s="225">
        <f t="shared" si="22"/>
        <v>-1.4995174733077501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20">
        <v>6.65</v>
      </c>
      <c r="C28" s="390"/>
      <c r="D28" s="393">
        <f t="shared" si="0"/>
        <v>6.6844632588324728</v>
      </c>
      <c r="E28" s="385">
        <f t="shared" si="1"/>
        <v>6.8709998052583758</v>
      </c>
      <c r="F28" s="385">
        <f t="shared" si="2"/>
        <v>6.8709998052583758</v>
      </c>
      <c r="G28" s="110">
        <f t="shared" si="23"/>
        <v>0.21785560218362265</v>
      </c>
      <c r="H28" s="414" t="b">
        <f>Wh_hp&gt;='2018'!Maxi_hp</f>
        <v>1</v>
      </c>
      <c r="I28" s="390">
        <f>IF(H28,Wh_hp,'2018'!Maxi_hp)</f>
        <v>6.8709998052583758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5.1557256728032019E-3</v>
      </c>
      <c r="M28" s="959"/>
      <c r="N28" s="959"/>
      <c r="O28" s="48">
        <f>IF(t&lt;Tnet,'2018'!Resal+('2018'!Salim-'2018'!Resal)*(1-EXP(('2018'!Tnet-t)/('2018'!Tau_j))),Resal+(Salim-Resal)*(1-EXP((Tnet-t)/(Tau_j))))*Salcycl</f>
        <v>2.7148384763909721E-2</v>
      </c>
      <c r="P28" s="169">
        <f>(INDEX(Models!$BJ28:$BT28,,T28)*(1-R28)+INDEX(Models!$BJ28:$BT28,,T28+1)*R28-ERP_i)*Q28*Ramure*Pc/MaxiM</f>
        <v>2.0687425660595264E-4</v>
      </c>
      <c r="Q28" s="305">
        <f t="shared" si="4"/>
        <v>0.7</v>
      </c>
      <c r="R28" s="177">
        <f t="shared" si="5"/>
        <v>0.5005302780826395</v>
      </c>
      <c r="S28" s="921">
        <f t="shared" si="6"/>
        <v>-2</v>
      </c>
      <c r="T28" s="176">
        <f t="shared" si="7"/>
        <v>4</v>
      </c>
      <c r="U28" s="251">
        <f t="shared" si="21"/>
        <v>-1.4994697219173605</v>
      </c>
      <c r="V28" s="383">
        <f t="shared" si="8"/>
        <v>30.518491237097884</v>
      </c>
      <c r="W28" s="58"/>
      <c r="X28" s="157">
        <f t="shared" si="9"/>
        <v>43479</v>
      </c>
      <c r="Y28" s="385">
        <f t="shared" si="10"/>
        <v>6.65</v>
      </c>
      <c r="Z28" s="385">
        <f t="shared" si="11"/>
        <v>6.6844632588324728</v>
      </c>
      <c r="AA28" s="386">
        <f t="shared" si="12"/>
        <v>6.8709998052583758</v>
      </c>
      <c r="AB28" s="197">
        <f t="shared" si="13"/>
        <v>43479</v>
      </c>
      <c r="AC28" s="427">
        <f>IF(OR(t&lt;Tnet,NoTnet),'2018'!Resal_s+('2018'!Salim-'2018'!Resal_s)*(1-EXP(('2018'!Tnet_s-t)/'2018'!Tau_j)),Resal_s+(Salim-Resal_s)*(1-EXP((Tnet_s-t)/Tau_j)))*Salcycl</f>
        <v>2.7148384763909721E-2</v>
      </c>
      <c r="AD28" s="231">
        <f>(INDEX(Models!$BJ28:$BT28,,AH28)*(1-AF28)+INDEX(Models!$BJ28:$BT28,,AH28+1)*AF28-ERP_i)*AE28*Ramure*Pc/MaxiM</f>
        <v>2.0687425660595264E-4</v>
      </c>
      <c r="AE28" s="305">
        <f t="shared" si="14"/>
        <v>0.7</v>
      </c>
      <c r="AF28" s="177">
        <f t="shared" si="15"/>
        <v>0.5005302780826395</v>
      </c>
      <c r="AG28" s="176">
        <f t="shared" si="16"/>
        <v>-2</v>
      </c>
      <c r="AH28" s="176">
        <f t="shared" si="17"/>
        <v>4</v>
      </c>
      <c r="AI28" s="225">
        <f t="shared" si="22"/>
        <v>-1.4994697219173605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20">
        <v>30.228999999999999</v>
      </c>
      <c r="C29" s="390"/>
      <c r="D29" s="393">
        <f t="shared" si="0"/>
        <v>30.386325666523582</v>
      </c>
      <c r="E29" s="385">
        <f t="shared" si="1"/>
        <v>31.237575877673219</v>
      </c>
      <c r="F29" s="385">
        <f t="shared" si="2"/>
        <v>31.24384641917025</v>
      </c>
      <c r="G29" s="110">
        <f t="shared" si="23"/>
        <v>0.9829119225457682</v>
      </c>
      <c r="H29" s="414" t="b">
        <f>Wh_hp&gt;='2018'!Maxi_hp</f>
        <v>1</v>
      </c>
      <c r="I29" s="390">
        <f>IF(H29,Wh_hp,'2018'!Maxi_hp)</f>
        <v>31.24384641917025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5.1775153156115028E-3</v>
      </c>
      <c r="M29" s="959"/>
      <c r="N29" s="959"/>
      <c r="O29" s="48">
        <f>IF(t&lt;Tnet,'2018'!Resal+('2018'!Salim-'2018'!Resal)*(1-EXP(('2018'!Tnet-t)/('2018'!Tau_j))),Resal+(Salim-Resal)*(1-EXP((Tnet-t)/(Tau_j))))*Salcycl</f>
        <v>2.7250840925785825E-2</v>
      </c>
      <c r="P29" s="169">
        <f>(INDEX(Models!$BJ29:$BT29,,T29)*(1-R29)+INDEX(Models!$BJ29:$BT29,,T29+1)*R29-ERP_i)*Q29*Ramure*Pc/MaxiM</f>
        <v>2.0571727281749197E-4</v>
      </c>
      <c r="Q29" s="305">
        <f t="shared" si="4"/>
        <v>0.7</v>
      </c>
      <c r="R29" s="177">
        <f t="shared" si="5"/>
        <v>0.50058002303281168</v>
      </c>
      <c r="S29" s="921">
        <f t="shared" si="6"/>
        <v>-2</v>
      </c>
      <c r="T29" s="176">
        <f t="shared" si="7"/>
        <v>4</v>
      </c>
      <c r="U29" s="251">
        <f t="shared" si="21"/>
        <v>-1.4994199769671883</v>
      </c>
      <c r="V29" s="383">
        <f t="shared" si="8"/>
        <v>30.754381459552935</v>
      </c>
      <c r="W29" s="58"/>
      <c r="X29" s="157">
        <f t="shared" si="9"/>
        <v>43480</v>
      </c>
      <c r="Y29" s="385">
        <f t="shared" si="10"/>
        <v>30.228999999999999</v>
      </c>
      <c r="Z29" s="385">
        <f t="shared" si="11"/>
        <v>30.386325666523582</v>
      </c>
      <c r="AA29" s="386">
        <f t="shared" si="12"/>
        <v>31.237575877673219</v>
      </c>
      <c r="AB29" s="197">
        <f t="shared" si="13"/>
        <v>43480</v>
      </c>
      <c r="AC29" s="427">
        <f>IF(OR(t&lt;Tnet,NoTnet),'2018'!Resal_s+('2018'!Salim-'2018'!Resal_s)*(1-EXP(('2018'!Tnet_s-t)/'2018'!Tau_j)),Resal_s+(Salim-Resal_s)*(1-EXP((Tnet_s-t)/Tau_j)))*Salcycl</f>
        <v>2.7250840925785825E-2</v>
      </c>
      <c r="AD29" s="231">
        <f>(INDEX(Models!$BJ29:$BT29,,AH29)*(1-AF29)+INDEX(Models!$BJ29:$BT29,,AH29+1)*AF29-ERP_i)*AE29*Ramure*Pc/MaxiM</f>
        <v>2.0571727281749197E-4</v>
      </c>
      <c r="AE29" s="305">
        <f t="shared" si="14"/>
        <v>0.7</v>
      </c>
      <c r="AF29" s="177">
        <f t="shared" si="15"/>
        <v>0.50058002303281168</v>
      </c>
      <c r="AG29" s="176">
        <f t="shared" si="16"/>
        <v>-2</v>
      </c>
      <c r="AH29" s="176">
        <f t="shared" si="17"/>
        <v>4</v>
      </c>
      <c r="AI29" s="225">
        <f t="shared" si="22"/>
        <v>-1.4994199769671883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20">
        <v>31.154</v>
      </c>
      <c r="C30" s="390"/>
      <c r="D30" s="393">
        <f t="shared" si="0"/>
        <v>31.316825712261803</v>
      </c>
      <c r="E30" s="385">
        <f t="shared" si="1"/>
        <v>32.197532221892693</v>
      </c>
      <c r="F30" s="385">
        <f t="shared" si="2"/>
        <v>32.204114318448951</v>
      </c>
      <c r="G30" s="110">
        <f t="shared" si="23"/>
        <v>1.005122319245128</v>
      </c>
      <c r="H30" s="414" t="b">
        <f>Wh_hp&gt;='2018'!Maxi_hp</f>
        <v>1</v>
      </c>
      <c r="I30" s="390">
        <f>IF(H30,Wh_hp,'2018'!Maxi_hp)</f>
        <v>32.204114318448951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5.1993044811706746E-3</v>
      </c>
      <c r="M30" s="959"/>
      <c r="N30" s="959"/>
      <c r="O30" s="48">
        <f>IF(t&lt;Tnet,'2018'!Resal+('2018'!Salim-'2018'!Resal)*(1-EXP(('2018'!Tnet-t)/('2018'!Tau_j))),Resal+(Salim-Resal)*(1-EXP((Tnet-t)/(Tau_j))))*Salcycl</f>
        <v>2.7353230165635272E-2</v>
      </c>
      <c r="P30" s="169">
        <f>(INDEX(Models!$BJ30:$BT30,,T30)*(1-R30)+INDEX(Models!$BJ30:$BT30,,T30+1)*R30-ERP_i)*Q30*Ramure*Pc/MaxiM</f>
        <v>2.0438682123562009E-4</v>
      </c>
      <c r="Q30" s="305">
        <f t="shared" si="4"/>
        <v>0.7</v>
      </c>
      <c r="R30" s="177">
        <f t="shared" si="5"/>
        <v>0.50063184434820496</v>
      </c>
      <c r="S30" s="921">
        <f t="shared" si="6"/>
        <v>-2</v>
      </c>
      <c r="T30" s="176">
        <f t="shared" si="7"/>
        <v>4</v>
      </c>
      <c r="U30" s="251">
        <f t="shared" si="21"/>
        <v>-1.499368155651795</v>
      </c>
      <c r="V30" s="383">
        <f t="shared" si="8"/>
        <v>30.995232523935432</v>
      </c>
      <c r="W30" s="58"/>
      <c r="X30" s="157">
        <f t="shared" si="9"/>
        <v>43481</v>
      </c>
      <c r="Y30" s="385">
        <f t="shared" si="10"/>
        <v>31.154</v>
      </c>
      <c r="Z30" s="385">
        <f t="shared" si="11"/>
        <v>31.316825712261803</v>
      </c>
      <c r="AA30" s="386">
        <f t="shared" si="12"/>
        <v>32.197532221892693</v>
      </c>
      <c r="AB30" s="197">
        <f t="shared" si="13"/>
        <v>43481</v>
      </c>
      <c r="AC30" s="427">
        <f>IF(OR(t&lt;Tnet,NoTnet),'2018'!Resal_s+('2018'!Salim-'2018'!Resal_s)*(1-EXP(('2018'!Tnet_s-t)/'2018'!Tau_j)),Resal_s+(Salim-Resal_s)*(1-EXP((Tnet_s-t)/Tau_j)))*Salcycl</f>
        <v>2.7353230165635272E-2</v>
      </c>
      <c r="AD30" s="231">
        <f>(INDEX(Models!$BJ30:$BT30,,AH30)*(1-AF30)+INDEX(Models!$BJ30:$BT30,,AH30+1)*AF30-ERP_i)*AE30*Ramure*Pc/MaxiM</f>
        <v>2.0438682123562009E-4</v>
      </c>
      <c r="AE30" s="305">
        <f t="shared" si="14"/>
        <v>0.7</v>
      </c>
      <c r="AF30" s="177">
        <f t="shared" si="15"/>
        <v>0.50063184434820496</v>
      </c>
      <c r="AG30" s="176">
        <f t="shared" si="16"/>
        <v>-2</v>
      </c>
      <c r="AH30" s="176">
        <f t="shared" si="17"/>
        <v>4</v>
      </c>
      <c r="AI30" s="225">
        <f t="shared" si="22"/>
        <v>-1.499368155651795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20">
        <v>8.8719999999999999</v>
      </c>
      <c r="C31" s="390"/>
      <c r="D31" s="393">
        <f t="shared" si="0"/>
        <v>8.9185646570123929</v>
      </c>
      <c r="E31" s="385">
        <f t="shared" si="1"/>
        <v>9.1703414610267338</v>
      </c>
      <c r="F31" s="385">
        <f t="shared" si="2"/>
        <v>9.1703414610267338</v>
      </c>
      <c r="G31" s="110">
        <f t="shared" si="23"/>
        <v>0.28392458948609361</v>
      </c>
      <c r="H31" s="414" t="b">
        <f>Wh_hp&gt;='2018'!Maxi_hp</f>
        <v>1</v>
      </c>
      <c r="I31" s="390">
        <f>IF(H31,Wh_hp,'2018'!Maxi_hp)</f>
        <v>9.1703414610267338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5.2210931694912643E-3</v>
      </c>
      <c r="M31" s="959"/>
      <c r="N31" s="959"/>
      <c r="O31" s="48">
        <f>IF(t&lt;Tnet,'2018'!Resal+('2018'!Salim-'2018'!Resal)*(1-EXP(('2018'!Tnet-t)/('2018'!Tau_j))),Resal+(Salim-Resal)*(1-EXP((Tnet-t)/(Tau_j))))*Salcycl</f>
        <v>2.7455553872707334E-2</v>
      </c>
      <c r="P31" s="169">
        <f>(INDEX(Models!$BJ31:$BT31,,T31)*(1-R31)+INDEX(Models!$BJ31:$BT31,,T31+1)*R31-ERP_i)*Q31*Ramure*Pc/MaxiM</f>
        <v>2.0274159716736204E-4</v>
      </c>
      <c r="Q31" s="305">
        <f t="shared" si="4"/>
        <v>0.7</v>
      </c>
      <c r="R31" s="177">
        <f t="shared" si="5"/>
        <v>0.50068582823755903</v>
      </c>
      <c r="S31" s="921">
        <f t="shared" si="6"/>
        <v>-2</v>
      </c>
      <c r="T31" s="176">
        <f t="shared" si="7"/>
        <v>4</v>
      </c>
      <c r="U31" s="251">
        <f t="shared" si="21"/>
        <v>-1.499314171762441</v>
      </c>
      <c r="V31" s="383">
        <f t="shared" si="8"/>
        <v>31.241398614347158</v>
      </c>
      <c r="W31" s="58"/>
      <c r="X31" s="157">
        <f t="shared" si="9"/>
        <v>43482</v>
      </c>
      <c r="Y31" s="385">
        <f t="shared" si="10"/>
        <v>8.8719999999999999</v>
      </c>
      <c r="Z31" s="385">
        <f t="shared" si="11"/>
        <v>8.9185646570123929</v>
      </c>
      <c r="AA31" s="386">
        <f t="shared" si="12"/>
        <v>9.1703414610267338</v>
      </c>
      <c r="AB31" s="197">
        <f t="shared" si="13"/>
        <v>43482</v>
      </c>
      <c r="AC31" s="427">
        <f>IF(OR(t&lt;Tnet,NoTnet),'2018'!Resal_s+('2018'!Salim-'2018'!Resal_s)*(1-EXP(('2018'!Tnet_s-t)/'2018'!Tau_j)),Resal_s+(Salim-Resal_s)*(1-EXP((Tnet_s-t)/Tau_j)))*Salcycl</f>
        <v>2.7455553872707334E-2</v>
      </c>
      <c r="AD31" s="231">
        <f>(INDEX(Models!$BJ31:$BT31,,AH31)*(1-AF31)+INDEX(Models!$BJ31:$BT31,,AH31+1)*AF31-ERP_i)*AE31*Ramure*Pc/MaxiM</f>
        <v>2.0274159716736204E-4</v>
      </c>
      <c r="AE31" s="305">
        <f t="shared" si="14"/>
        <v>0.7</v>
      </c>
      <c r="AF31" s="177">
        <f t="shared" si="15"/>
        <v>0.50068582823755903</v>
      </c>
      <c r="AG31" s="176">
        <f t="shared" si="16"/>
        <v>-2</v>
      </c>
      <c r="AH31" s="176">
        <f t="shared" si="17"/>
        <v>4</v>
      </c>
      <c r="AI31" s="225">
        <f t="shared" si="22"/>
        <v>-1.499314171762441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20">
        <v>15.895</v>
      </c>
      <c r="C32" s="390"/>
      <c r="D32" s="393">
        <f t="shared" si="0"/>
        <v>15.978774820993525</v>
      </c>
      <c r="E32" s="385">
        <f t="shared" si="1"/>
        <v>16.431593615471275</v>
      </c>
      <c r="F32" s="385">
        <f t="shared" si="2"/>
        <v>16.432558523170069</v>
      </c>
      <c r="G32" s="110">
        <f t="shared" si="23"/>
        <v>0.50463995197490386</v>
      </c>
      <c r="H32" s="414" t="b">
        <f>Wh_hp&gt;='2018'!Maxi_hp</f>
        <v>1</v>
      </c>
      <c r="I32" s="390">
        <f>IF(H32,Wh_hp,'2018'!Maxi_hp)</f>
        <v>16.432558523170069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5.2428813805835972E-3</v>
      </c>
      <c r="M32" s="959"/>
      <c r="N32" s="959"/>
      <c r="O32" s="48">
        <f>IF(t&lt;Tnet,'2018'!Resal+('2018'!Salim-'2018'!Resal)*(1-EXP(('2018'!Tnet-t)/('2018'!Tau_j))),Resal+(Salim-Resal)*(1-EXP((Tnet-t)/(Tau_j))))*Salcycl</f>
        <v>2.7557813628703316E-2</v>
      </c>
      <c r="P32" s="169">
        <f>(INDEX(Models!$BJ32:$BT32,,T32)*(1-R32)+INDEX(Models!$BJ32:$BT32,,T32+1)*R32-ERP_i)*Q32*Ramure*Pc/MaxiM</f>
        <v>2.0078720991161436E-4</v>
      </c>
      <c r="Q32" s="305">
        <f t="shared" si="4"/>
        <v>0.7</v>
      </c>
      <c r="R32" s="177">
        <f t="shared" si="5"/>
        <v>0.50074206444970071</v>
      </c>
      <c r="S32" s="921">
        <f t="shared" si="6"/>
        <v>-2</v>
      </c>
      <c r="T32" s="176">
        <f t="shared" si="7"/>
        <v>4</v>
      </c>
      <c r="U32" s="251">
        <f t="shared" si="21"/>
        <v>-1.4992579355502993</v>
      </c>
      <c r="V32" s="383">
        <f t="shared" si="8"/>
        <v>31.49322925217448</v>
      </c>
      <c r="W32" s="58"/>
      <c r="X32" s="157">
        <f t="shared" si="9"/>
        <v>43483</v>
      </c>
      <c r="Y32" s="385">
        <f t="shared" si="10"/>
        <v>15.895</v>
      </c>
      <c r="Z32" s="385">
        <f t="shared" si="11"/>
        <v>15.978774820993525</v>
      </c>
      <c r="AA32" s="386">
        <f t="shared" si="12"/>
        <v>16.431593615471275</v>
      </c>
      <c r="AB32" s="197">
        <f t="shared" si="13"/>
        <v>43483</v>
      </c>
      <c r="AC32" s="427">
        <f>IF(OR(t&lt;Tnet,NoTnet),'2018'!Resal_s+('2018'!Salim-'2018'!Resal_s)*(1-EXP(('2018'!Tnet_s-t)/'2018'!Tau_j)),Resal_s+(Salim-Resal_s)*(1-EXP((Tnet_s-t)/Tau_j)))*Salcycl</f>
        <v>2.7557813628703316E-2</v>
      </c>
      <c r="AD32" s="231">
        <f>(INDEX(Models!$BJ32:$BT32,,AH32)*(1-AF32)+INDEX(Models!$BJ32:$BT32,,AH32+1)*AF32-ERP_i)*AE32*Ramure*Pc/MaxiM</f>
        <v>2.0078720991161436E-4</v>
      </c>
      <c r="AE32" s="305">
        <f t="shared" si="14"/>
        <v>0.7</v>
      </c>
      <c r="AF32" s="177">
        <f t="shared" si="15"/>
        <v>0.50074206444970071</v>
      </c>
      <c r="AG32" s="176">
        <f t="shared" si="16"/>
        <v>-2</v>
      </c>
      <c r="AH32" s="176">
        <f t="shared" si="17"/>
        <v>4</v>
      </c>
      <c r="AI32" s="225">
        <f t="shared" si="22"/>
        <v>-1.4992579355502993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20">
        <v>17.067</v>
      </c>
      <c r="C33" s="390"/>
      <c r="D33" s="393">
        <f t="shared" si="0"/>
        <v>17.157327652981291</v>
      </c>
      <c r="E33" s="385">
        <f t="shared" si="1"/>
        <v>17.645399602790125</v>
      </c>
      <c r="F33" s="385">
        <f t="shared" si="2"/>
        <v>17.646588371615735</v>
      </c>
      <c r="G33" s="110">
        <f t="shared" si="23"/>
        <v>0.53745461933360528</v>
      </c>
      <c r="H33" s="414" t="b">
        <f>Wh_hp&gt;='2018'!Maxi_hp</f>
        <v>1</v>
      </c>
      <c r="I33" s="390">
        <f>IF(H33,Wh_hp,'2018'!Maxi_hp)</f>
        <v>17.646588371615735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5.2646691144582203E-3</v>
      </c>
      <c r="M33" s="959"/>
      <c r="N33" s="959"/>
      <c r="O33" s="48">
        <f>IF(t&lt;Tnet,'2018'!Resal+('2018'!Salim-'2018'!Resal)*(1-EXP(('2018'!Tnet-t)/('2018'!Tau_j))),Resal+(Salim-Resal)*(1-EXP((Tnet-t)/(Tau_j))))*Salcycl</f>
        <v>2.7660011152802647E-2</v>
      </c>
      <c r="P33" s="169">
        <f>(INDEX(Models!$BJ33:$BT33,,T33)*(1-R33)+INDEX(Models!$BJ33:$BT33,,T33+1)*R33-ERP_i)*Q33*Ramure*Pc/MaxiM</f>
        <v>1.9852953767150134E-4</v>
      </c>
      <c r="Q33" s="305">
        <f t="shared" si="4"/>
        <v>0.7</v>
      </c>
      <c r="R33" s="177">
        <f t="shared" si="5"/>
        <v>0.50080064641556166</v>
      </c>
      <c r="S33" s="921">
        <f t="shared" si="6"/>
        <v>-2</v>
      </c>
      <c r="T33" s="176">
        <f t="shared" si="7"/>
        <v>4</v>
      </c>
      <c r="U33" s="251">
        <f t="shared" si="21"/>
        <v>-1.4991993535844383</v>
      </c>
      <c r="V33" s="383">
        <f t="shared" si="8"/>
        <v>31.751073776928774</v>
      </c>
      <c r="W33" s="58"/>
      <c r="X33" s="157">
        <f t="shared" si="9"/>
        <v>43484</v>
      </c>
      <c r="Y33" s="385">
        <f t="shared" si="10"/>
        <v>17.067</v>
      </c>
      <c r="Z33" s="385">
        <f t="shared" si="11"/>
        <v>17.157327652981291</v>
      </c>
      <c r="AA33" s="386">
        <f t="shared" si="12"/>
        <v>17.645399602790125</v>
      </c>
      <c r="AB33" s="197">
        <f t="shared" si="13"/>
        <v>43484</v>
      </c>
      <c r="AC33" s="427">
        <f>IF(OR(t&lt;Tnet,NoTnet),'2018'!Resal_s+('2018'!Salim-'2018'!Resal_s)*(1-EXP(('2018'!Tnet_s-t)/'2018'!Tau_j)),Resal_s+(Salim-Resal_s)*(1-EXP((Tnet_s-t)/Tau_j)))*Salcycl</f>
        <v>2.7660011152802647E-2</v>
      </c>
      <c r="AD33" s="231">
        <f>(INDEX(Models!$BJ33:$BT33,,AH33)*(1-AF33)+INDEX(Models!$BJ33:$BT33,,AH33+1)*AF33-ERP_i)*AE33*Ramure*Pc/MaxiM</f>
        <v>1.9852953767150134E-4</v>
      </c>
      <c r="AE33" s="305">
        <f t="shared" si="14"/>
        <v>0.7</v>
      </c>
      <c r="AF33" s="177">
        <f t="shared" si="15"/>
        <v>0.50080064641556166</v>
      </c>
      <c r="AG33" s="176">
        <f t="shared" si="16"/>
        <v>-2</v>
      </c>
      <c r="AH33" s="176">
        <f t="shared" si="17"/>
        <v>4</v>
      </c>
      <c r="AI33" s="225">
        <f t="shared" si="22"/>
        <v>-1.4991993535844383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20">
        <v>5.9180000000000001</v>
      </c>
      <c r="C34" s="390"/>
      <c r="D34" s="393">
        <f t="shared" si="0"/>
        <v>5.9494515158707779</v>
      </c>
      <c r="E34" s="385">
        <f t="shared" si="1"/>
        <v>6.1193374698857044</v>
      </c>
      <c r="F34" s="385">
        <f t="shared" si="2"/>
        <v>6.1193374698857044</v>
      </c>
      <c r="G34" s="110">
        <f t="shared" si="23"/>
        <v>0.18481300094804679</v>
      </c>
      <c r="H34" s="414" t="b">
        <f>Wh_hp&gt;='2018'!Maxi_hp</f>
        <v>1</v>
      </c>
      <c r="I34" s="390">
        <f>IF(H34,Wh_hp,'2018'!Maxi_hp)</f>
        <v>6.1193374698857044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5.2864563711255697E-3</v>
      </c>
      <c r="M34" s="959"/>
      <c r="N34" s="959"/>
      <c r="O34" s="48">
        <f>IF(t&lt;Tnet,'2018'!Resal+('2018'!Salim-'2018'!Resal)*(1-EXP(('2018'!Tnet-t)/('2018'!Tau_j))),Resal+(Salim-Resal)*(1-EXP((Tnet-t)/(Tau_j))))*Salcycl</f>
        <v>2.7762148247414596E-2</v>
      </c>
      <c r="P34" s="169">
        <f>(INDEX(Models!$BJ34:$BT34,,T34)*(1-R34)+INDEX(Models!$BJ34:$BT34,,T34+1)*R34-ERP_i)*Q34*Ramure*Pc/MaxiM</f>
        <v>1.9597583227219721E-4</v>
      </c>
      <c r="Q34" s="305">
        <f t="shared" si="4"/>
        <v>0.7</v>
      </c>
      <c r="R34" s="177">
        <f t="shared" si="5"/>
        <v>0.50086167139560445</v>
      </c>
      <c r="S34" s="921">
        <f t="shared" si="6"/>
        <v>-2</v>
      </c>
      <c r="T34" s="176">
        <f t="shared" si="7"/>
        <v>4</v>
      </c>
      <c r="U34" s="251">
        <f t="shared" si="21"/>
        <v>-1.4991383286043956</v>
      </c>
      <c r="V34" s="383">
        <f t="shared" si="8"/>
        <v>32.015281309608255</v>
      </c>
      <c r="W34" s="58"/>
      <c r="X34" s="157">
        <f t="shared" si="9"/>
        <v>43485</v>
      </c>
      <c r="Y34" s="385">
        <f t="shared" si="10"/>
        <v>5.9180000000000001</v>
      </c>
      <c r="Z34" s="385">
        <f t="shared" si="11"/>
        <v>5.9494515158707779</v>
      </c>
      <c r="AA34" s="386">
        <f t="shared" si="12"/>
        <v>6.1193374698857044</v>
      </c>
      <c r="AB34" s="197">
        <f t="shared" si="13"/>
        <v>43485</v>
      </c>
      <c r="AC34" s="427">
        <f>IF(OR(t&lt;Tnet,NoTnet),'2018'!Resal_s+('2018'!Salim-'2018'!Resal_s)*(1-EXP(('2018'!Tnet_s-t)/'2018'!Tau_j)),Resal_s+(Salim-Resal_s)*(1-EXP((Tnet_s-t)/Tau_j)))*Salcycl</f>
        <v>2.7762148247414596E-2</v>
      </c>
      <c r="AD34" s="231">
        <f>(INDEX(Models!$BJ34:$BT34,,AH34)*(1-AF34)+INDEX(Models!$BJ34:$BT34,,AH34+1)*AF34-ERP_i)*AE34*Ramure*Pc/MaxiM</f>
        <v>1.9597583227219721E-4</v>
      </c>
      <c r="AE34" s="305">
        <f t="shared" si="14"/>
        <v>0.7</v>
      </c>
      <c r="AF34" s="177">
        <f t="shared" si="15"/>
        <v>0.50086167139560445</v>
      </c>
      <c r="AG34" s="176">
        <f t="shared" si="16"/>
        <v>-2</v>
      </c>
      <c r="AH34" s="176">
        <f t="shared" si="17"/>
        <v>4</v>
      </c>
      <c r="AI34" s="225">
        <f t="shared" si="22"/>
        <v>-1.4991383286043956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20">
        <v>8.9939999999999998</v>
      </c>
      <c r="C35" s="390"/>
      <c r="D35" s="393">
        <f t="shared" si="0"/>
        <v>9.0419971192761075</v>
      </c>
      <c r="E35" s="385">
        <f t="shared" si="1"/>
        <v>9.3011669439992293</v>
      </c>
      <c r="F35" s="385">
        <f t="shared" si="2"/>
        <v>9.3011669439992293</v>
      </c>
      <c r="G35" s="110">
        <f t="shared" si="23"/>
        <v>0.27851722209758545</v>
      </c>
      <c r="H35" s="414" t="b">
        <f>Wh_hp&gt;='2018'!Maxi_hp</f>
        <v>1</v>
      </c>
      <c r="I35" s="390">
        <f>IF(H35,Wh_hp,'2018'!Maxi_hp)</f>
        <v>9.3011669439992293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5.3082431505960814E-3</v>
      </c>
      <c r="M35" s="959"/>
      <c r="N35" s="959"/>
      <c r="O35" s="48">
        <f>IF(t&lt;Tnet,'2018'!Resal+('2018'!Salim-'2018'!Resal)*(1-EXP(('2018'!Tnet-t)/('2018'!Tau_j))),Resal+(Salim-Resal)*(1-EXP((Tnet-t)/(Tau_j))))*Salcycl</f>
        <v>2.7864226745261074E-2</v>
      </c>
      <c r="P35" s="169">
        <f>(INDEX(Models!$BJ35:$BT35,,T35)*(1-R35)+INDEX(Models!$BJ35:$BT35,,T35+1)*R35-ERP_i)*Q35*Ramure*Pc/MaxiM</f>
        <v>1.9313405826658253E-4</v>
      </c>
      <c r="Q35" s="305">
        <f t="shared" si="4"/>
        <v>0.7</v>
      </c>
      <c r="R35" s="177">
        <f t="shared" si="5"/>
        <v>0.50092524063284061</v>
      </c>
      <c r="S35" s="921">
        <f t="shared" si="6"/>
        <v>-2</v>
      </c>
      <c r="T35" s="176">
        <f t="shared" si="7"/>
        <v>4</v>
      </c>
      <c r="U35" s="251">
        <f t="shared" si="21"/>
        <v>-1.4990747593671594</v>
      </c>
      <c r="V35" s="383">
        <f t="shared" si="8"/>
        <v>32.286200776228071</v>
      </c>
      <c r="W35" s="58"/>
      <c r="X35" s="157">
        <f t="shared" si="9"/>
        <v>43486</v>
      </c>
      <c r="Y35" s="385">
        <f t="shared" si="10"/>
        <v>8.9939999999999998</v>
      </c>
      <c r="Z35" s="385">
        <f t="shared" si="11"/>
        <v>9.0419971192761075</v>
      </c>
      <c r="AA35" s="386">
        <f t="shared" si="12"/>
        <v>9.3011669439992293</v>
      </c>
      <c r="AB35" s="197">
        <f t="shared" si="13"/>
        <v>43486</v>
      </c>
      <c r="AC35" s="427">
        <f>IF(OR(t&lt;Tnet,NoTnet),'2018'!Resal_s+('2018'!Salim-'2018'!Resal_s)*(1-EXP(('2018'!Tnet_s-t)/'2018'!Tau_j)),Resal_s+(Salim-Resal_s)*(1-EXP((Tnet_s-t)/Tau_j)))*Salcycl</f>
        <v>2.7864226745261074E-2</v>
      </c>
      <c r="AD35" s="231">
        <f>(INDEX(Models!$BJ35:$BT35,,AH35)*(1-AF35)+INDEX(Models!$BJ35:$BT35,,AH35+1)*AF35-ERP_i)*AE35*Ramure*Pc/MaxiM</f>
        <v>1.9313405826658253E-4</v>
      </c>
      <c r="AE35" s="305">
        <f t="shared" si="14"/>
        <v>0.7</v>
      </c>
      <c r="AF35" s="177">
        <f t="shared" si="15"/>
        <v>0.50092524063284061</v>
      </c>
      <c r="AG35" s="176">
        <f t="shared" si="16"/>
        <v>-2</v>
      </c>
      <c r="AH35" s="176">
        <f t="shared" si="17"/>
        <v>4</v>
      </c>
      <c r="AI35" s="225">
        <f t="shared" si="22"/>
        <v>-1.4990747593671594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20">
        <v>11.553000000000001</v>
      </c>
      <c r="C36" s="390"/>
      <c r="D36" s="393">
        <f t="shared" si="0"/>
        <v>11.614907800670059</v>
      </c>
      <c r="E36" s="385">
        <f t="shared" si="1"/>
        <v>11.949078704570724</v>
      </c>
      <c r="F36" s="385">
        <f t="shared" si="2"/>
        <v>11.949256375188444</v>
      </c>
      <c r="G36" s="110">
        <f t="shared" si="23"/>
        <v>0.35471417387370752</v>
      </c>
      <c r="H36" s="414" t="b">
        <f>Wh_hp&gt;='2018'!Maxi_hp</f>
        <v>1</v>
      </c>
      <c r="I36" s="390">
        <f>IF(H36,Wh_hp,'2018'!Maxi_hp)</f>
        <v>11.949256375188444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5.3300294528800807E-3</v>
      </c>
      <c r="M36" s="959"/>
      <c r="N36" s="959"/>
      <c r="O36" s="48">
        <f>IF(t&lt;Tnet,'2018'!Resal+('2018'!Salim-'2018'!Resal)*(1-EXP(('2018'!Tnet-t)/('2018'!Tau_j))),Resal+(Salim-Resal)*(1-EXP((Tnet-t)/(Tau_j))))*Salcycl</f>
        <v>2.7966248458371767E-2</v>
      </c>
      <c r="P36" s="169">
        <f>(INDEX(Models!$BJ36:$BT36,,T36)*(1-R36)+INDEX(Models!$BJ36:$BT36,,T36+1)*R36-ERP_i)*Q36*Ramure*Pc/MaxiM</f>
        <v>1.9001154535313835E-4</v>
      </c>
      <c r="Q36" s="305">
        <f t="shared" si="4"/>
        <v>0.7</v>
      </c>
      <c r="R36" s="177">
        <f t="shared" si="5"/>
        <v>0.50099145951162272</v>
      </c>
      <c r="S36" s="921">
        <f t="shared" si="6"/>
        <v>-2</v>
      </c>
      <c r="T36" s="176">
        <f t="shared" si="7"/>
        <v>4</v>
      </c>
      <c r="U36" s="251">
        <f t="shared" si="21"/>
        <v>-1.4990085404883773</v>
      </c>
      <c r="V36" s="383">
        <f t="shared" si="8"/>
        <v>32.564180954945186</v>
      </c>
      <c r="W36" s="58"/>
      <c r="X36" s="157">
        <f t="shared" si="9"/>
        <v>43487</v>
      </c>
      <c r="Y36" s="385">
        <f t="shared" si="10"/>
        <v>11.553000000000001</v>
      </c>
      <c r="Z36" s="385">
        <f t="shared" si="11"/>
        <v>11.614907800670059</v>
      </c>
      <c r="AA36" s="386">
        <f t="shared" si="12"/>
        <v>11.949078704570724</v>
      </c>
      <c r="AB36" s="197">
        <f t="shared" si="13"/>
        <v>43487</v>
      </c>
      <c r="AC36" s="427">
        <f>IF(OR(t&lt;Tnet,NoTnet),'2018'!Resal_s+('2018'!Salim-'2018'!Resal_s)*(1-EXP(('2018'!Tnet_s-t)/'2018'!Tau_j)),Resal_s+(Salim-Resal_s)*(1-EXP((Tnet_s-t)/Tau_j)))*Salcycl</f>
        <v>2.7966248458371767E-2</v>
      </c>
      <c r="AD36" s="231">
        <f>(INDEX(Models!$BJ36:$BT36,,AH36)*(1-AF36)+INDEX(Models!$BJ36:$BT36,,AH36+1)*AF36-ERP_i)*AE36*Ramure*Pc/MaxiM</f>
        <v>1.9001154535313835E-4</v>
      </c>
      <c r="AE36" s="305">
        <f t="shared" si="14"/>
        <v>0.7</v>
      </c>
      <c r="AF36" s="177">
        <f t="shared" si="15"/>
        <v>0.50099145951162272</v>
      </c>
      <c r="AG36" s="176">
        <f t="shared" si="16"/>
        <v>-2</v>
      </c>
      <c r="AH36" s="176">
        <f t="shared" si="17"/>
        <v>4</v>
      </c>
      <c r="AI36" s="225">
        <f t="shared" si="22"/>
        <v>-1.4990085404883773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20">
        <v>9.2870000000000008</v>
      </c>
      <c r="C37" s="390"/>
      <c r="D37" s="393">
        <f t="shared" si="0"/>
        <v>9.3369697372901452</v>
      </c>
      <c r="E37" s="385">
        <f t="shared" si="1"/>
        <v>9.6066101372892323</v>
      </c>
      <c r="F37" s="385">
        <f t="shared" si="2"/>
        <v>9.6066101372892323</v>
      </c>
      <c r="G37" s="110">
        <f t="shared" si="23"/>
        <v>0.28264643366012582</v>
      </c>
      <c r="H37" s="414" t="b">
        <f>Wh_hp&gt;='2018'!Maxi_hp</f>
        <v>1</v>
      </c>
      <c r="I37" s="390">
        <f>IF(H37,Wh_hp,'2018'!Maxi_hp)</f>
        <v>9.6066101372892323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5.3518152779883366E-3</v>
      </c>
      <c r="M37" s="959"/>
      <c r="N37" s="959"/>
      <c r="O37" s="48">
        <f>IF(t&lt;Tnet,'2018'!Resal+('2018'!Salim-'2018'!Resal)*(1-EXP(('2018'!Tnet-t)/('2018'!Tau_j))),Resal+(Salim-Resal)*(1-EXP((Tnet-t)/(Tau_j))))*Salcycl</f>
        <v>2.8068215129543436E-2</v>
      </c>
      <c r="P37" s="169">
        <f>(INDEX(Models!$BJ37:$BT37,,T37)*(1-R37)+INDEX(Models!$BJ37:$BT37,,T37+1)*R37-ERP_i)*Q37*Ramure*Pc/MaxiM</f>
        <v>1.8660674682379323E-4</v>
      </c>
      <c r="Q37" s="305">
        <f t="shared" si="4"/>
        <v>0.7</v>
      </c>
      <c r="R37" s="177">
        <f t="shared" si="5"/>
        <v>0.50106043772239994</v>
      </c>
      <c r="S37" s="921">
        <f t="shared" si="6"/>
        <v>-2</v>
      </c>
      <c r="T37" s="176">
        <f t="shared" si="7"/>
        <v>4</v>
      </c>
      <c r="U37" s="251">
        <f t="shared" si="21"/>
        <v>-1.4989395622776001</v>
      </c>
      <c r="V37" s="383">
        <f t="shared" si="8"/>
        <v>32.851173329529843</v>
      </c>
      <c r="W37" s="58"/>
      <c r="X37" s="157">
        <f t="shared" si="9"/>
        <v>43488</v>
      </c>
      <c r="Y37" s="385">
        <f t="shared" si="10"/>
        <v>9.2870000000000008</v>
      </c>
      <c r="Z37" s="385">
        <f t="shared" si="11"/>
        <v>9.3369697372901452</v>
      </c>
      <c r="AA37" s="386">
        <f t="shared" si="12"/>
        <v>9.6066101372892323</v>
      </c>
      <c r="AB37" s="197">
        <f t="shared" si="13"/>
        <v>43488</v>
      </c>
      <c r="AC37" s="427">
        <f>IF(OR(t&lt;Tnet,NoTnet),'2018'!Resal_s+('2018'!Salim-'2018'!Resal_s)*(1-EXP(('2018'!Tnet_s-t)/'2018'!Tau_j)),Resal_s+(Salim-Resal_s)*(1-EXP((Tnet_s-t)/Tau_j)))*Salcycl</f>
        <v>2.8068215129543436E-2</v>
      </c>
      <c r="AD37" s="231">
        <f>(INDEX(Models!$BJ37:$BT37,,AH37)*(1-AF37)+INDEX(Models!$BJ37:$BT37,,AH37+1)*AF37-ERP_i)*AE37*Ramure*Pc/MaxiM</f>
        <v>1.8660674682379323E-4</v>
      </c>
      <c r="AE37" s="305">
        <f t="shared" si="14"/>
        <v>0.7</v>
      </c>
      <c r="AF37" s="177">
        <f t="shared" si="15"/>
        <v>0.50106043772239994</v>
      </c>
      <c r="AG37" s="176">
        <f t="shared" si="16"/>
        <v>-2</v>
      </c>
      <c r="AH37" s="176">
        <f t="shared" si="17"/>
        <v>4</v>
      </c>
      <c r="AI37" s="225">
        <f t="shared" si="22"/>
        <v>-1.4989395622776001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20">
        <v>11.295999999999999</v>
      </c>
      <c r="C38" s="390"/>
      <c r="D38" s="393">
        <f t="shared" si="0"/>
        <v>11.357028133486819</v>
      </c>
      <c r="E38" s="385">
        <f t="shared" si="1"/>
        <v>11.686230754189891</v>
      </c>
      <c r="F38" s="385">
        <f t="shared" si="2"/>
        <v>11.686355387559336</v>
      </c>
      <c r="G38" s="110">
        <f t="shared" si="23"/>
        <v>0.3407146598188483</v>
      </c>
      <c r="H38" s="414" t="b">
        <f>Wh_hp&gt;='2018'!Maxi_hp</f>
        <v>1</v>
      </c>
      <c r="I38" s="390">
        <f>IF(H38,Wh_hp,'2018'!Maxi_hp)</f>
        <v>11.686355387559336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5.3736006259309521E-3</v>
      </c>
      <c r="M38" s="959"/>
      <c r="N38" s="959"/>
      <c r="O38" s="48">
        <f>IF(t&lt;Tnet,'2018'!Resal+('2018'!Salim-'2018'!Resal)*(1-EXP(('2018'!Tnet-t)/('2018'!Tau_j))),Resal+(Salim-Resal)*(1-EXP((Tnet-t)/(Tau_j))))*Salcycl</f>
        <v>2.8170128386780461E-2</v>
      </c>
      <c r="P38" s="169">
        <f>(INDEX(Models!$BJ38:$BT38,,T38)*(1-R38)+INDEX(Models!$BJ38:$BT38,,T38+1)*R38-ERP_i)*Q38*Ramure*Pc/MaxiM</f>
        <v>1.8309485729000368E-4</v>
      </c>
      <c r="Q38" s="305">
        <f t="shared" si="4"/>
        <v>0.7</v>
      </c>
      <c r="R38" s="177">
        <f t="shared" si="5"/>
        <v>0.50113228943262933</v>
      </c>
      <c r="S38" s="921">
        <f t="shared" si="6"/>
        <v>-2</v>
      </c>
      <c r="T38" s="176">
        <f t="shared" si="7"/>
        <v>4</v>
      </c>
      <c r="U38" s="251">
        <f t="shared" si="21"/>
        <v>-1.4988677105673707</v>
      </c>
      <c r="V38" s="383">
        <f t="shared" si="8"/>
        <v>33.148125225979477</v>
      </c>
      <c r="W38" s="58"/>
      <c r="X38" s="157">
        <f t="shared" si="9"/>
        <v>43489</v>
      </c>
      <c r="Y38" s="385">
        <f t="shared" si="10"/>
        <v>11.295999999999999</v>
      </c>
      <c r="Z38" s="385">
        <f t="shared" si="11"/>
        <v>11.357028133486819</v>
      </c>
      <c r="AA38" s="386">
        <f t="shared" si="12"/>
        <v>11.686230754189891</v>
      </c>
      <c r="AB38" s="197">
        <f t="shared" si="13"/>
        <v>43489</v>
      </c>
      <c r="AC38" s="427">
        <f>IF(OR(t&lt;Tnet,NoTnet),'2018'!Resal_s+('2018'!Salim-'2018'!Resal_s)*(1-EXP(('2018'!Tnet_s-t)/'2018'!Tau_j)),Resal_s+(Salim-Resal_s)*(1-EXP((Tnet_s-t)/Tau_j)))*Salcycl</f>
        <v>2.8170128386780461E-2</v>
      </c>
      <c r="AD38" s="231">
        <f>(INDEX(Models!$BJ38:$BT38,,AH38)*(1-AF38)+INDEX(Models!$BJ38:$BT38,,AH38+1)*AF38-ERP_i)*AE38*Ramure*Pc/MaxiM</f>
        <v>1.8309485729000368E-4</v>
      </c>
      <c r="AE38" s="305">
        <f t="shared" si="14"/>
        <v>0.7</v>
      </c>
      <c r="AF38" s="177">
        <f t="shared" si="15"/>
        <v>0.50113228943262933</v>
      </c>
      <c r="AG38" s="176">
        <f t="shared" si="16"/>
        <v>-2</v>
      </c>
      <c r="AH38" s="176">
        <f t="shared" si="17"/>
        <v>4</v>
      </c>
      <c r="AI38" s="225">
        <f t="shared" si="22"/>
        <v>-1.4988677105673707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20">
        <v>3.5419999999999998</v>
      </c>
      <c r="C39" s="390"/>
      <c r="D39" s="393">
        <f t="shared" si="0"/>
        <v>3.5612141230301058</v>
      </c>
      <c r="E39" s="385">
        <f t="shared" si="1"/>
        <v>3.6648260472959229</v>
      </c>
      <c r="F39" s="385">
        <f t="shared" si="2"/>
        <v>3.6648260472959229</v>
      </c>
      <c r="G39" s="110">
        <f t="shared" si="23"/>
        <v>0.10585807720958634</v>
      </c>
      <c r="H39" s="414" t="b">
        <f>Wh_hp&gt;='2018'!Maxi_hp</f>
        <v>1</v>
      </c>
      <c r="I39" s="390">
        <f>IF(H39,Wh_hp,'2018'!Maxi_hp)</f>
        <v>3.6648260472959229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5.3953854967185855E-3</v>
      </c>
      <c r="M39" s="959"/>
      <c r="N39" s="959"/>
      <c r="O39" s="48">
        <f>IF(t&lt;Tnet,'2018'!Resal+('2018'!Salim-'2018'!Resal)*(1-EXP(('2018'!Tnet-t)/('2018'!Tau_j))),Resal+(Salim-Resal)*(1-EXP((Tnet-t)/(Tau_j))))*Salcycl</f>
        <v>2.8271989701193857E-2</v>
      </c>
      <c r="P39" s="169">
        <f>(INDEX(Models!$BJ39:$BT39,,T39)*(1-R39)+INDEX(Models!$BJ39:$BT39,,T39+1)*R39-ERP_i)*Q39*Ramure*Pc/MaxiM</f>
        <v>1.7972949437595573E-4</v>
      </c>
      <c r="Q39" s="305">
        <f t="shared" si="4"/>
        <v>0.7</v>
      </c>
      <c r="R39" s="177">
        <f t="shared" si="5"/>
        <v>0.50120713346403756</v>
      </c>
      <c r="S39" s="921">
        <f t="shared" si="6"/>
        <v>-2</v>
      </c>
      <c r="T39" s="176">
        <f t="shared" si="7"/>
        <v>4</v>
      </c>
      <c r="U39" s="251">
        <f t="shared" si="21"/>
        <v>-1.4987928665359624</v>
      </c>
      <c r="V39" s="383">
        <f t="shared" si="8"/>
        <v>33.453879868981971</v>
      </c>
      <c r="W39" s="58"/>
      <c r="X39" s="157">
        <f t="shared" si="9"/>
        <v>43490</v>
      </c>
      <c r="Y39" s="385">
        <f t="shared" si="10"/>
        <v>3.5419999999999998</v>
      </c>
      <c r="Z39" s="385">
        <f t="shared" si="11"/>
        <v>3.5612141230301058</v>
      </c>
      <c r="AA39" s="386">
        <f t="shared" si="12"/>
        <v>3.6648260472959229</v>
      </c>
      <c r="AB39" s="197">
        <f t="shared" si="13"/>
        <v>43490</v>
      </c>
      <c r="AC39" s="427">
        <f>IF(OR(t&lt;Tnet,NoTnet),'2018'!Resal_s+('2018'!Salim-'2018'!Resal_s)*(1-EXP(('2018'!Tnet_s-t)/'2018'!Tau_j)),Resal_s+(Salim-Resal_s)*(1-EXP((Tnet_s-t)/Tau_j)))*Salcycl</f>
        <v>2.8271989701193857E-2</v>
      </c>
      <c r="AD39" s="231">
        <f>(INDEX(Models!$BJ39:$BT39,,AH39)*(1-AF39)+INDEX(Models!$BJ39:$BT39,,AH39+1)*AF39-ERP_i)*AE39*Ramure*Pc/MaxiM</f>
        <v>1.7972949437595573E-4</v>
      </c>
      <c r="AE39" s="305">
        <f t="shared" si="14"/>
        <v>0.7</v>
      </c>
      <c r="AF39" s="177">
        <f t="shared" si="15"/>
        <v>0.50120713346403756</v>
      </c>
      <c r="AG39" s="176">
        <f t="shared" si="16"/>
        <v>-2</v>
      </c>
      <c r="AH39" s="176">
        <f t="shared" si="17"/>
        <v>4</v>
      </c>
      <c r="AI39" s="225">
        <f t="shared" si="22"/>
        <v>-1.4987928665359624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20">
        <v>16.916</v>
      </c>
      <c r="C40" s="390"/>
      <c r="D40" s="393">
        <f t="shared" si="0"/>
        <v>17.008135962024657</v>
      </c>
      <c r="E40" s="385">
        <f t="shared" si="1"/>
        <v>17.504814061343968</v>
      </c>
      <c r="F40" s="385">
        <f t="shared" si="2"/>
        <v>17.50570115666876</v>
      </c>
      <c r="G40" s="110">
        <f t="shared" si="23"/>
        <v>0.50089514423469028</v>
      </c>
      <c r="H40" s="414" t="b">
        <f>Wh_hp&gt;='2018'!Maxi_hp</f>
        <v>1</v>
      </c>
      <c r="I40" s="390">
        <f>IF(H40,Wh_hp,'2018'!Maxi_hp)</f>
        <v>17.50570115666876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5.4171698903616727E-3</v>
      </c>
      <c r="M40" s="959"/>
      <c r="N40" s="959"/>
      <c r="O40" s="48">
        <f>IF(t&lt;Tnet,'2018'!Resal+('2018'!Salim-'2018'!Resal)*(1-EXP(('2018'!Tnet-t)/('2018'!Tau_j))),Resal+(Salim-Resal)*(1-EXP((Tnet-t)/(Tau_j))))*Salcycl</f>
        <v>2.8373800348792527E-2</v>
      </c>
      <c r="P40" s="169">
        <f>(INDEX(Models!$BJ40:$BT40,,T40)*(1-R40)+INDEX(Models!$BJ40:$BT40,,T40+1)*R40-ERP_i)*Q40*Ramure*Pc/MaxiM</f>
        <v>1.7651560801521394E-4</v>
      </c>
      <c r="Q40" s="305">
        <f t="shared" si="4"/>
        <v>0.7</v>
      </c>
      <c r="R40" s="177">
        <f t="shared" si="5"/>
        <v>0.50128509347643035</v>
      </c>
      <c r="S40" s="921">
        <f t="shared" si="6"/>
        <v>-2</v>
      </c>
      <c r="T40" s="176">
        <f t="shared" si="7"/>
        <v>4</v>
      </c>
      <c r="U40" s="251">
        <f t="shared" si="21"/>
        <v>-1.4987149065235696</v>
      </c>
      <c r="V40" s="383">
        <f t="shared" si="8"/>
        <v>33.767289144643016</v>
      </c>
      <c r="W40" s="58"/>
      <c r="X40" s="157">
        <f t="shared" si="9"/>
        <v>43491</v>
      </c>
      <c r="Y40" s="385">
        <f t="shared" si="10"/>
        <v>16.916</v>
      </c>
      <c r="Z40" s="385">
        <f t="shared" si="11"/>
        <v>17.008135962024657</v>
      </c>
      <c r="AA40" s="386">
        <f t="shared" si="12"/>
        <v>17.504814061343968</v>
      </c>
      <c r="AB40" s="197">
        <f t="shared" si="13"/>
        <v>43491</v>
      </c>
      <c r="AC40" s="427">
        <f>IF(OR(t&lt;Tnet,NoTnet),'2018'!Resal_s+('2018'!Salim-'2018'!Resal_s)*(1-EXP(('2018'!Tnet_s-t)/'2018'!Tau_j)),Resal_s+(Salim-Resal_s)*(1-EXP((Tnet_s-t)/Tau_j)))*Salcycl</f>
        <v>2.8373800348792527E-2</v>
      </c>
      <c r="AD40" s="231">
        <f>(INDEX(Models!$BJ40:$BT40,,AH40)*(1-AF40)+INDEX(Models!$BJ40:$BT40,,AH40+1)*AF40-ERP_i)*AE40*Ramure*Pc/MaxiM</f>
        <v>1.7651560801521394E-4</v>
      </c>
      <c r="AE40" s="305">
        <f t="shared" si="14"/>
        <v>0.7</v>
      </c>
      <c r="AF40" s="177">
        <f t="shared" si="15"/>
        <v>0.50128509347643035</v>
      </c>
      <c r="AG40" s="176">
        <f t="shared" si="16"/>
        <v>-2</v>
      </c>
      <c r="AH40" s="176">
        <f t="shared" si="17"/>
        <v>4</v>
      </c>
      <c r="AI40" s="225">
        <f t="shared" si="22"/>
        <v>-1.4987149065235696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20">
        <v>14.497</v>
      </c>
      <c r="C41" s="390"/>
      <c r="D41" s="393">
        <f t="shared" si="0"/>
        <v>14.576279712029756</v>
      </c>
      <c r="E41" s="385">
        <f t="shared" si="1"/>
        <v>15.003513172229484</v>
      </c>
      <c r="F41" s="385">
        <f t="shared" si="2"/>
        <v>15.003978997139566</v>
      </c>
      <c r="G41" s="110">
        <f t="shared" si="23"/>
        <v>0.42523096824498219</v>
      </c>
      <c r="H41" s="414" t="b">
        <f>Wh_hp&gt;='2018'!Maxi_hp</f>
        <v>1</v>
      </c>
      <c r="I41" s="390">
        <f>IF(H41,Wh_hp,'2018'!Maxi_hp)</f>
        <v>15.003978997139566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5.43895380687065E-3</v>
      </c>
      <c r="M41" s="959"/>
      <c r="N41" s="959"/>
      <c r="O41" s="48">
        <f>IF(t&lt;Tnet,'2018'!Resal+('2018'!Salim-'2018'!Resal)*(1-EXP(('2018'!Tnet-t)/('2018'!Tau_j))),Resal+(Salim-Resal)*(1-EXP((Tnet-t)/(Tau_j))))*Salcycl</f>
        <v>2.847556137655206E-2</v>
      </c>
      <c r="P41" s="169">
        <f>(INDEX(Models!$BJ41:$BT41,,T41)*(1-R41)+INDEX(Models!$BJ41:$BT41,,T41+1)*R41-ERP_i)*Q41*Ramure*Pc/MaxiM</f>
        <v>1.7345729417764523E-4</v>
      </c>
      <c r="Q41" s="305">
        <f t="shared" si="4"/>
        <v>0.7</v>
      </c>
      <c r="R41" s="177">
        <f t="shared" si="5"/>
        <v>0.50136629815825207</v>
      </c>
      <c r="S41" s="921">
        <f t="shared" si="6"/>
        <v>-2</v>
      </c>
      <c r="T41" s="176">
        <f t="shared" si="7"/>
        <v>4</v>
      </c>
      <c r="U41" s="251">
        <f t="shared" si="21"/>
        <v>-1.4986337018417479</v>
      </c>
      <c r="V41" s="383">
        <f t="shared" si="8"/>
        <v>34.087205525474346</v>
      </c>
      <c r="W41" s="58"/>
      <c r="X41" s="157">
        <f t="shared" si="9"/>
        <v>43492</v>
      </c>
      <c r="Y41" s="385">
        <f t="shared" si="10"/>
        <v>14.497</v>
      </c>
      <c r="Z41" s="385">
        <f t="shared" si="11"/>
        <v>14.576279712029756</v>
      </c>
      <c r="AA41" s="386">
        <f t="shared" si="12"/>
        <v>15.003513172229484</v>
      </c>
      <c r="AB41" s="197">
        <f t="shared" si="13"/>
        <v>43492</v>
      </c>
      <c r="AC41" s="427">
        <f>IF(OR(t&lt;Tnet,NoTnet),'2018'!Resal_s+('2018'!Salim-'2018'!Resal_s)*(1-EXP(('2018'!Tnet_s-t)/'2018'!Tau_j)),Resal_s+(Salim-Resal_s)*(1-EXP((Tnet_s-t)/Tau_j)))*Salcycl</f>
        <v>2.847556137655206E-2</v>
      </c>
      <c r="AD41" s="231">
        <f>(INDEX(Models!$BJ41:$BT41,,AH41)*(1-AF41)+INDEX(Models!$BJ41:$BT41,,AH41+1)*AF41-ERP_i)*AE41*Ramure*Pc/MaxiM</f>
        <v>1.7345729417764523E-4</v>
      </c>
      <c r="AE41" s="305">
        <f t="shared" si="14"/>
        <v>0.7</v>
      </c>
      <c r="AF41" s="177">
        <f t="shared" si="15"/>
        <v>0.50136629815825207</v>
      </c>
      <c r="AG41" s="176">
        <f t="shared" si="16"/>
        <v>-2</v>
      </c>
      <c r="AH41" s="176">
        <f t="shared" si="17"/>
        <v>4</v>
      </c>
      <c r="AI41" s="225">
        <f t="shared" si="22"/>
        <v>-1.4986337018417479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20">
        <v>12.852</v>
      </c>
      <c r="C42" s="390"/>
      <c r="D42" s="393">
        <f t="shared" si="0"/>
        <v>12.922566741522662</v>
      </c>
      <c r="E42" s="385">
        <f t="shared" si="1"/>
        <v>13.302722275249376</v>
      </c>
      <c r="F42" s="385">
        <f t="shared" si="2"/>
        <v>13.302960412306884</v>
      </c>
      <c r="G42" s="110">
        <f t="shared" si="23"/>
        <v>0.37341212380892802</v>
      </c>
      <c r="H42" s="414" t="b">
        <f>Wh_hp&gt;='2018'!Maxi_hp</f>
        <v>1</v>
      </c>
      <c r="I42" s="390">
        <f>IF(H42,Wh_hp,'2018'!Maxi_hp)</f>
        <v>13.302960412306884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5.4607372462559534E-3</v>
      </c>
      <c r="M42" s="959"/>
      <c r="N42" s="959"/>
      <c r="O42" s="48">
        <f>IF(t&lt;Tnet,'2018'!Resal+('2018'!Salim-'2018'!Resal)*(1-EXP(('2018'!Tnet-t)/('2018'!Tau_j))),Resal+(Salim-Resal)*(1-EXP((Tnet-t)/(Tau_j))))*Salcycl</f>
        <v>2.8577273573095682E-2</v>
      </c>
      <c r="P42" s="169">
        <f>(INDEX(Models!$BJ42:$BT42,,T42)*(1-R42)+INDEX(Models!$BJ42:$BT42,,T42+1)*R42-ERP_i)*Q42*Ramure*Pc/MaxiM</f>
        <v>1.7055787769239546E-4</v>
      </c>
      <c r="Q42" s="305">
        <f t="shared" si="4"/>
        <v>0.7</v>
      </c>
      <c r="R42" s="177">
        <f t="shared" si="5"/>
        <v>0.5014508814240981</v>
      </c>
      <c r="S42" s="921">
        <f t="shared" si="6"/>
        <v>-2</v>
      </c>
      <c r="T42" s="176">
        <f t="shared" si="7"/>
        <v>4</v>
      </c>
      <c r="U42" s="251">
        <f t="shared" si="21"/>
        <v>-1.4985491185759019</v>
      </c>
      <c r="V42" s="383">
        <f t="shared" si="8"/>
        <v>34.412482081055643</v>
      </c>
      <c r="W42" s="58"/>
      <c r="X42" s="157">
        <f t="shared" si="9"/>
        <v>43493</v>
      </c>
      <c r="Y42" s="385">
        <f t="shared" si="10"/>
        <v>12.852</v>
      </c>
      <c r="Z42" s="385">
        <f t="shared" si="11"/>
        <v>12.922566741522662</v>
      </c>
      <c r="AA42" s="386">
        <f t="shared" si="12"/>
        <v>13.302722275249376</v>
      </c>
      <c r="AB42" s="197">
        <f t="shared" si="13"/>
        <v>43493</v>
      </c>
      <c r="AC42" s="427">
        <f>IF(OR(t&lt;Tnet,NoTnet),'2018'!Resal_s+('2018'!Salim-'2018'!Resal_s)*(1-EXP(('2018'!Tnet_s-t)/'2018'!Tau_j)),Resal_s+(Salim-Resal_s)*(1-EXP((Tnet_s-t)/Tau_j)))*Salcycl</f>
        <v>2.8577273573095682E-2</v>
      </c>
      <c r="AD42" s="231">
        <f>(INDEX(Models!$BJ42:$BT42,,AH42)*(1-AF42)+INDEX(Models!$BJ42:$BT42,,AH42+1)*AF42-ERP_i)*AE42*Ramure*Pc/MaxiM</f>
        <v>1.7055787769239546E-4</v>
      </c>
      <c r="AE42" s="305">
        <f t="shared" si="14"/>
        <v>0.7</v>
      </c>
      <c r="AF42" s="177">
        <f t="shared" si="15"/>
        <v>0.5014508814240981</v>
      </c>
      <c r="AG42" s="176">
        <f t="shared" si="16"/>
        <v>-2</v>
      </c>
      <c r="AH42" s="176">
        <f t="shared" si="17"/>
        <v>4</v>
      </c>
      <c r="AI42" s="225">
        <f t="shared" si="22"/>
        <v>-1.4985491185759019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20">
        <v>5.2350000000000003</v>
      </c>
      <c r="C43" s="390"/>
      <c r="D43" s="393">
        <f t="shared" si="0"/>
        <v>5.263859214518444</v>
      </c>
      <c r="E43" s="385">
        <f t="shared" si="1"/>
        <v>5.4192783595860883</v>
      </c>
      <c r="F43" s="385">
        <f t="shared" si="2"/>
        <v>5.4192783595860883</v>
      </c>
      <c r="G43" s="110">
        <f t="shared" si="23"/>
        <v>0.15065700335483179</v>
      </c>
      <c r="H43" s="414" t="b">
        <f>Wh_hp&gt;='2018'!Maxi_hp</f>
        <v>1</v>
      </c>
      <c r="I43" s="390">
        <f>IF(H43,Wh_hp,'2018'!Maxi_hp)</f>
        <v>5.4192783595860883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5.4825202085280189E-3</v>
      </c>
      <c r="M43" s="959"/>
      <c r="N43" s="959"/>
      <c r="O43" s="48">
        <f>IF(t&lt;Tnet,'2018'!Resal+('2018'!Salim-'2018'!Resal)*(1-EXP(('2018'!Tnet-t)/('2018'!Tau_j))),Resal+(Salim-Resal)*(1-EXP((Tnet-t)/(Tau_j))))*Salcycl</f>
        <v>2.8678937444267832E-2</v>
      </c>
      <c r="P43" s="169">
        <f>(INDEX(Models!$BJ43:$BT43,,T43)*(1-R43)+INDEX(Models!$BJ43:$BT43,,T43+1)*R43-ERP_i)*Q43*Ramure*Pc/MaxiM</f>
        <v>1.6781999556966708E-4</v>
      </c>
      <c r="Q43" s="305">
        <f t="shared" si="4"/>
        <v>0.7</v>
      </c>
      <c r="R43" s="177">
        <f t="shared" si="5"/>
        <v>0.50153898261938323</v>
      </c>
      <c r="S43" s="921">
        <f t="shared" si="6"/>
        <v>-2</v>
      </c>
      <c r="T43" s="176">
        <f t="shared" si="7"/>
        <v>4</v>
      </c>
      <c r="U43" s="251">
        <f t="shared" si="21"/>
        <v>-1.4984610173806168</v>
      </c>
      <c r="V43" s="383">
        <f t="shared" si="8"/>
        <v>34.741972465731564</v>
      </c>
      <c r="W43" s="58"/>
      <c r="X43" s="157">
        <f t="shared" si="9"/>
        <v>43494</v>
      </c>
      <c r="Y43" s="385">
        <f t="shared" si="10"/>
        <v>5.2350000000000003</v>
      </c>
      <c r="Z43" s="385">
        <f t="shared" si="11"/>
        <v>5.263859214518444</v>
      </c>
      <c r="AA43" s="386">
        <f t="shared" si="12"/>
        <v>5.4192783595860883</v>
      </c>
      <c r="AB43" s="197">
        <f t="shared" si="13"/>
        <v>43494</v>
      </c>
      <c r="AC43" s="427">
        <f>IF(OR(t&lt;Tnet,NoTnet),'2018'!Resal_s+('2018'!Salim-'2018'!Resal_s)*(1-EXP(('2018'!Tnet_s-t)/'2018'!Tau_j)),Resal_s+(Salim-Resal_s)*(1-EXP((Tnet_s-t)/Tau_j)))*Salcycl</f>
        <v>2.8678937444267832E-2</v>
      </c>
      <c r="AD43" s="231">
        <f>(INDEX(Models!$BJ43:$BT43,,AH43)*(1-AF43)+INDEX(Models!$BJ43:$BT43,,AH43+1)*AF43-ERP_i)*AE43*Ramure*Pc/MaxiM</f>
        <v>1.6781999556966708E-4</v>
      </c>
      <c r="AE43" s="305">
        <f t="shared" si="14"/>
        <v>0.7</v>
      </c>
      <c r="AF43" s="177">
        <f t="shared" si="15"/>
        <v>0.50153898261938323</v>
      </c>
      <c r="AG43" s="176">
        <f t="shared" si="16"/>
        <v>-2</v>
      </c>
      <c r="AH43" s="176">
        <f t="shared" si="17"/>
        <v>4</v>
      </c>
      <c r="AI43" s="225">
        <f t="shared" si="22"/>
        <v>-1.4984610173806168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20">
        <v>7.7690000000000001</v>
      </c>
      <c r="C44" s="390"/>
      <c r="D44" s="393">
        <f t="shared" si="0"/>
        <v>7.8119996104992335</v>
      </c>
      <c r="E44" s="385">
        <f t="shared" si="1"/>
        <v>8.0434958712871225</v>
      </c>
      <c r="F44" s="385">
        <f t="shared" si="2"/>
        <v>8.0434958712871225</v>
      </c>
      <c r="G44" s="110">
        <f t="shared" si="23"/>
        <v>0.22146315290850718</v>
      </c>
      <c r="H44" s="414" t="b">
        <f>Wh_hp&gt;='2018'!Maxi_hp</f>
        <v>1</v>
      </c>
      <c r="I44" s="390">
        <f>IF(H44,Wh_hp,'2018'!Maxi_hp)</f>
        <v>8.0434958712871225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5.5043026936972828E-3</v>
      </c>
      <c r="M44" s="959"/>
      <c r="N44" s="959"/>
      <c r="O44" s="48">
        <f>IF(t&lt;Tnet,'2018'!Resal+('2018'!Salim-'2018'!Resal)*(1-EXP(('2018'!Tnet-t)/('2018'!Tau_j))),Resal+(Salim-Resal)*(1-EXP((Tnet-t)/(Tau_j))))*Salcycl</f>
        <v>2.8780553193824748E-2</v>
      </c>
      <c r="P44" s="169">
        <f>(INDEX(Models!$BJ44:$BT44,,T44)*(1-R44)+INDEX(Models!$BJ44:$BT44,,T44+1)*R44-ERP_i)*Q44*Ramure*Pc/MaxiM</f>
        <v>1.6529590828018016E-4</v>
      </c>
      <c r="Q44" s="305">
        <f t="shared" si="4"/>
        <v>0.7</v>
      </c>
      <c r="R44" s="177">
        <f t="shared" si="5"/>
        <v>0.50163074673237684</v>
      </c>
      <c r="S44" s="921">
        <f t="shared" si="6"/>
        <v>-2</v>
      </c>
      <c r="T44" s="176">
        <f t="shared" si="7"/>
        <v>4</v>
      </c>
      <c r="U44" s="251">
        <f t="shared" si="21"/>
        <v>-1.4983692532676232</v>
      </c>
      <c r="V44" s="383">
        <f t="shared" si="8"/>
        <v>35.074529166924847</v>
      </c>
      <c r="W44" s="58"/>
      <c r="X44" s="157">
        <f t="shared" si="9"/>
        <v>43495</v>
      </c>
      <c r="Y44" s="385">
        <f t="shared" si="10"/>
        <v>7.7690000000000001</v>
      </c>
      <c r="Z44" s="385">
        <f t="shared" si="11"/>
        <v>7.8119996104992335</v>
      </c>
      <c r="AA44" s="386">
        <f t="shared" si="12"/>
        <v>8.0434958712871225</v>
      </c>
      <c r="AB44" s="197">
        <f t="shared" si="13"/>
        <v>43495</v>
      </c>
      <c r="AC44" s="427">
        <f>IF(OR(t&lt;Tnet,NoTnet),'2018'!Resal_s+('2018'!Salim-'2018'!Resal_s)*(1-EXP(('2018'!Tnet_s-t)/'2018'!Tau_j)),Resal_s+(Salim-Resal_s)*(1-EXP((Tnet_s-t)/Tau_j)))*Salcycl</f>
        <v>2.8780553193824748E-2</v>
      </c>
      <c r="AD44" s="231">
        <f>(INDEX(Models!$BJ44:$BT44,,AH44)*(1-AF44)+INDEX(Models!$BJ44:$BT44,,AH44+1)*AF44-ERP_i)*AE44*Ramure*Pc/MaxiM</f>
        <v>1.6529590828018016E-4</v>
      </c>
      <c r="AE44" s="305">
        <f t="shared" si="14"/>
        <v>0.7</v>
      </c>
      <c r="AF44" s="177">
        <f t="shared" si="15"/>
        <v>0.50163074673237684</v>
      </c>
      <c r="AG44" s="176">
        <f t="shared" si="16"/>
        <v>-2</v>
      </c>
      <c r="AH44" s="176">
        <f t="shared" si="17"/>
        <v>4</v>
      </c>
      <c r="AI44" s="225">
        <f t="shared" si="22"/>
        <v>-1.4983692532676232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20">
        <v>7.9409999999999998</v>
      </c>
      <c r="C45" s="390"/>
      <c r="D45" s="393">
        <f t="shared" si="0"/>
        <v>7.9851264853122155</v>
      </c>
      <c r="E45" s="385">
        <f t="shared" si="1"/>
        <v>8.2226129861242114</v>
      </c>
      <c r="F45" s="385">
        <f t="shared" si="2"/>
        <v>8.2226129861242114</v>
      </c>
      <c r="G45" s="110">
        <f t="shared" si="23"/>
        <v>0.22422842088570832</v>
      </c>
      <c r="H45" s="414" t="b">
        <f>Wh_hp&gt;='2018'!Maxi_hp</f>
        <v>1</v>
      </c>
      <c r="I45" s="390">
        <f>IF(H45,Wh_hp,'2018'!Maxi_hp)</f>
        <v>8.2226129861242114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5.526084701774181E-3</v>
      </c>
      <c r="M45" s="959"/>
      <c r="N45" s="959"/>
      <c r="O45" s="48">
        <f>IF(t&lt;Tnet,'2018'!Resal+('2018'!Salim-'2018'!Resal)*(1-EXP(('2018'!Tnet-t)/('2018'!Tau_j))),Resal+(Salim-Resal)*(1-EXP((Tnet-t)/(Tau_j))))*Salcycl</f>
        <v>2.8882120709409171E-2</v>
      </c>
      <c r="P45" s="169">
        <f>(INDEX(Models!$BJ45:$BT45,,T45)*(1-R45)+INDEX(Models!$BJ45:$BT45,,T45+1)*R45-ERP_i)*Q45*Ramure*Pc/MaxiM</f>
        <v>1.6302158173770899E-4</v>
      </c>
      <c r="Q45" s="305">
        <f t="shared" si="4"/>
        <v>0.7</v>
      </c>
      <c r="R45" s="177">
        <f t="shared" si="5"/>
        <v>0.50172632461380684</v>
      </c>
      <c r="S45" s="921">
        <f t="shared" si="6"/>
        <v>-2</v>
      </c>
      <c r="T45" s="176">
        <f t="shared" si="7"/>
        <v>4</v>
      </c>
      <c r="U45" s="251">
        <f t="shared" si="21"/>
        <v>-1.4982736753861932</v>
      </c>
      <c r="V45" s="383">
        <f t="shared" si="8"/>
        <v>35.409005755190933</v>
      </c>
      <c r="W45" s="58"/>
      <c r="X45" s="157">
        <f t="shared" si="9"/>
        <v>43496</v>
      </c>
      <c r="Y45" s="385">
        <f t="shared" si="10"/>
        <v>7.9410000000000007</v>
      </c>
      <c r="Z45" s="385">
        <f t="shared" si="11"/>
        <v>7.9851264853122164</v>
      </c>
      <c r="AA45" s="386">
        <f t="shared" si="12"/>
        <v>8.2226129861242114</v>
      </c>
      <c r="AB45" s="197">
        <f t="shared" si="13"/>
        <v>43496</v>
      </c>
      <c r="AC45" s="427">
        <f>IF(OR(t&lt;Tnet,NoTnet),'2018'!Resal_s+('2018'!Salim-'2018'!Resal_s)*(1-EXP(('2018'!Tnet_s-t)/'2018'!Tau_j)),Resal_s+(Salim-Resal_s)*(1-EXP((Tnet_s-t)/Tau_j)))*Salcycl</f>
        <v>2.8882120709409171E-2</v>
      </c>
      <c r="AD45" s="231">
        <f>(INDEX(Models!$BJ45:$BT45,,AH45)*(1-AF45)+INDEX(Models!$BJ45:$BT45,,AH45+1)*AF45-ERP_i)*AE45*Ramure*Pc/MaxiM</f>
        <v>1.6302158173770899E-4</v>
      </c>
      <c r="AE45" s="305">
        <f t="shared" si="14"/>
        <v>0.7</v>
      </c>
      <c r="AF45" s="177">
        <f t="shared" si="15"/>
        <v>0.50172632461380684</v>
      </c>
      <c r="AG45" s="176">
        <f t="shared" si="16"/>
        <v>-2</v>
      </c>
      <c r="AH45" s="176">
        <f t="shared" si="17"/>
        <v>4</v>
      </c>
      <c r="AI45" s="225">
        <f t="shared" si="22"/>
        <v>-1.4982736753861932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20">
        <v>28.454999999999998</v>
      </c>
      <c r="C46" s="390"/>
      <c r="D46" s="393">
        <f t="shared" si="0"/>
        <v>28.613745230959903</v>
      </c>
      <c r="E46" s="385">
        <f t="shared" si="1"/>
        <v>29.467830199910132</v>
      </c>
      <c r="F46" s="385">
        <f t="shared" si="2"/>
        <v>29.47119267155292</v>
      </c>
      <c r="G46" s="110">
        <f t="shared" si="23"/>
        <v>0.79603458305582631</v>
      </c>
      <c r="H46" s="414" t="b">
        <f>Wh_hp&gt;='2018'!Maxi_hp</f>
        <v>1</v>
      </c>
      <c r="I46" s="390">
        <f>IF(H46,Wh_hp,'2018'!Maxi_hp)</f>
        <v>29.47119267155292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5.5478662327692607E-3</v>
      </c>
      <c r="M46" s="959"/>
      <c r="N46" s="959"/>
      <c r="O46" s="48">
        <f>IF(t&lt;Tnet,'2018'!Resal+('2018'!Salim-'2018'!Resal)*(1-EXP(('2018'!Tnet-t)/('2018'!Tau_j))),Resal+(Salim-Resal)*(1-EXP((Tnet-t)/(Tau_j))))*Salcycl</f>
        <v>2.8983639553917178E-2</v>
      </c>
      <c r="P46" s="169">
        <f>(INDEX(Models!$BJ46:$BT46,,T46)*(1-R46)+INDEX(Models!$BJ46:$BT46,,T46+1)*R46-ERP_i)*Q46*Ramure*Pc/MaxiM</f>
        <v>1.6099571229628772E-4</v>
      </c>
      <c r="Q46" s="305">
        <f t="shared" si="4"/>
        <v>0.7</v>
      </c>
      <c r="R46" s="177">
        <f t="shared" si="5"/>
        <v>0.50182587320424732</v>
      </c>
      <c r="S46" s="921">
        <f t="shared" si="6"/>
        <v>-2</v>
      </c>
      <c r="T46" s="176">
        <f t="shared" si="7"/>
        <v>4</v>
      </c>
      <c r="U46" s="251">
        <f t="shared" si="21"/>
        <v>-1.4981741267957527</v>
      </c>
      <c r="V46" s="383">
        <f t="shared" si="8"/>
        <v>35.744257662966788</v>
      </c>
      <c r="W46" s="58"/>
      <c r="X46" s="157">
        <f t="shared" si="9"/>
        <v>43497</v>
      </c>
      <c r="Y46" s="385">
        <f t="shared" si="10"/>
        <v>28.454999999999998</v>
      </c>
      <c r="Z46" s="385">
        <f t="shared" si="11"/>
        <v>28.613745230959903</v>
      </c>
      <c r="AA46" s="386">
        <f t="shared" si="12"/>
        <v>29.467830199910132</v>
      </c>
      <c r="AB46" s="197">
        <f t="shared" si="13"/>
        <v>43497</v>
      </c>
      <c r="AC46" s="427">
        <f>IF(OR(t&lt;Tnet,NoTnet),'2018'!Resal_s+('2018'!Salim-'2018'!Resal_s)*(1-EXP(('2018'!Tnet_s-t)/'2018'!Tau_j)),Resal_s+(Salim-Resal_s)*(1-EXP((Tnet_s-t)/Tau_j)))*Salcycl</f>
        <v>2.8983639553917178E-2</v>
      </c>
      <c r="AD46" s="231">
        <f>(INDEX(Models!$BJ46:$BT46,,AH46)*(1-AF46)+INDEX(Models!$BJ46:$BT46,,AH46+1)*AF46-ERP_i)*AE46*Ramure*Pc/MaxiM</f>
        <v>1.6099571229628772E-4</v>
      </c>
      <c r="AE46" s="305">
        <f t="shared" si="14"/>
        <v>0.7</v>
      </c>
      <c r="AF46" s="177">
        <f t="shared" si="15"/>
        <v>0.50182587320424732</v>
      </c>
      <c r="AG46" s="176">
        <f t="shared" si="16"/>
        <v>-2</v>
      </c>
      <c r="AH46" s="176">
        <f t="shared" si="17"/>
        <v>4</v>
      </c>
      <c r="AI46" s="225">
        <f t="shared" si="22"/>
        <v>-1.4981741267957527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20">
        <v>2.8319999999999999</v>
      </c>
      <c r="C47" s="390"/>
      <c r="D47" s="393">
        <f t="shared" si="0"/>
        <v>2.8478615845472501</v>
      </c>
      <c r="E47" s="385">
        <f t="shared" si="1"/>
        <v>2.9331732480727704</v>
      </c>
      <c r="F47" s="385">
        <f t="shared" si="2"/>
        <v>2.9331732480727704</v>
      </c>
      <c r="G47" s="110">
        <f t="shared" si="23"/>
        <v>7.8481610881339633E-2</v>
      </c>
      <c r="H47" s="414" t="b">
        <f>Wh_hp&gt;='2018'!Maxi_hp</f>
        <v>1</v>
      </c>
      <c r="I47" s="390">
        <f>IF(H47,Wh_hp,'2018'!Maxi_hp)</f>
        <v>2.9331732480727704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5.569647286692847E-3</v>
      </c>
      <c r="M47" s="959"/>
      <c r="N47" s="959"/>
      <c r="O47" s="48">
        <f>IF(t&lt;Tnet,'2018'!Resal+('2018'!Salim-'2018'!Resal)*(1-EXP(('2018'!Tnet-t)/('2018'!Tau_j))),Resal+(Salim-Resal)*(1-EXP((Tnet-t)/(Tau_j))))*Salcycl</f>
        <v>2.9085108962306989E-2</v>
      </c>
      <c r="P47" s="169">
        <f>(INDEX(Models!$BJ47:$BT47,,T47)*(1-R47)+INDEX(Models!$BJ47:$BT47,,T47+1)*R47-ERP_i)*Q47*Ramure*Pc/MaxiM</f>
        <v>1.5921673271781747E-4</v>
      </c>
      <c r="Q47" s="305">
        <f t="shared" si="4"/>
        <v>0.7</v>
      </c>
      <c r="R47" s="177">
        <f t="shared" si="5"/>
        <v>0.50192955576949205</v>
      </c>
      <c r="S47" s="921">
        <f t="shared" si="6"/>
        <v>-2</v>
      </c>
      <c r="T47" s="176">
        <f t="shared" si="7"/>
        <v>4</v>
      </c>
      <c r="U47" s="251">
        <f t="shared" si="21"/>
        <v>-1.4980704442305079</v>
      </c>
      <c r="V47" s="383">
        <f t="shared" si="8"/>
        <v>36.079140914858478</v>
      </c>
      <c r="W47" s="58"/>
      <c r="X47" s="157">
        <f t="shared" si="9"/>
        <v>43498</v>
      </c>
      <c r="Y47" s="385">
        <f t="shared" si="10"/>
        <v>2.8319999999999999</v>
      </c>
      <c r="Z47" s="385">
        <f t="shared" si="11"/>
        <v>2.8478615845472501</v>
      </c>
      <c r="AA47" s="386">
        <f t="shared" si="12"/>
        <v>2.9331732480727704</v>
      </c>
      <c r="AB47" s="197">
        <f t="shared" si="13"/>
        <v>43498</v>
      </c>
      <c r="AC47" s="427">
        <f>IF(OR(t&lt;Tnet,NoTnet),'2018'!Resal_s+('2018'!Salim-'2018'!Resal_s)*(1-EXP(('2018'!Tnet_s-t)/'2018'!Tau_j)),Resal_s+(Salim-Resal_s)*(1-EXP((Tnet_s-t)/Tau_j)))*Salcycl</f>
        <v>2.9085108962306989E-2</v>
      </c>
      <c r="AD47" s="231">
        <f>(INDEX(Models!$BJ47:$BT47,,AH47)*(1-AF47)+INDEX(Models!$BJ47:$BT47,,AH47+1)*AF47-ERP_i)*AE47*Ramure*Pc/MaxiM</f>
        <v>1.5921673271781747E-4</v>
      </c>
      <c r="AE47" s="305">
        <f t="shared" si="14"/>
        <v>0.7</v>
      </c>
      <c r="AF47" s="177">
        <f t="shared" si="15"/>
        <v>0.50192955576949205</v>
      </c>
      <c r="AG47" s="176">
        <f t="shared" si="16"/>
        <v>-2</v>
      </c>
      <c r="AH47" s="176">
        <f t="shared" si="17"/>
        <v>4</v>
      </c>
      <c r="AI47" s="225">
        <f t="shared" si="22"/>
        <v>-1.4980704442305079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20">
        <v>13.759</v>
      </c>
      <c r="C48" s="390"/>
      <c r="D48" s="393">
        <f t="shared" si="0"/>
        <v>13.836365036998197</v>
      </c>
      <c r="E48" s="385">
        <f t="shared" si="1"/>
        <v>14.25234139599225</v>
      </c>
      <c r="F48" s="385">
        <f t="shared" si="2"/>
        <v>14.252591384801031</v>
      </c>
      <c r="G48" s="110">
        <f t="shared" si="23"/>
        <v>0.37781166239033742</v>
      </c>
      <c r="H48" s="414" t="b">
        <f>Wh_hp&gt;='2018'!Maxi_hp</f>
        <v>1</v>
      </c>
      <c r="I48" s="390">
        <f>IF(H48,Wh_hp,'2018'!Maxi_hp)</f>
        <v>14.252591384801031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5.591427863555487E-3</v>
      </c>
      <c r="M48" s="959"/>
      <c r="N48" s="959"/>
      <c r="O48" s="48">
        <f>IF(t&lt;Tnet,'2018'!Resal+('2018'!Salim-'2018'!Resal)*(1-EXP(('2018'!Tnet-t)/('2018'!Tau_j))),Resal+(Salim-Resal)*(1-EXP((Tnet-t)/(Tau_j))))*Salcycl</f>
        <v>2.9186527843840845E-2</v>
      </c>
      <c r="P48" s="169">
        <f>(INDEX(Models!$BJ48:$BT48,,T48)*(1-R48)+INDEX(Models!$BJ48:$BT48,,T48+1)*R48-ERP_i)*Q48*Ramure*Pc/MaxiM</f>
        <v>1.576829053098824E-4</v>
      </c>
      <c r="Q48" s="305">
        <f t="shared" si="4"/>
        <v>0.7</v>
      </c>
      <c r="R48" s="177">
        <f t="shared" si="5"/>
        <v>0.50203754214412522</v>
      </c>
      <c r="S48" s="921">
        <f t="shared" si="6"/>
        <v>-2</v>
      </c>
      <c r="T48" s="176">
        <f t="shared" si="7"/>
        <v>4</v>
      </c>
      <c r="U48" s="251">
        <f t="shared" si="21"/>
        <v>-1.4979624578558748</v>
      </c>
      <c r="V48" s="383">
        <f t="shared" si="8"/>
        <v>36.412512126595018</v>
      </c>
      <c r="W48" s="58"/>
      <c r="X48" s="157">
        <f t="shared" si="9"/>
        <v>43499</v>
      </c>
      <c r="Y48" s="385">
        <f t="shared" si="10"/>
        <v>13.759</v>
      </c>
      <c r="Z48" s="385">
        <f t="shared" si="11"/>
        <v>13.836365036998197</v>
      </c>
      <c r="AA48" s="386">
        <f t="shared" si="12"/>
        <v>14.25234139599225</v>
      </c>
      <c r="AB48" s="197">
        <f t="shared" si="13"/>
        <v>43499</v>
      </c>
      <c r="AC48" s="427">
        <f>IF(OR(t&lt;Tnet,NoTnet),'2018'!Resal_s+('2018'!Salim-'2018'!Resal_s)*(1-EXP(('2018'!Tnet_s-t)/'2018'!Tau_j)),Resal_s+(Salim-Resal_s)*(1-EXP((Tnet_s-t)/Tau_j)))*Salcycl</f>
        <v>2.9186527843840845E-2</v>
      </c>
      <c r="AD48" s="231">
        <f>(INDEX(Models!$BJ48:$BT48,,AH48)*(1-AF48)+INDEX(Models!$BJ48:$BT48,,AH48+1)*AF48-ERP_i)*AE48*Ramure*Pc/MaxiM</f>
        <v>1.576829053098824E-4</v>
      </c>
      <c r="AE48" s="305">
        <f t="shared" si="14"/>
        <v>0.7</v>
      </c>
      <c r="AF48" s="177">
        <f t="shared" si="15"/>
        <v>0.50203754214412522</v>
      </c>
      <c r="AG48" s="176">
        <f t="shared" si="16"/>
        <v>-2</v>
      </c>
      <c r="AH48" s="176">
        <f t="shared" si="17"/>
        <v>4</v>
      </c>
      <c r="AI48" s="225">
        <f t="shared" si="22"/>
        <v>-1.4979624578558748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20">
        <v>28.881</v>
      </c>
      <c r="C49" s="390"/>
      <c r="D49" s="393">
        <f t="shared" si="0"/>
        <v>29.044030181503103</v>
      </c>
      <c r="E49" s="385">
        <f t="shared" si="1"/>
        <v>29.920333769002145</v>
      </c>
      <c r="F49" s="385">
        <f t="shared" si="2"/>
        <v>29.923583051666235</v>
      </c>
      <c r="G49" s="110">
        <f t="shared" si="23"/>
        <v>0.78598480123298742</v>
      </c>
      <c r="H49" s="414" t="b">
        <f>Wh_hp&gt;='2018'!Maxi_hp</f>
        <v>1</v>
      </c>
      <c r="I49" s="390">
        <f>IF(H49,Wh_hp,'2018'!Maxi_hp)</f>
        <v>29.923583051666235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5.6132079633676168E-3</v>
      </c>
      <c r="M49" s="959"/>
      <c r="N49" s="959"/>
      <c r="O49" s="48">
        <f>IF(t&lt;Tnet,'2018'!Resal+('2018'!Salim-'2018'!Resal)*(1-EXP(('2018'!Tnet-t)/('2018'!Tau_j))),Resal+(Salim-Resal)*(1-EXP((Tnet-t)/(Tau_j))))*Salcycl</f>
        <v>2.9287894789693337E-2</v>
      </c>
      <c r="P49" s="169">
        <f>(INDEX(Models!$BJ49:$BT49,,T49)*(1-R49)+INDEX(Models!$BJ49:$BT49,,T49+1)*R49-ERP_i)*Q49*Ramure*Pc/MaxiM</f>
        <v>1.563924088485406E-4</v>
      </c>
      <c r="Q49" s="305">
        <f t="shared" si="4"/>
        <v>0.7</v>
      </c>
      <c r="R49" s="177">
        <f t="shared" si="5"/>
        <v>0.50215000898349116</v>
      </c>
      <c r="S49" s="921">
        <f t="shared" si="6"/>
        <v>-2</v>
      </c>
      <c r="T49" s="176">
        <f t="shared" si="7"/>
        <v>4</v>
      </c>
      <c r="U49" s="251">
        <f t="shared" si="21"/>
        <v>-1.4978499910165088</v>
      </c>
      <c r="V49" s="383">
        <f t="shared" si="8"/>
        <v>36.743228505589165</v>
      </c>
      <c r="W49" s="58"/>
      <c r="X49" s="157">
        <f t="shared" si="9"/>
        <v>43500</v>
      </c>
      <c r="Y49" s="385">
        <f t="shared" si="10"/>
        <v>28.881</v>
      </c>
      <c r="Z49" s="385">
        <f t="shared" si="11"/>
        <v>29.044030181503103</v>
      </c>
      <c r="AA49" s="386">
        <f t="shared" si="12"/>
        <v>29.920333769002145</v>
      </c>
      <c r="AB49" s="197">
        <f t="shared" si="13"/>
        <v>43500</v>
      </c>
      <c r="AC49" s="427">
        <f>IF(OR(t&lt;Tnet,NoTnet),'2018'!Resal_s+('2018'!Salim-'2018'!Resal_s)*(1-EXP(('2018'!Tnet_s-t)/'2018'!Tau_j)),Resal_s+(Salim-Resal_s)*(1-EXP((Tnet_s-t)/Tau_j)))*Salcycl</f>
        <v>2.9287894789693337E-2</v>
      </c>
      <c r="AD49" s="231">
        <f>(INDEX(Models!$BJ49:$BT49,,AH49)*(1-AF49)+INDEX(Models!$BJ49:$BT49,,AH49+1)*AF49-ERP_i)*AE49*Ramure*Pc/MaxiM</f>
        <v>1.563924088485406E-4</v>
      </c>
      <c r="AE49" s="305">
        <f t="shared" si="14"/>
        <v>0.7</v>
      </c>
      <c r="AF49" s="177">
        <f t="shared" si="15"/>
        <v>0.50215000898349116</v>
      </c>
      <c r="AG49" s="176">
        <f t="shared" si="16"/>
        <v>-2</v>
      </c>
      <c r="AH49" s="176">
        <f t="shared" si="17"/>
        <v>4</v>
      </c>
      <c r="AI49" s="225">
        <f t="shared" si="22"/>
        <v>-1.4978499910165088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20">
        <v>3.3540000000000001</v>
      </c>
      <c r="C50" s="390"/>
      <c r="D50" s="393">
        <f t="shared" si="0"/>
        <v>3.3730068517375051</v>
      </c>
      <c r="E50" s="385">
        <f t="shared" si="1"/>
        <v>3.4751384178259648</v>
      </c>
      <c r="F50" s="385">
        <f t="shared" si="2"/>
        <v>3.4751384178259648</v>
      </c>
      <c r="G50" s="110">
        <f t="shared" si="23"/>
        <v>9.0463059164977086E-2</v>
      </c>
      <c r="H50" s="414" t="b">
        <f>Wh_hp&gt;='2018'!Maxi_hp</f>
        <v>1</v>
      </c>
      <c r="I50" s="390">
        <f>IF(H50,Wh_hp,'2018'!Maxi_hp)</f>
        <v>3.4751384178259648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5.6349875861396725E-3</v>
      </c>
      <c r="M50" s="959"/>
      <c r="N50" s="959"/>
      <c r="O50" s="48">
        <f>IF(t&lt;Tnet,'2018'!Resal+('2018'!Salim-'2018'!Resal)*(1-EXP(('2018'!Tnet-t)/('2018'!Tau_j))),Resal+(Salim-Resal)*(1-EXP((Tnet-t)/(Tau_j))))*Salcycl</f>
        <v>2.9389208085804145E-2</v>
      </c>
      <c r="P50" s="169">
        <f>(INDEX(Models!$BJ50:$BT50,,T50)*(1-R50)+INDEX(Models!$BJ50:$BT50,,T50+1)*R50-ERP_i)*Q50*Ramure*Pc/MaxiM</f>
        <v>1.5534341960542406E-4</v>
      </c>
      <c r="Q50" s="305">
        <f t="shared" si="4"/>
        <v>0.7</v>
      </c>
      <c r="R50" s="177">
        <f t="shared" si="5"/>
        <v>0.50226714002427197</v>
      </c>
      <c r="S50" s="921">
        <f t="shared" si="6"/>
        <v>-2</v>
      </c>
      <c r="T50" s="176">
        <f t="shared" si="7"/>
        <v>4</v>
      </c>
      <c r="U50" s="251">
        <f t="shared" si="21"/>
        <v>-1.497732859975728</v>
      </c>
      <c r="V50" s="383">
        <f t="shared" si="8"/>
        <v>37.070147849576017</v>
      </c>
      <c r="W50" s="58"/>
      <c r="X50" s="157">
        <f t="shared" si="9"/>
        <v>43501</v>
      </c>
      <c r="Y50" s="385">
        <f t="shared" si="10"/>
        <v>3.3540000000000001</v>
      </c>
      <c r="Z50" s="385">
        <f t="shared" si="11"/>
        <v>3.3730068517375051</v>
      </c>
      <c r="AA50" s="386">
        <f t="shared" si="12"/>
        <v>3.4751384178259648</v>
      </c>
      <c r="AB50" s="197">
        <f t="shared" si="13"/>
        <v>43501</v>
      </c>
      <c r="AC50" s="427">
        <f>IF(OR(t&lt;Tnet,NoTnet),'2018'!Resal_s+('2018'!Salim-'2018'!Resal_s)*(1-EXP(('2018'!Tnet_s-t)/'2018'!Tau_j)),Resal_s+(Salim-Resal_s)*(1-EXP((Tnet_s-t)/Tau_j)))*Salcycl</f>
        <v>2.9389208085804145E-2</v>
      </c>
      <c r="AD50" s="231">
        <f>(INDEX(Models!$BJ50:$BT50,,AH50)*(1-AF50)+INDEX(Models!$BJ50:$BT50,,AH50+1)*AF50-ERP_i)*AE50*Ramure*Pc/MaxiM</f>
        <v>1.5534341960542406E-4</v>
      </c>
      <c r="AE50" s="305">
        <f t="shared" si="14"/>
        <v>0.7</v>
      </c>
      <c r="AF50" s="177">
        <f t="shared" si="15"/>
        <v>0.50226714002427197</v>
      </c>
      <c r="AG50" s="176">
        <f t="shared" si="16"/>
        <v>-2</v>
      </c>
      <c r="AH50" s="176">
        <f t="shared" si="17"/>
        <v>4</v>
      </c>
      <c r="AI50" s="225">
        <f t="shared" si="22"/>
        <v>-1.497732859975728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20">
        <v>9.57</v>
      </c>
      <c r="C51" s="390"/>
      <c r="D51" s="393">
        <f t="shared" si="0"/>
        <v>9.6244432302779224</v>
      </c>
      <c r="E51" s="385">
        <f t="shared" si="1"/>
        <v>9.9168971457093207</v>
      </c>
      <c r="F51" s="385">
        <f t="shared" si="2"/>
        <v>9.9168971457093207</v>
      </c>
      <c r="G51" s="110">
        <f t="shared" si="23"/>
        <v>0.25586941240468403</v>
      </c>
      <c r="H51" s="414" t="b">
        <f>Wh_hp&gt;='2018'!Maxi_hp</f>
        <v>1</v>
      </c>
      <c r="I51" s="390">
        <f>IF(H51,Wh_hp,'2018'!Maxi_hp)</f>
        <v>9.9168971457093207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5.6567667318819792E-3</v>
      </c>
      <c r="M51" s="959"/>
      <c r="N51" s="959"/>
      <c r="O51" s="48">
        <f>IF(t&lt;Tnet,'2018'!Resal+('2018'!Salim-'2018'!Resal)*(1-EXP(('2018'!Tnet-t)/('2018'!Tau_j))),Resal+(Salim-Resal)*(1-EXP((Tnet-t)/(Tau_j))))*Salcycl</f>
        <v>2.9490465730798832E-2</v>
      </c>
      <c r="P51" s="169">
        <f>(INDEX(Models!$BJ51:$BT51,,T51)*(1-R51)+INDEX(Models!$BJ51:$BT51,,T51+1)*R51-ERP_i)*Q51*Ramure*Pc/MaxiM</f>
        <v>1.545177273792851E-4</v>
      </c>
      <c r="Q51" s="305">
        <f t="shared" si="4"/>
        <v>0.7</v>
      </c>
      <c r="R51" s="177">
        <f t="shared" si="5"/>
        <v>0.50238912635386601</v>
      </c>
      <c r="S51" s="921">
        <f t="shared" si="6"/>
        <v>-2</v>
      </c>
      <c r="T51" s="176">
        <f t="shared" si="7"/>
        <v>4</v>
      </c>
      <c r="U51" s="251">
        <f t="shared" si="21"/>
        <v>-1.497610873646134</v>
      </c>
      <c r="V51" s="383">
        <f t="shared" si="8"/>
        <v>37.396112241096525</v>
      </c>
      <c r="W51" s="58"/>
      <c r="X51" s="157">
        <f t="shared" si="9"/>
        <v>43502</v>
      </c>
      <c r="Y51" s="385">
        <f t="shared" si="10"/>
        <v>9.57</v>
      </c>
      <c r="Z51" s="385">
        <f t="shared" si="11"/>
        <v>9.6244432302779224</v>
      </c>
      <c r="AA51" s="386">
        <f t="shared" si="12"/>
        <v>9.9168971457093207</v>
      </c>
      <c r="AB51" s="197">
        <f t="shared" si="13"/>
        <v>43502</v>
      </c>
      <c r="AC51" s="427">
        <f>IF(OR(t&lt;Tnet,NoTnet),'2018'!Resal_s+('2018'!Salim-'2018'!Resal_s)*(1-EXP(('2018'!Tnet_s-t)/'2018'!Tau_j)),Resal_s+(Salim-Resal_s)*(1-EXP((Tnet_s-t)/Tau_j)))*Salcycl</f>
        <v>2.9490465730798832E-2</v>
      </c>
      <c r="AD51" s="231">
        <f>(INDEX(Models!$BJ51:$BT51,,AH51)*(1-AF51)+INDEX(Models!$BJ51:$BT51,,AH51+1)*AF51-ERP_i)*AE51*Ramure*Pc/MaxiM</f>
        <v>1.545177273792851E-4</v>
      </c>
      <c r="AE51" s="305">
        <f t="shared" si="14"/>
        <v>0.7</v>
      </c>
      <c r="AF51" s="177">
        <f t="shared" si="15"/>
        <v>0.50238912635386601</v>
      </c>
      <c r="AG51" s="176">
        <f t="shared" si="16"/>
        <v>-2</v>
      </c>
      <c r="AH51" s="176">
        <f t="shared" si="17"/>
        <v>4</v>
      </c>
      <c r="AI51" s="225">
        <f t="shared" si="22"/>
        <v>-1.497610873646134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20">
        <v>5.875</v>
      </c>
      <c r="C52" s="390"/>
      <c r="D52" s="393">
        <f t="shared" si="0"/>
        <v>5.9085519806740932</v>
      </c>
      <c r="E52" s="385">
        <f t="shared" si="1"/>
        <v>6.0887275699948518</v>
      </c>
      <c r="F52" s="385">
        <f t="shared" si="2"/>
        <v>6.0887275699948518</v>
      </c>
      <c r="G52" s="110">
        <f t="shared" si="23"/>
        <v>0.15571087380738047</v>
      </c>
      <c r="H52" s="414" t="b">
        <f>Wh_hp&gt;='2018'!Maxi_hp</f>
        <v>1</v>
      </c>
      <c r="I52" s="390">
        <f>IF(H52,Wh_hp,'2018'!Maxi_hp)</f>
        <v>6.0887275699948518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5.678545400605195E-3</v>
      </c>
      <c r="M52" s="959"/>
      <c r="N52" s="959"/>
      <c r="O52" s="48">
        <f>IF(t&lt;Tnet,'2018'!Resal+('2018'!Salim-'2018'!Resal)*(1-EXP(('2018'!Tnet-t)/('2018'!Tau_j))),Resal+(Salim-Resal)*(1-EXP((Tnet-t)/(Tau_j))))*Salcycl</f>
        <v>2.95916654587506E-2</v>
      </c>
      <c r="P52" s="169">
        <f>(INDEX(Models!$BJ52:$BT52,,T52)*(1-R52)+INDEX(Models!$BJ52:$BT52,,T52+1)*R52-ERP_i)*Q52*Ramure*Pc/MaxiM</f>
        <v>1.5393024662525219E-4</v>
      </c>
      <c r="Q52" s="305">
        <f t="shared" si="4"/>
        <v>0.7</v>
      </c>
      <c r="R52" s="177">
        <f t="shared" si="5"/>
        <v>0.50251616668876764</v>
      </c>
      <c r="S52" s="921">
        <f t="shared" si="6"/>
        <v>-2</v>
      </c>
      <c r="T52" s="176">
        <f t="shared" si="7"/>
        <v>4</v>
      </c>
      <c r="U52" s="251">
        <f t="shared" si="21"/>
        <v>-1.4974838333112324</v>
      </c>
      <c r="V52" s="383">
        <f t="shared" si="8"/>
        <v>37.724376700033979</v>
      </c>
      <c r="W52" s="58"/>
      <c r="X52" s="157">
        <f t="shared" si="9"/>
        <v>43503</v>
      </c>
      <c r="Y52" s="385">
        <f t="shared" si="10"/>
        <v>5.875</v>
      </c>
      <c r="Z52" s="385">
        <f t="shared" si="11"/>
        <v>5.9085519806740932</v>
      </c>
      <c r="AA52" s="386">
        <f t="shared" si="12"/>
        <v>6.0887275699948518</v>
      </c>
      <c r="AB52" s="197">
        <f t="shared" si="13"/>
        <v>43503</v>
      </c>
      <c r="AC52" s="427">
        <f>IF(OR(t&lt;Tnet,NoTnet),'2018'!Resal_s+('2018'!Salim-'2018'!Resal_s)*(1-EXP(('2018'!Tnet_s-t)/'2018'!Tau_j)),Resal_s+(Salim-Resal_s)*(1-EXP((Tnet_s-t)/Tau_j)))*Salcycl</f>
        <v>2.95916654587506E-2</v>
      </c>
      <c r="AD52" s="231">
        <f>(INDEX(Models!$BJ52:$BT52,,AH52)*(1-AF52)+INDEX(Models!$BJ52:$BT52,,AH52+1)*AF52-ERP_i)*AE52*Ramure*Pc/MaxiM</f>
        <v>1.5393024662525219E-4</v>
      </c>
      <c r="AE52" s="305">
        <f t="shared" si="14"/>
        <v>0.7</v>
      </c>
      <c r="AF52" s="177">
        <f t="shared" si="15"/>
        <v>0.50251616668876764</v>
      </c>
      <c r="AG52" s="176">
        <f t="shared" si="16"/>
        <v>-2</v>
      </c>
      <c r="AH52" s="176">
        <f t="shared" si="17"/>
        <v>4</v>
      </c>
      <c r="AI52" s="225">
        <f t="shared" si="22"/>
        <v>-1.4974838333112324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20">
        <v>30.83</v>
      </c>
      <c r="C53" s="390"/>
      <c r="D53" s="393">
        <f t="shared" si="0"/>
        <v>31.006748499995648</v>
      </c>
      <c r="E53" s="385">
        <f t="shared" si="1"/>
        <v>31.955599888687054</v>
      </c>
      <c r="F53" s="385">
        <f t="shared" si="2"/>
        <v>31.95917350090901</v>
      </c>
      <c r="G53" s="110">
        <f t="shared" si="23"/>
        <v>0.81012170502400771</v>
      </c>
      <c r="H53" s="414" t="b">
        <f>Wh_hp&gt;='2018'!Maxi_hp</f>
        <v>1</v>
      </c>
      <c r="I53" s="390">
        <f>IF(H53,Wh_hp,'2018'!Maxi_hp)</f>
        <v>31.95917350090901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5.7003235923197559E-3</v>
      </c>
      <c r="M53" s="959"/>
      <c r="N53" s="959"/>
      <c r="O53" s="48">
        <f>IF(t&lt;Tnet,'2018'!Resal+('2018'!Salim-'2018'!Resal)*(1-EXP(('2018'!Tnet-t)/('2018'!Tau_j))),Resal+(Salim-Resal)*(1-EXP((Tnet-t)/(Tau_j))))*Salcycl</f>
        <v>2.9692804766507295E-2</v>
      </c>
      <c r="P53" s="169">
        <f>(INDEX(Models!$BJ53:$BT53,,T53)*(1-R53)+INDEX(Models!$BJ53:$BT53,,T53+1)*R53-ERP_i)*Q53*Ramure*Pc/MaxiM</f>
        <v>1.53428987887749E-4</v>
      </c>
      <c r="Q53" s="305">
        <f t="shared" si="4"/>
        <v>0.7</v>
      </c>
      <c r="R53" s="177">
        <f t="shared" si="5"/>
        <v>0.50264846766213389</v>
      </c>
      <c r="S53" s="921">
        <f t="shared" si="6"/>
        <v>-2</v>
      </c>
      <c r="T53" s="176">
        <f t="shared" si="7"/>
        <v>4</v>
      </c>
      <c r="U53" s="251">
        <f t="shared" si="21"/>
        <v>-1.4973515323378661</v>
      </c>
      <c r="V53" s="383">
        <f t="shared" si="8"/>
        <v>38.054426637263937</v>
      </c>
      <c r="W53" s="58"/>
      <c r="X53" s="157">
        <f t="shared" si="9"/>
        <v>43504</v>
      </c>
      <c r="Y53" s="385">
        <f t="shared" si="10"/>
        <v>30.83</v>
      </c>
      <c r="Z53" s="385">
        <f t="shared" si="11"/>
        <v>31.006748499995648</v>
      </c>
      <c r="AA53" s="386">
        <f t="shared" si="12"/>
        <v>31.955599888687054</v>
      </c>
      <c r="AB53" s="197">
        <f t="shared" si="13"/>
        <v>43504</v>
      </c>
      <c r="AC53" s="427">
        <f>IF(OR(t&lt;Tnet,NoTnet),'2018'!Resal_s+('2018'!Salim-'2018'!Resal_s)*(1-EXP(('2018'!Tnet_s-t)/'2018'!Tau_j)),Resal_s+(Salim-Resal_s)*(1-EXP((Tnet_s-t)/Tau_j)))*Salcycl</f>
        <v>2.9692804766507295E-2</v>
      </c>
      <c r="AD53" s="231">
        <f>(INDEX(Models!$BJ53:$BT53,,AH53)*(1-AF53)+INDEX(Models!$BJ53:$BT53,,AH53+1)*AF53-ERP_i)*AE53*Ramure*Pc/MaxiM</f>
        <v>1.53428987887749E-4</v>
      </c>
      <c r="AE53" s="305">
        <f t="shared" si="14"/>
        <v>0.7</v>
      </c>
      <c r="AF53" s="177">
        <f t="shared" si="15"/>
        <v>0.50264846766213389</v>
      </c>
      <c r="AG53" s="176">
        <f t="shared" si="16"/>
        <v>-2</v>
      </c>
      <c r="AH53" s="176">
        <f t="shared" si="17"/>
        <v>4</v>
      </c>
      <c r="AI53" s="225">
        <f t="shared" si="22"/>
        <v>-1.4973515323378661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20">
        <v>30.718</v>
      </c>
      <c r="C54" s="390"/>
      <c r="D54" s="393">
        <f t="shared" si="0"/>
        <v>30.894783078634845</v>
      </c>
      <c r="E54" s="385">
        <f t="shared" si="1"/>
        <v>31.843525279695616</v>
      </c>
      <c r="F54" s="385">
        <f t="shared" si="2"/>
        <v>31.847007727333747</v>
      </c>
      <c r="G54" s="110">
        <f t="shared" si="23"/>
        <v>0.80021010097272205</v>
      </c>
      <c r="H54" s="414" t="b">
        <f>Wh_hp&gt;='2018'!Maxi_hp</f>
        <v>1</v>
      </c>
      <c r="I54" s="390">
        <f>IF(H54,Wh_hp,'2018'!Maxi_hp)</f>
        <v>31.847007727333747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5.7221013070358762E-3</v>
      </c>
      <c r="M54" s="959"/>
      <c r="N54" s="959"/>
      <c r="O54" s="48">
        <f>IF(t&lt;Tnet,'2018'!Resal+('2018'!Salim-'2018'!Resal)*(1-EXP(('2018'!Tnet-t)/('2018'!Tau_j))),Resal+(Salim-Resal)*(1-EXP((Tnet-t)/(Tau_j))))*Salcycl</f>
        <v>2.9793880945264514E-2</v>
      </c>
      <c r="P54" s="169">
        <f>(INDEX(Models!$BJ54:$BT54,,T54)*(1-R54)+INDEX(Models!$BJ54:$BT54,,T54+1)*R54-ERP_i)*Q54*Ramure*Pc/MaxiM</f>
        <v>1.5301401266757593E-4</v>
      </c>
      <c r="Q54" s="305">
        <f t="shared" si="4"/>
        <v>0.7</v>
      </c>
      <c r="R54" s="177">
        <f t="shared" si="5"/>
        <v>0.50278624412072492</v>
      </c>
      <c r="S54" s="921">
        <f t="shared" si="6"/>
        <v>-2</v>
      </c>
      <c r="T54" s="176">
        <f t="shared" si="7"/>
        <v>4</v>
      </c>
      <c r="U54" s="251">
        <f t="shared" si="21"/>
        <v>-1.4972137558792751</v>
      </c>
      <c r="V54" s="383">
        <f t="shared" si="8"/>
        <v>38.385742098207835</v>
      </c>
      <c r="W54" s="58"/>
      <c r="X54" s="157">
        <f t="shared" si="9"/>
        <v>43505</v>
      </c>
      <c r="Y54" s="385">
        <f t="shared" si="10"/>
        <v>30.718</v>
      </c>
      <c r="Z54" s="385">
        <f t="shared" si="11"/>
        <v>30.894783078634845</v>
      </c>
      <c r="AA54" s="386">
        <f t="shared" si="12"/>
        <v>31.843525279695616</v>
      </c>
      <c r="AB54" s="197">
        <f t="shared" si="13"/>
        <v>43505</v>
      </c>
      <c r="AC54" s="427">
        <f>IF(OR(t&lt;Tnet,NoTnet),'2018'!Resal_s+('2018'!Salim-'2018'!Resal_s)*(1-EXP(('2018'!Tnet_s-t)/'2018'!Tau_j)),Resal_s+(Salim-Resal_s)*(1-EXP((Tnet_s-t)/Tau_j)))*Salcycl</f>
        <v>2.9793880945264514E-2</v>
      </c>
      <c r="AD54" s="231">
        <f>(INDEX(Models!$BJ54:$BT54,,AH54)*(1-AF54)+INDEX(Models!$BJ54:$BT54,,AH54+1)*AF54-ERP_i)*AE54*Ramure*Pc/MaxiM</f>
        <v>1.5301401266757593E-4</v>
      </c>
      <c r="AE54" s="305">
        <f t="shared" si="14"/>
        <v>0.7</v>
      </c>
      <c r="AF54" s="177">
        <f t="shared" si="15"/>
        <v>0.50278624412072492</v>
      </c>
      <c r="AG54" s="176">
        <f t="shared" si="16"/>
        <v>-2</v>
      </c>
      <c r="AH54" s="176">
        <f t="shared" si="17"/>
        <v>4</v>
      </c>
      <c r="AI54" s="225">
        <f t="shared" si="22"/>
        <v>-1.4972137558792751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20">
        <v>8.52</v>
      </c>
      <c r="C55" s="390"/>
      <c r="D55" s="393">
        <f t="shared" si="0"/>
        <v>8.5692205621321822</v>
      </c>
      <c r="E55" s="385">
        <f t="shared" si="1"/>
        <v>8.8332908296816939</v>
      </c>
      <c r="F55" s="385">
        <f t="shared" si="2"/>
        <v>8.8332908296816939</v>
      </c>
      <c r="G55" s="110">
        <f t="shared" si="23"/>
        <v>0.22002020704671524</v>
      </c>
      <c r="H55" s="414" t="b">
        <f>Wh_hp&gt;='2018'!Maxi_hp</f>
        <v>1</v>
      </c>
      <c r="I55" s="390">
        <f>IF(H55,Wh_hp,'2018'!Maxi_hp)</f>
        <v>8.8332908296816939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5.7438785447642138E-3</v>
      </c>
      <c r="M55" s="959"/>
      <c r="N55" s="959"/>
      <c r="O55" s="48">
        <f>IF(t&lt;Tnet,'2018'!Resal+('2018'!Salim-'2018'!Resal)*(1-EXP(('2018'!Tnet-t)/('2018'!Tau_j))),Resal+(Salim-Resal)*(1-EXP((Tnet-t)/(Tau_j))))*Salcycl</f>
        <v>2.9894891116024485E-2</v>
      </c>
      <c r="P55" s="169">
        <f>(INDEX(Models!$BJ55:$BT55,,T55)*(1-R55)+INDEX(Models!$BJ55:$BT55,,T55+1)*R55-ERP_i)*Q55*Ramure*Pc/MaxiM</f>
        <v>1.5268534254415074E-4</v>
      </c>
      <c r="Q55" s="305">
        <f t="shared" si="4"/>
        <v>0.7</v>
      </c>
      <c r="R55" s="177">
        <f t="shared" si="5"/>
        <v>0.50292971943138753</v>
      </c>
      <c r="S55" s="921">
        <f t="shared" si="6"/>
        <v>-2</v>
      </c>
      <c r="T55" s="176">
        <f t="shared" si="7"/>
        <v>4</v>
      </c>
      <c r="U55" s="251">
        <f t="shared" si="21"/>
        <v>-1.4970702805686125</v>
      </c>
      <c r="V55" s="383">
        <f t="shared" si="8"/>
        <v>38.717803401906679</v>
      </c>
      <c r="W55" s="58"/>
      <c r="X55" s="157">
        <f t="shared" si="9"/>
        <v>43506</v>
      </c>
      <c r="Y55" s="385">
        <f t="shared" si="10"/>
        <v>8.52</v>
      </c>
      <c r="Z55" s="385">
        <f t="shared" si="11"/>
        <v>8.5692205621321822</v>
      </c>
      <c r="AA55" s="386">
        <f t="shared" si="12"/>
        <v>8.8332908296816939</v>
      </c>
      <c r="AB55" s="197">
        <f t="shared" si="13"/>
        <v>43506</v>
      </c>
      <c r="AC55" s="427">
        <f>IF(OR(t&lt;Tnet,NoTnet),'2018'!Resal_s+('2018'!Salim-'2018'!Resal_s)*(1-EXP(('2018'!Tnet_s-t)/'2018'!Tau_j)),Resal_s+(Salim-Resal_s)*(1-EXP((Tnet_s-t)/Tau_j)))*Salcycl</f>
        <v>2.9894891116024485E-2</v>
      </c>
      <c r="AD55" s="231">
        <f>(INDEX(Models!$BJ55:$BT55,,AH55)*(1-AF55)+INDEX(Models!$BJ55:$BT55,,AH55+1)*AF55-ERP_i)*AE55*Ramure*Pc/MaxiM</f>
        <v>1.5268534254415074E-4</v>
      </c>
      <c r="AE55" s="305">
        <f t="shared" si="14"/>
        <v>0.7</v>
      </c>
      <c r="AF55" s="177">
        <f t="shared" si="15"/>
        <v>0.50292971943138753</v>
      </c>
      <c r="AG55" s="176">
        <f t="shared" si="16"/>
        <v>-2</v>
      </c>
      <c r="AH55" s="176">
        <f t="shared" si="17"/>
        <v>4</v>
      </c>
      <c r="AI55" s="225">
        <f t="shared" si="22"/>
        <v>-1.4970702805686125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20">
        <v>25.928000000000001</v>
      </c>
      <c r="C56" s="390"/>
      <c r="D56" s="393">
        <f t="shared" si="0"/>
        <v>26.078358827935418</v>
      </c>
      <c r="E56" s="385">
        <f t="shared" si="1"/>
        <v>26.884790494173632</v>
      </c>
      <c r="F56" s="385">
        <f t="shared" si="2"/>
        <v>26.886921640779587</v>
      </c>
      <c r="G56" s="110">
        <f t="shared" si="23"/>
        <v>0.66391912776835915</v>
      </c>
      <c r="H56" s="414" t="b">
        <f>Wh_hp&gt;='2018'!Maxi_hp</f>
        <v>1</v>
      </c>
      <c r="I56" s="390">
        <f>IF(H56,Wh_hp,'2018'!Maxi_hp)</f>
        <v>26.886921640779587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5.7656553055152049E-3</v>
      </c>
      <c r="M56" s="959"/>
      <c r="N56" s="959"/>
      <c r="O56" s="48">
        <f>IF(t&lt;Tnet,'2018'!Resal+('2018'!Salim-'2018'!Resal)*(1-EXP(('2018'!Tnet-t)/('2018'!Tau_j))),Resal+(Salim-Resal)*(1-EXP((Tnet-t)/(Tau_j))))*Salcycl</f>
        <v>2.9995832268545276E-2</v>
      </c>
      <c r="P56" s="169">
        <f>(INDEX(Models!$BJ56:$BT56,,T56)*(1-R56)+INDEX(Models!$BJ56:$BT56,,T56+1)*R56-ERP_i)*Q56*Ramure*Pc/MaxiM</f>
        <v>1.5244297529733614E-4</v>
      </c>
      <c r="Q56" s="305">
        <f t="shared" si="4"/>
        <v>0.7</v>
      </c>
      <c r="R56" s="177">
        <f t="shared" si="5"/>
        <v>0.50307912579724867</v>
      </c>
      <c r="S56" s="921">
        <f t="shared" si="6"/>
        <v>-2</v>
      </c>
      <c r="T56" s="176">
        <f t="shared" si="7"/>
        <v>4</v>
      </c>
      <c r="U56" s="251">
        <f t="shared" si="21"/>
        <v>-1.4969208742027513</v>
      </c>
      <c r="V56" s="383">
        <f t="shared" si="8"/>
        <v>39.050091137713515</v>
      </c>
      <c r="W56" s="58"/>
      <c r="X56" s="157">
        <f t="shared" si="9"/>
        <v>43507</v>
      </c>
      <c r="Y56" s="385">
        <f t="shared" si="10"/>
        <v>25.928000000000001</v>
      </c>
      <c r="Z56" s="385">
        <f t="shared" si="11"/>
        <v>26.078358827935418</v>
      </c>
      <c r="AA56" s="386">
        <f t="shared" si="12"/>
        <v>26.884790494173632</v>
      </c>
      <c r="AB56" s="197">
        <f t="shared" si="13"/>
        <v>43507</v>
      </c>
      <c r="AC56" s="427">
        <f>IF(OR(t&lt;Tnet,NoTnet),'2018'!Resal_s+('2018'!Salim-'2018'!Resal_s)*(1-EXP(('2018'!Tnet_s-t)/'2018'!Tau_j)),Resal_s+(Salim-Resal_s)*(1-EXP((Tnet_s-t)/Tau_j)))*Salcycl</f>
        <v>2.9995832268545276E-2</v>
      </c>
      <c r="AD56" s="231">
        <f>(INDEX(Models!$BJ56:$BT56,,AH56)*(1-AF56)+INDEX(Models!$BJ56:$BT56,,AH56+1)*AF56-ERP_i)*AE56*Ramure*Pc/MaxiM</f>
        <v>1.5244297529733614E-4</v>
      </c>
      <c r="AE56" s="305">
        <f t="shared" si="14"/>
        <v>0.7</v>
      </c>
      <c r="AF56" s="177">
        <f t="shared" si="15"/>
        <v>0.50307912579724867</v>
      </c>
      <c r="AG56" s="176">
        <f t="shared" si="16"/>
        <v>-2</v>
      </c>
      <c r="AH56" s="176">
        <f t="shared" si="17"/>
        <v>4</v>
      </c>
      <c r="AI56" s="225">
        <f t="shared" si="22"/>
        <v>-1.4969208742027513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20">
        <v>39.517000000000003</v>
      </c>
      <c r="C57" s="390"/>
      <c r="D57" s="393">
        <f t="shared" si="0"/>
        <v>39.74703323572939</v>
      </c>
      <c r="E57" s="385">
        <f t="shared" si="1"/>
        <v>40.980408344977626</v>
      </c>
      <c r="F57" s="385">
        <f t="shared" si="2"/>
        <v>40.986650074876621</v>
      </c>
      <c r="G57" s="110">
        <f t="shared" si="23"/>
        <v>1.0034257665978887</v>
      </c>
      <c r="H57" s="414" t="b">
        <f>Wh_hp&gt;='2018'!Maxi_hp</f>
        <v>1</v>
      </c>
      <c r="I57" s="390">
        <f>IF(H57,Wh_hp,'2018'!Maxi_hp)</f>
        <v>40.986650074876621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5.7874315892991746E-3</v>
      </c>
      <c r="M57" s="959"/>
      <c r="N57" s="959"/>
      <c r="O57" s="48">
        <f>IF(t&lt;Tnet,'2018'!Resal+('2018'!Salim-'2018'!Resal)*(1-EXP(('2018'!Tnet-t)/('2018'!Tau_j))),Resal+(Salim-Resal)*(1-EXP((Tnet-t)/(Tau_j))))*Salcycl</f>
        <v>3.009670130335328E-2</v>
      </c>
      <c r="P57" s="169">
        <f>(INDEX(Models!$BJ57:$BT57,,T57)*(1-R57)+INDEX(Models!$BJ57:$BT57,,T57+1)*R57-ERP_i)*Q57*Ramure*Pc/MaxiM</f>
        <v>1.5228690043199458E-4</v>
      </c>
      <c r="Q57" s="305">
        <f t="shared" si="4"/>
        <v>0.7</v>
      </c>
      <c r="R57" s="177">
        <f t="shared" si="5"/>
        <v>0.50323470458377151</v>
      </c>
      <c r="S57" s="921">
        <f t="shared" si="6"/>
        <v>-2</v>
      </c>
      <c r="T57" s="176">
        <f t="shared" si="7"/>
        <v>4</v>
      </c>
      <c r="U57" s="251">
        <f t="shared" si="21"/>
        <v>-1.4967652954162285</v>
      </c>
      <c r="V57" s="383">
        <f t="shared" si="8"/>
        <v>39.382086164661928</v>
      </c>
      <c r="W57" s="58"/>
      <c r="X57" s="157">
        <f t="shared" si="9"/>
        <v>43508</v>
      </c>
      <c r="Y57" s="385">
        <f t="shared" si="10"/>
        <v>39.517000000000003</v>
      </c>
      <c r="Z57" s="385">
        <f t="shared" si="11"/>
        <v>39.74703323572939</v>
      </c>
      <c r="AA57" s="386">
        <f t="shared" si="12"/>
        <v>40.980408344977626</v>
      </c>
      <c r="AB57" s="197">
        <f t="shared" si="13"/>
        <v>43508</v>
      </c>
      <c r="AC57" s="427">
        <f>IF(OR(t&lt;Tnet,NoTnet),'2018'!Resal_s+('2018'!Salim-'2018'!Resal_s)*(1-EXP(('2018'!Tnet_s-t)/'2018'!Tau_j)),Resal_s+(Salim-Resal_s)*(1-EXP((Tnet_s-t)/Tau_j)))*Salcycl</f>
        <v>3.009670130335328E-2</v>
      </c>
      <c r="AD57" s="231">
        <f>(INDEX(Models!$BJ57:$BT57,,AH57)*(1-AF57)+INDEX(Models!$BJ57:$BT57,,AH57+1)*AF57-ERP_i)*AE57*Ramure*Pc/MaxiM</f>
        <v>1.5228690043199458E-4</v>
      </c>
      <c r="AE57" s="305">
        <f t="shared" si="14"/>
        <v>0.7</v>
      </c>
      <c r="AF57" s="177">
        <f t="shared" si="15"/>
        <v>0.50323470458377151</v>
      </c>
      <c r="AG57" s="176">
        <f t="shared" si="16"/>
        <v>-2</v>
      </c>
      <c r="AH57" s="176">
        <f t="shared" si="17"/>
        <v>4</v>
      </c>
      <c r="AI57" s="225">
        <f t="shared" si="22"/>
        <v>-1.4967652954162285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20">
        <v>41.386000000000003</v>
      </c>
      <c r="C58" s="390"/>
      <c r="D58" s="393">
        <f t="shared" si="0"/>
        <v>41.627824666939851</v>
      </c>
      <c r="E58" s="385">
        <f t="shared" si="1"/>
        <v>42.924022628934949</v>
      </c>
      <c r="F58" s="385">
        <f t="shared" si="2"/>
        <v>42.930559585857665</v>
      </c>
      <c r="G58" s="110">
        <f t="shared" si="23"/>
        <v>1.0421202414155346</v>
      </c>
      <c r="H58" s="414" t="b">
        <f>Wh_hp&gt;='2018'!Maxi_hp</f>
        <v>1</v>
      </c>
      <c r="I58" s="390">
        <f>IF(H58,Wh_hp,'2018'!Maxi_hp)</f>
        <v>42.930559585857665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5.8092073961266699E-3</v>
      </c>
      <c r="M58" s="959"/>
      <c r="N58" s="959"/>
      <c r="O58" s="48">
        <f>IF(t&lt;Tnet,'2018'!Resal+('2018'!Salim-'2018'!Resal)*(1-EXP(('2018'!Tnet-t)/('2018'!Tau_j))),Resal+(Salim-Resal)*(1-EXP((Tnet-t)/(Tau_j))))*Salcycl</f>
        <v>3.0197495076366238E-2</v>
      </c>
      <c r="P58" s="169">
        <f>(INDEX(Models!$BJ58:$BT58,,T58)*(1-R58)+INDEX(Models!$BJ58:$BT58,,T58+1)*R58-ERP_i)*Q58*Ramure*Pc/MaxiM</f>
        <v>1.5226815084110602E-4</v>
      </c>
      <c r="Q58" s="305">
        <f t="shared" si="4"/>
        <v>0.7</v>
      </c>
      <c r="R58" s="177">
        <f t="shared" si="5"/>
        <v>0.50339670665481062</v>
      </c>
      <c r="S58" s="921">
        <f t="shared" si="6"/>
        <v>-2</v>
      </c>
      <c r="T58" s="176">
        <f t="shared" si="7"/>
        <v>4</v>
      </c>
      <c r="U58" s="251">
        <f t="shared" si="21"/>
        <v>-1.4966032933451894</v>
      </c>
      <c r="V58" s="383">
        <f t="shared" si="8"/>
        <v>39.713267582044558</v>
      </c>
      <c r="W58" s="58"/>
      <c r="X58" s="157">
        <f t="shared" si="9"/>
        <v>43509</v>
      </c>
      <c r="Y58" s="385">
        <f t="shared" si="10"/>
        <v>41.386000000000003</v>
      </c>
      <c r="Z58" s="385">
        <f t="shared" si="11"/>
        <v>41.627824666939851</v>
      </c>
      <c r="AA58" s="386">
        <f t="shared" si="12"/>
        <v>42.924022628934949</v>
      </c>
      <c r="AB58" s="197">
        <f t="shared" si="13"/>
        <v>43509</v>
      </c>
      <c r="AC58" s="427">
        <f>IF(OR(t&lt;Tnet,NoTnet),'2018'!Resal_s+('2018'!Salim-'2018'!Resal_s)*(1-EXP(('2018'!Tnet_s-t)/'2018'!Tau_j)),Resal_s+(Salim-Resal_s)*(1-EXP((Tnet_s-t)/Tau_j)))*Salcycl</f>
        <v>3.0197495076366238E-2</v>
      </c>
      <c r="AD58" s="231">
        <f>(INDEX(Models!$BJ58:$BT58,,AH58)*(1-AF58)+INDEX(Models!$BJ58:$BT58,,AH58+1)*AF58-ERP_i)*AE58*Ramure*Pc/MaxiM</f>
        <v>1.5226815084110602E-4</v>
      </c>
      <c r="AE58" s="305">
        <f t="shared" si="14"/>
        <v>0.7</v>
      </c>
      <c r="AF58" s="177">
        <f t="shared" si="15"/>
        <v>0.50339670665481062</v>
      </c>
      <c r="AG58" s="176">
        <f t="shared" si="16"/>
        <v>-2</v>
      </c>
      <c r="AH58" s="176">
        <f t="shared" si="17"/>
        <v>4</v>
      </c>
      <c r="AI58" s="225">
        <f t="shared" si="22"/>
        <v>-1.4966032933451894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20">
        <v>41.35</v>
      </c>
      <c r="C59" s="390"/>
      <c r="D59" s="393">
        <f t="shared" si="0"/>
        <v>41.592525296535158</v>
      </c>
      <c r="E59" s="385">
        <f t="shared" si="1"/>
        <v>42.892078517922656</v>
      </c>
      <c r="F59" s="385">
        <f t="shared" si="2"/>
        <v>42.898613753230741</v>
      </c>
      <c r="G59" s="110">
        <f t="shared" si="23"/>
        <v>1.0326368550311511</v>
      </c>
      <c r="H59" s="414" t="b">
        <f>Wh_hp&gt;='2018'!Maxi_hp</f>
        <v>1</v>
      </c>
      <c r="I59" s="390">
        <f>IF(H59,Wh_hp,'2018'!Maxi_hp)</f>
        <v>42.898613753230741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5.8309827260081271E-3</v>
      </c>
      <c r="M59" s="959"/>
      <c r="N59" s="959"/>
      <c r="O59" s="48">
        <f>IF(t&lt;Tnet,'2018'!Resal+('2018'!Salim-'2018'!Resal)*(1-EXP(('2018'!Tnet-t)/('2018'!Tau_j))),Resal+(Salim-Resal)*(1-EXP((Tnet-t)/(Tau_j))))*Salcycl</f>
        <v>3.0298210445653062E-2</v>
      </c>
      <c r="P59" s="169">
        <f>(INDEX(Models!$BJ59:$BT59,,T59)*(1-R59)+INDEX(Models!$BJ59:$BT59,,T59+1)*R59-ERP_i)*Q59*Ramure*Pc/MaxiM</f>
        <v>1.5234141004364629E-4</v>
      </c>
      <c r="Q59" s="305">
        <f t="shared" si="4"/>
        <v>0.7</v>
      </c>
      <c r="R59" s="177">
        <f t="shared" si="5"/>
        <v>0.50356539271879242</v>
      </c>
      <c r="S59" s="921">
        <f t="shared" si="6"/>
        <v>-2</v>
      </c>
      <c r="T59" s="176">
        <f t="shared" si="7"/>
        <v>4</v>
      </c>
      <c r="U59" s="251">
        <f t="shared" si="21"/>
        <v>-1.4964346072812076</v>
      </c>
      <c r="V59" s="383">
        <f t="shared" si="8"/>
        <v>40.043118545050014</v>
      </c>
      <c r="W59" s="58"/>
      <c r="X59" s="157">
        <f t="shared" si="9"/>
        <v>43510</v>
      </c>
      <c r="Y59" s="385">
        <f t="shared" si="10"/>
        <v>41.35</v>
      </c>
      <c r="Z59" s="385">
        <f t="shared" si="11"/>
        <v>41.592525296535158</v>
      </c>
      <c r="AA59" s="386">
        <f t="shared" si="12"/>
        <v>42.892078517922656</v>
      </c>
      <c r="AB59" s="197">
        <f t="shared" si="13"/>
        <v>43510</v>
      </c>
      <c r="AC59" s="427">
        <f>IF(OR(t&lt;Tnet,NoTnet),'2018'!Resal_s+('2018'!Salim-'2018'!Resal_s)*(1-EXP(('2018'!Tnet_s-t)/'2018'!Tau_j)),Resal_s+(Salim-Resal_s)*(1-EXP((Tnet_s-t)/Tau_j)))*Salcycl</f>
        <v>3.0298210445653062E-2</v>
      </c>
      <c r="AD59" s="231">
        <f>(INDEX(Models!$BJ59:$BT59,,AH59)*(1-AF59)+INDEX(Models!$BJ59:$BT59,,AH59+1)*AF59-ERP_i)*AE59*Ramure*Pc/MaxiM</f>
        <v>1.5234141004364629E-4</v>
      </c>
      <c r="AE59" s="305">
        <f t="shared" si="14"/>
        <v>0.7</v>
      </c>
      <c r="AF59" s="177">
        <f t="shared" si="15"/>
        <v>0.50356539271879242</v>
      </c>
      <c r="AG59" s="176">
        <f t="shared" si="16"/>
        <v>-2</v>
      </c>
      <c r="AH59" s="176">
        <f t="shared" si="17"/>
        <v>4</v>
      </c>
      <c r="AI59" s="225">
        <f t="shared" si="22"/>
        <v>-1.4964346072812076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20">
        <v>41.738999999999997</v>
      </c>
      <c r="C60" s="390"/>
      <c r="D60" s="393">
        <f t="shared" si="0"/>
        <v>41.984726425788836</v>
      </c>
      <c r="E60" s="385">
        <f t="shared" si="1"/>
        <v>43.301027623401779</v>
      </c>
      <c r="F60" s="385">
        <f t="shared" si="2"/>
        <v>43.307632323541206</v>
      </c>
      <c r="G60" s="110">
        <f t="shared" si="23"/>
        <v>1.0338826188079417</v>
      </c>
      <c r="H60" s="414" t="b">
        <f>Wh_hp&gt;='2018'!Maxi_hp</f>
        <v>1</v>
      </c>
      <c r="I60" s="390">
        <f>IF(H60,Wh_hp,'2018'!Maxi_hp)</f>
        <v>43.307632323541206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5.8527575789538711E-3</v>
      </c>
      <c r="M60" s="959"/>
      <c r="N60" s="959"/>
      <c r="O60" s="48">
        <f>IF(t&lt;Tnet,'2018'!Resal+('2018'!Salim-'2018'!Resal)*(1-EXP(('2018'!Tnet-t)/('2018'!Tau_j))),Resal+(Salim-Resal)*(1-EXP((Tnet-t)/(Tau_j))))*Salcycl</f>
        <v>3.0398844319841366E-2</v>
      </c>
      <c r="P60" s="169">
        <f>(INDEX(Models!$BJ60:$BT60,,T60)*(1-R60)+INDEX(Models!$BJ60:$BT60,,T60+1)*R60-ERP_i)*Q60*Ramure*Pc/MaxiM</f>
        <v>1.5250660876783224E-4</v>
      </c>
      <c r="Q60" s="305">
        <f t="shared" si="4"/>
        <v>0.7</v>
      </c>
      <c r="R60" s="177">
        <f t="shared" si="5"/>
        <v>0.50374103368512291</v>
      </c>
      <c r="S60" s="921">
        <f t="shared" si="6"/>
        <v>-2</v>
      </c>
      <c r="T60" s="176">
        <f t="shared" si="7"/>
        <v>4</v>
      </c>
      <c r="U60" s="251">
        <f t="shared" si="21"/>
        <v>-1.4962589663148771</v>
      </c>
      <c r="V60" s="383">
        <f t="shared" si="8"/>
        <v>40.371120706260378</v>
      </c>
      <c r="W60" s="58"/>
      <c r="X60" s="157">
        <f t="shared" si="9"/>
        <v>43511</v>
      </c>
      <c r="Y60" s="385">
        <f t="shared" si="10"/>
        <v>41.738999999999997</v>
      </c>
      <c r="Z60" s="385">
        <f t="shared" si="11"/>
        <v>41.984726425788836</v>
      </c>
      <c r="AA60" s="386">
        <f t="shared" si="12"/>
        <v>43.301027623401779</v>
      </c>
      <c r="AB60" s="197">
        <f t="shared" si="13"/>
        <v>43511</v>
      </c>
      <c r="AC60" s="427">
        <f>IF(OR(t&lt;Tnet,NoTnet),'2018'!Resal_s+('2018'!Salim-'2018'!Resal_s)*(1-EXP(('2018'!Tnet_s-t)/'2018'!Tau_j)),Resal_s+(Salim-Resal_s)*(1-EXP((Tnet_s-t)/Tau_j)))*Salcycl</f>
        <v>3.0398844319841366E-2</v>
      </c>
      <c r="AD60" s="231">
        <f>(INDEX(Models!$BJ60:$BT60,,AH60)*(1-AF60)+INDEX(Models!$BJ60:$BT60,,AH60+1)*AF60-ERP_i)*AE60*Ramure*Pc/MaxiM</f>
        <v>1.5250660876783224E-4</v>
      </c>
      <c r="AE60" s="305">
        <f t="shared" si="14"/>
        <v>0.7</v>
      </c>
      <c r="AF60" s="177">
        <f t="shared" si="15"/>
        <v>0.50374103368512291</v>
      </c>
      <c r="AG60" s="176">
        <f t="shared" si="16"/>
        <v>-2</v>
      </c>
      <c r="AH60" s="176">
        <f t="shared" si="17"/>
        <v>4</v>
      </c>
      <c r="AI60" s="225">
        <f t="shared" si="22"/>
        <v>-1.4962589663148771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20">
        <v>42.04</v>
      </c>
      <c r="C61" s="390"/>
      <c r="D61" s="393">
        <f t="shared" si="0"/>
        <v>42.288424702238835</v>
      </c>
      <c r="E61" s="385">
        <f t="shared" si="1"/>
        <v>43.618770764840477</v>
      </c>
      <c r="F61" s="385">
        <f t="shared" si="2"/>
        <v>43.625435149292962</v>
      </c>
      <c r="G61" s="110">
        <f t="shared" si="23"/>
        <v>1.0330061694230011</v>
      </c>
      <c r="H61" s="414" t="b">
        <f>Wh_hp&gt;='2018'!Maxi_hp</f>
        <v>1</v>
      </c>
      <c r="I61" s="390">
        <f>IF(H61,Wh_hp,'2018'!Maxi_hp)</f>
        <v>43.625435149292962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5.87453195497456E-3</v>
      </c>
      <c r="M61" s="959"/>
      <c r="N61" s="959"/>
      <c r="O61" s="48">
        <f>IF(t&lt;Tnet,'2018'!Resal+('2018'!Salim-'2018'!Resal)*(1-EXP(('2018'!Tnet-t)/('2018'!Tau_j))),Resal+(Salim-Resal)*(1-EXP((Tnet-t)/(Tau_j))))*Salcycl</f>
        <v>3.0499393707673707E-2</v>
      </c>
      <c r="P61" s="169">
        <f>(INDEX(Models!$BJ61:$BT61,,T61)*(1-R61)+INDEX(Models!$BJ61:$BT61,,T61+1)*R61-ERP_i)*Q61*Ramure*Pc/MaxiM</f>
        <v>1.5276373587295238E-4</v>
      </c>
      <c r="Q61" s="305">
        <f t="shared" si="4"/>
        <v>0.7</v>
      </c>
      <c r="R61" s="177">
        <f t="shared" si="5"/>
        <v>0.50392391103091083</v>
      </c>
      <c r="S61" s="921">
        <f t="shared" si="6"/>
        <v>-2</v>
      </c>
      <c r="T61" s="176">
        <f t="shared" si="7"/>
        <v>4</v>
      </c>
      <c r="U61" s="251">
        <f t="shared" si="21"/>
        <v>-1.4960760889690892</v>
      </c>
      <c r="V61" s="383">
        <f t="shared" si="8"/>
        <v>40.696755977248401</v>
      </c>
      <c r="W61" s="58"/>
      <c r="X61" s="157">
        <f t="shared" si="9"/>
        <v>43512</v>
      </c>
      <c r="Y61" s="385">
        <f t="shared" si="10"/>
        <v>42.04</v>
      </c>
      <c r="Z61" s="385">
        <f t="shared" si="11"/>
        <v>42.288424702238835</v>
      </c>
      <c r="AA61" s="386">
        <f t="shared" si="12"/>
        <v>43.618770764840477</v>
      </c>
      <c r="AB61" s="197">
        <f t="shared" si="13"/>
        <v>43512</v>
      </c>
      <c r="AC61" s="427">
        <f>IF(OR(t&lt;Tnet,NoTnet),'2018'!Resal_s+('2018'!Salim-'2018'!Resal_s)*(1-EXP(('2018'!Tnet_s-t)/'2018'!Tau_j)),Resal_s+(Salim-Resal_s)*(1-EXP((Tnet_s-t)/Tau_j)))*Salcycl</f>
        <v>3.0499393707673707E-2</v>
      </c>
      <c r="AD61" s="231">
        <f>(INDEX(Models!$BJ61:$BT61,,AH61)*(1-AF61)+INDEX(Models!$BJ61:$BT61,,AH61+1)*AF61-ERP_i)*AE61*Ramure*Pc/MaxiM</f>
        <v>1.5276373587295238E-4</v>
      </c>
      <c r="AE61" s="305">
        <f t="shared" si="14"/>
        <v>0.7</v>
      </c>
      <c r="AF61" s="177">
        <f t="shared" si="15"/>
        <v>0.50392391103091083</v>
      </c>
      <c r="AG61" s="176">
        <f t="shared" si="16"/>
        <v>-2</v>
      </c>
      <c r="AH61" s="176">
        <f t="shared" si="17"/>
        <v>4</v>
      </c>
      <c r="AI61" s="225">
        <f t="shared" si="22"/>
        <v>-1.4960760889690892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20">
        <v>42.726999999999997</v>
      </c>
      <c r="C62" s="390"/>
      <c r="D62" s="393">
        <f t="shared" si="0"/>
        <v>42.980425735877326</v>
      </c>
      <c r="E62" s="385">
        <f t="shared" si="1"/>
        <v>44.337135693266788</v>
      </c>
      <c r="F62" s="385">
        <f t="shared" si="2"/>
        <v>44.343925318135149</v>
      </c>
      <c r="G62" s="110">
        <f t="shared" si="23"/>
        <v>1.0416263777916266</v>
      </c>
      <c r="H62" s="414" t="b">
        <f>Wh_hp&gt;='2018'!Maxi_hp</f>
        <v>1</v>
      </c>
      <c r="I62" s="390">
        <f>IF(H62,Wh_hp,'2018'!Maxi_hp)</f>
        <v>44.343925318135149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5.8963058540805191E-3</v>
      </c>
      <c r="M62" s="959"/>
      <c r="N62" s="959"/>
      <c r="O62" s="48">
        <f>IF(t&lt;Tnet,'2018'!Resal+('2018'!Salim-'2018'!Resal)*(1-EXP(('2018'!Tnet-t)/('2018'!Tau_j))),Resal+(Salim-Resal)*(1-EXP((Tnet-t)/(Tau_j))))*Salcycl</f>
        <v>3.059985576820862E-2</v>
      </c>
      <c r="P62" s="169">
        <f>(INDEX(Models!$BJ62:$BT62,,T62)*(1-R62)+INDEX(Models!$BJ62:$BT62,,T62+1)*R62-ERP_i)*Q62*Ramure*Pc/MaxiM</f>
        <v>1.5311285186528448E-4</v>
      </c>
      <c r="Q62" s="305">
        <f t="shared" si="4"/>
        <v>0.7</v>
      </c>
      <c r="R62" s="177">
        <f t="shared" si="5"/>
        <v>0.50411431717806732</v>
      </c>
      <c r="S62" s="921">
        <f t="shared" si="6"/>
        <v>-2</v>
      </c>
      <c r="T62" s="176">
        <f t="shared" si="7"/>
        <v>4</v>
      </c>
      <c r="U62" s="251">
        <f t="shared" si="21"/>
        <v>-1.4958856828219327</v>
      </c>
      <c r="V62" s="383">
        <f t="shared" si="8"/>
        <v>41.019506524581679</v>
      </c>
      <c r="W62" s="58"/>
      <c r="X62" s="157">
        <f t="shared" si="9"/>
        <v>43513</v>
      </c>
      <c r="Y62" s="385">
        <f t="shared" si="10"/>
        <v>42.726999999999997</v>
      </c>
      <c r="Z62" s="385">
        <f t="shared" si="11"/>
        <v>42.980425735877326</v>
      </c>
      <c r="AA62" s="386">
        <f t="shared" si="12"/>
        <v>44.337135693266788</v>
      </c>
      <c r="AB62" s="197">
        <f t="shared" si="13"/>
        <v>43513</v>
      </c>
      <c r="AC62" s="427">
        <f>IF(OR(t&lt;Tnet,NoTnet),'2018'!Resal_s+('2018'!Salim-'2018'!Resal_s)*(1-EXP(('2018'!Tnet_s-t)/'2018'!Tau_j)),Resal_s+(Salim-Resal_s)*(1-EXP((Tnet_s-t)/Tau_j)))*Salcycl</f>
        <v>3.059985576820862E-2</v>
      </c>
      <c r="AD62" s="231">
        <f>(INDEX(Models!$BJ62:$BT62,,AH62)*(1-AF62)+INDEX(Models!$BJ62:$BT62,,AH62+1)*AF62-ERP_i)*AE62*Ramure*Pc/MaxiM</f>
        <v>1.5311285186528448E-4</v>
      </c>
      <c r="AE62" s="305">
        <f t="shared" si="14"/>
        <v>0.7</v>
      </c>
      <c r="AF62" s="177">
        <f t="shared" si="15"/>
        <v>0.50411431717806732</v>
      </c>
      <c r="AG62" s="176">
        <f t="shared" si="16"/>
        <v>-2</v>
      </c>
      <c r="AH62" s="176">
        <f t="shared" si="17"/>
        <v>4</v>
      </c>
      <c r="AI62" s="225">
        <f t="shared" si="22"/>
        <v>-1.4958856828219327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20">
        <v>42.084000000000003</v>
      </c>
      <c r="C63" s="390"/>
      <c r="D63" s="393">
        <f t="shared" si="0"/>
        <v>42.334539158867052</v>
      </c>
      <c r="E63" s="385">
        <f t="shared" si="1"/>
        <v>43.675383380574388</v>
      </c>
      <c r="F63" s="385">
        <f t="shared" si="2"/>
        <v>43.682090944826165</v>
      </c>
      <c r="G63" s="110">
        <f t="shared" si="23"/>
        <v>1.0180252993144374</v>
      </c>
      <c r="H63" s="414" t="b">
        <f>Wh_hp&gt;='2018'!Maxi_hp</f>
        <v>1</v>
      </c>
      <c r="I63" s="390">
        <f>IF(H63,Wh_hp,'2018'!Maxi_hp)</f>
        <v>43.682090944826165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5.9180792762821843E-3</v>
      </c>
      <c r="M63" s="959"/>
      <c r="N63" s="959"/>
      <c r="O63" s="48">
        <f>IF(t&lt;Tnet,'2018'!Resal+('2018'!Salim-'2018'!Resal)*(1-EXP(('2018'!Tnet-t)/('2018'!Tau_j))),Resal+(Salim-Resal)*(1-EXP((Tnet-t)/(Tau_j))))*Salcycl</f>
        <v>3.0700227861164265E-2</v>
      </c>
      <c r="P63" s="169">
        <f>(INDEX(Models!$BJ63:$BT63,,T63)*(1-R63)+INDEX(Models!$BJ63:$BT63,,T63+1)*R63-ERP_i)*Q63*Ramure*Pc/MaxiM</f>
        <v>1.5355410207470283E-4</v>
      </c>
      <c r="Q63" s="305">
        <f t="shared" si="4"/>
        <v>0.7</v>
      </c>
      <c r="R63" s="177">
        <f t="shared" si="5"/>
        <v>0.50431255588081547</v>
      </c>
      <c r="S63" s="921">
        <f t="shared" si="6"/>
        <v>-2</v>
      </c>
      <c r="T63" s="176">
        <f t="shared" si="7"/>
        <v>4</v>
      </c>
      <c r="U63" s="251">
        <f t="shared" si="21"/>
        <v>-1.4956874441191845</v>
      </c>
      <c r="V63" s="383">
        <f t="shared" si="8"/>
        <v>41.338854769464341</v>
      </c>
      <c r="W63" s="58"/>
      <c r="X63" s="157">
        <f t="shared" si="9"/>
        <v>43514</v>
      </c>
      <c r="Y63" s="385">
        <f t="shared" si="10"/>
        <v>42.084000000000003</v>
      </c>
      <c r="Z63" s="385">
        <f t="shared" si="11"/>
        <v>42.334539158867052</v>
      </c>
      <c r="AA63" s="386">
        <f t="shared" si="12"/>
        <v>43.675383380574388</v>
      </c>
      <c r="AB63" s="197">
        <f t="shared" si="13"/>
        <v>43514</v>
      </c>
      <c r="AC63" s="427">
        <f>IF(OR(t&lt;Tnet,NoTnet),'2018'!Resal_s+('2018'!Salim-'2018'!Resal_s)*(1-EXP(('2018'!Tnet_s-t)/'2018'!Tau_j)),Resal_s+(Salim-Resal_s)*(1-EXP((Tnet_s-t)/Tau_j)))*Salcycl</f>
        <v>3.0700227861164265E-2</v>
      </c>
      <c r="AD63" s="231">
        <f>(INDEX(Models!$BJ63:$BT63,,AH63)*(1-AF63)+INDEX(Models!$BJ63:$BT63,,AH63+1)*AF63-ERP_i)*AE63*Ramure*Pc/MaxiM</f>
        <v>1.5355410207470283E-4</v>
      </c>
      <c r="AE63" s="305">
        <f t="shared" si="14"/>
        <v>0.7</v>
      </c>
      <c r="AF63" s="177">
        <f t="shared" si="15"/>
        <v>0.50431255588081547</v>
      </c>
      <c r="AG63" s="176">
        <f t="shared" si="16"/>
        <v>-2</v>
      </c>
      <c r="AH63" s="176">
        <f t="shared" si="17"/>
        <v>4</v>
      </c>
      <c r="AI63" s="225">
        <f t="shared" si="22"/>
        <v>-1.4956874441191845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20">
        <v>30.768999999999998</v>
      </c>
      <c r="C64" s="390"/>
      <c r="D64" s="393">
        <f t="shared" si="0"/>
        <v>30.952855386834038</v>
      </c>
      <c r="E64" s="385">
        <f t="shared" si="1"/>
        <v>31.936516299743047</v>
      </c>
      <c r="F64" s="385">
        <f t="shared" si="2"/>
        <v>31.939600502413054</v>
      </c>
      <c r="G64" s="110">
        <f t="shared" si="23"/>
        <v>0.73863303775780043</v>
      </c>
      <c r="H64" s="414" t="b">
        <f>Wh_hp&gt;='2018'!Maxi_hp</f>
        <v>1</v>
      </c>
      <c r="I64" s="390">
        <f>IF(H64,Wh_hp,'2018'!Maxi_hp)</f>
        <v>31.939600502413054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5.9398522215899918E-3</v>
      </c>
      <c r="M64" s="959"/>
      <c r="N64" s="959"/>
      <c r="O64" s="48">
        <f>IF(t&lt;Tnet,'2018'!Resal+('2018'!Salim-'2018'!Resal)*(1-EXP(('2018'!Tnet-t)/('2018'!Tau_j))),Resal+(Salim-Resal)*(1-EXP((Tnet-t)/(Tau_j))))*Salcycl</f>
        <v>3.0800507596907938E-2</v>
      </c>
      <c r="P64" s="169">
        <f>(INDEX(Models!$BJ64:$BT64,,T64)*(1-R64)+INDEX(Models!$BJ64:$BT64,,T64+1)*R64-ERP_i)*Q64*Ramure*Pc/MaxiM</f>
        <v>1.5408772960692066E-4</v>
      </c>
      <c r="Q64" s="305">
        <f t="shared" si="4"/>
        <v>0.7</v>
      </c>
      <c r="R64" s="177">
        <f t="shared" si="5"/>
        <v>0.50451894262362451</v>
      </c>
      <c r="S64" s="921">
        <f t="shared" si="6"/>
        <v>-2</v>
      </c>
      <c r="T64" s="176">
        <f t="shared" si="7"/>
        <v>4</v>
      </c>
      <c r="U64" s="251">
        <f t="shared" si="21"/>
        <v>-1.4954810573763755</v>
      </c>
      <c r="V64" s="383">
        <f t="shared" si="8"/>
        <v>41.65428338054182</v>
      </c>
      <c r="W64" s="58"/>
      <c r="X64" s="157">
        <f t="shared" si="9"/>
        <v>43515</v>
      </c>
      <c r="Y64" s="385">
        <f t="shared" si="10"/>
        <v>30.768999999999998</v>
      </c>
      <c r="Z64" s="385">
        <f t="shared" si="11"/>
        <v>30.952855386834038</v>
      </c>
      <c r="AA64" s="386">
        <f t="shared" si="12"/>
        <v>31.936516299743047</v>
      </c>
      <c r="AB64" s="197">
        <f t="shared" si="13"/>
        <v>43515</v>
      </c>
      <c r="AC64" s="427">
        <f>IF(OR(t&lt;Tnet,NoTnet),'2018'!Resal_s+('2018'!Salim-'2018'!Resal_s)*(1-EXP(('2018'!Tnet_s-t)/'2018'!Tau_j)),Resal_s+(Salim-Resal_s)*(1-EXP((Tnet_s-t)/Tau_j)))*Salcycl</f>
        <v>3.0800507596907938E-2</v>
      </c>
      <c r="AD64" s="231">
        <f>(INDEX(Models!$BJ64:$BT64,,AH64)*(1-AF64)+INDEX(Models!$BJ64:$BT64,,AH64+1)*AF64-ERP_i)*AE64*Ramure*Pc/MaxiM</f>
        <v>1.5408772960692066E-4</v>
      </c>
      <c r="AE64" s="305">
        <f t="shared" si="14"/>
        <v>0.7</v>
      </c>
      <c r="AF64" s="177">
        <f t="shared" si="15"/>
        <v>0.50451894262362451</v>
      </c>
      <c r="AG64" s="176">
        <f t="shared" si="16"/>
        <v>-2</v>
      </c>
      <c r="AH64" s="176">
        <f t="shared" si="17"/>
        <v>4</v>
      </c>
      <c r="AI64" s="225">
        <f t="shared" si="22"/>
        <v>-1.4954810573763755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20">
        <v>41.627000000000002</v>
      </c>
      <c r="C65" s="390"/>
      <c r="D65" s="393">
        <f t="shared" si="0"/>
        <v>41.876652887791025</v>
      </c>
      <c r="E65" s="385">
        <f t="shared" si="1"/>
        <v>43.211931512451152</v>
      </c>
      <c r="F65" s="385">
        <f t="shared" si="2"/>
        <v>43.218540620250515</v>
      </c>
      <c r="G65" s="110">
        <f t="shared" si="23"/>
        <v>0.99191205144923633</v>
      </c>
      <c r="H65" s="414" t="b">
        <f>Wh_hp&gt;='2018'!Maxi_hp</f>
        <v>1</v>
      </c>
      <c r="I65" s="390">
        <f>IF(H65,Wh_hp,'2018'!Maxi_hp)</f>
        <v>43.218540620250515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5.9616246900144887E-3</v>
      </c>
      <c r="M65" s="959"/>
      <c r="N65" s="959"/>
      <c r="O65" s="48">
        <f>IF(t&lt;Tnet,'2018'!Resal+('2018'!Salim-'2018'!Resal)*(1-EXP(('2018'!Tnet-t)/('2018'!Tau_j))),Resal+(Salim-Resal)*(1-EXP((Tnet-t)/(Tau_j))))*Salcycl</f>
        <v>3.0900692885606703E-2</v>
      </c>
      <c r="P65" s="169">
        <f>(INDEX(Models!$BJ65:$BT65,,T65)*(1-R65)+INDEX(Models!$BJ65:$BT65,,T65+1)*R65-ERP_i)*Q65*Ramure*Pc/MaxiM</f>
        <v>1.5471013672465407E-4</v>
      </c>
      <c r="Q65" s="305">
        <f t="shared" si="4"/>
        <v>0.7</v>
      </c>
      <c r="R65" s="177">
        <f t="shared" si="5"/>
        <v>0.50473380502953469</v>
      </c>
      <c r="S65" s="921">
        <f t="shared" si="6"/>
        <v>-2</v>
      </c>
      <c r="T65" s="176">
        <f t="shared" si="7"/>
        <v>4</v>
      </c>
      <c r="U65" s="251">
        <f t="shared" si="21"/>
        <v>-1.4952661949704653</v>
      </c>
      <c r="V65" s="383">
        <f t="shared" si="8"/>
        <v>41.966347251870012</v>
      </c>
      <c r="W65" s="58"/>
      <c r="X65" s="157">
        <f t="shared" si="9"/>
        <v>43516</v>
      </c>
      <c r="Y65" s="385">
        <f t="shared" si="10"/>
        <v>41.627000000000002</v>
      </c>
      <c r="Z65" s="385">
        <f t="shared" si="11"/>
        <v>41.876652887791025</v>
      </c>
      <c r="AA65" s="386">
        <f t="shared" si="12"/>
        <v>43.211931512451152</v>
      </c>
      <c r="AB65" s="197">
        <f t="shared" si="13"/>
        <v>43516</v>
      </c>
      <c r="AC65" s="427">
        <f>IF(OR(t&lt;Tnet,NoTnet),'2018'!Resal_s+('2018'!Salim-'2018'!Resal_s)*(1-EXP(('2018'!Tnet_s-t)/'2018'!Tau_j)),Resal_s+(Salim-Resal_s)*(1-EXP((Tnet_s-t)/Tau_j)))*Salcycl</f>
        <v>3.0900692885606703E-2</v>
      </c>
      <c r="AD65" s="231">
        <f>(INDEX(Models!$BJ65:$BT65,,AH65)*(1-AF65)+INDEX(Models!$BJ65:$BT65,,AH65+1)*AF65-ERP_i)*AE65*Ramure*Pc/MaxiM</f>
        <v>1.5471013672465407E-4</v>
      </c>
      <c r="AE65" s="305">
        <f t="shared" si="14"/>
        <v>0.7</v>
      </c>
      <c r="AF65" s="177">
        <f t="shared" si="15"/>
        <v>0.50473380502953469</v>
      </c>
      <c r="AG65" s="176">
        <f t="shared" si="16"/>
        <v>-2</v>
      </c>
      <c r="AH65" s="176">
        <f t="shared" si="17"/>
        <v>4</v>
      </c>
      <c r="AI65" s="225">
        <f t="shared" si="22"/>
        <v>-1.4952661949704653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20">
        <v>40.874000000000002</v>
      </c>
      <c r="C66" s="390"/>
      <c r="D66" s="393">
        <f t="shared" si="0"/>
        <v>41.120037495898835</v>
      </c>
      <c r="E66" s="385">
        <f t="shared" si="1"/>
        <v>42.435573457052371</v>
      </c>
      <c r="F66" s="385">
        <f t="shared" si="2"/>
        <v>42.441850727741603</v>
      </c>
      <c r="G66" s="110">
        <f t="shared" si="23"/>
        <v>0.96682934727374215</v>
      </c>
      <c r="H66" s="414" t="b">
        <f>Wh_hp&gt;='2018'!Maxi_hp</f>
        <v>1</v>
      </c>
      <c r="I66" s="390">
        <f>IF(H66,Wh_hp,'2018'!Maxi_hp)</f>
        <v>42.441850727741603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5.983396681566E-3</v>
      </c>
      <c r="M66" s="959"/>
      <c r="N66" s="959"/>
      <c r="O66" s="48">
        <f>IF(t&lt;Tnet,'2018'!Resal+('2018'!Salim-'2018'!Resal)*(1-EXP(('2018'!Tnet-t)/('2018'!Tau_j))),Resal+(Salim-Resal)*(1-EXP((Tnet-t)/(Tau_j))))*Salcycl</f>
        <v>3.1000781985070766E-2</v>
      </c>
      <c r="P66" s="169">
        <f>(INDEX(Models!$BJ66:$BT66,,T66)*(1-R66)+INDEX(Models!$BJ66:$BT66,,T66+1)*R66-ERP_i)*Q66*Ramure*Pc/MaxiM</f>
        <v>1.5525844990944121E-4</v>
      </c>
      <c r="Q66" s="305">
        <f t="shared" si="4"/>
        <v>0.7</v>
      </c>
      <c r="R66" s="177">
        <f t="shared" si="5"/>
        <v>0.50495748327882151</v>
      </c>
      <c r="S66" s="921">
        <f t="shared" si="6"/>
        <v>-2</v>
      </c>
      <c r="T66" s="176">
        <f t="shared" si="7"/>
        <v>4</v>
      </c>
      <c r="U66" s="251">
        <f t="shared" si="21"/>
        <v>-1.4950425167211785</v>
      </c>
      <c r="V66" s="383">
        <f t="shared" si="8"/>
        <v>42.276022565924087</v>
      </c>
      <c r="W66" s="58"/>
      <c r="X66" s="157">
        <f t="shared" si="9"/>
        <v>43517</v>
      </c>
      <c r="Y66" s="385">
        <f t="shared" si="10"/>
        <v>40.874000000000002</v>
      </c>
      <c r="Z66" s="385">
        <f t="shared" si="11"/>
        <v>41.120037495898835</v>
      </c>
      <c r="AA66" s="386">
        <f t="shared" si="12"/>
        <v>42.435573457052371</v>
      </c>
      <c r="AB66" s="197">
        <f t="shared" si="13"/>
        <v>43517</v>
      </c>
      <c r="AC66" s="427">
        <f>IF(OR(t&lt;Tnet,NoTnet),'2018'!Resal_s+('2018'!Salim-'2018'!Resal_s)*(1-EXP(('2018'!Tnet_s-t)/'2018'!Tau_j)),Resal_s+(Salim-Resal_s)*(1-EXP((Tnet_s-t)/Tau_j)))*Salcycl</f>
        <v>3.1000781985070766E-2</v>
      </c>
      <c r="AD66" s="231">
        <f>(INDEX(Models!$BJ66:$BT66,,AH66)*(1-AF66)+INDEX(Models!$BJ66:$BT66,,AH66+1)*AF66-ERP_i)*AE66*Ramure*Pc/MaxiM</f>
        <v>1.5525844990944121E-4</v>
      </c>
      <c r="AE66" s="305">
        <f t="shared" si="14"/>
        <v>0.7</v>
      </c>
      <c r="AF66" s="177">
        <f t="shared" si="15"/>
        <v>0.50495748327882151</v>
      </c>
      <c r="AG66" s="176">
        <f t="shared" si="16"/>
        <v>-2</v>
      </c>
      <c r="AH66" s="176">
        <f t="shared" si="17"/>
        <v>4</v>
      </c>
      <c r="AI66" s="225">
        <f t="shared" si="22"/>
        <v>-1.4950425167211785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20">
        <v>40.890999999999998</v>
      </c>
      <c r="C67" s="390"/>
      <c r="D67" s="393">
        <f t="shared" si="0"/>
        <v>41.138040854596262</v>
      </c>
      <c r="E67" s="385">
        <f t="shared" si="1"/>
        <v>42.458534109052785</v>
      </c>
      <c r="F67" s="385">
        <f t="shared" si="2"/>
        <v>42.464770609772728</v>
      </c>
      <c r="G67" s="110">
        <f t="shared" si="23"/>
        <v>0.96024797681090268</v>
      </c>
      <c r="H67" s="414" t="b">
        <f>Wh_hp&gt;='2018'!Maxi_hp</f>
        <v>1</v>
      </c>
      <c r="I67" s="390">
        <f>IF(H67,Wh_hp,'2018'!Maxi_hp)</f>
        <v>42.464770609772728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6.0051681962550729E-3</v>
      </c>
      <c r="M67" s="959"/>
      <c r="N67" s="959"/>
      <c r="O67" s="48">
        <f>IF(t&lt;Tnet,'2018'!Resal+('2018'!Salim-'2018'!Resal)*(1-EXP(('2018'!Tnet-t)/('2018'!Tau_j))),Resal+(Salim-Resal)*(1-EXP((Tnet-t)/(Tau_j))))*Salcycl</f>
        <v>3.1100773546842004E-2</v>
      </c>
      <c r="P67" s="169">
        <f>(INDEX(Models!$BJ67:$BT67,,T67)*(1-R67)+INDEX(Models!$BJ67:$BT67,,T67+1)*R67-ERP_i)*Q67*Ramure*Pc/MaxiM</f>
        <v>1.5570321165132855E-4</v>
      </c>
      <c r="Q67" s="305">
        <f t="shared" si="4"/>
        <v>0.7</v>
      </c>
      <c r="R67" s="177">
        <f t="shared" si="5"/>
        <v>0.50519033053789064</v>
      </c>
      <c r="S67" s="921">
        <f t="shared" si="6"/>
        <v>-2</v>
      </c>
      <c r="T67" s="176">
        <f t="shared" si="7"/>
        <v>4</v>
      </c>
      <c r="U67" s="251">
        <f t="shared" si="21"/>
        <v>-1.4948096694621094</v>
      </c>
      <c r="V67" s="383">
        <f t="shared" si="8"/>
        <v>42.583415374465972</v>
      </c>
      <c r="W67" s="58"/>
      <c r="X67" s="157">
        <f t="shared" si="9"/>
        <v>43518</v>
      </c>
      <c r="Y67" s="385">
        <f t="shared" si="10"/>
        <v>40.890999999999998</v>
      </c>
      <c r="Z67" s="385">
        <f t="shared" si="11"/>
        <v>41.138040854596262</v>
      </c>
      <c r="AA67" s="386">
        <f t="shared" si="12"/>
        <v>42.458534109052785</v>
      </c>
      <c r="AB67" s="197">
        <f t="shared" si="13"/>
        <v>43518</v>
      </c>
      <c r="AC67" s="427">
        <f>IF(OR(t&lt;Tnet,NoTnet),'2018'!Resal_s+('2018'!Salim-'2018'!Resal_s)*(1-EXP(('2018'!Tnet_s-t)/'2018'!Tau_j)),Resal_s+(Salim-Resal_s)*(1-EXP((Tnet_s-t)/Tau_j)))*Salcycl</f>
        <v>3.1100773546842004E-2</v>
      </c>
      <c r="AD67" s="231">
        <f>(INDEX(Models!$BJ67:$BT67,,AH67)*(1-AF67)+INDEX(Models!$BJ67:$BT67,,AH67+1)*AF67-ERP_i)*AE67*Ramure*Pc/MaxiM</f>
        <v>1.5570321165132855E-4</v>
      </c>
      <c r="AE67" s="305">
        <f t="shared" si="14"/>
        <v>0.7</v>
      </c>
      <c r="AF67" s="177">
        <f t="shared" si="15"/>
        <v>0.50519033053789064</v>
      </c>
      <c r="AG67" s="176">
        <f t="shared" si="16"/>
        <v>-2</v>
      </c>
      <c r="AH67" s="176">
        <f t="shared" si="17"/>
        <v>4</v>
      </c>
      <c r="AI67" s="225">
        <f t="shared" si="22"/>
        <v>-1.4948096694621094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20">
        <v>41.874000000000002</v>
      </c>
      <c r="C68" s="390"/>
      <c r="D68" s="393">
        <f t="shared" si="0"/>
        <v>42.127902307265657</v>
      </c>
      <c r="E68" s="385">
        <f t="shared" si="1"/>
        <v>43.484652453291368</v>
      </c>
      <c r="F68" s="385">
        <f t="shared" si="2"/>
        <v>43.491209699160983</v>
      </c>
      <c r="G68" s="110">
        <f t="shared" si="23"/>
        <v>0.97633752251757888</v>
      </c>
      <c r="H68" s="414" t="b">
        <f>Wh_hp&gt;='2018'!Maxi_hp</f>
        <v>1</v>
      </c>
      <c r="I68" s="390">
        <f>IF(H68,Wh_hp,'2018'!Maxi_hp)</f>
        <v>43.491209699160983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6.0269392340920325E-3</v>
      </c>
      <c r="M68" s="959"/>
      <c r="N68" s="959"/>
      <c r="O68" s="48">
        <f>IF(t&lt;Tnet,'2018'!Resal+('2018'!Salim-'2018'!Resal)*(1-EXP(('2018'!Tnet-t)/('2018'!Tau_j))),Resal+(Salim-Resal)*(1-EXP((Tnet-t)/(Tau_j))))*Salcycl</f>
        <v>3.1200666660106107E-2</v>
      </c>
      <c r="P68" s="169">
        <f>(INDEX(Models!$BJ68:$BT68,,T68)*(1-R68)+INDEX(Models!$BJ68:$BT68,,T68+1)*R68-ERP_i)*Q68*Ramure*Pc/MaxiM</f>
        <v>1.5604549367076448E-4</v>
      </c>
      <c r="Q68" s="305">
        <f t="shared" si="4"/>
        <v>0.7</v>
      </c>
      <c r="R68" s="177">
        <f t="shared" si="5"/>
        <v>0.50543271339826856</v>
      </c>
      <c r="S68" s="921">
        <f t="shared" si="6"/>
        <v>-2</v>
      </c>
      <c r="T68" s="176">
        <f t="shared" si="7"/>
        <v>4</v>
      </c>
      <c r="U68" s="251">
        <f t="shared" si="21"/>
        <v>-1.4945672866017314</v>
      </c>
      <c r="V68" s="383">
        <f t="shared" si="8"/>
        <v>42.888630384759352</v>
      </c>
      <c r="W68" s="58"/>
      <c r="X68" s="157">
        <f t="shared" si="9"/>
        <v>43519</v>
      </c>
      <c r="Y68" s="385">
        <f t="shared" si="10"/>
        <v>41.874000000000002</v>
      </c>
      <c r="Z68" s="385">
        <f t="shared" si="11"/>
        <v>42.127902307265657</v>
      </c>
      <c r="AA68" s="386">
        <f t="shared" si="12"/>
        <v>43.484652453291368</v>
      </c>
      <c r="AB68" s="197">
        <f t="shared" si="13"/>
        <v>43519</v>
      </c>
      <c r="AC68" s="427">
        <f>IF(OR(t&lt;Tnet,NoTnet),'2018'!Resal_s+('2018'!Salim-'2018'!Resal_s)*(1-EXP(('2018'!Tnet_s-t)/'2018'!Tau_j)),Resal_s+(Salim-Resal_s)*(1-EXP((Tnet_s-t)/Tau_j)))*Salcycl</f>
        <v>3.1200666660106107E-2</v>
      </c>
      <c r="AD68" s="231">
        <f>(INDEX(Models!$BJ68:$BT68,,AH68)*(1-AF68)+INDEX(Models!$BJ68:$BT68,,AH68+1)*AF68-ERP_i)*AE68*Ramure*Pc/MaxiM</f>
        <v>1.5604549367076448E-4</v>
      </c>
      <c r="AE68" s="305">
        <f t="shared" si="14"/>
        <v>0.7</v>
      </c>
      <c r="AF68" s="177">
        <f t="shared" si="15"/>
        <v>0.50543271339826856</v>
      </c>
      <c r="AG68" s="176">
        <f t="shared" si="16"/>
        <v>-2</v>
      </c>
      <c r="AH68" s="176">
        <f t="shared" si="17"/>
        <v>4</v>
      </c>
      <c r="AI68" s="225">
        <f t="shared" si="22"/>
        <v>-1.4945672866017314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20">
        <v>41.665999999999997</v>
      </c>
      <c r="C69" s="390"/>
      <c r="D69" s="393">
        <f t="shared" si="0"/>
        <v>41.91955924863295</v>
      </c>
      <c r="E69" s="385">
        <f t="shared" si="1"/>
        <v>43.274057183178002</v>
      </c>
      <c r="F69" s="385">
        <f t="shared" si="2"/>
        <v>43.280480008103218</v>
      </c>
      <c r="G69" s="110">
        <f t="shared" si="23"/>
        <v>0.96466686155353054</v>
      </c>
      <c r="H69" s="414" t="b">
        <f>Wh_hp&gt;='2018'!Maxi_hp</f>
        <v>1</v>
      </c>
      <c r="I69" s="390">
        <f>IF(H69,Wh_hp,'2018'!Maxi_hp)</f>
        <v>43.280480008103218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6.0487097950874258E-3</v>
      </c>
      <c r="M69" s="959"/>
      <c r="N69" s="959"/>
      <c r="O69" s="48">
        <f>IF(t&lt;Tnet,'2018'!Resal+('2018'!Salim-'2018'!Resal)*(1-EXP(('2018'!Tnet-t)/('2018'!Tau_j))),Resal+(Salim-Resal)*(1-EXP((Tnet-t)/(Tau_j))))*Salcycl</f>
        <v>3.1300460893035641E-2</v>
      </c>
      <c r="P69" s="169">
        <f>(INDEX(Models!$BJ69:$BT69,,T69)*(1-R69)+INDEX(Models!$BJ69:$BT69,,T69+1)*R69-ERP_i)*Q69*Ramure*Pc/MaxiM</f>
        <v>1.5628707266823269E-4</v>
      </c>
      <c r="Q69" s="305">
        <f t="shared" si="4"/>
        <v>0.7</v>
      </c>
      <c r="R69" s="177">
        <f t="shared" si="5"/>
        <v>0.50568501232548679</v>
      </c>
      <c r="S69" s="921">
        <f t="shared" si="6"/>
        <v>-2</v>
      </c>
      <c r="T69" s="176">
        <f t="shared" si="7"/>
        <v>4</v>
      </c>
      <c r="U69" s="251">
        <f t="shared" si="21"/>
        <v>-1.4943149876745132</v>
      </c>
      <c r="V69" s="383">
        <f t="shared" si="8"/>
        <v>43.191772196864662</v>
      </c>
      <c r="W69" s="58"/>
      <c r="X69" s="157">
        <f t="shared" si="9"/>
        <v>43520</v>
      </c>
      <c r="Y69" s="385">
        <f t="shared" si="10"/>
        <v>41.665999999999997</v>
      </c>
      <c r="Z69" s="385">
        <f t="shared" si="11"/>
        <v>41.91955924863295</v>
      </c>
      <c r="AA69" s="386">
        <f t="shared" si="12"/>
        <v>43.274057183178002</v>
      </c>
      <c r="AB69" s="197">
        <f t="shared" si="13"/>
        <v>43520</v>
      </c>
      <c r="AC69" s="427">
        <f>IF(OR(t&lt;Tnet,NoTnet),'2018'!Resal_s+('2018'!Salim-'2018'!Resal_s)*(1-EXP(('2018'!Tnet_s-t)/'2018'!Tau_j)),Resal_s+(Salim-Resal_s)*(1-EXP((Tnet_s-t)/Tau_j)))*Salcycl</f>
        <v>3.1300460893035641E-2</v>
      </c>
      <c r="AD69" s="231">
        <f>(INDEX(Models!$BJ69:$BT69,,AH69)*(1-AF69)+INDEX(Models!$BJ69:$BT69,,AH69+1)*AF69-ERP_i)*AE69*Ramure*Pc/MaxiM</f>
        <v>1.5628707266823269E-4</v>
      </c>
      <c r="AE69" s="305">
        <f t="shared" si="14"/>
        <v>0.7</v>
      </c>
      <c r="AF69" s="177">
        <f t="shared" si="15"/>
        <v>0.50568501232548679</v>
      </c>
      <c r="AG69" s="176">
        <f t="shared" si="16"/>
        <v>-2</v>
      </c>
      <c r="AH69" s="176">
        <f t="shared" si="17"/>
        <v>4</v>
      </c>
      <c r="AI69" s="225">
        <f t="shared" si="22"/>
        <v>-1.4943149876745132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20">
        <v>42.567999999999998</v>
      </c>
      <c r="C70" s="390"/>
      <c r="D70" s="393">
        <f t="shared" si="0"/>
        <v>42.827986429891517</v>
      </c>
      <c r="E70" s="385">
        <f t="shared" si="1"/>
        <v>44.216387923077356</v>
      </c>
      <c r="F70" s="385">
        <f t="shared" si="2"/>
        <v>44.223095559004854</v>
      </c>
      <c r="G70" s="110">
        <f t="shared" si="23"/>
        <v>0.97872878787036666</v>
      </c>
      <c r="H70" s="414" t="b">
        <f>Wh_hp&gt;='2018'!Maxi_hp</f>
        <v>1</v>
      </c>
      <c r="I70" s="390">
        <f>IF(H70,Wh_hp,'2018'!Maxi_hp)</f>
        <v>44.223095559004854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6.070479879251689E-3</v>
      </c>
      <c r="M70" s="959"/>
      <c r="N70" s="959"/>
      <c r="O70" s="48">
        <f>IF(t&lt;Tnet,'2018'!Resal+('2018'!Salim-'2018'!Resal)*(1-EXP(('2018'!Tnet-t)/('2018'!Tau_j))),Resal+(Salim-Resal)*(1-EXP((Tnet-t)/(Tau_j))))*Salcycl</f>
        <v>3.1400156331205159E-2</v>
      </c>
      <c r="P70" s="169">
        <f>(INDEX(Models!$BJ70:$BT70,,T70)*(1-R70)+INDEX(Models!$BJ70:$BT70,,T70+1)*R70-ERP_i)*Q70*Ramure*Pc/MaxiM</f>
        <v>1.56429672573512E-4</v>
      </c>
      <c r="Q70" s="305">
        <f t="shared" si="4"/>
        <v>0.7</v>
      </c>
      <c r="R70" s="177">
        <f t="shared" si="5"/>
        <v>0.5059476221176229</v>
      </c>
      <c r="S70" s="921">
        <f t="shared" si="6"/>
        <v>-2</v>
      </c>
      <c r="T70" s="176">
        <f t="shared" si="7"/>
        <v>4</v>
      </c>
      <c r="U70" s="251">
        <f t="shared" si="21"/>
        <v>-1.4940523778823771</v>
      </c>
      <c r="V70" s="383">
        <f t="shared" si="8"/>
        <v>43.492945332972994</v>
      </c>
      <c r="W70" s="58"/>
      <c r="X70" s="157">
        <f t="shared" si="9"/>
        <v>43521</v>
      </c>
      <c r="Y70" s="385">
        <f t="shared" si="10"/>
        <v>42.567999999999998</v>
      </c>
      <c r="Z70" s="385">
        <f t="shared" si="11"/>
        <v>42.827986429891517</v>
      </c>
      <c r="AA70" s="386">
        <f t="shared" si="12"/>
        <v>44.216387923077356</v>
      </c>
      <c r="AB70" s="197">
        <f t="shared" si="13"/>
        <v>43521</v>
      </c>
      <c r="AC70" s="427">
        <f>IF(OR(t&lt;Tnet,NoTnet),'2018'!Resal_s+('2018'!Salim-'2018'!Resal_s)*(1-EXP(('2018'!Tnet_s-t)/'2018'!Tau_j)),Resal_s+(Salim-Resal_s)*(1-EXP((Tnet_s-t)/Tau_j)))*Salcycl</f>
        <v>3.1400156331205159E-2</v>
      </c>
      <c r="AD70" s="231">
        <f>(INDEX(Models!$BJ70:$BT70,,AH70)*(1-AF70)+INDEX(Models!$BJ70:$BT70,,AH70+1)*AF70-ERP_i)*AE70*Ramure*Pc/MaxiM</f>
        <v>1.56429672573512E-4</v>
      </c>
      <c r="AE70" s="305">
        <f t="shared" si="14"/>
        <v>0.7</v>
      </c>
      <c r="AF70" s="177">
        <f t="shared" si="15"/>
        <v>0.5059476221176229</v>
      </c>
      <c r="AG70" s="176">
        <f t="shared" si="16"/>
        <v>-2</v>
      </c>
      <c r="AH70" s="176">
        <f t="shared" si="17"/>
        <v>4</v>
      </c>
      <c r="AI70" s="225">
        <f t="shared" si="22"/>
        <v>-1.4940523778823771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20">
        <v>40.348999999999997</v>
      </c>
      <c r="C71" s="390"/>
      <c r="D71" s="393">
        <f t="shared" si="0"/>
        <v>40.596322927512787</v>
      </c>
      <c r="E71" s="385">
        <f t="shared" si="1"/>
        <v>41.916688280614807</v>
      </c>
      <c r="F71" s="385">
        <f t="shared" si="2"/>
        <v>41.92251127675177</v>
      </c>
      <c r="G71" s="110">
        <f t="shared" si="23"/>
        <v>0.92135678861008508</v>
      </c>
      <c r="H71" s="414" t="b">
        <f>Wh_hp&gt;='2018'!Maxi_hp</f>
        <v>1</v>
      </c>
      <c r="I71" s="390">
        <f>IF(H71,Wh_hp,'2018'!Maxi_hp)</f>
        <v>41.92251127675177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6.0922494865951471E-3</v>
      </c>
      <c r="M71" s="959"/>
      <c r="N71" s="959"/>
      <c r="O71" s="48">
        <f>IF(t&lt;Tnet,'2018'!Resal+('2018'!Salim-'2018'!Resal)*(1-EXP(('2018'!Tnet-t)/('2018'!Tau_j))),Resal+(Salim-Resal)*(1-EXP((Tnet-t)/(Tau_j))))*Salcycl</f>
        <v>3.1499753612754935E-2</v>
      </c>
      <c r="P71" s="169">
        <f>(INDEX(Models!$BJ71:$BT71,,T71)*(1-R71)+INDEX(Models!$BJ71:$BT71,,T71+1)*R71-ERP_i)*Q71*Ramure*Pc/MaxiM</f>
        <v>1.564749725630605E-4</v>
      </c>
      <c r="Q71" s="305">
        <f t="shared" si="4"/>
        <v>0.7</v>
      </c>
      <c r="R71" s="177">
        <f t="shared" si="5"/>
        <v>0.5062209523731882</v>
      </c>
      <c r="S71" s="921">
        <f t="shared" si="6"/>
        <v>-2</v>
      </c>
      <c r="T71" s="176">
        <f t="shared" si="7"/>
        <v>4</v>
      </c>
      <c r="U71" s="251">
        <f t="shared" si="21"/>
        <v>-1.4937790476268118</v>
      </c>
      <c r="V71" s="383">
        <f t="shared" si="8"/>
        <v>43.79225423696078</v>
      </c>
      <c r="W71" s="58"/>
      <c r="X71" s="157">
        <f t="shared" si="9"/>
        <v>43522</v>
      </c>
      <c r="Y71" s="385">
        <f t="shared" si="10"/>
        <v>40.348999999999997</v>
      </c>
      <c r="Z71" s="385">
        <f t="shared" si="11"/>
        <v>40.596322927512787</v>
      </c>
      <c r="AA71" s="386">
        <f t="shared" si="12"/>
        <v>41.916688280614807</v>
      </c>
      <c r="AB71" s="197">
        <f t="shared" si="13"/>
        <v>43522</v>
      </c>
      <c r="AC71" s="427">
        <f>IF(OR(t&lt;Tnet,NoTnet),'2018'!Resal_s+('2018'!Salim-'2018'!Resal_s)*(1-EXP(('2018'!Tnet_s-t)/'2018'!Tau_j)),Resal_s+(Salim-Resal_s)*(1-EXP((Tnet_s-t)/Tau_j)))*Salcycl</f>
        <v>3.1499753612754935E-2</v>
      </c>
      <c r="AD71" s="231">
        <f>(INDEX(Models!$BJ71:$BT71,,AH71)*(1-AF71)+INDEX(Models!$BJ71:$BT71,,AH71+1)*AF71-ERP_i)*AE71*Ramure*Pc/MaxiM</f>
        <v>1.564749725630605E-4</v>
      </c>
      <c r="AE71" s="305">
        <f t="shared" si="14"/>
        <v>0.7</v>
      </c>
      <c r="AF71" s="177">
        <f t="shared" si="15"/>
        <v>0.5062209523731882</v>
      </c>
      <c r="AG71" s="176">
        <f t="shared" si="16"/>
        <v>-2</v>
      </c>
      <c r="AH71" s="176">
        <f t="shared" si="17"/>
        <v>4</v>
      </c>
      <c r="AI71" s="225">
        <f t="shared" si="22"/>
        <v>-1.4937790476268118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20">
        <v>43.268999999999998</v>
      </c>
      <c r="C72" s="390"/>
      <c r="D72" s="393">
        <f t="shared" si="0"/>
        <v>43.535174869652998</v>
      </c>
      <c r="E72" s="385">
        <f t="shared" si="1"/>
        <v>44.955742803460886</v>
      </c>
      <c r="F72" s="385">
        <f t="shared" si="2"/>
        <v>44.962572405256154</v>
      </c>
      <c r="G72" s="110">
        <f t="shared" si="23"/>
        <v>0.98137893074371041</v>
      </c>
      <c r="H72" s="414" t="b">
        <f>Wh_hp&gt;='2018'!Maxi_hp</f>
        <v>1</v>
      </c>
      <c r="I72" s="390">
        <f>IF(H72,Wh_hp,'2018'!Maxi_hp)</f>
        <v>44.962572405256154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6.1140186171284583E-3</v>
      </c>
      <c r="M72" s="959"/>
      <c r="N72" s="959"/>
      <c r="O72" s="48">
        <f>IF(t&lt;Tnet,'2018'!Resal+('2018'!Salim-'2018'!Resal)*(1-EXP(('2018'!Tnet-t)/('2018'!Tau_j))),Resal+(Salim-Resal)*(1-EXP((Tnet-t)/(Tau_j))))*Salcycl</f>
        <v>3.1599253960019696E-2</v>
      </c>
      <c r="P72" s="169">
        <f>(INDEX(Models!$BJ72:$BT72,,T72)*(1-R72)+INDEX(Models!$BJ72:$BT72,,T72+1)*R72-ERP_i)*Q72*Ramure*Pc/MaxiM</f>
        <v>1.5604540174576174E-4</v>
      </c>
      <c r="Q72" s="305">
        <f t="shared" si="4"/>
        <v>0.7</v>
      </c>
      <c r="R72" s="177">
        <f t="shared" si="5"/>
        <v>0.50650542796799836</v>
      </c>
      <c r="S72" s="921">
        <f t="shared" si="6"/>
        <v>-2</v>
      </c>
      <c r="T72" s="176">
        <f t="shared" si="7"/>
        <v>4</v>
      </c>
      <c r="U72" s="251">
        <f t="shared" si="21"/>
        <v>-1.4934945720320016</v>
      </c>
      <c r="V72" s="383">
        <f t="shared" si="8"/>
        <v>44.089819991967346</v>
      </c>
      <c r="W72" s="58"/>
      <c r="X72" s="157">
        <f t="shared" si="9"/>
        <v>43523</v>
      </c>
      <c r="Y72" s="385">
        <f t="shared" si="10"/>
        <v>43.268999999999998</v>
      </c>
      <c r="Z72" s="385">
        <f t="shared" si="11"/>
        <v>43.535174869652998</v>
      </c>
      <c r="AA72" s="386">
        <f t="shared" si="12"/>
        <v>44.955742803460886</v>
      </c>
      <c r="AB72" s="197">
        <f t="shared" si="13"/>
        <v>43523</v>
      </c>
      <c r="AC72" s="427">
        <f>IF(OR(t&lt;Tnet,NoTnet),'2018'!Resal_s+('2018'!Salim-'2018'!Resal_s)*(1-EXP(('2018'!Tnet_s-t)/'2018'!Tau_j)),Resal_s+(Salim-Resal_s)*(1-EXP((Tnet_s-t)/Tau_j)))*Salcycl</f>
        <v>3.1599253960019696E-2</v>
      </c>
      <c r="AD72" s="231">
        <f>(INDEX(Models!$BJ72:$BT72,,AH72)*(1-AF72)+INDEX(Models!$BJ72:$BT72,,AH72+1)*AF72-ERP_i)*AE72*Ramure*Pc/MaxiM</f>
        <v>1.5604540174576174E-4</v>
      </c>
      <c r="AE72" s="305">
        <f t="shared" si="14"/>
        <v>0.7</v>
      </c>
      <c r="AF72" s="177">
        <f t="shared" si="15"/>
        <v>0.50650542796799836</v>
      </c>
      <c r="AG72" s="176">
        <f t="shared" si="16"/>
        <v>-2</v>
      </c>
      <c r="AH72" s="176">
        <f t="shared" si="17"/>
        <v>4</v>
      </c>
      <c r="AI72" s="225">
        <f t="shared" si="22"/>
        <v>-1.4934945720320016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20">
        <v>35.158999999999999</v>
      </c>
      <c r="C73" s="390"/>
      <c r="D73" s="393">
        <f t="shared" si="0"/>
        <v>35.376059978509382</v>
      </c>
      <c r="E73" s="385">
        <f t="shared" si="1"/>
        <v>36.534143337601556</v>
      </c>
      <c r="F73" s="385">
        <f t="shared" si="2"/>
        <v>36.538127562643616</v>
      </c>
      <c r="G73" s="110">
        <f t="shared" si="23"/>
        <v>0.79208712738378573</v>
      </c>
      <c r="H73" s="414" t="b">
        <f>Wh_hp&gt;='2018'!Maxi_hp</f>
        <v>1</v>
      </c>
      <c r="I73" s="390">
        <f>IF(H73,Wh_hp,'2018'!Maxi_hp)</f>
        <v>36.538127562643616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6.1357872708618366E-3</v>
      </c>
      <c r="M73" s="959"/>
      <c r="N73" s="959"/>
      <c r="O73" s="48">
        <f>IF(t&lt;Tnet,'2018'!Resal+('2018'!Salim-'2018'!Resal)*(1-EXP(('2018'!Tnet-t)/('2018'!Tau_j))),Resal+(Salim-Resal)*(1-EXP((Tnet-t)/(Tau_j))))*Salcycl</f>
        <v>3.169865920737909E-2</v>
      </c>
      <c r="P73" s="169">
        <f>(INDEX(Models!$BJ73:$BT73,,T73)*(1-R73)+INDEX(Models!$BJ73:$BT73,,T73+1)*R73-ERP_i)*Q73*Ramure*Pc/MaxiM</f>
        <v>1.551034313726256E-4</v>
      </c>
      <c r="Q73" s="305">
        <f t="shared" si="4"/>
        <v>0.7</v>
      </c>
      <c r="R73" s="177">
        <f t="shared" si="5"/>
        <v>0.5068014895405859</v>
      </c>
      <c r="S73" s="921">
        <f t="shared" si="6"/>
        <v>-2</v>
      </c>
      <c r="T73" s="176">
        <f t="shared" si="7"/>
        <v>4</v>
      </c>
      <c r="U73" s="251">
        <f t="shared" si="21"/>
        <v>-1.4931985104594141</v>
      </c>
      <c r="V73" s="383">
        <f t="shared" si="8"/>
        <v>44.385748950222144</v>
      </c>
      <c r="W73" s="58"/>
      <c r="X73" s="157">
        <f t="shared" si="9"/>
        <v>43524</v>
      </c>
      <c r="Y73" s="385">
        <f t="shared" si="10"/>
        <v>35.158999999999999</v>
      </c>
      <c r="Z73" s="385">
        <f t="shared" si="11"/>
        <v>35.376059978509382</v>
      </c>
      <c r="AA73" s="386">
        <f t="shared" si="12"/>
        <v>36.534143337601556</v>
      </c>
      <c r="AB73" s="197">
        <f t="shared" si="13"/>
        <v>43524</v>
      </c>
      <c r="AC73" s="427">
        <f>IF(OR(t&lt;Tnet,NoTnet),'2018'!Resal_s+('2018'!Salim-'2018'!Resal_s)*(1-EXP(('2018'!Tnet_s-t)/'2018'!Tau_j)),Resal_s+(Salim-Resal_s)*(1-EXP((Tnet_s-t)/Tau_j)))*Salcycl</f>
        <v>3.169865920737909E-2</v>
      </c>
      <c r="AD73" s="231">
        <f>(INDEX(Models!$BJ73:$BT73,,AH73)*(1-AF73)+INDEX(Models!$BJ73:$BT73,,AH73+1)*AF73-ERP_i)*AE73*Ramure*Pc/MaxiM</f>
        <v>1.551034313726256E-4</v>
      </c>
      <c r="AE73" s="305">
        <f t="shared" si="14"/>
        <v>0.7</v>
      </c>
      <c r="AF73" s="177">
        <f t="shared" si="15"/>
        <v>0.5068014895405859</v>
      </c>
      <c r="AG73" s="176">
        <f t="shared" si="16"/>
        <v>-2</v>
      </c>
      <c r="AH73" s="176">
        <f t="shared" si="17"/>
        <v>4</v>
      </c>
      <c r="AI73" s="225">
        <f t="shared" si="22"/>
        <v>-1.4931985104594141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20">
        <v>14.284000000000001</v>
      </c>
      <c r="C74" s="390"/>
      <c r="D74" s="393">
        <f t="shared" si="0"/>
        <v>14.372499462363061</v>
      </c>
      <c r="E74" s="385">
        <f t="shared" si="1"/>
        <v>14.844525258283383</v>
      </c>
      <c r="F74" s="385">
        <f t="shared" si="2"/>
        <v>14.844589434180083</v>
      </c>
      <c r="G74" s="110">
        <f t="shared" si="23"/>
        <v>0.31964683155777507</v>
      </c>
      <c r="H74" s="414" t="b">
        <f>Wh_hp&gt;='2018'!Maxi_hp</f>
        <v>1</v>
      </c>
      <c r="I74" s="390">
        <f>IF(H74,Wh_hp,'2018'!Maxi_hp)</f>
        <v>14.844589434180083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6.1575554478058292E-3</v>
      </c>
      <c r="M74" s="959"/>
      <c r="N74" s="959"/>
      <c r="O74" s="48">
        <f>IF(t&lt;Tnet,'2018'!Resal+('2018'!Salim-'2018'!Resal)*(1-EXP(('2018'!Tnet-t)/('2018'!Tau_j))),Resal+(Salim-Resal)*(1-EXP((Tnet-t)/(Tau_j))))*Salcycl</f>
        <v>3.1797971825129834E-2</v>
      </c>
      <c r="P74" s="169">
        <f>(INDEX(Models!$BJ74:$BT74,,T74)*(1-R74)+INDEX(Models!$BJ74:$BT74,,T74+1)*R74-ERP_i)*Q74*Ramure*Pc/MaxiM</f>
        <v>1.5365801522417564E-4</v>
      </c>
      <c r="Q74" s="305">
        <f t="shared" si="4"/>
        <v>0.7</v>
      </c>
      <c r="R74" s="177">
        <f t="shared" si="5"/>
        <v>0.5071095939856447</v>
      </c>
      <c r="S74" s="921">
        <f t="shared" si="6"/>
        <v>-2</v>
      </c>
      <c r="T74" s="176">
        <f t="shared" si="7"/>
        <v>4</v>
      </c>
      <c r="U74" s="251">
        <f t="shared" si="21"/>
        <v>-1.4928904060143553</v>
      </c>
      <c r="V74" s="383">
        <f t="shared" si="8"/>
        <v>44.68014534182096</v>
      </c>
      <c r="W74" s="58"/>
      <c r="X74" s="157">
        <f t="shared" si="9"/>
        <v>43525</v>
      </c>
      <c r="Y74" s="385">
        <f t="shared" si="10"/>
        <v>14.284000000000001</v>
      </c>
      <c r="Z74" s="385">
        <f t="shared" si="11"/>
        <v>14.372499462363061</v>
      </c>
      <c r="AA74" s="386">
        <f t="shared" si="12"/>
        <v>14.844525258283383</v>
      </c>
      <c r="AB74" s="197">
        <f t="shared" si="13"/>
        <v>43525</v>
      </c>
      <c r="AC74" s="427">
        <f>IF(OR(t&lt;Tnet,NoTnet),'2018'!Resal_s+('2018'!Salim-'2018'!Resal_s)*(1-EXP(('2018'!Tnet_s-t)/'2018'!Tau_j)),Resal_s+(Salim-Resal_s)*(1-EXP((Tnet_s-t)/Tau_j)))*Salcycl</f>
        <v>3.1797971825129834E-2</v>
      </c>
      <c r="AD74" s="231">
        <f>(INDEX(Models!$BJ74:$BT74,,AH74)*(1-AF74)+INDEX(Models!$BJ74:$BT74,,AH74+1)*AF74-ERP_i)*AE74*Ramure*Pc/MaxiM</f>
        <v>1.5365801522417564E-4</v>
      </c>
      <c r="AE74" s="305">
        <f t="shared" si="14"/>
        <v>0.7</v>
      </c>
      <c r="AF74" s="177">
        <f t="shared" si="15"/>
        <v>0.5071095939856447</v>
      </c>
      <c r="AG74" s="176">
        <f t="shared" si="16"/>
        <v>-2</v>
      </c>
      <c r="AH74" s="176">
        <f t="shared" si="17"/>
        <v>4</v>
      </c>
      <c r="AI74" s="225">
        <f t="shared" si="22"/>
        <v>-1.4928904060143553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20">
        <v>18.321000000000002</v>
      </c>
      <c r="C75" s="390"/>
      <c r="D75" s="393">
        <f t="shared" si="0"/>
        <v>18.434915298836991</v>
      </c>
      <c r="E75" s="385">
        <f t="shared" si="1"/>
        <v>19.042311624827551</v>
      </c>
      <c r="F75" s="385">
        <f t="shared" si="2"/>
        <v>19.042754802954807</v>
      </c>
      <c r="G75" s="110">
        <f t="shared" si="23"/>
        <v>0.40732440687962151</v>
      </c>
      <c r="H75" s="414" t="b">
        <f>Wh_hp&gt;='2018'!Maxi_hp</f>
        <v>1</v>
      </c>
      <c r="I75" s="390">
        <f>IF(H75,Wh_hp,'2018'!Maxi_hp)</f>
        <v>19.042754802954807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6.1793231479709831E-3</v>
      </c>
      <c r="M75" s="959"/>
      <c r="N75" s="959"/>
      <c r="O75" s="48">
        <f>IF(t&lt;Tnet,'2018'!Resal+('2018'!Salim-'2018'!Resal)*(1-EXP(('2018'!Tnet-t)/('2018'!Tau_j))),Resal+(Salim-Resal)*(1-EXP((Tnet-t)/(Tau_j))))*Salcycl</f>
        <v>3.1897194939223293E-2</v>
      </c>
      <c r="P75" s="169">
        <f>(INDEX(Models!$BJ75:$BT75,,T75)*(1-R75)+INDEX(Models!$BJ75:$BT75,,T75+1)*R75-ERP_i)*Q75*Ramure*Pc/MaxiM</f>
        <v>1.5171775021351796E-4</v>
      </c>
      <c r="Q75" s="305">
        <f t="shared" si="4"/>
        <v>0.7</v>
      </c>
      <c r="R75" s="177">
        <f t="shared" si="5"/>
        <v>0.50743021495490637</v>
      </c>
      <c r="S75" s="921">
        <f t="shared" si="6"/>
        <v>-2</v>
      </c>
      <c r="T75" s="176">
        <f t="shared" si="7"/>
        <v>4</v>
      </c>
      <c r="U75" s="251">
        <f t="shared" si="21"/>
        <v>-1.4925697850450936</v>
      </c>
      <c r="V75" s="383">
        <f t="shared" si="8"/>
        <v>44.973113311670836</v>
      </c>
      <c r="W75" s="58"/>
      <c r="X75" s="157">
        <f t="shared" si="9"/>
        <v>43526</v>
      </c>
      <c r="Y75" s="385">
        <f t="shared" si="10"/>
        <v>18.321000000000002</v>
      </c>
      <c r="Z75" s="385">
        <f t="shared" si="11"/>
        <v>18.434915298836991</v>
      </c>
      <c r="AA75" s="386">
        <f t="shared" si="12"/>
        <v>19.042311624827551</v>
      </c>
      <c r="AB75" s="197">
        <f t="shared" si="13"/>
        <v>43526</v>
      </c>
      <c r="AC75" s="427">
        <f>IF(OR(t&lt;Tnet,NoTnet),'2018'!Resal_s+('2018'!Salim-'2018'!Resal_s)*(1-EXP(('2018'!Tnet_s-t)/'2018'!Tau_j)),Resal_s+(Salim-Resal_s)*(1-EXP((Tnet_s-t)/Tau_j)))*Salcycl</f>
        <v>3.1897194939223293E-2</v>
      </c>
      <c r="AD75" s="231">
        <f>(INDEX(Models!$BJ75:$BT75,,AH75)*(1-AF75)+INDEX(Models!$BJ75:$BT75,,AH75+1)*AF75-ERP_i)*AE75*Ramure*Pc/MaxiM</f>
        <v>1.5171775021351796E-4</v>
      </c>
      <c r="AE75" s="305">
        <f t="shared" si="14"/>
        <v>0.7</v>
      </c>
      <c r="AF75" s="177">
        <f t="shared" si="15"/>
        <v>0.50743021495490637</v>
      </c>
      <c r="AG75" s="176">
        <f t="shared" si="16"/>
        <v>-2</v>
      </c>
      <c r="AH75" s="176">
        <f t="shared" si="17"/>
        <v>4</v>
      </c>
      <c r="AI75" s="225">
        <f t="shared" si="22"/>
        <v>-1.4925697850450936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20">
        <v>38.362000000000002</v>
      </c>
      <c r="C76" s="390"/>
      <c r="D76" s="393">
        <f t="shared" si="0"/>
        <v>38.601370587471564</v>
      </c>
      <c r="E76" s="385">
        <f t="shared" si="1"/>
        <v>39.877297862986289</v>
      </c>
      <c r="F76" s="385">
        <f t="shared" si="2"/>
        <v>39.881954773703235</v>
      </c>
      <c r="G76" s="110">
        <f t="shared" si="23"/>
        <v>0.84747505116527311</v>
      </c>
      <c r="H76" s="414" t="b">
        <f>Wh_hp&gt;='2018'!Maxi_hp</f>
        <v>1</v>
      </c>
      <c r="I76" s="390">
        <f>IF(H76,Wh_hp,'2018'!Maxi_hp)</f>
        <v>39.881954773703235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6.2010903713675125E-3</v>
      </c>
      <c r="M76" s="959"/>
      <c r="N76" s="959"/>
      <c r="O76" s="48">
        <f>IF(t&lt;Tnet,'2018'!Resal+('2018'!Salim-'2018'!Resal)*(1-EXP(('2018'!Tnet-t)/('2018'!Tau_j))),Resal+(Salim-Resal)*(1-EXP((Tnet-t)/(Tau_j))))*Salcycl</f>
        <v>3.1996332346756799E-2</v>
      </c>
      <c r="P76" s="169">
        <f>(INDEX(Models!$BJ76:$BT76,,T76)*(1-R76)+INDEX(Models!$BJ76:$BT76,,T76+1)*R76-ERP_i)*Q76*Ramure*Pc/MaxiM</f>
        <v>1.492908926060326E-4</v>
      </c>
      <c r="Q76" s="305">
        <f t="shared" si="4"/>
        <v>0.7</v>
      </c>
      <c r="R76" s="177">
        <f t="shared" si="5"/>
        <v>0.50776384336476421</v>
      </c>
      <c r="S76" s="921">
        <f t="shared" si="6"/>
        <v>-2</v>
      </c>
      <c r="T76" s="176">
        <f t="shared" si="7"/>
        <v>4</v>
      </c>
      <c r="U76" s="251">
        <f t="shared" si="21"/>
        <v>-1.4922361566352358</v>
      </c>
      <c r="V76" s="383">
        <f t="shared" si="8"/>
        <v>45.264756919903775</v>
      </c>
      <c r="W76" s="58"/>
      <c r="X76" s="157">
        <f t="shared" si="9"/>
        <v>43527</v>
      </c>
      <c r="Y76" s="385">
        <f t="shared" si="10"/>
        <v>38.362000000000002</v>
      </c>
      <c r="Z76" s="385">
        <f t="shared" si="11"/>
        <v>38.601370587471564</v>
      </c>
      <c r="AA76" s="386">
        <f t="shared" si="12"/>
        <v>39.877297862986289</v>
      </c>
      <c r="AB76" s="197">
        <f t="shared" si="13"/>
        <v>43527</v>
      </c>
      <c r="AC76" s="427">
        <f>IF(OR(t&lt;Tnet,NoTnet),'2018'!Resal_s+('2018'!Salim-'2018'!Resal_s)*(1-EXP(('2018'!Tnet_s-t)/'2018'!Tau_j)),Resal_s+(Salim-Resal_s)*(1-EXP((Tnet_s-t)/Tau_j)))*Salcycl</f>
        <v>3.1996332346756799E-2</v>
      </c>
      <c r="AD76" s="231">
        <f>(INDEX(Models!$BJ76:$BT76,,AH76)*(1-AF76)+INDEX(Models!$BJ76:$BT76,,AH76+1)*AF76-ERP_i)*AE76*Ramure*Pc/MaxiM</f>
        <v>1.492908926060326E-4</v>
      </c>
      <c r="AE76" s="305">
        <f t="shared" si="14"/>
        <v>0.7</v>
      </c>
      <c r="AF76" s="177">
        <f t="shared" si="15"/>
        <v>0.50776384336476421</v>
      </c>
      <c r="AG76" s="176">
        <f t="shared" si="16"/>
        <v>-2</v>
      </c>
      <c r="AH76" s="176">
        <f t="shared" si="17"/>
        <v>4</v>
      </c>
      <c r="AI76" s="225">
        <f t="shared" si="22"/>
        <v>-1.4922361566352358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20">
        <v>10.797000000000001</v>
      </c>
      <c r="C77" s="390"/>
      <c r="D77" s="393">
        <f t="shared" si="0"/>
        <v>10.864608908882996</v>
      </c>
      <c r="E77" s="385">
        <f t="shared" si="1"/>
        <v>11.224875654172628</v>
      </c>
      <c r="F77" s="385">
        <f t="shared" si="2"/>
        <v>11.224875654172628</v>
      </c>
      <c r="G77" s="110">
        <f t="shared" si="23"/>
        <v>0.23697457554244716</v>
      </c>
      <c r="H77" s="414" t="b">
        <f>Wh_hp&gt;='2018'!Maxi_hp</f>
        <v>1</v>
      </c>
      <c r="I77" s="390">
        <f>IF(H77,Wh_hp,'2018'!Maxi_hp)</f>
        <v>11.224875654172628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6.2228571180060754E-3</v>
      </c>
      <c r="M77" s="959"/>
      <c r="N77" s="959"/>
      <c r="O77" s="48">
        <f>IF(t&lt;Tnet,'2018'!Resal+('2018'!Salim-'2018'!Resal)*(1-EXP(('2018'!Tnet-t)/('2018'!Tau_j))),Resal+(Salim-Resal)*(1-EXP((Tnet-t)/(Tau_j))))*Salcycl</f>
        <v>3.209538852715129E-2</v>
      </c>
      <c r="P77" s="169">
        <f>(INDEX(Models!$BJ77:$BT77,,T77)*(1-R77)+INDEX(Models!$BJ77:$BT77,,T77+1)*R77-ERP_i)*Q77*Ramure*Pc/MaxiM</f>
        <v>1.4638537049388878E-4</v>
      </c>
      <c r="Q77" s="305">
        <f t="shared" si="4"/>
        <v>0.7</v>
      </c>
      <c r="R77" s="177">
        <f t="shared" si="5"/>
        <v>0.50811098790986242</v>
      </c>
      <c r="S77" s="921">
        <f t="shared" si="6"/>
        <v>-2</v>
      </c>
      <c r="T77" s="176">
        <f t="shared" si="7"/>
        <v>4</v>
      </c>
      <c r="U77" s="251">
        <f t="shared" si="21"/>
        <v>-1.4918890120901376</v>
      </c>
      <c r="V77" s="383">
        <f t="shared" si="8"/>
        <v>45.555180138812361</v>
      </c>
      <c r="W77" s="58"/>
      <c r="X77" s="157">
        <f t="shared" si="9"/>
        <v>43528</v>
      </c>
      <c r="Y77" s="385">
        <f t="shared" si="10"/>
        <v>10.797000000000001</v>
      </c>
      <c r="Z77" s="385">
        <f t="shared" si="11"/>
        <v>10.864608908882996</v>
      </c>
      <c r="AA77" s="386">
        <f t="shared" si="12"/>
        <v>11.224875654172628</v>
      </c>
      <c r="AB77" s="197">
        <f t="shared" si="13"/>
        <v>43528</v>
      </c>
      <c r="AC77" s="427">
        <f>IF(OR(t&lt;Tnet,NoTnet),'2018'!Resal_s+('2018'!Salim-'2018'!Resal_s)*(1-EXP(('2018'!Tnet_s-t)/'2018'!Tau_j)),Resal_s+(Salim-Resal_s)*(1-EXP((Tnet_s-t)/Tau_j)))*Salcycl</f>
        <v>3.209538852715129E-2</v>
      </c>
      <c r="AD77" s="231">
        <f>(INDEX(Models!$BJ77:$BT77,,AH77)*(1-AF77)+INDEX(Models!$BJ77:$BT77,,AH77+1)*AF77-ERP_i)*AE77*Ramure*Pc/MaxiM</f>
        <v>1.4638537049388878E-4</v>
      </c>
      <c r="AE77" s="305">
        <f t="shared" si="14"/>
        <v>0.7</v>
      </c>
      <c r="AF77" s="177">
        <f t="shared" si="15"/>
        <v>0.50811098790986242</v>
      </c>
      <c r="AG77" s="176">
        <f t="shared" si="16"/>
        <v>-2</v>
      </c>
      <c r="AH77" s="176">
        <f t="shared" si="17"/>
        <v>4</v>
      </c>
      <c r="AI77" s="225">
        <f t="shared" si="22"/>
        <v>-1.4918890120901376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20">
        <v>45.228000000000002</v>
      </c>
      <c r="C78" s="390"/>
      <c r="D78" s="393">
        <f t="shared" si="0"/>
        <v>45.512206589704874</v>
      </c>
      <c r="E78" s="385">
        <f t="shared" si="1"/>
        <v>47.026184923280667</v>
      </c>
      <c r="F78" s="385">
        <f t="shared" si="2"/>
        <v>47.032781812856342</v>
      </c>
      <c r="G78" s="110">
        <f t="shared" si="23"/>
        <v>0.986549939447116</v>
      </c>
      <c r="H78" s="414" t="b">
        <f>Wh_hp&gt;='2018'!Maxi_hp</f>
        <v>1</v>
      </c>
      <c r="I78" s="390">
        <f>IF(H78,Wh_hp,'2018'!Maxi_hp)</f>
        <v>47.032781812856342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6.244623387896997E-3</v>
      </c>
      <c r="M78" s="959"/>
      <c r="N78" s="959"/>
      <c r="O78" s="48">
        <f>IF(t&lt;Tnet,'2018'!Resal+('2018'!Salim-'2018'!Resal)*(1-EXP(('2018'!Tnet-t)/('2018'!Tau_j))),Resal+(Salim-Resal)*(1-EXP((Tnet-t)/(Tau_j))))*Salcycl</f>
        <v>3.21943686489925E-2</v>
      </c>
      <c r="P78" s="169">
        <f>(INDEX(Models!$BJ78:$BT78,,T78)*(1-R78)+INDEX(Models!$BJ78:$BT78,,T78+1)*R78-ERP_i)*Q78*Ramure*Pc/MaxiM</f>
        <v>1.430087926933847E-4</v>
      </c>
      <c r="Q78" s="305">
        <f t="shared" si="4"/>
        <v>0.7</v>
      </c>
      <c r="R78" s="177">
        <f t="shared" si="5"/>
        <v>0.50847217558175806</v>
      </c>
      <c r="S78" s="921">
        <f t="shared" si="6"/>
        <v>-2</v>
      </c>
      <c r="T78" s="176">
        <f t="shared" si="7"/>
        <v>4</v>
      </c>
      <c r="U78" s="251">
        <f t="shared" si="21"/>
        <v>-1.4915278244182419</v>
      </c>
      <c r="V78" s="383">
        <f t="shared" si="8"/>
        <v>45.844486853216452</v>
      </c>
      <c r="W78" s="58"/>
      <c r="X78" s="157">
        <f t="shared" si="9"/>
        <v>43529</v>
      </c>
      <c r="Y78" s="385">
        <f t="shared" si="10"/>
        <v>45.228000000000002</v>
      </c>
      <c r="Z78" s="385">
        <f t="shared" si="11"/>
        <v>45.512206589704874</v>
      </c>
      <c r="AA78" s="386">
        <f t="shared" si="12"/>
        <v>47.026184923280667</v>
      </c>
      <c r="AB78" s="197">
        <f t="shared" si="13"/>
        <v>43529</v>
      </c>
      <c r="AC78" s="427">
        <f>IF(OR(t&lt;Tnet,NoTnet),'2018'!Resal_s+('2018'!Salim-'2018'!Resal_s)*(1-EXP(('2018'!Tnet_s-t)/'2018'!Tau_j)),Resal_s+(Salim-Resal_s)*(1-EXP((Tnet_s-t)/Tau_j)))*Salcycl</f>
        <v>3.21943686489925E-2</v>
      </c>
      <c r="AD78" s="231">
        <f>(INDEX(Models!$BJ78:$BT78,,AH78)*(1-AF78)+INDEX(Models!$BJ78:$BT78,,AH78+1)*AF78-ERP_i)*AE78*Ramure*Pc/MaxiM</f>
        <v>1.430087926933847E-4</v>
      </c>
      <c r="AE78" s="305">
        <f t="shared" si="14"/>
        <v>0.7</v>
      </c>
      <c r="AF78" s="177">
        <f t="shared" si="15"/>
        <v>0.50847217558175806</v>
      </c>
      <c r="AG78" s="176">
        <f t="shared" si="16"/>
        <v>-2</v>
      </c>
      <c r="AH78" s="176">
        <f t="shared" si="17"/>
        <v>4</v>
      </c>
      <c r="AI78" s="225">
        <f t="shared" si="22"/>
        <v>-1.4915278244182419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20">
        <v>23.253</v>
      </c>
      <c r="C79" s="390"/>
      <c r="D79" s="393">
        <f t="shared" ref="D79:D142" si="24">Wh/(1-Ppv)</f>
        <v>23.399631195765725</v>
      </c>
      <c r="E79" s="385">
        <f t="shared" si="1"/>
        <v>24.180498778854613</v>
      </c>
      <c r="F79" s="385">
        <f t="shared" ref="F79:F142" si="25">Wh_sa/(1-Pvg*MEDIAN((-Sdif+Wh/Env_an)/Csdif,0,1))</f>
        <v>24.181479709212134</v>
      </c>
      <c r="G79" s="110">
        <f t="shared" si="23"/>
        <v>0.50399082632509062</v>
      </c>
      <c r="H79" s="414" t="b">
        <f>Wh_hp&gt;='2018'!Maxi_hp</f>
        <v>1</v>
      </c>
      <c r="I79" s="390">
        <f>IF(H79,Wh_hp,'2018'!Maxi_hp)</f>
        <v>24.181479709212134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6.2663891810507133E-3</v>
      </c>
      <c r="M79" s="959"/>
      <c r="N79" s="959"/>
      <c r="O79" s="48">
        <f>IF(t&lt;Tnet,'2018'!Resal+('2018'!Salim-'2018'!Resal)*(1-EXP(('2018'!Tnet-t)/('2018'!Tau_j))),Resal+(Salim-Resal)*(1-EXP((Tnet-t)/(Tau_j))))*Salcycl</f>
        <v>3.2293278572555366E-2</v>
      </c>
      <c r="P79" s="169">
        <f>(INDEX(Models!$BJ79:$BT79,,T79)*(1-R79)+INDEX(Models!$BJ79:$BT79,,T79+1)*R79-ERP_i)*Q79*Ramure*Pc/MaxiM</f>
        <v>1.3916720483895457E-4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0.50884795219165624</v>
      </c>
      <c r="S79" s="921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-1.4911520478083438</v>
      </c>
      <c r="V79" s="383">
        <f t="shared" ref="V79:V142" si="32">MaxiM*(1-Ppv)*(1-Pvg)*(1-Psa)</f>
        <v>46.133195097530376</v>
      </c>
      <c r="W79" s="58"/>
      <c r="X79" s="157">
        <f t="shared" ref="X79:X142" si="33">t</f>
        <v>43530</v>
      </c>
      <c r="Y79" s="385">
        <f t="shared" ref="Y79:Y142" si="34">Wh_pvt_s*(1-Ppv)</f>
        <v>23.253</v>
      </c>
      <c r="Z79" s="385">
        <f t="shared" ref="Z79:Z142" si="35">Wh_sa_s*(1-Psa_s)</f>
        <v>23.399631195765725</v>
      </c>
      <c r="AA79" s="386">
        <f t="shared" ref="AA79:AA142" si="36">Wh_hp*(1-Pvg_s*MEDIAN((-Sdif+Wh/Env_an)/Csdif,0,1))</f>
        <v>24.180498778854613</v>
      </c>
      <c r="AB79" s="197">
        <f t="shared" ref="AB79:AB142" si="37">t</f>
        <v>43530</v>
      </c>
      <c r="AC79" s="427">
        <f>IF(OR(t&lt;Tnet,NoTnet),'2018'!Resal_s+('2018'!Salim-'2018'!Resal_s)*(1-EXP(('2018'!Tnet_s-t)/'2018'!Tau_j)),Resal_s+(Salim-Resal_s)*(1-EXP((Tnet_s-t)/Tau_j)))*Salcycl</f>
        <v>3.2293278572555366E-2</v>
      </c>
      <c r="AD79" s="231">
        <f>(INDEX(Models!$BJ79:$BT79,,AH79)*(1-AF79)+INDEX(Models!$BJ79:$BT79,,AH79+1)*AF79-ERP_i)*AE79*Ramure*Pc/MaxiM</f>
        <v>1.3916720483895457E-4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0.50884795219165624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-1.4911520478083438</v>
      </c>
      <c r="AJ79" s="265" t="b">
        <f t="shared" ref="AJ79:AJ142" si="43">t&lt;Tnet</f>
        <v>1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20">
        <v>41.359000000000002</v>
      </c>
      <c r="C80" s="390"/>
      <c r="D80" s="393">
        <f t="shared" si="24"/>
        <v>41.620717501948128</v>
      </c>
      <c r="E80" s="385">
        <f t="shared" ref="E80:E143" si="46">Wh_pvt/(1-Psa)</f>
        <v>43.014033443468158</v>
      </c>
      <c r="F80" s="385">
        <f t="shared" si="25"/>
        <v>43.018931785268983</v>
      </c>
      <c r="G80" s="110">
        <f t="shared" ref="G80:G143" si="47">+Wh_hp/MaxiM</f>
        <v>0.89092532208950526</v>
      </c>
      <c r="H80" s="414" t="b">
        <f>Wh_hp&gt;='2018'!Maxi_hp</f>
        <v>1</v>
      </c>
      <c r="I80" s="390">
        <f>IF(H80,Wh_hp,'2018'!Maxi_hp)</f>
        <v>43.018931785268983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6.2881544974777714E-3</v>
      </c>
      <c r="M80" s="959"/>
      <c r="N80" s="959"/>
      <c r="O80" s="48">
        <f>IF(t&lt;Tnet,'2018'!Resal+('2018'!Salim-'2018'!Resal)*(1-EXP(('2018'!Tnet-t)/('2018'!Tau_j))),Resal+(Salim-Resal)*(1-EXP((Tnet-t)/(Tau_j))))*Salcycl</f>
        <v>3.2392124848073522E-2</v>
      </c>
      <c r="P80" s="169">
        <f>(INDEX(Models!$BJ80:$BT80,,T80)*(1-R80)+INDEX(Models!$BJ80:$BT80,,T80+1)*R80-ERP_i)*Q80*Ramure*Pc/MaxiM</f>
        <v>1.3487800796441738E-4</v>
      </c>
      <c r="Q80" s="305">
        <f t="shared" si="27"/>
        <v>0.7</v>
      </c>
      <c r="R80" s="177">
        <f t="shared" si="28"/>
        <v>0.50923888289609187</v>
      </c>
      <c r="S80" s="921">
        <f t="shared" si="29"/>
        <v>-2</v>
      </c>
      <c r="T80" s="176">
        <f t="shared" si="30"/>
        <v>4</v>
      </c>
      <c r="U80" s="251">
        <f t="shared" si="31"/>
        <v>-1.4907611171039081</v>
      </c>
      <c r="V80" s="383">
        <f t="shared" si="32"/>
        <v>46.421545992778896</v>
      </c>
      <c r="W80" s="58"/>
      <c r="X80" s="157">
        <f t="shared" si="33"/>
        <v>43531</v>
      </c>
      <c r="Y80" s="385">
        <f t="shared" si="34"/>
        <v>41.359000000000002</v>
      </c>
      <c r="Z80" s="385">
        <f t="shared" si="35"/>
        <v>41.620717501948128</v>
      </c>
      <c r="AA80" s="386">
        <f t="shared" si="36"/>
        <v>43.014033443468158</v>
      </c>
      <c r="AB80" s="197">
        <f t="shared" si="37"/>
        <v>43531</v>
      </c>
      <c r="AC80" s="427">
        <f>IF(OR(t&lt;Tnet,NoTnet),'2018'!Resal_s+('2018'!Salim-'2018'!Resal_s)*(1-EXP(('2018'!Tnet_s-t)/'2018'!Tau_j)),Resal_s+(Salim-Resal_s)*(1-EXP((Tnet_s-t)/Tau_j)))*Salcycl</f>
        <v>3.2392124848073522E-2</v>
      </c>
      <c r="AD80" s="231">
        <f>(INDEX(Models!$BJ80:$BT80,,AH80)*(1-AF80)+INDEX(Models!$BJ80:$BT80,,AH80+1)*AF80-ERP_i)*AE80*Ramure*Pc/MaxiM</f>
        <v>1.3487800796441738E-4</v>
      </c>
      <c r="AE80" s="305">
        <f t="shared" si="38"/>
        <v>0.7</v>
      </c>
      <c r="AF80" s="177">
        <f t="shared" si="39"/>
        <v>0.50923888289609187</v>
      </c>
      <c r="AG80" s="176">
        <f t="shared" si="40"/>
        <v>-2</v>
      </c>
      <c r="AH80" s="176">
        <f t="shared" si="41"/>
        <v>4</v>
      </c>
      <c r="AI80" s="225">
        <f t="shared" si="42"/>
        <v>-1.4907611171039081</v>
      </c>
      <c r="AJ80" s="265" t="b">
        <f t="shared" si="43"/>
        <v>1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20">
        <v>25.588999999999999</v>
      </c>
      <c r="C81" s="390"/>
      <c r="D81" s="393">
        <f t="shared" si="24"/>
        <v>25.751489823599339</v>
      </c>
      <c r="E81" s="385">
        <f t="shared" si="46"/>
        <v>26.616277009819246</v>
      </c>
      <c r="F81" s="385">
        <f t="shared" si="25"/>
        <v>26.617504891599626</v>
      </c>
      <c r="G81" s="110">
        <f t="shared" si="47"/>
        <v>0.54779003201369503</v>
      </c>
      <c r="H81" s="414" t="b">
        <f>Wh_hp&gt;='2018'!Maxi_hp</f>
        <v>1</v>
      </c>
      <c r="I81" s="390">
        <f>IF(H81,Wh_hp,'2018'!Maxi_hp)</f>
        <v>26.617504891599626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6.3099193371884965E-3</v>
      </c>
      <c r="M81" s="959"/>
      <c r="N81" s="959"/>
      <c r="O81" s="48">
        <f>IF(t&lt;Tnet,'2018'!Resal+('2018'!Salim-'2018'!Resal)*(1-EXP(('2018'!Tnet-t)/('2018'!Tau_j))),Resal+(Salim-Resal)*(1-EXP((Tnet-t)/(Tau_j))))*Salcycl</f>
        <v>3.24909147098549E-2</v>
      </c>
      <c r="P81" s="169">
        <f>(INDEX(Models!$BJ81:$BT81,,T81)*(1-R81)+INDEX(Models!$BJ81:$BT81,,T81+1)*R81-ERP_i)*Q81*Ramure*Pc/MaxiM</f>
        <v>1.3029345891604313E-4</v>
      </c>
      <c r="Q81" s="305">
        <f t="shared" si="27"/>
        <v>0.7</v>
      </c>
      <c r="R81" s="177">
        <f t="shared" si="28"/>
        <v>0.50964555272430201</v>
      </c>
      <c r="S81" s="921">
        <f t="shared" si="29"/>
        <v>-2</v>
      </c>
      <c r="T81" s="176">
        <f t="shared" si="30"/>
        <v>4</v>
      </c>
      <c r="U81" s="251">
        <f t="shared" si="31"/>
        <v>-1.490354447275698</v>
      </c>
      <c r="V81" s="383">
        <f t="shared" si="32"/>
        <v>46.709222078190955</v>
      </c>
      <c r="W81" s="58"/>
      <c r="X81" s="157">
        <f t="shared" si="33"/>
        <v>43532</v>
      </c>
      <c r="Y81" s="385">
        <f t="shared" si="34"/>
        <v>25.588999999999999</v>
      </c>
      <c r="Z81" s="385">
        <f t="shared" si="35"/>
        <v>25.751489823599339</v>
      </c>
      <c r="AA81" s="386">
        <f t="shared" si="36"/>
        <v>26.616277009819246</v>
      </c>
      <c r="AB81" s="197">
        <f t="shared" si="37"/>
        <v>43532</v>
      </c>
      <c r="AC81" s="427">
        <f>IF(OR(t&lt;Tnet,NoTnet),'2018'!Resal_s+('2018'!Salim-'2018'!Resal_s)*(1-EXP(('2018'!Tnet_s-t)/'2018'!Tau_j)),Resal_s+(Salim-Resal_s)*(1-EXP((Tnet_s-t)/Tau_j)))*Salcycl</f>
        <v>3.24909147098549E-2</v>
      </c>
      <c r="AD81" s="231">
        <f>(INDEX(Models!$BJ81:$BT81,,AH81)*(1-AF81)+INDEX(Models!$BJ81:$BT81,,AH81+1)*AF81-ERP_i)*AE81*Ramure*Pc/MaxiM</f>
        <v>1.3029345891604313E-4</v>
      </c>
      <c r="AE81" s="305">
        <f t="shared" si="38"/>
        <v>0.7</v>
      </c>
      <c r="AF81" s="177">
        <f t="shared" si="39"/>
        <v>0.50964555272430201</v>
      </c>
      <c r="AG81" s="176">
        <f t="shared" si="40"/>
        <v>-2</v>
      </c>
      <c r="AH81" s="176">
        <f t="shared" si="41"/>
        <v>4</v>
      </c>
      <c r="AI81" s="225">
        <f t="shared" si="42"/>
        <v>-1.490354447275698</v>
      </c>
      <c r="AJ81" s="265" t="b">
        <f t="shared" si="43"/>
        <v>1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20">
        <v>19.140999999999998</v>
      </c>
      <c r="C82" s="390"/>
      <c r="D82" s="393">
        <f t="shared" si="24"/>
        <v>19.262967014261559</v>
      </c>
      <c r="E82" s="385">
        <f t="shared" si="46"/>
        <v>19.911888615885371</v>
      </c>
      <c r="F82" s="385">
        <f t="shared" si="25"/>
        <v>19.912271394138404</v>
      </c>
      <c r="G82" s="110">
        <f t="shared" si="47"/>
        <v>0.40724748512774644</v>
      </c>
      <c r="H82" s="414" t="b">
        <f>Wh_hp&gt;='2018'!Maxi_hp</f>
        <v>1</v>
      </c>
      <c r="I82" s="390">
        <f>IF(H82,Wh_hp,'2018'!Maxi_hp)</f>
        <v>19.912271394138404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6.3316837001933246E-3</v>
      </c>
      <c r="M82" s="959"/>
      <c r="N82" s="959"/>
      <c r="O82" s="48">
        <f>IF(t&lt;Tnet,'2018'!Resal+('2018'!Salim-'2018'!Resal)*(1-EXP(('2018'!Tnet-t)/('2018'!Tau_j))),Resal+(Salim-Resal)*(1-EXP((Tnet-t)/(Tau_j))))*Salcycl</f>
        <v>3.2589656066382082E-2</v>
      </c>
      <c r="P82" s="169">
        <f>(INDEX(Models!$BJ82:$BT82,,T82)*(1-R82)+INDEX(Models!$BJ82:$BT82,,T82+1)*R82-ERP_i)*Q82*Ramure*Pc/MaxiM</f>
        <v>1.2541868964597561E-4</v>
      </c>
      <c r="Q82" s="305">
        <f t="shared" si="27"/>
        <v>0.7</v>
      </c>
      <c r="R82" s="177">
        <f t="shared" si="28"/>
        <v>0.51006856710588888</v>
      </c>
      <c r="S82" s="921">
        <f t="shared" si="29"/>
        <v>-2</v>
      </c>
      <c r="T82" s="176">
        <f t="shared" si="30"/>
        <v>4</v>
      </c>
      <c r="U82" s="251">
        <f t="shared" si="31"/>
        <v>-1.4899314328941111</v>
      </c>
      <c r="V82" s="383">
        <f t="shared" si="32"/>
        <v>46.995912737692841</v>
      </c>
      <c r="W82" s="58"/>
      <c r="X82" s="157">
        <f t="shared" si="33"/>
        <v>43533</v>
      </c>
      <c r="Y82" s="385">
        <f t="shared" si="34"/>
        <v>19.140999999999998</v>
      </c>
      <c r="Z82" s="385">
        <f t="shared" si="35"/>
        <v>19.262967014261559</v>
      </c>
      <c r="AA82" s="386">
        <f t="shared" si="36"/>
        <v>19.911888615885371</v>
      </c>
      <c r="AB82" s="197">
        <f t="shared" si="37"/>
        <v>43533</v>
      </c>
      <c r="AC82" s="427">
        <f>IF(OR(t&lt;Tnet,NoTnet),'2018'!Resal_s+('2018'!Salim-'2018'!Resal_s)*(1-EXP(('2018'!Tnet_s-t)/'2018'!Tau_j)),Resal_s+(Salim-Resal_s)*(1-EXP((Tnet_s-t)/Tau_j)))*Salcycl</f>
        <v>3.2589656066382082E-2</v>
      </c>
      <c r="AD82" s="231">
        <f>(INDEX(Models!$BJ82:$BT82,,AH82)*(1-AF82)+INDEX(Models!$BJ82:$BT82,,AH82+1)*AF82-ERP_i)*AE82*Ramure*Pc/MaxiM</f>
        <v>1.2541868964597561E-4</v>
      </c>
      <c r="AE82" s="305">
        <f t="shared" si="38"/>
        <v>0.7</v>
      </c>
      <c r="AF82" s="177">
        <f t="shared" si="39"/>
        <v>0.51006856710588888</v>
      </c>
      <c r="AG82" s="176">
        <f t="shared" si="40"/>
        <v>-2</v>
      </c>
      <c r="AH82" s="176">
        <f t="shared" si="41"/>
        <v>4</v>
      </c>
      <c r="AI82" s="225">
        <f t="shared" si="42"/>
        <v>-1.4899314328941111</v>
      </c>
      <c r="AJ82" s="265" t="b">
        <f t="shared" si="43"/>
        <v>1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20">
        <v>12.946</v>
      </c>
      <c r="C83" s="390"/>
      <c r="D83" s="393">
        <f t="shared" si="24"/>
        <v>13.028777655953299</v>
      </c>
      <c r="E83" s="385">
        <f t="shared" si="46"/>
        <v>13.469059073970994</v>
      </c>
      <c r="F83" s="385">
        <f t="shared" si="25"/>
        <v>13.469059073970994</v>
      </c>
      <c r="G83" s="110">
        <f t="shared" si="47"/>
        <v>0.27377506727541695</v>
      </c>
      <c r="H83" s="414" t="b">
        <f>Wh_hp&gt;='2018'!Maxi_hp</f>
        <v>1</v>
      </c>
      <c r="I83" s="390">
        <f>IF(H83,Wh_hp,'2018'!Maxi_hp)</f>
        <v>13.469059073970994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6.3534475865028028E-3</v>
      </c>
      <c r="M83" s="959"/>
      <c r="N83" s="959"/>
      <c r="O83" s="48">
        <f>IF(t&lt;Tnet,'2018'!Resal+('2018'!Salim-'2018'!Resal)*(1-EXP(('2018'!Tnet-t)/('2018'!Tau_j))),Resal+(Salim-Resal)*(1-EXP((Tnet-t)/(Tau_j))))*Salcycl</f>
        <v>3.2688357486570188E-2</v>
      </c>
      <c r="P83" s="169">
        <f>(INDEX(Models!$BJ83:$BT83,,T83)*(1-R83)+INDEX(Models!$BJ83:$BT83,,T83+1)*R83-ERP_i)*Q83*Ramure*Pc/MaxiM</f>
        <v>1.2025842237870456E-4</v>
      </c>
      <c r="Q83" s="305">
        <f t="shared" si="27"/>
        <v>0.7</v>
      </c>
      <c r="R83" s="177">
        <f t="shared" si="28"/>
        <v>0.51050855239722548</v>
      </c>
      <c r="S83" s="921">
        <f t="shared" si="29"/>
        <v>-2</v>
      </c>
      <c r="T83" s="176">
        <f t="shared" si="30"/>
        <v>4</v>
      </c>
      <c r="U83" s="251">
        <f t="shared" si="31"/>
        <v>-1.4894914476027745</v>
      </c>
      <c r="V83" s="383">
        <f t="shared" si="32"/>
        <v>47.281307473634222</v>
      </c>
      <c r="W83" s="58"/>
      <c r="X83" s="157">
        <f t="shared" si="33"/>
        <v>43534</v>
      </c>
      <c r="Y83" s="385">
        <f t="shared" si="34"/>
        <v>12.946</v>
      </c>
      <c r="Z83" s="385">
        <f t="shared" si="35"/>
        <v>13.028777655953299</v>
      </c>
      <c r="AA83" s="386">
        <f t="shared" si="36"/>
        <v>13.469059073970994</v>
      </c>
      <c r="AB83" s="197">
        <f t="shared" si="37"/>
        <v>43534</v>
      </c>
      <c r="AC83" s="427">
        <f>IF(OR(t&lt;Tnet,NoTnet),'2018'!Resal_s+('2018'!Salim-'2018'!Resal_s)*(1-EXP(('2018'!Tnet_s-t)/'2018'!Tau_j)),Resal_s+(Salim-Resal_s)*(1-EXP((Tnet_s-t)/Tau_j)))*Salcycl</f>
        <v>3.2688357486570188E-2</v>
      </c>
      <c r="AD83" s="231">
        <f>(INDEX(Models!$BJ83:$BT83,,AH83)*(1-AF83)+INDEX(Models!$BJ83:$BT83,,AH83+1)*AF83-ERP_i)*AE83*Ramure*Pc/MaxiM</f>
        <v>1.2025842237870456E-4</v>
      </c>
      <c r="AE83" s="305">
        <f t="shared" si="38"/>
        <v>0.7</v>
      </c>
      <c r="AF83" s="177">
        <f t="shared" si="39"/>
        <v>0.51050855239722548</v>
      </c>
      <c r="AG83" s="176">
        <f t="shared" si="40"/>
        <v>-2</v>
      </c>
      <c r="AH83" s="176">
        <f t="shared" si="41"/>
        <v>4</v>
      </c>
      <c r="AI83" s="225">
        <f t="shared" si="42"/>
        <v>-1.4894914476027745</v>
      </c>
      <c r="AJ83" s="265" t="b">
        <f t="shared" si="43"/>
        <v>1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20">
        <v>33.837000000000003</v>
      </c>
      <c r="C84" s="390"/>
      <c r="D84" s="393">
        <f t="shared" si="24"/>
        <v>34.054102086082437</v>
      </c>
      <c r="E84" s="385">
        <f t="shared" si="46"/>
        <v>35.208483631156255</v>
      </c>
      <c r="F84" s="385">
        <f t="shared" si="25"/>
        <v>35.210859546129591</v>
      </c>
      <c r="G84" s="110">
        <f t="shared" si="47"/>
        <v>0.71134930766101345</v>
      </c>
      <c r="H84" s="414" t="b">
        <f>Wh_hp&gt;='2018'!Maxi_hp</f>
        <v>1</v>
      </c>
      <c r="I84" s="390">
        <f>IF(H84,Wh_hp,'2018'!Maxi_hp)</f>
        <v>35.210859546129591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6.3752109961273673E-3</v>
      </c>
      <c r="M84" s="959"/>
      <c r="N84" s="959"/>
      <c r="O84" s="48">
        <f>IF(t&lt;Tnet,'2018'!Resal+('2018'!Salim-'2018'!Resal)*(1-EXP(('2018'!Tnet-t)/('2018'!Tau_j))),Resal+(Salim-Resal)*(1-EXP((Tnet-t)/(Tau_j))))*Salcycl</f>
        <v>3.2787028182386518E-2</v>
      </c>
      <c r="P84" s="169">
        <f>(INDEX(Models!$BJ84:$BT84,,T84)*(1-R84)+INDEX(Models!$BJ84:$BT84,,T84+1)*R84-ERP_i)*Q84*Ramure*Pc/MaxiM</f>
        <v>1.1481694323106153E-4</v>
      </c>
      <c r="Q84" s="305">
        <f t="shared" si="27"/>
        <v>0.7</v>
      </c>
      <c r="R84" s="177">
        <f t="shared" si="28"/>
        <v>0.5109661564048904</v>
      </c>
      <c r="S84" s="921">
        <f t="shared" si="29"/>
        <v>-2</v>
      </c>
      <c r="T84" s="176">
        <f t="shared" si="30"/>
        <v>4</v>
      </c>
      <c r="U84" s="251">
        <f t="shared" si="31"/>
        <v>-1.4890338435951096</v>
      </c>
      <c r="V84" s="383">
        <f t="shared" si="32"/>
        <v>47.565095907134058</v>
      </c>
      <c r="W84" s="58"/>
      <c r="X84" s="157">
        <f t="shared" si="33"/>
        <v>43535</v>
      </c>
      <c r="Y84" s="385">
        <f t="shared" si="34"/>
        <v>33.837000000000003</v>
      </c>
      <c r="Z84" s="385">
        <f t="shared" si="35"/>
        <v>34.054102086082437</v>
      </c>
      <c r="AA84" s="386">
        <f t="shared" si="36"/>
        <v>35.208483631156255</v>
      </c>
      <c r="AB84" s="197">
        <f t="shared" si="37"/>
        <v>43535</v>
      </c>
      <c r="AC84" s="427">
        <f>IF(OR(t&lt;Tnet,NoTnet),'2018'!Resal_s+('2018'!Salim-'2018'!Resal_s)*(1-EXP(('2018'!Tnet_s-t)/'2018'!Tau_j)),Resal_s+(Salim-Resal_s)*(1-EXP((Tnet_s-t)/Tau_j)))*Salcycl</f>
        <v>3.2787028182386518E-2</v>
      </c>
      <c r="AD84" s="231">
        <f>(INDEX(Models!$BJ84:$BT84,,AH84)*(1-AF84)+INDEX(Models!$BJ84:$BT84,,AH84+1)*AF84-ERP_i)*AE84*Ramure*Pc/MaxiM</f>
        <v>1.1481694323106153E-4</v>
      </c>
      <c r="AE84" s="305">
        <f t="shared" si="38"/>
        <v>0.7</v>
      </c>
      <c r="AF84" s="177">
        <f t="shared" si="39"/>
        <v>0.5109661564048904</v>
      </c>
      <c r="AG84" s="176">
        <f t="shared" si="40"/>
        <v>-2</v>
      </c>
      <c r="AH84" s="176">
        <f t="shared" si="41"/>
        <v>4</v>
      </c>
      <c r="AI84" s="225">
        <f t="shared" si="42"/>
        <v>-1.4890338435951096</v>
      </c>
      <c r="AJ84" s="265" t="b">
        <f t="shared" si="43"/>
        <v>1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20">
        <v>42.215000000000003</v>
      </c>
      <c r="C85" s="390"/>
      <c r="D85" s="393">
        <f t="shared" si="24"/>
        <v>42.48678686792438</v>
      </c>
      <c r="E85" s="385">
        <f t="shared" si="46"/>
        <v>43.931504167508336</v>
      </c>
      <c r="F85" s="385">
        <f t="shared" si="25"/>
        <v>43.935491435363161</v>
      </c>
      <c r="G85" s="110">
        <f t="shared" si="47"/>
        <v>0.88227587751403713</v>
      </c>
      <c r="H85" s="414" t="b">
        <f>Wh_hp&gt;='2018'!Maxi_hp</f>
        <v>1</v>
      </c>
      <c r="I85" s="390">
        <f>IF(H85,Wh_hp,'2018'!Maxi_hp)</f>
        <v>43.935491435363161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6.3969739290773431E-3</v>
      </c>
      <c r="M85" s="959"/>
      <c r="N85" s="959"/>
      <c r="O85" s="48">
        <f>IF(t&lt;Tnet,'2018'!Resal+('2018'!Salim-'2018'!Resal)*(1-EXP(('2018'!Tnet-t)/('2018'!Tau_j))),Resal+(Salim-Resal)*(1-EXP((Tnet-t)/(Tau_j))))*Salcycl</f>
        <v>3.2885677988063716E-2</v>
      </c>
      <c r="P85" s="169">
        <f>(INDEX(Models!$BJ85:$BT85,,T85)*(1-R85)+INDEX(Models!$BJ85:$BT85,,T85+1)*R85-ERP_i)*Q85*Ramure*Pc/MaxiM</f>
        <v>1.090980758648518E-4</v>
      </c>
      <c r="Q85" s="305">
        <f t="shared" si="27"/>
        <v>0.7</v>
      </c>
      <c r="R85" s="177">
        <f t="shared" si="28"/>
        <v>0.51144204890424572</v>
      </c>
      <c r="S85" s="921">
        <f t="shared" si="29"/>
        <v>-2</v>
      </c>
      <c r="T85" s="176">
        <f t="shared" si="30"/>
        <v>4</v>
      </c>
      <c r="U85" s="251">
        <f t="shared" si="31"/>
        <v>-1.4885579510957543</v>
      </c>
      <c r="V85" s="383">
        <f t="shared" si="32"/>
        <v>47.846967778222499</v>
      </c>
      <c r="W85" s="58"/>
      <c r="X85" s="157">
        <f t="shared" si="33"/>
        <v>43536</v>
      </c>
      <c r="Y85" s="385">
        <f t="shared" si="34"/>
        <v>42.215000000000003</v>
      </c>
      <c r="Z85" s="385">
        <f t="shared" si="35"/>
        <v>42.48678686792438</v>
      </c>
      <c r="AA85" s="386">
        <f t="shared" si="36"/>
        <v>43.931504167508336</v>
      </c>
      <c r="AB85" s="197">
        <f t="shared" si="37"/>
        <v>43536</v>
      </c>
      <c r="AC85" s="427">
        <f>IF(OR(t&lt;Tnet,NoTnet),'2018'!Resal_s+('2018'!Salim-'2018'!Resal_s)*(1-EXP(('2018'!Tnet_s-t)/'2018'!Tau_j)),Resal_s+(Salim-Resal_s)*(1-EXP((Tnet_s-t)/Tau_j)))*Salcycl</f>
        <v>3.2885677988063716E-2</v>
      </c>
      <c r="AD85" s="231">
        <f>(INDEX(Models!$BJ85:$BT85,,AH85)*(1-AF85)+INDEX(Models!$BJ85:$BT85,,AH85+1)*AF85-ERP_i)*AE85*Ramure*Pc/MaxiM</f>
        <v>1.090980758648518E-4</v>
      </c>
      <c r="AE85" s="305">
        <f t="shared" si="38"/>
        <v>0.7</v>
      </c>
      <c r="AF85" s="177">
        <f t="shared" si="39"/>
        <v>0.51144204890424572</v>
      </c>
      <c r="AG85" s="176">
        <f t="shared" si="40"/>
        <v>-2</v>
      </c>
      <c r="AH85" s="176">
        <f t="shared" si="41"/>
        <v>4</v>
      </c>
      <c r="AI85" s="225">
        <f t="shared" si="42"/>
        <v>-1.4885579510957543</v>
      </c>
      <c r="AJ85" s="265" t="b">
        <f t="shared" si="43"/>
        <v>1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20">
        <v>25.216000000000001</v>
      </c>
      <c r="C86" s="390"/>
      <c r="D86" s="393">
        <f t="shared" si="24"/>
        <v>25.378900471879366</v>
      </c>
      <c r="E86" s="385">
        <f t="shared" si="46"/>
        <v>26.244559345685193</v>
      </c>
      <c r="F86" s="385">
        <f t="shared" si="25"/>
        <v>26.245426921658471</v>
      </c>
      <c r="G86" s="110">
        <f t="shared" si="47"/>
        <v>0.52391456710441264</v>
      </c>
      <c r="H86" s="414" t="b">
        <f>Wh_hp&gt;='2018'!Maxi_hp</f>
        <v>1</v>
      </c>
      <c r="I86" s="390">
        <f>IF(H86,Wh_hp,'2018'!Maxi_hp)</f>
        <v>26.245426921658471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6.4187363853632773E-3</v>
      </c>
      <c r="M86" s="959"/>
      <c r="N86" s="959"/>
      <c r="O86" s="48">
        <f>IF(t&lt;Tnet,'2018'!Resal+('2018'!Salim-'2018'!Resal)*(1-EXP(('2018'!Tnet-t)/('2018'!Tau_j))),Resal+(Salim-Resal)*(1-EXP((Tnet-t)/(Tau_j))))*Salcycl</f>
        <v>3.2984317336162319E-2</v>
      </c>
      <c r="P86" s="169">
        <f>(INDEX(Models!$BJ86:$BT86,,T86)*(1-R86)+INDEX(Models!$BJ86:$BT86,,T86+1)*R86-ERP_i)*Q86*Ramure*Pc/MaxiM</f>
        <v>1.0332327472634419E-4</v>
      </c>
      <c r="Q86" s="305">
        <f t="shared" si="27"/>
        <v>0.7</v>
      </c>
      <c r="R86" s="177">
        <f t="shared" si="28"/>
        <v>0.51193692215109143</v>
      </c>
      <c r="S86" s="921">
        <f t="shared" si="29"/>
        <v>-2</v>
      </c>
      <c r="T86" s="176">
        <f t="shared" si="30"/>
        <v>4</v>
      </c>
      <c r="U86" s="251">
        <f t="shared" si="31"/>
        <v>-1.4880630778489086</v>
      </c>
      <c r="V86" s="383">
        <f t="shared" si="32"/>
        <v>48.126602449791314</v>
      </c>
      <c r="W86" s="58"/>
      <c r="X86" s="157">
        <f t="shared" si="33"/>
        <v>43537</v>
      </c>
      <c r="Y86" s="385">
        <f t="shared" si="34"/>
        <v>25.216000000000001</v>
      </c>
      <c r="Z86" s="385">
        <f t="shared" si="35"/>
        <v>25.378900471879366</v>
      </c>
      <c r="AA86" s="386">
        <f t="shared" si="36"/>
        <v>26.244559345685193</v>
      </c>
      <c r="AB86" s="197">
        <f t="shared" si="37"/>
        <v>43537</v>
      </c>
      <c r="AC86" s="427">
        <f>IF(OR(t&lt;Tnet,NoTnet),'2018'!Resal_s+('2018'!Salim-'2018'!Resal_s)*(1-EXP(('2018'!Tnet_s-t)/'2018'!Tau_j)),Resal_s+(Salim-Resal_s)*(1-EXP((Tnet_s-t)/Tau_j)))*Salcycl</f>
        <v>3.2984317336162319E-2</v>
      </c>
      <c r="AD86" s="231">
        <f>(INDEX(Models!$BJ86:$BT86,,AH86)*(1-AF86)+INDEX(Models!$BJ86:$BT86,,AH86+1)*AF86-ERP_i)*AE86*Ramure*Pc/MaxiM</f>
        <v>1.0332327472634419E-4</v>
      </c>
      <c r="AE86" s="305">
        <f t="shared" si="38"/>
        <v>0.7</v>
      </c>
      <c r="AF86" s="177">
        <f t="shared" si="39"/>
        <v>0.51193692215109143</v>
      </c>
      <c r="AG86" s="176">
        <f t="shared" si="40"/>
        <v>-2</v>
      </c>
      <c r="AH86" s="176">
        <f t="shared" si="41"/>
        <v>4</v>
      </c>
      <c r="AI86" s="225">
        <f t="shared" si="42"/>
        <v>-1.4880630778489086</v>
      </c>
      <c r="AJ86" s="265" t="b">
        <f t="shared" si="43"/>
        <v>1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20">
        <v>22.28</v>
      </c>
      <c r="C87" s="390"/>
      <c r="D87" s="393">
        <f t="shared" si="24"/>
        <v>22.424424469129395</v>
      </c>
      <c r="E87" s="385">
        <f t="shared" si="46"/>
        <v>23.19167361545934</v>
      </c>
      <c r="F87" s="385">
        <f t="shared" si="25"/>
        <v>23.19219324360332</v>
      </c>
      <c r="G87" s="110">
        <f t="shared" si="47"/>
        <v>0.46026092395326851</v>
      </c>
      <c r="H87" s="414" t="b">
        <f>Wh_hp&gt;='2018'!Maxi_hp</f>
        <v>1</v>
      </c>
      <c r="I87" s="390">
        <f>IF(H87,Wh_hp,'2018'!Maxi_hp)</f>
        <v>23.19219324360332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6.440498364995495E-3</v>
      </c>
      <c r="M87" s="959"/>
      <c r="N87" s="959"/>
      <c r="O87" s="48">
        <f>IF(t&lt;Tnet,'2018'!Resal+('2018'!Salim-'2018'!Resal)*(1-EXP(('2018'!Tnet-t)/('2018'!Tau_j))),Resal+(Salim-Resal)*(1-EXP((Tnet-t)/(Tau_j))))*Salcycl</f>
        <v>3.308295723075827E-2</v>
      </c>
      <c r="P87" s="169">
        <f>(INDEX(Models!$BJ87:$BT87,,T87)*(1-R87)+INDEX(Models!$BJ87:$BT87,,T87+1)*R87-ERP_i)*Q87*Ramure*Pc/MaxiM</f>
        <v>9.7842412468171193E-5</v>
      </c>
      <c r="Q87" s="305">
        <f t="shared" si="27"/>
        <v>0.7</v>
      </c>
      <c r="R87" s="177">
        <f t="shared" si="28"/>
        <v>0.51245149138412915</v>
      </c>
      <c r="S87" s="921">
        <f t="shared" si="29"/>
        <v>-2</v>
      </c>
      <c r="T87" s="176">
        <f t="shared" si="30"/>
        <v>4</v>
      </c>
      <c r="U87" s="251">
        <f t="shared" si="31"/>
        <v>-1.4875485086158708</v>
      </c>
      <c r="V87" s="383">
        <f t="shared" si="32"/>
        <v>48.403672925818007</v>
      </c>
      <c r="W87" s="58"/>
      <c r="X87" s="157">
        <f t="shared" si="33"/>
        <v>43538</v>
      </c>
      <c r="Y87" s="385">
        <f t="shared" si="34"/>
        <v>22.28</v>
      </c>
      <c r="Z87" s="385">
        <f t="shared" si="35"/>
        <v>22.424424469129395</v>
      </c>
      <c r="AA87" s="386">
        <f t="shared" si="36"/>
        <v>23.19167361545934</v>
      </c>
      <c r="AB87" s="197">
        <f t="shared" si="37"/>
        <v>43538</v>
      </c>
      <c r="AC87" s="427">
        <f>IF(OR(t&lt;Tnet,NoTnet),'2018'!Resal_s+('2018'!Salim-'2018'!Resal_s)*(1-EXP(('2018'!Tnet_s-t)/'2018'!Tau_j)),Resal_s+(Salim-Resal_s)*(1-EXP((Tnet_s-t)/Tau_j)))*Salcycl</f>
        <v>3.308295723075827E-2</v>
      </c>
      <c r="AD87" s="231">
        <f>(INDEX(Models!$BJ87:$BT87,,AH87)*(1-AF87)+INDEX(Models!$BJ87:$BT87,,AH87+1)*AF87-ERP_i)*AE87*Ramure*Pc/MaxiM</f>
        <v>9.7842412468171193E-5</v>
      </c>
      <c r="AE87" s="305">
        <f t="shared" si="38"/>
        <v>0.7</v>
      </c>
      <c r="AF87" s="177">
        <f t="shared" si="39"/>
        <v>0.51245149138412915</v>
      </c>
      <c r="AG87" s="176">
        <f t="shared" si="40"/>
        <v>-2</v>
      </c>
      <c r="AH87" s="176">
        <f t="shared" si="41"/>
        <v>4</v>
      </c>
      <c r="AI87" s="225">
        <f t="shared" si="42"/>
        <v>-1.4875485086158708</v>
      </c>
      <c r="AJ87" s="265" t="b">
        <f t="shared" si="43"/>
        <v>1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20">
        <v>12.247999999999999</v>
      </c>
      <c r="C88" s="390"/>
      <c r="D88" s="393">
        <f t="shared" si="24"/>
        <v>12.327664572029802</v>
      </c>
      <c r="E88" s="385">
        <f t="shared" si="46"/>
        <v>12.750755146537204</v>
      </c>
      <c r="F88" s="385">
        <f t="shared" si="25"/>
        <v>12.750755146537204</v>
      </c>
      <c r="G88" s="110">
        <f t="shared" si="47"/>
        <v>0.25159000211522387</v>
      </c>
      <c r="H88" s="414" t="b">
        <f>Wh_hp&gt;='2018'!Maxi_hp</f>
        <v>1</v>
      </c>
      <c r="I88" s="390">
        <f>IF(H88,Wh_hp,'2018'!Maxi_hp)</f>
        <v>12.750755146537204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6.4622598679845433E-3</v>
      </c>
      <c r="M88" s="959"/>
      <c r="N88" s="959"/>
      <c r="O88" s="48">
        <f>IF(t&lt;Tnet,'2018'!Resal+('2018'!Salim-'2018'!Resal)*(1-EXP(('2018'!Tnet-t)/('2018'!Tau_j))),Resal+(Salim-Resal)*(1-EXP((Tnet-t)/(Tau_j))))*Salcycl</f>
        <v>3.3181609218047206E-2</v>
      </c>
      <c r="P88" s="169">
        <f>(INDEX(Models!$BJ88:$BT88,,T88)*(1-R88)+INDEX(Models!$BJ88:$BT88,,T88+1)*R88-ERP_i)*Q88*Ramure*Pc/MaxiM</f>
        <v>9.2650499862275394E-5</v>
      </c>
      <c r="Q88" s="305">
        <f t="shared" si="27"/>
        <v>0.7</v>
      </c>
      <c r="R88" s="177">
        <f t="shared" si="28"/>
        <v>0.51298649531576079</v>
      </c>
      <c r="S88" s="921">
        <f t="shared" si="29"/>
        <v>-2</v>
      </c>
      <c r="T88" s="176">
        <f t="shared" si="30"/>
        <v>4</v>
      </c>
      <c r="U88" s="251">
        <f t="shared" si="31"/>
        <v>-1.4870135046842392</v>
      </c>
      <c r="V88" s="383">
        <f t="shared" si="32"/>
        <v>48.677869206697778</v>
      </c>
      <c r="W88" s="58"/>
      <c r="X88" s="157">
        <f t="shared" si="33"/>
        <v>43539</v>
      </c>
      <c r="Y88" s="385">
        <f t="shared" si="34"/>
        <v>12.247999999999999</v>
      </c>
      <c r="Z88" s="385">
        <f t="shared" si="35"/>
        <v>12.327664572029802</v>
      </c>
      <c r="AA88" s="386">
        <f t="shared" si="36"/>
        <v>12.750755146537204</v>
      </c>
      <c r="AB88" s="197">
        <f t="shared" si="37"/>
        <v>43539</v>
      </c>
      <c r="AC88" s="427">
        <f>IF(OR(t&lt;Tnet,NoTnet),'2018'!Resal_s+('2018'!Salim-'2018'!Resal_s)*(1-EXP(('2018'!Tnet_s-t)/'2018'!Tau_j)),Resal_s+(Salim-Resal_s)*(1-EXP((Tnet_s-t)/Tau_j)))*Salcycl</f>
        <v>3.3181609218047206E-2</v>
      </c>
      <c r="AD88" s="231">
        <f>(INDEX(Models!$BJ88:$BT88,,AH88)*(1-AF88)+INDEX(Models!$BJ88:$BT88,,AH88+1)*AF88-ERP_i)*AE88*Ramure*Pc/MaxiM</f>
        <v>9.2650499862275394E-5</v>
      </c>
      <c r="AE88" s="305">
        <f t="shared" si="38"/>
        <v>0.7</v>
      </c>
      <c r="AF88" s="177">
        <f t="shared" si="39"/>
        <v>0.51298649531576079</v>
      </c>
      <c r="AG88" s="176">
        <f t="shared" si="40"/>
        <v>-2</v>
      </c>
      <c r="AH88" s="176">
        <f t="shared" si="41"/>
        <v>4</v>
      </c>
      <c r="AI88" s="225">
        <f t="shared" si="42"/>
        <v>-1.4870135046842392</v>
      </c>
      <c r="AJ88" s="265" t="b">
        <f t="shared" si="43"/>
        <v>1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20">
        <v>48.792000000000002</v>
      </c>
      <c r="C89" s="390"/>
      <c r="D89" s="393">
        <f t="shared" si="24"/>
        <v>49.110433074183135</v>
      </c>
      <c r="E89" s="385">
        <f t="shared" si="46"/>
        <v>50.801108460067617</v>
      </c>
      <c r="F89" s="385">
        <f t="shared" si="25"/>
        <v>50.805545862360688</v>
      </c>
      <c r="G89" s="110">
        <f t="shared" si="47"/>
        <v>0.99679459458756658</v>
      </c>
      <c r="H89" s="414" t="b">
        <f>Wh_hp&gt;='2018'!Maxi_hp</f>
        <v>1</v>
      </c>
      <c r="I89" s="390">
        <f>IF(H89,Wh_hp,'2018'!Maxi_hp)</f>
        <v>50.805545862360688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6.4840208943408584E-3</v>
      </c>
      <c r="M89" s="959"/>
      <c r="N89" s="959"/>
      <c r="O89" s="48">
        <f>IF(t&lt;Tnet,'2018'!Resal+('2018'!Salim-'2018'!Resal)*(1-EXP(('2018'!Tnet-t)/('2018'!Tau_j))),Resal+(Salim-Resal)*(1-EXP((Tnet-t)/(Tau_j))))*Salcycl</f>
        <v>3.3280285354667836E-2</v>
      </c>
      <c r="P89" s="169">
        <f>(INDEX(Models!$BJ89:$BT89,,T89)*(1-R89)+INDEX(Models!$BJ89:$BT89,,T89+1)*R89-ERP_i)*Q89*Ramure*Pc/MaxiM</f>
        <v>8.7742640352131632E-5</v>
      </c>
      <c r="Q89" s="305">
        <f t="shared" si="27"/>
        <v>0.7</v>
      </c>
      <c r="R89" s="177">
        <f t="shared" si="28"/>
        <v>0.51354269660853258</v>
      </c>
      <c r="S89" s="921">
        <f t="shared" si="29"/>
        <v>-2</v>
      </c>
      <c r="T89" s="176">
        <f t="shared" si="30"/>
        <v>4</v>
      </c>
      <c r="U89" s="251">
        <f t="shared" si="31"/>
        <v>-1.4864573033914674</v>
      </c>
      <c r="V89" s="383">
        <f t="shared" si="32"/>
        <v>48.948881406149241</v>
      </c>
      <c r="W89" s="58"/>
      <c r="X89" s="157">
        <f t="shared" si="33"/>
        <v>43540</v>
      </c>
      <c r="Y89" s="385">
        <f t="shared" si="34"/>
        <v>48.792000000000002</v>
      </c>
      <c r="Z89" s="385">
        <f t="shared" si="35"/>
        <v>49.110433074183135</v>
      </c>
      <c r="AA89" s="386">
        <f t="shared" si="36"/>
        <v>50.801108460067617</v>
      </c>
      <c r="AB89" s="197">
        <f t="shared" si="37"/>
        <v>43540</v>
      </c>
      <c r="AC89" s="427">
        <f>IF(OR(t&lt;Tnet,NoTnet),'2018'!Resal_s+('2018'!Salim-'2018'!Resal_s)*(1-EXP(('2018'!Tnet_s-t)/'2018'!Tau_j)),Resal_s+(Salim-Resal_s)*(1-EXP((Tnet_s-t)/Tau_j)))*Salcycl</f>
        <v>3.3280285354667836E-2</v>
      </c>
      <c r="AD89" s="231">
        <f>(INDEX(Models!$BJ89:$BT89,,AH89)*(1-AF89)+INDEX(Models!$BJ89:$BT89,,AH89+1)*AF89-ERP_i)*AE89*Ramure*Pc/MaxiM</f>
        <v>8.7742640352131632E-5</v>
      </c>
      <c r="AE89" s="305">
        <f t="shared" si="38"/>
        <v>0.7</v>
      </c>
      <c r="AF89" s="177">
        <f t="shared" si="39"/>
        <v>0.51354269660853258</v>
      </c>
      <c r="AG89" s="176">
        <f t="shared" si="40"/>
        <v>-2</v>
      </c>
      <c r="AH89" s="176">
        <f t="shared" si="41"/>
        <v>4</v>
      </c>
      <c r="AI89" s="225">
        <f t="shared" si="42"/>
        <v>-1.4864573033914674</v>
      </c>
      <c r="AJ89" s="265" t="b">
        <f t="shared" si="43"/>
        <v>1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20">
        <v>15.459</v>
      </c>
      <c r="C90" s="390"/>
      <c r="D90" s="393">
        <f t="shared" si="24"/>
        <v>15.560231465131359</v>
      </c>
      <c r="E90" s="385">
        <f t="shared" si="46"/>
        <v>16.097551610960362</v>
      </c>
      <c r="F90" s="385">
        <f t="shared" si="25"/>
        <v>16.09757856579601</v>
      </c>
      <c r="G90" s="110">
        <f t="shared" si="47"/>
        <v>0.31407703732615566</v>
      </c>
      <c r="H90" s="414" t="b">
        <f>Wh_hp&gt;='2018'!Maxi_hp</f>
        <v>1</v>
      </c>
      <c r="I90" s="390">
        <f>IF(H90,Wh_hp,'2018'!Maxi_hp)</f>
        <v>16.09757856579601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6.5057814440747652E-3</v>
      </c>
      <c r="M90" s="959"/>
      <c r="N90" s="959"/>
      <c r="O90" s="48">
        <f>IF(t&lt;Tnet,'2018'!Resal+('2018'!Salim-'2018'!Resal)*(1-EXP(('2018'!Tnet-t)/('2018'!Tau_j))),Resal+(Salim-Resal)*(1-EXP((Tnet-t)/(Tau_j))))*Salcycl</f>
        <v>3.3378998174055097E-2</v>
      </c>
      <c r="P90" s="169">
        <f>(INDEX(Models!$BJ90:$BT90,,T90)*(1-R90)+INDEX(Models!$BJ90:$BT90,,T90+1)*R90-ERP_i)*Q90*Ramure*Pc/MaxiM</f>
        <v>8.3114049008156614E-5</v>
      </c>
      <c r="Q90" s="305">
        <f t="shared" si="27"/>
        <v>0.7</v>
      </c>
      <c r="R90" s="177">
        <f t="shared" si="28"/>
        <v>0.51412088233429687</v>
      </c>
      <c r="S90" s="921">
        <f t="shared" si="29"/>
        <v>-2</v>
      </c>
      <c r="T90" s="176">
        <f t="shared" si="30"/>
        <v>4</v>
      </c>
      <c r="U90" s="251">
        <f t="shared" si="31"/>
        <v>-1.4858791176657031</v>
      </c>
      <c r="V90" s="383">
        <f t="shared" si="32"/>
        <v>49.216399756452432</v>
      </c>
      <c r="W90" s="58"/>
      <c r="X90" s="157">
        <f t="shared" si="33"/>
        <v>43541</v>
      </c>
      <c r="Y90" s="385">
        <f t="shared" si="34"/>
        <v>15.459</v>
      </c>
      <c r="Z90" s="385">
        <f t="shared" si="35"/>
        <v>15.560231465131359</v>
      </c>
      <c r="AA90" s="386">
        <f t="shared" si="36"/>
        <v>16.097551610960362</v>
      </c>
      <c r="AB90" s="197">
        <f t="shared" si="37"/>
        <v>43541</v>
      </c>
      <c r="AC90" s="427">
        <f>IF(OR(t&lt;Tnet,NoTnet),'2018'!Resal_s+('2018'!Salim-'2018'!Resal_s)*(1-EXP(('2018'!Tnet_s-t)/'2018'!Tau_j)),Resal_s+(Salim-Resal_s)*(1-EXP((Tnet_s-t)/Tau_j)))*Salcycl</f>
        <v>3.3378998174055097E-2</v>
      </c>
      <c r="AD90" s="231">
        <f>(INDEX(Models!$BJ90:$BT90,,AH90)*(1-AF90)+INDEX(Models!$BJ90:$BT90,,AH90+1)*AF90-ERP_i)*AE90*Ramure*Pc/MaxiM</f>
        <v>8.3114049008156614E-5</v>
      </c>
      <c r="AE90" s="305">
        <f t="shared" si="38"/>
        <v>0.7</v>
      </c>
      <c r="AF90" s="177">
        <f t="shared" si="39"/>
        <v>0.51412088233429687</v>
      </c>
      <c r="AG90" s="176">
        <f t="shared" si="40"/>
        <v>-2</v>
      </c>
      <c r="AH90" s="176">
        <f t="shared" si="41"/>
        <v>4</v>
      </c>
      <c r="AI90" s="225">
        <f t="shared" si="42"/>
        <v>-1.4858791176657031</v>
      </c>
      <c r="AJ90" s="265" t="b">
        <f t="shared" si="43"/>
        <v>1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20">
        <v>36.746000000000002</v>
      </c>
      <c r="C91" s="390"/>
      <c r="D91" s="393">
        <f t="shared" si="24"/>
        <v>36.987437030833469</v>
      </c>
      <c r="E91" s="385">
        <f t="shared" si="46"/>
        <v>38.268583510040592</v>
      </c>
      <c r="F91" s="385">
        <f t="shared" si="25"/>
        <v>38.270489516966428</v>
      </c>
      <c r="G91" s="110">
        <f t="shared" si="47"/>
        <v>0.74262026688882465</v>
      </c>
      <c r="H91" s="414" t="b">
        <f>Wh_hp&gt;='2018'!Maxi_hp</f>
        <v>1</v>
      </c>
      <c r="I91" s="390">
        <f>IF(H91,Wh_hp,'2018'!Maxi_hp)</f>
        <v>38.270489516966428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6.527541517196811E-3</v>
      </c>
      <c r="M91" s="959"/>
      <c r="N91" s="959"/>
      <c r="O91" s="48">
        <f>IF(t&lt;Tnet,'2018'!Resal+('2018'!Salim-'2018'!Resal)*(1-EXP(('2018'!Tnet-t)/('2018'!Tau_j))),Resal+(Salim-Resal)*(1-EXP((Tnet-t)/(Tau_j))))*Salcycl</f>
        <v>3.3477760651135356E-2</v>
      </c>
      <c r="P91" s="169">
        <f>(INDEX(Models!$BJ91:$BT91,,T91)*(1-R91)+INDEX(Models!$BJ91:$BT91,,T91+1)*R91-ERP_i)*Q91*Ramure*Pc/MaxiM</f>
        <v>7.8760071375676092E-5</v>
      </c>
      <c r="Q91" s="305">
        <f t="shared" si="27"/>
        <v>0.7</v>
      </c>
      <c r="R91" s="177">
        <f t="shared" si="28"/>
        <v>0.51472186441292234</v>
      </c>
      <c r="S91" s="921">
        <f t="shared" si="29"/>
        <v>-2</v>
      </c>
      <c r="T91" s="176">
        <f t="shared" si="30"/>
        <v>4</v>
      </c>
      <c r="U91" s="251">
        <f t="shared" si="31"/>
        <v>-1.4852781355870777</v>
      </c>
      <c r="V91" s="383">
        <f t="shared" si="32"/>
        <v>49.480114601870063</v>
      </c>
      <c r="W91" s="58"/>
      <c r="X91" s="157">
        <f t="shared" si="33"/>
        <v>43542</v>
      </c>
      <c r="Y91" s="385">
        <f t="shared" si="34"/>
        <v>36.746000000000002</v>
      </c>
      <c r="Z91" s="385">
        <f t="shared" si="35"/>
        <v>36.987437030833469</v>
      </c>
      <c r="AA91" s="386">
        <f t="shared" si="36"/>
        <v>38.268583510040592</v>
      </c>
      <c r="AB91" s="197">
        <f t="shared" si="37"/>
        <v>43542</v>
      </c>
      <c r="AC91" s="427">
        <f>IF(OR(t&lt;Tnet,NoTnet),'2018'!Resal_s+('2018'!Salim-'2018'!Resal_s)*(1-EXP(('2018'!Tnet_s-t)/'2018'!Tau_j)),Resal_s+(Salim-Resal_s)*(1-EXP((Tnet_s-t)/Tau_j)))*Salcycl</f>
        <v>3.3477760651135356E-2</v>
      </c>
      <c r="AD91" s="231">
        <f>(INDEX(Models!$BJ91:$BT91,,AH91)*(1-AF91)+INDEX(Models!$BJ91:$BT91,,AH91+1)*AF91-ERP_i)*AE91*Ramure*Pc/MaxiM</f>
        <v>7.8760071375676092E-5</v>
      </c>
      <c r="AE91" s="305">
        <f t="shared" si="38"/>
        <v>0.7</v>
      </c>
      <c r="AF91" s="177">
        <f t="shared" si="39"/>
        <v>0.51472186441292234</v>
      </c>
      <c r="AG91" s="176">
        <f t="shared" si="40"/>
        <v>-2</v>
      </c>
      <c r="AH91" s="176">
        <f t="shared" si="41"/>
        <v>4</v>
      </c>
      <c r="AI91" s="225">
        <f t="shared" si="42"/>
        <v>-1.4852781355870777</v>
      </c>
      <c r="AJ91" s="265" t="b">
        <f t="shared" si="43"/>
        <v>1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20">
        <v>12.077999999999999</v>
      </c>
      <c r="C92" s="390"/>
      <c r="D92" s="393">
        <f t="shared" si="24"/>
        <v>12.157623940010469</v>
      </c>
      <c r="E92" s="385">
        <f t="shared" si="46"/>
        <v>12.580017998295995</v>
      </c>
      <c r="F92" s="385">
        <f t="shared" si="25"/>
        <v>12.580017998295995</v>
      </c>
      <c r="G92" s="110">
        <f t="shared" si="47"/>
        <v>0.24280592920846955</v>
      </c>
      <c r="H92" s="414" t="b">
        <f>Wh_hp&gt;='2018'!Maxi_hp</f>
        <v>1</v>
      </c>
      <c r="I92" s="390">
        <f>IF(H92,Wh_hp,'2018'!Maxi_hp)</f>
        <v>12.580017998295995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6.5493011137175428E-3</v>
      </c>
      <c r="M92" s="959"/>
      <c r="N92" s="959"/>
      <c r="O92" s="48">
        <f>IF(t&lt;Tnet,'2018'!Resal+('2018'!Salim-'2018'!Resal)*(1-EXP(('2018'!Tnet-t)/('2018'!Tau_j))),Resal+(Salim-Resal)*(1-EXP((Tnet-t)/(Tau_j))))*Salcycl</f>
        <v>3.3576586165674903E-2</v>
      </c>
      <c r="P92" s="169">
        <f>(INDEX(Models!$BJ92:$BT92,,T92)*(1-R92)+INDEX(Models!$BJ92:$BT92,,T92+1)*R92-ERP_i)*Q92*Ramure*Pc/MaxiM</f>
        <v>7.467620218674036E-5</v>
      </c>
      <c r="Q92" s="305">
        <f t="shared" si="27"/>
        <v>0.7</v>
      </c>
      <c r="R92" s="177">
        <f t="shared" si="28"/>
        <v>0.51534648002712879</v>
      </c>
      <c r="S92" s="921">
        <f t="shared" si="29"/>
        <v>-2</v>
      </c>
      <c r="T92" s="176">
        <f t="shared" si="30"/>
        <v>4</v>
      </c>
      <c r="U92" s="251">
        <f t="shared" si="31"/>
        <v>-1.4846535199728712</v>
      </c>
      <c r="V92" s="383">
        <f t="shared" si="32"/>
        <v>49.739716407257802</v>
      </c>
      <c r="W92" s="58"/>
      <c r="X92" s="157">
        <f t="shared" si="33"/>
        <v>43543</v>
      </c>
      <c r="Y92" s="385">
        <f t="shared" si="34"/>
        <v>12.077999999999999</v>
      </c>
      <c r="Z92" s="385">
        <f t="shared" si="35"/>
        <v>12.157623940010469</v>
      </c>
      <c r="AA92" s="386">
        <f t="shared" si="36"/>
        <v>12.580017998295995</v>
      </c>
      <c r="AB92" s="197">
        <f t="shared" si="37"/>
        <v>43543</v>
      </c>
      <c r="AC92" s="427">
        <f>IF(OR(t&lt;Tnet,NoTnet),'2018'!Resal_s+('2018'!Salim-'2018'!Resal_s)*(1-EXP(('2018'!Tnet_s-t)/'2018'!Tau_j)),Resal_s+(Salim-Resal_s)*(1-EXP((Tnet_s-t)/Tau_j)))*Salcycl</f>
        <v>3.3576586165674903E-2</v>
      </c>
      <c r="AD92" s="231">
        <f>(INDEX(Models!$BJ92:$BT92,,AH92)*(1-AF92)+INDEX(Models!$BJ92:$BT92,,AH92+1)*AF92-ERP_i)*AE92*Ramure*Pc/MaxiM</f>
        <v>7.467620218674036E-5</v>
      </c>
      <c r="AE92" s="305">
        <f t="shared" si="38"/>
        <v>0.7</v>
      </c>
      <c r="AF92" s="177">
        <f t="shared" si="39"/>
        <v>0.51534648002712879</v>
      </c>
      <c r="AG92" s="176">
        <f t="shared" si="40"/>
        <v>-2</v>
      </c>
      <c r="AH92" s="176">
        <f t="shared" si="41"/>
        <v>4</v>
      </c>
      <c r="AI92" s="225">
        <f t="shared" si="42"/>
        <v>-1.4846535199728712</v>
      </c>
      <c r="AJ92" s="265" t="b">
        <f t="shared" si="43"/>
        <v>1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20">
        <v>51.009</v>
      </c>
      <c r="C93" s="390"/>
      <c r="D93" s="393">
        <f t="shared" si="24"/>
        <v>51.346400289080499</v>
      </c>
      <c r="E93" s="385">
        <f t="shared" si="46"/>
        <v>53.135773413731535</v>
      </c>
      <c r="F93" s="385">
        <f t="shared" si="25"/>
        <v>53.139538604347429</v>
      </c>
      <c r="G93" s="110">
        <f t="shared" si="47"/>
        <v>1.0202363370762386</v>
      </c>
      <c r="H93" s="414" t="b">
        <f>Wh_hp&gt;='2018'!Maxi_hp</f>
        <v>1</v>
      </c>
      <c r="I93" s="390">
        <f>IF(H93,Wh_hp,'2018'!Maxi_hp)</f>
        <v>53.139538604347429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6.5710602336470636E-3</v>
      </c>
      <c r="M93" s="959"/>
      <c r="N93" s="959"/>
      <c r="O93" s="48">
        <f>IF(t&lt;Tnet,'2018'!Resal+('2018'!Salim-'2018'!Resal)*(1-EXP(('2018'!Tnet-t)/('2018'!Tau_j))),Resal+(Salim-Resal)*(1-EXP((Tnet-t)/(Tau_j))))*Salcycl</f>
        <v>3.3675488464587282E-2</v>
      </c>
      <c r="P93" s="169">
        <f>(INDEX(Models!$BJ93:$BT93,,T93)*(1-R93)+INDEX(Models!$BJ93:$BT93,,T93+1)*R93-ERP_i)*Q93*Ramure*Pc/MaxiM</f>
        <v>7.0854785622558649E-5</v>
      </c>
      <c r="Q93" s="305">
        <f t="shared" si="27"/>
        <v>0.7</v>
      </c>
      <c r="R93" s="177">
        <f t="shared" si="28"/>
        <v>0.51599559200975031</v>
      </c>
      <c r="S93" s="921">
        <f t="shared" si="29"/>
        <v>-2</v>
      </c>
      <c r="T93" s="176">
        <f t="shared" si="30"/>
        <v>4</v>
      </c>
      <c r="U93" s="251">
        <f t="shared" si="31"/>
        <v>-1.4840044079902497</v>
      </c>
      <c r="V93" s="383">
        <f t="shared" si="32"/>
        <v>49.997239018343528</v>
      </c>
      <c r="W93" s="58"/>
      <c r="X93" s="157">
        <f t="shared" si="33"/>
        <v>43544</v>
      </c>
      <c r="Y93" s="385">
        <f t="shared" si="34"/>
        <v>51.009</v>
      </c>
      <c r="Z93" s="385">
        <f t="shared" si="35"/>
        <v>51.346400289080499</v>
      </c>
      <c r="AA93" s="386">
        <f t="shared" si="36"/>
        <v>53.135773413731535</v>
      </c>
      <c r="AB93" s="197">
        <f t="shared" si="37"/>
        <v>43544</v>
      </c>
      <c r="AC93" s="427">
        <f>IF(OR(t&lt;Tnet,NoTnet),'2018'!Resal_s+('2018'!Salim-'2018'!Resal_s)*(1-EXP(('2018'!Tnet_s-t)/'2018'!Tau_j)),Resal_s+(Salim-Resal_s)*(1-EXP((Tnet_s-t)/Tau_j)))*Salcycl</f>
        <v>3.3675488464587282E-2</v>
      </c>
      <c r="AD93" s="231">
        <f>(INDEX(Models!$BJ93:$BT93,,AH93)*(1-AF93)+INDEX(Models!$BJ93:$BT93,,AH93+1)*AF93-ERP_i)*AE93*Ramure*Pc/MaxiM</f>
        <v>7.0854785622558649E-5</v>
      </c>
      <c r="AE93" s="305">
        <f t="shared" si="38"/>
        <v>0.7</v>
      </c>
      <c r="AF93" s="177">
        <f t="shared" si="39"/>
        <v>0.51599559200975031</v>
      </c>
      <c r="AG93" s="176">
        <f t="shared" si="40"/>
        <v>-2</v>
      </c>
      <c r="AH93" s="176">
        <f t="shared" si="41"/>
        <v>4</v>
      </c>
      <c r="AI93" s="225">
        <f t="shared" si="42"/>
        <v>-1.4840044079902497</v>
      </c>
      <c r="AJ93" s="265" t="b">
        <f t="shared" si="43"/>
        <v>1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20">
        <v>51.08</v>
      </c>
      <c r="C94" s="390"/>
      <c r="D94" s="393">
        <f t="shared" si="24"/>
        <v>51.418996128310916</v>
      </c>
      <c r="E94" s="385">
        <f t="shared" si="46"/>
        <v>53.216350790142023</v>
      </c>
      <c r="F94" s="385">
        <f t="shared" si="25"/>
        <v>53.219933275475654</v>
      </c>
      <c r="G94" s="110">
        <f t="shared" si="47"/>
        <v>1.0164276371412178</v>
      </c>
      <c r="H94" s="414" t="b">
        <f>Wh_hp&gt;='2018'!Maxi_hp</f>
        <v>1</v>
      </c>
      <c r="I94" s="390">
        <f>IF(H94,Wh_hp,'2018'!Maxi_hp)</f>
        <v>53.219933275475654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6.5928188769961427E-3</v>
      </c>
      <c r="M94" s="959"/>
      <c r="N94" s="959"/>
      <c r="O94" s="48">
        <f>IF(t&lt;Tnet,'2018'!Resal+('2018'!Salim-'2018'!Resal)*(1-EXP(('2018'!Tnet-t)/('2018'!Tau_j))),Resal+(Salim-Resal)*(1-EXP((Tnet-t)/(Tau_j))))*Salcycl</f>
        <v>3.3774481623494827E-2</v>
      </c>
      <c r="P94" s="169">
        <f>(INDEX(Models!$BJ94:$BT94,,T94)*(1-R94)+INDEX(Models!$BJ94:$BT94,,T94+1)*R94-ERP_i)*Q94*Ramure*Pc/MaxiM</f>
        <v>6.7314728019063721E-5</v>
      </c>
      <c r="Q94" s="305">
        <f t="shared" si="27"/>
        <v>0.7</v>
      </c>
      <c r="R94" s="177">
        <f t="shared" si="28"/>
        <v>0.51667008919945068</v>
      </c>
      <c r="S94" s="921">
        <f t="shared" si="29"/>
        <v>-2</v>
      </c>
      <c r="T94" s="176">
        <f t="shared" si="30"/>
        <v>4</v>
      </c>
      <c r="U94" s="251">
        <f t="shared" si="31"/>
        <v>-1.4833299108005493</v>
      </c>
      <c r="V94" s="383">
        <f t="shared" si="32"/>
        <v>50.254438322502224</v>
      </c>
      <c r="W94" s="58"/>
      <c r="X94" s="157">
        <f t="shared" si="33"/>
        <v>43545</v>
      </c>
      <c r="Y94" s="385">
        <f t="shared" si="34"/>
        <v>51.08</v>
      </c>
      <c r="Z94" s="385">
        <f t="shared" si="35"/>
        <v>51.418996128310916</v>
      </c>
      <c r="AA94" s="386">
        <f t="shared" si="36"/>
        <v>53.216350790142023</v>
      </c>
      <c r="AB94" s="197">
        <f t="shared" si="37"/>
        <v>43545</v>
      </c>
      <c r="AC94" s="427">
        <f>IF(OR(t&lt;Tnet,NoTnet),'2018'!Resal_s+('2018'!Salim-'2018'!Resal_s)*(1-EXP(('2018'!Tnet_s-t)/'2018'!Tau_j)),Resal_s+(Salim-Resal_s)*(1-EXP((Tnet_s-t)/Tau_j)))*Salcycl</f>
        <v>3.3774481623494827E-2</v>
      </c>
      <c r="AD94" s="231">
        <f>(INDEX(Models!$BJ94:$BT94,,AH94)*(1-AF94)+INDEX(Models!$BJ94:$BT94,,AH94+1)*AF94-ERP_i)*AE94*Ramure*Pc/MaxiM</f>
        <v>6.7314728019063721E-5</v>
      </c>
      <c r="AE94" s="305">
        <f t="shared" si="38"/>
        <v>0.7</v>
      </c>
      <c r="AF94" s="177">
        <f t="shared" si="39"/>
        <v>0.51667008919945068</v>
      </c>
      <c r="AG94" s="176">
        <f t="shared" si="40"/>
        <v>-2</v>
      </c>
      <c r="AH94" s="176">
        <f t="shared" si="41"/>
        <v>4</v>
      </c>
      <c r="AI94" s="225">
        <f t="shared" si="42"/>
        <v>-1.4833299108005493</v>
      </c>
      <c r="AJ94" s="265" t="b">
        <f t="shared" si="43"/>
        <v>1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20">
        <v>50.015999999999998</v>
      </c>
      <c r="C95" s="390"/>
      <c r="D95" s="393">
        <f t="shared" si="24"/>
        <v>50.349037588207125</v>
      </c>
      <c r="E95" s="385">
        <f t="shared" si="46"/>
        <v>52.114336743440873</v>
      </c>
      <c r="F95" s="385">
        <f t="shared" si="25"/>
        <v>52.117627843898426</v>
      </c>
      <c r="G95" s="110">
        <f t="shared" si="47"/>
        <v>0.99020729352502146</v>
      </c>
      <c r="H95" s="414" t="b">
        <f>Wh_hp&gt;='2018'!Maxi_hp</f>
        <v>1</v>
      </c>
      <c r="I95" s="390">
        <f>IF(H95,Wh_hp,'2018'!Maxi_hp)</f>
        <v>52.117627843898426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6.614577043775105E-3</v>
      </c>
      <c r="M95" s="959"/>
      <c r="N95" s="959"/>
      <c r="O95" s="48">
        <f>IF(t&lt;Tnet,'2018'!Resal+('2018'!Salim-'2018'!Resal)*(1-EXP(('2018'!Tnet-t)/('2018'!Tau_j))),Resal+(Salim-Resal)*(1-EXP((Tnet-t)/(Tau_j))))*Salcycl</f>
        <v>3.3873580007826413E-2</v>
      </c>
      <c r="P95" s="169">
        <f>(INDEX(Models!$BJ95:$BT95,,T95)*(1-R95)+INDEX(Models!$BJ95:$BT95,,T95+1)*R95-ERP_i)*Q95*Ramure*Pc/MaxiM</f>
        <v>6.4043408252162148E-5</v>
      </c>
      <c r="Q95" s="305">
        <f t="shared" si="27"/>
        <v>0.7</v>
      </c>
      <c r="R95" s="177">
        <f t="shared" si="28"/>
        <v>0.51737088676062526</v>
      </c>
      <c r="S95" s="921">
        <f t="shared" si="29"/>
        <v>-2</v>
      </c>
      <c r="T95" s="176">
        <f t="shared" si="30"/>
        <v>4</v>
      </c>
      <c r="U95" s="251">
        <f t="shared" si="31"/>
        <v>-1.4826291132393747</v>
      </c>
      <c r="V95" s="383">
        <f t="shared" si="32"/>
        <v>50.510590577274591</v>
      </c>
      <c r="W95" s="58"/>
      <c r="X95" s="157">
        <f t="shared" si="33"/>
        <v>43546</v>
      </c>
      <c r="Y95" s="385">
        <f t="shared" si="34"/>
        <v>50.015999999999998</v>
      </c>
      <c r="Z95" s="385">
        <f t="shared" si="35"/>
        <v>50.349037588207125</v>
      </c>
      <c r="AA95" s="386">
        <f t="shared" si="36"/>
        <v>52.114336743440873</v>
      </c>
      <c r="AB95" s="197">
        <f t="shared" si="37"/>
        <v>43546</v>
      </c>
      <c r="AC95" s="427">
        <f>IF(OR(t&lt;Tnet,NoTnet),'2018'!Resal_s+('2018'!Salim-'2018'!Resal_s)*(1-EXP(('2018'!Tnet_s-t)/'2018'!Tau_j)),Resal_s+(Salim-Resal_s)*(1-EXP((Tnet_s-t)/Tau_j)))*Salcycl</f>
        <v>3.3873580007826413E-2</v>
      </c>
      <c r="AD95" s="231">
        <f>(INDEX(Models!$BJ95:$BT95,,AH95)*(1-AF95)+INDEX(Models!$BJ95:$BT95,,AH95+1)*AF95-ERP_i)*AE95*Ramure*Pc/MaxiM</f>
        <v>6.4043408252162148E-5</v>
      </c>
      <c r="AE95" s="305">
        <f t="shared" si="38"/>
        <v>0.7</v>
      </c>
      <c r="AF95" s="177">
        <f t="shared" si="39"/>
        <v>0.51737088676062526</v>
      </c>
      <c r="AG95" s="176">
        <f t="shared" si="40"/>
        <v>-2</v>
      </c>
      <c r="AH95" s="176">
        <f t="shared" si="41"/>
        <v>4</v>
      </c>
      <c r="AI95" s="225">
        <f t="shared" si="42"/>
        <v>-1.4826291132393747</v>
      </c>
      <c r="AJ95" s="265" t="b">
        <f t="shared" si="43"/>
        <v>1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20">
        <v>46.890999999999998</v>
      </c>
      <c r="C96" s="390"/>
      <c r="D96" s="393">
        <f t="shared" si="24"/>
        <v>47.204263292077826</v>
      </c>
      <c r="E96" s="385">
        <f t="shared" si="46"/>
        <v>48.864321010598431</v>
      </c>
      <c r="F96" s="385">
        <f t="shared" si="25"/>
        <v>48.866978588273319</v>
      </c>
      <c r="G96" s="110">
        <f t="shared" si="47"/>
        <v>0.92368194503190426</v>
      </c>
      <c r="H96" s="414" t="b">
        <f>Wh_hp&gt;='2018'!Maxi_hp</f>
        <v>1</v>
      </c>
      <c r="I96" s="390">
        <f>IF(H96,Wh_hp,'2018'!Maxi_hp)</f>
        <v>48.866978588273319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6.6363347339942758E-3</v>
      </c>
      <c r="M96" s="959"/>
      <c r="N96" s="959"/>
      <c r="O96" s="48">
        <f>IF(t&lt;Tnet,'2018'!Resal+('2018'!Salim-'2018'!Resal)*(1-EXP(('2018'!Tnet-t)/('2018'!Tau_j))),Resal+(Salim-Resal)*(1-EXP((Tnet-t)/(Tau_j))))*Salcycl</f>
        <v>3.3972798233716302E-2</v>
      </c>
      <c r="P96" s="169">
        <f>(INDEX(Models!$BJ96:$BT96,,T96)*(1-R96)+INDEX(Models!$BJ96:$BT96,,T96+1)*R96-ERP_i)*Q96*Ramure*Pc/MaxiM</f>
        <v>6.1038108526142846E-5</v>
      </c>
      <c r="Q96" s="305">
        <f t="shared" si="27"/>
        <v>0.7</v>
      </c>
      <c r="R96" s="177">
        <f t="shared" si="28"/>
        <v>0.51809892646291988</v>
      </c>
      <c r="S96" s="921">
        <f t="shared" si="29"/>
        <v>-2</v>
      </c>
      <c r="T96" s="176">
        <f t="shared" si="30"/>
        <v>4</v>
      </c>
      <c r="U96" s="251">
        <f t="shared" si="31"/>
        <v>-1.4819010735370801</v>
      </c>
      <c r="V96" s="383">
        <f t="shared" si="32"/>
        <v>50.764971875339917</v>
      </c>
      <c r="W96" s="58"/>
      <c r="X96" s="157">
        <f t="shared" si="33"/>
        <v>43547</v>
      </c>
      <c r="Y96" s="385">
        <f t="shared" si="34"/>
        <v>46.890999999999998</v>
      </c>
      <c r="Z96" s="385">
        <f t="shared" si="35"/>
        <v>47.204263292077826</v>
      </c>
      <c r="AA96" s="386">
        <f t="shared" si="36"/>
        <v>48.864321010598431</v>
      </c>
      <c r="AB96" s="197">
        <f t="shared" si="37"/>
        <v>43547</v>
      </c>
      <c r="AC96" s="427">
        <f>IF(OR(t&lt;Tnet,NoTnet),'2018'!Resal_s+('2018'!Salim-'2018'!Resal_s)*(1-EXP(('2018'!Tnet_s-t)/'2018'!Tau_j)),Resal_s+(Salim-Resal_s)*(1-EXP((Tnet_s-t)/Tau_j)))*Salcycl</f>
        <v>3.3972798233716302E-2</v>
      </c>
      <c r="AD96" s="231">
        <f>(INDEX(Models!$BJ96:$BT96,,AH96)*(1-AF96)+INDEX(Models!$BJ96:$BT96,,AH96+1)*AF96-ERP_i)*AE96*Ramure*Pc/MaxiM</f>
        <v>6.1038108526142846E-5</v>
      </c>
      <c r="AE96" s="305">
        <f t="shared" si="38"/>
        <v>0.7</v>
      </c>
      <c r="AF96" s="177">
        <f t="shared" si="39"/>
        <v>0.51809892646291988</v>
      </c>
      <c r="AG96" s="176">
        <f t="shared" si="40"/>
        <v>-2</v>
      </c>
      <c r="AH96" s="176">
        <f t="shared" si="41"/>
        <v>4</v>
      </c>
      <c r="AI96" s="225">
        <f t="shared" si="42"/>
        <v>-1.4819010735370801</v>
      </c>
      <c r="AJ96" s="265" t="b">
        <f t="shared" si="43"/>
        <v>1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20">
        <v>50.500999999999998</v>
      </c>
      <c r="C97" s="390"/>
      <c r="D97" s="393">
        <f t="shared" si="24"/>
        <v>50.839494025796483</v>
      </c>
      <c r="E97" s="385">
        <f t="shared" si="46"/>
        <v>52.63280697954427</v>
      </c>
      <c r="F97" s="385">
        <f t="shared" si="25"/>
        <v>52.635831121779191</v>
      </c>
      <c r="G97" s="110">
        <f t="shared" si="47"/>
        <v>0.98988763361330712</v>
      </c>
      <c r="H97" s="414" t="b">
        <f>Wh_hp&gt;='2018'!Maxi_hp</f>
        <v>1</v>
      </c>
      <c r="I97" s="390">
        <f>IF(H97,Wh_hp,'2018'!Maxi_hp)</f>
        <v>52.635831121779191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6.658091947664313E-3</v>
      </c>
      <c r="M97" s="959"/>
      <c r="N97" s="959"/>
      <c r="O97" s="48">
        <f>IF(t&lt;Tnet,'2018'!Resal+('2018'!Salim-'2018'!Resal)*(1-EXP(('2018'!Tnet-t)/('2018'!Tau_j))),Resal+(Salim-Resal)*(1-EXP((Tnet-t)/(Tau_j))))*Salcycl</f>
        <v>3.4072151128948083E-2</v>
      </c>
      <c r="P97" s="169">
        <f>(INDEX(Models!$BJ97:$BT97,,T97)*(1-R97)+INDEX(Models!$BJ97:$BT97,,T97+1)*R97-ERP_i)*Q97*Ramure*Pc/MaxiM</f>
        <v>5.8296151308589768E-5</v>
      </c>
      <c r="Q97" s="305">
        <f t="shared" si="27"/>
        <v>0.7</v>
      </c>
      <c r="R97" s="177">
        <f t="shared" si="28"/>
        <v>0.51885517691547967</v>
      </c>
      <c r="S97" s="921">
        <f t="shared" si="29"/>
        <v>-2</v>
      </c>
      <c r="T97" s="176">
        <f t="shared" si="30"/>
        <v>4</v>
      </c>
      <c r="U97" s="251">
        <f t="shared" si="31"/>
        <v>-1.4811448230845203</v>
      </c>
      <c r="V97" s="383">
        <f t="shared" si="32"/>
        <v>51.016858637578743</v>
      </c>
      <c r="W97" s="58"/>
      <c r="X97" s="157">
        <f t="shared" si="33"/>
        <v>43548</v>
      </c>
      <c r="Y97" s="385">
        <f t="shared" si="34"/>
        <v>50.500999999999998</v>
      </c>
      <c r="Z97" s="385">
        <f t="shared" si="35"/>
        <v>50.839494025796483</v>
      </c>
      <c r="AA97" s="386">
        <f t="shared" si="36"/>
        <v>52.63280697954427</v>
      </c>
      <c r="AB97" s="197">
        <f t="shared" si="37"/>
        <v>43548</v>
      </c>
      <c r="AC97" s="427">
        <f>IF(OR(t&lt;Tnet,NoTnet),'2018'!Resal_s+('2018'!Salim-'2018'!Resal_s)*(1-EXP(('2018'!Tnet_s-t)/'2018'!Tau_j)),Resal_s+(Salim-Resal_s)*(1-EXP((Tnet_s-t)/Tau_j)))*Salcycl</f>
        <v>3.4072151128948083E-2</v>
      </c>
      <c r="AD97" s="231">
        <f>(INDEX(Models!$BJ97:$BT97,,AH97)*(1-AF97)+INDEX(Models!$BJ97:$BT97,,AH97+1)*AF97-ERP_i)*AE97*Ramure*Pc/MaxiM</f>
        <v>5.8296151308589768E-5</v>
      </c>
      <c r="AE97" s="305">
        <f t="shared" si="38"/>
        <v>0.7</v>
      </c>
      <c r="AF97" s="177">
        <f t="shared" si="39"/>
        <v>0.51885517691547967</v>
      </c>
      <c r="AG97" s="176">
        <f t="shared" si="40"/>
        <v>-2</v>
      </c>
      <c r="AH97" s="176">
        <f t="shared" si="41"/>
        <v>4</v>
      </c>
      <c r="AI97" s="225">
        <f t="shared" si="42"/>
        <v>-1.4811448230845203</v>
      </c>
      <c r="AJ97" s="265" t="b">
        <f t="shared" si="43"/>
        <v>1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20">
        <v>44.89</v>
      </c>
      <c r="C98" s="390"/>
      <c r="D98" s="393">
        <f t="shared" si="24"/>
        <v>45.191874886020827</v>
      </c>
      <c r="E98" s="385">
        <f t="shared" si="46"/>
        <v>46.790793683860848</v>
      </c>
      <c r="F98" s="385">
        <f t="shared" si="25"/>
        <v>46.792941423545052</v>
      </c>
      <c r="G98" s="110">
        <f t="shared" si="47"/>
        <v>0.8756284569981595</v>
      </c>
      <c r="H98" s="414" t="b">
        <f>Wh_hp&gt;='2018'!Maxi_hp</f>
        <v>1</v>
      </c>
      <c r="I98" s="390">
        <f>IF(H98,Wh_hp,'2018'!Maxi_hp)</f>
        <v>46.792941423545052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6.6798486847954308E-3</v>
      </c>
      <c r="M98" s="959"/>
      <c r="N98" s="959"/>
      <c r="O98" s="48">
        <f>IF(t&lt;Tnet,'2018'!Resal+('2018'!Salim-'2018'!Resal)*(1-EXP(('2018'!Tnet-t)/('2018'!Tau_j))),Resal+(Salim-Resal)*(1-EXP((Tnet-t)/(Tau_j))))*Salcycl</f>
        <v>3.4171653694165104E-2</v>
      </c>
      <c r="P98" s="169">
        <f>(INDEX(Models!$BJ98:$BT98,,T98)*(1-R98)+INDEX(Models!$BJ98:$BT98,,T98+1)*R98-ERP_i)*Q98*Ramure*Pc/MaxiM</f>
        <v>5.5814948551797646E-5</v>
      </c>
      <c r="Q98" s="305">
        <f t="shared" si="27"/>
        <v>0.7</v>
      </c>
      <c r="R98" s="177">
        <f t="shared" si="28"/>
        <v>0.51964063375072689</v>
      </c>
      <c r="S98" s="921">
        <f t="shared" si="29"/>
        <v>-2</v>
      </c>
      <c r="T98" s="176">
        <f t="shared" si="30"/>
        <v>4</v>
      </c>
      <c r="U98" s="251">
        <f t="shared" si="31"/>
        <v>-1.4803593662492731</v>
      </c>
      <c r="V98" s="383">
        <f t="shared" si="32"/>
        <v>51.265527615881552</v>
      </c>
      <c r="W98" s="58"/>
      <c r="X98" s="157">
        <f t="shared" si="33"/>
        <v>43549</v>
      </c>
      <c r="Y98" s="385">
        <f t="shared" si="34"/>
        <v>44.89</v>
      </c>
      <c r="Z98" s="385">
        <f t="shared" si="35"/>
        <v>45.191874886020827</v>
      </c>
      <c r="AA98" s="386">
        <f t="shared" si="36"/>
        <v>46.790793683860848</v>
      </c>
      <c r="AB98" s="197">
        <f t="shared" si="37"/>
        <v>43549</v>
      </c>
      <c r="AC98" s="427">
        <f>IF(OR(t&lt;Tnet,NoTnet),'2018'!Resal_s+('2018'!Salim-'2018'!Resal_s)*(1-EXP(('2018'!Tnet_s-t)/'2018'!Tau_j)),Resal_s+(Salim-Resal_s)*(1-EXP((Tnet_s-t)/Tau_j)))*Salcycl</f>
        <v>3.4171653694165104E-2</v>
      </c>
      <c r="AD98" s="231">
        <f>(INDEX(Models!$BJ98:$BT98,,AH98)*(1-AF98)+INDEX(Models!$BJ98:$BT98,,AH98+1)*AF98-ERP_i)*AE98*Ramure*Pc/MaxiM</f>
        <v>5.5814948551797646E-5</v>
      </c>
      <c r="AE98" s="305">
        <f t="shared" si="38"/>
        <v>0.7</v>
      </c>
      <c r="AF98" s="177">
        <f t="shared" si="39"/>
        <v>0.51964063375072689</v>
      </c>
      <c r="AG98" s="176">
        <f t="shared" si="40"/>
        <v>-2</v>
      </c>
      <c r="AH98" s="176">
        <f t="shared" si="41"/>
        <v>4</v>
      </c>
      <c r="AI98" s="225">
        <f t="shared" si="42"/>
        <v>-1.4803593662492731</v>
      </c>
      <c r="AJ98" s="265" t="b">
        <f t="shared" si="43"/>
        <v>1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20">
        <v>53.793999999999997</v>
      </c>
      <c r="C99" s="390"/>
      <c r="D99" s="393">
        <f t="shared" si="24"/>
        <v>54.156938406250951</v>
      </c>
      <c r="E99" s="385">
        <f t="shared" si="46"/>
        <v>56.078834135845732</v>
      </c>
      <c r="F99" s="385">
        <f t="shared" si="25"/>
        <v>56.081839676566283</v>
      </c>
      <c r="G99" s="110">
        <f t="shared" si="47"/>
        <v>1.0443357164871609</v>
      </c>
      <c r="H99" s="414" t="b">
        <f>Wh_hp&gt;='2018'!Maxi_hp</f>
        <v>1</v>
      </c>
      <c r="I99" s="390">
        <f>IF(H99,Wh_hp,'2018'!Maxi_hp)</f>
        <v>56.081839676566283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6.7016049453981763E-3</v>
      </c>
      <c r="M99" s="959"/>
      <c r="N99" s="959"/>
      <c r="O99" s="48">
        <f>IF(t&lt;Tnet,'2018'!Resal+('2018'!Salim-'2018'!Resal)*(1-EXP(('2018'!Tnet-t)/('2018'!Tau_j))),Resal+(Salim-Resal)*(1-EXP((Tnet-t)/(Tau_j))))*Salcycl</f>
        <v>3.4271321064542275E-2</v>
      </c>
      <c r="P99" s="169">
        <f>(INDEX(Models!$BJ99:$BT99,,T99)*(1-R99)+INDEX(Models!$BJ99:$BT99,,T99+1)*R99-ERP_i)*Q99*Ramure*Pc/MaxiM</f>
        <v>5.3592049367245498E-5</v>
      </c>
      <c r="Q99" s="305">
        <f t="shared" si="27"/>
        <v>0.7</v>
      </c>
      <c r="R99" s="177">
        <f t="shared" si="28"/>
        <v>0.52045631975213058</v>
      </c>
      <c r="S99" s="921">
        <f t="shared" si="29"/>
        <v>-2</v>
      </c>
      <c r="T99" s="176">
        <f t="shared" si="30"/>
        <v>4</v>
      </c>
      <c r="U99" s="251">
        <f t="shared" si="31"/>
        <v>-1.4795436802478694</v>
      </c>
      <c r="V99" s="383">
        <f t="shared" si="32"/>
        <v>51.51025589831135</v>
      </c>
      <c r="W99" s="58"/>
      <c r="X99" s="157">
        <f t="shared" si="33"/>
        <v>43550</v>
      </c>
      <c r="Y99" s="385">
        <f t="shared" si="34"/>
        <v>53.793999999999997</v>
      </c>
      <c r="Z99" s="385">
        <f t="shared" si="35"/>
        <v>54.156938406250951</v>
      </c>
      <c r="AA99" s="386">
        <f t="shared" si="36"/>
        <v>56.078834135845732</v>
      </c>
      <c r="AB99" s="197">
        <f t="shared" si="37"/>
        <v>43550</v>
      </c>
      <c r="AC99" s="427">
        <f>IF(OR(t&lt;Tnet,NoTnet),'2018'!Resal_s+('2018'!Salim-'2018'!Resal_s)*(1-EXP(('2018'!Tnet_s-t)/'2018'!Tau_j)),Resal_s+(Salim-Resal_s)*(1-EXP((Tnet_s-t)/Tau_j)))*Salcycl</f>
        <v>3.4271321064542275E-2</v>
      </c>
      <c r="AD99" s="231">
        <f>(INDEX(Models!$BJ99:$BT99,,AH99)*(1-AF99)+INDEX(Models!$BJ99:$BT99,,AH99+1)*AF99-ERP_i)*AE99*Ramure*Pc/MaxiM</f>
        <v>5.3592049367245498E-5</v>
      </c>
      <c r="AE99" s="305">
        <f t="shared" si="38"/>
        <v>0.7</v>
      </c>
      <c r="AF99" s="177">
        <f t="shared" si="39"/>
        <v>0.52045631975213058</v>
      </c>
      <c r="AG99" s="176">
        <f t="shared" si="40"/>
        <v>-2</v>
      </c>
      <c r="AH99" s="176">
        <f t="shared" si="41"/>
        <v>4</v>
      </c>
      <c r="AI99" s="225">
        <f t="shared" si="42"/>
        <v>-1.4795436802478694</v>
      </c>
      <c r="AJ99" s="265" t="b">
        <f t="shared" si="43"/>
        <v>1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20">
        <v>53.014000000000003</v>
      </c>
      <c r="C100" s="390"/>
      <c r="D100" s="393">
        <f t="shared" si="24"/>
        <v>53.372844889349842</v>
      </c>
      <c r="E100" s="385">
        <f t="shared" si="46"/>
        <v>55.272629758680729</v>
      </c>
      <c r="F100" s="385">
        <f t="shared" si="25"/>
        <v>55.275486537639232</v>
      </c>
      <c r="G100" s="110">
        <f t="shared" si="47"/>
        <v>1.0244188270328982</v>
      </c>
      <c r="H100" s="414" t="b">
        <f>Wh_hp&gt;='2018'!Maxi_hp</f>
        <v>1</v>
      </c>
      <c r="I100" s="390">
        <f>IF(H100,Wh_hp,'2018'!Maxi_hp)</f>
        <v>55.275486537639232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6.7233607294829856E-3</v>
      </c>
      <c r="M100" s="959"/>
      <c r="N100" s="959"/>
      <c r="O100" s="48">
        <f>IF(t&lt;Tnet,'2018'!Resal+('2018'!Salim-'2018'!Resal)*(1-EXP(('2018'!Tnet-t)/('2018'!Tau_j))),Resal+(Salim-Resal)*(1-EXP((Tnet-t)/(Tau_j))))*Salcycl</f>
        <v>3.4371168472086648E-2</v>
      </c>
      <c r="P100" s="169">
        <f>(INDEX(Models!$BJ100:$BT100,,T100)*(1-R100)+INDEX(Models!$BJ100:$BT100,,T100+1)*R100-ERP_i)*Q100*Ramure*Pc/MaxiM</f>
        <v>5.1682565590072231E-5</v>
      </c>
      <c r="Q100" s="305">
        <f t="shared" si="27"/>
        <v>0.7</v>
      </c>
      <c r="R100" s="177">
        <f t="shared" si="28"/>
        <v>0.52130328492009514</v>
      </c>
      <c r="S100" s="921">
        <f t="shared" si="29"/>
        <v>-2</v>
      </c>
      <c r="T100" s="176">
        <f t="shared" si="30"/>
        <v>4</v>
      </c>
      <c r="U100" s="251">
        <f t="shared" si="31"/>
        <v>-1.4786967150799049</v>
      </c>
      <c r="V100" s="383">
        <f t="shared" si="32"/>
        <v>51.750317937389404</v>
      </c>
      <c r="W100" s="58"/>
      <c r="X100" s="157">
        <f t="shared" si="33"/>
        <v>43551</v>
      </c>
      <c r="Y100" s="385">
        <f t="shared" si="34"/>
        <v>53.014000000000003</v>
      </c>
      <c r="Z100" s="385">
        <f t="shared" si="35"/>
        <v>53.372844889349842</v>
      </c>
      <c r="AA100" s="386">
        <f t="shared" si="36"/>
        <v>55.272629758680729</v>
      </c>
      <c r="AB100" s="197">
        <f t="shared" si="37"/>
        <v>43551</v>
      </c>
      <c r="AC100" s="427">
        <f>IF(OR(t&lt;Tnet,NoTnet),'2018'!Resal_s+('2018'!Salim-'2018'!Resal_s)*(1-EXP(('2018'!Tnet_s-t)/'2018'!Tau_j)),Resal_s+(Salim-Resal_s)*(1-EXP((Tnet_s-t)/Tau_j)))*Salcycl</f>
        <v>3.4371168472086648E-2</v>
      </c>
      <c r="AD100" s="231">
        <f>(INDEX(Models!$BJ100:$BT100,,AH100)*(1-AF100)+INDEX(Models!$BJ100:$BT100,,AH100+1)*AF100-ERP_i)*AE100*Ramure*Pc/MaxiM</f>
        <v>5.1682565590072231E-5</v>
      </c>
      <c r="AE100" s="305">
        <f t="shared" si="38"/>
        <v>0.7</v>
      </c>
      <c r="AF100" s="177">
        <f t="shared" si="39"/>
        <v>0.52130328492009514</v>
      </c>
      <c r="AG100" s="176">
        <f t="shared" si="40"/>
        <v>-2</v>
      </c>
      <c r="AH100" s="176">
        <f t="shared" si="41"/>
        <v>4</v>
      </c>
      <c r="AI100" s="225">
        <f t="shared" si="42"/>
        <v>-1.4786967150799049</v>
      </c>
      <c r="AJ100" s="265" t="b">
        <f t="shared" si="43"/>
        <v>1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20">
        <v>51.844000000000001</v>
      </c>
      <c r="C101" s="390"/>
      <c r="D101" s="393">
        <f t="shared" si="24"/>
        <v>52.196068538973734</v>
      </c>
      <c r="E101" s="385">
        <f t="shared" si="46"/>
        <v>54.059567301266867</v>
      </c>
      <c r="F101" s="385">
        <f t="shared" si="25"/>
        <v>54.062253279945516</v>
      </c>
      <c r="G101" s="110">
        <f t="shared" si="47"/>
        <v>0.99728744273117464</v>
      </c>
      <c r="H101" s="414" t="b">
        <f>Wh_hp&gt;='2018'!Maxi_hp</f>
        <v>1</v>
      </c>
      <c r="I101" s="390">
        <f>IF(H101,Wh_hp,'2018'!Maxi_hp)</f>
        <v>54.062253279945516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6.7451160370602947E-3</v>
      </c>
      <c r="M101" s="959"/>
      <c r="N101" s="959"/>
      <c r="O101" s="48">
        <f>IF(t&lt;Tnet,'2018'!Resal+('2018'!Salim-'2018'!Resal)*(1-EXP(('2018'!Tnet-t)/('2018'!Tau_j))),Resal+(Salim-Resal)*(1-EXP((Tnet-t)/(Tau_j))))*Salcycl</f>
        <v>3.4471211208704278E-2</v>
      </c>
      <c r="P101" s="169">
        <f>(INDEX(Models!$BJ101:$BT101,,T101)*(1-R101)+INDEX(Models!$BJ101:$BT101,,T101+1)*R101-ERP_i)*Q101*Ramure*Pc/MaxiM</f>
        <v>4.9876330472324542E-5</v>
      </c>
      <c r="Q101" s="305">
        <f t="shared" si="27"/>
        <v>0.7</v>
      </c>
      <c r="R101" s="177">
        <f t="shared" si="28"/>
        <v>0.52218260646975945</v>
      </c>
      <c r="S101" s="921">
        <f t="shared" si="29"/>
        <v>-2</v>
      </c>
      <c r="T101" s="176">
        <f t="shared" si="30"/>
        <v>4</v>
      </c>
      <c r="U101" s="251">
        <f t="shared" si="31"/>
        <v>-1.4778173935302406</v>
      </c>
      <c r="V101" s="383">
        <f t="shared" si="32"/>
        <v>51.985002275865597</v>
      </c>
      <c r="W101" s="58"/>
      <c r="X101" s="157">
        <f t="shared" si="33"/>
        <v>43552</v>
      </c>
      <c r="Y101" s="385">
        <f t="shared" si="34"/>
        <v>51.844000000000001</v>
      </c>
      <c r="Z101" s="385">
        <f t="shared" si="35"/>
        <v>52.196068538973734</v>
      </c>
      <c r="AA101" s="386">
        <f t="shared" si="36"/>
        <v>54.059567301266867</v>
      </c>
      <c r="AB101" s="197">
        <f t="shared" si="37"/>
        <v>43552</v>
      </c>
      <c r="AC101" s="427">
        <f>IF(OR(t&lt;Tnet,NoTnet),'2018'!Resal_s+('2018'!Salim-'2018'!Resal_s)*(1-EXP(('2018'!Tnet_s-t)/'2018'!Tau_j)),Resal_s+(Salim-Resal_s)*(1-EXP((Tnet_s-t)/Tau_j)))*Salcycl</f>
        <v>3.4471211208704278E-2</v>
      </c>
      <c r="AD101" s="231">
        <f>(INDEX(Models!$BJ101:$BT101,,AH101)*(1-AF101)+INDEX(Models!$BJ101:$BT101,,AH101+1)*AF101-ERP_i)*AE101*Ramure*Pc/MaxiM</f>
        <v>4.9876330472324542E-5</v>
      </c>
      <c r="AE101" s="305">
        <f t="shared" si="38"/>
        <v>0.7</v>
      </c>
      <c r="AF101" s="177">
        <f t="shared" si="39"/>
        <v>0.52218260646975945</v>
      </c>
      <c r="AG101" s="176">
        <f t="shared" si="40"/>
        <v>-2</v>
      </c>
      <c r="AH101" s="176">
        <f t="shared" si="41"/>
        <v>4</v>
      </c>
      <c r="AI101" s="225">
        <f t="shared" si="42"/>
        <v>-1.4778173935302406</v>
      </c>
      <c r="AJ101" s="265" t="b">
        <f t="shared" si="43"/>
        <v>1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20">
        <v>52.521000000000001</v>
      </c>
      <c r="C102" s="390"/>
      <c r="D102" s="393">
        <f t="shared" si="24"/>
        <v>52.878824174850322</v>
      </c>
      <c r="E102" s="385">
        <f t="shared" si="46"/>
        <v>54.772385770015951</v>
      </c>
      <c r="F102" s="385">
        <f t="shared" si="25"/>
        <v>54.775024406883986</v>
      </c>
      <c r="G102" s="110">
        <f t="shared" si="47"/>
        <v>1.0058876037681892</v>
      </c>
      <c r="H102" s="414" t="b">
        <f>Wh_hp&gt;='2018'!Maxi_hp</f>
        <v>1</v>
      </c>
      <c r="I102" s="390">
        <f>IF(H102,Wh_hp,'2018'!Maxi_hp)</f>
        <v>54.775024406883986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6.7668708681405398E-3</v>
      </c>
      <c r="M102" s="959"/>
      <c r="N102" s="959"/>
      <c r="O102" s="48">
        <f>IF(t&lt;Tnet,'2018'!Resal+('2018'!Salim-'2018'!Resal)*(1-EXP(('2018'!Tnet-t)/('2018'!Tau_j))),Resal+(Salim-Resal)*(1-EXP((Tnet-t)/(Tau_j))))*Salcycl</f>
        <v>3.4571464590140613E-2</v>
      </c>
      <c r="P102" s="169">
        <f>(INDEX(Models!$BJ102:$BT102,,T102)*(1-R102)+INDEX(Models!$BJ102:$BT102,,T102+1)*R102-ERP_i)*Q102*Ramure*Pc/MaxiM</f>
        <v>4.8172262753077785E-5</v>
      </c>
      <c r="Q102" s="305">
        <f t="shared" si="27"/>
        <v>0.7</v>
      </c>
      <c r="R102" s="177">
        <f t="shared" si="28"/>
        <v>0.52309538875414585</v>
      </c>
      <c r="S102" s="921">
        <f t="shared" si="29"/>
        <v>-2</v>
      </c>
      <c r="T102" s="176">
        <f t="shared" si="30"/>
        <v>4</v>
      </c>
      <c r="U102" s="251">
        <f t="shared" si="31"/>
        <v>-1.4769046112458541</v>
      </c>
      <c r="V102" s="383">
        <f t="shared" si="32"/>
        <v>52.21358708791054</v>
      </c>
      <c r="W102" s="58"/>
      <c r="X102" s="157">
        <f t="shared" si="33"/>
        <v>43553</v>
      </c>
      <c r="Y102" s="385">
        <f t="shared" si="34"/>
        <v>52.521000000000001</v>
      </c>
      <c r="Z102" s="385">
        <f t="shared" si="35"/>
        <v>52.878824174850322</v>
      </c>
      <c r="AA102" s="386">
        <f t="shared" si="36"/>
        <v>54.772385770015951</v>
      </c>
      <c r="AB102" s="197">
        <f t="shared" si="37"/>
        <v>43553</v>
      </c>
      <c r="AC102" s="427">
        <f>IF(OR(t&lt;Tnet,NoTnet),'2018'!Resal_s+('2018'!Salim-'2018'!Resal_s)*(1-EXP(('2018'!Tnet_s-t)/'2018'!Tau_j)),Resal_s+(Salim-Resal_s)*(1-EXP((Tnet_s-t)/Tau_j)))*Salcycl</f>
        <v>3.4571464590140613E-2</v>
      </c>
      <c r="AD102" s="231">
        <f>(INDEX(Models!$BJ102:$BT102,,AH102)*(1-AF102)+INDEX(Models!$BJ102:$BT102,,AH102+1)*AF102-ERP_i)*AE102*Ramure*Pc/MaxiM</f>
        <v>4.8172262753077785E-5</v>
      </c>
      <c r="AE102" s="305">
        <f t="shared" si="38"/>
        <v>0.7</v>
      </c>
      <c r="AF102" s="177">
        <f t="shared" si="39"/>
        <v>0.52309538875414585</v>
      </c>
      <c r="AG102" s="176">
        <f t="shared" si="40"/>
        <v>-2</v>
      </c>
      <c r="AH102" s="176">
        <f t="shared" si="41"/>
        <v>4</v>
      </c>
      <c r="AI102" s="225">
        <f t="shared" si="42"/>
        <v>-1.4769046112458541</v>
      </c>
      <c r="AJ102" s="265" t="b">
        <f t="shared" si="43"/>
        <v>1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20">
        <v>53.832999999999998</v>
      </c>
      <c r="C103" s="390"/>
      <c r="D103" s="393">
        <f t="shared" si="24"/>
        <v>54.200949935830529</v>
      </c>
      <c r="E103" s="385">
        <f t="shared" si="46"/>
        <v>56.147699835824049</v>
      </c>
      <c r="F103" s="385">
        <f t="shared" si="25"/>
        <v>56.1503147173473</v>
      </c>
      <c r="G103" s="110">
        <f t="shared" si="47"/>
        <v>1.0266547104601718</v>
      </c>
      <c r="H103" s="414" t="b">
        <f>Wh_hp&gt;='2018'!Maxi_hp</f>
        <v>1</v>
      </c>
      <c r="I103" s="390">
        <f>IF(H103,Wh_hp,'2018'!Maxi_hp)</f>
        <v>56.1503147173473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6.788625222734157E-3</v>
      </c>
      <c r="M103" s="959"/>
      <c r="N103" s="959"/>
      <c r="O103" s="48">
        <f>IF(t&lt;Tnet,'2018'!Resal+('2018'!Salim-'2018'!Resal)*(1-EXP(('2018'!Tnet-t)/('2018'!Tau_j))),Resal+(Salim-Resal)*(1-EXP((Tnet-t)/(Tau_j))))*Salcycl</f>
        <v>3.4671943920869829E-2</v>
      </c>
      <c r="P103" s="169">
        <f>(INDEX(Models!$BJ103:$BT103,,T103)*(1-R103)+INDEX(Models!$BJ103:$BT103,,T103+1)*R103-ERP_i)*Q103*Ramure*Pc/MaxiM</f>
        <v>4.6569311969386252E-5</v>
      </c>
      <c r="Q103" s="305">
        <f t="shared" si="27"/>
        <v>0.7</v>
      </c>
      <c r="R103" s="177">
        <f t="shared" si="28"/>
        <v>0.52404276310576403</v>
      </c>
      <c r="S103" s="921">
        <f t="shared" si="29"/>
        <v>-2</v>
      </c>
      <c r="T103" s="176">
        <f t="shared" si="30"/>
        <v>4</v>
      </c>
      <c r="U103" s="251">
        <f t="shared" si="31"/>
        <v>-1.475957236894236</v>
      </c>
      <c r="V103" s="383">
        <f t="shared" si="32"/>
        <v>52.435350903782172</v>
      </c>
      <c r="W103" s="58"/>
      <c r="X103" s="157">
        <f t="shared" si="33"/>
        <v>43554</v>
      </c>
      <c r="Y103" s="385">
        <f t="shared" si="34"/>
        <v>53.832999999999998</v>
      </c>
      <c r="Z103" s="385">
        <f t="shared" si="35"/>
        <v>54.200949935830529</v>
      </c>
      <c r="AA103" s="386">
        <f t="shared" si="36"/>
        <v>56.147699835824049</v>
      </c>
      <c r="AB103" s="197">
        <f t="shared" si="37"/>
        <v>43554</v>
      </c>
      <c r="AC103" s="427">
        <f>IF(OR(t&lt;Tnet,NoTnet),'2018'!Resal_s+('2018'!Salim-'2018'!Resal_s)*(1-EXP(('2018'!Tnet_s-t)/'2018'!Tau_j)),Resal_s+(Salim-Resal_s)*(1-EXP((Tnet_s-t)/Tau_j)))*Salcycl</f>
        <v>3.4671943920869829E-2</v>
      </c>
      <c r="AD103" s="231">
        <f>(INDEX(Models!$BJ103:$BT103,,AH103)*(1-AF103)+INDEX(Models!$BJ103:$BT103,,AH103+1)*AF103-ERP_i)*AE103*Ramure*Pc/MaxiM</f>
        <v>4.6569311969386252E-5</v>
      </c>
      <c r="AE103" s="305">
        <f t="shared" si="38"/>
        <v>0.7</v>
      </c>
      <c r="AF103" s="177">
        <f t="shared" si="39"/>
        <v>0.52404276310576403</v>
      </c>
      <c r="AG103" s="176">
        <f t="shared" si="40"/>
        <v>-2</v>
      </c>
      <c r="AH103" s="176">
        <f t="shared" si="41"/>
        <v>4</v>
      </c>
      <c r="AI103" s="225">
        <f t="shared" si="42"/>
        <v>-1.475957236894236</v>
      </c>
      <c r="AJ103" s="265" t="b">
        <f t="shared" si="43"/>
        <v>1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20">
        <v>45.825000000000003</v>
      </c>
      <c r="C104" s="390"/>
      <c r="D104" s="393">
        <f t="shared" si="24"/>
        <v>46.139225617877472</v>
      </c>
      <c r="E104" s="385">
        <f t="shared" si="46"/>
        <v>47.801407936777508</v>
      </c>
      <c r="F104" s="385">
        <f t="shared" si="25"/>
        <v>47.803163330450126</v>
      </c>
      <c r="G104" s="110">
        <f t="shared" si="47"/>
        <v>0.87037017199961308</v>
      </c>
      <c r="H104" s="414" t="b">
        <f>Wh_hp&gt;='2018'!Maxi_hp</f>
        <v>1</v>
      </c>
      <c r="I104" s="390">
        <f>IF(H104,Wh_hp,'2018'!Maxi_hp)</f>
        <v>47.803163330450126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6.8103791008515824E-3</v>
      </c>
      <c r="M104" s="959"/>
      <c r="N104" s="959"/>
      <c r="O104" s="48">
        <f>IF(t&lt;Tnet,'2018'!Resal+('2018'!Salim-'2018'!Resal)*(1-EXP(('2018'!Tnet-t)/('2018'!Tau_j))),Resal+(Salim-Resal)*(1-EXP((Tnet-t)/(Tau_j))))*Salcycl</f>
        <v>3.4772664459976878E-2</v>
      </c>
      <c r="P104" s="169">
        <f>(INDEX(Models!$BJ104:$BT104,,T104)*(1-R104)+INDEX(Models!$BJ104:$BT104,,T104+1)*R104-ERP_i)*Q104*Ramure*Pc/MaxiM</f>
        <v>4.5066475598818566E-5</v>
      </c>
      <c r="Q104" s="305">
        <f t="shared" si="27"/>
        <v>0.7</v>
      </c>
      <c r="R104" s="177">
        <f t="shared" si="28"/>
        <v>0.52502588758942847</v>
      </c>
      <c r="S104" s="921">
        <f t="shared" si="29"/>
        <v>-2</v>
      </c>
      <c r="T104" s="176">
        <f t="shared" si="30"/>
        <v>4</v>
      </c>
      <c r="U104" s="251">
        <f t="shared" si="31"/>
        <v>-1.4749741124105715</v>
      </c>
      <c r="V104" s="383">
        <f t="shared" si="32"/>
        <v>52.649572609322135</v>
      </c>
      <c r="W104" s="58"/>
      <c r="X104" s="157">
        <f t="shared" si="33"/>
        <v>43555</v>
      </c>
      <c r="Y104" s="385">
        <f t="shared" si="34"/>
        <v>45.825000000000003</v>
      </c>
      <c r="Z104" s="385">
        <f t="shared" si="35"/>
        <v>46.139225617877472</v>
      </c>
      <c r="AA104" s="386">
        <f t="shared" si="36"/>
        <v>47.801407936777508</v>
      </c>
      <c r="AB104" s="197">
        <f t="shared" si="37"/>
        <v>43555</v>
      </c>
      <c r="AC104" s="427">
        <f>IF(OR(t&lt;Tnet,NoTnet),'2018'!Resal_s+('2018'!Salim-'2018'!Resal_s)*(1-EXP(('2018'!Tnet_s-t)/'2018'!Tau_j)),Resal_s+(Salim-Resal_s)*(1-EXP((Tnet_s-t)/Tau_j)))*Salcycl</f>
        <v>3.4772664459976878E-2</v>
      </c>
      <c r="AD104" s="231">
        <f>(INDEX(Models!$BJ104:$BT104,,AH104)*(1-AF104)+INDEX(Models!$BJ104:$BT104,,AH104+1)*AF104-ERP_i)*AE104*Ramure*Pc/MaxiM</f>
        <v>4.5066475598818566E-5</v>
      </c>
      <c r="AE104" s="305">
        <f t="shared" si="38"/>
        <v>0.7</v>
      </c>
      <c r="AF104" s="177">
        <f t="shared" si="39"/>
        <v>0.52502588758942847</v>
      </c>
      <c r="AG104" s="176">
        <f t="shared" si="40"/>
        <v>-2</v>
      </c>
      <c r="AH104" s="176">
        <f t="shared" si="41"/>
        <v>4</v>
      </c>
      <c r="AI104" s="225">
        <f t="shared" si="42"/>
        <v>-1.4749741124105715</v>
      </c>
      <c r="AJ104" s="265" t="b">
        <f t="shared" si="43"/>
        <v>1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20">
        <v>41.273000000000003</v>
      </c>
      <c r="C105" s="390"/>
      <c r="D105" s="393">
        <f t="shared" si="24"/>
        <v>41.556922400234654</v>
      </c>
      <c r="E105" s="385">
        <f t="shared" si="46"/>
        <v>43.058530138998428</v>
      </c>
      <c r="F105" s="385">
        <f t="shared" si="25"/>
        <v>43.059821680907575</v>
      </c>
      <c r="G105" s="110">
        <f t="shared" si="47"/>
        <v>0.78085367219705915</v>
      </c>
      <c r="H105" s="414" t="b">
        <f>Wh_hp&gt;='2018'!Maxi_hp</f>
        <v>1</v>
      </c>
      <c r="I105" s="390">
        <f>IF(H105,Wh_hp,'2018'!Maxi_hp)</f>
        <v>43.059821680907575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6.832132502503252E-3</v>
      </c>
      <c r="M105" s="959"/>
      <c r="N105" s="959"/>
      <c r="O105" s="48">
        <f>IF(t&lt;Tnet,'2018'!Resal+('2018'!Salim-'2018'!Resal)*(1-EXP(('2018'!Tnet-t)/('2018'!Tau_j))),Resal+(Salim-Resal)*(1-EXP((Tnet-t)/(Tau_j))))*Salcycl</f>
        <v>3.4873641388045273E-2</v>
      </c>
      <c r="P105" s="169">
        <f>(INDEX(Models!$BJ105:$BT105,,T105)*(1-R105)+INDEX(Models!$BJ105:$BT105,,T105+1)*R105-ERP_i)*Q105*Ramure*Pc/MaxiM</f>
        <v>4.3662815723129949E-5</v>
      </c>
      <c r="Q105" s="305">
        <f t="shared" si="27"/>
        <v>0.7</v>
      </c>
      <c r="R105" s="177">
        <f t="shared" si="28"/>
        <v>0.52604594665871374</v>
      </c>
      <c r="S105" s="921">
        <f t="shared" si="29"/>
        <v>-2</v>
      </c>
      <c r="T105" s="176">
        <f t="shared" si="30"/>
        <v>4</v>
      </c>
      <c r="U105" s="251">
        <f t="shared" si="31"/>
        <v>-1.4739540533412863</v>
      </c>
      <c r="V105" s="383">
        <f t="shared" si="32"/>
        <v>52.855531458672473</v>
      </c>
      <c r="W105" s="58"/>
      <c r="X105" s="157">
        <f t="shared" si="33"/>
        <v>43556</v>
      </c>
      <c r="Y105" s="385">
        <f t="shared" si="34"/>
        <v>41.273000000000003</v>
      </c>
      <c r="Z105" s="385">
        <f t="shared" si="35"/>
        <v>41.556922400234654</v>
      </c>
      <c r="AA105" s="386">
        <f t="shared" si="36"/>
        <v>43.058530138998428</v>
      </c>
      <c r="AB105" s="197">
        <f t="shared" si="37"/>
        <v>43556</v>
      </c>
      <c r="AC105" s="427">
        <f>IF(OR(t&lt;Tnet,NoTnet),'2018'!Resal_s+('2018'!Salim-'2018'!Resal_s)*(1-EXP(('2018'!Tnet_s-t)/'2018'!Tau_j)),Resal_s+(Salim-Resal_s)*(1-EXP((Tnet_s-t)/Tau_j)))*Salcycl</f>
        <v>3.4873641388045273E-2</v>
      </c>
      <c r="AD105" s="231">
        <f>(INDEX(Models!$BJ105:$BT105,,AH105)*(1-AF105)+INDEX(Models!$BJ105:$BT105,,AH105+1)*AF105-ERP_i)*AE105*Ramure*Pc/MaxiM</f>
        <v>4.3662815723129949E-5</v>
      </c>
      <c r="AE105" s="305">
        <f t="shared" si="38"/>
        <v>0.7</v>
      </c>
      <c r="AF105" s="177">
        <f t="shared" si="39"/>
        <v>0.52604594665871374</v>
      </c>
      <c r="AG105" s="176">
        <f t="shared" si="40"/>
        <v>-2</v>
      </c>
      <c r="AH105" s="176">
        <f t="shared" si="41"/>
        <v>4</v>
      </c>
      <c r="AI105" s="225">
        <f t="shared" si="42"/>
        <v>-1.4739540533412863</v>
      </c>
      <c r="AJ105" s="265" t="b">
        <f t="shared" si="43"/>
        <v>1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20">
        <v>16.454999999999998</v>
      </c>
      <c r="C106" s="390"/>
      <c r="D106" s="393">
        <f t="shared" si="24"/>
        <v>16.568559005123195</v>
      </c>
      <c r="E106" s="385">
        <f t="shared" si="46"/>
        <v>17.169044442025672</v>
      </c>
      <c r="F106" s="385">
        <f t="shared" si="25"/>
        <v>17.169055001953556</v>
      </c>
      <c r="G106" s="110">
        <f t="shared" si="47"/>
        <v>0.31015147138541016</v>
      </c>
      <c r="H106" s="414" t="b">
        <f>Wh_hp&gt;='2018'!Maxi_hp</f>
        <v>1</v>
      </c>
      <c r="I106" s="390">
        <f>IF(H106,Wh_hp,'2018'!Maxi_hp)</f>
        <v>17.169055001953556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6.853885427699602E-3</v>
      </c>
      <c r="M106" s="959"/>
      <c r="N106" s="959"/>
      <c r="O106" s="48">
        <f>IF(t&lt;Tnet,'2018'!Resal+('2018'!Salim-'2018'!Resal)*(1-EXP(('2018'!Tnet-t)/('2018'!Tau_j))),Resal+(Salim-Resal)*(1-EXP((Tnet-t)/(Tau_j))))*Salcycl</f>
        <v>3.4974889775032221E-2</v>
      </c>
      <c r="P106" s="169">
        <f>(INDEX(Models!$BJ106:$BT106,,T106)*(1-R106)+INDEX(Models!$BJ106:$BT106,,T106+1)*R106-ERP_i)*Q106*Ramure*Pc/MaxiM</f>
        <v>4.235747530984224E-5</v>
      </c>
      <c r="Q106" s="305">
        <f t="shared" si="27"/>
        <v>0.7</v>
      </c>
      <c r="R106" s="177">
        <f t="shared" si="28"/>
        <v>0.52710415070815309</v>
      </c>
      <c r="S106" s="921">
        <f t="shared" si="29"/>
        <v>-2</v>
      </c>
      <c r="T106" s="176">
        <f t="shared" si="30"/>
        <v>4</v>
      </c>
      <c r="U106" s="251">
        <f t="shared" si="31"/>
        <v>-1.4728958492918469</v>
      </c>
      <c r="V106" s="383">
        <f t="shared" si="32"/>
        <v>53.052507068775135</v>
      </c>
      <c r="W106" s="58"/>
      <c r="X106" s="157">
        <f t="shared" si="33"/>
        <v>43557</v>
      </c>
      <c r="Y106" s="385">
        <f t="shared" si="34"/>
        <v>16.454999999999998</v>
      </c>
      <c r="Z106" s="385">
        <f t="shared" si="35"/>
        <v>16.568559005123195</v>
      </c>
      <c r="AA106" s="386">
        <f t="shared" si="36"/>
        <v>17.169044442025672</v>
      </c>
      <c r="AB106" s="197">
        <f t="shared" si="37"/>
        <v>43557</v>
      </c>
      <c r="AC106" s="427">
        <f>IF(OR(t&lt;Tnet,NoTnet),'2018'!Resal_s+('2018'!Salim-'2018'!Resal_s)*(1-EXP(('2018'!Tnet_s-t)/'2018'!Tau_j)),Resal_s+(Salim-Resal_s)*(1-EXP((Tnet_s-t)/Tau_j)))*Salcycl</f>
        <v>3.4974889775032221E-2</v>
      </c>
      <c r="AD106" s="231">
        <f>(INDEX(Models!$BJ106:$BT106,,AH106)*(1-AF106)+INDEX(Models!$BJ106:$BT106,,AH106+1)*AF106-ERP_i)*AE106*Ramure*Pc/MaxiM</f>
        <v>4.235747530984224E-5</v>
      </c>
      <c r="AE106" s="305">
        <f t="shared" si="38"/>
        <v>0.7</v>
      </c>
      <c r="AF106" s="177">
        <f t="shared" si="39"/>
        <v>0.52710415070815309</v>
      </c>
      <c r="AG106" s="176">
        <f t="shared" si="40"/>
        <v>-2</v>
      </c>
      <c r="AH106" s="176">
        <f t="shared" si="41"/>
        <v>4</v>
      </c>
      <c r="AI106" s="225">
        <f t="shared" si="42"/>
        <v>-1.4728958492918469</v>
      </c>
      <c r="AJ106" s="265" t="b">
        <f t="shared" si="43"/>
        <v>1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20">
        <v>14.746</v>
      </c>
      <c r="C107" s="390"/>
      <c r="D107" s="393">
        <f t="shared" si="24"/>
        <v>14.848090090620024</v>
      </c>
      <c r="E107" s="385">
        <f t="shared" si="46"/>
        <v>15.387840517505655</v>
      </c>
      <c r="F107" s="385">
        <f t="shared" si="25"/>
        <v>15.387840517505655</v>
      </c>
      <c r="G107" s="110">
        <f t="shared" si="47"/>
        <v>0.2769583726503892</v>
      </c>
      <c r="H107" s="414" t="b">
        <f>Wh_hp&gt;='2018'!Maxi_hp</f>
        <v>1</v>
      </c>
      <c r="I107" s="390">
        <f>IF(H107,Wh_hp,'2018'!Maxi_hp)</f>
        <v>15.387840517505655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6.8756378764510684E-3</v>
      </c>
      <c r="M107" s="959"/>
      <c r="N107" s="959"/>
      <c r="O107" s="48">
        <f>IF(t&lt;Tnet,'2018'!Resal+('2018'!Salim-'2018'!Resal)*(1-EXP(('2018'!Tnet-t)/('2018'!Tau_j))),Resal+(Salim-Resal)*(1-EXP((Tnet-t)/(Tau_j))))*Salcycl</f>
        <v>3.5076424549084308E-2</v>
      </c>
      <c r="P107" s="169">
        <f>(INDEX(Models!$BJ107:$BT107,,T107)*(1-R107)+INDEX(Models!$BJ107:$BT107,,T107+1)*R107-ERP_i)*Q107*Ramure*Pc/MaxiM</f>
        <v>4.1149162435774123E-5</v>
      </c>
      <c r="Q107" s="305">
        <f t="shared" si="27"/>
        <v>0.7</v>
      </c>
      <c r="R107" s="177">
        <f t="shared" si="28"/>
        <v>0.52820173551296667</v>
      </c>
      <c r="S107" s="921">
        <f t="shared" si="29"/>
        <v>-2</v>
      </c>
      <c r="T107" s="176">
        <f t="shared" si="30"/>
        <v>4</v>
      </c>
      <c r="U107" s="251">
        <f t="shared" si="31"/>
        <v>-1.4717982644870333</v>
      </c>
      <c r="V107" s="383">
        <f t="shared" si="32"/>
        <v>53.240467415166982</v>
      </c>
      <c r="W107" s="58"/>
      <c r="X107" s="157">
        <f t="shared" si="33"/>
        <v>43558</v>
      </c>
      <c r="Y107" s="385">
        <f t="shared" si="34"/>
        <v>14.746</v>
      </c>
      <c r="Z107" s="385">
        <f t="shared" si="35"/>
        <v>14.848090090620024</v>
      </c>
      <c r="AA107" s="386">
        <f t="shared" si="36"/>
        <v>15.387840517505655</v>
      </c>
      <c r="AB107" s="197">
        <f t="shared" si="37"/>
        <v>43558</v>
      </c>
      <c r="AC107" s="427">
        <f>IF(OR(t&lt;Tnet,NoTnet),'2018'!Resal_s+('2018'!Salim-'2018'!Resal_s)*(1-EXP(('2018'!Tnet_s-t)/'2018'!Tau_j)),Resal_s+(Salim-Resal_s)*(1-EXP((Tnet_s-t)/Tau_j)))*Salcycl</f>
        <v>3.5076424549084308E-2</v>
      </c>
      <c r="AD107" s="231">
        <f>(INDEX(Models!$BJ107:$BT107,,AH107)*(1-AF107)+INDEX(Models!$BJ107:$BT107,,AH107+1)*AF107-ERP_i)*AE107*Ramure*Pc/MaxiM</f>
        <v>4.1149162435774123E-5</v>
      </c>
      <c r="AE107" s="305">
        <f t="shared" si="38"/>
        <v>0.7</v>
      </c>
      <c r="AF107" s="177">
        <f t="shared" si="39"/>
        <v>0.52820173551296667</v>
      </c>
      <c r="AG107" s="176">
        <f t="shared" si="40"/>
        <v>-2</v>
      </c>
      <c r="AH107" s="176">
        <f t="shared" si="41"/>
        <v>4</v>
      </c>
      <c r="AI107" s="225">
        <f t="shared" si="42"/>
        <v>-1.4717982644870333</v>
      </c>
      <c r="AJ107" s="265" t="b">
        <f t="shared" si="43"/>
        <v>1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20">
        <v>39.356000000000002</v>
      </c>
      <c r="C108" s="390"/>
      <c r="D108" s="393">
        <f t="shared" si="24"/>
        <v>39.629339000535687</v>
      </c>
      <c r="E108" s="385">
        <f t="shared" si="46"/>
        <v>41.07426001790266</v>
      </c>
      <c r="F108" s="385">
        <f t="shared" si="25"/>
        <v>41.075291032345696</v>
      </c>
      <c r="G108" s="110">
        <f t="shared" si="47"/>
        <v>0.73671397292977414</v>
      </c>
      <c r="H108" s="414" t="b">
        <f>Wh_hp&gt;='2018'!Maxi_hp</f>
        <v>1</v>
      </c>
      <c r="I108" s="390">
        <f>IF(H108,Wh_hp,'2018'!Maxi_hp)</f>
        <v>41.075291032345696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6.8973898487680874E-3</v>
      </c>
      <c r="M108" s="959"/>
      <c r="N108" s="959"/>
      <c r="O108" s="48">
        <f>IF(t&lt;Tnet,'2018'!Resal+('2018'!Salim-'2018'!Resal)*(1-EXP(('2018'!Tnet-t)/('2018'!Tau_j))),Resal+(Salim-Resal)*(1-EXP((Tnet-t)/(Tau_j))))*Salcycl</f>
        <v>3.5178260466218789E-2</v>
      </c>
      <c r="P108" s="169">
        <f>(INDEX(Models!$BJ108:$BT108,,T108)*(1-R108)+INDEX(Models!$BJ108:$BT108,,T108+1)*R108-ERP_i)*Q108*Ramure*Pc/MaxiM</f>
        <v>4.0232217092269661E-5</v>
      </c>
      <c r="Q108" s="305">
        <f t="shared" si="27"/>
        <v>0.7</v>
      </c>
      <c r="R108" s="177">
        <f t="shared" si="28"/>
        <v>0.52933996154781915</v>
      </c>
      <c r="S108" s="921">
        <f t="shared" si="29"/>
        <v>-2</v>
      </c>
      <c r="T108" s="176">
        <f t="shared" si="30"/>
        <v>4</v>
      </c>
      <c r="U108" s="251">
        <f t="shared" si="31"/>
        <v>-1.4706600384521809</v>
      </c>
      <c r="V108" s="383">
        <f t="shared" si="32"/>
        <v>53.420195504930589</v>
      </c>
      <c r="W108" s="58"/>
      <c r="X108" s="157">
        <f t="shared" si="33"/>
        <v>43559</v>
      </c>
      <c r="Y108" s="385">
        <f t="shared" si="34"/>
        <v>39.356000000000002</v>
      </c>
      <c r="Z108" s="385">
        <f t="shared" si="35"/>
        <v>39.629339000535687</v>
      </c>
      <c r="AA108" s="386">
        <f t="shared" si="36"/>
        <v>41.07426001790266</v>
      </c>
      <c r="AB108" s="197">
        <f t="shared" si="37"/>
        <v>43559</v>
      </c>
      <c r="AC108" s="427">
        <f>IF(OR(t&lt;Tnet,NoTnet),'2018'!Resal_s+('2018'!Salim-'2018'!Resal_s)*(1-EXP(('2018'!Tnet_s-t)/'2018'!Tau_j)),Resal_s+(Salim-Resal_s)*(1-EXP((Tnet_s-t)/Tau_j)))*Salcycl</f>
        <v>3.5178260466218789E-2</v>
      </c>
      <c r="AD108" s="231">
        <f>(INDEX(Models!$BJ108:$BT108,,AH108)*(1-AF108)+INDEX(Models!$BJ108:$BT108,,AH108+1)*AF108-ERP_i)*AE108*Ramure*Pc/MaxiM</f>
        <v>4.0232217092269661E-5</v>
      </c>
      <c r="AE108" s="305">
        <f t="shared" si="38"/>
        <v>0.7</v>
      </c>
      <c r="AF108" s="177">
        <f t="shared" si="39"/>
        <v>0.52933996154781915</v>
      </c>
      <c r="AG108" s="176">
        <f t="shared" si="40"/>
        <v>-2</v>
      </c>
      <c r="AH108" s="176">
        <f t="shared" si="41"/>
        <v>4</v>
      </c>
      <c r="AI108" s="225">
        <f t="shared" si="42"/>
        <v>-1.4706600384521809</v>
      </c>
      <c r="AJ108" s="265" t="b">
        <f t="shared" si="43"/>
        <v>1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20">
        <v>49.722999999999999</v>
      </c>
      <c r="C109" s="390"/>
      <c r="D109" s="393">
        <f t="shared" si="24"/>
        <v>50.069437515215448</v>
      </c>
      <c r="E109" s="385">
        <f t="shared" si="46"/>
        <v>51.900508854814987</v>
      </c>
      <c r="F109" s="385">
        <f t="shared" si="25"/>
        <v>51.9023513388249</v>
      </c>
      <c r="G109" s="110">
        <f t="shared" si="47"/>
        <v>0.92779895727148676</v>
      </c>
      <c r="H109" s="414" t="b">
        <f>Wh_hp&gt;='2018'!Maxi_hp</f>
        <v>1</v>
      </c>
      <c r="I109" s="390">
        <f>IF(H109,Wh_hp,'2018'!Maxi_hp)</f>
        <v>51.9023513388249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6.919141344660984E-3</v>
      </c>
      <c r="M109" s="959"/>
      <c r="N109" s="959"/>
      <c r="O109" s="48">
        <f>IF(t&lt;Tnet,'2018'!Resal+('2018'!Salim-'2018'!Resal)*(1-EXP(('2018'!Tnet-t)/('2018'!Tau_j))),Resal+(Salim-Resal)*(1-EXP((Tnet-t)/(Tau_j))))*Salcycl</f>
        <v>3.5280412080770276E-2</v>
      </c>
      <c r="P109" s="169">
        <f>(INDEX(Models!$BJ109:$BT109,,T109)*(1-R109)+INDEX(Models!$BJ109:$BT109,,T109+1)*R109-ERP_i)*Q109*Ramure*Pc/MaxiM</f>
        <v>3.9581433977630564E-5</v>
      </c>
      <c r="Q109" s="305">
        <f t="shared" si="27"/>
        <v>0.7</v>
      </c>
      <c r="R109" s="177">
        <f t="shared" si="28"/>
        <v>0.53052011317583792</v>
      </c>
      <c r="S109" s="921">
        <f t="shared" si="29"/>
        <v>-2</v>
      </c>
      <c r="T109" s="176">
        <f t="shared" si="30"/>
        <v>4</v>
      </c>
      <c r="U109" s="251">
        <f t="shared" si="31"/>
        <v>-1.4694798868241621</v>
      </c>
      <c r="V109" s="383">
        <f t="shared" si="32"/>
        <v>53.592210483285655</v>
      </c>
      <c r="W109" s="58"/>
      <c r="X109" s="157">
        <f t="shared" si="33"/>
        <v>43560</v>
      </c>
      <c r="Y109" s="385">
        <f t="shared" si="34"/>
        <v>49.722999999999999</v>
      </c>
      <c r="Z109" s="385">
        <f t="shared" si="35"/>
        <v>50.069437515215448</v>
      </c>
      <c r="AA109" s="386">
        <f t="shared" si="36"/>
        <v>51.900508854814987</v>
      </c>
      <c r="AB109" s="197">
        <f t="shared" si="37"/>
        <v>43560</v>
      </c>
      <c r="AC109" s="427">
        <f>IF(OR(t&lt;Tnet,NoTnet),'2018'!Resal_s+('2018'!Salim-'2018'!Resal_s)*(1-EXP(('2018'!Tnet_s-t)/'2018'!Tau_j)),Resal_s+(Salim-Resal_s)*(1-EXP((Tnet_s-t)/Tau_j)))*Salcycl</f>
        <v>3.5280412080770276E-2</v>
      </c>
      <c r="AD109" s="231">
        <f>(INDEX(Models!$BJ109:$BT109,,AH109)*(1-AF109)+INDEX(Models!$BJ109:$BT109,,AH109+1)*AF109-ERP_i)*AE109*Ramure*Pc/MaxiM</f>
        <v>3.9581433977630564E-5</v>
      </c>
      <c r="AE109" s="305">
        <f t="shared" si="38"/>
        <v>0.7</v>
      </c>
      <c r="AF109" s="177">
        <f t="shared" si="39"/>
        <v>0.53052011317583792</v>
      </c>
      <c r="AG109" s="176">
        <f t="shared" si="40"/>
        <v>-2</v>
      </c>
      <c r="AH109" s="176">
        <f t="shared" si="41"/>
        <v>4</v>
      </c>
      <c r="AI109" s="225">
        <f t="shared" si="42"/>
        <v>-1.4694798868241621</v>
      </c>
      <c r="AJ109" s="265" t="b">
        <f t="shared" si="43"/>
        <v>1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20">
        <v>18.399000000000001</v>
      </c>
      <c r="C110" s="390"/>
      <c r="D110" s="393">
        <f t="shared" si="24"/>
        <v>18.52759806392778</v>
      </c>
      <c r="E110" s="385">
        <f t="shared" si="46"/>
        <v>19.207204540785074</v>
      </c>
      <c r="F110" s="385">
        <f t="shared" si="25"/>
        <v>19.207249994423051</v>
      </c>
      <c r="G110" s="110">
        <f t="shared" si="47"/>
        <v>0.34224960685855155</v>
      </c>
      <c r="H110" s="414" t="b">
        <f>Wh_hp&gt;='2018'!Maxi_hp</f>
        <v>1</v>
      </c>
      <c r="I110" s="390">
        <f>IF(H110,Wh_hp,'2018'!Maxi_hp)</f>
        <v>19.207249994423051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6.9408923641404163E-3</v>
      </c>
      <c r="M110" s="959"/>
      <c r="N110" s="959"/>
      <c r="O110" s="48">
        <f>IF(t&lt;Tnet,'2018'!Resal+('2018'!Salim-'2018'!Resal)*(1-EXP(('2018'!Tnet-t)/('2018'!Tau_j))),Resal+(Salim-Resal)*(1-EXP((Tnet-t)/(Tau_j))))*Salcycl</f>
        <v>3.5382893716480131E-2</v>
      </c>
      <c r="P110" s="169">
        <f>(INDEX(Models!$BJ110:$BT110,,T110)*(1-R110)+INDEX(Models!$BJ110:$BT110,,T110+1)*R110-ERP_i)*Q110*Ramure*Pc/MaxiM</f>
        <v>3.9196678837274128E-5</v>
      </c>
      <c r="Q110" s="305">
        <f t="shared" si="27"/>
        <v>0.7</v>
      </c>
      <c r="R110" s="177">
        <f t="shared" si="28"/>
        <v>0.53174349769887819</v>
      </c>
      <c r="S110" s="921">
        <f t="shared" si="29"/>
        <v>-2</v>
      </c>
      <c r="T110" s="176">
        <f t="shared" si="30"/>
        <v>4</v>
      </c>
      <c r="U110" s="251">
        <f t="shared" si="31"/>
        <v>-1.4682565023011218</v>
      </c>
      <c r="V110" s="383">
        <f t="shared" si="32"/>
        <v>53.757029930597099</v>
      </c>
      <c r="W110" s="58"/>
      <c r="X110" s="157">
        <f t="shared" si="33"/>
        <v>43561</v>
      </c>
      <c r="Y110" s="385">
        <f t="shared" si="34"/>
        <v>18.399000000000001</v>
      </c>
      <c r="Z110" s="385">
        <f t="shared" si="35"/>
        <v>18.52759806392778</v>
      </c>
      <c r="AA110" s="386">
        <f t="shared" si="36"/>
        <v>19.207204540785074</v>
      </c>
      <c r="AB110" s="197">
        <f t="shared" si="37"/>
        <v>43561</v>
      </c>
      <c r="AC110" s="427">
        <f>IF(OR(t&lt;Tnet,NoTnet),'2018'!Resal_s+('2018'!Salim-'2018'!Resal_s)*(1-EXP(('2018'!Tnet_s-t)/'2018'!Tau_j)),Resal_s+(Salim-Resal_s)*(1-EXP((Tnet_s-t)/Tau_j)))*Salcycl</f>
        <v>3.5382893716480131E-2</v>
      </c>
      <c r="AD110" s="231">
        <f>(INDEX(Models!$BJ110:$BT110,,AH110)*(1-AF110)+INDEX(Models!$BJ110:$BT110,,AH110+1)*AF110-ERP_i)*AE110*Ramure*Pc/MaxiM</f>
        <v>3.9196678837274128E-5</v>
      </c>
      <c r="AE110" s="305">
        <f t="shared" si="38"/>
        <v>0.7</v>
      </c>
      <c r="AF110" s="177">
        <f t="shared" si="39"/>
        <v>0.53174349769887819</v>
      </c>
      <c r="AG110" s="176">
        <f t="shared" si="40"/>
        <v>-2</v>
      </c>
      <c r="AH110" s="176">
        <f t="shared" si="41"/>
        <v>4</v>
      </c>
      <c r="AI110" s="225">
        <f t="shared" si="42"/>
        <v>-1.4682565023011218</v>
      </c>
      <c r="AJ110" s="265" t="b">
        <f t="shared" si="43"/>
        <v>1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20">
        <v>35.883000000000003</v>
      </c>
      <c r="C111" s="390"/>
      <c r="D111" s="393">
        <f t="shared" si="24"/>
        <v>36.134592262521814</v>
      </c>
      <c r="E111" s="385">
        <f t="shared" si="46"/>
        <v>37.464030331899529</v>
      </c>
      <c r="F111" s="385">
        <f t="shared" si="25"/>
        <v>37.464794877296306</v>
      </c>
      <c r="G111" s="110">
        <f t="shared" si="47"/>
        <v>0.66553308144982459</v>
      </c>
      <c r="H111" s="414" t="b">
        <f>Wh_hp&gt;='2018'!Maxi_hp</f>
        <v>1</v>
      </c>
      <c r="I111" s="390">
        <f>IF(H111,Wh_hp,'2018'!Maxi_hp)</f>
        <v>37.464794877296306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6.9626429072165985E-3</v>
      </c>
      <c r="M111" s="959"/>
      <c r="N111" s="959"/>
      <c r="O111" s="48">
        <f>IF(t&lt;Tnet,'2018'!Resal+('2018'!Salim-'2018'!Resal)*(1-EXP(('2018'!Tnet-t)/('2018'!Tau_j))),Resal+(Salim-Resal)*(1-EXP((Tnet-t)/(Tau_j))))*Salcycl</f>
        <v>3.5485719438085532E-2</v>
      </c>
      <c r="P111" s="169">
        <f>(INDEX(Models!$BJ111:$BT111,,T111)*(1-R111)+INDEX(Models!$BJ111:$BT111,,T111+1)*R111-ERP_i)*Q111*Ramure*Pc/MaxiM</f>
        <v>3.9078375966246045E-5</v>
      </c>
      <c r="Q111" s="305">
        <f t="shared" si="27"/>
        <v>0.7</v>
      </c>
      <c r="R111" s="177">
        <f t="shared" si="28"/>
        <v>0.53301144425982727</v>
      </c>
      <c r="S111" s="921">
        <f t="shared" si="29"/>
        <v>-2</v>
      </c>
      <c r="T111" s="176">
        <f t="shared" si="30"/>
        <v>4</v>
      </c>
      <c r="U111" s="251">
        <f t="shared" si="31"/>
        <v>-1.4669885557401727</v>
      </c>
      <c r="V111" s="383">
        <f t="shared" si="32"/>
        <v>53.915171165417753</v>
      </c>
      <c r="W111" s="58"/>
      <c r="X111" s="157">
        <f t="shared" si="33"/>
        <v>43562</v>
      </c>
      <c r="Y111" s="385">
        <f t="shared" si="34"/>
        <v>35.883000000000003</v>
      </c>
      <c r="Z111" s="385">
        <f t="shared" si="35"/>
        <v>36.134592262521814</v>
      </c>
      <c r="AA111" s="386">
        <f t="shared" si="36"/>
        <v>37.464030331899529</v>
      </c>
      <c r="AB111" s="197">
        <f t="shared" si="37"/>
        <v>43562</v>
      </c>
      <c r="AC111" s="427">
        <f>IF(OR(t&lt;Tnet,NoTnet),'2018'!Resal_s+('2018'!Salim-'2018'!Resal_s)*(1-EXP(('2018'!Tnet_s-t)/'2018'!Tau_j)),Resal_s+(Salim-Resal_s)*(1-EXP((Tnet_s-t)/Tau_j)))*Salcycl</f>
        <v>3.5485719438085532E-2</v>
      </c>
      <c r="AD111" s="231">
        <f>(INDEX(Models!$BJ111:$BT111,,AH111)*(1-AF111)+INDEX(Models!$BJ111:$BT111,,AH111+1)*AF111-ERP_i)*AE111*Ramure*Pc/MaxiM</f>
        <v>3.9078375966246045E-5</v>
      </c>
      <c r="AE111" s="305">
        <f t="shared" si="38"/>
        <v>0.7</v>
      </c>
      <c r="AF111" s="177">
        <f t="shared" si="39"/>
        <v>0.53301144425982727</v>
      </c>
      <c r="AG111" s="176">
        <f t="shared" si="40"/>
        <v>-2</v>
      </c>
      <c r="AH111" s="176">
        <f t="shared" si="41"/>
        <v>4</v>
      </c>
      <c r="AI111" s="225">
        <f t="shared" si="42"/>
        <v>-1.4669885557401727</v>
      </c>
      <c r="AJ111" s="265" t="b">
        <f t="shared" si="43"/>
        <v>1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20">
        <v>33.503</v>
      </c>
      <c r="C112" s="390"/>
      <c r="D112" s="393">
        <f t="shared" si="24"/>
        <v>33.738643947737501</v>
      </c>
      <c r="E112" s="385">
        <f t="shared" si="46"/>
        <v>34.983674548646164</v>
      </c>
      <c r="F112" s="385">
        <f t="shared" si="25"/>
        <v>34.984301231352468</v>
      </c>
      <c r="G112" s="110">
        <f t="shared" si="47"/>
        <v>0.61964215098762931</v>
      </c>
      <c r="H112" s="414" t="b">
        <f>Wh_hp&gt;='2018'!Maxi_hp</f>
        <v>1</v>
      </c>
      <c r="I112" s="390">
        <f>IF(H112,Wh_hp,'2018'!Maxi_hp)</f>
        <v>34.984301231352468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6.9843929739001887E-3</v>
      </c>
      <c r="M112" s="959"/>
      <c r="N112" s="959"/>
      <c r="O112" s="48">
        <f>IF(t&lt;Tnet,'2018'!Resal+('2018'!Salim-'2018'!Resal)*(1-EXP(('2018'!Tnet-t)/('2018'!Tau_j))),Resal+(Salim-Resal)*(1-EXP((Tnet-t)/(Tau_j))))*Salcycl</f>
        <v>3.5588903023248783E-2</v>
      </c>
      <c r="P112" s="169">
        <f>(INDEX(Models!$BJ112:$BT112,,T112)*(1-R112)+INDEX(Models!$BJ112:$BT112,,T112+1)*R112-ERP_i)*Q112*Ramure*Pc/MaxiM</f>
        <v>3.9227493315784207E-5</v>
      </c>
      <c r="Q112" s="305">
        <f t="shared" si="27"/>
        <v>0.7</v>
      </c>
      <c r="R112" s="177">
        <f t="shared" si="28"/>
        <v>0.53432530258757072</v>
      </c>
      <c r="S112" s="921">
        <f t="shared" si="29"/>
        <v>-2</v>
      </c>
      <c r="T112" s="176">
        <f t="shared" si="30"/>
        <v>4</v>
      </c>
      <c r="U112" s="251">
        <f t="shared" si="31"/>
        <v>-1.4656746974124293</v>
      </c>
      <c r="V112" s="383">
        <f t="shared" si="32"/>
        <v>54.067151246700931</v>
      </c>
      <c r="W112" s="58"/>
      <c r="X112" s="157">
        <f t="shared" si="33"/>
        <v>43563</v>
      </c>
      <c r="Y112" s="385">
        <f t="shared" si="34"/>
        <v>33.503</v>
      </c>
      <c r="Z112" s="385">
        <f t="shared" si="35"/>
        <v>33.738643947737501</v>
      </c>
      <c r="AA112" s="386">
        <f t="shared" si="36"/>
        <v>34.983674548646164</v>
      </c>
      <c r="AB112" s="197">
        <f t="shared" si="37"/>
        <v>43563</v>
      </c>
      <c r="AC112" s="427">
        <f>IF(OR(t&lt;Tnet,NoTnet),'2018'!Resal_s+('2018'!Salim-'2018'!Resal_s)*(1-EXP(('2018'!Tnet_s-t)/'2018'!Tau_j)),Resal_s+(Salim-Resal_s)*(1-EXP((Tnet_s-t)/Tau_j)))*Salcycl</f>
        <v>3.5588903023248783E-2</v>
      </c>
      <c r="AD112" s="231">
        <f>(INDEX(Models!$BJ112:$BT112,,AH112)*(1-AF112)+INDEX(Models!$BJ112:$BT112,,AH112+1)*AF112-ERP_i)*AE112*Ramure*Pc/MaxiM</f>
        <v>3.9227493315784207E-5</v>
      </c>
      <c r="AE112" s="305">
        <f t="shared" si="38"/>
        <v>0.7</v>
      </c>
      <c r="AF112" s="177">
        <f t="shared" si="39"/>
        <v>0.53432530258757072</v>
      </c>
      <c r="AG112" s="176">
        <f t="shared" si="40"/>
        <v>-2</v>
      </c>
      <c r="AH112" s="176">
        <f t="shared" si="41"/>
        <v>4</v>
      </c>
      <c r="AI112" s="225">
        <f t="shared" si="42"/>
        <v>-1.4656746974124293</v>
      </c>
      <c r="AJ112" s="265" t="b">
        <f t="shared" si="43"/>
        <v>1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20">
        <v>44.039000000000001</v>
      </c>
      <c r="C113" s="390"/>
      <c r="D113" s="393">
        <f t="shared" si="24"/>
        <v>44.34972046425505</v>
      </c>
      <c r="E113" s="385">
        <f t="shared" si="46"/>
        <v>45.991261635543388</v>
      </c>
      <c r="F113" s="385">
        <f t="shared" si="25"/>
        <v>45.992596170964376</v>
      </c>
      <c r="G113" s="110">
        <f t="shared" si="47"/>
        <v>0.81231690396640321</v>
      </c>
      <c r="H113" s="414" t="b">
        <f>Wh_hp&gt;='2018'!Maxi_hp</f>
        <v>1</v>
      </c>
      <c r="I113" s="390">
        <f>IF(H113,Wh_hp,'2018'!Maxi_hp)</f>
        <v>45.992596170964376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7.0061425642014008E-3</v>
      </c>
      <c r="M113" s="959"/>
      <c r="N113" s="959"/>
      <c r="O113" s="48">
        <f>IF(t&lt;Tnet,'2018'!Resal+('2018'!Salim-'2018'!Resal)*(1-EXP(('2018'!Tnet-t)/('2018'!Tau_j))),Resal+(Salim-Resal)*(1-EXP((Tnet-t)/(Tau_j))))*Salcycl</f>
        <v>3.5692457934654767E-2</v>
      </c>
      <c r="P113" s="169">
        <f>(INDEX(Models!$BJ113:$BT113,,T113)*(1-R113)+INDEX(Models!$BJ113:$BT113,,T113+1)*R113-ERP_i)*Q113*Ramure*Pc/MaxiM</f>
        <v>3.9645528789481289E-5</v>
      </c>
      <c r="Q113" s="305">
        <f t="shared" si="27"/>
        <v>0.7</v>
      </c>
      <c r="R113" s="177">
        <f t="shared" si="28"/>
        <v>0.53568644157513678</v>
      </c>
      <c r="S113" s="921">
        <f t="shared" si="29"/>
        <v>-2</v>
      </c>
      <c r="T113" s="176">
        <f t="shared" si="30"/>
        <v>4</v>
      </c>
      <c r="U113" s="251">
        <f t="shared" si="31"/>
        <v>-1.4643135584248632</v>
      </c>
      <c r="V113" s="383">
        <f t="shared" si="32"/>
        <v>54.213486966984611</v>
      </c>
      <c r="W113" s="58"/>
      <c r="X113" s="157">
        <f t="shared" si="33"/>
        <v>43564</v>
      </c>
      <c r="Y113" s="385">
        <f t="shared" si="34"/>
        <v>44.039000000000001</v>
      </c>
      <c r="Z113" s="385">
        <f t="shared" si="35"/>
        <v>44.34972046425505</v>
      </c>
      <c r="AA113" s="386">
        <f t="shared" si="36"/>
        <v>45.991261635543388</v>
      </c>
      <c r="AB113" s="197">
        <f t="shared" si="37"/>
        <v>43564</v>
      </c>
      <c r="AC113" s="427">
        <f>IF(OR(t&lt;Tnet,NoTnet),'2018'!Resal_s+('2018'!Salim-'2018'!Resal_s)*(1-EXP(('2018'!Tnet_s-t)/'2018'!Tau_j)),Resal_s+(Salim-Resal_s)*(1-EXP((Tnet_s-t)/Tau_j)))*Salcycl</f>
        <v>3.5692457934654767E-2</v>
      </c>
      <c r="AD113" s="231">
        <f>(INDEX(Models!$BJ113:$BT113,,AH113)*(1-AF113)+INDEX(Models!$BJ113:$BT113,,AH113+1)*AF113-ERP_i)*AE113*Ramure*Pc/MaxiM</f>
        <v>3.9645528789481289E-5</v>
      </c>
      <c r="AE113" s="305">
        <f t="shared" si="38"/>
        <v>0.7</v>
      </c>
      <c r="AF113" s="177">
        <f t="shared" si="39"/>
        <v>0.53568644157513678</v>
      </c>
      <c r="AG113" s="176">
        <f t="shared" si="40"/>
        <v>-2</v>
      </c>
      <c r="AH113" s="176">
        <f t="shared" si="41"/>
        <v>4</v>
      </c>
      <c r="AI113" s="225">
        <f t="shared" si="42"/>
        <v>-1.4643135584248632</v>
      </c>
      <c r="AJ113" s="265" t="b">
        <f t="shared" si="43"/>
        <v>1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20">
        <v>42.213000000000001</v>
      </c>
      <c r="C114" s="390"/>
      <c r="D114" s="393">
        <f t="shared" si="24"/>
        <v>42.511768101261481</v>
      </c>
      <c r="E114" s="385">
        <f t="shared" si="46"/>
        <v>44.090032418329336</v>
      </c>
      <c r="F114" s="385">
        <f t="shared" si="25"/>
        <v>44.091255753946619</v>
      </c>
      <c r="G114" s="110">
        <f t="shared" si="47"/>
        <v>0.77661126936314651</v>
      </c>
      <c r="H114" s="414" t="b">
        <f>Wh_hp&gt;='2018'!Maxi_hp</f>
        <v>1</v>
      </c>
      <c r="I114" s="390">
        <f>IF(H114,Wh_hp,'2018'!Maxi_hp)</f>
        <v>44.091255753946619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7.0278916781307821E-3</v>
      </c>
      <c r="M114" s="959"/>
      <c r="N114" s="959"/>
      <c r="O114" s="48">
        <f>IF(t&lt;Tnet,'2018'!Resal+('2018'!Salim-'2018'!Resal)*(1-EXP(('2018'!Tnet-t)/('2018'!Tau_j))),Resal+(Salim-Resal)*(1-EXP((Tnet-t)/(Tau_j))))*Salcycl</f>
        <v>3.5796397292094731E-2</v>
      </c>
      <c r="P114" s="169">
        <f>(INDEX(Models!$BJ114:$BT114,,T114)*(1-R114)+INDEX(Models!$BJ114:$BT114,,T114+1)*R114-ERP_i)*Q114*Ramure*Pc/MaxiM</f>
        <v>4.07490682732536E-5</v>
      </c>
      <c r="Q114" s="305">
        <f t="shared" si="27"/>
        <v>0.7</v>
      </c>
      <c r="R114" s="177">
        <f t="shared" si="28"/>
        <v>0.53709624768147934</v>
      </c>
      <c r="S114" s="921">
        <f t="shared" si="29"/>
        <v>-2</v>
      </c>
      <c r="T114" s="176">
        <f t="shared" si="30"/>
        <v>4</v>
      </c>
      <c r="U114" s="251">
        <f t="shared" si="31"/>
        <v>-1.4629037523185207</v>
      </c>
      <c r="V114" s="383">
        <f t="shared" si="32"/>
        <v>54.354672320641399</v>
      </c>
      <c r="W114" s="58"/>
      <c r="X114" s="157">
        <f t="shared" si="33"/>
        <v>43565</v>
      </c>
      <c r="Y114" s="385">
        <f t="shared" si="34"/>
        <v>42.213000000000001</v>
      </c>
      <c r="Z114" s="385">
        <f t="shared" si="35"/>
        <v>42.511768101261481</v>
      </c>
      <c r="AA114" s="386">
        <f t="shared" si="36"/>
        <v>44.090032418329336</v>
      </c>
      <c r="AB114" s="197">
        <f t="shared" si="37"/>
        <v>43565</v>
      </c>
      <c r="AC114" s="427">
        <f>IF(OR(t&lt;Tnet,NoTnet),'2018'!Resal_s+('2018'!Salim-'2018'!Resal_s)*(1-EXP(('2018'!Tnet_s-t)/'2018'!Tau_j)),Resal_s+(Salim-Resal_s)*(1-EXP((Tnet_s-t)/Tau_j)))*Salcycl</f>
        <v>3.5796397292094731E-2</v>
      </c>
      <c r="AD114" s="231">
        <f>(INDEX(Models!$BJ114:$BT114,,AH114)*(1-AF114)+INDEX(Models!$BJ114:$BT114,,AH114+1)*AF114-ERP_i)*AE114*Ramure*Pc/MaxiM</f>
        <v>4.07490682732536E-5</v>
      </c>
      <c r="AE114" s="305">
        <f t="shared" si="38"/>
        <v>0.7</v>
      </c>
      <c r="AF114" s="177">
        <f t="shared" si="39"/>
        <v>0.53709624768147934</v>
      </c>
      <c r="AG114" s="176">
        <f t="shared" si="40"/>
        <v>-2</v>
      </c>
      <c r="AH114" s="176">
        <f t="shared" si="41"/>
        <v>4</v>
      </c>
      <c r="AI114" s="225">
        <f t="shared" si="42"/>
        <v>-1.4629037523185207</v>
      </c>
      <c r="AJ114" s="265" t="b">
        <f t="shared" si="43"/>
        <v>1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20">
        <v>8.6210000000000004</v>
      </c>
      <c r="C115" s="390"/>
      <c r="D115" s="393">
        <f t="shared" si="24"/>
        <v>8.6822064324957413</v>
      </c>
      <c r="E115" s="385">
        <f t="shared" si="46"/>
        <v>9.0055108817954768</v>
      </c>
      <c r="F115" s="385">
        <f t="shared" si="25"/>
        <v>9.0055108817954768</v>
      </c>
      <c r="G115" s="110">
        <f t="shared" si="47"/>
        <v>0.15820223366100306</v>
      </c>
      <c r="H115" s="414" t="b">
        <f>Wh_hp&gt;='2018'!Maxi_hp</f>
        <v>1</v>
      </c>
      <c r="I115" s="390">
        <f>IF(H115,Wh_hp,'2018'!Maxi_hp)</f>
        <v>9.0055108817954768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7.0496403156987686E-3</v>
      </c>
      <c r="M115" s="959"/>
      <c r="N115" s="959"/>
      <c r="O115" s="48">
        <f>IF(t&lt;Tnet,'2018'!Resal+('2018'!Salim-'2018'!Resal)*(1-EXP(('2018'!Tnet-t)/('2018'!Tau_j))),Resal+(Salim-Resal)*(1-EXP((Tnet-t)/(Tau_j))))*Salcycl</f>
        <v>3.5900733844349754E-2</v>
      </c>
      <c r="P115" s="169">
        <f>(INDEX(Models!$BJ115:$BT115,,T115)*(1-R115)+INDEX(Models!$BJ115:$BT115,,T115+1)*R115-ERP_i)*Q115*Ramure*Pc/MaxiM</f>
        <v>4.2486482809175878E-5</v>
      </c>
      <c r="Q115" s="305">
        <f t="shared" si="27"/>
        <v>0.7</v>
      </c>
      <c r="R115" s="177">
        <f t="shared" si="28"/>
        <v>0.53855612314737633</v>
      </c>
      <c r="S115" s="921">
        <f t="shared" si="29"/>
        <v>-2</v>
      </c>
      <c r="T115" s="176">
        <f t="shared" si="30"/>
        <v>4</v>
      </c>
      <c r="U115" s="251">
        <f t="shared" si="31"/>
        <v>-1.4614438768526237</v>
      </c>
      <c r="V115" s="383">
        <f t="shared" si="32"/>
        <v>54.491226353377925</v>
      </c>
      <c r="W115" s="58"/>
      <c r="X115" s="157">
        <f t="shared" si="33"/>
        <v>43566</v>
      </c>
      <c r="Y115" s="385">
        <f t="shared" si="34"/>
        <v>8.6210000000000004</v>
      </c>
      <c r="Z115" s="385">
        <f t="shared" si="35"/>
        <v>8.6822064324957413</v>
      </c>
      <c r="AA115" s="386">
        <f t="shared" si="36"/>
        <v>9.0055108817954768</v>
      </c>
      <c r="AB115" s="197">
        <f t="shared" si="37"/>
        <v>43566</v>
      </c>
      <c r="AC115" s="427">
        <f>IF(OR(t&lt;Tnet,NoTnet),'2018'!Resal_s+('2018'!Salim-'2018'!Resal_s)*(1-EXP(('2018'!Tnet_s-t)/'2018'!Tau_j)),Resal_s+(Salim-Resal_s)*(1-EXP((Tnet_s-t)/Tau_j)))*Salcycl</f>
        <v>3.5900733844349754E-2</v>
      </c>
      <c r="AD115" s="231">
        <f>(INDEX(Models!$BJ115:$BT115,,AH115)*(1-AF115)+INDEX(Models!$BJ115:$BT115,,AH115+1)*AF115-ERP_i)*AE115*Ramure*Pc/MaxiM</f>
        <v>4.2486482809175878E-5</v>
      </c>
      <c r="AE115" s="305">
        <f t="shared" si="38"/>
        <v>0.7</v>
      </c>
      <c r="AF115" s="177">
        <f t="shared" si="39"/>
        <v>0.53855612314737633</v>
      </c>
      <c r="AG115" s="176">
        <f t="shared" si="40"/>
        <v>-2</v>
      </c>
      <c r="AH115" s="176">
        <f t="shared" si="41"/>
        <v>4</v>
      </c>
      <c r="AI115" s="225">
        <f t="shared" si="42"/>
        <v>-1.4614438768526237</v>
      </c>
      <c r="AJ115" s="265" t="b">
        <f t="shared" si="43"/>
        <v>1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20">
        <v>54.454999999999998</v>
      </c>
      <c r="C116" s="390"/>
      <c r="D116" s="393">
        <f t="shared" si="24"/>
        <v>54.842814848964593</v>
      </c>
      <c r="E116" s="385">
        <f t="shared" si="46"/>
        <v>56.891210175748895</v>
      </c>
      <c r="F116" s="385">
        <f t="shared" si="25"/>
        <v>56.893751444283453</v>
      </c>
      <c r="G116" s="110">
        <f t="shared" si="47"/>
        <v>0.99691204373052911</v>
      </c>
      <c r="H116" s="414" t="b">
        <f>Wh_hp&gt;='2018'!Maxi_hp</f>
        <v>1</v>
      </c>
      <c r="I116" s="390">
        <f>IF(H116,Wh_hp,'2018'!Maxi_hp)</f>
        <v>56.893751444283453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7.0713884769157964E-3</v>
      </c>
      <c r="M116" s="959"/>
      <c r="N116" s="959"/>
      <c r="O116" s="48">
        <f>IF(t&lt;Tnet,'2018'!Resal+('2018'!Salim-'2018'!Resal)*(1-EXP(('2018'!Tnet-t)/('2018'!Tau_j))),Resal+(Salim-Resal)*(1-EXP((Tnet-t)/(Tau_j))))*Salcycl</f>
        <v>3.6005479940686508E-2</v>
      </c>
      <c r="P116" s="169">
        <f>(INDEX(Models!$BJ116:$BT116,,T116)*(1-R116)+INDEX(Models!$BJ116:$BT116,,T116+1)*R116-ERP_i)*Q116*Ramure*Pc/MaxiM</f>
        <v>4.4864820574827803E-5</v>
      </c>
      <c r="Q116" s="305">
        <f t="shared" si="27"/>
        <v>0.7</v>
      </c>
      <c r="R116" s="177">
        <f t="shared" si="28"/>
        <v>0.54006748401600468</v>
      </c>
      <c r="S116" s="921">
        <f t="shared" si="29"/>
        <v>-2</v>
      </c>
      <c r="T116" s="176">
        <f t="shared" si="30"/>
        <v>4</v>
      </c>
      <c r="U116" s="251">
        <f t="shared" si="31"/>
        <v>-1.4599325159839953</v>
      </c>
      <c r="V116" s="383">
        <f t="shared" si="32"/>
        <v>54.623664710642508</v>
      </c>
      <c r="W116" s="58"/>
      <c r="X116" s="157">
        <f t="shared" si="33"/>
        <v>43567</v>
      </c>
      <c r="Y116" s="385">
        <f t="shared" si="34"/>
        <v>54.454999999999998</v>
      </c>
      <c r="Z116" s="385">
        <f t="shared" si="35"/>
        <v>54.842814848964593</v>
      </c>
      <c r="AA116" s="386">
        <f t="shared" si="36"/>
        <v>56.891210175748895</v>
      </c>
      <c r="AB116" s="197">
        <f t="shared" si="37"/>
        <v>43567</v>
      </c>
      <c r="AC116" s="427">
        <f>IF(OR(t&lt;Tnet,NoTnet),'2018'!Resal_s+('2018'!Salim-'2018'!Resal_s)*(1-EXP(('2018'!Tnet_s-t)/'2018'!Tau_j)),Resal_s+(Salim-Resal_s)*(1-EXP((Tnet_s-t)/Tau_j)))*Salcycl</f>
        <v>3.6005479940686508E-2</v>
      </c>
      <c r="AD116" s="231">
        <f>(INDEX(Models!$BJ116:$BT116,,AH116)*(1-AF116)+INDEX(Models!$BJ116:$BT116,,AH116+1)*AF116-ERP_i)*AE116*Ramure*Pc/MaxiM</f>
        <v>4.4864820574827803E-5</v>
      </c>
      <c r="AE116" s="305">
        <f t="shared" si="38"/>
        <v>0.7</v>
      </c>
      <c r="AF116" s="177">
        <f t="shared" si="39"/>
        <v>0.54006748401600468</v>
      </c>
      <c r="AG116" s="176">
        <f t="shared" si="40"/>
        <v>-2</v>
      </c>
      <c r="AH116" s="176">
        <f t="shared" si="41"/>
        <v>4</v>
      </c>
      <c r="AI116" s="225">
        <f t="shared" si="42"/>
        <v>-1.4599325159839953</v>
      </c>
      <c r="AJ116" s="265" t="b">
        <f t="shared" si="43"/>
        <v>1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20">
        <v>55.828000000000003</v>
      </c>
      <c r="C117" s="390"/>
      <c r="D117" s="393">
        <f t="shared" si="24"/>
        <v>56.226824522281753</v>
      </c>
      <c r="E117" s="385">
        <f t="shared" si="46"/>
        <v>58.333276922867164</v>
      </c>
      <c r="F117" s="385">
        <f t="shared" si="25"/>
        <v>58.336070770675065</v>
      </c>
      <c r="G117" s="110">
        <f t="shared" si="47"/>
        <v>1.0196428877171881</v>
      </c>
      <c r="H117" s="414" t="b">
        <f>Wh_hp&gt;='2018'!Maxi_hp</f>
        <v>1</v>
      </c>
      <c r="I117" s="390">
        <f>IF(H117,Wh_hp,'2018'!Maxi_hp)</f>
        <v>58.336070770675065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7.0931361617923017E-3</v>
      </c>
      <c r="M117" s="959"/>
      <c r="N117" s="959"/>
      <c r="O117" s="48">
        <f>IF(t&lt;Tnet,'2018'!Resal+('2018'!Salim-'2018'!Resal)*(1-EXP(('2018'!Tnet-t)/('2018'!Tau_j))),Resal+(Salim-Resal)*(1-EXP((Tnet-t)/(Tau_j))))*Salcycl</f>
        <v>3.6110647501780634E-2</v>
      </c>
      <c r="P117" s="169">
        <f>(INDEX(Models!$BJ117:$BT117,,T117)*(1-R117)+INDEX(Models!$BJ117:$BT117,,T117+1)*R117-ERP_i)*Q117*Ramure*Pc/MaxiM</f>
        <v>4.7892286384624357E-5</v>
      </c>
      <c r="Q117" s="305">
        <f t="shared" si="27"/>
        <v>0.7</v>
      </c>
      <c r="R117" s="177">
        <f t="shared" si="28"/>
        <v>0.54163175794892626</v>
      </c>
      <c r="S117" s="921">
        <f t="shared" si="29"/>
        <v>-2</v>
      </c>
      <c r="T117" s="176">
        <f t="shared" si="30"/>
        <v>4</v>
      </c>
      <c r="U117" s="251">
        <f t="shared" si="31"/>
        <v>-1.4583682420510737</v>
      </c>
      <c r="V117" s="383">
        <f t="shared" si="32"/>
        <v>54.752502736511666</v>
      </c>
      <c r="W117" s="58"/>
      <c r="X117" s="157">
        <f t="shared" si="33"/>
        <v>43568</v>
      </c>
      <c r="Y117" s="385">
        <f t="shared" si="34"/>
        <v>55.828000000000003</v>
      </c>
      <c r="Z117" s="385">
        <f t="shared" si="35"/>
        <v>56.226824522281753</v>
      </c>
      <c r="AA117" s="386">
        <f t="shared" si="36"/>
        <v>58.333276922867164</v>
      </c>
      <c r="AB117" s="197">
        <f t="shared" si="37"/>
        <v>43568</v>
      </c>
      <c r="AC117" s="427">
        <f>IF(OR(t&lt;Tnet,NoTnet),'2018'!Resal_s+('2018'!Salim-'2018'!Resal_s)*(1-EXP(('2018'!Tnet_s-t)/'2018'!Tau_j)),Resal_s+(Salim-Resal_s)*(1-EXP((Tnet_s-t)/Tau_j)))*Salcycl</f>
        <v>3.6110647501780634E-2</v>
      </c>
      <c r="AD117" s="231">
        <f>(INDEX(Models!$BJ117:$BT117,,AH117)*(1-AF117)+INDEX(Models!$BJ117:$BT117,,AH117+1)*AF117-ERP_i)*AE117*Ramure*Pc/MaxiM</f>
        <v>4.7892286384624357E-5</v>
      </c>
      <c r="AE117" s="305">
        <f t="shared" si="38"/>
        <v>0.7</v>
      </c>
      <c r="AF117" s="177">
        <f t="shared" si="39"/>
        <v>0.54163175794892626</v>
      </c>
      <c r="AG117" s="176">
        <f t="shared" si="40"/>
        <v>-2</v>
      </c>
      <c r="AH117" s="176">
        <f t="shared" si="41"/>
        <v>4</v>
      </c>
      <c r="AI117" s="225">
        <f t="shared" si="42"/>
        <v>-1.4583682420510737</v>
      </c>
      <c r="AJ117" s="265" t="b">
        <f t="shared" si="43"/>
        <v>1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20">
        <v>26.609000000000002</v>
      </c>
      <c r="C118" s="390"/>
      <c r="D118" s="393">
        <f t="shared" si="24"/>
        <v>26.799676573180982</v>
      </c>
      <c r="E118" s="385">
        <f t="shared" si="46"/>
        <v>27.806732077902772</v>
      </c>
      <c r="F118" s="385">
        <f t="shared" si="25"/>
        <v>27.807110867726973</v>
      </c>
      <c r="G118" s="110">
        <f t="shared" si="47"/>
        <v>0.48485488066259497</v>
      </c>
      <c r="H118" s="414" t="b">
        <f>Wh_hp&gt;='2018'!Maxi_hp</f>
        <v>1</v>
      </c>
      <c r="I118" s="390">
        <f>IF(H118,Wh_hp,'2018'!Maxi_hp)</f>
        <v>27.807110867726973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7.1148833703386094E-3</v>
      </c>
      <c r="M118" s="959"/>
      <c r="N118" s="959"/>
      <c r="O118" s="48">
        <f>IF(t&lt;Tnet,'2018'!Resal+('2018'!Salim-'2018'!Resal)*(1-EXP(('2018'!Tnet-t)/('2018'!Tau_j))),Resal+(Salim-Resal)*(1-EXP((Tnet-t)/(Tau_j))))*Salcycl</f>
        <v>3.6216247989891245E-2</v>
      </c>
      <c r="P118" s="169">
        <f>(INDEX(Models!$BJ118:$BT118,,T118)*(1-R118)+INDEX(Models!$BJ118:$BT118,,T118+1)*R118-ERP_i)*Q118*Ramure*Pc/MaxiM</f>
        <v>5.1578216088894425E-5</v>
      </c>
      <c r="Q118" s="305">
        <f t="shared" si="27"/>
        <v>0.7</v>
      </c>
      <c r="R118" s="177">
        <f t="shared" si="28"/>
        <v>0.54325038182848995</v>
      </c>
      <c r="S118" s="921">
        <f t="shared" si="29"/>
        <v>-2</v>
      </c>
      <c r="T118" s="176">
        <f t="shared" si="30"/>
        <v>4</v>
      </c>
      <c r="U118" s="251">
        <f t="shared" si="31"/>
        <v>-1.4567496181715101</v>
      </c>
      <c r="V118" s="383">
        <f t="shared" si="32"/>
        <v>54.878255477654015</v>
      </c>
      <c r="W118" s="58"/>
      <c r="X118" s="157">
        <f t="shared" si="33"/>
        <v>43569</v>
      </c>
      <c r="Y118" s="385">
        <f t="shared" si="34"/>
        <v>26.609000000000002</v>
      </c>
      <c r="Z118" s="385">
        <f t="shared" si="35"/>
        <v>26.799676573180982</v>
      </c>
      <c r="AA118" s="386">
        <f t="shared" si="36"/>
        <v>27.806732077902772</v>
      </c>
      <c r="AB118" s="197">
        <f t="shared" si="37"/>
        <v>43569</v>
      </c>
      <c r="AC118" s="427">
        <f>IF(OR(t&lt;Tnet,NoTnet),'2018'!Resal_s+('2018'!Salim-'2018'!Resal_s)*(1-EXP(('2018'!Tnet_s-t)/'2018'!Tau_j)),Resal_s+(Salim-Resal_s)*(1-EXP((Tnet_s-t)/Tau_j)))*Salcycl</f>
        <v>3.6216247989891245E-2</v>
      </c>
      <c r="AD118" s="231">
        <f>(INDEX(Models!$BJ118:$BT118,,AH118)*(1-AF118)+INDEX(Models!$BJ118:$BT118,,AH118+1)*AF118-ERP_i)*AE118*Ramure*Pc/MaxiM</f>
        <v>5.1578216088894425E-5</v>
      </c>
      <c r="AE118" s="305">
        <f t="shared" si="38"/>
        <v>0.7</v>
      </c>
      <c r="AF118" s="177">
        <f t="shared" si="39"/>
        <v>0.54325038182848995</v>
      </c>
      <c r="AG118" s="176">
        <f t="shared" si="40"/>
        <v>-2</v>
      </c>
      <c r="AH118" s="176">
        <f t="shared" si="41"/>
        <v>4</v>
      </c>
      <c r="AI118" s="225">
        <f t="shared" si="42"/>
        <v>-1.4567496181715101</v>
      </c>
      <c r="AJ118" s="265" t="b">
        <f t="shared" si="43"/>
        <v>1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20">
        <v>38.674999999999997</v>
      </c>
      <c r="C119" s="390"/>
      <c r="D119" s="393">
        <f t="shared" si="24"/>
        <v>38.952993103165063</v>
      </c>
      <c r="E119" s="385">
        <f t="shared" si="46"/>
        <v>40.421183135274077</v>
      </c>
      <c r="F119" s="385">
        <f t="shared" si="25"/>
        <v>40.422485326053859</v>
      </c>
      <c r="G119" s="110">
        <f t="shared" si="47"/>
        <v>0.7031467591967222</v>
      </c>
      <c r="H119" s="414" t="b">
        <f>Wh_hp&gt;='2018'!Maxi_hp</f>
        <v>1</v>
      </c>
      <c r="I119" s="390">
        <f>IF(H119,Wh_hp,'2018'!Maxi_hp)</f>
        <v>40.422485326053859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7.1366301025652668E-3</v>
      </c>
      <c r="M119" s="959"/>
      <c r="N119" s="959"/>
      <c r="O119" s="48">
        <f>IF(t&lt;Tnet,'2018'!Resal+('2018'!Salim-'2018'!Resal)*(1-EXP(('2018'!Tnet-t)/('2018'!Tau_j))),Resal+(Salim-Resal)*(1-EXP((Tnet-t)/(Tau_j))))*Salcycl</f>
        <v>3.6322292378121394E-2</v>
      </c>
      <c r="P119" s="169">
        <f>(INDEX(Models!$BJ119:$BT119,,T119)*(1-R119)+INDEX(Models!$BJ119:$BT119,,T119+1)*R119-ERP_i)*Q119*Ramure*Pc/MaxiM</f>
        <v>5.593305030619242E-5</v>
      </c>
      <c r="Q119" s="305">
        <f t="shared" si="27"/>
        <v>0.7</v>
      </c>
      <c r="R119" s="177">
        <f t="shared" si="28"/>
        <v>0.54492479913802128</v>
      </c>
      <c r="S119" s="921">
        <f t="shared" si="29"/>
        <v>-2</v>
      </c>
      <c r="T119" s="176">
        <f t="shared" si="30"/>
        <v>4</v>
      </c>
      <c r="U119" s="251">
        <f t="shared" si="31"/>
        <v>-1.4550752008619787</v>
      </c>
      <c r="V119" s="383">
        <f t="shared" si="32"/>
        <v>55.001437680372348</v>
      </c>
      <c r="W119" s="58"/>
      <c r="X119" s="157">
        <f t="shared" si="33"/>
        <v>43570</v>
      </c>
      <c r="Y119" s="385">
        <f t="shared" si="34"/>
        <v>38.674999999999997</v>
      </c>
      <c r="Z119" s="385">
        <f t="shared" si="35"/>
        <v>38.952993103165063</v>
      </c>
      <c r="AA119" s="386">
        <f t="shared" si="36"/>
        <v>40.421183135274077</v>
      </c>
      <c r="AB119" s="197">
        <f t="shared" si="37"/>
        <v>43570</v>
      </c>
      <c r="AC119" s="427">
        <f>IF(OR(t&lt;Tnet,NoTnet),'2018'!Resal_s+('2018'!Salim-'2018'!Resal_s)*(1-EXP(('2018'!Tnet_s-t)/'2018'!Tau_j)),Resal_s+(Salim-Resal_s)*(1-EXP((Tnet_s-t)/Tau_j)))*Salcycl</f>
        <v>3.6322292378121394E-2</v>
      </c>
      <c r="AD119" s="231">
        <f>(INDEX(Models!$BJ119:$BT119,,AH119)*(1-AF119)+INDEX(Models!$BJ119:$BT119,,AH119+1)*AF119-ERP_i)*AE119*Ramure*Pc/MaxiM</f>
        <v>5.593305030619242E-5</v>
      </c>
      <c r="AE119" s="305">
        <f t="shared" si="38"/>
        <v>0.7</v>
      </c>
      <c r="AF119" s="177">
        <f t="shared" si="39"/>
        <v>0.54492479913802128</v>
      </c>
      <c r="AG119" s="176">
        <f t="shared" si="40"/>
        <v>-2</v>
      </c>
      <c r="AH119" s="176">
        <f t="shared" si="41"/>
        <v>4</v>
      </c>
      <c r="AI119" s="225">
        <f t="shared" si="42"/>
        <v>-1.4550752008619787</v>
      </c>
      <c r="AJ119" s="265" t="b">
        <f t="shared" si="43"/>
        <v>1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20">
        <v>34.286999999999999</v>
      </c>
      <c r="C120" s="390"/>
      <c r="D120" s="393">
        <f t="shared" si="24"/>
        <v>34.534208864293056</v>
      </c>
      <c r="E120" s="385">
        <f t="shared" si="46"/>
        <v>35.839809809577055</v>
      </c>
      <c r="F120" s="385">
        <f t="shared" si="25"/>
        <v>35.840815023671531</v>
      </c>
      <c r="G120" s="110">
        <f t="shared" si="47"/>
        <v>0.62199340576300666</v>
      </c>
      <c r="H120" s="414" t="b">
        <f>Wh_hp&gt;='2018'!Maxi_hp</f>
        <v>1</v>
      </c>
      <c r="I120" s="390">
        <f>IF(H120,Wh_hp,'2018'!Maxi_hp)</f>
        <v>35.840815023671531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7.1583763584827098E-3</v>
      </c>
      <c r="M120" s="959"/>
      <c r="N120" s="959"/>
      <c r="O120" s="48">
        <f>IF(t&lt;Tnet,'2018'!Resal+('2018'!Salim-'2018'!Resal)*(1-EXP(('2018'!Tnet-t)/('2018'!Tau_j))),Resal+(Salim-Resal)*(1-EXP((Tnet-t)/(Tau_j))))*Salcycl</f>
        <v>3.6428791118615772E-2</v>
      </c>
      <c r="P120" s="169">
        <f>(INDEX(Models!$BJ120:$BT120,,T120)*(1-R120)+INDEX(Models!$BJ120:$BT120,,T120+1)*R120-ERP_i)*Q120*Ramure*Pc/MaxiM</f>
        <v>6.0968306943262727E-5</v>
      </c>
      <c r="Q120" s="305">
        <f t="shared" si="27"/>
        <v>0.7</v>
      </c>
      <c r="R120" s="177">
        <f t="shared" si="28"/>
        <v>0.54665645711166366</v>
      </c>
      <c r="S120" s="921">
        <f t="shared" si="29"/>
        <v>-2</v>
      </c>
      <c r="T120" s="176">
        <f t="shared" si="30"/>
        <v>4</v>
      </c>
      <c r="U120" s="251">
        <f t="shared" si="31"/>
        <v>-1.4533435428883363</v>
      </c>
      <c r="V120" s="383">
        <f t="shared" si="32"/>
        <v>55.122563784675719</v>
      </c>
      <c r="W120" s="58"/>
      <c r="X120" s="157">
        <f t="shared" si="33"/>
        <v>43571</v>
      </c>
      <c r="Y120" s="385">
        <f t="shared" si="34"/>
        <v>34.286999999999999</v>
      </c>
      <c r="Z120" s="385">
        <f t="shared" si="35"/>
        <v>34.534208864293056</v>
      </c>
      <c r="AA120" s="386">
        <f t="shared" si="36"/>
        <v>35.839809809577055</v>
      </c>
      <c r="AB120" s="197">
        <f t="shared" si="37"/>
        <v>43571</v>
      </c>
      <c r="AC120" s="427">
        <f>IF(OR(t&lt;Tnet,NoTnet),'2018'!Resal_s+('2018'!Salim-'2018'!Resal_s)*(1-EXP(('2018'!Tnet_s-t)/'2018'!Tau_j)),Resal_s+(Salim-Resal_s)*(1-EXP((Tnet_s-t)/Tau_j)))*Salcycl</f>
        <v>3.6428791118615772E-2</v>
      </c>
      <c r="AD120" s="231">
        <f>(INDEX(Models!$BJ120:$BT120,,AH120)*(1-AF120)+INDEX(Models!$BJ120:$BT120,,AH120+1)*AF120-ERP_i)*AE120*Ramure*Pc/MaxiM</f>
        <v>6.0968306943262727E-5</v>
      </c>
      <c r="AE120" s="305">
        <f t="shared" si="38"/>
        <v>0.7</v>
      </c>
      <c r="AF120" s="177">
        <f t="shared" si="39"/>
        <v>0.54665645711166366</v>
      </c>
      <c r="AG120" s="176">
        <f t="shared" si="40"/>
        <v>-2</v>
      </c>
      <c r="AH120" s="176">
        <f t="shared" si="41"/>
        <v>4</v>
      </c>
      <c r="AI120" s="225">
        <f t="shared" si="42"/>
        <v>-1.4533435428883363</v>
      </c>
      <c r="AJ120" s="265" t="b">
        <f t="shared" si="43"/>
        <v>1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20">
        <v>34.411999999999999</v>
      </c>
      <c r="C121" s="390"/>
      <c r="D121" s="393">
        <f t="shared" si="24"/>
        <v>34.660869274805869</v>
      </c>
      <c r="E121" s="385">
        <f t="shared" si="46"/>
        <v>35.975252244853458</v>
      </c>
      <c r="F121" s="385">
        <f t="shared" si="25"/>
        <v>35.976359265372231</v>
      </c>
      <c r="G121" s="110">
        <f t="shared" si="47"/>
        <v>0.62291978117221447</v>
      </c>
      <c r="H121" s="414" t="b">
        <f>Wh_hp&gt;='2018'!Maxi_hp</f>
        <v>1</v>
      </c>
      <c r="I121" s="390">
        <f>IF(H121,Wh_hp,'2018'!Maxi_hp)</f>
        <v>35.976359265372231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7.1801221381013747E-3</v>
      </c>
      <c r="M121" s="959"/>
      <c r="N121" s="959"/>
      <c r="O121" s="48">
        <f>IF(t&lt;Tnet,'2018'!Resal+('2018'!Salim-'2018'!Resal)*(1-EXP(('2018'!Tnet-t)/('2018'!Tau_j))),Resal+(Salim-Resal)*(1-EXP((Tnet-t)/(Tau_j))))*Salcycl</f>
        <v>3.6535754109566346E-2</v>
      </c>
      <c r="P121" s="169">
        <f>(INDEX(Models!$BJ121:$BT121,,T121)*(1-R121)+INDEX(Models!$BJ121:$BT121,,T121+1)*R121-ERP_i)*Q121*Ramure*Pc/MaxiM</f>
        <v>6.6697837036441775E-5</v>
      </c>
      <c r="Q121" s="305">
        <f t="shared" si="27"/>
        <v>0.7</v>
      </c>
      <c r="R121" s="177">
        <f t="shared" si="28"/>
        <v>0.54844680364634057</v>
      </c>
      <c r="S121" s="921">
        <f t="shared" si="29"/>
        <v>-2</v>
      </c>
      <c r="T121" s="176">
        <f t="shared" si="30"/>
        <v>4</v>
      </c>
      <c r="U121" s="251">
        <f t="shared" si="31"/>
        <v>-1.4515531963536594</v>
      </c>
      <c r="V121" s="383">
        <f t="shared" si="32"/>
        <v>55.241083491044108</v>
      </c>
      <c r="W121" s="58"/>
      <c r="X121" s="157">
        <f t="shared" si="33"/>
        <v>43572</v>
      </c>
      <c r="Y121" s="385">
        <f t="shared" si="34"/>
        <v>34.411999999999999</v>
      </c>
      <c r="Z121" s="385">
        <f t="shared" si="35"/>
        <v>34.660869274805869</v>
      </c>
      <c r="AA121" s="386">
        <f t="shared" si="36"/>
        <v>35.975252244853458</v>
      </c>
      <c r="AB121" s="197">
        <f t="shared" si="37"/>
        <v>43572</v>
      </c>
      <c r="AC121" s="427">
        <f>IF(OR(t&lt;Tnet,NoTnet),'2018'!Resal_s+('2018'!Salim-'2018'!Resal_s)*(1-EXP(('2018'!Tnet_s-t)/'2018'!Tau_j)),Resal_s+(Salim-Resal_s)*(1-EXP((Tnet_s-t)/Tau_j)))*Salcycl</f>
        <v>3.6535754109566346E-2</v>
      </c>
      <c r="AD121" s="231">
        <f>(INDEX(Models!$BJ121:$BT121,,AH121)*(1-AF121)+INDEX(Models!$BJ121:$BT121,,AH121+1)*AF121-ERP_i)*AE121*Ramure*Pc/MaxiM</f>
        <v>6.6697837036441775E-5</v>
      </c>
      <c r="AE121" s="305">
        <f t="shared" si="38"/>
        <v>0.7</v>
      </c>
      <c r="AF121" s="177">
        <f t="shared" si="39"/>
        <v>0.54844680364634057</v>
      </c>
      <c r="AG121" s="176">
        <f t="shared" si="40"/>
        <v>-2</v>
      </c>
      <c r="AH121" s="176">
        <f t="shared" si="41"/>
        <v>4</v>
      </c>
      <c r="AI121" s="225">
        <f t="shared" si="42"/>
        <v>-1.4515531963536594</v>
      </c>
      <c r="AJ121" s="265" t="b">
        <f t="shared" si="43"/>
        <v>1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20">
        <v>26.748999999999999</v>
      </c>
      <c r="C122" s="390"/>
      <c r="D122" s="393">
        <f t="shared" si="24"/>
        <v>26.943040204018502</v>
      </c>
      <c r="E122" s="385">
        <f t="shared" si="46"/>
        <v>27.967872280368329</v>
      </c>
      <c r="F122" s="385">
        <f t="shared" si="25"/>
        <v>27.968410782042561</v>
      </c>
      <c r="G122" s="110">
        <f t="shared" si="47"/>
        <v>0.48319137649806287</v>
      </c>
      <c r="H122" s="414" t="b">
        <f>Wh_hp&gt;='2018'!Maxi_hp</f>
        <v>1</v>
      </c>
      <c r="I122" s="390">
        <f>IF(H122,Wh_hp,'2018'!Maxi_hp)</f>
        <v>27.968410782042561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7.2018674414315864E-3</v>
      </c>
      <c r="M122" s="959"/>
      <c r="N122" s="959"/>
      <c r="O122" s="48">
        <f>IF(t&lt;Tnet,'2018'!Resal+('2018'!Salim-'2018'!Resal)*(1-EXP(('2018'!Tnet-t)/('2018'!Tau_j))),Resal+(Salim-Resal)*(1-EXP((Tnet-t)/(Tau_j))))*Salcycl</f>
        <v>3.6643190660921185E-2</v>
      </c>
      <c r="P122" s="169">
        <f>(INDEX(Models!$BJ122:$BT122,,T122)*(1-R122)+INDEX(Models!$BJ122:$BT122,,T122+1)*R122-ERP_i)*Q122*Ramure*Pc/MaxiM</f>
        <v>7.3561414643894723E-5</v>
      </c>
      <c r="Q122" s="305">
        <f t="shared" si="27"/>
        <v>0.7</v>
      </c>
      <c r="R122" s="177">
        <f t="shared" si="28"/>
        <v>0.55029728396906341</v>
      </c>
      <c r="S122" s="921">
        <f t="shared" si="29"/>
        <v>-2</v>
      </c>
      <c r="T122" s="176">
        <f t="shared" si="30"/>
        <v>4</v>
      </c>
      <c r="U122" s="251">
        <f t="shared" si="31"/>
        <v>-1.4497027160309366</v>
      </c>
      <c r="V122" s="383">
        <f t="shared" si="32"/>
        <v>55.356011307225096</v>
      </c>
      <c r="W122" s="58"/>
      <c r="X122" s="157">
        <f t="shared" si="33"/>
        <v>43573</v>
      </c>
      <c r="Y122" s="385">
        <f t="shared" si="34"/>
        <v>26.748999999999999</v>
      </c>
      <c r="Z122" s="385">
        <f t="shared" si="35"/>
        <v>26.943040204018502</v>
      </c>
      <c r="AA122" s="386">
        <f t="shared" si="36"/>
        <v>27.967872280368329</v>
      </c>
      <c r="AB122" s="197">
        <f t="shared" si="37"/>
        <v>43573</v>
      </c>
      <c r="AC122" s="427">
        <f>IF(OR(t&lt;Tnet,NoTnet),'2018'!Resal_s+('2018'!Salim-'2018'!Resal_s)*(1-EXP(('2018'!Tnet_s-t)/'2018'!Tau_j)),Resal_s+(Salim-Resal_s)*(1-EXP((Tnet_s-t)/Tau_j)))*Salcycl</f>
        <v>3.6643190660921185E-2</v>
      </c>
      <c r="AD122" s="231">
        <f>(INDEX(Models!$BJ122:$BT122,,AH122)*(1-AF122)+INDEX(Models!$BJ122:$BT122,,AH122+1)*AF122-ERP_i)*AE122*Ramure*Pc/MaxiM</f>
        <v>7.3561414643894723E-5</v>
      </c>
      <c r="AE122" s="305">
        <f t="shared" si="38"/>
        <v>0.7</v>
      </c>
      <c r="AF122" s="177">
        <f t="shared" si="39"/>
        <v>0.55029728396906341</v>
      </c>
      <c r="AG122" s="176">
        <f t="shared" si="40"/>
        <v>-2</v>
      </c>
      <c r="AH122" s="176">
        <f t="shared" si="41"/>
        <v>4</v>
      </c>
      <c r="AI122" s="225">
        <f t="shared" si="42"/>
        <v>-1.4497027160309366</v>
      </c>
      <c r="AJ122" s="265" t="b">
        <f t="shared" si="43"/>
        <v>1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20">
        <v>50.262</v>
      </c>
      <c r="C123" s="390"/>
      <c r="D123" s="393">
        <f t="shared" si="24"/>
        <v>50.627714983077055</v>
      </c>
      <c r="E123" s="385">
        <f t="shared" si="46"/>
        <v>52.559328622353931</v>
      </c>
      <c r="F123" s="385">
        <f t="shared" si="25"/>
        <v>52.563032573540127</v>
      </c>
      <c r="G123" s="110">
        <f t="shared" si="47"/>
        <v>0.9061463709121429</v>
      </c>
      <c r="H123" s="414" t="b">
        <f>Wh_hp&gt;='2018'!Maxi_hp</f>
        <v>1</v>
      </c>
      <c r="I123" s="390">
        <f>IF(H123,Wh_hp,'2018'!Maxi_hp)</f>
        <v>52.563032573540127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7.2236122684837811E-3</v>
      </c>
      <c r="M123" s="959"/>
      <c r="N123" s="959"/>
      <c r="O123" s="48">
        <f>IF(t&lt;Tnet,'2018'!Resal+('2018'!Salim-'2018'!Resal)*(1-EXP(('2018'!Tnet-t)/('2018'!Tau_j))),Resal+(Salim-Resal)*(1-EXP((Tnet-t)/(Tau_j))))*Salcycl</f>
        <v>3.6751109458718331E-2</v>
      </c>
      <c r="P123" s="169">
        <f>(INDEX(Models!$BJ123:$BT123,,T123)*(1-R123)+INDEX(Models!$BJ123:$BT123,,T123+1)*R123-ERP_i)*Q123*Ramure*Pc/MaxiM</f>
        <v>8.1376365355381679E-5</v>
      </c>
      <c r="Q123" s="305">
        <f t="shared" si="27"/>
        <v>0.7</v>
      </c>
      <c r="R123" s="177">
        <f t="shared" si="28"/>
        <v>0.55220933705370023</v>
      </c>
      <c r="S123" s="921">
        <f t="shared" si="29"/>
        <v>-2</v>
      </c>
      <c r="T123" s="176">
        <f t="shared" si="30"/>
        <v>4</v>
      </c>
      <c r="U123" s="251">
        <f t="shared" si="31"/>
        <v>-1.4477906629462998</v>
      </c>
      <c r="V123" s="383">
        <f t="shared" si="32"/>
        <v>55.467254784195305</v>
      </c>
      <c r="W123" s="58"/>
      <c r="X123" s="157">
        <f t="shared" si="33"/>
        <v>43574</v>
      </c>
      <c r="Y123" s="385">
        <f t="shared" si="34"/>
        <v>50.262</v>
      </c>
      <c r="Z123" s="385">
        <f t="shared" si="35"/>
        <v>50.627714983077055</v>
      </c>
      <c r="AA123" s="386">
        <f t="shared" si="36"/>
        <v>52.559328622353931</v>
      </c>
      <c r="AB123" s="197">
        <f t="shared" si="37"/>
        <v>43574</v>
      </c>
      <c r="AC123" s="427">
        <f>IF(OR(t&lt;Tnet,NoTnet),'2018'!Resal_s+('2018'!Salim-'2018'!Resal_s)*(1-EXP(('2018'!Tnet_s-t)/'2018'!Tau_j)),Resal_s+(Salim-Resal_s)*(1-EXP((Tnet_s-t)/Tau_j)))*Salcycl</f>
        <v>3.6751109458718331E-2</v>
      </c>
      <c r="AD123" s="231">
        <f>(INDEX(Models!$BJ123:$BT123,,AH123)*(1-AF123)+INDEX(Models!$BJ123:$BT123,,AH123+1)*AF123-ERP_i)*AE123*Ramure*Pc/MaxiM</f>
        <v>8.1376365355381679E-5</v>
      </c>
      <c r="AE123" s="305">
        <f t="shared" si="38"/>
        <v>0.7</v>
      </c>
      <c r="AF123" s="177">
        <f t="shared" si="39"/>
        <v>0.55220933705370023</v>
      </c>
      <c r="AG123" s="176">
        <f t="shared" si="40"/>
        <v>-2</v>
      </c>
      <c r="AH123" s="176">
        <f t="shared" si="41"/>
        <v>4</v>
      </c>
      <c r="AI123" s="225">
        <f t="shared" si="42"/>
        <v>-1.4477906629462998</v>
      </c>
      <c r="AJ123" s="265" t="b">
        <f t="shared" si="43"/>
        <v>1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20">
        <v>52.238999999999997</v>
      </c>
      <c r="C124" s="390"/>
      <c r="D124" s="393">
        <f t="shared" si="24"/>
        <v>52.620252494720205</v>
      </c>
      <c r="E124" s="385">
        <f t="shared" si="46"/>
        <v>54.634036785888981</v>
      </c>
      <c r="F124" s="385">
        <f t="shared" si="25"/>
        <v>54.638540839726012</v>
      </c>
      <c r="G124" s="110">
        <f t="shared" si="47"/>
        <v>0.93997064170475042</v>
      </c>
      <c r="H124" s="414" t="b">
        <f>Wh_hp&gt;='2018'!Maxi_hp</f>
        <v>1</v>
      </c>
      <c r="I124" s="390">
        <f>IF(H124,Wh_hp,'2018'!Maxi_hp)</f>
        <v>54.638540839726012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7.245356619268617E-3</v>
      </c>
      <c r="M124" s="959"/>
      <c r="N124" s="959"/>
      <c r="O124" s="48">
        <f>IF(t&lt;Tnet,'2018'!Resal+('2018'!Salim-'2018'!Resal)*(1-EXP(('2018'!Tnet-t)/('2018'!Tau_j))),Resal+(Salim-Resal)*(1-EXP((Tnet-t)/(Tau_j))))*Salcycl</f>
        <v>3.6859518527997466E-2</v>
      </c>
      <c r="P124" s="169">
        <f>(INDEX(Models!$BJ124:$BT124,,T124)*(1-R124)+INDEX(Models!$BJ124:$BT124,,T124+1)*R124-ERP_i)*Q124*Ramure*Pc/MaxiM</f>
        <v>9.0164906542293557E-5</v>
      </c>
      <c r="Q124" s="305">
        <f t="shared" si="27"/>
        <v>0.7</v>
      </c>
      <c r="R124" s="177">
        <f t="shared" si="28"/>
        <v>0.55418439178236945</v>
      </c>
      <c r="S124" s="921">
        <f t="shared" si="29"/>
        <v>-2</v>
      </c>
      <c r="T124" s="176">
        <f t="shared" si="30"/>
        <v>4</v>
      </c>
      <c r="U124" s="251">
        <f t="shared" si="31"/>
        <v>-1.4458156082176306</v>
      </c>
      <c r="V124" s="383">
        <f t="shared" si="32"/>
        <v>55.574710289207026</v>
      </c>
      <c r="W124" s="58"/>
      <c r="X124" s="157">
        <f t="shared" si="33"/>
        <v>43575</v>
      </c>
      <c r="Y124" s="385">
        <f t="shared" si="34"/>
        <v>52.238999999999997</v>
      </c>
      <c r="Z124" s="385">
        <f t="shared" si="35"/>
        <v>52.620252494720205</v>
      </c>
      <c r="AA124" s="386">
        <f t="shared" si="36"/>
        <v>54.634036785888981</v>
      </c>
      <c r="AB124" s="197">
        <f t="shared" si="37"/>
        <v>43575</v>
      </c>
      <c r="AC124" s="427">
        <f>IF(OR(t&lt;Tnet,NoTnet),'2018'!Resal_s+('2018'!Salim-'2018'!Resal_s)*(1-EXP(('2018'!Tnet_s-t)/'2018'!Tau_j)),Resal_s+(Salim-Resal_s)*(1-EXP((Tnet_s-t)/Tau_j)))*Salcycl</f>
        <v>3.6859518527997466E-2</v>
      </c>
      <c r="AD124" s="231">
        <f>(INDEX(Models!$BJ124:$BT124,,AH124)*(1-AF124)+INDEX(Models!$BJ124:$BT124,,AH124+1)*AF124-ERP_i)*AE124*Ramure*Pc/MaxiM</f>
        <v>9.0164906542293557E-5</v>
      </c>
      <c r="AE124" s="305">
        <f t="shared" si="38"/>
        <v>0.7</v>
      </c>
      <c r="AF124" s="177">
        <f t="shared" si="39"/>
        <v>0.55418439178236945</v>
      </c>
      <c r="AG124" s="176">
        <f t="shared" si="40"/>
        <v>-2</v>
      </c>
      <c r="AH124" s="176">
        <f t="shared" si="41"/>
        <v>4</v>
      </c>
      <c r="AI124" s="225">
        <f t="shared" si="42"/>
        <v>-1.4458156082176306</v>
      </c>
      <c r="AJ124" s="265" t="b">
        <f t="shared" si="43"/>
        <v>1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20">
        <v>18.547000000000001</v>
      </c>
      <c r="C125" s="390"/>
      <c r="D125" s="393">
        <f t="shared" si="24"/>
        <v>18.682769563923468</v>
      </c>
      <c r="E125" s="385">
        <f t="shared" si="46"/>
        <v>19.399955362514891</v>
      </c>
      <c r="F125" s="385">
        <f t="shared" si="25"/>
        <v>19.40004708078034</v>
      </c>
      <c r="G125" s="110">
        <f t="shared" si="47"/>
        <v>0.3330784610024588</v>
      </c>
      <c r="H125" s="414" t="b">
        <f>Wh_hp&gt;='2018'!Maxi_hp</f>
        <v>1</v>
      </c>
      <c r="I125" s="390">
        <f>IF(H125,Wh_hp,'2018'!Maxi_hp)</f>
        <v>19.40004708078034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7.2671004937961969E-3</v>
      </c>
      <c r="M125" s="959"/>
      <c r="N125" s="959"/>
      <c r="O125" s="48">
        <f>IF(t&lt;Tnet,'2018'!Resal+('2018'!Salim-'2018'!Resal)*(1-EXP(('2018'!Tnet-t)/('2018'!Tau_j))),Resal+(Salim-Resal)*(1-EXP((Tnet-t)/(Tau_j))))*Salcycl</f>
        <v>3.6968425194275865E-2</v>
      </c>
      <c r="P125" s="169">
        <f>(INDEX(Models!$BJ125:$BT125,,T125)*(1-R125)+INDEX(Models!$BJ125:$BT125,,T125+1)*R125-ERP_i)*Q125*Ramure*Pc/MaxiM</f>
        <v>9.9951549652991801E-5</v>
      </c>
      <c r="Q125" s="305">
        <f t="shared" si="27"/>
        <v>0.7</v>
      </c>
      <c r="R125" s="177">
        <f t="shared" si="28"/>
        <v>0.55622386284784264</v>
      </c>
      <c r="S125" s="921">
        <f t="shared" si="29"/>
        <v>-2</v>
      </c>
      <c r="T125" s="176">
        <f t="shared" si="30"/>
        <v>4</v>
      </c>
      <c r="U125" s="251">
        <f t="shared" si="31"/>
        <v>-1.4437761371521574</v>
      </c>
      <c r="V125" s="383">
        <f t="shared" si="32"/>
        <v>55.678274181192194</v>
      </c>
      <c r="W125" s="58"/>
      <c r="X125" s="157">
        <f t="shared" si="33"/>
        <v>43576</v>
      </c>
      <c r="Y125" s="385">
        <f t="shared" si="34"/>
        <v>18.547000000000001</v>
      </c>
      <c r="Z125" s="385">
        <f t="shared" si="35"/>
        <v>18.682769563923468</v>
      </c>
      <c r="AA125" s="386">
        <f t="shared" si="36"/>
        <v>19.399955362514891</v>
      </c>
      <c r="AB125" s="197">
        <f t="shared" si="37"/>
        <v>43576</v>
      </c>
      <c r="AC125" s="427">
        <f>IF(OR(t&lt;Tnet,NoTnet),'2018'!Resal_s+('2018'!Salim-'2018'!Resal_s)*(1-EXP(('2018'!Tnet_s-t)/'2018'!Tau_j)),Resal_s+(Salim-Resal_s)*(1-EXP((Tnet_s-t)/Tau_j)))*Salcycl</f>
        <v>3.6968425194275865E-2</v>
      </c>
      <c r="AD125" s="231">
        <f>(INDEX(Models!$BJ125:$BT125,,AH125)*(1-AF125)+INDEX(Models!$BJ125:$BT125,,AH125+1)*AF125-ERP_i)*AE125*Ramure*Pc/MaxiM</f>
        <v>9.9951549652991801E-5</v>
      </c>
      <c r="AE125" s="305">
        <f t="shared" si="38"/>
        <v>0.7</v>
      </c>
      <c r="AF125" s="177">
        <f t="shared" si="39"/>
        <v>0.55622386284784264</v>
      </c>
      <c r="AG125" s="176">
        <f t="shared" si="40"/>
        <v>-2</v>
      </c>
      <c r="AH125" s="176">
        <f t="shared" si="41"/>
        <v>4</v>
      </c>
      <c r="AI125" s="225">
        <f t="shared" si="42"/>
        <v>-1.4437761371521574</v>
      </c>
      <c r="AJ125" s="265" t="b">
        <f t="shared" si="43"/>
        <v>1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20">
        <v>32.277999999999999</v>
      </c>
      <c r="C126" s="390"/>
      <c r="D126" s="393">
        <f t="shared" si="24"/>
        <v>32.51499673535541</v>
      </c>
      <c r="E126" s="385">
        <f t="shared" si="46"/>
        <v>33.767004180026333</v>
      </c>
      <c r="F126" s="385">
        <f t="shared" si="25"/>
        <v>33.768493292618629</v>
      </c>
      <c r="G126" s="110">
        <f t="shared" si="47"/>
        <v>0.57864998805286139</v>
      </c>
      <c r="H126" s="414" t="b">
        <f>Wh_hp&gt;='2018'!Maxi_hp</f>
        <v>1</v>
      </c>
      <c r="I126" s="390">
        <f>IF(H126,Wh_hp,'2018'!Maxi_hp)</f>
        <v>33.768493292618629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7.2888438920772902E-3</v>
      </c>
      <c r="M126" s="959"/>
      <c r="N126" s="959"/>
      <c r="O126" s="48">
        <f>IF(t&lt;Tnet,'2018'!Resal+('2018'!Salim-'2018'!Resal)*(1-EXP(('2018'!Tnet-t)/('2018'!Tau_j))),Resal+(Salim-Resal)*(1-EXP((Tnet-t)/(Tau_j))))*Salcycl</f>
        <v>3.707783604361032E-2</v>
      </c>
      <c r="P126" s="169">
        <f>(INDEX(Models!$BJ126:$BT126,,T126)*(1-R126)+INDEX(Models!$BJ126:$BT126,,T126+1)*R126-ERP_i)*Q126*Ramure*Pc/MaxiM</f>
        <v>1.1076300723786953E-4</v>
      </c>
      <c r="Q126" s="305">
        <f t="shared" si="27"/>
        <v>0.7</v>
      </c>
      <c r="R126" s="177">
        <f t="shared" si="28"/>
        <v>0.55832914639472508</v>
      </c>
      <c r="S126" s="921">
        <f t="shared" si="29"/>
        <v>-2</v>
      </c>
      <c r="T126" s="176">
        <f t="shared" si="30"/>
        <v>4</v>
      </c>
      <c r="U126" s="251">
        <f t="shared" si="31"/>
        <v>-1.4416708536052749</v>
      </c>
      <c r="V126" s="383">
        <f t="shared" si="32"/>
        <v>55.777842821088051</v>
      </c>
      <c r="W126" s="58"/>
      <c r="X126" s="157">
        <f t="shared" si="33"/>
        <v>43577</v>
      </c>
      <c r="Y126" s="385">
        <f t="shared" si="34"/>
        <v>32.277999999999999</v>
      </c>
      <c r="Z126" s="385">
        <f t="shared" si="35"/>
        <v>32.51499673535541</v>
      </c>
      <c r="AA126" s="386">
        <f t="shared" si="36"/>
        <v>33.767004180026333</v>
      </c>
      <c r="AB126" s="197">
        <f t="shared" si="37"/>
        <v>43577</v>
      </c>
      <c r="AC126" s="427">
        <f>IF(OR(t&lt;Tnet,NoTnet),'2018'!Resal_s+('2018'!Salim-'2018'!Resal_s)*(1-EXP(('2018'!Tnet_s-t)/'2018'!Tau_j)),Resal_s+(Salim-Resal_s)*(1-EXP((Tnet_s-t)/Tau_j)))*Salcycl</f>
        <v>3.707783604361032E-2</v>
      </c>
      <c r="AD126" s="231">
        <f>(INDEX(Models!$BJ126:$BT126,,AH126)*(1-AF126)+INDEX(Models!$BJ126:$BT126,,AH126+1)*AF126-ERP_i)*AE126*Ramure*Pc/MaxiM</f>
        <v>1.1076300723786953E-4</v>
      </c>
      <c r="AE126" s="305">
        <f t="shared" si="38"/>
        <v>0.7</v>
      </c>
      <c r="AF126" s="177">
        <f t="shared" si="39"/>
        <v>0.55832914639472508</v>
      </c>
      <c r="AG126" s="176">
        <f t="shared" si="40"/>
        <v>-2</v>
      </c>
      <c r="AH126" s="176">
        <f t="shared" si="41"/>
        <v>4</v>
      </c>
      <c r="AI126" s="225">
        <f t="shared" si="42"/>
        <v>-1.4416708536052749</v>
      </c>
      <c r="AJ126" s="265" t="b">
        <f t="shared" si="43"/>
        <v>1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20">
        <v>36.985999999999997</v>
      </c>
      <c r="C127" s="390"/>
      <c r="D127" s="393">
        <f t="shared" si="24"/>
        <v>37.258380626120854</v>
      </c>
      <c r="E127" s="385">
        <f t="shared" si="46"/>
        <v>38.697452065457036</v>
      </c>
      <c r="F127" s="385">
        <f t="shared" si="25"/>
        <v>38.699906006079381</v>
      </c>
      <c r="G127" s="110">
        <f t="shared" si="47"/>
        <v>0.66192262273816638</v>
      </c>
      <c r="H127" s="414" t="b">
        <f>Wh_hp&gt;='2018'!Maxi_hp</f>
        <v>1</v>
      </c>
      <c r="I127" s="390">
        <f>IF(H127,Wh_hp,'2018'!Maxi_hp)</f>
        <v>38.699906006079381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7.3105868141219998E-3</v>
      </c>
      <c r="M127" s="959"/>
      <c r="N127" s="959"/>
      <c r="O127" s="48">
        <f>IF(t&lt;Tnet,'2018'!Resal+('2018'!Salim-'2018'!Resal)*(1-EXP(('2018'!Tnet-t)/('2018'!Tau_j))),Resal+(Salim-Resal)*(1-EXP((Tnet-t)/(Tau_j))))*Salcycl</f>
        <v>3.7187756881305309E-2</v>
      </c>
      <c r="P127" s="169">
        <f>(INDEX(Models!$BJ127:$BT127,,T127)*(1-R127)+INDEX(Models!$BJ127:$BT127,,T127+1)*R127-ERP_i)*Q127*Ramure*Pc/MaxiM</f>
        <v>1.2262793353593954E-4</v>
      </c>
      <c r="Q127" s="305">
        <f t="shared" si="27"/>
        <v>0.7</v>
      </c>
      <c r="R127" s="177">
        <f t="shared" si="28"/>
        <v>0.56050161539875853</v>
      </c>
      <c r="S127" s="921">
        <f t="shared" si="29"/>
        <v>-2</v>
      </c>
      <c r="T127" s="176">
        <f t="shared" si="30"/>
        <v>4</v>
      </c>
      <c r="U127" s="251">
        <f t="shared" si="31"/>
        <v>-1.4394983846012415</v>
      </c>
      <c r="V127" s="383">
        <f t="shared" si="32"/>
        <v>55.873312584656624</v>
      </c>
      <c r="W127" s="58"/>
      <c r="X127" s="157">
        <f t="shared" si="33"/>
        <v>43578</v>
      </c>
      <c r="Y127" s="385">
        <f t="shared" si="34"/>
        <v>36.985999999999997</v>
      </c>
      <c r="Z127" s="385">
        <f t="shared" si="35"/>
        <v>37.258380626120854</v>
      </c>
      <c r="AA127" s="386">
        <f t="shared" si="36"/>
        <v>38.697452065457036</v>
      </c>
      <c r="AB127" s="197">
        <f t="shared" si="37"/>
        <v>43578</v>
      </c>
      <c r="AC127" s="427">
        <f>IF(OR(t&lt;Tnet,NoTnet),'2018'!Resal_s+('2018'!Salim-'2018'!Resal_s)*(1-EXP(('2018'!Tnet_s-t)/'2018'!Tau_j)),Resal_s+(Salim-Resal_s)*(1-EXP((Tnet_s-t)/Tau_j)))*Salcycl</f>
        <v>3.7187756881305309E-2</v>
      </c>
      <c r="AD127" s="231">
        <f>(INDEX(Models!$BJ127:$BT127,,AH127)*(1-AF127)+INDEX(Models!$BJ127:$BT127,,AH127+1)*AF127-ERP_i)*AE127*Ramure*Pc/MaxiM</f>
        <v>1.2262793353593954E-4</v>
      </c>
      <c r="AE127" s="305">
        <f t="shared" si="38"/>
        <v>0.7</v>
      </c>
      <c r="AF127" s="177">
        <f t="shared" si="39"/>
        <v>0.56050161539875853</v>
      </c>
      <c r="AG127" s="176">
        <f t="shared" si="40"/>
        <v>-2</v>
      </c>
      <c r="AH127" s="176">
        <f t="shared" si="41"/>
        <v>4</v>
      </c>
      <c r="AI127" s="225">
        <f t="shared" si="42"/>
        <v>-1.4394983846012415</v>
      </c>
      <c r="AJ127" s="265" t="b">
        <f t="shared" si="43"/>
        <v>1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20">
        <v>50.750999999999998</v>
      </c>
      <c r="C128" s="390"/>
      <c r="D128" s="393">
        <f t="shared" si="24"/>
        <v>51.125871725190599</v>
      </c>
      <c r="E128" s="385">
        <f t="shared" si="46"/>
        <v>53.106653936813373</v>
      </c>
      <c r="F128" s="385">
        <f t="shared" si="25"/>
        <v>53.112907470199339</v>
      </c>
      <c r="G128" s="110">
        <f t="shared" si="47"/>
        <v>0.90682525954081739</v>
      </c>
      <c r="H128" s="414" t="b">
        <f>Wh_hp&gt;='2018'!Maxi_hp</f>
        <v>1</v>
      </c>
      <c r="I128" s="390">
        <f>IF(H128,Wh_hp,'2018'!Maxi_hp)</f>
        <v>53.112907470199339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7.3323292599409839E-3</v>
      </c>
      <c r="M128" s="959"/>
      <c r="N128" s="959"/>
      <c r="O128" s="48">
        <f>IF(t&lt;Tnet,'2018'!Resal+('2018'!Salim-'2018'!Resal)*(1-EXP(('2018'!Tnet-t)/('2018'!Tau_j))),Resal+(Salim-Resal)*(1-EXP((Tnet-t)/(Tau_j))))*Salcycl</f>
        <v>3.7298192689366606E-2</v>
      </c>
      <c r="P128" s="169">
        <f>(INDEX(Models!$BJ128:$BT128,,T128)*(1-R128)+INDEX(Models!$BJ128:$BT128,,T128+1)*R128-ERP_i)*Q128*Ramure*Pc/MaxiM</f>
        <v>1.3581509902903702E-4</v>
      </c>
      <c r="Q128" s="305">
        <f t="shared" si="27"/>
        <v>0.7</v>
      </c>
      <c r="R128" s="177">
        <f t="shared" si="28"/>
        <v>0.56274261478534005</v>
      </c>
      <c r="S128" s="921">
        <f t="shared" si="29"/>
        <v>-2</v>
      </c>
      <c r="T128" s="176">
        <f t="shared" si="30"/>
        <v>4</v>
      </c>
      <c r="U128" s="251">
        <f t="shared" si="31"/>
        <v>-1.43725738521466</v>
      </c>
      <c r="V128" s="383">
        <f t="shared" si="32"/>
        <v>55.964566544072731</v>
      </c>
      <c r="W128" s="58"/>
      <c r="X128" s="157">
        <f t="shared" si="33"/>
        <v>43579</v>
      </c>
      <c r="Y128" s="385">
        <f t="shared" si="34"/>
        <v>50.750999999999998</v>
      </c>
      <c r="Z128" s="385">
        <f t="shared" si="35"/>
        <v>51.125871725190599</v>
      </c>
      <c r="AA128" s="386">
        <f t="shared" si="36"/>
        <v>53.106653936813373</v>
      </c>
      <c r="AB128" s="197">
        <f t="shared" si="37"/>
        <v>43579</v>
      </c>
      <c r="AC128" s="427">
        <f>IF(OR(t&lt;Tnet,NoTnet),'2018'!Resal_s+('2018'!Salim-'2018'!Resal_s)*(1-EXP(('2018'!Tnet_s-t)/'2018'!Tau_j)),Resal_s+(Salim-Resal_s)*(1-EXP((Tnet_s-t)/Tau_j)))*Salcycl</f>
        <v>3.7298192689366606E-2</v>
      </c>
      <c r="AD128" s="231">
        <f>(INDEX(Models!$BJ128:$BT128,,AH128)*(1-AF128)+INDEX(Models!$BJ128:$BT128,,AH128+1)*AF128-ERP_i)*AE128*Ramure*Pc/MaxiM</f>
        <v>1.3581509902903702E-4</v>
      </c>
      <c r="AE128" s="305">
        <f t="shared" si="38"/>
        <v>0.7</v>
      </c>
      <c r="AF128" s="177">
        <f t="shared" si="39"/>
        <v>0.56274261478534005</v>
      </c>
      <c r="AG128" s="176">
        <f t="shared" si="40"/>
        <v>-2</v>
      </c>
      <c r="AH128" s="176">
        <f t="shared" si="41"/>
        <v>4</v>
      </c>
      <c r="AI128" s="225">
        <f t="shared" si="42"/>
        <v>-1.43725738521466</v>
      </c>
      <c r="AJ128" s="265" t="b">
        <f t="shared" si="43"/>
        <v>1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20">
        <v>37.003</v>
      </c>
      <c r="C129" s="390"/>
      <c r="D129" s="393">
        <f t="shared" si="24"/>
        <v>37.277138733479632</v>
      </c>
      <c r="E129" s="385">
        <f t="shared" si="46"/>
        <v>38.725839373886735</v>
      </c>
      <c r="F129" s="385">
        <f t="shared" si="25"/>
        <v>38.728826660278862</v>
      </c>
      <c r="G129" s="110">
        <f t="shared" si="47"/>
        <v>0.66011238935177574</v>
      </c>
      <c r="H129" s="414" t="b">
        <f>Wh_hp&gt;='2018'!Maxi_hp</f>
        <v>1</v>
      </c>
      <c r="I129" s="390">
        <f>IF(H129,Wh_hp,'2018'!Maxi_hp)</f>
        <v>38.728826660278862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7.3540712295446786E-3</v>
      </c>
      <c r="M129" s="959"/>
      <c r="N129" s="959"/>
      <c r="O129" s="48">
        <f>IF(t&lt;Tnet,'2018'!Resal+('2018'!Salim-'2018'!Resal)*(1-EXP(('2018'!Tnet-t)/('2018'!Tau_j))),Resal+(Salim-Resal)*(1-EXP((Tnet-t)/(Tau_j))))*Salcycl</f>
        <v>3.7409147582840384E-2</v>
      </c>
      <c r="P129" s="169">
        <f>(INDEX(Models!$BJ129:$BT129,,T129)*(1-R129)+INDEX(Models!$BJ129:$BT129,,T129+1)*R129-ERP_i)*Q129*Ramure*Pc/MaxiM</f>
        <v>1.4991481463781265E-4</v>
      </c>
      <c r="Q129" s="305">
        <f t="shared" si="27"/>
        <v>0.7</v>
      </c>
      <c r="R129" s="177">
        <f t="shared" si="28"/>
        <v>0.56505345629030579</v>
      </c>
      <c r="S129" s="921">
        <f t="shared" si="29"/>
        <v>-2</v>
      </c>
      <c r="T129" s="176">
        <f t="shared" si="30"/>
        <v>4</v>
      </c>
      <c r="U129" s="251">
        <f t="shared" si="31"/>
        <v>-1.4349465437096942</v>
      </c>
      <c r="V129" s="383">
        <f t="shared" si="32"/>
        <v>56.05152585940948</v>
      </c>
      <c r="W129" s="58"/>
      <c r="X129" s="157">
        <f t="shared" si="33"/>
        <v>43580</v>
      </c>
      <c r="Y129" s="385">
        <f t="shared" si="34"/>
        <v>37.003</v>
      </c>
      <c r="Z129" s="385">
        <f t="shared" si="35"/>
        <v>37.277138733479632</v>
      </c>
      <c r="AA129" s="386">
        <f t="shared" si="36"/>
        <v>38.725839373886735</v>
      </c>
      <c r="AB129" s="197">
        <f t="shared" si="37"/>
        <v>43580</v>
      </c>
      <c r="AC129" s="427">
        <f>IF(OR(t&lt;Tnet,NoTnet),'2018'!Resal_s+('2018'!Salim-'2018'!Resal_s)*(1-EXP(('2018'!Tnet_s-t)/'2018'!Tau_j)),Resal_s+(Salim-Resal_s)*(1-EXP((Tnet_s-t)/Tau_j)))*Salcycl</f>
        <v>3.7409147582840384E-2</v>
      </c>
      <c r="AD129" s="231">
        <f>(INDEX(Models!$BJ129:$BT129,,AH129)*(1-AF129)+INDEX(Models!$BJ129:$BT129,,AH129+1)*AF129-ERP_i)*AE129*Ramure*Pc/MaxiM</f>
        <v>1.4991481463781265E-4</v>
      </c>
      <c r="AE129" s="305">
        <f t="shared" si="38"/>
        <v>0.7</v>
      </c>
      <c r="AF129" s="177">
        <f t="shared" si="39"/>
        <v>0.56505345629030579</v>
      </c>
      <c r="AG129" s="176">
        <f t="shared" si="40"/>
        <v>-2</v>
      </c>
      <c r="AH129" s="176">
        <f t="shared" si="41"/>
        <v>4</v>
      </c>
      <c r="AI129" s="225">
        <f t="shared" si="42"/>
        <v>-1.4349465437096942</v>
      </c>
      <c r="AJ129" s="265" t="b">
        <f t="shared" si="43"/>
        <v>1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20">
        <v>28.614000000000001</v>
      </c>
      <c r="C130" s="390"/>
      <c r="D130" s="393">
        <f t="shared" si="24"/>
        <v>28.826619748701926</v>
      </c>
      <c r="E130" s="385">
        <f t="shared" si="46"/>
        <v>29.950376590324463</v>
      </c>
      <c r="F130" s="385">
        <f t="shared" si="25"/>
        <v>29.951857021482031</v>
      </c>
      <c r="G130" s="110">
        <f t="shared" si="47"/>
        <v>0.50968485343853964</v>
      </c>
      <c r="H130" s="414" t="b">
        <f>Wh_hp&gt;='2018'!Maxi_hp</f>
        <v>1</v>
      </c>
      <c r="I130" s="390">
        <f>IF(H130,Wh_hp,'2018'!Maxi_hp)</f>
        <v>29.951857021482031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7.3758127229432979E-3</v>
      </c>
      <c r="M130" s="959"/>
      <c r="N130" s="959"/>
      <c r="O130" s="48">
        <f>IF(t&lt;Tnet,'2018'!Resal+('2018'!Salim-'2018'!Resal)*(1-EXP(('2018'!Tnet-t)/('2018'!Tau_j))),Resal+(Salim-Resal)*(1-EXP((Tnet-t)/(Tau_j))))*Salcycl</f>
        <v>3.7520624765218155E-2</v>
      </c>
      <c r="P130" s="169">
        <f>(INDEX(Models!$BJ130:$BT130,,T130)*(1-R130)+INDEX(Models!$BJ130:$BT130,,T130+1)*R130-ERP_i)*Q130*Ramure*Pc/MaxiM</f>
        <v>1.649580368550783E-4</v>
      </c>
      <c r="Q130" s="305">
        <f t="shared" si="27"/>
        <v>0.7</v>
      </c>
      <c r="R130" s="177">
        <f t="shared" si="28"/>
        <v>0.5674354130681647</v>
      </c>
      <c r="S130" s="921">
        <f t="shared" si="29"/>
        <v>-2</v>
      </c>
      <c r="T130" s="176">
        <f t="shared" si="30"/>
        <v>4</v>
      </c>
      <c r="U130" s="251">
        <f t="shared" si="31"/>
        <v>-1.4325645869318353</v>
      </c>
      <c r="V130" s="383">
        <f t="shared" si="32"/>
        <v>56.134087248574048</v>
      </c>
      <c r="W130" s="58"/>
      <c r="X130" s="157">
        <f t="shared" si="33"/>
        <v>43581</v>
      </c>
      <c r="Y130" s="385">
        <f t="shared" si="34"/>
        <v>28.614000000000001</v>
      </c>
      <c r="Z130" s="385">
        <f t="shared" si="35"/>
        <v>28.826619748701926</v>
      </c>
      <c r="AA130" s="386">
        <f t="shared" si="36"/>
        <v>29.950376590324463</v>
      </c>
      <c r="AB130" s="197">
        <f t="shared" si="37"/>
        <v>43581</v>
      </c>
      <c r="AC130" s="427">
        <f>IF(OR(t&lt;Tnet,NoTnet),'2018'!Resal_s+('2018'!Salim-'2018'!Resal_s)*(1-EXP(('2018'!Tnet_s-t)/'2018'!Tau_j)),Resal_s+(Salim-Resal_s)*(1-EXP((Tnet_s-t)/Tau_j)))*Salcycl</f>
        <v>3.7520624765218155E-2</v>
      </c>
      <c r="AD130" s="231">
        <f>(INDEX(Models!$BJ130:$BT130,,AH130)*(1-AF130)+INDEX(Models!$BJ130:$BT130,,AH130+1)*AF130-ERP_i)*AE130*Ramure*Pc/MaxiM</f>
        <v>1.649580368550783E-4</v>
      </c>
      <c r="AE130" s="305">
        <f t="shared" si="38"/>
        <v>0.7</v>
      </c>
      <c r="AF130" s="177">
        <f t="shared" si="39"/>
        <v>0.5674354130681647</v>
      </c>
      <c r="AG130" s="176">
        <f t="shared" si="40"/>
        <v>-2</v>
      </c>
      <c r="AH130" s="176">
        <f t="shared" si="41"/>
        <v>4</v>
      </c>
      <c r="AI130" s="225">
        <f t="shared" si="42"/>
        <v>-1.4325645869318353</v>
      </c>
      <c r="AJ130" s="265" t="b">
        <f t="shared" si="43"/>
        <v>1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20">
        <v>27.581</v>
      </c>
      <c r="C131" s="390"/>
      <c r="D131" s="393">
        <f t="shared" si="24"/>
        <v>27.786552515486743</v>
      </c>
      <c r="E131" s="385">
        <f t="shared" si="46"/>
        <v>28.873124006629308</v>
      </c>
      <c r="F131" s="385">
        <f t="shared" si="25"/>
        <v>28.874547316848894</v>
      </c>
      <c r="G131" s="110">
        <f t="shared" si="47"/>
        <v>0.49059445452595613</v>
      </c>
      <c r="H131" s="414" t="b">
        <f>Wh_hp&gt;='2018'!Maxi_hp</f>
        <v>1</v>
      </c>
      <c r="I131" s="390">
        <f>IF(H131,Wh_hp,'2018'!Maxi_hp)</f>
        <v>28.874547316848894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7.3975537401475E-3</v>
      </c>
      <c r="M131" s="959"/>
      <c r="N131" s="959"/>
      <c r="O131" s="48">
        <f>IF(t&lt;Tnet,'2018'!Resal+('2018'!Salim-'2018'!Resal)*(1-EXP(('2018'!Tnet-t)/('2018'!Tau_j))),Resal+(Salim-Resal)*(1-EXP((Tnet-t)/(Tau_j))))*Salcycl</f>
        <v>3.7632626483129546E-2</v>
      </c>
      <c r="P131" s="169">
        <f>(INDEX(Models!$BJ131:$BT131,,T131)*(1-R131)+INDEX(Models!$BJ131:$BT131,,T131+1)*R131-ERP_i)*Q131*Ramure*Pc/MaxiM</f>
        <v>1.8097765353429927E-4</v>
      </c>
      <c r="Q131" s="305">
        <f t="shared" si="27"/>
        <v>0.7</v>
      </c>
      <c r="R131" s="177">
        <f t="shared" si="28"/>
        <v>0.56988971405529965</v>
      </c>
      <c r="S131" s="921">
        <f t="shared" si="29"/>
        <v>-2</v>
      </c>
      <c r="T131" s="176">
        <f t="shared" si="30"/>
        <v>4</v>
      </c>
      <c r="U131" s="251">
        <f t="shared" si="31"/>
        <v>-1.4301102859447004</v>
      </c>
      <c r="V131" s="383">
        <f t="shared" si="32"/>
        <v>56.21214746600301</v>
      </c>
      <c r="W131" s="58"/>
      <c r="X131" s="157">
        <f t="shared" si="33"/>
        <v>43582</v>
      </c>
      <c r="Y131" s="385">
        <f t="shared" si="34"/>
        <v>27.581</v>
      </c>
      <c r="Z131" s="385">
        <f t="shared" si="35"/>
        <v>27.786552515486743</v>
      </c>
      <c r="AA131" s="386">
        <f t="shared" si="36"/>
        <v>28.873124006629308</v>
      </c>
      <c r="AB131" s="197">
        <f t="shared" si="37"/>
        <v>43582</v>
      </c>
      <c r="AC131" s="427">
        <f>IF(OR(t&lt;Tnet,NoTnet),'2018'!Resal_s+('2018'!Salim-'2018'!Resal_s)*(1-EXP(('2018'!Tnet_s-t)/'2018'!Tau_j)),Resal_s+(Salim-Resal_s)*(1-EXP((Tnet_s-t)/Tau_j)))*Salcycl</f>
        <v>3.7632626483129546E-2</v>
      </c>
      <c r="AD131" s="231">
        <f>(INDEX(Models!$BJ131:$BT131,,AH131)*(1-AF131)+INDEX(Models!$BJ131:$BT131,,AH131+1)*AF131-ERP_i)*AE131*Ramure*Pc/MaxiM</f>
        <v>1.8097765353429927E-4</v>
      </c>
      <c r="AE131" s="305">
        <f t="shared" si="38"/>
        <v>0.7</v>
      </c>
      <c r="AF131" s="177">
        <f t="shared" si="39"/>
        <v>0.56988971405529965</v>
      </c>
      <c r="AG131" s="176">
        <f t="shared" si="40"/>
        <v>-2</v>
      </c>
      <c r="AH131" s="176">
        <f t="shared" si="41"/>
        <v>4</v>
      </c>
      <c r="AI131" s="225">
        <f t="shared" si="42"/>
        <v>-1.4301102859447004</v>
      </c>
      <c r="AJ131" s="265" t="b">
        <f t="shared" si="43"/>
        <v>1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20">
        <v>42.905000000000001</v>
      </c>
      <c r="C132" s="390"/>
      <c r="D132" s="393">
        <f t="shared" si="24"/>
        <v>43.225704220119781</v>
      </c>
      <c r="E132" s="385">
        <f t="shared" si="46"/>
        <v>44.921264256483248</v>
      </c>
      <c r="F132" s="385">
        <f t="shared" si="25"/>
        <v>44.927139058198264</v>
      </c>
      <c r="G132" s="110">
        <f t="shared" si="47"/>
        <v>0.76222181036667103</v>
      </c>
      <c r="H132" s="414" t="b">
        <f>Wh_hp&gt;='2018'!Maxi_hp</f>
        <v>1</v>
      </c>
      <c r="I132" s="390">
        <f>IF(H132,Wh_hp,'2018'!Maxi_hp)</f>
        <v>44.927139058198264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7.4192942811676099E-3</v>
      </c>
      <c r="M132" s="959"/>
      <c r="N132" s="959"/>
      <c r="O132" s="48">
        <f>IF(t&lt;Tnet,'2018'!Resal+('2018'!Salim-'2018'!Resal)*(1-EXP(('2018'!Tnet-t)/('2018'!Tau_j))),Resal+(Salim-Resal)*(1-EXP((Tnet-t)/(Tau_j))))*Salcycl</f>
        <v>3.7745153980584131E-2</v>
      </c>
      <c r="P132" s="169">
        <f>(INDEX(Models!$BJ132:$BT132,,T132)*(1-R132)+INDEX(Models!$BJ132:$BT132,,T132+1)*R132-ERP_i)*Q132*Ramure*Pc/MaxiM</f>
        <v>1.9800852511960454E-4</v>
      </c>
      <c r="Q132" s="305">
        <f t="shared" si="27"/>
        <v>0.7</v>
      </c>
      <c r="R132" s="177">
        <f t="shared" si="28"/>
        <v>0.57241753809817708</v>
      </c>
      <c r="S132" s="921">
        <f t="shared" si="29"/>
        <v>-2</v>
      </c>
      <c r="T132" s="176">
        <f t="shared" si="30"/>
        <v>4</v>
      </c>
      <c r="U132" s="251">
        <f t="shared" si="31"/>
        <v>-1.4275824619018229</v>
      </c>
      <c r="V132" s="383">
        <f t="shared" si="32"/>
        <v>56.285603303942985</v>
      </c>
      <c r="W132" s="58"/>
      <c r="X132" s="157">
        <f t="shared" si="33"/>
        <v>43583</v>
      </c>
      <c r="Y132" s="385">
        <f t="shared" si="34"/>
        <v>42.905000000000001</v>
      </c>
      <c r="Z132" s="385">
        <f t="shared" si="35"/>
        <v>43.225704220119781</v>
      </c>
      <c r="AA132" s="386">
        <f t="shared" si="36"/>
        <v>44.921264256483248</v>
      </c>
      <c r="AB132" s="197">
        <f t="shared" si="37"/>
        <v>43583</v>
      </c>
      <c r="AC132" s="427">
        <f>IF(OR(t&lt;Tnet,NoTnet),'2018'!Resal_s+('2018'!Salim-'2018'!Resal_s)*(1-EXP(('2018'!Tnet_s-t)/'2018'!Tau_j)),Resal_s+(Salim-Resal_s)*(1-EXP((Tnet_s-t)/Tau_j)))*Salcycl</f>
        <v>3.7745153980584131E-2</v>
      </c>
      <c r="AD132" s="231">
        <f>(INDEX(Models!$BJ132:$BT132,,AH132)*(1-AF132)+INDEX(Models!$BJ132:$BT132,,AH132+1)*AF132-ERP_i)*AE132*Ramure*Pc/MaxiM</f>
        <v>1.9800852511960454E-4</v>
      </c>
      <c r="AE132" s="305">
        <f t="shared" si="38"/>
        <v>0.7</v>
      </c>
      <c r="AF132" s="177">
        <f t="shared" si="39"/>
        <v>0.57241753809817708</v>
      </c>
      <c r="AG132" s="176">
        <f t="shared" si="40"/>
        <v>-2</v>
      </c>
      <c r="AH132" s="176">
        <f t="shared" si="41"/>
        <v>4</v>
      </c>
      <c r="AI132" s="225">
        <f t="shared" si="42"/>
        <v>-1.4275824619018229</v>
      </c>
      <c r="AJ132" s="265" t="b">
        <f t="shared" si="43"/>
        <v>1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20">
        <v>50.616999999999997</v>
      </c>
      <c r="C133" s="390"/>
      <c r="D133" s="393">
        <f t="shared" si="24"/>
        <v>50.996466458442626</v>
      </c>
      <c r="E133" s="385">
        <f t="shared" si="46"/>
        <v>53.003067586792127</v>
      </c>
      <c r="F133" s="385">
        <f t="shared" si="25"/>
        <v>53.012856919854819</v>
      </c>
      <c r="G133" s="110">
        <f t="shared" si="47"/>
        <v>0.89816327369709736</v>
      </c>
      <c r="H133" s="414" t="b">
        <f>Wh_hp&gt;='2018'!Maxi_hp</f>
        <v>1</v>
      </c>
      <c r="I133" s="390">
        <f>IF(H133,Wh_hp,'2018'!Maxi_hp)</f>
        <v>53.012856919854819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7.4410343460141748E-3</v>
      </c>
      <c r="M133" s="959"/>
      <c r="N133" s="959"/>
      <c r="O133" s="48">
        <f>IF(t&lt;Tnet,'2018'!Resal+('2018'!Salim-'2018'!Resal)*(1-EXP(('2018'!Tnet-t)/('2018'!Tau_j))),Resal+(Salim-Resal)*(1-EXP((Tnet-t)/(Tau_j))))*Salcycl</f>
        <v>3.785820745306312E-2</v>
      </c>
      <c r="P133" s="169">
        <f>(INDEX(Models!$BJ133:$BT133,,T133)*(1-R133)+INDEX(Models!$BJ133:$BT133,,T133+1)*R133-ERP_i)*Q133*Ramure*Pc/MaxiM</f>
        <v>2.1608752361581082E-4</v>
      </c>
      <c r="Q133" s="305">
        <f t="shared" si="27"/>
        <v>0.7</v>
      </c>
      <c r="R133" s="177">
        <f t="shared" si="28"/>
        <v>0.57502000785930907</v>
      </c>
      <c r="S133" s="921">
        <f t="shared" si="29"/>
        <v>-2</v>
      </c>
      <c r="T133" s="176">
        <f t="shared" si="30"/>
        <v>4</v>
      </c>
      <c r="U133" s="251">
        <f t="shared" si="31"/>
        <v>-1.4249799921406909</v>
      </c>
      <c r="V133" s="383">
        <f t="shared" si="32"/>
        <v>56.35435159883405</v>
      </c>
      <c r="W133" s="58"/>
      <c r="X133" s="157">
        <f t="shared" si="33"/>
        <v>43584</v>
      </c>
      <c r="Y133" s="385">
        <f t="shared" si="34"/>
        <v>50.616999999999997</v>
      </c>
      <c r="Z133" s="385">
        <f t="shared" si="35"/>
        <v>50.996466458442626</v>
      </c>
      <c r="AA133" s="386">
        <f t="shared" si="36"/>
        <v>53.003067586792127</v>
      </c>
      <c r="AB133" s="197">
        <f t="shared" si="37"/>
        <v>43584</v>
      </c>
      <c r="AC133" s="427">
        <f>IF(OR(t&lt;Tnet,NoTnet),'2018'!Resal_s+('2018'!Salim-'2018'!Resal_s)*(1-EXP(('2018'!Tnet_s-t)/'2018'!Tau_j)),Resal_s+(Salim-Resal_s)*(1-EXP((Tnet_s-t)/Tau_j)))*Salcycl</f>
        <v>3.785820745306312E-2</v>
      </c>
      <c r="AD133" s="231">
        <f>(INDEX(Models!$BJ133:$BT133,,AH133)*(1-AF133)+INDEX(Models!$BJ133:$BT133,,AH133+1)*AF133-ERP_i)*AE133*Ramure*Pc/MaxiM</f>
        <v>2.1608752361581082E-4</v>
      </c>
      <c r="AE133" s="305">
        <f t="shared" si="38"/>
        <v>0.7</v>
      </c>
      <c r="AF133" s="177">
        <f t="shared" si="39"/>
        <v>0.57502000785930907</v>
      </c>
      <c r="AG133" s="176">
        <f t="shared" si="40"/>
        <v>-2</v>
      </c>
      <c r="AH133" s="176">
        <f t="shared" si="41"/>
        <v>4</v>
      </c>
      <c r="AI133" s="225">
        <f t="shared" si="42"/>
        <v>-1.4249799921406909</v>
      </c>
      <c r="AJ133" s="265" t="b">
        <f t="shared" si="43"/>
        <v>1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20">
        <v>56.923999999999999</v>
      </c>
      <c r="C134" s="390"/>
      <c r="D134" s="393">
        <f t="shared" si="24"/>
        <v>57.35200504837767</v>
      </c>
      <c r="E134" s="385">
        <f t="shared" si="46"/>
        <v>59.615720426765868</v>
      </c>
      <c r="F134" s="385">
        <f t="shared" si="25"/>
        <v>59.629748537925202</v>
      </c>
      <c r="G134" s="110">
        <f t="shared" si="47"/>
        <v>1.0089635962423893</v>
      </c>
      <c r="H134" s="414" t="b">
        <f>Wh_hp&gt;='2018'!Maxi_hp</f>
        <v>1</v>
      </c>
      <c r="I134" s="390">
        <f>IF(H134,Wh_hp,'2018'!Maxi_hp)</f>
        <v>59.629748537925202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7.4627739346974087E-3</v>
      </c>
      <c r="M134" s="959"/>
      <c r="N134" s="959"/>
      <c r="O134" s="48">
        <f>IF(t&lt;Tnet,'2018'!Resal+('2018'!Salim-'2018'!Resal)*(1-EXP(('2018'!Tnet-t)/('2018'!Tau_j))),Resal+(Salim-Resal)*(1-EXP((Tnet-t)/(Tau_j))))*Salcycl</f>
        <v>3.7971786001798388E-2</v>
      </c>
      <c r="P134" s="169">
        <f>(INDEX(Models!$BJ134:$BT134,,T134)*(1-R134)+INDEX(Models!$BJ134:$BT134,,T134+1)*R134-ERP_i)*Q134*Ramure*Pc/MaxiM</f>
        <v>2.3525356895325448E-4</v>
      </c>
      <c r="Q134" s="305">
        <f t="shared" si="27"/>
        <v>0.7</v>
      </c>
      <c r="R134" s="177">
        <f t="shared" si="28"/>
        <v>0.57769818351658819</v>
      </c>
      <c r="S134" s="921">
        <f t="shared" si="29"/>
        <v>-2</v>
      </c>
      <c r="T134" s="176">
        <f t="shared" si="30"/>
        <v>4</v>
      </c>
      <c r="U134" s="251">
        <f t="shared" si="31"/>
        <v>-1.4223018164834118</v>
      </c>
      <c r="V134" s="383">
        <f t="shared" si="32"/>
        <v>56.418289234614583</v>
      </c>
      <c r="W134" s="58"/>
      <c r="X134" s="157">
        <f t="shared" si="33"/>
        <v>43585</v>
      </c>
      <c r="Y134" s="385">
        <f t="shared" si="34"/>
        <v>56.923999999999999</v>
      </c>
      <c r="Z134" s="385">
        <f t="shared" si="35"/>
        <v>57.35200504837767</v>
      </c>
      <c r="AA134" s="386">
        <f t="shared" si="36"/>
        <v>59.615720426765868</v>
      </c>
      <c r="AB134" s="197">
        <f t="shared" si="37"/>
        <v>43585</v>
      </c>
      <c r="AC134" s="427">
        <f>IF(OR(t&lt;Tnet,NoTnet),'2018'!Resal_s+('2018'!Salim-'2018'!Resal_s)*(1-EXP(('2018'!Tnet_s-t)/'2018'!Tau_j)),Resal_s+(Salim-Resal_s)*(1-EXP((Tnet_s-t)/Tau_j)))*Salcycl</f>
        <v>3.7971786001798388E-2</v>
      </c>
      <c r="AD134" s="231">
        <f>(INDEX(Models!$BJ134:$BT134,,AH134)*(1-AF134)+INDEX(Models!$BJ134:$BT134,,AH134+1)*AF134-ERP_i)*AE134*Ramure*Pc/MaxiM</f>
        <v>2.3525356895325448E-4</v>
      </c>
      <c r="AE134" s="305">
        <f t="shared" si="38"/>
        <v>0.7</v>
      </c>
      <c r="AF134" s="177">
        <f t="shared" si="39"/>
        <v>0.57769818351658819</v>
      </c>
      <c r="AG134" s="176">
        <f t="shared" si="40"/>
        <v>-2</v>
      </c>
      <c r="AH134" s="176">
        <f t="shared" si="41"/>
        <v>4</v>
      </c>
      <c r="AI134" s="225">
        <f t="shared" si="42"/>
        <v>-1.4223018164834118</v>
      </c>
      <c r="AJ134" s="265" t="b">
        <f t="shared" si="43"/>
        <v>1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20">
        <v>54.87</v>
      </c>
      <c r="C135" s="390"/>
      <c r="D135" s="393">
        <f t="shared" si="24"/>
        <v>55.28377211368484</v>
      </c>
      <c r="E135" s="385">
        <f t="shared" si="46"/>
        <v>57.472669753327466</v>
      </c>
      <c r="F135" s="385">
        <f t="shared" si="25"/>
        <v>57.486763345827086</v>
      </c>
      <c r="G135" s="110">
        <f t="shared" si="47"/>
        <v>0.97153753265828768</v>
      </c>
      <c r="H135" s="414" t="b">
        <f>Wh_hp&gt;='2018'!Maxi_hp</f>
        <v>1</v>
      </c>
      <c r="I135" s="390">
        <f>IF(H135,Wh_hp,'2018'!Maxi_hp)</f>
        <v>57.486763345827086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7.4845130472278587E-3</v>
      </c>
      <c r="M135" s="959"/>
      <c r="N135" s="959"/>
      <c r="O135" s="48">
        <f>IF(t&lt;Tnet,'2018'!Resal+('2018'!Salim-'2018'!Resal)*(1-EXP(('2018'!Tnet-t)/('2018'!Tau_j))),Resal+(Salim-Resal)*(1-EXP((Tnet-t)/(Tau_j))))*Salcycl</f>
        <v>3.8085887588611485E-2</v>
      </c>
      <c r="P135" s="169">
        <f>(INDEX(Models!$BJ135:$BT135,,T135)*(1-R135)+INDEX(Models!$BJ135:$BT135,,T135+1)*R135-ERP_i)*Q135*Ramure*Pc/MaxiM</f>
        <v>2.5554952271376706E-4</v>
      </c>
      <c r="Q135" s="305">
        <f t="shared" si="27"/>
        <v>0.7</v>
      </c>
      <c r="R135" s="177">
        <f t="shared" si="28"/>
        <v>0.58045305627464816</v>
      </c>
      <c r="S135" s="921">
        <f t="shared" si="29"/>
        <v>-2</v>
      </c>
      <c r="T135" s="176">
        <f t="shared" si="30"/>
        <v>4</v>
      </c>
      <c r="U135" s="251">
        <f t="shared" si="31"/>
        <v>-1.4195469437253518</v>
      </c>
      <c r="V135" s="383">
        <f t="shared" si="32"/>
        <v>56.476901894184849</v>
      </c>
      <c r="W135" s="58"/>
      <c r="X135" s="157">
        <f t="shared" si="33"/>
        <v>43586</v>
      </c>
      <c r="Y135" s="385">
        <f t="shared" si="34"/>
        <v>54.87</v>
      </c>
      <c r="Z135" s="385">
        <f t="shared" si="35"/>
        <v>55.28377211368484</v>
      </c>
      <c r="AA135" s="386">
        <f t="shared" si="36"/>
        <v>57.472669753327466</v>
      </c>
      <c r="AB135" s="197">
        <f t="shared" si="37"/>
        <v>43586</v>
      </c>
      <c r="AC135" s="427">
        <f>IF(OR(t&lt;Tnet,NoTnet),'2018'!Resal_s+('2018'!Salim-'2018'!Resal_s)*(1-EXP(('2018'!Tnet_s-t)/'2018'!Tau_j)),Resal_s+(Salim-Resal_s)*(1-EXP((Tnet_s-t)/Tau_j)))*Salcycl</f>
        <v>3.8085887588611485E-2</v>
      </c>
      <c r="AD135" s="231">
        <f>(INDEX(Models!$BJ135:$BT135,,AH135)*(1-AF135)+INDEX(Models!$BJ135:$BT135,,AH135+1)*AF135-ERP_i)*AE135*Ramure*Pc/MaxiM</f>
        <v>2.5554952271376706E-4</v>
      </c>
      <c r="AE135" s="305">
        <f t="shared" si="38"/>
        <v>0.7</v>
      </c>
      <c r="AF135" s="177">
        <f t="shared" si="39"/>
        <v>0.58045305627464816</v>
      </c>
      <c r="AG135" s="176">
        <f t="shared" si="40"/>
        <v>-2</v>
      </c>
      <c r="AH135" s="176">
        <f t="shared" si="41"/>
        <v>4</v>
      </c>
      <c r="AI135" s="225">
        <f t="shared" si="42"/>
        <v>-1.4195469437253518</v>
      </c>
      <c r="AJ135" s="265" t="b">
        <f t="shared" si="43"/>
        <v>1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20">
        <v>37.533000000000001</v>
      </c>
      <c r="C136" s="390"/>
      <c r="D136" s="393">
        <f t="shared" si="24"/>
        <v>37.816862890742712</v>
      </c>
      <c r="E136" s="385">
        <f t="shared" si="46"/>
        <v>39.318863488998254</v>
      </c>
      <c r="F136" s="385">
        <f t="shared" si="25"/>
        <v>39.324532227972377</v>
      </c>
      <c r="G136" s="110">
        <f t="shared" si="47"/>
        <v>0.66386070757462712</v>
      </c>
      <c r="H136" s="414" t="b">
        <f>Wh_hp&gt;='2018'!Maxi_hp</f>
        <v>1</v>
      </c>
      <c r="I136" s="390">
        <f>IF(H136,Wh_hp,'2018'!Maxi_hp)</f>
        <v>39.324532227972377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7.506251683615961E-3</v>
      </c>
      <c r="M136" s="959"/>
      <c r="N136" s="959"/>
      <c r="O136" s="48">
        <f>IF(t&lt;Tnet,'2018'!Resal+('2018'!Salim-'2018'!Resal)*(1-EXP(('2018'!Tnet-t)/('2018'!Tau_j))),Resal+(Salim-Resal)*(1-EXP((Tnet-t)/(Tau_j))))*Salcycl</f>
        <v>3.8200508991716356E-2</v>
      </c>
      <c r="P136" s="169">
        <f>(INDEX(Models!$BJ136:$BT136,,T136)*(1-R136)+INDEX(Models!$BJ136:$BT136,,T136+1)*R136-ERP_i)*Q136*Ramure*Pc/MaxiM</f>
        <v>2.7725557779147597E-4</v>
      </c>
      <c r="Q136" s="305">
        <f t="shared" si="27"/>
        <v>0.7</v>
      </c>
      <c r="R136" s="177">
        <f t="shared" si="28"/>
        <v>0.58328554171008329</v>
      </c>
      <c r="S136" s="921">
        <f t="shared" si="29"/>
        <v>-2</v>
      </c>
      <c r="T136" s="176">
        <f t="shared" si="30"/>
        <v>4</v>
      </c>
      <c r="U136" s="251">
        <f t="shared" si="31"/>
        <v>-1.4167144582899167</v>
      </c>
      <c r="V136" s="383">
        <f t="shared" si="32"/>
        <v>56.529936329488827</v>
      </c>
      <c r="W136" s="58"/>
      <c r="X136" s="157">
        <f t="shared" si="33"/>
        <v>43587</v>
      </c>
      <c r="Y136" s="385">
        <f t="shared" si="34"/>
        <v>37.533000000000001</v>
      </c>
      <c r="Z136" s="385">
        <f t="shared" si="35"/>
        <v>37.816862890742712</v>
      </c>
      <c r="AA136" s="386">
        <f t="shared" si="36"/>
        <v>39.318863488998254</v>
      </c>
      <c r="AB136" s="197">
        <f t="shared" si="37"/>
        <v>43587</v>
      </c>
      <c r="AC136" s="427">
        <f>IF(OR(t&lt;Tnet,NoTnet),'2018'!Resal_s+('2018'!Salim-'2018'!Resal_s)*(1-EXP(('2018'!Tnet_s-t)/'2018'!Tau_j)),Resal_s+(Salim-Resal_s)*(1-EXP((Tnet_s-t)/Tau_j)))*Salcycl</f>
        <v>3.8200508991716356E-2</v>
      </c>
      <c r="AD136" s="231">
        <f>(INDEX(Models!$BJ136:$BT136,,AH136)*(1-AF136)+INDEX(Models!$BJ136:$BT136,,AH136+1)*AF136-ERP_i)*AE136*Ramure*Pc/MaxiM</f>
        <v>2.7725557779147597E-4</v>
      </c>
      <c r="AE136" s="305">
        <f t="shared" si="38"/>
        <v>0.7</v>
      </c>
      <c r="AF136" s="177">
        <f t="shared" si="39"/>
        <v>0.58328554171008329</v>
      </c>
      <c r="AG136" s="176">
        <f t="shared" si="40"/>
        <v>-2</v>
      </c>
      <c r="AH136" s="176">
        <f t="shared" si="41"/>
        <v>4</v>
      </c>
      <c r="AI136" s="225">
        <f t="shared" si="42"/>
        <v>-1.4167144582899167</v>
      </c>
      <c r="AJ136" s="265" t="b">
        <f t="shared" si="43"/>
        <v>1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20">
        <v>23.899000000000001</v>
      </c>
      <c r="C137" s="390"/>
      <c r="D137" s="393">
        <f t="shared" si="24"/>
        <v>24.080276073720608</v>
      </c>
      <c r="E137" s="385">
        <f t="shared" si="46"/>
        <v>25.039687884725819</v>
      </c>
      <c r="F137" s="385">
        <f t="shared" si="25"/>
        <v>25.041001338286357</v>
      </c>
      <c r="G137" s="110">
        <f t="shared" si="47"/>
        <v>0.42230548825529485</v>
      </c>
      <c r="H137" s="414" t="b">
        <f>Wh_hp&gt;='2018'!Maxi_hp</f>
        <v>1</v>
      </c>
      <c r="I137" s="390">
        <f>IF(H137,Wh_hp,'2018'!Maxi_hp)</f>
        <v>25.041001338286357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7.5279898438721515E-3</v>
      </c>
      <c r="M137" s="959"/>
      <c r="N137" s="959"/>
      <c r="O137" s="48">
        <f>IF(t&lt;Tnet,'2018'!Resal+('2018'!Salim-'2018'!Resal)*(1-EXP(('2018'!Tnet-t)/('2018'!Tau_j))),Resal+(Salim-Resal)*(1-EXP((Tnet-t)/(Tau_j))))*Salcycl</f>
        <v>3.8315645762918973E-2</v>
      </c>
      <c r="P137" s="169">
        <f>(INDEX(Models!$BJ137:$BT137,,T137)*(1-R137)+INDEX(Models!$BJ137:$BT137,,T137+1)*R137-ERP_i)*Q137*Ramure*Pc/MaxiM</f>
        <v>2.9994666550066178E-4</v>
      </c>
      <c r="Q137" s="305">
        <f t="shared" si="27"/>
        <v>0.7</v>
      </c>
      <c r="R137" s="177">
        <f t="shared" si="28"/>
        <v>0.58619647297564703</v>
      </c>
      <c r="S137" s="921">
        <f t="shared" si="29"/>
        <v>-2</v>
      </c>
      <c r="T137" s="176">
        <f t="shared" si="30"/>
        <v>4</v>
      </c>
      <c r="U137" s="251">
        <f t="shared" si="31"/>
        <v>-1.413803527024353</v>
      </c>
      <c r="V137" s="383">
        <f t="shared" si="32"/>
        <v>56.577727455686713</v>
      </c>
      <c r="W137" s="58"/>
      <c r="X137" s="157">
        <f t="shared" si="33"/>
        <v>43588</v>
      </c>
      <c r="Y137" s="385">
        <f t="shared" si="34"/>
        <v>23.899000000000001</v>
      </c>
      <c r="Z137" s="385">
        <f t="shared" si="35"/>
        <v>24.080276073720608</v>
      </c>
      <c r="AA137" s="386">
        <f t="shared" si="36"/>
        <v>25.039687884725819</v>
      </c>
      <c r="AB137" s="197">
        <f t="shared" si="37"/>
        <v>43588</v>
      </c>
      <c r="AC137" s="427">
        <f>IF(OR(t&lt;Tnet,NoTnet),'2018'!Resal_s+('2018'!Salim-'2018'!Resal_s)*(1-EXP(('2018'!Tnet_s-t)/'2018'!Tau_j)),Resal_s+(Salim-Resal_s)*(1-EXP((Tnet_s-t)/Tau_j)))*Salcycl</f>
        <v>3.8315645762918973E-2</v>
      </c>
      <c r="AD137" s="231">
        <f>(INDEX(Models!$BJ137:$BT137,,AH137)*(1-AF137)+INDEX(Models!$BJ137:$BT137,,AH137+1)*AF137-ERP_i)*AE137*Ramure*Pc/MaxiM</f>
        <v>2.9994666550066178E-4</v>
      </c>
      <c r="AE137" s="305">
        <f t="shared" si="38"/>
        <v>0.7</v>
      </c>
      <c r="AF137" s="177">
        <f t="shared" si="39"/>
        <v>0.58619647297564703</v>
      </c>
      <c r="AG137" s="176">
        <f t="shared" si="40"/>
        <v>-2</v>
      </c>
      <c r="AH137" s="176">
        <f t="shared" si="41"/>
        <v>4</v>
      </c>
      <c r="AI137" s="225">
        <f t="shared" si="42"/>
        <v>-1.413803527024353</v>
      </c>
      <c r="AJ137" s="265" t="b">
        <f t="shared" si="43"/>
        <v>1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20">
        <v>27.419</v>
      </c>
      <c r="C138" s="390"/>
      <c r="D138" s="393">
        <f t="shared" si="24"/>
        <v>27.627580706592795</v>
      </c>
      <c r="E138" s="385">
        <f t="shared" si="46"/>
        <v>28.73178014436402</v>
      </c>
      <c r="F138" s="385">
        <f t="shared" si="25"/>
        <v>28.734228189754425</v>
      </c>
      <c r="G138" s="110">
        <f t="shared" si="47"/>
        <v>0.48414302822060984</v>
      </c>
      <c r="H138" s="414" t="b">
        <f>Wh_hp&gt;='2018'!Maxi_hp</f>
        <v>1</v>
      </c>
      <c r="I138" s="390">
        <f>IF(H138,Wh_hp,'2018'!Maxi_hp)</f>
        <v>28.734228189754425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7.5497275280068665E-3</v>
      </c>
      <c r="M138" s="959"/>
      <c r="N138" s="959"/>
      <c r="O138" s="48">
        <f>IF(t&lt;Tnet,'2018'!Resal+('2018'!Salim-'2018'!Resal)*(1-EXP(('2018'!Tnet-t)/('2018'!Tau_j))),Resal+(Salim-Resal)*(1-EXP((Tnet-t)/(Tau_j))))*Salcycl</f>
        <v>3.8431292186670331E-2</v>
      </c>
      <c r="P138" s="169">
        <f>(INDEX(Models!$BJ138:$BT138,,T138)*(1-R138)+INDEX(Models!$BJ138:$BT138,,T138+1)*R138-ERP_i)*Q138*Ramure*Pc/MaxiM</f>
        <v>3.2366102036630439E-4</v>
      </c>
      <c r="Q138" s="305">
        <f t="shared" si="27"/>
        <v>0.7</v>
      </c>
      <c r="R138" s="177">
        <f t="shared" si="28"/>
        <v>0.58918659389193739</v>
      </c>
      <c r="S138" s="921">
        <f t="shared" si="29"/>
        <v>-2</v>
      </c>
      <c r="T138" s="176">
        <f t="shared" si="30"/>
        <v>4</v>
      </c>
      <c r="U138" s="251">
        <f t="shared" si="31"/>
        <v>-1.4108134061080626</v>
      </c>
      <c r="V138" s="383">
        <f t="shared" si="32"/>
        <v>56.620583952546987</v>
      </c>
      <c r="W138" s="58"/>
      <c r="X138" s="157">
        <f t="shared" si="33"/>
        <v>43589</v>
      </c>
      <c r="Y138" s="385">
        <f t="shared" si="34"/>
        <v>27.419</v>
      </c>
      <c r="Z138" s="385">
        <f t="shared" si="35"/>
        <v>27.627580706592795</v>
      </c>
      <c r="AA138" s="386">
        <f t="shared" si="36"/>
        <v>28.73178014436402</v>
      </c>
      <c r="AB138" s="197">
        <f t="shared" si="37"/>
        <v>43589</v>
      </c>
      <c r="AC138" s="427">
        <f>IF(OR(t&lt;Tnet,NoTnet),'2018'!Resal_s+('2018'!Salim-'2018'!Resal_s)*(1-EXP(('2018'!Tnet_s-t)/'2018'!Tau_j)),Resal_s+(Salim-Resal_s)*(1-EXP((Tnet_s-t)/Tau_j)))*Salcycl</f>
        <v>3.8431292186670331E-2</v>
      </c>
      <c r="AD138" s="231">
        <f>(INDEX(Models!$BJ138:$BT138,,AH138)*(1-AF138)+INDEX(Models!$BJ138:$BT138,,AH138+1)*AF138-ERP_i)*AE138*Ramure*Pc/MaxiM</f>
        <v>3.2366102036630439E-4</v>
      </c>
      <c r="AE138" s="305">
        <f t="shared" si="38"/>
        <v>0.7</v>
      </c>
      <c r="AF138" s="177">
        <f t="shared" si="39"/>
        <v>0.58918659389193739</v>
      </c>
      <c r="AG138" s="176">
        <f t="shared" si="40"/>
        <v>-2</v>
      </c>
      <c r="AH138" s="176">
        <f t="shared" si="41"/>
        <v>4</v>
      </c>
      <c r="AI138" s="225">
        <f t="shared" si="42"/>
        <v>-1.4108134061080626</v>
      </c>
      <c r="AJ138" s="265" t="b">
        <f t="shared" si="43"/>
        <v>1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20">
        <v>45.368000000000002</v>
      </c>
      <c r="C139" s="390"/>
      <c r="D139" s="393">
        <f t="shared" si="24"/>
        <v>45.714122869243035</v>
      </c>
      <c r="E139" s="385">
        <f t="shared" si="46"/>
        <v>47.546935574512588</v>
      </c>
      <c r="F139" s="385">
        <f t="shared" si="25"/>
        <v>47.558789311550441</v>
      </c>
      <c r="G139" s="110">
        <f t="shared" si="47"/>
        <v>0.80064327430171178</v>
      </c>
      <c r="H139" s="414" t="b">
        <f>Wh_hp&gt;='2018'!Maxi_hp</f>
        <v>1</v>
      </c>
      <c r="I139" s="390">
        <f>IF(H139,Wh_hp,'2018'!Maxi_hp)</f>
        <v>47.558789311550441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7.571464736030431E-3</v>
      </c>
      <c r="M139" s="959"/>
      <c r="N139" s="959"/>
      <c r="O139" s="48">
        <f>IF(t&lt;Tnet,'2018'!Resal+('2018'!Salim-'2018'!Resal)*(1-EXP(('2018'!Tnet-t)/('2018'!Tau_j))),Resal+(Salim-Resal)*(1-EXP((Tnet-t)/(Tau_j))))*Salcycl</f>
        <v>3.8547441241450417E-2</v>
      </c>
      <c r="P139" s="169">
        <f>(INDEX(Models!$BJ139:$BT139,,T139)*(1-R139)+INDEX(Models!$BJ139:$BT139,,T139+1)*R139-ERP_i)*Q139*Ramure*Pc/MaxiM</f>
        <v>3.4843778138465403E-4</v>
      </c>
      <c r="Q139" s="305">
        <f t="shared" si="27"/>
        <v>0.7</v>
      </c>
      <c r="R139" s="177">
        <f t="shared" si="28"/>
        <v>0.5922565519585139</v>
      </c>
      <c r="S139" s="921">
        <f t="shared" si="29"/>
        <v>-2</v>
      </c>
      <c r="T139" s="176">
        <f t="shared" si="30"/>
        <v>4</v>
      </c>
      <c r="U139" s="251">
        <f t="shared" si="31"/>
        <v>-1.4077434480414861</v>
      </c>
      <c r="V139" s="383">
        <f t="shared" si="32"/>
        <v>56.658814362214059</v>
      </c>
      <c r="W139" s="58"/>
      <c r="X139" s="157">
        <f t="shared" si="33"/>
        <v>43590</v>
      </c>
      <c r="Y139" s="385">
        <f t="shared" si="34"/>
        <v>45.368000000000002</v>
      </c>
      <c r="Z139" s="385">
        <f t="shared" si="35"/>
        <v>45.714122869243035</v>
      </c>
      <c r="AA139" s="386">
        <f t="shared" si="36"/>
        <v>47.546935574512588</v>
      </c>
      <c r="AB139" s="197">
        <f t="shared" si="37"/>
        <v>43590</v>
      </c>
      <c r="AC139" s="427">
        <f>IF(OR(t&lt;Tnet,NoTnet),'2018'!Resal_s+('2018'!Salim-'2018'!Resal_s)*(1-EXP(('2018'!Tnet_s-t)/'2018'!Tau_j)),Resal_s+(Salim-Resal_s)*(1-EXP((Tnet_s-t)/Tau_j)))*Salcycl</f>
        <v>3.8547441241450417E-2</v>
      </c>
      <c r="AD139" s="231">
        <f>(INDEX(Models!$BJ139:$BT139,,AH139)*(1-AF139)+INDEX(Models!$BJ139:$BT139,,AH139+1)*AF139-ERP_i)*AE139*Ramure*Pc/MaxiM</f>
        <v>3.4843778138465403E-4</v>
      </c>
      <c r="AE139" s="305">
        <f t="shared" si="38"/>
        <v>0.7</v>
      </c>
      <c r="AF139" s="177">
        <f t="shared" si="39"/>
        <v>0.5922565519585139</v>
      </c>
      <c r="AG139" s="176">
        <f t="shared" si="40"/>
        <v>-2</v>
      </c>
      <c r="AH139" s="176">
        <f t="shared" si="41"/>
        <v>4</v>
      </c>
      <c r="AI139" s="225">
        <f t="shared" si="42"/>
        <v>-1.4077434480414861</v>
      </c>
      <c r="AJ139" s="265" t="b">
        <f t="shared" si="43"/>
        <v>1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20">
        <v>58.924999999999997</v>
      </c>
      <c r="C140" s="390"/>
      <c r="D140" s="393">
        <f t="shared" si="24"/>
        <v>59.375852812738671</v>
      </c>
      <c r="E140" s="385">
        <f t="shared" si="46"/>
        <v>61.76389736339776</v>
      </c>
      <c r="F140" s="385">
        <f t="shared" si="25"/>
        <v>61.787025291973102</v>
      </c>
      <c r="G140" s="110">
        <f t="shared" si="47"/>
        <v>1.0393749432009896</v>
      </c>
      <c r="H140" s="414" t="b">
        <f>Wh_hp&gt;='2018'!Maxi_hp</f>
        <v>1</v>
      </c>
      <c r="I140" s="390">
        <f>IF(H140,Wh_hp,'2018'!Maxi_hp)</f>
        <v>61.787025291973102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7.5932014679533921E-3</v>
      </c>
      <c r="M140" s="959"/>
      <c r="N140" s="959"/>
      <c r="O140" s="48">
        <f>IF(t&lt;Tnet,'2018'!Resal+('2018'!Salim-'2018'!Resal)*(1-EXP(('2018'!Tnet-t)/('2018'!Tau_j))),Resal+(Salim-Resal)*(1-EXP((Tnet-t)/(Tau_j))))*Salcycl</f>
        <v>3.8664084563975104E-2</v>
      </c>
      <c r="P140" s="169">
        <f>(INDEX(Models!$BJ140:$BT140,,T140)*(1-R140)+INDEX(Models!$BJ140:$BT140,,T140+1)*R140-ERP_i)*Q140*Ramure*Pc/MaxiM</f>
        <v>3.7431691307448605E-4</v>
      </c>
      <c r="Q140" s="305">
        <f t="shared" si="27"/>
        <v>0.7</v>
      </c>
      <c r="R140" s="177">
        <f t="shared" si="28"/>
        <v>0.59540689131985536</v>
      </c>
      <c r="S140" s="921">
        <f t="shared" si="29"/>
        <v>-2</v>
      </c>
      <c r="T140" s="176">
        <f t="shared" si="30"/>
        <v>4</v>
      </c>
      <c r="U140" s="251">
        <f t="shared" si="31"/>
        <v>-1.4045931086801446</v>
      </c>
      <c r="V140" s="383">
        <f t="shared" si="32"/>
        <v>56.692727090887125</v>
      </c>
      <c r="W140" s="58"/>
      <c r="X140" s="157">
        <f t="shared" si="33"/>
        <v>43591</v>
      </c>
      <c r="Y140" s="385">
        <f t="shared" si="34"/>
        <v>58.924999999999997</v>
      </c>
      <c r="Z140" s="385">
        <f t="shared" si="35"/>
        <v>59.375852812738671</v>
      </c>
      <c r="AA140" s="386">
        <f t="shared" si="36"/>
        <v>61.76389736339776</v>
      </c>
      <c r="AB140" s="197">
        <f t="shared" si="37"/>
        <v>43591</v>
      </c>
      <c r="AC140" s="427">
        <f>IF(OR(t&lt;Tnet,NoTnet),'2018'!Resal_s+('2018'!Salim-'2018'!Resal_s)*(1-EXP(('2018'!Tnet_s-t)/'2018'!Tau_j)),Resal_s+(Salim-Resal_s)*(1-EXP((Tnet_s-t)/Tau_j)))*Salcycl</f>
        <v>3.8664084563975104E-2</v>
      </c>
      <c r="AD140" s="231">
        <f>(INDEX(Models!$BJ140:$BT140,,AH140)*(1-AF140)+INDEX(Models!$BJ140:$BT140,,AH140+1)*AF140-ERP_i)*AE140*Ramure*Pc/MaxiM</f>
        <v>3.7431691307448605E-4</v>
      </c>
      <c r="AE140" s="305">
        <f t="shared" si="38"/>
        <v>0.7</v>
      </c>
      <c r="AF140" s="177">
        <f t="shared" si="39"/>
        <v>0.59540689131985536</v>
      </c>
      <c r="AG140" s="176">
        <f t="shared" si="40"/>
        <v>-2</v>
      </c>
      <c r="AH140" s="176">
        <f t="shared" si="41"/>
        <v>4</v>
      </c>
      <c r="AI140" s="225">
        <f t="shared" si="42"/>
        <v>-1.4045931086801446</v>
      </c>
      <c r="AJ140" s="265" t="b">
        <f t="shared" si="43"/>
        <v>1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20">
        <v>46.83</v>
      </c>
      <c r="C141" s="390"/>
      <c r="D141" s="393">
        <f t="shared" si="24"/>
        <v>47.189343915140121</v>
      </c>
      <c r="E141" s="385">
        <f t="shared" si="46"/>
        <v>49.093239254910095</v>
      </c>
      <c r="F141" s="385">
        <f t="shared" si="25"/>
        <v>49.108037779545555</v>
      </c>
      <c r="G141" s="110">
        <f t="shared" si="47"/>
        <v>0.82551383078240015</v>
      </c>
      <c r="H141" s="414" t="b">
        <f>Wh_hp&gt;='2018'!Maxi_hp</f>
        <v>1</v>
      </c>
      <c r="I141" s="390">
        <f>IF(H141,Wh_hp,'2018'!Maxi_hp)</f>
        <v>49.108037779545555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7.6149377237861859E-3</v>
      </c>
      <c r="M141" s="959"/>
      <c r="N141" s="959"/>
      <c r="O141" s="48">
        <f>IF(t&lt;Tnet,'2018'!Resal+('2018'!Salim-'2018'!Resal)*(1-EXP(('2018'!Tnet-t)/('2018'!Tau_j))),Resal+(Salim-Resal)*(1-EXP((Tnet-t)/(Tau_j))))*Salcycl</f>
        <v>3.8781212416729195E-2</v>
      </c>
      <c r="P141" s="169">
        <f>(INDEX(Models!$BJ141:$BT141,,T141)*(1-R141)+INDEX(Models!$BJ141:$BT141,,T141+1)*R141-ERP_i)*Q141*Ramure*Pc/MaxiM</f>
        <v>4.0133911518369306E-4</v>
      </c>
      <c r="Q141" s="305">
        <f t="shared" si="27"/>
        <v>0.7</v>
      </c>
      <c r="R141" s="177">
        <f t="shared" si="28"/>
        <v>0.59863804572500756</v>
      </c>
      <c r="S141" s="921">
        <f t="shared" si="29"/>
        <v>-2</v>
      </c>
      <c r="T141" s="176">
        <f t="shared" si="30"/>
        <v>4</v>
      </c>
      <c r="U141" s="251">
        <f t="shared" si="31"/>
        <v>-1.4013619542749924</v>
      </c>
      <c r="V141" s="383">
        <f t="shared" si="32"/>
        <v>56.722630412801259</v>
      </c>
      <c r="W141" s="58"/>
      <c r="X141" s="157">
        <f t="shared" si="33"/>
        <v>43592</v>
      </c>
      <c r="Y141" s="385">
        <f t="shared" si="34"/>
        <v>46.83</v>
      </c>
      <c r="Z141" s="385">
        <f t="shared" si="35"/>
        <v>47.189343915140121</v>
      </c>
      <c r="AA141" s="386">
        <f t="shared" si="36"/>
        <v>49.093239254910095</v>
      </c>
      <c r="AB141" s="197">
        <f t="shared" si="37"/>
        <v>43592</v>
      </c>
      <c r="AC141" s="427">
        <f>IF(OR(t&lt;Tnet,NoTnet),'2018'!Resal_s+('2018'!Salim-'2018'!Resal_s)*(1-EXP(('2018'!Tnet_s-t)/'2018'!Tau_j)),Resal_s+(Salim-Resal_s)*(1-EXP((Tnet_s-t)/Tau_j)))*Salcycl</f>
        <v>3.8781212416729195E-2</v>
      </c>
      <c r="AD141" s="231">
        <f>(INDEX(Models!$BJ141:$BT141,,AH141)*(1-AF141)+INDEX(Models!$BJ141:$BT141,,AH141+1)*AF141-ERP_i)*AE141*Ramure*Pc/MaxiM</f>
        <v>4.0133911518369306E-4</v>
      </c>
      <c r="AE141" s="305">
        <f t="shared" si="38"/>
        <v>0.7</v>
      </c>
      <c r="AF141" s="177">
        <f t="shared" si="39"/>
        <v>0.59863804572500756</v>
      </c>
      <c r="AG141" s="176">
        <f t="shared" si="40"/>
        <v>-2</v>
      </c>
      <c r="AH141" s="176">
        <f t="shared" si="41"/>
        <v>4</v>
      </c>
      <c r="AI141" s="225">
        <f t="shared" si="42"/>
        <v>-1.4013619542749924</v>
      </c>
      <c r="AJ141" s="265" t="b">
        <f t="shared" si="43"/>
        <v>1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20">
        <v>30.768999999999998</v>
      </c>
      <c r="C142" s="390"/>
      <c r="D142" s="393">
        <f t="shared" si="24"/>
        <v>31.005781026421005</v>
      </c>
      <c r="E142" s="385">
        <f t="shared" si="46"/>
        <v>32.260683336032038</v>
      </c>
      <c r="F142" s="385">
        <f t="shared" si="25"/>
        <v>32.265479035511532</v>
      </c>
      <c r="G142" s="110">
        <f t="shared" si="47"/>
        <v>0.54204384400076433</v>
      </c>
      <c r="H142" s="414" t="b">
        <f>Wh_hp&gt;='2018'!Maxi_hp</f>
        <v>1</v>
      </c>
      <c r="I142" s="390">
        <f>IF(H142,Wh_hp,'2018'!Maxi_hp)</f>
        <v>32.265479035511532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7.6366735035391375E-3</v>
      </c>
      <c r="M142" s="959"/>
      <c r="N142" s="959"/>
      <c r="O142" s="48">
        <f>IF(t&lt;Tnet,'2018'!Resal+('2018'!Salim-'2018'!Resal)*(1-EXP(('2018'!Tnet-t)/('2018'!Tau_j))),Resal+(Salim-Resal)*(1-EXP((Tnet-t)/(Tau_j))))*Salcycl</f>
        <v>3.889881365933226E-2</v>
      </c>
      <c r="P142" s="169">
        <f>(INDEX(Models!$BJ142:$BT142,,T142)*(1-R142)+INDEX(Models!$BJ142:$BT142,,T142+1)*R142-ERP_i)*Q142*Ramure*Pc/MaxiM</f>
        <v>4.2958050690445417E-4</v>
      </c>
      <c r="Q142" s="305">
        <f t="shared" si="27"/>
        <v>0.7</v>
      </c>
      <c r="R142" s="177">
        <f t="shared" si="28"/>
        <v>0.60195033152314048</v>
      </c>
      <c r="S142" s="921">
        <f t="shared" si="29"/>
        <v>-2</v>
      </c>
      <c r="T142" s="176">
        <f t="shared" si="30"/>
        <v>4</v>
      </c>
      <c r="U142" s="251">
        <f t="shared" si="31"/>
        <v>-1.3980496684768595</v>
      </c>
      <c r="V142" s="383">
        <f t="shared" si="32"/>
        <v>56.748830499262858</v>
      </c>
      <c r="W142" s="58"/>
      <c r="X142" s="157">
        <f t="shared" si="33"/>
        <v>43593</v>
      </c>
      <c r="Y142" s="385">
        <f t="shared" si="34"/>
        <v>30.768999999999998</v>
      </c>
      <c r="Z142" s="385">
        <f t="shared" si="35"/>
        <v>31.005781026421005</v>
      </c>
      <c r="AA142" s="386">
        <f t="shared" si="36"/>
        <v>32.260683336032038</v>
      </c>
      <c r="AB142" s="197">
        <f t="shared" si="37"/>
        <v>43593</v>
      </c>
      <c r="AC142" s="427">
        <f>IF(OR(t&lt;Tnet,NoTnet),'2018'!Resal_s+('2018'!Salim-'2018'!Resal_s)*(1-EXP(('2018'!Tnet_s-t)/'2018'!Tau_j)),Resal_s+(Salim-Resal_s)*(1-EXP((Tnet_s-t)/Tau_j)))*Salcycl</f>
        <v>3.889881365933226E-2</v>
      </c>
      <c r="AD142" s="231">
        <f>(INDEX(Models!$BJ142:$BT142,,AH142)*(1-AF142)+INDEX(Models!$BJ142:$BT142,,AH142+1)*AF142-ERP_i)*AE142*Ramure*Pc/MaxiM</f>
        <v>4.2958050690445417E-4</v>
      </c>
      <c r="AE142" s="305">
        <f t="shared" si="38"/>
        <v>0.7</v>
      </c>
      <c r="AF142" s="177">
        <f t="shared" si="39"/>
        <v>0.60195033152314048</v>
      </c>
      <c r="AG142" s="176">
        <f t="shared" si="40"/>
        <v>-2</v>
      </c>
      <c r="AH142" s="176">
        <f t="shared" si="41"/>
        <v>4</v>
      </c>
      <c r="AI142" s="225">
        <f t="shared" si="42"/>
        <v>-1.3980496684768595</v>
      </c>
      <c r="AJ142" s="265" t="b">
        <f t="shared" si="43"/>
        <v>1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20">
        <v>49.502000000000002</v>
      </c>
      <c r="C143" s="390"/>
      <c r="D143" s="393">
        <f t="shared" ref="D143:D206" si="48">Wh/(1-Ppv)</f>
        <v>49.884032312401082</v>
      </c>
      <c r="E143" s="385">
        <f t="shared" si="46"/>
        <v>51.909373902893584</v>
      </c>
      <c r="F143" s="385">
        <f t="shared" ref="F143:F206" si="49">Wh_sa/(1-Pvg*MEDIAN((-Sdif+Wh/Env_an)/Csdif,0,1))</f>
        <v>51.928840969153235</v>
      </c>
      <c r="G143" s="110">
        <f t="shared" si="47"/>
        <v>0.8718760677389007</v>
      </c>
      <c r="H143" s="414" t="b">
        <f>Wh_hp&gt;='2018'!Maxi_hp</f>
        <v>1</v>
      </c>
      <c r="I143" s="390">
        <f>IF(H143,Wh_hp,'2018'!Maxi_hp)</f>
        <v>51.928840969153235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7.658408807222794E-3</v>
      </c>
      <c r="M143" s="959"/>
      <c r="N143" s="959"/>
      <c r="O143" s="48">
        <f>IF(t&lt;Tnet,'2018'!Resal+('2018'!Salim-'2018'!Resal)*(1-EXP(('2018'!Tnet-t)/('2018'!Tau_j))),Resal+(Salim-Resal)*(1-EXP((Tnet-t)/(Tau_j))))*Salcycl</f>
        <v>3.9016875724243803E-2</v>
      </c>
      <c r="P143" s="169">
        <f>(INDEX(Models!$BJ143:$BT143,,T143)*(1-R143)+INDEX(Models!$BJ143:$BT143,,T143+1)*R143-ERP_i)*Q143*Ramure*Pc/MaxiM</f>
        <v>4.5880950004542419E-4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0.60534394074048592</v>
      </c>
      <c r="S143" s="921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-1.3946560592595141</v>
      </c>
      <c r="V143" s="383">
        <f t="shared" ref="V143:V206" si="56">MaxiM*(1-Ppv)*(1-Pvg)*(1-Psa)</f>
        <v>56.771650901419996</v>
      </c>
      <c r="W143" s="58"/>
      <c r="X143" s="157">
        <f t="shared" ref="X143:X206" si="57">t</f>
        <v>43594</v>
      </c>
      <c r="Y143" s="385">
        <f t="shared" ref="Y143:Y206" si="58">Wh_pvt_s*(1-Ppv)</f>
        <v>49.502000000000002</v>
      </c>
      <c r="Z143" s="385">
        <f t="shared" ref="Z143:Z206" si="59">Wh_sa_s*(1-Psa_s)</f>
        <v>49.884032312401082</v>
      </c>
      <c r="AA143" s="386">
        <f t="shared" ref="AA143:AA206" si="60">Wh_hp*(1-Pvg_s*MEDIAN((-Sdif+Wh/Env_an)/Csdif,0,1))</f>
        <v>51.909373902893584</v>
      </c>
      <c r="AB143" s="197">
        <f t="shared" ref="AB143:AB206" si="61">t</f>
        <v>43594</v>
      </c>
      <c r="AC143" s="427">
        <f>IF(OR(t&lt;Tnet,NoTnet),'2018'!Resal_s+('2018'!Salim-'2018'!Resal_s)*(1-EXP(('2018'!Tnet_s-t)/'2018'!Tau_j)),Resal_s+(Salim-Resal_s)*(1-EXP((Tnet_s-t)/Tau_j)))*Salcycl</f>
        <v>3.9016875724243803E-2</v>
      </c>
      <c r="AD143" s="231">
        <f>(INDEX(Models!$BJ143:$BT143,,AH143)*(1-AF143)+INDEX(Models!$BJ143:$BT143,,AH143+1)*AF143-ERP_i)*AE143*Ramure*Pc/MaxiM</f>
        <v>4.5880950004542419E-4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0.60534394074048592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-1.3946560592595141</v>
      </c>
      <c r="AJ143" s="265" t="b">
        <f t="shared" ref="AJ143:AJ206" si="67">t&lt;Tnet</f>
        <v>1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20">
        <v>41.241</v>
      </c>
      <c r="C144" s="390"/>
      <c r="D144" s="393">
        <f t="shared" si="48"/>
        <v>41.560188214982361</v>
      </c>
      <c r="E144" s="385">
        <f t="shared" ref="E144:E169" si="70">Wh_pvt/(1-Psa)</f>
        <v>43.252907380260567</v>
      </c>
      <c r="F144" s="385">
        <f t="shared" si="49"/>
        <v>43.265790043539411</v>
      </c>
      <c r="G144" s="110">
        <f t="shared" ref="G144:G169" si="71">+Wh_hp/MaxiM</f>
        <v>0.72604493085470589</v>
      </c>
      <c r="H144" s="414" t="b">
        <f>Wh_hp&gt;='2018'!Maxi_hp</f>
        <v>1</v>
      </c>
      <c r="I144" s="390">
        <f>IF(H144,Wh_hp,'2018'!Maxi_hp)</f>
        <v>43.265790043539411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7.6801436348474805E-3</v>
      </c>
      <c r="M144" s="959"/>
      <c r="N144" s="959"/>
      <c r="O144" s="48">
        <f>IF(t&lt;Tnet,'2018'!Resal+('2018'!Salim-'2018'!Resal)*(1-EXP(('2018'!Tnet-t)/('2018'!Tau_j))),Resal+(Salim-Resal)*(1-EXP((Tnet-t)/(Tau_j))))*Salcycl</f>
        <v>3.913538459730722E-2</v>
      </c>
      <c r="P144" s="169">
        <f>(INDEX(Models!$BJ144:$BT144,,T144)*(1-R144)+INDEX(Models!$BJ144:$BT144,,T144+1)*R144-ERP_i)*Q144*Ramure*Pc/MaxiM</f>
        <v>4.8905986560390921E-4</v>
      </c>
      <c r="Q144" s="305">
        <f t="shared" si="51"/>
        <v>0.7</v>
      </c>
      <c r="R144" s="177">
        <f t="shared" si="52"/>
        <v>0.60881893428720413</v>
      </c>
      <c r="S144" s="921">
        <f t="shared" si="53"/>
        <v>-2</v>
      </c>
      <c r="T144" s="176">
        <f t="shared" si="54"/>
        <v>4</v>
      </c>
      <c r="U144" s="251">
        <f t="shared" si="55"/>
        <v>-1.3911810657127959</v>
      </c>
      <c r="V144" s="383">
        <f t="shared" si="56"/>
        <v>56.791400021051878</v>
      </c>
      <c r="W144" s="58"/>
      <c r="X144" s="157">
        <f t="shared" si="57"/>
        <v>43595</v>
      </c>
      <c r="Y144" s="385">
        <f t="shared" si="58"/>
        <v>41.241</v>
      </c>
      <c r="Z144" s="385">
        <f t="shared" si="59"/>
        <v>41.560188214982361</v>
      </c>
      <c r="AA144" s="386">
        <f t="shared" si="60"/>
        <v>43.252907380260567</v>
      </c>
      <c r="AB144" s="197">
        <f t="shared" si="61"/>
        <v>43595</v>
      </c>
      <c r="AC144" s="427">
        <f>IF(OR(t&lt;Tnet,NoTnet),'2018'!Resal_s+('2018'!Salim-'2018'!Resal_s)*(1-EXP(('2018'!Tnet_s-t)/'2018'!Tau_j)),Resal_s+(Salim-Resal_s)*(1-EXP((Tnet_s-t)/Tau_j)))*Salcycl</f>
        <v>3.913538459730722E-2</v>
      </c>
      <c r="AD144" s="231">
        <f>(INDEX(Models!$BJ144:$BT144,,AH144)*(1-AF144)+INDEX(Models!$BJ144:$BT144,,AH144+1)*AF144-ERP_i)*AE144*Ramure*Pc/MaxiM</f>
        <v>4.8905986560390921E-4</v>
      </c>
      <c r="AE144" s="305">
        <f t="shared" si="62"/>
        <v>0.7</v>
      </c>
      <c r="AF144" s="177">
        <f t="shared" si="63"/>
        <v>0.60881893428720413</v>
      </c>
      <c r="AG144" s="176">
        <f t="shared" si="64"/>
        <v>-2</v>
      </c>
      <c r="AH144" s="176">
        <f t="shared" si="65"/>
        <v>4</v>
      </c>
      <c r="AI144" s="225">
        <f t="shared" si="66"/>
        <v>-1.3911810657127959</v>
      </c>
      <c r="AJ144" s="265" t="b">
        <f t="shared" si="67"/>
        <v>1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20">
        <v>36.255000000000003</v>
      </c>
      <c r="C145" s="390"/>
      <c r="D145" s="393">
        <f t="shared" si="48"/>
        <v>36.536398886285475</v>
      </c>
      <c r="E145" s="385">
        <f t="shared" si="70"/>
        <v>38.029209841425775</v>
      </c>
      <c r="F145" s="385">
        <f t="shared" si="49"/>
        <v>38.038773139907207</v>
      </c>
      <c r="G145" s="110">
        <f t="shared" si="71"/>
        <v>0.63802633726068325</v>
      </c>
      <c r="H145" s="414" t="b">
        <f>Wh_hp&gt;='2018'!Maxi_hp</f>
        <v>1</v>
      </c>
      <c r="I145" s="390">
        <f>IF(H145,Wh_hp,'2018'!Maxi_hp)</f>
        <v>38.038773139907207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7.7018779864236331E-3</v>
      </c>
      <c r="M145" s="959"/>
      <c r="N145" s="959"/>
      <c r="O145" s="48">
        <f>IF(t&lt;Tnet,'2018'!Resal+('2018'!Salim-'2018'!Resal)*(1-EXP(('2018'!Tnet-t)/('2018'!Tau_j))),Resal+(Salim-Resal)*(1-EXP((Tnet-t)/(Tau_j))))*Salcycl</f>
        <v>3.9254324803618644E-2</v>
      </c>
      <c r="P145" s="169">
        <f>(INDEX(Models!$BJ145:$BT145,,T145)*(1-R145)+INDEX(Models!$BJ145:$BT145,,T145+1)*R145-ERP_i)*Q145*Ramure*Pc/MaxiM</f>
        <v>5.203651212677664E-4</v>
      </c>
      <c r="Q145" s="305">
        <f t="shared" si="51"/>
        <v>0.7</v>
      </c>
      <c r="R145" s="177">
        <f t="shared" si="52"/>
        <v>0.61237523534556848</v>
      </c>
      <c r="S145" s="921">
        <f t="shared" si="53"/>
        <v>-2</v>
      </c>
      <c r="T145" s="176">
        <f t="shared" si="54"/>
        <v>4</v>
      </c>
      <c r="U145" s="251">
        <f t="shared" si="55"/>
        <v>-1.3876247646544315</v>
      </c>
      <c r="V145" s="383">
        <f t="shared" si="56"/>
        <v>56.808386167091811</v>
      </c>
      <c r="W145" s="58"/>
      <c r="X145" s="157">
        <f t="shared" si="57"/>
        <v>43596</v>
      </c>
      <c r="Y145" s="385">
        <f t="shared" si="58"/>
        <v>36.255000000000003</v>
      </c>
      <c r="Z145" s="385">
        <f t="shared" si="59"/>
        <v>36.536398886285475</v>
      </c>
      <c r="AA145" s="386">
        <f t="shared" si="60"/>
        <v>38.029209841425775</v>
      </c>
      <c r="AB145" s="197">
        <f t="shared" si="61"/>
        <v>43596</v>
      </c>
      <c r="AC145" s="427">
        <f>IF(OR(t&lt;Tnet,NoTnet),'2018'!Resal_s+('2018'!Salim-'2018'!Resal_s)*(1-EXP(('2018'!Tnet_s-t)/'2018'!Tau_j)),Resal_s+(Salim-Resal_s)*(1-EXP((Tnet_s-t)/Tau_j)))*Salcycl</f>
        <v>3.9254324803618644E-2</v>
      </c>
      <c r="AD145" s="231">
        <f>(INDEX(Models!$BJ145:$BT145,,AH145)*(1-AF145)+INDEX(Models!$BJ145:$BT145,,AH145+1)*AF145-ERP_i)*AE145*Ramure*Pc/MaxiM</f>
        <v>5.203651212677664E-4</v>
      </c>
      <c r="AE145" s="305">
        <f t="shared" si="62"/>
        <v>0.7</v>
      </c>
      <c r="AF145" s="177">
        <f t="shared" si="63"/>
        <v>0.61237523534556848</v>
      </c>
      <c r="AG145" s="176">
        <f t="shared" si="64"/>
        <v>-2</v>
      </c>
      <c r="AH145" s="176">
        <f t="shared" si="65"/>
        <v>4</v>
      </c>
      <c r="AI145" s="225">
        <f t="shared" si="66"/>
        <v>-1.3876247646544315</v>
      </c>
      <c r="AJ145" s="265" t="b">
        <f t="shared" si="67"/>
        <v>1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20">
        <v>51.774999999999999</v>
      </c>
      <c r="C146" s="390"/>
      <c r="D146" s="393">
        <f t="shared" si="48"/>
        <v>52.178002640124731</v>
      </c>
      <c r="E146" s="385">
        <f t="shared" si="70"/>
        <v>54.316648962408863</v>
      </c>
      <c r="F146" s="385">
        <f t="shared" si="49"/>
        <v>54.342875304504368</v>
      </c>
      <c r="G146" s="110">
        <f t="shared" si="71"/>
        <v>0.91110010644555528</v>
      </c>
      <c r="H146" s="414" t="b">
        <f>Wh_hp&gt;='2018'!Maxi_hp</f>
        <v>1</v>
      </c>
      <c r="I146" s="390">
        <f>IF(H146,Wh_hp,'2018'!Maxi_hp)</f>
        <v>54.342875304504368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7.7236118619616878E-3</v>
      </c>
      <c r="M146" s="959"/>
      <c r="N146" s="959"/>
      <c r="O146" s="48">
        <f>IF(t&lt;Tnet,'2018'!Resal+('2018'!Salim-'2018'!Resal)*(1-EXP(('2018'!Tnet-t)/('2018'!Tau_j))),Resal+(Salim-Resal)*(1-EXP((Tnet-t)/(Tau_j))))*Salcycl</f>
        <v>3.937367939918817E-2</v>
      </c>
      <c r="P146" s="169">
        <f>(INDEX(Models!$BJ146:$BT146,,T146)*(1-R146)+INDEX(Models!$BJ146:$BT146,,T146+1)*R146-ERP_i)*Q146*Ramure*Pc/MaxiM</f>
        <v>5.5275839173409621E-4</v>
      </c>
      <c r="Q146" s="305">
        <f t="shared" si="51"/>
        <v>0.7</v>
      </c>
      <c r="R146" s="177">
        <f t="shared" si="52"/>
        <v>0.6160126229933971</v>
      </c>
      <c r="S146" s="921">
        <f t="shared" si="53"/>
        <v>-2</v>
      </c>
      <c r="T146" s="176">
        <f t="shared" si="54"/>
        <v>4</v>
      </c>
      <c r="U146" s="251">
        <f t="shared" si="55"/>
        <v>-1.3839873770066029</v>
      </c>
      <c r="V146" s="383">
        <f t="shared" si="56"/>
        <v>56.822917566985979</v>
      </c>
      <c r="W146" s="58"/>
      <c r="X146" s="157">
        <f t="shared" si="57"/>
        <v>43597</v>
      </c>
      <c r="Y146" s="385">
        <f t="shared" si="58"/>
        <v>51.774999999999999</v>
      </c>
      <c r="Z146" s="385">
        <f t="shared" si="59"/>
        <v>52.178002640124731</v>
      </c>
      <c r="AA146" s="386">
        <f t="shared" si="60"/>
        <v>54.316648962408863</v>
      </c>
      <c r="AB146" s="197">
        <f t="shared" si="61"/>
        <v>43597</v>
      </c>
      <c r="AC146" s="427">
        <f>IF(OR(t&lt;Tnet,NoTnet),'2018'!Resal_s+('2018'!Salim-'2018'!Resal_s)*(1-EXP(('2018'!Tnet_s-t)/'2018'!Tau_j)),Resal_s+(Salim-Resal_s)*(1-EXP((Tnet_s-t)/Tau_j)))*Salcycl</f>
        <v>3.937367939918817E-2</v>
      </c>
      <c r="AD146" s="231">
        <f>(INDEX(Models!$BJ146:$BT146,,AH146)*(1-AF146)+INDEX(Models!$BJ146:$BT146,,AH146+1)*AF146-ERP_i)*AE146*Ramure*Pc/MaxiM</f>
        <v>5.5275839173409621E-4</v>
      </c>
      <c r="AE146" s="305">
        <f t="shared" si="62"/>
        <v>0.7</v>
      </c>
      <c r="AF146" s="177">
        <f t="shared" si="63"/>
        <v>0.6160126229933971</v>
      </c>
      <c r="AG146" s="176">
        <f t="shared" si="64"/>
        <v>-2</v>
      </c>
      <c r="AH146" s="176">
        <f t="shared" si="65"/>
        <v>4</v>
      </c>
      <c r="AI146" s="225">
        <f t="shared" si="66"/>
        <v>-1.3839873770066029</v>
      </c>
      <c r="AJ146" s="265" t="b">
        <f t="shared" si="67"/>
        <v>1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20">
        <v>59.043999999999997</v>
      </c>
      <c r="C147" s="390"/>
      <c r="D147" s="393">
        <f t="shared" si="48"/>
        <v>59.504885885931039</v>
      </c>
      <c r="E147" s="385">
        <f t="shared" si="70"/>
        <v>61.951565707666489</v>
      </c>
      <c r="F147" s="385">
        <f t="shared" si="49"/>
        <v>61.987907498178245</v>
      </c>
      <c r="G147" s="110">
        <f t="shared" si="71"/>
        <v>1.0388613685779369</v>
      </c>
      <c r="H147" s="414" t="b">
        <f>Wh_hp&gt;='2018'!Maxi_hp</f>
        <v>1</v>
      </c>
      <c r="I147" s="390">
        <f>IF(H147,Wh_hp,'2018'!Maxi_hp)</f>
        <v>61.987907498178245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7.7453452614721918E-3</v>
      </c>
      <c r="M147" s="959"/>
      <c r="N147" s="959"/>
      <c r="O147" s="48">
        <f>IF(t&lt;Tnet,'2018'!Resal+('2018'!Salim-'2018'!Resal)*(1-EXP(('2018'!Tnet-t)/('2018'!Tau_j))),Resal+(Salim-Resal)*(1-EXP((Tnet-t)/(Tau_j))))*Salcycl</f>
        <v>3.949342996883571E-2</v>
      </c>
      <c r="P147" s="169">
        <f>(INDEX(Models!$BJ147:$BT147,,T147)*(1-R147)+INDEX(Models!$BJ147:$BT147,,T147+1)*R147-ERP_i)*Q147*Ramure*Pc/MaxiM</f>
        <v>5.8627225822752008E-4</v>
      </c>
      <c r="Q147" s="305">
        <f t="shared" si="51"/>
        <v>0.7</v>
      </c>
      <c r="R147" s="177">
        <f t="shared" si="52"/>
        <v>0.61973072611884916</v>
      </c>
      <c r="S147" s="921">
        <f t="shared" si="53"/>
        <v>-2</v>
      </c>
      <c r="T147" s="176">
        <f t="shared" si="54"/>
        <v>4</v>
      </c>
      <c r="U147" s="251">
        <f t="shared" si="55"/>
        <v>-1.3802692738811508</v>
      </c>
      <c r="V147" s="383">
        <f t="shared" si="56"/>
        <v>56.835302366497075</v>
      </c>
      <c r="W147" s="58"/>
      <c r="X147" s="157">
        <f t="shared" si="57"/>
        <v>43598</v>
      </c>
      <c r="Y147" s="385">
        <f t="shared" si="58"/>
        <v>59.043999999999997</v>
      </c>
      <c r="Z147" s="385">
        <f t="shared" si="59"/>
        <v>59.504885885931039</v>
      </c>
      <c r="AA147" s="386">
        <f t="shared" si="60"/>
        <v>61.951565707666489</v>
      </c>
      <c r="AB147" s="197">
        <f t="shared" si="61"/>
        <v>43598</v>
      </c>
      <c r="AC147" s="427">
        <f>IF(OR(t&lt;Tnet,NoTnet),'2018'!Resal_s+('2018'!Salim-'2018'!Resal_s)*(1-EXP(('2018'!Tnet_s-t)/'2018'!Tau_j)),Resal_s+(Salim-Resal_s)*(1-EXP((Tnet_s-t)/Tau_j)))*Salcycl</f>
        <v>3.949342996883571E-2</v>
      </c>
      <c r="AD147" s="231">
        <f>(INDEX(Models!$BJ147:$BT147,,AH147)*(1-AF147)+INDEX(Models!$BJ147:$BT147,,AH147+1)*AF147-ERP_i)*AE147*Ramure*Pc/MaxiM</f>
        <v>5.8627225822752008E-4</v>
      </c>
      <c r="AE147" s="305">
        <f t="shared" si="62"/>
        <v>0.7</v>
      </c>
      <c r="AF147" s="177">
        <f t="shared" si="63"/>
        <v>0.61973072611884916</v>
      </c>
      <c r="AG147" s="176">
        <f t="shared" si="64"/>
        <v>-2</v>
      </c>
      <c r="AH147" s="176">
        <f t="shared" si="65"/>
        <v>4</v>
      </c>
      <c r="AI147" s="225">
        <f t="shared" si="66"/>
        <v>-1.3802692738811508</v>
      </c>
      <c r="AJ147" s="265" t="b">
        <f t="shared" si="67"/>
        <v>1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20">
        <v>58.021000000000001</v>
      </c>
      <c r="C148" s="390"/>
      <c r="D148" s="393">
        <f t="shared" si="48"/>
        <v>58.475181305076553</v>
      </c>
      <c r="E148" s="385">
        <f t="shared" si="70"/>
        <v>60.887137369340103</v>
      </c>
      <c r="F148" s="385">
        <f t="shared" si="49"/>
        <v>60.924968033525275</v>
      </c>
      <c r="G148" s="110">
        <f t="shared" si="71"/>
        <v>1.0206725977639817</v>
      </c>
      <c r="H148" s="414" t="b">
        <f>Wh_hp&gt;='2018'!Maxi_hp</f>
        <v>1</v>
      </c>
      <c r="I148" s="390">
        <f>IF(H148,Wh_hp,'2018'!Maxi_hp)</f>
        <v>60.924968033525275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7.7670781849653592E-3</v>
      </c>
      <c r="M148" s="959"/>
      <c r="N148" s="959"/>
      <c r="O148" s="48">
        <f>IF(t&lt;Tnet,'2018'!Resal+('2018'!Salim-'2018'!Resal)*(1-EXP(('2018'!Tnet-t)/('2018'!Tau_j))),Resal+(Salim-Resal)*(1-EXP((Tnet-t)/(Tau_j))))*Salcycl</f>
        <v>3.9613556630732634E-2</v>
      </c>
      <c r="P148" s="169">
        <f>(INDEX(Models!$BJ148:$BT148,,T148)*(1-R148)+INDEX(Models!$BJ148:$BT148,,T148+1)*R148-ERP_i)*Q148*Ramure*Pc/MaxiM</f>
        <v>6.209385971997221E-4</v>
      </c>
      <c r="Q148" s="305">
        <f t="shared" si="51"/>
        <v>0.7</v>
      </c>
      <c r="R148" s="177">
        <f t="shared" si="52"/>
        <v>0.62352901768445168</v>
      </c>
      <c r="S148" s="921">
        <f t="shared" si="53"/>
        <v>-2</v>
      </c>
      <c r="T148" s="176">
        <f t="shared" si="54"/>
        <v>4</v>
      </c>
      <c r="U148" s="251">
        <f t="shared" si="55"/>
        <v>-1.3764709823155483</v>
      </c>
      <c r="V148" s="383">
        <f t="shared" si="56"/>
        <v>56.84584863658371</v>
      </c>
      <c r="W148" s="58"/>
      <c r="X148" s="157">
        <f t="shared" si="57"/>
        <v>43599</v>
      </c>
      <c r="Y148" s="385">
        <f t="shared" si="58"/>
        <v>58.021000000000001</v>
      </c>
      <c r="Z148" s="385">
        <f t="shared" si="59"/>
        <v>58.475181305076553</v>
      </c>
      <c r="AA148" s="386">
        <f t="shared" si="60"/>
        <v>60.887137369340103</v>
      </c>
      <c r="AB148" s="197">
        <f t="shared" si="61"/>
        <v>43599</v>
      </c>
      <c r="AC148" s="427">
        <f>IF(OR(t&lt;Tnet,NoTnet),'2018'!Resal_s+('2018'!Salim-'2018'!Resal_s)*(1-EXP(('2018'!Tnet_s-t)/'2018'!Tau_j)),Resal_s+(Salim-Resal_s)*(1-EXP((Tnet_s-t)/Tau_j)))*Salcycl</f>
        <v>3.9613556630732634E-2</v>
      </c>
      <c r="AD148" s="231">
        <f>(INDEX(Models!$BJ148:$BT148,,AH148)*(1-AF148)+INDEX(Models!$BJ148:$BT148,,AH148+1)*AF148-ERP_i)*AE148*Ramure*Pc/MaxiM</f>
        <v>6.209385971997221E-4</v>
      </c>
      <c r="AE148" s="305">
        <f t="shared" si="62"/>
        <v>0.7</v>
      </c>
      <c r="AF148" s="177">
        <f t="shared" si="63"/>
        <v>0.62352901768445168</v>
      </c>
      <c r="AG148" s="176">
        <f t="shared" si="64"/>
        <v>-2</v>
      </c>
      <c r="AH148" s="176">
        <f t="shared" si="65"/>
        <v>4</v>
      </c>
      <c r="AI148" s="225">
        <f t="shared" si="66"/>
        <v>-1.3764709823155483</v>
      </c>
      <c r="AJ148" s="265" t="b">
        <f t="shared" si="67"/>
        <v>1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20">
        <v>58.192</v>
      </c>
      <c r="C149" s="390"/>
      <c r="D149" s="393">
        <f t="shared" si="48"/>
        <v>58.648804431536945</v>
      </c>
      <c r="E149" s="385">
        <f t="shared" si="70"/>
        <v>61.075584010408072</v>
      </c>
      <c r="F149" s="385">
        <f t="shared" si="49"/>
        <v>61.115724809852011</v>
      </c>
      <c r="G149" s="110">
        <f t="shared" si="71"/>
        <v>1.0235362590768111</v>
      </c>
      <c r="H149" s="414" t="b">
        <f>Wh_hp&gt;='2018'!Maxi_hp</f>
        <v>1</v>
      </c>
      <c r="I149" s="390">
        <f>IF(H149,Wh_hp,'2018'!Maxi_hp)</f>
        <v>61.115724809852011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7.788810632451848E-3</v>
      </c>
      <c r="M149" s="959"/>
      <c r="N149" s="959"/>
      <c r="O149" s="48">
        <f>IF(t&lt;Tnet,'2018'!Resal+('2018'!Salim-'2018'!Resal)*(1-EXP(('2018'!Tnet-t)/('2018'!Tau_j))),Resal+(Salim-Resal)*(1-EXP((Tnet-t)/(Tau_j))))*Salcycl</f>
        <v>3.9734038047963216E-2</v>
      </c>
      <c r="P149" s="169">
        <f>(INDEX(Models!$BJ149:$BT149,,T149)*(1-R149)+INDEX(Models!$BJ149:$BT149,,T149+1)*R149-ERP_i)*Q149*Ramure*Pc/MaxiM</f>
        <v>6.5679985910055438E-4</v>
      </c>
      <c r="Q149" s="305">
        <f t="shared" si="51"/>
        <v>0.7</v>
      </c>
      <c r="R149" s="177">
        <f t="shared" si="52"/>
        <v>0.62740680939949134</v>
      </c>
      <c r="S149" s="921">
        <f t="shared" si="53"/>
        <v>-2</v>
      </c>
      <c r="T149" s="176">
        <f t="shared" si="54"/>
        <v>4</v>
      </c>
      <c r="U149" s="251">
        <f t="shared" si="55"/>
        <v>-1.3725931906005087</v>
      </c>
      <c r="V149" s="383">
        <f t="shared" si="56"/>
        <v>56.853872526691788</v>
      </c>
      <c r="W149" s="58"/>
      <c r="X149" s="157">
        <f t="shared" si="57"/>
        <v>43600</v>
      </c>
      <c r="Y149" s="385">
        <f t="shared" si="58"/>
        <v>58.192</v>
      </c>
      <c r="Z149" s="385">
        <f t="shared" si="59"/>
        <v>58.648804431536945</v>
      </c>
      <c r="AA149" s="386">
        <f t="shared" si="60"/>
        <v>61.075584010408072</v>
      </c>
      <c r="AB149" s="197">
        <f t="shared" si="61"/>
        <v>43600</v>
      </c>
      <c r="AC149" s="427">
        <f>IF(OR(t&lt;Tnet,NoTnet),'2018'!Resal_s+('2018'!Salim-'2018'!Resal_s)*(1-EXP(('2018'!Tnet_s-t)/'2018'!Tau_j)),Resal_s+(Salim-Resal_s)*(1-EXP((Tnet_s-t)/Tau_j)))*Salcycl</f>
        <v>3.9734038047963216E-2</v>
      </c>
      <c r="AD149" s="231">
        <f>(INDEX(Models!$BJ149:$BT149,,AH149)*(1-AF149)+INDEX(Models!$BJ149:$BT149,,AH149+1)*AF149-ERP_i)*AE149*Ramure*Pc/MaxiM</f>
        <v>6.5679985910055438E-4</v>
      </c>
      <c r="AE149" s="305">
        <f t="shared" si="62"/>
        <v>0.7</v>
      </c>
      <c r="AF149" s="177">
        <f t="shared" si="63"/>
        <v>0.62740680939949134</v>
      </c>
      <c r="AG149" s="176">
        <f t="shared" si="64"/>
        <v>-2</v>
      </c>
      <c r="AH149" s="176">
        <f t="shared" si="65"/>
        <v>4</v>
      </c>
      <c r="AI149" s="225">
        <f t="shared" si="66"/>
        <v>-1.3725931906005087</v>
      </c>
      <c r="AJ149" s="265" t="b">
        <f t="shared" si="67"/>
        <v>1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20">
        <v>50.517000000000003</v>
      </c>
      <c r="C150" s="390"/>
      <c r="D150" s="393">
        <f t="shared" si="48"/>
        <v>50.914671208640783</v>
      </c>
      <c r="E150" s="385">
        <f t="shared" si="70"/>
        <v>53.028098184316896</v>
      </c>
      <c r="F150" s="385">
        <f t="shared" si="49"/>
        <v>53.059049152756259</v>
      </c>
      <c r="G150" s="110">
        <f t="shared" si="71"/>
        <v>0.8883696038161436</v>
      </c>
      <c r="H150" s="414" t="b">
        <f>Wh_hp&gt;='2018'!Maxi_hp</f>
        <v>1</v>
      </c>
      <c r="I150" s="390">
        <f>IF(H150,Wh_hp,'2018'!Maxi_hp)</f>
        <v>53.059049152756259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7.8105426039418724E-3</v>
      </c>
      <c r="M150" s="959"/>
      <c r="N150" s="959"/>
      <c r="O150" s="48">
        <f>IF(t&lt;Tnet,'2018'!Resal+('2018'!Salim-'2018'!Resal)*(1-EXP(('2018'!Tnet-t)/('2018'!Tau_j))),Resal+(Salim-Resal)*(1-EXP((Tnet-t)/(Tau_j))))*Salcycl</f>
        <v>3.9854851447438076E-2</v>
      </c>
      <c r="P150" s="169">
        <f>(INDEX(Models!$BJ150:$BT150,,T150)*(1-R150)+INDEX(Models!$BJ150:$BT150,,T150+1)*R150-ERP_i)*Q150*Ramure*Pc/MaxiM</f>
        <v>6.9388907546046941E-4</v>
      </c>
      <c r="Q150" s="305">
        <f t="shared" si="51"/>
        <v>0.7</v>
      </c>
      <c r="R150" s="177">
        <f t="shared" si="52"/>
        <v>0.6313632468606174</v>
      </c>
      <c r="S150" s="921">
        <f t="shared" si="53"/>
        <v>-2</v>
      </c>
      <c r="T150" s="176">
        <f t="shared" si="54"/>
        <v>4</v>
      </c>
      <c r="U150" s="251">
        <f t="shared" si="55"/>
        <v>-1.3686367531393826</v>
      </c>
      <c r="V150" s="383">
        <f t="shared" si="56"/>
        <v>56.858554639933587</v>
      </c>
      <c r="W150" s="58"/>
      <c r="X150" s="157">
        <f t="shared" si="57"/>
        <v>43601</v>
      </c>
      <c r="Y150" s="385">
        <f t="shared" si="58"/>
        <v>50.517000000000003</v>
      </c>
      <c r="Z150" s="385">
        <f t="shared" si="59"/>
        <v>50.914671208640783</v>
      </c>
      <c r="AA150" s="386">
        <f t="shared" si="60"/>
        <v>53.028098184316896</v>
      </c>
      <c r="AB150" s="197">
        <f t="shared" si="61"/>
        <v>43601</v>
      </c>
      <c r="AC150" s="427">
        <f>IF(OR(t&lt;Tnet,NoTnet),'2018'!Resal_s+('2018'!Salim-'2018'!Resal_s)*(1-EXP(('2018'!Tnet_s-t)/'2018'!Tau_j)),Resal_s+(Salim-Resal_s)*(1-EXP((Tnet_s-t)/Tau_j)))*Salcycl</f>
        <v>3.9854851447438076E-2</v>
      </c>
      <c r="AD150" s="231">
        <f>(INDEX(Models!$BJ150:$BT150,,AH150)*(1-AF150)+INDEX(Models!$BJ150:$BT150,,AH150+1)*AF150-ERP_i)*AE150*Ramure*Pc/MaxiM</f>
        <v>6.9388907546046941E-4</v>
      </c>
      <c r="AE150" s="305">
        <f t="shared" si="62"/>
        <v>0.7</v>
      </c>
      <c r="AF150" s="177">
        <f t="shared" si="63"/>
        <v>0.6313632468606174</v>
      </c>
      <c r="AG150" s="176">
        <f t="shared" si="64"/>
        <v>-2</v>
      </c>
      <c r="AH150" s="176">
        <f t="shared" si="65"/>
        <v>4</v>
      </c>
      <c r="AI150" s="225">
        <f t="shared" si="66"/>
        <v>-1.3686367531393826</v>
      </c>
      <c r="AJ150" s="265" t="b">
        <f t="shared" si="67"/>
        <v>1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20">
        <v>8.0540000000000003</v>
      </c>
      <c r="C151" s="390"/>
      <c r="D151" s="393">
        <f t="shared" si="48"/>
        <v>8.1175791045709342</v>
      </c>
      <c r="E151" s="385">
        <f t="shared" si="70"/>
        <v>8.4555999363351315</v>
      </c>
      <c r="F151" s="385">
        <f t="shared" si="49"/>
        <v>8.4555999363351315</v>
      </c>
      <c r="G151" s="110">
        <f t="shared" si="71"/>
        <v>0.1415424325726839</v>
      </c>
      <c r="H151" s="414" t="b">
        <f>Wh_hp&gt;='2018'!Maxi_hp</f>
        <v>1</v>
      </c>
      <c r="I151" s="390">
        <f>IF(H151,Wh_hp,'2018'!Maxi_hp)</f>
        <v>8.4555999363351315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7.8322740994459794E-3</v>
      </c>
      <c r="M151" s="959"/>
      <c r="N151" s="959"/>
      <c r="O151" s="48">
        <f>IF(t&lt;Tnet,'2018'!Resal+('2018'!Salim-'2018'!Resal)*(1-EXP(('2018'!Tnet-t)/('2018'!Tau_j))),Resal+(Salim-Resal)*(1-EXP((Tnet-t)/(Tau_j))))*Salcycl</f>
        <v>3.9975972646442919E-2</v>
      </c>
      <c r="P151" s="169">
        <f>(INDEX(Models!$BJ151:$BT151,,T151)*(1-R151)+INDEX(Models!$BJ151:$BT151,,T151+1)*R151-ERP_i)*Q151*Ramure*Pc/MaxiM</f>
        <v>7.3196042561639242E-4</v>
      </c>
      <c r="Q151" s="305">
        <f t="shared" si="51"/>
        <v>0.7</v>
      </c>
      <c r="R151" s="177">
        <f t="shared" si="52"/>
        <v>0.63539730522059124</v>
      </c>
      <c r="S151" s="921">
        <f t="shared" si="53"/>
        <v>-2</v>
      </c>
      <c r="T151" s="176">
        <f t="shared" si="54"/>
        <v>4</v>
      </c>
      <c r="U151" s="251">
        <f t="shared" si="55"/>
        <v>-1.3646026947794088</v>
      </c>
      <c r="V151" s="383">
        <f t="shared" si="56"/>
        <v>56.860014657436921</v>
      </c>
      <c r="W151" s="58"/>
      <c r="X151" s="157">
        <f t="shared" si="57"/>
        <v>43602</v>
      </c>
      <c r="Y151" s="385">
        <f t="shared" si="58"/>
        <v>8.0540000000000003</v>
      </c>
      <c r="Z151" s="385">
        <f t="shared" si="59"/>
        <v>8.1175791045709342</v>
      </c>
      <c r="AA151" s="386">
        <f t="shared" si="60"/>
        <v>8.4555999363351315</v>
      </c>
      <c r="AB151" s="197">
        <f t="shared" si="61"/>
        <v>43602</v>
      </c>
      <c r="AC151" s="427">
        <f>IF(OR(t&lt;Tnet,NoTnet),'2018'!Resal_s+('2018'!Salim-'2018'!Resal_s)*(1-EXP(('2018'!Tnet_s-t)/'2018'!Tau_j)),Resal_s+(Salim-Resal_s)*(1-EXP((Tnet_s-t)/Tau_j)))*Salcycl</f>
        <v>3.9975972646442919E-2</v>
      </c>
      <c r="AD151" s="231">
        <f>(INDEX(Models!$BJ151:$BT151,,AH151)*(1-AF151)+INDEX(Models!$BJ151:$BT151,,AH151+1)*AF151-ERP_i)*AE151*Ramure*Pc/MaxiM</f>
        <v>7.3196042561639242E-4</v>
      </c>
      <c r="AE151" s="305">
        <f t="shared" si="62"/>
        <v>0.7</v>
      </c>
      <c r="AF151" s="177">
        <f t="shared" si="63"/>
        <v>0.63539730522059124</v>
      </c>
      <c r="AG151" s="176">
        <f t="shared" si="64"/>
        <v>-2</v>
      </c>
      <c r="AH151" s="176">
        <f t="shared" si="65"/>
        <v>4</v>
      </c>
      <c r="AI151" s="225">
        <f t="shared" si="66"/>
        <v>-1.3646026947794088</v>
      </c>
      <c r="AJ151" s="265" t="b">
        <f t="shared" si="67"/>
        <v>1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20">
        <v>40.918999999999997</v>
      </c>
      <c r="C152" s="390"/>
      <c r="D152" s="393">
        <f t="shared" si="48"/>
        <v>41.242922121463437</v>
      </c>
      <c r="E152" s="385">
        <f t="shared" si="70"/>
        <v>42.965735371511791</v>
      </c>
      <c r="F152" s="385">
        <f t="shared" si="49"/>
        <v>42.985605639861056</v>
      </c>
      <c r="G152" s="110">
        <f t="shared" si="71"/>
        <v>0.71944321336193728</v>
      </c>
      <c r="H152" s="414" t="b">
        <f>Wh_hp&gt;='2018'!Maxi_hp</f>
        <v>1</v>
      </c>
      <c r="I152" s="390">
        <f>IF(H152,Wh_hp,'2018'!Maxi_hp)</f>
        <v>42.985605639861056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7.8540051189744942E-3</v>
      </c>
      <c r="M152" s="959"/>
      <c r="N152" s="959"/>
      <c r="O152" s="48">
        <f>IF(t&lt;Tnet,'2018'!Resal+('2018'!Salim-'2018'!Resal)*(1-EXP(('2018'!Tnet-t)/('2018'!Tau_j))),Resal+(Salim-Resal)*(1-EXP((Tnet-t)/(Tau_j))))*Salcycl</f>
        <v>4.0097376087054215E-2</v>
      </c>
      <c r="P152" s="169">
        <f>(INDEX(Models!$BJ152:$BT152,,T152)*(1-R152)+INDEX(Models!$BJ152:$BT152,,T152+1)*R152-ERP_i)*Q152*Ramure*Pc/MaxiM</f>
        <v>7.7103734958125991E-4</v>
      </c>
      <c r="Q152" s="305">
        <f t="shared" si="51"/>
        <v>0.7</v>
      </c>
      <c r="R152" s="177">
        <f t="shared" si="52"/>
        <v>0.63950778544454834</v>
      </c>
      <c r="S152" s="921">
        <f t="shared" si="53"/>
        <v>-2</v>
      </c>
      <c r="T152" s="176">
        <f t="shared" si="54"/>
        <v>4</v>
      </c>
      <c r="U152" s="251">
        <f t="shared" si="55"/>
        <v>-1.3604922145554517</v>
      </c>
      <c r="V152" s="383">
        <f t="shared" si="56"/>
        <v>56.858356978343224</v>
      </c>
      <c r="W152" s="58"/>
      <c r="X152" s="157">
        <f t="shared" si="57"/>
        <v>43603</v>
      </c>
      <c r="Y152" s="385">
        <f t="shared" si="58"/>
        <v>40.918999999999997</v>
      </c>
      <c r="Z152" s="385">
        <f t="shared" si="59"/>
        <v>41.242922121463437</v>
      </c>
      <c r="AA152" s="386">
        <f t="shared" si="60"/>
        <v>42.965735371511791</v>
      </c>
      <c r="AB152" s="197">
        <f t="shared" si="61"/>
        <v>43603</v>
      </c>
      <c r="AC152" s="427">
        <f>IF(OR(t&lt;Tnet,NoTnet),'2018'!Resal_s+('2018'!Salim-'2018'!Resal_s)*(1-EXP(('2018'!Tnet_s-t)/'2018'!Tau_j)),Resal_s+(Salim-Resal_s)*(1-EXP((Tnet_s-t)/Tau_j)))*Salcycl</f>
        <v>4.0097376087054215E-2</v>
      </c>
      <c r="AD152" s="231">
        <f>(INDEX(Models!$BJ152:$BT152,,AH152)*(1-AF152)+INDEX(Models!$BJ152:$BT152,,AH152+1)*AF152-ERP_i)*AE152*Ramure*Pc/MaxiM</f>
        <v>7.7103734958125991E-4</v>
      </c>
      <c r="AE152" s="305">
        <f t="shared" si="62"/>
        <v>0.7</v>
      </c>
      <c r="AF152" s="177">
        <f t="shared" si="63"/>
        <v>0.63950778544454834</v>
      </c>
      <c r="AG152" s="176">
        <f t="shared" si="64"/>
        <v>-2</v>
      </c>
      <c r="AH152" s="176">
        <f t="shared" si="65"/>
        <v>4</v>
      </c>
      <c r="AI152" s="225">
        <f t="shared" si="66"/>
        <v>-1.3604922145554517</v>
      </c>
      <c r="AJ152" s="265" t="b">
        <f t="shared" si="67"/>
        <v>1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20">
        <v>27.721</v>
      </c>
      <c r="C153" s="390"/>
      <c r="D153" s="393">
        <f t="shared" si="48"/>
        <v>27.941056374134757</v>
      </c>
      <c r="E153" s="385">
        <f t="shared" si="70"/>
        <v>29.111909268382323</v>
      </c>
      <c r="F153" s="385">
        <f t="shared" si="49"/>
        <v>29.118238658812654</v>
      </c>
      <c r="G153" s="110">
        <f t="shared" si="71"/>
        <v>0.48729534228956728</v>
      </c>
      <c r="H153" s="414" t="b">
        <f>Wh_hp&gt;='2018'!Maxi_hp</f>
        <v>1</v>
      </c>
      <c r="I153" s="390">
        <f>IF(H153,Wh_hp,'2018'!Maxi_hp)</f>
        <v>29.118238658812654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7.8757356625379638E-3</v>
      </c>
      <c r="M153" s="959"/>
      <c r="N153" s="959"/>
      <c r="O153" s="48">
        <f>IF(t&lt;Tnet,'2018'!Resal+('2018'!Salim-'2018'!Resal)*(1-EXP(('2018'!Tnet-t)/('2018'!Tau_j))),Resal+(Salim-Resal)*(1-EXP((Tnet-t)/(Tau_j))))*Salcycl</f>
        <v>4.0219034878595149E-2</v>
      </c>
      <c r="P153" s="169">
        <f>(INDEX(Models!$BJ153:$BT153,,T153)*(1-R153)+INDEX(Models!$BJ153:$BT153,,T153+1)*R153-ERP_i)*Q153*Ramure*Pc/MaxiM</f>
        <v>8.1114202369858329E-4</v>
      </c>
      <c r="Q153" s="305">
        <f t="shared" si="51"/>
        <v>0.7</v>
      </c>
      <c r="R153" s="177">
        <f t="shared" si="52"/>
        <v>0.64369331121184481</v>
      </c>
      <c r="S153" s="921">
        <f t="shared" si="53"/>
        <v>-2</v>
      </c>
      <c r="T153" s="176">
        <f t="shared" si="54"/>
        <v>4</v>
      </c>
      <c r="U153" s="251">
        <f t="shared" si="55"/>
        <v>-1.3563066887881552</v>
      </c>
      <c r="V153" s="383">
        <f t="shared" si="56"/>
        <v>56.853686098789453</v>
      </c>
      <c r="W153" s="58"/>
      <c r="X153" s="157">
        <f t="shared" si="57"/>
        <v>43604</v>
      </c>
      <c r="Y153" s="385">
        <f t="shared" si="58"/>
        <v>27.721</v>
      </c>
      <c r="Z153" s="385">
        <f t="shared" si="59"/>
        <v>27.941056374134757</v>
      </c>
      <c r="AA153" s="386">
        <f t="shared" si="60"/>
        <v>29.111909268382323</v>
      </c>
      <c r="AB153" s="197">
        <f t="shared" si="61"/>
        <v>43604</v>
      </c>
      <c r="AC153" s="427">
        <f>IF(OR(t&lt;Tnet,NoTnet),'2018'!Resal_s+('2018'!Salim-'2018'!Resal_s)*(1-EXP(('2018'!Tnet_s-t)/'2018'!Tau_j)),Resal_s+(Salim-Resal_s)*(1-EXP((Tnet_s-t)/Tau_j)))*Salcycl</f>
        <v>4.0219034878595149E-2</v>
      </c>
      <c r="AD153" s="231">
        <f>(INDEX(Models!$BJ153:$BT153,,AH153)*(1-AF153)+INDEX(Models!$BJ153:$BT153,,AH153+1)*AF153-ERP_i)*AE153*Ramure*Pc/MaxiM</f>
        <v>8.1114202369858329E-4</v>
      </c>
      <c r="AE153" s="305">
        <f t="shared" si="62"/>
        <v>0.7</v>
      </c>
      <c r="AF153" s="177">
        <f t="shared" si="63"/>
        <v>0.64369331121184481</v>
      </c>
      <c r="AG153" s="176">
        <f t="shared" si="64"/>
        <v>-2</v>
      </c>
      <c r="AH153" s="176">
        <f t="shared" si="65"/>
        <v>4</v>
      </c>
      <c r="AI153" s="225">
        <f t="shared" si="66"/>
        <v>-1.3563066887881552</v>
      </c>
      <c r="AJ153" s="265" t="b">
        <f t="shared" si="67"/>
        <v>1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20">
        <v>45.854999999999997</v>
      </c>
      <c r="C154" s="390"/>
      <c r="D154" s="393">
        <f t="shared" si="48"/>
        <v>46.220021032148047</v>
      </c>
      <c r="E154" s="385">
        <f t="shared" si="70"/>
        <v>48.162959155247108</v>
      </c>
      <c r="F154" s="385">
        <f t="shared" si="49"/>
        <v>48.192688308848368</v>
      </c>
      <c r="G154" s="110">
        <f t="shared" si="71"/>
        <v>0.80646153530992903</v>
      </c>
      <c r="H154" s="414" t="b">
        <f>Wh_hp&gt;='2018'!Maxi_hp</f>
        <v>1</v>
      </c>
      <c r="I154" s="390">
        <f>IF(H154,Wh_hp,'2018'!Maxi_hp)</f>
        <v>48.192688308848368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7.8974657301467133E-3</v>
      </c>
      <c r="M154" s="959"/>
      <c r="N154" s="959"/>
      <c r="O154" s="48">
        <f>IF(t&lt;Tnet,'2018'!Resal+('2018'!Salim-'2018'!Resal)*(1-EXP(('2018'!Tnet-t)/('2018'!Tau_j))),Resal+(Salim-Resal)*(1-EXP((Tnet-t)/(Tau_j))))*Salcycl</f>
        <v>4.0340920848244588E-2</v>
      </c>
      <c r="P154" s="169">
        <f>(INDEX(Models!$BJ154:$BT154,,T154)*(1-R154)+INDEX(Models!$BJ154:$BT154,,T154+1)*R154-ERP_i)*Q154*Ramure*Pc/MaxiM</f>
        <v>8.5229522722338256E-4</v>
      </c>
      <c r="Q154" s="305">
        <f t="shared" si="51"/>
        <v>0.7</v>
      </c>
      <c r="R154" s="177">
        <f t="shared" si="52"/>
        <v>0.64795232651950552</v>
      </c>
      <c r="S154" s="921">
        <f t="shared" si="53"/>
        <v>-2</v>
      </c>
      <c r="T154" s="176">
        <f t="shared" si="54"/>
        <v>4</v>
      </c>
      <c r="U154" s="251">
        <f t="shared" si="55"/>
        <v>-1.3520476734804945</v>
      </c>
      <c r="V154" s="383">
        <f t="shared" si="56"/>
        <v>56.846106615058055</v>
      </c>
      <c r="W154" s="58"/>
      <c r="X154" s="157">
        <f t="shared" si="57"/>
        <v>43605</v>
      </c>
      <c r="Y154" s="385">
        <f t="shared" si="58"/>
        <v>45.854999999999997</v>
      </c>
      <c r="Z154" s="385">
        <f t="shared" si="59"/>
        <v>46.220021032148047</v>
      </c>
      <c r="AA154" s="386">
        <f t="shared" si="60"/>
        <v>48.162959155247108</v>
      </c>
      <c r="AB154" s="197">
        <f t="shared" si="61"/>
        <v>43605</v>
      </c>
      <c r="AC154" s="427">
        <f>IF(OR(t&lt;Tnet,NoTnet),'2018'!Resal_s+('2018'!Salim-'2018'!Resal_s)*(1-EXP(('2018'!Tnet_s-t)/'2018'!Tau_j)),Resal_s+(Salim-Resal_s)*(1-EXP((Tnet_s-t)/Tau_j)))*Salcycl</f>
        <v>4.0340920848244588E-2</v>
      </c>
      <c r="AD154" s="231">
        <f>(INDEX(Models!$BJ154:$BT154,,AH154)*(1-AF154)+INDEX(Models!$BJ154:$BT154,,AH154+1)*AF154-ERP_i)*AE154*Ramure*Pc/MaxiM</f>
        <v>8.5229522722338256E-4</v>
      </c>
      <c r="AE154" s="305">
        <f t="shared" si="62"/>
        <v>0.7</v>
      </c>
      <c r="AF154" s="177">
        <f t="shared" si="63"/>
        <v>0.64795232651950552</v>
      </c>
      <c r="AG154" s="176">
        <f t="shared" si="64"/>
        <v>-2</v>
      </c>
      <c r="AH154" s="176">
        <f t="shared" si="65"/>
        <v>4</v>
      </c>
      <c r="AI154" s="225">
        <f t="shared" si="66"/>
        <v>-1.3520476734804945</v>
      </c>
      <c r="AJ154" s="265" t="b">
        <f t="shared" si="67"/>
        <v>1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20">
        <v>47.521999999999998</v>
      </c>
      <c r="C155" s="390"/>
      <c r="D155" s="393">
        <f t="shared" si="48"/>
        <v>47.901340068176395</v>
      </c>
      <c r="E155" s="385">
        <f t="shared" si="70"/>
        <v>49.921306106806455</v>
      </c>
      <c r="F155" s="385">
        <f t="shared" si="49"/>
        <v>49.955531079029591</v>
      </c>
      <c r="G155" s="110">
        <f t="shared" si="71"/>
        <v>0.83595385114681897</v>
      </c>
      <c r="H155" s="414" t="b">
        <f>Wh_hp&gt;='2018'!Maxi_hp</f>
        <v>1</v>
      </c>
      <c r="I155" s="390">
        <f>IF(H155,Wh_hp,'2018'!Maxi_hp)</f>
        <v>49.955531079029591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7.9191953218112898E-3</v>
      </c>
      <c r="M155" s="959"/>
      <c r="N155" s="959"/>
      <c r="O155" s="48">
        <f>IF(t&lt;Tnet,'2018'!Resal+('2018'!Salim-'2018'!Resal)*(1-EXP(('2018'!Tnet-t)/('2018'!Tau_j))),Resal+(Salim-Resal)*(1-EXP((Tnet-t)/(Tau_j))))*Salcycl</f>
        <v>4.0463004599846635E-2</v>
      </c>
      <c r="P155" s="169">
        <f>(INDEX(Models!$BJ155:$BT155,,T155)*(1-R155)+INDEX(Models!$BJ155:$BT155,,T155+1)*R155-ERP_i)*Q155*Ramure*Pc/MaxiM</f>
        <v>8.9451620707630384E-4</v>
      </c>
      <c r="Q155" s="305">
        <f t="shared" si="51"/>
        <v>0.7</v>
      </c>
      <c r="R155" s="177">
        <f t="shared" si="52"/>
        <v>0.65228309404044826</v>
      </c>
      <c r="S155" s="921">
        <f t="shared" si="53"/>
        <v>-2</v>
      </c>
      <c r="T155" s="176">
        <f t="shared" si="54"/>
        <v>4</v>
      </c>
      <c r="U155" s="251">
        <f t="shared" si="55"/>
        <v>-1.3477169059595517</v>
      </c>
      <c r="V155" s="383">
        <f t="shared" si="56"/>
        <v>56.835723230259759</v>
      </c>
      <c r="W155" s="58"/>
      <c r="X155" s="157">
        <f t="shared" si="57"/>
        <v>43606</v>
      </c>
      <c r="Y155" s="385">
        <f t="shared" si="58"/>
        <v>47.521999999999998</v>
      </c>
      <c r="Z155" s="385">
        <f t="shared" si="59"/>
        <v>47.901340068176395</v>
      </c>
      <c r="AA155" s="386">
        <f t="shared" si="60"/>
        <v>49.921306106806455</v>
      </c>
      <c r="AB155" s="197">
        <f t="shared" si="61"/>
        <v>43606</v>
      </c>
      <c r="AC155" s="427">
        <f>IF(OR(t&lt;Tnet,NoTnet),'2018'!Resal_s+('2018'!Salim-'2018'!Resal_s)*(1-EXP(('2018'!Tnet_s-t)/'2018'!Tau_j)),Resal_s+(Salim-Resal_s)*(1-EXP((Tnet_s-t)/Tau_j)))*Salcycl</f>
        <v>4.0463004599846635E-2</v>
      </c>
      <c r="AD155" s="231">
        <f>(INDEX(Models!$BJ155:$BT155,,AH155)*(1-AF155)+INDEX(Models!$BJ155:$BT155,,AH155+1)*AF155-ERP_i)*AE155*Ramure*Pc/MaxiM</f>
        <v>8.9451620707630384E-4</v>
      </c>
      <c r="AE155" s="305">
        <f t="shared" si="62"/>
        <v>0.7</v>
      </c>
      <c r="AF155" s="177">
        <f t="shared" si="63"/>
        <v>0.65228309404044826</v>
      </c>
      <c r="AG155" s="176">
        <f t="shared" si="64"/>
        <v>-2</v>
      </c>
      <c r="AH155" s="176">
        <f t="shared" si="65"/>
        <v>4</v>
      </c>
      <c r="AI155" s="225">
        <f t="shared" si="66"/>
        <v>-1.3477169059595517</v>
      </c>
      <c r="AJ155" s="265" t="b">
        <f t="shared" si="67"/>
        <v>1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20">
        <v>55.798000000000002</v>
      </c>
      <c r="C156" s="390"/>
      <c r="D156" s="393">
        <f t="shared" si="48"/>
        <v>56.244634391721839</v>
      </c>
      <c r="E156" s="385">
        <f t="shared" si="70"/>
        <v>58.623900371446233</v>
      </c>
      <c r="F156" s="385">
        <f t="shared" si="49"/>
        <v>58.677512490213942</v>
      </c>
      <c r="G156" s="110">
        <f t="shared" si="71"/>
        <v>0.98194400314357677</v>
      </c>
      <c r="H156" s="414" t="b">
        <f>Wh_hp&gt;='2018'!Maxi_hp</f>
        <v>1</v>
      </c>
      <c r="I156" s="390">
        <f>IF(H156,Wh_hp,'2018'!Maxi_hp)</f>
        <v>58.677512490213942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7.9409244375420185E-3</v>
      </c>
      <c r="M156" s="959"/>
      <c r="N156" s="959"/>
      <c r="O156" s="48">
        <f>IF(t&lt;Tnet,'2018'!Resal+('2018'!Salim-'2018'!Resal)*(1-EXP(('2018'!Tnet-t)/('2018'!Tau_j))),Resal+(Salim-Resal)*(1-EXP((Tnet-t)/(Tau_j))))*Salcycl</f>
        <v>4.0585255580900523E-2</v>
      </c>
      <c r="P156" s="169">
        <f>(INDEX(Models!$BJ156:$BT156,,T156)*(1-R156)+INDEX(Models!$BJ156:$BT156,,T156+1)*R156-ERP_i)*Q156*Ramure*Pc/MaxiM</f>
        <v>9.3783293466959128E-4</v>
      </c>
      <c r="Q156" s="305">
        <f t="shared" si="51"/>
        <v>0.7</v>
      </c>
      <c r="R156" s="177">
        <f t="shared" si="52"/>
        <v>0.65668369428600393</v>
      </c>
      <c r="S156" s="921">
        <f t="shared" si="53"/>
        <v>-2</v>
      </c>
      <c r="T156" s="176">
        <f t="shared" si="54"/>
        <v>4</v>
      </c>
      <c r="U156" s="251">
        <f t="shared" si="55"/>
        <v>-1.3433163057139961</v>
      </c>
      <c r="V156" s="383">
        <f t="shared" si="56"/>
        <v>56.822640160254984</v>
      </c>
      <c r="W156" s="58"/>
      <c r="X156" s="157">
        <f t="shared" si="57"/>
        <v>43607</v>
      </c>
      <c r="Y156" s="385">
        <f t="shared" si="58"/>
        <v>55.798000000000002</v>
      </c>
      <c r="Z156" s="385">
        <f t="shared" si="59"/>
        <v>56.244634391721839</v>
      </c>
      <c r="AA156" s="386">
        <f t="shared" si="60"/>
        <v>58.623900371446233</v>
      </c>
      <c r="AB156" s="197">
        <f t="shared" si="61"/>
        <v>43607</v>
      </c>
      <c r="AC156" s="427">
        <f>IF(OR(t&lt;Tnet,NoTnet),'2018'!Resal_s+('2018'!Salim-'2018'!Resal_s)*(1-EXP(('2018'!Tnet_s-t)/'2018'!Tau_j)),Resal_s+(Salim-Resal_s)*(1-EXP((Tnet_s-t)/Tau_j)))*Salcycl</f>
        <v>4.0585255580900523E-2</v>
      </c>
      <c r="AD156" s="231">
        <f>(INDEX(Models!$BJ156:$BT156,,AH156)*(1-AF156)+INDEX(Models!$BJ156:$BT156,,AH156+1)*AF156-ERP_i)*AE156*Ramure*Pc/MaxiM</f>
        <v>9.3783293466959128E-4</v>
      </c>
      <c r="AE156" s="305">
        <f t="shared" si="62"/>
        <v>0.7</v>
      </c>
      <c r="AF156" s="177">
        <f t="shared" si="63"/>
        <v>0.65668369428600393</v>
      </c>
      <c r="AG156" s="176">
        <f t="shared" si="64"/>
        <v>-2</v>
      </c>
      <c r="AH156" s="176">
        <f t="shared" si="65"/>
        <v>4</v>
      </c>
      <c r="AI156" s="225">
        <f t="shared" si="66"/>
        <v>-1.3433163057139961</v>
      </c>
      <c r="AJ156" s="265" t="b">
        <f t="shared" si="67"/>
        <v>1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20">
        <v>50.908999999999999</v>
      </c>
      <c r="C157" s="390"/>
      <c r="D157" s="393">
        <f t="shared" si="48"/>
        <v>51.317624440170782</v>
      </c>
      <c r="E157" s="385">
        <f t="shared" si="70"/>
        <v>53.495291628919475</v>
      </c>
      <c r="F157" s="385">
        <f t="shared" si="49"/>
        <v>53.540079573296268</v>
      </c>
      <c r="G157" s="110">
        <f t="shared" si="71"/>
        <v>0.89604465259310029</v>
      </c>
      <c r="H157" s="414" t="b">
        <f>Wh_hp&gt;='2018'!Maxi_hp</f>
        <v>1</v>
      </c>
      <c r="I157" s="390">
        <f>IF(H157,Wh_hp,'2018'!Maxi_hp)</f>
        <v>53.540079573296268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7.9626530773493354E-3</v>
      </c>
      <c r="M157" s="959"/>
      <c r="N157" s="959"/>
      <c r="O157" s="48">
        <f>IF(t&lt;Tnet,'2018'!Resal+('2018'!Salim-'2018'!Resal)*(1-EXP(('2018'!Tnet-t)/('2018'!Tau_j))),Resal+(Salim-Resal)*(1-EXP((Tnet-t)/(Tau_j))))*Salcycl</f>
        <v>4.0707642157640805E-2</v>
      </c>
      <c r="P157" s="169">
        <f>(INDEX(Models!$BJ157:$BT157,,T157)*(1-R157)+INDEX(Models!$BJ157:$BT157,,T157+1)*R157-ERP_i)*Q157*Ramure*Pc/MaxiM</f>
        <v>9.8221410129879327E-4</v>
      </c>
      <c r="Q157" s="305">
        <f t="shared" si="51"/>
        <v>0.7</v>
      </c>
      <c r="R157" s="177">
        <f t="shared" si="52"/>
        <v>0.66115202561777631</v>
      </c>
      <c r="S157" s="921">
        <f t="shared" si="53"/>
        <v>-2</v>
      </c>
      <c r="T157" s="176">
        <f t="shared" si="54"/>
        <v>4</v>
      </c>
      <c r="U157" s="251">
        <f t="shared" si="55"/>
        <v>-1.3388479743822237</v>
      </c>
      <c r="V157" s="383">
        <f t="shared" si="56"/>
        <v>56.806964998870846</v>
      </c>
      <c r="W157" s="58"/>
      <c r="X157" s="157">
        <f t="shared" si="57"/>
        <v>43608</v>
      </c>
      <c r="Y157" s="385">
        <f t="shared" si="58"/>
        <v>50.908999999999999</v>
      </c>
      <c r="Z157" s="385">
        <f t="shared" si="59"/>
        <v>51.317624440170782</v>
      </c>
      <c r="AA157" s="386">
        <f t="shared" si="60"/>
        <v>53.495291628919475</v>
      </c>
      <c r="AB157" s="197">
        <f t="shared" si="61"/>
        <v>43608</v>
      </c>
      <c r="AC157" s="427">
        <f>IF(OR(t&lt;Tnet,NoTnet),'2018'!Resal_s+('2018'!Salim-'2018'!Resal_s)*(1-EXP(('2018'!Tnet_s-t)/'2018'!Tau_j)),Resal_s+(Salim-Resal_s)*(1-EXP((Tnet_s-t)/Tau_j)))*Salcycl</f>
        <v>4.0707642157640805E-2</v>
      </c>
      <c r="AD157" s="231">
        <f>(INDEX(Models!$BJ157:$BT157,,AH157)*(1-AF157)+INDEX(Models!$BJ157:$BT157,,AH157+1)*AF157-ERP_i)*AE157*Ramure*Pc/MaxiM</f>
        <v>9.8221410129879327E-4</v>
      </c>
      <c r="AE157" s="305">
        <f t="shared" si="62"/>
        <v>0.7</v>
      </c>
      <c r="AF157" s="177">
        <f t="shared" si="63"/>
        <v>0.66115202561777631</v>
      </c>
      <c r="AG157" s="176">
        <f t="shared" si="64"/>
        <v>-2</v>
      </c>
      <c r="AH157" s="176">
        <f t="shared" si="65"/>
        <v>4</v>
      </c>
      <c r="AI157" s="225">
        <f t="shared" si="66"/>
        <v>-1.3388479743822237</v>
      </c>
      <c r="AJ157" s="265" t="b">
        <f t="shared" si="67"/>
        <v>1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20">
        <v>12.917999999999999</v>
      </c>
      <c r="C158" s="390"/>
      <c r="D158" s="393">
        <f t="shared" si="48"/>
        <v>13.021972392091406</v>
      </c>
      <c r="E158" s="385">
        <f t="shared" si="70"/>
        <v>13.576294275324324</v>
      </c>
      <c r="F158" s="385">
        <f t="shared" si="49"/>
        <v>13.576294275324324</v>
      </c>
      <c r="G158" s="110">
        <f t="shared" si="71"/>
        <v>0.22724065104696278</v>
      </c>
      <c r="H158" s="414" t="b">
        <f>Wh_hp&gt;='2018'!Maxi_hp</f>
        <v>1</v>
      </c>
      <c r="I158" s="390">
        <f>IF(H158,Wh_hp,'2018'!Maxi_hp)</f>
        <v>13.576294275324324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7.9843812412436765E-3</v>
      </c>
      <c r="M158" s="959"/>
      <c r="N158" s="959"/>
      <c r="O158" s="48">
        <f>IF(t&lt;Tnet,'2018'!Resal+('2018'!Salim-'2018'!Resal)*(1-EXP(('2018'!Tnet-t)/('2018'!Tau_j))),Resal+(Salim-Resal)*(1-EXP((Tnet-t)/(Tau_j))))*Salcycl</f>
        <v>4.0830131698045884E-2</v>
      </c>
      <c r="P158" s="169">
        <f>(INDEX(Models!$BJ158:$BT158,,T158)*(1-R158)+INDEX(Models!$BJ158:$BT158,,T158+1)*R158-ERP_i)*Q158*Ramure*Pc/MaxiM</f>
        <v>1.0276669072116639E-3</v>
      </c>
      <c r="Q158" s="305">
        <f t="shared" si="51"/>
        <v>0.7</v>
      </c>
      <c r="R158" s="177">
        <f t="shared" si="52"/>
        <v>0.66568580514860565</v>
      </c>
      <c r="S158" s="921">
        <f t="shared" si="53"/>
        <v>-2</v>
      </c>
      <c r="T158" s="176">
        <f t="shared" si="54"/>
        <v>4</v>
      </c>
      <c r="U158" s="251">
        <f t="shared" si="55"/>
        <v>-1.3343141948513944</v>
      </c>
      <c r="V158" s="383">
        <f t="shared" si="56"/>
        <v>56.788803145198166</v>
      </c>
      <c r="W158" s="58"/>
      <c r="X158" s="157">
        <f t="shared" si="57"/>
        <v>43609</v>
      </c>
      <c r="Y158" s="385">
        <f t="shared" si="58"/>
        <v>12.917999999999999</v>
      </c>
      <c r="Z158" s="385">
        <f t="shared" si="59"/>
        <v>13.021972392091406</v>
      </c>
      <c r="AA158" s="386">
        <f t="shared" si="60"/>
        <v>13.576294275324324</v>
      </c>
      <c r="AB158" s="197">
        <f t="shared" si="61"/>
        <v>43609</v>
      </c>
      <c r="AC158" s="427">
        <f>IF(OR(t&lt;Tnet,NoTnet),'2018'!Resal_s+('2018'!Salim-'2018'!Resal_s)*(1-EXP(('2018'!Tnet_s-t)/'2018'!Tau_j)),Resal_s+(Salim-Resal_s)*(1-EXP((Tnet_s-t)/Tau_j)))*Salcycl</f>
        <v>4.0830131698045884E-2</v>
      </c>
      <c r="AD158" s="231">
        <f>(INDEX(Models!$BJ158:$BT158,,AH158)*(1-AF158)+INDEX(Models!$BJ158:$BT158,,AH158+1)*AF158-ERP_i)*AE158*Ramure*Pc/MaxiM</f>
        <v>1.0276669072116639E-3</v>
      </c>
      <c r="AE158" s="305">
        <f t="shared" si="62"/>
        <v>0.7</v>
      </c>
      <c r="AF158" s="177">
        <f t="shared" si="63"/>
        <v>0.66568580514860565</v>
      </c>
      <c r="AG158" s="176">
        <f t="shared" si="64"/>
        <v>-2</v>
      </c>
      <c r="AH158" s="176">
        <f t="shared" si="65"/>
        <v>4</v>
      </c>
      <c r="AI158" s="225">
        <f t="shared" si="66"/>
        <v>-1.3343141948513944</v>
      </c>
      <c r="AJ158" s="265" t="b">
        <f t="shared" si="67"/>
        <v>1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20">
        <v>25.373000000000001</v>
      </c>
      <c r="C159" s="390"/>
      <c r="D159" s="393">
        <f t="shared" si="48"/>
        <v>25.577778480684213</v>
      </c>
      <c r="E159" s="385">
        <f t="shared" si="70"/>
        <v>26.669986174461165</v>
      </c>
      <c r="F159" s="385">
        <f t="shared" si="49"/>
        <v>26.676002072384083</v>
      </c>
      <c r="G159" s="110">
        <f t="shared" si="71"/>
        <v>0.44657809761739492</v>
      </c>
      <c r="H159" s="414" t="b">
        <f>Wh_hp&gt;='2018'!Maxi_hp</f>
        <v>1</v>
      </c>
      <c r="I159" s="390">
        <f>IF(H159,Wh_hp,'2018'!Maxi_hp)</f>
        <v>26.676002072384083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8.0061089292354781E-3</v>
      </c>
      <c r="M159" s="959"/>
      <c r="N159" s="959"/>
      <c r="O159" s="48">
        <f>IF(t&lt;Tnet,'2018'!Resal+('2018'!Salim-'2018'!Resal)*(1-EXP(('2018'!Tnet-t)/('2018'!Tau_j))),Resal+(Salim-Resal)*(1-EXP((Tnet-t)/(Tau_j))))*Salcycl</f>
        <v>4.0952690662540932E-2</v>
      </c>
      <c r="P159" s="169">
        <f>(INDEX(Models!$BJ159:$BT159,,T159)*(1-R159)+INDEX(Models!$BJ159:$BT159,,T159+1)*R159-ERP_i)*Q159*Ramure*Pc/MaxiM</f>
        <v>1.0742020418808777E-3</v>
      </c>
      <c r="Q159" s="305">
        <f t="shared" si="51"/>
        <v>0.7</v>
      </c>
      <c r="R159" s="177">
        <f t="shared" si="52"/>
        <v>0.6702825705663229</v>
      </c>
      <c r="S159" s="921">
        <f t="shared" si="53"/>
        <v>-2</v>
      </c>
      <c r="T159" s="176">
        <f t="shared" si="54"/>
        <v>4</v>
      </c>
      <c r="U159" s="251">
        <f t="shared" si="55"/>
        <v>-1.3297174294336771</v>
      </c>
      <c r="V159" s="383">
        <f t="shared" si="56"/>
        <v>56.76825979162404</v>
      </c>
      <c r="W159" s="58"/>
      <c r="X159" s="157">
        <f t="shared" si="57"/>
        <v>43610</v>
      </c>
      <c r="Y159" s="385">
        <f t="shared" si="58"/>
        <v>25.373000000000001</v>
      </c>
      <c r="Z159" s="385">
        <f t="shared" si="59"/>
        <v>25.577778480684213</v>
      </c>
      <c r="AA159" s="386">
        <f t="shared" si="60"/>
        <v>26.669986174461165</v>
      </c>
      <c r="AB159" s="197">
        <f t="shared" si="61"/>
        <v>43610</v>
      </c>
      <c r="AC159" s="427">
        <f>IF(OR(t&lt;Tnet,NoTnet),'2018'!Resal_s+('2018'!Salim-'2018'!Resal_s)*(1-EXP(('2018'!Tnet_s-t)/'2018'!Tau_j)),Resal_s+(Salim-Resal_s)*(1-EXP((Tnet_s-t)/Tau_j)))*Salcycl</f>
        <v>4.0952690662540932E-2</v>
      </c>
      <c r="AD159" s="231">
        <f>(INDEX(Models!$BJ159:$BT159,,AH159)*(1-AF159)+INDEX(Models!$BJ159:$BT159,,AH159+1)*AF159-ERP_i)*AE159*Ramure*Pc/MaxiM</f>
        <v>1.0742020418808777E-3</v>
      </c>
      <c r="AE159" s="305">
        <f t="shared" si="62"/>
        <v>0.7</v>
      </c>
      <c r="AF159" s="177">
        <f t="shared" si="63"/>
        <v>0.6702825705663229</v>
      </c>
      <c r="AG159" s="176">
        <f t="shared" si="64"/>
        <v>-2</v>
      </c>
      <c r="AH159" s="176">
        <f t="shared" si="65"/>
        <v>4</v>
      </c>
      <c r="AI159" s="225">
        <f t="shared" si="66"/>
        <v>-1.3297174294336771</v>
      </c>
      <c r="AJ159" s="265" t="b">
        <f t="shared" si="67"/>
        <v>1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20">
        <v>20.041</v>
      </c>
      <c r="C160" s="390"/>
      <c r="D160" s="393">
        <f t="shared" si="48"/>
        <v>20.203187881848084</v>
      </c>
      <c r="E160" s="385">
        <f t="shared" si="70"/>
        <v>21.068586052213181</v>
      </c>
      <c r="F160" s="385">
        <f t="shared" si="49"/>
        <v>21.070381604313347</v>
      </c>
      <c r="G160" s="110">
        <f t="shared" si="71"/>
        <v>0.35280761631006208</v>
      </c>
      <c r="H160" s="414" t="b">
        <f>Wh_hp&gt;='2018'!Maxi_hp</f>
        <v>1</v>
      </c>
      <c r="I160" s="390">
        <f>IF(H160,Wh_hp,'2018'!Maxi_hp)</f>
        <v>21.070381604313347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8.0278361413351762E-3</v>
      </c>
      <c r="M160" s="959"/>
      <c r="N160" s="959"/>
      <c r="O160" s="48">
        <f>IF(t&lt;Tnet,'2018'!Resal+('2018'!Salim-'2018'!Resal)*(1-EXP(('2018'!Tnet-t)/('2018'!Tau_j))),Resal+(Salim-Resal)*(1-EXP((Tnet-t)/(Tau_j))))*Salcycl</f>
        <v>4.1075284702087954E-2</v>
      </c>
      <c r="P160" s="169">
        <f>(INDEX(Models!$BJ160:$BT160,,T160)*(1-R160)+INDEX(Models!$BJ160:$BT160,,T160+1)*R160-ERP_i)*Q160*Ramure*Pc/MaxiM</f>
        <v>1.1218281902881985E-3</v>
      </c>
      <c r="Q160" s="305">
        <f t="shared" si="51"/>
        <v>0.7</v>
      </c>
      <c r="R160" s="177">
        <f t="shared" si="52"/>
        <v>0.67493968290715523</v>
      </c>
      <c r="S160" s="921">
        <f t="shared" si="53"/>
        <v>-2</v>
      </c>
      <c r="T160" s="176">
        <f t="shared" si="54"/>
        <v>4</v>
      </c>
      <c r="U160" s="251">
        <f t="shared" si="55"/>
        <v>-1.3250603170928448</v>
      </c>
      <c r="V160" s="383">
        <f t="shared" si="56"/>
        <v>56.745440224711679</v>
      </c>
      <c r="W160" s="58"/>
      <c r="X160" s="157">
        <f t="shared" si="57"/>
        <v>43611</v>
      </c>
      <c r="Y160" s="385">
        <f t="shared" si="58"/>
        <v>20.041</v>
      </c>
      <c r="Z160" s="385">
        <f t="shared" si="59"/>
        <v>20.203187881848084</v>
      </c>
      <c r="AA160" s="386">
        <f t="shared" si="60"/>
        <v>21.068586052213181</v>
      </c>
      <c r="AB160" s="197">
        <f t="shared" si="61"/>
        <v>43611</v>
      </c>
      <c r="AC160" s="427">
        <f>IF(OR(t&lt;Tnet,NoTnet),'2018'!Resal_s+('2018'!Salim-'2018'!Resal_s)*(1-EXP(('2018'!Tnet_s-t)/'2018'!Tau_j)),Resal_s+(Salim-Resal_s)*(1-EXP((Tnet_s-t)/Tau_j)))*Salcycl</f>
        <v>4.1075284702087954E-2</v>
      </c>
      <c r="AD160" s="231">
        <f>(INDEX(Models!$BJ160:$BT160,,AH160)*(1-AF160)+INDEX(Models!$BJ160:$BT160,,AH160+1)*AF160-ERP_i)*AE160*Ramure*Pc/MaxiM</f>
        <v>1.1218281902881985E-3</v>
      </c>
      <c r="AE160" s="305">
        <f t="shared" si="62"/>
        <v>0.7</v>
      </c>
      <c r="AF160" s="177">
        <f t="shared" si="63"/>
        <v>0.67493968290715523</v>
      </c>
      <c r="AG160" s="176">
        <f t="shared" si="64"/>
        <v>-2</v>
      </c>
      <c r="AH160" s="176">
        <f t="shared" si="65"/>
        <v>4</v>
      </c>
      <c r="AI160" s="225">
        <f t="shared" si="66"/>
        <v>-1.3250603170928448</v>
      </c>
      <c r="AJ160" s="265" t="b">
        <f t="shared" si="67"/>
        <v>1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20">
        <v>24.469000000000001</v>
      </c>
      <c r="C161" s="390"/>
      <c r="D161" s="393">
        <f t="shared" si="48"/>
        <v>24.667563100211158</v>
      </c>
      <c r="E161" s="385">
        <f t="shared" si="70"/>
        <v>25.727480732305402</v>
      </c>
      <c r="F161" s="385">
        <f t="shared" si="49"/>
        <v>25.733134903239144</v>
      </c>
      <c r="G161" s="110">
        <f t="shared" si="71"/>
        <v>0.43098616349045171</v>
      </c>
      <c r="H161" s="414" t="b">
        <f>Wh_hp&gt;='2018'!Maxi_hp</f>
        <v>1</v>
      </c>
      <c r="I161" s="390">
        <f>IF(H161,Wh_hp,'2018'!Maxi_hp)</f>
        <v>25.733134903239144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8.0495628775530959E-3</v>
      </c>
      <c r="M161" s="959"/>
      <c r="N161" s="959"/>
      <c r="O161" s="48">
        <f>IF(t&lt;Tnet,'2018'!Resal+('2018'!Salim-'2018'!Resal)*(1-EXP(('2018'!Tnet-t)/('2018'!Tau_j))),Resal+(Salim-Resal)*(1-EXP((Tnet-t)/(Tau_j))))*Salcycl</f>
        <v>4.1197878763284027E-2</v>
      </c>
      <c r="P161" s="169">
        <f>(INDEX(Models!$BJ161:$BT161,,T161)*(1-R161)+INDEX(Models!$BJ161:$BT161,,T161+1)*R161-ERP_i)*Q161*Ramure*Pc/MaxiM</f>
        <v>1.1705519311509341E-3</v>
      </c>
      <c r="Q161" s="305">
        <f t="shared" si="51"/>
        <v>0.7</v>
      </c>
      <c r="R161" s="177">
        <f t="shared" si="52"/>
        <v>0.67965433029813105</v>
      </c>
      <c r="S161" s="921">
        <f t="shared" si="53"/>
        <v>-2</v>
      </c>
      <c r="T161" s="176">
        <f t="shared" si="54"/>
        <v>4</v>
      </c>
      <c r="U161" s="251">
        <f t="shared" si="55"/>
        <v>-1.320345669701869</v>
      </c>
      <c r="V161" s="383">
        <f t="shared" si="56"/>
        <v>56.720449827460705</v>
      </c>
      <c r="W161" s="58"/>
      <c r="X161" s="157">
        <f t="shared" si="57"/>
        <v>43612</v>
      </c>
      <c r="Y161" s="385">
        <f t="shared" si="58"/>
        <v>24.469000000000001</v>
      </c>
      <c r="Z161" s="385">
        <f t="shared" si="59"/>
        <v>24.667563100211158</v>
      </c>
      <c r="AA161" s="386">
        <f t="shared" si="60"/>
        <v>25.727480732305402</v>
      </c>
      <c r="AB161" s="197">
        <f t="shared" si="61"/>
        <v>43612</v>
      </c>
      <c r="AC161" s="427">
        <f>IF(OR(t&lt;Tnet,NoTnet),'2018'!Resal_s+('2018'!Salim-'2018'!Resal_s)*(1-EXP(('2018'!Tnet_s-t)/'2018'!Tau_j)),Resal_s+(Salim-Resal_s)*(1-EXP((Tnet_s-t)/Tau_j)))*Salcycl</f>
        <v>4.1197878763284027E-2</v>
      </c>
      <c r="AD161" s="231">
        <f>(INDEX(Models!$BJ161:$BT161,,AH161)*(1-AF161)+INDEX(Models!$BJ161:$BT161,,AH161+1)*AF161-ERP_i)*AE161*Ramure*Pc/MaxiM</f>
        <v>1.1705519311509341E-3</v>
      </c>
      <c r="AE161" s="305">
        <f t="shared" si="62"/>
        <v>0.7</v>
      </c>
      <c r="AF161" s="177">
        <f t="shared" si="63"/>
        <v>0.67965433029813105</v>
      </c>
      <c r="AG161" s="176">
        <f t="shared" si="64"/>
        <v>-2</v>
      </c>
      <c r="AH161" s="176">
        <f t="shared" si="65"/>
        <v>4</v>
      </c>
      <c r="AI161" s="225">
        <f t="shared" si="66"/>
        <v>-1.320345669701869</v>
      </c>
      <c r="AJ161" s="265" t="b">
        <f t="shared" si="67"/>
        <v>1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20">
        <v>26.635000000000002</v>
      </c>
      <c r="C162" s="390"/>
      <c r="D162" s="393">
        <f t="shared" si="48"/>
        <v>26.851728061032855</v>
      </c>
      <c r="E162" s="385">
        <f t="shared" si="70"/>
        <v>28.009075297910758</v>
      </c>
      <c r="F162" s="385">
        <f t="shared" si="49"/>
        <v>28.017369626844335</v>
      </c>
      <c r="G162" s="110">
        <f t="shared" si="71"/>
        <v>0.46937343362755668</v>
      </c>
      <c r="H162" s="414" t="b">
        <f>Wh_hp&gt;='2018'!Maxi_hp</f>
        <v>1</v>
      </c>
      <c r="I162" s="390">
        <f>IF(H162,Wh_hp,'2018'!Maxi_hp)</f>
        <v>28.017369626844335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8.0712891378997842E-3</v>
      </c>
      <c r="M162" s="959"/>
      <c r="N162" s="959"/>
      <c r="O162" s="48">
        <f>IF(t&lt;Tnet,'2018'!Resal+('2018'!Salim-'2018'!Resal)*(1-EXP(('2018'!Tnet-t)/('2018'!Tau_j))),Resal+(Salim-Resal)*(1-EXP((Tnet-t)/(Tau_j))))*Salcycl</f>
        <v>4.1320437200018253E-2</v>
      </c>
      <c r="P162" s="169">
        <f>(INDEX(Models!$BJ162:$BT162,,T162)*(1-R162)+INDEX(Models!$BJ162:$BT162,,T162+1)*R162-ERP_i)*Q162*Ramure*Pc/MaxiM</f>
        <v>1.2203776425632061E-3</v>
      </c>
      <c r="Q162" s="305">
        <f t="shared" si="51"/>
        <v>0.7</v>
      </c>
      <c r="R162" s="177">
        <f t="shared" si="52"/>
        <v>0.68442353267967349</v>
      </c>
      <c r="S162" s="921">
        <f t="shared" si="53"/>
        <v>-2</v>
      </c>
      <c r="T162" s="176">
        <f t="shared" si="54"/>
        <v>4</v>
      </c>
      <c r="U162" s="251">
        <f t="shared" si="55"/>
        <v>-1.3155764673203265</v>
      </c>
      <c r="V162" s="383">
        <f t="shared" si="56"/>
        <v>56.69339407247594</v>
      </c>
      <c r="W162" s="58"/>
      <c r="X162" s="157">
        <f t="shared" si="57"/>
        <v>43613</v>
      </c>
      <c r="Y162" s="385">
        <f t="shared" si="58"/>
        <v>26.635000000000002</v>
      </c>
      <c r="Z162" s="385">
        <f t="shared" si="59"/>
        <v>26.851728061032855</v>
      </c>
      <c r="AA162" s="386">
        <f t="shared" si="60"/>
        <v>28.009075297910758</v>
      </c>
      <c r="AB162" s="197">
        <f t="shared" si="61"/>
        <v>43613</v>
      </c>
      <c r="AC162" s="427">
        <f>IF(OR(t&lt;Tnet,NoTnet),'2018'!Resal_s+('2018'!Salim-'2018'!Resal_s)*(1-EXP(('2018'!Tnet_s-t)/'2018'!Tau_j)),Resal_s+(Salim-Resal_s)*(1-EXP((Tnet_s-t)/Tau_j)))*Salcycl</f>
        <v>4.1320437200018253E-2</v>
      </c>
      <c r="AD162" s="231">
        <f>(INDEX(Models!$BJ162:$BT162,,AH162)*(1-AF162)+INDEX(Models!$BJ162:$BT162,,AH162+1)*AF162-ERP_i)*AE162*Ramure*Pc/MaxiM</f>
        <v>1.2203776425632061E-3</v>
      </c>
      <c r="AE162" s="305">
        <f t="shared" si="62"/>
        <v>0.7</v>
      </c>
      <c r="AF162" s="177">
        <f t="shared" si="63"/>
        <v>0.68442353267967349</v>
      </c>
      <c r="AG162" s="176">
        <f t="shared" si="64"/>
        <v>-2</v>
      </c>
      <c r="AH162" s="176">
        <f t="shared" si="65"/>
        <v>4</v>
      </c>
      <c r="AI162" s="225">
        <f t="shared" si="66"/>
        <v>-1.3155764673203265</v>
      </c>
      <c r="AJ162" s="265" t="b">
        <f t="shared" si="67"/>
        <v>1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20">
        <v>31.343</v>
      </c>
      <c r="C163" s="390"/>
      <c r="D163" s="393">
        <f t="shared" si="48"/>
        <v>31.598728985205685</v>
      </c>
      <c r="E163" s="385">
        <f t="shared" si="70"/>
        <v>32.964890430393183</v>
      </c>
      <c r="F163" s="385">
        <f t="shared" si="49"/>
        <v>32.980052391122442</v>
      </c>
      <c r="G163" s="110">
        <f t="shared" si="71"/>
        <v>0.55268531530207454</v>
      </c>
      <c r="H163" s="414" t="b">
        <f>Wh_hp&gt;='2018'!Maxi_hp</f>
        <v>1</v>
      </c>
      <c r="I163" s="390">
        <f>IF(H163,Wh_hp,'2018'!Maxi_hp)</f>
        <v>32.980052391122442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8.0930149223855663E-3</v>
      </c>
      <c r="M163" s="959"/>
      <c r="N163" s="959"/>
      <c r="O163" s="48">
        <f>IF(t&lt;Tnet,'2018'!Resal+('2018'!Salim-'2018'!Resal)*(1-EXP(('2018'!Tnet-t)/('2018'!Tau_j))),Resal+(Salim-Resal)*(1-EXP((Tnet-t)/(Tau_j))))*Salcycl</f>
        <v>4.1442923891168569E-2</v>
      </c>
      <c r="P163" s="169">
        <f>(INDEX(Models!$BJ163:$BT163,,T163)*(1-R163)+INDEX(Models!$BJ163:$BT163,,T163+1)*R163-ERP_i)*Q163*Ramure*Pc/MaxiM</f>
        <v>1.2713081807093028E-3</v>
      </c>
      <c r="Q163" s="305">
        <f t="shared" si="51"/>
        <v>0.7</v>
      </c>
      <c r="R163" s="177">
        <f t="shared" si="52"/>
        <v>0.68924414751089547</v>
      </c>
      <c r="S163" s="921">
        <f t="shared" si="53"/>
        <v>-2</v>
      </c>
      <c r="T163" s="176">
        <f t="shared" si="54"/>
        <v>4</v>
      </c>
      <c r="U163" s="251">
        <f t="shared" si="55"/>
        <v>-1.3107558524891045</v>
      </c>
      <c r="V163" s="383">
        <f t="shared" si="56"/>
        <v>56.664344388237161</v>
      </c>
      <c r="W163" s="58"/>
      <c r="X163" s="157">
        <f t="shared" si="57"/>
        <v>43614</v>
      </c>
      <c r="Y163" s="385">
        <f t="shared" si="58"/>
        <v>31.343000000000004</v>
      </c>
      <c r="Z163" s="385">
        <f t="shared" si="59"/>
        <v>31.598728985205689</v>
      </c>
      <c r="AA163" s="386">
        <f t="shared" si="60"/>
        <v>32.964890430393183</v>
      </c>
      <c r="AB163" s="197">
        <f t="shared" si="61"/>
        <v>43614</v>
      </c>
      <c r="AC163" s="427">
        <f>IF(OR(t&lt;Tnet,NoTnet),'2018'!Resal_s+('2018'!Salim-'2018'!Resal_s)*(1-EXP(('2018'!Tnet_s-t)/'2018'!Tau_j)),Resal_s+(Salim-Resal_s)*(1-EXP((Tnet_s-t)/Tau_j)))*Salcycl</f>
        <v>4.1442923891168569E-2</v>
      </c>
      <c r="AD163" s="231">
        <f>(INDEX(Models!$BJ163:$BT163,,AH163)*(1-AF163)+INDEX(Models!$BJ163:$BT163,,AH163+1)*AF163-ERP_i)*AE163*Ramure*Pc/MaxiM</f>
        <v>1.2713081807093028E-3</v>
      </c>
      <c r="AE163" s="305">
        <f t="shared" si="62"/>
        <v>0.7</v>
      </c>
      <c r="AF163" s="177">
        <f t="shared" si="63"/>
        <v>0.68924414751089547</v>
      </c>
      <c r="AG163" s="176">
        <f t="shared" si="64"/>
        <v>-2</v>
      </c>
      <c r="AH163" s="176">
        <f t="shared" si="65"/>
        <v>4</v>
      </c>
      <c r="AI163" s="225">
        <f t="shared" si="66"/>
        <v>-1.3107558524891045</v>
      </c>
      <c r="AJ163" s="265" t="b">
        <f t="shared" si="67"/>
        <v>1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20">
        <v>55.564999999999998</v>
      </c>
      <c r="C164" s="390"/>
      <c r="D164" s="393">
        <f t="shared" si="48"/>
        <v>56.01958437505332</v>
      </c>
      <c r="E164" s="385">
        <f t="shared" si="70"/>
        <v>58.449036239205967</v>
      </c>
      <c r="F164" s="385">
        <f t="shared" si="49"/>
        <v>58.524365554999449</v>
      </c>
      <c r="G164" s="110">
        <f t="shared" si="71"/>
        <v>0.98110208621301342</v>
      </c>
      <c r="H164" s="414" t="b">
        <f>Wh_hp&gt;='2018'!Maxi_hp</f>
        <v>1</v>
      </c>
      <c r="I164" s="390">
        <f>IF(H164,Wh_hp,'2018'!Maxi_hp)</f>
        <v>58.524365554999449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8.1147402310209893E-3</v>
      </c>
      <c r="M164" s="959"/>
      <c r="N164" s="959"/>
      <c r="O164" s="48">
        <f>IF(t&lt;Tnet,'2018'!Resal+('2018'!Salim-'2018'!Resal)*(1-EXP(('2018'!Tnet-t)/('2018'!Tau_j))),Resal+(Salim-Resal)*(1-EXP((Tnet-t)/(Tau_j))))*Salcycl</f>
        <v>4.1565302363754615E-2</v>
      </c>
      <c r="P164" s="169">
        <f>(INDEX(Models!$BJ164:$BT164,,T164)*(1-R164)+INDEX(Models!$BJ164:$BT164,,T164+1)*R164-ERP_i)*Q164*Ramure*Pc/MaxiM</f>
        <v>1.3227897161490248E-3</v>
      </c>
      <c r="Q164" s="305">
        <f t="shared" si="51"/>
        <v>0.7</v>
      </c>
      <c r="R164" s="177">
        <f t="shared" si="52"/>
        <v>0.69411287645098296</v>
      </c>
      <c r="S164" s="921">
        <f t="shared" si="53"/>
        <v>-2</v>
      </c>
      <c r="T164" s="176">
        <f t="shared" si="54"/>
        <v>4</v>
      </c>
      <c r="U164" s="251">
        <f t="shared" si="55"/>
        <v>-1.305887123549017</v>
      </c>
      <c r="V164" s="383">
        <f t="shared" si="56"/>
        <v>56.633267426758934</v>
      </c>
      <c r="W164" s="58"/>
      <c r="X164" s="157">
        <f t="shared" si="57"/>
        <v>43615</v>
      </c>
      <c r="Y164" s="385">
        <f t="shared" si="58"/>
        <v>55.564999999999998</v>
      </c>
      <c r="Z164" s="385">
        <f t="shared" si="59"/>
        <v>56.01958437505332</v>
      </c>
      <c r="AA164" s="386">
        <f t="shared" si="60"/>
        <v>58.449036239205967</v>
      </c>
      <c r="AB164" s="197">
        <f t="shared" si="61"/>
        <v>43615</v>
      </c>
      <c r="AC164" s="427">
        <f>IF(OR(t&lt;Tnet,NoTnet),'2018'!Resal_s+('2018'!Salim-'2018'!Resal_s)*(1-EXP(('2018'!Tnet_s-t)/'2018'!Tau_j)),Resal_s+(Salim-Resal_s)*(1-EXP((Tnet_s-t)/Tau_j)))*Salcycl</f>
        <v>4.1565302363754615E-2</v>
      </c>
      <c r="AD164" s="231">
        <f>(INDEX(Models!$BJ164:$BT164,,AH164)*(1-AF164)+INDEX(Models!$BJ164:$BT164,,AH164+1)*AF164-ERP_i)*AE164*Ramure*Pc/MaxiM</f>
        <v>1.3227897161490248E-3</v>
      </c>
      <c r="AE164" s="305">
        <f t="shared" si="62"/>
        <v>0.7</v>
      </c>
      <c r="AF164" s="177">
        <f t="shared" si="63"/>
        <v>0.69411287645098296</v>
      </c>
      <c r="AG164" s="176">
        <f t="shared" si="64"/>
        <v>-2</v>
      </c>
      <c r="AH164" s="176">
        <f t="shared" si="65"/>
        <v>4</v>
      </c>
      <c r="AI164" s="225">
        <f t="shared" si="66"/>
        <v>-1.305887123549017</v>
      </c>
      <c r="AJ164" s="265" t="b">
        <f t="shared" si="67"/>
        <v>1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20">
        <v>56.301000000000002</v>
      </c>
      <c r="C165" s="390"/>
      <c r="D165" s="393">
        <f t="shared" si="48"/>
        <v>56.76284893730103</v>
      </c>
      <c r="E165" s="385">
        <f t="shared" si="70"/>
        <v>59.232088765377661</v>
      </c>
      <c r="F165" s="385">
        <f t="shared" si="49"/>
        <v>59.313017833892296</v>
      </c>
      <c r="G165" s="110">
        <f t="shared" si="71"/>
        <v>0.9947058416605733</v>
      </c>
      <c r="H165" s="414" t="b">
        <f>Wh_hp&gt;='2018'!Maxi_hp</f>
        <v>1</v>
      </c>
      <c r="I165" s="390">
        <f>IF(H165,Wh_hp,'2018'!Maxi_hp)</f>
        <v>59.313017833892296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8.1364650638162672E-3</v>
      </c>
      <c r="M165" s="959"/>
      <c r="N165" s="959"/>
      <c r="O165" s="48">
        <f>IF(t&lt;Tnet,'2018'!Resal+('2018'!Salim-'2018'!Resal)*(1-EXP(('2018'!Tnet-t)/('2018'!Tau_j))),Resal+(Salim-Resal)*(1-EXP((Tnet-t)/(Tau_j))))*Salcycl</f>
        <v>4.1687535920900194E-2</v>
      </c>
      <c r="P165" s="169">
        <f>(INDEX(Models!$BJ165:$BT165,,T165)*(1-R165)+INDEX(Models!$BJ165:$BT165,,T165+1)*R165-ERP_i)*Q165*Ramure*Pc/MaxiM</f>
        <v>1.3748178036450422E-3</v>
      </c>
      <c r="Q165" s="305">
        <f t="shared" si="51"/>
        <v>0.7</v>
      </c>
      <c r="R165" s="177">
        <f t="shared" si="52"/>
        <v>0.6990262730006096</v>
      </c>
      <c r="S165" s="921">
        <f t="shared" si="53"/>
        <v>-2</v>
      </c>
      <c r="T165" s="176">
        <f t="shared" si="54"/>
        <v>4</v>
      </c>
      <c r="U165" s="251">
        <f t="shared" si="55"/>
        <v>-1.3009737269993904</v>
      </c>
      <c r="V165" s="383">
        <f t="shared" si="56"/>
        <v>56.600064638937667</v>
      </c>
      <c r="W165" s="58"/>
      <c r="X165" s="157">
        <f t="shared" si="57"/>
        <v>43616</v>
      </c>
      <c r="Y165" s="385">
        <f t="shared" si="58"/>
        <v>56.301000000000002</v>
      </c>
      <c r="Z165" s="385">
        <f t="shared" si="59"/>
        <v>56.76284893730103</v>
      </c>
      <c r="AA165" s="386">
        <f t="shared" si="60"/>
        <v>59.232088765377661</v>
      </c>
      <c r="AB165" s="197">
        <f t="shared" si="61"/>
        <v>43616</v>
      </c>
      <c r="AC165" s="427">
        <f>IF(OR(t&lt;Tnet,NoTnet),'2018'!Resal_s+('2018'!Salim-'2018'!Resal_s)*(1-EXP(('2018'!Tnet_s-t)/'2018'!Tau_j)),Resal_s+(Salim-Resal_s)*(1-EXP((Tnet_s-t)/Tau_j)))*Salcycl</f>
        <v>4.1687535920900194E-2</v>
      </c>
      <c r="AD165" s="231">
        <f>(INDEX(Models!$BJ165:$BT165,,AH165)*(1-AF165)+INDEX(Models!$BJ165:$BT165,,AH165+1)*AF165-ERP_i)*AE165*Ramure*Pc/MaxiM</f>
        <v>1.3748178036450422E-3</v>
      </c>
      <c r="AE165" s="305">
        <f t="shared" si="62"/>
        <v>0.7</v>
      </c>
      <c r="AF165" s="177">
        <f t="shared" si="63"/>
        <v>0.6990262730006096</v>
      </c>
      <c r="AG165" s="176">
        <f t="shared" si="64"/>
        <v>-2</v>
      </c>
      <c r="AH165" s="176">
        <f t="shared" si="65"/>
        <v>4</v>
      </c>
      <c r="AI165" s="225">
        <f t="shared" si="66"/>
        <v>-1.3009737269993904</v>
      </c>
      <c r="AJ165" s="265" t="b">
        <f t="shared" si="67"/>
        <v>1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20">
        <v>57.256</v>
      </c>
      <c r="C166" s="390"/>
      <c r="D166" s="393">
        <f t="shared" si="48"/>
        <v>57.726947371338902</v>
      </c>
      <c r="E166" s="385">
        <f t="shared" si="70"/>
        <v>60.24579940977052</v>
      </c>
      <c r="F166" s="385">
        <f t="shared" si="49"/>
        <v>60.331915443766647</v>
      </c>
      <c r="G166" s="110">
        <f t="shared" si="71"/>
        <v>1.0122225033127856</v>
      </c>
      <c r="H166" s="414" t="b">
        <f>Wh_hp&gt;='2018'!Maxi_hp</f>
        <v>1</v>
      </c>
      <c r="I166" s="390">
        <f>IF(H166,Wh_hp,'2018'!Maxi_hp)</f>
        <v>60.331915443766647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8.1581894207820582E-3</v>
      </c>
      <c r="M166" s="959"/>
      <c r="N166" s="959"/>
      <c r="O166" s="48">
        <f>IF(t&lt;Tnet,'2018'!Resal+('2018'!Salim-'2018'!Resal)*(1-EXP(('2018'!Tnet-t)/('2018'!Tau_j))),Resal+(Salim-Resal)*(1-EXP((Tnet-t)/(Tau_j))))*Salcycl</f>
        <v>4.1809587773900807E-2</v>
      </c>
      <c r="P166" s="169">
        <f>(INDEX(Models!$BJ166:$BT166,,T166)*(1-R166)+INDEX(Models!$BJ166:$BT166,,T166+1)*R166-ERP_i)*Q166*Ramure*Pc/MaxiM</f>
        <v>1.4273711245981237E-3</v>
      </c>
      <c r="Q166" s="305">
        <f t="shared" si="51"/>
        <v>0.7</v>
      </c>
      <c r="R166" s="177">
        <f t="shared" si="52"/>
        <v>0.70398075107769187</v>
      </c>
      <c r="S166" s="921">
        <f t="shared" si="53"/>
        <v>-2</v>
      </c>
      <c r="T166" s="176">
        <f t="shared" si="54"/>
        <v>4</v>
      </c>
      <c r="U166" s="251">
        <f t="shared" si="55"/>
        <v>-1.2960192489223081</v>
      </c>
      <c r="V166" s="383">
        <f t="shared" si="56"/>
        <v>56.564638518323264</v>
      </c>
      <c r="W166" s="58"/>
      <c r="X166" s="157">
        <f t="shared" si="57"/>
        <v>43617</v>
      </c>
      <c r="Y166" s="385">
        <f t="shared" si="58"/>
        <v>57.256</v>
      </c>
      <c r="Z166" s="385">
        <f t="shared" si="59"/>
        <v>57.726947371338902</v>
      </c>
      <c r="AA166" s="386">
        <f t="shared" si="60"/>
        <v>60.24579940977052</v>
      </c>
      <c r="AB166" s="197">
        <f t="shared" si="61"/>
        <v>43617</v>
      </c>
      <c r="AC166" s="427">
        <f>IF(OR(t&lt;Tnet,NoTnet),'2018'!Resal_s+('2018'!Salim-'2018'!Resal_s)*(1-EXP(('2018'!Tnet_s-t)/'2018'!Tau_j)),Resal_s+(Salim-Resal_s)*(1-EXP((Tnet_s-t)/Tau_j)))*Salcycl</f>
        <v>4.1809587773900807E-2</v>
      </c>
      <c r="AD166" s="231">
        <f>(INDEX(Models!$BJ166:$BT166,,AH166)*(1-AF166)+INDEX(Models!$BJ166:$BT166,,AH166+1)*AF166-ERP_i)*AE166*Ramure*Pc/MaxiM</f>
        <v>1.4273711245981237E-3</v>
      </c>
      <c r="AE166" s="305">
        <f t="shared" si="62"/>
        <v>0.7</v>
      </c>
      <c r="AF166" s="177">
        <f t="shared" si="63"/>
        <v>0.70398075107769187</v>
      </c>
      <c r="AG166" s="176">
        <f t="shared" si="64"/>
        <v>-2</v>
      </c>
      <c r="AH166" s="176">
        <f t="shared" si="65"/>
        <v>4</v>
      </c>
      <c r="AI166" s="225">
        <f t="shared" si="66"/>
        <v>-1.2960192489223081</v>
      </c>
      <c r="AJ166" s="265" t="b">
        <f t="shared" si="67"/>
        <v>1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20">
        <v>56.265999999999998</v>
      </c>
      <c r="C167" s="390"/>
      <c r="D167" s="393">
        <f t="shared" si="48"/>
        <v>56.7300468649698</v>
      </c>
      <c r="E167" s="385">
        <f t="shared" si="70"/>
        <v>59.212929135721438</v>
      </c>
      <c r="F167" s="385">
        <f t="shared" si="49"/>
        <v>59.300139796564821</v>
      </c>
      <c r="G167" s="110">
        <f t="shared" si="71"/>
        <v>0.99537491336461104</v>
      </c>
      <c r="H167" s="414" t="b">
        <f>Wh_hp&gt;='2018'!Maxi_hp</f>
        <v>1</v>
      </c>
      <c r="I167" s="390">
        <f>IF(H167,Wh_hp,'2018'!Maxi_hp)</f>
        <v>59.300139796564821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8.1799133019286874E-3</v>
      </c>
      <c r="M167" s="959"/>
      <c r="N167" s="959"/>
      <c r="O167" s="48">
        <f>IF(t&lt;Tnet,'2018'!Resal+('2018'!Salim-'2018'!Resal)*(1-EXP(('2018'!Tnet-t)/('2018'!Tau_j))),Resal+(Salim-Resal)*(1-EXP((Tnet-t)/(Tau_j))))*Salcycl</f>
        <v>4.1931421177639205E-2</v>
      </c>
      <c r="P167" s="169">
        <f>(INDEX(Models!$BJ167:$BT167,,T167)*(1-R167)+INDEX(Models!$BJ167:$BT167,,T167+1)*R167-ERP_i)*Q167*Ramure*Pc/MaxiM</f>
        <v>1.4804263430080742E-3</v>
      </c>
      <c r="Q167" s="305">
        <f t="shared" si="51"/>
        <v>0.7</v>
      </c>
      <c r="R167" s="177">
        <f t="shared" si="52"/>
        <v>0.70897259449210459</v>
      </c>
      <c r="S167" s="921">
        <f t="shared" si="53"/>
        <v>-2</v>
      </c>
      <c r="T167" s="176">
        <f t="shared" si="54"/>
        <v>4</v>
      </c>
      <c r="U167" s="251">
        <f t="shared" si="55"/>
        <v>-1.2910274055078954</v>
      </c>
      <c r="V167" s="383">
        <f t="shared" si="56"/>
        <v>56.526891750641347</v>
      </c>
      <c r="W167" s="58"/>
      <c r="X167" s="157">
        <f t="shared" si="57"/>
        <v>43618</v>
      </c>
      <c r="Y167" s="385">
        <f t="shared" si="58"/>
        <v>56.265999999999998</v>
      </c>
      <c r="Z167" s="385">
        <f t="shared" si="59"/>
        <v>56.7300468649698</v>
      </c>
      <c r="AA167" s="386">
        <f t="shared" si="60"/>
        <v>59.212929135721438</v>
      </c>
      <c r="AB167" s="197">
        <f t="shared" si="61"/>
        <v>43618</v>
      </c>
      <c r="AC167" s="427">
        <f>IF(OR(t&lt;Tnet,NoTnet),'2018'!Resal_s+('2018'!Salim-'2018'!Resal_s)*(1-EXP(('2018'!Tnet_s-t)/'2018'!Tau_j)),Resal_s+(Salim-Resal_s)*(1-EXP((Tnet_s-t)/Tau_j)))*Salcycl</f>
        <v>4.1931421177639205E-2</v>
      </c>
      <c r="AD167" s="231">
        <f>(INDEX(Models!$BJ167:$BT167,,AH167)*(1-AF167)+INDEX(Models!$BJ167:$BT167,,AH167+1)*AF167-ERP_i)*AE167*Ramure*Pc/MaxiM</f>
        <v>1.4804263430080742E-3</v>
      </c>
      <c r="AE167" s="305">
        <f t="shared" si="62"/>
        <v>0.7</v>
      </c>
      <c r="AF167" s="177">
        <f t="shared" si="63"/>
        <v>0.70897259449210459</v>
      </c>
      <c r="AG167" s="176">
        <f t="shared" si="64"/>
        <v>-2</v>
      </c>
      <c r="AH167" s="176">
        <f t="shared" si="65"/>
        <v>4</v>
      </c>
      <c r="AI167" s="225">
        <f t="shared" si="66"/>
        <v>-1.2910274055078954</v>
      </c>
      <c r="AJ167" s="265" t="b">
        <f t="shared" si="67"/>
        <v>1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20">
        <v>41.716999999999999</v>
      </c>
      <c r="C168" s="390"/>
      <c r="D168" s="393">
        <f t="shared" si="48"/>
        <v>42.061977054994443</v>
      </c>
      <c r="E168" s="385">
        <f t="shared" si="70"/>
        <v>43.908459482674807</v>
      </c>
      <c r="F168" s="385">
        <f t="shared" si="49"/>
        <v>43.950695020941573</v>
      </c>
      <c r="G168" s="110">
        <f t="shared" si="71"/>
        <v>0.73810390429924244</v>
      </c>
      <c r="H168" s="414" t="b">
        <f>Wh_hp&gt;='2018'!Maxi_hp</f>
        <v>1</v>
      </c>
      <c r="I168" s="390">
        <f>IF(H168,Wh_hp,'2018'!Maxi_hp)</f>
        <v>43.950695020941573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8.2016367072664798E-3</v>
      </c>
      <c r="M168" s="959"/>
      <c r="N168" s="959"/>
      <c r="O168" s="48">
        <f>IF(t&lt;Tnet,'2018'!Resal+('2018'!Salim-'2018'!Resal)*(1-EXP(('2018'!Tnet-t)/('2018'!Tau_j))),Resal+(Salim-Resal)*(1-EXP((Tnet-t)/(Tau_j))))*Salcycl</f>
        <v>4.205299956854424E-2</v>
      </c>
      <c r="P168" s="169">
        <f>(INDEX(Models!$BJ168:$BT168,,T168)*(1-R168)+INDEX(Models!$BJ168:$BT168,,T168+1)*R168-ERP_i)*Q168*Ramure*Pc/MaxiM</f>
        <v>1.5339581739087598E-3</v>
      </c>
      <c r="Q168" s="305">
        <f t="shared" si="51"/>
        <v>0.7</v>
      </c>
      <c r="R168" s="177">
        <f t="shared" si="52"/>
        <v>0.71399796727437637</v>
      </c>
      <c r="S168" s="921">
        <f t="shared" si="53"/>
        <v>-2</v>
      </c>
      <c r="T168" s="176">
        <f t="shared" si="54"/>
        <v>4</v>
      </c>
      <c r="U168" s="251">
        <f t="shared" si="55"/>
        <v>-1.2860020327256236</v>
      </c>
      <c r="V168" s="383">
        <f t="shared" si="56"/>
        <v>56.486727199008264</v>
      </c>
      <c r="W168" s="58"/>
      <c r="X168" s="157">
        <f t="shared" si="57"/>
        <v>43619</v>
      </c>
      <c r="Y168" s="385">
        <f t="shared" si="58"/>
        <v>41.716999999999999</v>
      </c>
      <c r="Z168" s="385">
        <f t="shared" si="59"/>
        <v>42.061977054994443</v>
      </c>
      <c r="AA168" s="386">
        <f t="shared" si="60"/>
        <v>43.908459482674807</v>
      </c>
      <c r="AB168" s="197">
        <f t="shared" si="61"/>
        <v>43619</v>
      </c>
      <c r="AC168" s="427">
        <f>IF(OR(t&lt;Tnet,NoTnet),'2018'!Resal_s+('2018'!Salim-'2018'!Resal_s)*(1-EXP(('2018'!Tnet_s-t)/'2018'!Tau_j)),Resal_s+(Salim-Resal_s)*(1-EXP((Tnet_s-t)/Tau_j)))*Salcycl</f>
        <v>4.205299956854424E-2</v>
      </c>
      <c r="AD168" s="231">
        <f>(INDEX(Models!$BJ168:$BT168,,AH168)*(1-AF168)+INDEX(Models!$BJ168:$BT168,,AH168+1)*AF168-ERP_i)*AE168*Ramure*Pc/MaxiM</f>
        <v>1.5339581739087598E-3</v>
      </c>
      <c r="AE168" s="305">
        <f t="shared" si="62"/>
        <v>0.7</v>
      </c>
      <c r="AF168" s="177">
        <f t="shared" si="63"/>
        <v>0.71399796727437637</v>
      </c>
      <c r="AG168" s="176">
        <f t="shared" si="64"/>
        <v>-2</v>
      </c>
      <c r="AH168" s="176">
        <f t="shared" si="65"/>
        <v>4</v>
      </c>
      <c r="AI168" s="225">
        <f t="shared" si="66"/>
        <v>-1.2860020327256236</v>
      </c>
      <c r="AJ168" s="265" t="b">
        <f t="shared" si="67"/>
        <v>1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20">
        <v>54.171999999999997</v>
      </c>
      <c r="C169" s="390"/>
      <c r="D169" s="393">
        <f t="shared" si="48"/>
        <v>54.62116952075209</v>
      </c>
      <c r="E169" s="385">
        <f t="shared" si="70"/>
        <v>57.026209217966993</v>
      </c>
      <c r="F169" s="385">
        <f t="shared" si="49"/>
        <v>57.111684044434135</v>
      </c>
      <c r="G169" s="110">
        <f t="shared" si="71"/>
        <v>0.95965913099894362</v>
      </c>
      <c r="H169" s="414" t="b">
        <f>Wh_hp&gt;='2018'!Maxi_hp</f>
        <v>1</v>
      </c>
      <c r="I169" s="390">
        <f>IF(H169,Wh_hp,'2018'!Maxi_hp)</f>
        <v>57.111684044434135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8.2233596368059825E-3</v>
      </c>
      <c r="M169" s="959"/>
      <c r="N169" s="959"/>
      <c r="O169" s="48">
        <f>IF(t&lt;Tnet,'2018'!Resal+('2018'!Salim-'2018'!Resal)*(1-EXP(('2018'!Tnet-t)/('2018'!Tau_j))),Resal+(Salim-Resal)*(1-EXP((Tnet-t)/(Tau_j))))*Salcycl</f>
        <v>4.2174286704246861E-2</v>
      </c>
      <c r="P169" s="169">
        <f>(INDEX(Models!$BJ169:$BT169,,T169)*(1-R169)+INDEX(Models!$BJ169:$BT169,,T169+1)*R169-ERP_i)*Q169*Ramure*Pc/MaxiM</f>
        <v>1.5879394674523783E-3</v>
      </c>
      <c r="Q169" s="305">
        <f t="shared" si="51"/>
        <v>0.7</v>
      </c>
      <c r="R169" s="177">
        <f t="shared" si="52"/>
        <v>0.71905292480403626</v>
      </c>
      <c r="S169" s="921">
        <f t="shared" si="53"/>
        <v>-2</v>
      </c>
      <c r="T169" s="176">
        <f t="shared" si="54"/>
        <v>4</v>
      </c>
      <c r="U169" s="251">
        <f t="shared" si="55"/>
        <v>-1.2809470751959637</v>
      </c>
      <c r="V169" s="383">
        <f t="shared" si="56"/>
        <v>56.444047889756881</v>
      </c>
      <c r="W169" s="58"/>
      <c r="X169" s="157">
        <f t="shared" si="57"/>
        <v>43620</v>
      </c>
      <c r="Y169" s="385">
        <f t="shared" si="58"/>
        <v>54.171999999999997</v>
      </c>
      <c r="Z169" s="385">
        <f t="shared" si="59"/>
        <v>54.62116952075209</v>
      </c>
      <c r="AA169" s="386">
        <f t="shared" si="60"/>
        <v>57.026209217966993</v>
      </c>
      <c r="AB169" s="197">
        <f t="shared" si="61"/>
        <v>43620</v>
      </c>
      <c r="AC169" s="427">
        <f>IF(OR(t&lt;Tnet,NoTnet),'2018'!Resal_s+('2018'!Salim-'2018'!Resal_s)*(1-EXP(('2018'!Tnet_s-t)/'2018'!Tau_j)),Resal_s+(Salim-Resal_s)*(1-EXP((Tnet_s-t)/Tau_j)))*Salcycl</f>
        <v>4.2174286704246861E-2</v>
      </c>
      <c r="AD169" s="231">
        <f>(INDEX(Models!$BJ169:$BT169,,AH169)*(1-AF169)+INDEX(Models!$BJ169:$BT169,,AH169+1)*AF169-ERP_i)*AE169*Ramure*Pc/MaxiM</f>
        <v>1.5879394674523783E-3</v>
      </c>
      <c r="AE169" s="305">
        <f t="shared" si="62"/>
        <v>0.7</v>
      </c>
      <c r="AF169" s="177">
        <f t="shared" si="63"/>
        <v>0.71905292480403626</v>
      </c>
      <c r="AG169" s="176">
        <f t="shared" si="64"/>
        <v>-2</v>
      </c>
      <c r="AH169" s="176">
        <f t="shared" si="65"/>
        <v>4</v>
      </c>
      <c r="AI169" s="225">
        <f t="shared" si="66"/>
        <v>-1.2809470751959637</v>
      </c>
      <c r="AJ169" s="265" t="b">
        <f t="shared" si="67"/>
        <v>1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20">
        <v>11.7</v>
      </c>
      <c r="C170" s="390"/>
      <c r="D170" s="393">
        <f t="shared" si="48"/>
        <v>11.797269455101741</v>
      </c>
      <c r="E170" s="385">
        <f t="shared" ref="E170:E232" si="73">Wh_pvt/(1-Psa)</f>
        <v>12.318273889456218</v>
      </c>
      <c r="F170" s="385">
        <f t="shared" si="49"/>
        <v>12.318273889456218</v>
      </c>
      <c r="G170" s="110">
        <f t="shared" ref="G170:G232" si="74">+Wh_hp/MaxiM</f>
        <v>0.20711067456790777</v>
      </c>
      <c r="H170" s="414" t="b">
        <f>Wh_hp&gt;='2018'!Maxi_hp</f>
        <v>1</v>
      </c>
      <c r="I170" s="390">
        <f>IF(H170,Wh_hp,'2018'!Maxi_hp)</f>
        <v>12.318273889456218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8.2450820905576316E-3</v>
      </c>
      <c r="M170" s="959"/>
      <c r="N170" s="959"/>
      <c r="O170" s="48">
        <f>IF(t&lt;Tnet,'2018'!Resal+('2018'!Salim-'2018'!Resal)*(1-EXP(('2018'!Tnet-t)/('2018'!Tau_j))),Resal+(Salim-Resal)*(1-EXP((Tnet-t)/(Tau_j))))*Salcycl</f>
        <v>4.2295246804053374E-2</v>
      </c>
      <c r="P170" s="169">
        <f>(INDEX(Models!$BJ170:$BT170,,T170)*(1-R170)+INDEX(Models!$BJ170:$BT170,,T170+1)*R170-ERP_i)*Q170*Ramure*Pc/MaxiM</f>
        <v>1.6412964892203829E-3</v>
      </c>
      <c r="Q170" s="305">
        <f t="shared" si="51"/>
        <v>0.7</v>
      </c>
      <c r="R170" s="177">
        <f t="shared" si="52"/>
        <v>0.72413342567430816</v>
      </c>
      <c r="S170" s="921">
        <f t="shared" si="53"/>
        <v>-2</v>
      </c>
      <c r="T170" s="176">
        <f t="shared" si="54"/>
        <v>4</v>
      </c>
      <c r="U170" s="251">
        <f t="shared" si="55"/>
        <v>-1.2758665743256918</v>
      </c>
      <c r="V170" s="383">
        <f t="shared" si="56"/>
        <v>56.39881602165417</v>
      </c>
      <c r="W170" s="58"/>
      <c r="X170" s="157">
        <f t="shared" si="57"/>
        <v>43621</v>
      </c>
      <c r="Y170" s="385">
        <f t="shared" si="58"/>
        <v>11.7</v>
      </c>
      <c r="Z170" s="385">
        <f t="shared" si="59"/>
        <v>11.797269455101741</v>
      </c>
      <c r="AA170" s="386">
        <f t="shared" si="60"/>
        <v>12.318273889456218</v>
      </c>
      <c r="AB170" s="197">
        <f t="shared" si="61"/>
        <v>43621</v>
      </c>
      <c r="AC170" s="427">
        <f>IF(OR(t&lt;Tnet,NoTnet),'2018'!Resal_s+('2018'!Salim-'2018'!Resal_s)*(1-EXP(('2018'!Tnet_s-t)/'2018'!Tau_j)),Resal_s+(Salim-Resal_s)*(1-EXP((Tnet_s-t)/Tau_j)))*Salcycl</f>
        <v>4.2295246804053374E-2</v>
      </c>
      <c r="AD170" s="231">
        <f>(INDEX(Models!$BJ170:$BT170,,AH170)*(1-AF170)+INDEX(Models!$BJ170:$BT170,,AH170+1)*AF170-ERP_i)*AE170*Ramure*Pc/MaxiM</f>
        <v>1.6412964892203829E-3</v>
      </c>
      <c r="AE170" s="305">
        <f t="shared" si="62"/>
        <v>0.7</v>
      </c>
      <c r="AF170" s="177">
        <f t="shared" si="63"/>
        <v>0.72413342567430816</v>
      </c>
      <c r="AG170" s="176">
        <f t="shared" si="64"/>
        <v>-2</v>
      </c>
      <c r="AH170" s="176">
        <f t="shared" si="65"/>
        <v>4</v>
      </c>
      <c r="AI170" s="225">
        <f t="shared" si="66"/>
        <v>-1.2758665743256918</v>
      </c>
      <c r="AJ170" s="265" t="b">
        <f t="shared" si="67"/>
        <v>1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20">
        <v>53.098999999999997</v>
      </c>
      <c r="C171" s="390"/>
      <c r="D171" s="393">
        <f t="shared" si="48"/>
        <v>53.541618066064309</v>
      </c>
      <c r="E171" s="385">
        <f t="shared" si="73"/>
        <v>55.91322472195003</v>
      </c>
      <c r="F171" s="385">
        <f t="shared" si="49"/>
        <v>56.000265625104696</v>
      </c>
      <c r="G171" s="110">
        <f t="shared" si="74"/>
        <v>0.94215953162068111</v>
      </c>
      <c r="H171" s="414" t="b">
        <f>Wh_hp&gt;='2018'!Maxi_hp</f>
        <v>1</v>
      </c>
      <c r="I171" s="390">
        <f>IF(H171,Wh_hp,'2018'!Maxi_hp)</f>
        <v>56.000265625104696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8.2668040685317523E-3</v>
      </c>
      <c r="M171" s="959"/>
      <c r="N171" s="959"/>
      <c r="O171" s="48">
        <f>IF(t&lt;Tnet,'2018'!Resal+('2018'!Salim-'2018'!Resal)*(1-EXP(('2018'!Tnet-t)/('2018'!Tau_j))),Resal+(Salim-Resal)*(1-EXP((Tnet-t)/(Tau_j))))*Salcycl</f>
        <v>4.2415844689327853E-2</v>
      </c>
      <c r="P171" s="169">
        <f>(INDEX(Models!$BJ171:$BT171,,T171)*(1-R171)+INDEX(Models!$BJ171:$BT171,,T171+1)*R171-ERP_i)*Q171*Ramure*Pc/MaxiM</f>
        <v>1.6939449148232273E-3</v>
      </c>
      <c r="Q171" s="305">
        <f t="shared" si="51"/>
        <v>0.7</v>
      </c>
      <c r="R171" s="177">
        <f t="shared" si="52"/>
        <v>0.72923534422144809</v>
      </c>
      <c r="S171" s="921">
        <f t="shared" si="53"/>
        <v>-2</v>
      </c>
      <c r="T171" s="176">
        <f t="shared" si="54"/>
        <v>4</v>
      </c>
      <c r="U171" s="251">
        <f t="shared" si="55"/>
        <v>-1.2707646557785519</v>
      </c>
      <c r="V171" s="383">
        <f t="shared" si="56"/>
        <v>56.350937793071566</v>
      </c>
      <c r="W171" s="58"/>
      <c r="X171" s="157">
        <f t="shared" si="57"/>
        <v>43622</v>
      </c>
      <c r="Y171" s="385">
        <f t="shared" si="58"/>
        <v>53.098999999999997</v>
      </c>
      <c r="Z171" s="385">
        <f t="shared" si="59"/>
        <v>53.541618066064309</v>
      </c>
      <c r="AA171" s="386">
        <f t="shared" si="60"/>
        <v>55.91322472195003</v>
      </c>
      <c r="AB171" s="197">
        <f t="shared" si="61"/>
        <v>43622</v>
      </c>
      <c r="AC171" s="427">
        <f>IF(OR(t&lt;Tnet,NoTnet),'2018'!Resal_s+('2018'!Salim-'2018'!Resal_s)*(1-EXP(('2018'!Tnet_s-t)/'2018'!Tau_j)),Resal_s+(Salim-Resal_s)*(1-EXP((Tnet_s-t)/Tau_j)))*Salcycl</f>
        <v>4.2415844689327853E-2</v>
      </c>
      <c r="AD171" s="231">
        <f>(INDEX(Models!$BJ171:$BT171,,AH171)*(1-AF171)+INDEX(Models!$BJ171:$BT171,,AH171+1)*AF171-ERP_i)*AE171*Ramure*Pc/MaxiM</f>
        <v>1.6939449148232273E-3</v>
      </c>
      <c r="AE171" s="305">
        <f t="shared" si="62"/>
        <v>0.7</v>
      </c>
      <c r="AF171" s="177">
        <f t="shared" si="63"/>
        <v>0.72923534422144809</v>
      </c>
      <c r="AG171" s="176">
        <f t="shared" si="64"/>
        <v>-2</v>
      </c>
      <c r="AH171" s="176">
        <f t="shared" si="65"/>
        <v>4</v>
      </c>
      <c r="AI171" s="225">
        <f t="shared" si="66"/>
        <v>-1.2707646557785519</v>
      </c>
      <c r="AJ171" s="265" t="b">
        <f t="shared" si="67"/>
        <v>1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20">
        <v>17.350999999999999</v>
      </c>
      <c r="C172" s="390"/>
      <c r="D172" s="393">
        <f t="shared" si="48"/>
        <v>17.496016177473045</v>
      </c>
      <c r="E172" s="385">
        <f t="shared" si="73"/>
        <v>18.273289665861803</v>
      </c>
      <c r="F172" s="385">
        <f t="shared" si="49"/>
        <v>18.273662765374066</v>
      </c>
      <c r="G172" s="110">
        <f t="shared" si="74"/>
        <v>0.30765477798625418</v>
      </c>
      <c r="H172" s="414" t="b">
        <f>Wh_hp&gt;='2018'!Maxi_hp</f>
        <v>1</v>
      </c>
      <c r="I172" s="390">
        <f>IF(H172,Wh_hp,'2018'!Maxi_hp)</f>
        <v>18.273662765374066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8.2885255707387806E-3</v>
      </c>
      <c r="M172" s="959"/>
      <c r="N172" s="959"/>
      <c r="O172" s="48">
        <f>IF(t&lt;Tnet,'2018'!Resal+('2018'!Salim-'2018'!Resal)*(1-EXP(('2018'!Tnet-t)/('2018'!Tau_j))),Resal+(Salim-Resal)*(1-EXP((Tnet-t)/(Tau_j))))*Salcycl</f>
        <v>4.2536045922856487E-2</v>
      </c>
      <c r="P172" s="169">
        <f>(INDEX(Models!$BJ172:$BT172,,T172)*(1-R172)+INDEX(Models!$BJ172:$BT172,,T172+1)*R172-ERP_i)*Q172*Ramure*Pc/MaxiM</f>
        <v>1.7458107347670625E-3</v>
      </c>
      <c r="Q172" s="305">
        <f t="shared" si="51"/>
        <v>0.7</v>
      </c>
      <c r="R172" s="177">
        <f t="shared" si="52"/>
        <v>0.73435448363927414</v>
      </c>
      <c r="S172" s="921">
        <f t="shared" si="53"/>
        <v>-2</v>
      </c>
      <c r="T172" s="176">
        <f t="shared" si="54"/>
        <v>4</v>
      </c>
      <c r="U172" s="251">
        <f t="shared" si="55"/>
        <v>-1.2656455163607259</v>
      </c>
      <c r="V172" s="383">
        <f t="shared" si="56"/>
        <v>56.300318822479426</v>
      </c>
      <c r="W172" s="58"/>
      <c r="X172" s="157">
        <f t="shared" si="57"/>
        <v>43623</v>
      </c>
      <c r="Y172" s="385">
        <f t="shared" si="58"/>
        <v>17.350999999999999</v>
      </c>
      <c r="Z172" s="385">
        <f t="shared" si="59"/>
        <v>17.496016177473045</v>
      </c>
      <c r="AA172" s="386">
        <f t="shared" si="60"/>
        <v>18.273289665861803</v>
      </c>
      <c r="AB172" s="197">
        <f t="shared" si="61"/>
        <v>43623</v>
      </c>
      <c r="AC172" s="427">
        <f>IF(OR(t&lt;Tnet,NoTnet),'2018'!Resal_s+('2018'!Salim-'2018'!Resal_s)*(1-EXP(('2018'!Tnet_s-t)/'2018'!Tau_j)),Resal_s+(Salim-Resal_s)*(1-EXP((Tnet_s-t)/Tau_j)))*Salcycl</f>
        <v>4.2536045922856487E-2</v>
      </c>
      <c r="AD172" s="231">
        <f>(INDEX(Models!$BJ172:$BT172,,AH172)*(1-AF172)+INDEX(Models!$BJ172:$BT172,,AH172+1)*AF172-ERP_i)*AE172*Ramure*Pc/MaxiM</f>
        <v>1.7458107347670625E-3</v>
      </c>
      <c r="AE172" s="305">
        <f t="shared" si="62"/>
        <v>0.7</v>
      </c>
      <c r="AF172" s="177">
        <f t="shared" si="63"/>
        <v>0.73435448363927414</v>
      </c>
      <c r="AG172" s="176">
        <f t="shared" si="64"/>
        <v>-2</v>
      </c>
      <c r="AH172" s="176">
        <f t="shared" si="65"/>
        <v>4</v>
      </c>
      <c r="AI172" s="225">
        <f t="shared" si="66"/>
        <v>-1.2656455163607259</v>
      </c>
      <c r="AJ172" s="265" t="b">
        <f t="shared" si="67"/>
        <v>1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20">
        <v>58.271000000000001</v>
      </c>
      <c r="C173" s="390"/>
      <c r="D173" s="393">
        <f t="shared" si="48"/>
        <v>58.759304308684449</v>
      </c>
      <c r="E173" s="385">
        <f t="shared" si="73"/>
        <v>61.37740777956521</v>
      </c>
      <c r="F173" s="385">
        <f t="shared" si="49"/>
        <v>61.487890344452325</v>
      </c>
      <c r="G173" s="110">
        <f t="shared" si="74"/>
        <v>1.0359866313836752</v>
      </c>
      <c r="H173" s="414" t="b">
        <f>Wh_hp&gt;='2018'!Maxi_hp</f>
        <v>1</v>
      </c>
      <c r="I173" s="390">
        <f>IF(H173,Wh_hp,'2018'!Maxi_hp)</f>
        <v>61.487890344452325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8.3102465971891526E-3</v>
      </c>
      <c r="M173" s="959"/>
      <c r="N173" s="959"/>
      <c r="O173" s="48">
        <f>IF(t&lt;Tnet,'2018'!Resal+('2018'!Salim-'2018'!Resal)*(1-EXP(('2018'!Tnet-t)/('2018'!Tau_j))),Resal+(Salim-Resal)*(1-EXP((Tnet-t)/(Tau_j))))*Salcycl</f>
        <v>4.2655816946254692E-2</v>
      </c>
      <c r="P173" s="169">
        <f>(INDEX(Models!$BJ173:$BT173,,T173)*(1-R173)+INDEX(Models!$BJ173:$BT173,,T173+1)*R173-ERP_i)*Q173*Ramure*Pc/MaxiM</f>
        <v>1.7968182721540642E-3</v>
      </c>
      <c r="Q173" s="305">
        <f t="shared" si="51"/>
        <v>0.7</v>
      </c>
      <c r="R173" s="177">
        <f t="shared" si="52"/>
        <v>0.73948658959254066</v>
      </c>
      <c r="S173" s="921">
        <f t="shared" si="53"/>
        <v>-2</v>
      </c>
      <c r="T173" s="176">
        <f t="shared" si="54"/>
        <v>4</v>
      </c>
      <c r="U173" s="251">
        <f t="shared" si="55"/>
        <v>-1.2605134104074593</v>
      </c>
      <c r="V173" s="383">
        <f t="shared" si="56"/>
        <v>56.246864809609185</v>
      </c>
      <c r="W173" s="58"/>
      <c r="X173" s="157">
        <f t="shared" si="57"/>
        <v>43624</v>
      </c>
      <c r="Y173" s="385">
        <f t="shared" si="58"/>
        <v>58.271000000000001</v>
      </c>
      <c r="Z173" s="385">
        <f t="shared" si="59"/>
        <v>58.759304308684449</v>
      </c>
      <c r="AA173" s="386">
        <f t="shared" si="60"/>
        <v>61.37740777956521</v>
      </c>
      <c r="AB173" s="197">
        <f t="shared" si="61"/>
        <v>43624</v>
      </c>
      <c r="AC173" s="427">
        <f>IF(OR(t&lt;Tnet,NoTnet),'2018'!Resal_s+('2018'!Salim-'2018'!Resal_s)*(1-EXP(('2018'!Tnet_s-t)/'2018'!Tau_j)),Resal_s+(Salim-Resal_s)*(1-EXP((Tnet_s-t)/Tau_j)))*Salcycl</f>
        <v>4.2655816946254692E-2</v>
      </c>
      <c r="AD173" s="231">
        <f>(INDEX(Models!$BJ173:$BT173,,AH173)*(1-AF173)+INDEX(Models!$BJ173:$BT173,,AH173+1)*AF173-ERP_i)*AE173*Ramure*Pc/MaxiM</f>
        <v>1.7968182721540642E-3</v>
      </c>
      <c r="AE173" s="305">
        <f t="shared" si="62"/>
        <v>0.7</v>
      </c>
      <c r="AF173" s="177">
        <f t="shared" si="63"/>
        <v>0.73948658959254066</v>
      </c>
      <c r="AG173" s="176">
        <f t="shared" si="64"/>
        <v>-2</v>
      </c>
      <c r="AH173" s="176">
        <f t="shared" si="65"/>
        <v>4</v>
      </c>
      <c r="AI173" s="225">
        <f t="shared" si="66"/>
        <v>-1.2605134104074593</v>
      </c>
      <c r="AJ173" s="265" t="b">
        <f t="shared" si="67"/>
        <v>1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20">
        <v>43.997999999999998</v>
      </c>
      <c r="C174" s="390"/>
      <c r="D174" s="393">
        <f t="shared" si="48"/>
        <v>44.367669968607011</v>
      </c>
      <c r="E174" s="385">
        <f t="shared" si="73"/>
        <v>46.350310295214534</v>
      </c>
      <c r="F174" s="385">
        <f t="shared" si="49"/>
        <v>46.409454246232372</v>
      </c>
      <c r="G174" s="110">
        <f t="shared" si="74"/>
        <v>0.7825663350140919</v>
      </c>
      <c r="H174" s="414" t="b">
        <f>Wh_hp&gt;='2018'!Maxi_hp</f>
        <v>1</v>
      </c>
      <c r="I174" s="390">
        <f>IF(H174,Wh_hp,'2018'!Maxi_hp)</f>
        <v>46.409454246232372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8.3319671478934154E-3</v>
      </c>
      <c r="M174" s="959"/>
      <c r="N174" s="959"/>
      <c r="O174" s="48">
        <f>IF(t&lt;Tnet,'2018'!Resal+('2018'!Salim-'2018'!Resal)*(1-EXP(('2018'!Tnet-t)/('2018'!Tau_j))),Resal+(Salim-Resal)*(1-EXP((Tnet-t)/(Tau_j))))*Salcycl</f>
        <v>4.2775125214473977E-2</v>
      </c>
      <c r="P174" s="169">
        <f>(INDEX(Models!$BJ174:$BT174,,T174)*(1-R174)+INDEX(Models!$BJ174:$BT174,,T174+1)*R174-ERP_i)*Q174*Ramure*Pc/MaxiM</f>
        <v>1.8468904359706126E-3</v>
      </c>
      <c r="Q174" s="305">
        <f t="shared" si="51"/>
        <v>0.7</v>
      </c>
      <c r="R174" s="177">
        <f t="shared" si="52"/>
        <v>0.74462736423684639</v>
      </c>
      <c r="S174" s="921">
        <f t="shared" si="53"/>
        <v>-2</v>
      </c>
      <c r="T174" s="176">
        <f t="shared" si="54"/>
        <v>4</v>
      </c>
      <c r="U174" s="251">
        <f t="shared" si="55"/>
        <v>-1.2553726357631536</v>
      </c>
      <c r="V174" s="383">
        <f t="shared" si="56"/>
        <v>56.190481513159725</v>
      </c>
      <c r="W174" s="58"/>
      <c r="X174" s="157">
        <f t="shared" si="57"/>
        <v>43625</v>
      </c>
      <c r="Y174" s="385">
        <f t="shared" si="58"/>
        <v>43.997999999999998</v>
      </c>
      <c r="Z174" s="385">
        <f t="shared" si="59"/>
        <v>44.367669968607011</v>
      </c>
      <c r="AA174" s="386">
        <f t="shared" si="60"/>
        <v>46.350310295214534</v>
      </c>
      <c r="AB174" s="197">
        <f t="shared" si="61"/>
        <v>43625</v>
      </c>
      <c r="AC174" s="427">
        <f>IF(OR(t&lt;Tnet,NoTnet),'2018'!Resal_s+('2018'!Salim-'2018'!Resal_s)*(1-EXP(('2018'!Tnet_s-t)/'2018'!Tau_j)),Resal_s+(Salim-Resal_s)*(1-EXP((Tnet_s-t)/Tau_j)))*Salcycl</f>
        <v>4.2775125214473977E-2</v>
      </c>
      <c r="AD174" s="231">
        <f>(INDEX(Models!$BJ174:$BT174,,AH174)*(1-AF174)+INDEX(Models!$BJ174:$BT174,,AH174+1)*AF174-ERP_i)*AE174*Ramure*Pc/MaxiM</f>
        <v>1.8468904359706126E-3</v>
      </c>
      <c r="AE174" s="305">
        <f t="shared" si="62"/>
        <v>0.7</v>
      </c>
      <c r="AF174" s="177">
        <f t="shared" si="63"/>
        <v>0.74462736423684639</v>
      </c>
      <c r="AG174" s="176">
        <f t="shared" si="64"/>
        <v>-2</v>
      </c>
      <c r="AH174" s="176">
        <f t="shared" si="65"/>
        <v>4</v>
      </c>
      <c r="AI174" s="225">
        <f t="shared" si="66"/>
        <v>-1.2553726357631536</v>
      </c>
      <c r="AJ174" s="265" t="b">
        <f t="shared" si="67"/>
        <v>1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20">
        <v>21.4</v>
      </c>
      <c r="C175" s="390"/>
      <c r="D175" s="393">
        <f t="shared" si="48"/>
        <v>21.580274866417437</v>
      </c>
      <c r="E175" s="385">
        <f t="shared" si="73"/>
        <v>22.547422645334716</v>
      </c>
      <c r="F175" s="385">
        <f t="shared" si="49"/>
        <v>22.552385677737956</v>
      </c>
      <c r="G175" s="110">
        <f t="shared" si="74"/>
        <v>0.38061142307631779</v>
      </c>
      <c r="H175" s="414" t="b">
        <f>Wh_hp&gt;='2018'!Maxi_hp</f>
        <v>1</v>
      </c>
      <c r="I175" s="390">
        <f>IF(H175,Wh_hp,'2018'!Maxi_hp)</f>
        <v>22.552385677737956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8.3536872228617831E-3</v>
      </c>
      <c r="M175" s="959"/>
      <c r="N175" s="959"/>
      <c r="O175" s="48">
        <f>IF(t&lt;Tnet,'2018'!Resal+('2018'!Salim-'2018'!Resal)*(1-EXP(('2018'!Tnet-t)/('2018'!Tau_j))),Resal+(Salim-Resal)*(1-EXP((Tnet-t)/(Tau_j))))*Salcycl</f>
        <v>4.2893939326470676E-2</v>
      </c>
      <c r="P175" s="169">
        <f>(INDEX(Models!$BJ175:$BT175,,T175)*(1-R175)+INDEX(Models!$BJ175:$BT175,,T175+1)*R175-ERP_i)*Q175*Ramure*Pc/MaxiM</f>
        <v>1.8959489844457605E-3</v>
      </c>
      <c r="Q175" s="305">
        <f t="shared" si="51"/>
        <v>0.7</v>
      </c>
      <c r="R175" s="177">
        <f t="shared" si="52"/>
        <v>0.74977248054785806</v>
      </c>
      <c r="S175" s="921">
        <f t="shared" si="53"/>
        <v>-2</v>
      </c>
      <c r="T175" s="176">
        <f t="shared" si="54"/>
        <v>4</v>
      </c>
      <c r="U175" s="251">
        <f t="shared" si="55"/>
        <v>-1.2502275194521419</v>
      </c>
      <c r="V175" s="383">
        <f t="shared" si="56"/>
        <v>56.131074720219843</v>
      </c>
      <c r="W175" s="58"/>
      <c r="X175" s="157">
        <f t="shared" si="57"/>
        <v>43626</v>
      </c>
      <c r="Y175" s="385">
        <f t="shared" si="58"/>
        <v>21.4</v>
      </c>
      <c r="Z175" s="385">
        <f t="shared" si="59"/>
        <v>21.580274866417437</v>
      </c>
      <c r="AA175" s="386">
        <f t="shared" si="60"/>
        <v>22.547422645334716</v>
      </c>
      <c r="AB175" s="197">
        <f t="shared" si="61"/>
        <v>43626</v>
      </c>
      <c r="AC175" s="427">
        <f>IF(OR(t&lt;Tnet,NoTnet),'2018'!Resal_s+('2018'!Salim-'2018'!Resal_s)*(1-EXP(('2018'!Tnet_s-t)/'2018'!Tau_j)),Resal_s+(Salim-Resal_s)*(1-EXP((Tnet_s-t)/Tau_j)))*Salcycl</f>
        <v>4.2893939326470676E-2</v>
      </c>
      <c r="AD175" s="231">
        <f>(INDEX(Models!$BJ175:$BT175,,AH175)*(1-AF175)+INDEX(Models!$BJ175:$BT175,,AH175+1)*AF175-ERP_i)*AE175*Ramure*Pc/MaxiM</f>
        <v>1.8959489844457605E-3</v>
      </c>
      <c r="AE175" s="305">
        <f t="shared" si="62"/>
        <v>0.7</v>
      </c>
      <c r="AF175" s="177">
        <f t="shared" si="63"/>
        <v>0.74977248054785806</v>
      </c>
      <c r="AG175" s="176">
        <f t="shared" si="64"/>
        <v>-2</v>
      </c>
      <c r="AH175" s="176">
        <f t="shared" si="65"/>
        <v>4</v>
      </c>
      <c r="AI175" s="225">
        <f t="shared" si="66"/>
        <v>-1.2502275194521419</v>
      </c>
      <c r="AJ175" s="265" t="b">
        <f t="shared" si="67"/>
        <v>1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20">
        <v>31.946000000000002</v>
      </c>
      <c r="C176" s="390"/>
      <c r="D176" s="393">
        <f t="shared" si="48"/>
        <v>32.21582060366363</v>
      </c>
      <c r="E176" s="385">
        <f t="shared" si="73"/>
        <v>33.663774590438948</v>
      </c>
      <c r="F176" s="385">
        <f t="shared" si="49"/>
        <v>33.689012653046831</v>
      </c>
      <c r="G176" s="110">
        <f t="shared" si="74"/>
        <v>0.56908557907137425</v>
      </c>
      <c r="H176" s="414" t="b">
        <f>Wh_hp&gt;='2018'!Maxi_hp</f>
        <v>1</v>
      </c>
      <c r="I176" s="390">
        <f>IF(H176,Wh_hp,'2018'!Maxi_hp)</f>
        <v>33.689012653046831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8.3754068221046918E-3</v>
      </c>
      <c r="M176" s="959"/>
      <c r="N176" s="959"/>
      <c r="O176" s="48">
        <f>IF(t&lt;Tnet,'2018'!Resal+('2018'!Salim-'2018'!Resal)*(1-EXP(('2018'!Tnet-t)/('2018'!Tau_j))),Resal+(Salim-Resal)*(1-EXP((Tnet-t)/(Tau_j))))*Salcycl</f>
        <v>4.3012229151111303E-2</v>
      </c>
      <c r="P176" s="169">
        <f>(INDEX(Models!$BJ176:$BT176,,T176)*(1-R176)+INDEX(Models!$BJ176:$BT176,,T176+1)*R176-ERP_i)*Q176*Ramure*Pc/MaxiM</f>
        <v>1.9439147955494494E-3</v>
      </c>
      <c r="Q176" s="305">
        <f t="shared" si="51"/>
        <v>0.7</v>
      </c>
      <c r="R176" s="177">
        <f t="shared" si="52"/>
        <v>0.7549175968588695</v>
      </c>
      <c r="S176" s="921">
        <f t="shared" si="53"/>
        <v>-2</v>
      </c>
      <c r="T176" s="176">
        <f t="shared" si="54"/>
        <v>4</v>
      </c>
      <c r="U176" s="251">
        <f t="shared" si="55"/>
        <v>-1.2450824031411305</v>
      </c>
      <c r="V176" s="383">
        <f t="shared" si="56"/>
        <v>56.068550222128458</v>
      </c>
      <c r="W176" s="58"/>
      <c r="X176" s="157">
        <f t="shared" si="57"/>
        <v>43627</v>
      </c>
      <c r="Y176" s="385">
        <f t="shared" si="58"/>
        <v>31.946000000000005</v>
      </c>
      <c r="Z176" s="385">
        <f t="shared" si="59"/>
        <v>32.21582060366363</v>
      </c>
      <c r="AA176" s="386">
        <f t="shared" si="60"/>
        <v>33.663774590438948</v>
      </c>
      <c r="AB176" s="197">
        <f t="shared" si="61"/>
        <v>43627</v>
      </c>
      <c r="AC176" s="427">
        <f>IF(OR(t&lt;Tnet,NoTnet),'2018'!Resal_s+('2018'!Salim-'2018'!Resal_s)*(1-EXP(('2018'!Tnet_s-t)/'2018'!Tau_j)),Resal_s+(Salim-Resal_s)*(1-EXP((Tnet_s-t)/Tau_j)))*Salcycl</f>
        <v>4.3012229151111303E-2</v>
      </c>
      <c r="AD176" s="231">
        <f>(INDEX(Models!$BJ176:$BT176,,AH176)*(1-AF176)+INDEX(Models!$BJ176:$BT176,,AH176+1)*AF176-ERP_i)*AE176*Ramure*Pc/MaxiM</f>
        <v>1.9439147955494494E-3</v>
      </c>
      <c r="AE176" s="305">
        <f t="shared" si="62"/>
        <v>0.7</v>
      </c>
      <c r="AF176" s="177">
        <f t="shared" si="63"/>
        <v>0.7549175968588695</v>
      </c>
      <c r="AG176" s="176">
        <f t="shared" si="64"/>
        <v>-2</v>
      </c>
      <c r="AH176" s="176">
        <f t="shared" si="65"/>
        <v>4</v>
      </c>
      <c r="AI176" s="225">
        <f t="shared" si="66"/>
        <v>-1.2450824031411305</v>
      </c>
      <c r="AJ176" s="265" t="b">
        <f t="shared" si="67"/>
        <v>1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20">
        <v>50.261000000000003</v>
      </c>
      <c r="C177" s="390"/>
      <c r="D177" s="393">
        <f t="shared" si="48"/>
        <v>50.6866219482582</v>
      </c>
      <c r="E177" s="385">
        <f t="shared" si="73"/>
        <v>52.97127106550451</v>
      </c>
      <c r="F177" s="385">
        <f t="shared" si="49"/>
        <v>53.061432092137871</v>
      </c>
      <c r="G177" s="110">
        <f t="shared" si="74"/>
        <v>0.89722075533626278</v>
      </c>
      <c r="H177" s="414" t="b">
        <f>Wh_hp&gt;='2018'!Maxi_hp</f>
        <v>1</v>
      </c>
      <c r="I177" s="390">
        <f>IF(H177,Wh_hp,'2018'!Maxi_hp)</f>
        <v>53.061432092137871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8.3971259456327996E-3</v>
      </c>
      <c r="M177" s="959"/>
      <c r="N177" s="959"/>
      <c r="O177" s="48">
        <f>IF(t&lt;Tnet,'2018'!Resal+('2018'!Salim-'2018'!Resal)*(1-EXP(('2018'!Tnet-t)/('2018'!Tau_j))),Resal+(Salim-Resal)*(1-EXP((Tnet-t)/(Tau_j))))*Salcycl</f>
        <v>4.3129965947411433E-2</v>
      </c>
      <c r="P177" s="169">
        <f>(INDEX(Models!$BJ177:$BT177,,T177)*(1-R177)+INDEX(Models!$BJ177:$BT177,,T177+1)*R177-ERP_i)*Q177*Ramure*Pc/MaxiM</f>
        <v>1.9907304964073883E-3</v>
      </c>
      <c r="Q177" s="305">
        <f t="shared" si="51"/>
        <v>0.7</v>
      </c>
      <c r="R177" s="177">
        <f t="shared" si="52"/>
        <v>0.76005837150317546</v>
      </c>
      <c r="S177" s="921">
        <f t="shared" si="53"/>
        <v>-2</v>
      </c>
      <c r="T177" s="176">
        <f t="shared" si="54"/>
        <v>4</v>
      </c>
      <c r="U177" s="251">
        <f t="shared" si="55"/>
        <v>-1.2399416284968245</v>
      </c>
      <c r="V177" s="383">
        <f t="shared" si="56"/>
        <v>56.002183673662401</v>
      </c>
      <c r="W177" s="58"/>
      <c r="X177" s="157">
        <f t="shared" si="57"/>
        <v>43628</v>
      </c>
      <c r="Y177" s="385">
        <f t="shared" si="58"/>
        <v>50.261000000000003</v>
      </c>
      <c r="Z177" s="385">
        <f t="shared" si="59"/>
        <v>50.6866219482582</v>
      </c>
      <c r="AA177" s="386">
        <f t="shared" si="60"/>
        <v>52.97127106550451</v>
      </c>
      <c r="AB177" s="197">
        <f t="shared" si="61"/>
        <v>43628</v>
      </c>
      <c r="AC177" s="427">
        <f>IF(OR(t&lt;Tnet,NoTnet),'2018'!Resal_s+('2018'!Salim-'2018'!Resal_s)*(1-EXP(('2018'!Tnet_s-t)/'2018'!Tau_j)),Resal_s+(Salim-Resal_s)*(1-EXP((Tnet_s-t)/Tau_j)))*Salcycl</f>
        <v>4.3129965947411433E-2</v>
      </c>
      <c r="AD177" s="231">
        <f>(INDEX(Models!$BJ177:$BT177,,AH177)*(1-AF177)+INDEX(Models!$BJ177:$BT177,,AH177+1)*AF177-ERP_i)*AE177*Ramure*Pc/MaxiM</f>
        <v>1.9907304964073883E-3</v>
      </c>
      <c r="AE177" s="305">
        <f t="shared" si="62"/>
        <v>0.7</v>
      </c>
      <c r="AF177" s="177">
        <f t="shared" si="63"/>
        <v>0.76005837150317546</v>
      </c>
      <c r="AG177" s="176">
        <f t="shared" si="64"/>
        <v>-2</v>
      </c>
      <c r="AH177" s="176">
        <f t="shared" si="65"/>
        <v>4</v>
      </c>
      <c r="AI177" s="225">
        <f t="shared" si="66"/>
        <v>-1.2399416284968245</v>
      </c>
      <c r="AJ177" s="265" t="b">
        <f t="shared" si="67"/>
        <v>1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20">
        <v>58.628</v>
      </c>
      <c r="C178" s="390"/>
      <c r="D178" s="393">
        <f t="shared" si="48"/>
        <v>59.125770674779297</v>
      </c>
      <c r="E178" s="385">
        <f t="shared" si="73"/>
        <v>61.798372457400028</v>
      </c>
      <c r="F178" s="385">
        <f t="shared" si="49"/>
        <v>61.924411785677407</v>
      </c>
      <c r="G178" s="110">
        <f t="shared" si="74"/>
        <v>1.0482080388886308</v>
      </c>
      <c r="H178" s="414" t="b">
        <f>Wh_hp&gt;='2018'!Maxi_hp</f>
        <v>1</v>
      </c>
      <c r="I178" s="390">
        <f>IF(H178,Wh_hp,'2018'!Maxi_hp)</f>
        <v>61.924411785677407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8.4188445934562095E-3</v>
      </c>
      <c r="M178" s="959"/>
      <c r="N178" s="959"/>
      <c r="O178" s="48">
        <f>IF(t&lt;Tnet,'2018'!Resal+('2018'!Salim-'2018'!Resal)*(1-EXP(('2018'!Tnet-t)/('2018'!Tau_j))),Resal+(Salim-Resal)*(1-EXP((Tnet-t)/(Tau_j))))*Salcycl</f>
        <v>4.3247122478234472E-2</v>
      </c>
      <c r="P178" s="169">
        <f>(INDEX(Models!$BJ178:$BT178,,T178)*(1-R178)+INDEX(Models!$BJ178:$BT178,,T178+1)*R178-ERP_i)*Q178*Ramure*Pc/MaxiM</f>
        <v>2.0353738476128346E-3</v>
      </c>
      <c r="Q178" s="305">
        <f t="shared" si="51"/>
        <v>0.7</v>
      </c>
      <c r="R178" s="177">
        <f t="shared" si="52"/>
        <v>0.76519047745644198</v>
      </c>
      <c r="S178" s="921">
        <f t="shared" si="53"/>
        <v>-2</v>
      </c>
      <c r="T178" s="176">
        <f t="shared" si="54"/>
        <v>4</v>
      </c>
      <c r="U178" s="251">
        <f t="shared" si="55"/>
        <v>-1.234809522543558</v>
      </c>
      <c r="V178" s="383">
        <f t="shared" si="56"/>
        <v>55.931645078929854</v>
      </c>
      <c r="W178" s="58"/>
      <c r="X178" s="157">
        <f t="shared" si="57"/>
        <v>43629</v>
      </c>
      <c r="Y178" s="385">
        <f t="shared" si="58"/>
        <v>58.628</v>
      </c>
      <c r="Z178" s="385">
        <f t="shared" si="59"/>
        <v>59.125770674779297</v>
      </c>
      <c r="AA178" s="386">
        <f t="shared" si="60"/>
        <v>61.798372457400028</v>
      </c>
      <c r="AB178" s="197">
        <f t="shared" si="61"/>
        <v>43629</v>
      </c>
      <c r="AC178" s="427">
        <f>IF(OR(t&lt;Tnet,NoTnet),'2018'!Resal_s+('2018'!Salim-'2018'!Resal_s)*(1-EXP(('2018'!Tnet_s-t)/'2018'!Tau_j)),Resal_s+(Salim-Resal_s)*(1-EXP((Tnet_s-t)/Tau_j)))*Salcycl</f>
        <v>4.3247122478234472E-2</v>
      </c>
      <c r="AD178" s="231">
        <f>(INDEX(Models!$BJ178:$BT178,,AH178)*(1-AF178)+INDEX(Models!$BJ178:$BT178,,AH178+1)*AF178-ERP_i)*AE178*Ramure*Pc/MaxiM</f>
        <v>2.0353738476128346E-3</v>
      </c>
      <c r="AE178" s="305">
        <f t="shared" si="62"/>
        <v>0.7</v>
      </c>
      <c r="AF178" s="177">
        <f t="shared" si="63"/>
        <v>0.76519047745644198</v>
      </c>
      <c r="AG178" s="176">
        <f t="shared" si="64"/>
        <v>-2</v>
      </c>
      <c r="AH178" s="176">
        <f t="shared" si="65"/>
        <v>4</v>
      </c>
      <c r="AI178" s="225">
        <f t="shared" si="66"/>
        <v>-1.234809522543558</v>
      </c>
      <c r="AJ178" s="265" t="b">
        <f t="shared" si="67"/>
        <v>1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20">
        <v>22.181000000000001</v>
      </c>
      <c r="C179" s="390"/>
      <c r="D179" s="393">
        <f t="shared" si="48"/>
        <v>22.369813817581765</v>
      </c>
      <c r="E179" s="385">
        <f t="shared" si="73"/>
        <v>23.38382224147826</v>
      </c>
      <c r="F179" s="385">
        <f t="shared" si="49"/>
        <v>23.390565870608395</v>
      </c>
      <c r="G179" s="110">
        <f t="shared" si="74"/>
        <v>0.39639002797360051</v>
      </c>
      <c r="H179" s="414" t="b">
        <f>Wh_hp&gt;='2018'!Maxi_hp</f>
        <v>1</v>
      </c>
      <c r="I179" s="390">
        <f>IF(H179,Wh_hp,'2018'!Maxi_hp)</f>
        <v>23.390565870608395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8.4405627655855797E-3</v>
      </c>
      <c r="M179" s="959"/>
      <c r="N179" s="959"/>
      <c r="O179" s="48">
        <f>IF(t&lt;Tnet,'2018'!Resal+('2018'!Salim-'2018'!Resal)*(1-EXP(('2018'!Tnet-t)/('2018'!Tau_j))),Resal+(Salim-Resal)*(1-EXP((Tnet-t)/(Tau_j))))*Salcycl</f>
        <v>4.3363673116615084E-2</v>
      </c>
      <c r="P179" s="169">
        <f>(INDEX(Models!$BJ179:$BT179,,T179)*(1-R179)+INDEX(Models!$BJ179:$BT179,,T179+1)*R179-ERP_i)*Q179*Ramure*Pc/MaxiM</f>
        <v>2.0783895083882676E-3</v>
      </c>
      <c r="Q179" s="305">
        <f t="shared" si="51"/>
        <v>0.7</v>
      </c>
      <c r="R179" s="177">
        <f t="shared" si="52"/>
        <v>0.7703096168742678</v>
      </c>
      <c r="S179" s="921">
        <f t="shared" si="53"/>
        <v>-2</v>
      </c>
      <c r="T179" s="176">
        <f t="shared" si="54"/>
        <v>4</v>
      </c>
      <c r="U179" s="251">
        <f t="shared" si="55"/>
        <v>-1.2296903831257322</v>
      </c>
      <c r="V179" s="383">
        <f t="shared" si="56"/>
        <v>55.857315103019459</v>
      </c>
      <c r="W179" s="58"/>
      <c r="X179" s="157">
        <f t="shared" si="57"/>
        <v>43630</v>
      </c>
      <c r="Y179" s="385">
        <f t="shared" si="58"/>
        <v>22.181000000000001</v>
      </c>
      <c r="Z179" s="385">
        <f t="shared" si="59"/>
        <v>22.369813817581765</v>
      </c>
      <c r="AA179" s="386">
        <f t="shared" si="60"/>
        <v>23.38382224147826</v>
      </c>
      <c r="AB179" s="197">
        <f t="shared" si="61"/>
        <v>43630</v>
      </c>
      <c r="AC179" s="427">
        <f>IF(OR(t&lt;Tnet,NoTnet),'2018'!Resal_s+('2018'!Salim-'2018'!Resal_s)*(1-EXP(('2018'!Tnet_s-t)/'2018'!Tau_j)),Resal_s+(Salim-Resal_s)*(1-EXP((Tnet_s-t)/Tau_j)))*Salcycl</f>
        <v>4.3363673116615084E-2</v>
      </c>
      <c r="AD179" s="231">
        <f>(INDEX(Models!$BJ179:$BT179,,AH179)*(1-AF179)+INDEX(Models!$BJ179:$BT179,,AH179+1)*AF179-ERP_i)*AE179*Ramure*Pc/MaxiM</f>
        <v>2.0783895083882676E-3</v>
      </c>
      <c r="AE179" s="305">
        <f t="shared" si="62"/>
        <v>0.7</v>
      </c>
      <c r="AF179" s="177">
        <f t="shared" si="63"/>
        <v>0.7703096168742678</v>
      </c>
      <c r="AG179" s="176">
        <f t="shared" si="64"/>
        <v>-2</v>
      </c>
      <c r="AH179" s="176">
        <f t="shared" si="65"/>
        <v>4</v>
      </c>
      <c r="AI179" s="225">
        <f t="shared" si="66"/>
        <v>-1.2296903831257322</v>
      </c>
      <c r="AJ179" s="265" t="b">
        <f t="shared" si="67"/>
        <v>1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20">
        <v>22.878</v>
      </c>
      <c r="C180" s="390"/>
      <c r="D180" s="393">
        <f t="shared" si="48"/>
        <v>23.073252332408053</v>
      </c>
      <c r="E180" s="385">
        <f t="shared" si="73"/>
        <v>24.122070147508435</v>
      </c>
      <c r="F180" s="385">
        <f t="shared" si="49"/>
        <v>24.130118618752434</v>
      </c>
      <c r="G180" s="110">
        <f t="shared" si="74"/>
        <v>0.40941704618429958</v>
      </c>
      <c r="H180" s="414" t="b">
        <f>Wh_hp&gt;='2018'!Maxi_hp</f>
        <v>1</v>
      </c>
      <c r="I180" s="390">
        <f>IF(H180,Wh_hp,'2018'!Maxi_hp)</f>
        <v>24.130118618752434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8.4622804620312353E-3</v>
      </c>
      <c r="M180" s="959"/>
      <c r="N180" s="959"/>
      <c r="O180" s="48">
        <f>IF(t&lt;Tnet,'2018'!Resal+('2018'!Salim-'2018'!Resal)*(1-EXP(('2018'!Tnet-t)/('2018'!Tau_j))),Resal+(Salim-Resal)*(1-EXP((Tnet-t)/(Tau_j))))*Salcycl</f>
        <v>4.3479593943918468E-2</v>
      </c>
      <c r="P180" s="169">
        <f>(INDEX(Models!$BJ180:$BT180,,T180)*(1-R180)+INDEX(Models!$BJ180:$BT180,,T180+1)*R180-ERP_i)*Q180*Ramure*Pc/MaxiM</f>
        <v>2.119668735781146E-3</v>
      </c>
      <c r="Q180" s="305">
        <f t="shared" si="51"/>
        <v>0.7</v>
      </c>
      <c r="R180" s="177">
        <f t="shared" si="52"/>
        <v>0.77541153542140795</v>
      </c>
      <c r="S180" s="921">
        <f t="shared" si="53"/>
        <v>-2</v>
      </c>
      <c r="T180" s="176">
        <f t="shared" si="54"/>
        <v>4</v>
      </c>
      <c r="U180" s="251">
        <f t="shared" si="55"/>
        <v>-1.2245884645785921</v>
      </c>
      <c r="V180" s="383">
        <f t="shared" si="56"/>
        <v>55.77961062235282</v>
      </c>
      <c r="W180" s="58"/>
      <c r="X180" s="157">
        <f t="shared" si="57"/>
        <v>43631</v>
      </c>
      <c r="Y180" s="385">
        <f t="shared" si="58"/>
        <v>22.878</v>
      </c>
      <c r="Z180" s="385">
        <f t="shared" si="59"/>
        <v>23.073252332408053</v>
      </c>
      <c r="AA180" s="386">
        <f t="shared" si="60"/>
        <v>24.122070147508435</v>
      </c>
      <c r="AB180" s="197">
        <f t="shared" si="61"/>
        <v>43631</v>
      </c>
      <c r="AC180" s="427">
        <f>IF(OR(t&lt;Tnet,NoTnet),'2018'!Resal_s+('2018'!Salim-'2018'!Resal_s)*(1-EXP(('2018'!Tnet_s-t)/'2018'!Tau_j)),Resal_s+(Salim-Resal_s)*(1-EXP((Tnet_s-t)/Tau_j)))*Salcycl</f>
        <v>4.3479593943918468E-2</v>
      </c>
      <c r="AD180" s="231">
        <f>(INDEX(Models!$BJ180:$BT180,,AH180)*(1-AF180)+INDEX(Models!$BJ180:$BT180,,AH180+1)*AF180-ERP_i)*AE180*Ramure*Pc/MaxiM</f>
        <v>2.119668735781146E-3</v>
      </c>
      <c r="AE180" s="305">
        <f t="shared" si="62"/>
        <v>0.7</v>
      </c>
      <c r="AF180" s="177">
        <f t="shared" si="63"/>
        <v>0.77541153542140795</v>
      </c>
      <c r="AG180" s="176">
        <f t="shared" si="64"/>
        <v>-2</v>
      </c>
      <c r="AH180" s="176">
        <f t="shared" si="65"/>
        <v>4</v>
      </c>
      <c r="AI180" s="225">
        <f t="shared" si="66"/>
        <v>-1.2245884645785921</v>
      </c>
      <c r="AJ180" s="265" t="b">
        <f t="shared" si="67"/>
        <v>1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20">
        <v>56.430999999999997</v>
      </c>
      <c r="C181" s="390"/>
      <c r="D181" s="393">
        <f t="shared" si="48"/>
        <v>56.913857031171872</v>
      </c>
      <c r="E181" s="385">
        <f t="shared" si="73"/>
        <v>59.508104693081535</v>
      </c>
      <c r="F181" s="385">
        <f t="shared" si="49"/>
        <v>59.636866753529013</v>
      </c>
      <c r="G181" s="110">
        <f t="shared" si="74"/>
        <v>1.0131430117042237</v>
      </c>
      <c r="H181" s="414" t="b">
        <f>Wh_hp&gt;='2018'!Maxi_hp</f>
        <v>1</v>
      </c>
      <c r="I181" s="390">
        <f>IF(H181,Wh_hp,'2018'!Maxi_hp)</f>
        <v>59.636866753529013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8.4839976828036123E-3</v>
      </c>
      <c r="M181" s="959"/>
      <c r="N181" s="959"/>
      <c r="O181" s="48">
        <f>IF(t&lt;Tnet,'2018'!Resal+('2018'!Salim-'2018'!Resal)*(1-EXP(('2018'!Tnet-t)/('2018'!Tau_j))),Resal+(Salim-Resal)*(1-EXP((Tnet-t)/(Tau_j))))*Salcycl</f>
        <v>4.3594862839099503E-2</v>
      </c>
      <c r="P181" s="169">
        <f>(INDEX(Models!$BJ181:$BT181,,T181)*(1-R181)+INDEX(Models!$BJ181:$BT181,,T181+1)*R181-ERP_i)*Q181*Ramure*Pc/MaxiM</f>
        <v>2.1591017009601034E-3</v>
      </c>
      <c r="Q181" s="305">
        <f t="shared" si="51"/>
        <v>0.7</v>
      </c>
      <c r="R181" s="177">
        <f t="shared" si="52"/>
        <v>0.78049203629167985</v>
      </c>
      <c r="S181" s="921">
        <f t="shared" si="53"/>
        <v>-2</v>
      </c>
      <c r="T181" s="176">
        <f t="shared" si="54"/>
        <v>4</v>
      </c>
      <c r="U181" s="251">
        <f t="shared" si="55"/>
        <v>-1.2195079637083202</v>
      </c>
      <c r="V181" s="383">
        <f t="shared" si="56"/>
        <v>55.698948073556302</v>
      </c>
      <c r="W181" s="58"/>
      <c r="X181" s="157">
        <f t="shared" si="57"/>
        <v>43632</v>
      </c>
      <c r="Y181" s="385">
        <f t="shared" si="58"/>
        <v>56.430999999999997</v>
      </c>
      <c r="Z181" s="385">
        <f t="shared" si="59"/>
        <v>56.913857031171872</v>
      </c>
      <c r="AA181" s="386">
        <f t="shared" si="60"/>
        <v>59.508104693081535</v>
      </c>
      <c r="AB181" s="197">
        <f t="shared" si="61"/>
        <v>43632</v>
      </c>
      <c r="AC181" s="427">
        <f>IF(OR(t&lt;Tnet,NoTnet),'2018'!Resal_s+('2018'!Salim-'2018'!Resal_s)*(1-EXP(('2018'!Tnet_s-t)/'2018'!Tau_j)),Resal_s+(Salim-Resal_s)*(1-EXP((Tnet_s-t)/Tau_j)))*Salcycl</f>
        <v>4.3594862839099503E-2</v>
      </c>
      <c r="AD181" s="231">
        <f>(INDEX(Models!$BJ181:$BT181,,AH181)*(1-AF181)+INDEX(Models!$BJ181:$BT181,,AH181+1)*AF181-ERP_i)*AE181*Ramure*Pc/MaxiM</f>
        <v>2.1591017009601034E-3</v>
      </c>
      <c r="AE181" s="305">
        <f t="shared" si="62"/>
        <v>0.7</v>
      </c>
      <c r="AF181" s="177">
        <f t="shared" si="63"/>
        <v>0.78049203629167985</v>
      </c>
      <c r="AG181" s="176">
        <f t="shared" si="64"/>
        <v>-2</v>
      </c>
      <c r="AH181" s="176">
        <f t="shared" si="65"/>
        <v>4</v>
      </c>
      <c r="AI181" s="225">
        <f t="shared" si="66"/>
        <v>-1.2195079637083202</v>
      </c>
      <c r="AJ181" s="265" t="b">
        <f t="shared" si="67"/>
        <v>1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20">
        <v>55.484999999999999</v>
      </c>
      <c r="C182" s="390"/>
      <c r="D182" s="393">
        <f t="shared" si="48"/>
        <v>55.960988184602037</v>
      </c>
      <c r="E182" s="385">
        <f t="shared" si="73"/>
        <v>58.518813914816533</v>
      </c>
      <c r="F182" s="385">
        <f t="shared" si="49"/>
        <v>58.647204437041879</v>
      </c>
      <c r="G182" s="110">
        <f t="shared" si="74"/>
        <v>0.99764178929897718</v>
      </c>
      <c r="H182" s="414" t="b">
        <f>Wh_hp&gt;='2018'!Maxi_hp</f>
        <v>1</v>
      </c>
      <c r="I182" s="390">
        <f>IF(H182,Wh_hp,'2018'!Maxi_hp)</f>
        <v>58.647204437041879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8.5057144279130359E-3</v>
      </c>
      <c r="M182" s="959"/>
      <c r="N182" s="959"/>
      <c r="O182" s="48">
        <f>IF(t&lt;Tnet,'2018'!Resal+('2018'!Salim-'2018'!Resal)*(1-EXP(('2018'!Tnet-t)/('2018'!Tau_j))),Resal+(Salim-Resal)*(1-EXP((Tnet-t)/(Tau_j))))*Salcycl</f>
        <v>4.3709459558387731E-2</v>
      </c>
      <c r="P182" s="169">
        <f>(INDEX(Models!$BJ182:$BT182,,T182)*(1-R182)+INDEX(Models!$BJ182:$BT182,,T182+1)*R182-ERP_i)*Q182*Ramure*Pc/MaxiM</f>
        <v>2.1965779079967723E-3</v>
      </c>
      <c r="Q182" s="305">
        <f t="shared" si="51"/>
        <v>0.7</v>
      </c>
      <c r="R182" s="177">
        <f t="shared" si="52"/>
        <v>0.78554699382133952</v>
      </c>
      <c r="S182" s="921">
        <f t="shared" si="53"/>
        <v>-2</v>
      </c>
      <c r="T182" s="176">
        <f t="shared" si="54"/>
        <v>4</v>
      </c>
      <c r="U182" s="251">
        <f t="shared" si="55"/>
        <v>-1.2144530061786605</v>
      </c>
      <c r="V182" s="383">
        <f t="shared" si="56"/>
        <v>55.615743438996745</v>
      </c>
      <c r="W182" s="58"/>
      <c r="X182" s="157">
        <f t="shared" si="57"/>
        <v>43633</v>
      </c>
      <c r="Y182" s="385">
        <f t="shared" si="58"/>
        <v>55.484999999999999</v>
      </c>
      <c r="Z182" s="385">
        <f t="shared" si="59"/>
        <v>55.960988184602037</v>
      </c>
      <c r="AA182" s="386">
        <f t="shared" si="60"/>
        <v>58.518813914816533</v>
      </c>
      <c r="AB182" s="197">
        <f t="shared" si="61"/>
        <v>43633</v>
      </c>
      <c r="AC182" s="427">
        <f>IF(OR(t&lt;Tnet,NoTnet),'2018'!Resal_s+('2018'!Salim-'2018'!Resal_s)*(1-EXP(('2018'!Tnet_s-t)/'2018'!Tau_j)),Resal_s+(Salim-Resal_s)*(1-EXP((Tnet_s-t)/Tau_j)))*Salcycl</f>
        <v>4.3709459558387731E-2</v>
      </c>
      <c r="AD182" s="231">
        <f>(INDEX(Models!$BJ182:$BT182,,AH182)*(1-AF182)+INDEX(Models!$BJ182:$BT182,,AH182+1)*AF182-ERP_i)*AE182*Ramure*Pc/MaxiM</f>
        <v>2.1965779079967723E-3</v>
      </c>
      <c r="AE182" s="305">
        <f t="shared" si="62"/>
        <v>0.7</v>
      </c>
      <c r="AF182" s="177">
        <f t="shared" si="63"/>
        <v>0.78554699382133952</v>
      </c>
      <c r="AG182" s="176">
        <f t="shared" si="64"/>
        <v>-2</v>
      </c>
      <c r="AH182" s="176">
        <f t="shared" si="65"/>
        <v>4</v>
      </c>
      <c r="AI182" s="225">
        <f t="shared" si="66"/>
        <v>-1.2144530061786605</v>
      </c>
      <c r="AJ182" s="265" t="b">
        <f t="shared" si="67"/>
        <v>1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20">
        <v>53.618000000000002</v>
      </c>
      <c r="C183" s="390"/>
      <c r="D183" s="393">
        <f t="shared" si="48"/>
        <v>54.079156257155148</v>
      </c>
      <c r="E183" s="385">
        <f t="shared" si="73"/>
        <v>56.557705264019837</v>
      </c>
      <c r="F183" s="385">
        <f t="shared" si="49"/>
        <v>56.677985927992459</v>
      </c>
      <c r="G183" s="110">
        <f t="shared" si="74"/>
        <v>0.96545473934728887</v>
      </c>
      <c r="H183" s="414" t="b">
        <f>Wh_hp&gt;='2018'!Maxi_hp</f>
        <v>1</v>
      </c>
      <c r="I183" s="390">
        <f>IF(H183,Wh_hp,'2018'!Maxi_hp)</f>
        <v>56.677985927992459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8.5274306973701641E-3</v>
      </c>
      <c r="M183" s="959"/>
      <c r="N183" s="959"/>
      <c r="O183" s="48">
        <f>IF(t&lt;Tnet,'2018'!Resal+('2018'!Salim-'2018'!Resal)*(1-EXP(('2018'!Tnet-t)/('2018'!Tau_j))),Resal+(Salim-Resal)*(1-EXP((Tnet-t)/(Tau_j))))*Salcycl</f>
        <v>4.3823365804790994E-2</v>
      </c>
      <c r="P183" s="169">
        <f>(INDEX(Models!$BJ183:$BT183,,T183)*(1-R183)+INDEX(Models!$BJ183:$BT183,,T183+1)*R183-ERP_i)*Q183*Ramure*Pc/MaxiM</f>
        <v>2.231986617545899E-3</v>
      </c>
      <c r="Q183" s="305">
        <f t="shared" si="51"/>
        <v>0.7</v>
      </c>
      <c r="R183" s="177">
        <f t="shared" si="52"/>
        <v>0.79057236660361152</v>
      </c>
      <c r="S183" s="921">
        <f t="shared" si="53"/>
        <v>-2</v>
      </c>
      <c r="T183" s="176">
        <f t="shared" si="54"/>
        <v>4</v>
      </c>
      <c r="U183" s="251">
        <f t="shared" si="55"/>
        <v>-1.2094276333963885</v>
      </c>
      <c r="V183" s="383">
        <f t="shared" si="56"/>
        <v>55.530412219381375</v>
      </c>
      <c r="W183" s="58"/>
      <c r="X183" s="157">
        <f t="shared" si="57"/>
        <v>43634</v>
      </c>
      <c r="Y183" s="385">
        <f t="shared" si="58"/>
        <v>53.618000000000002</v>
      </c>
      <c r="Z183" s="385">
        <f t="shared" si="59"/>
        <v>54.079156257155148</v>
      </c>
      <c r="AA183" s="386">
        <f t="shared" si="60"/>
        <v>56.557705264019837</v>
      </c>
      <c r="AB183" s="197">
        <f t="shared" si="61"/>
        <v>43634</v>
      </c>
      <c r="AC183" s="427">
        <f>IF(OR(t&lt;Tnet,NoTnet),'2018'!Resal_s+('2018'!Salim-'2018'!Resal_s)*(1-EXP(('2018'!Tnet_s-t)/'2018'!Tau_j)),Resal_s+(Salim-Resal_s)*(1-EXP((Tnet_s-t)/Tau_j)))*Salcycl</f>
        <v>4.3823365804790994E-2</v>
      </c>
      <c r="AD183" s="231">
        <f>(INDEX(Models!$BJ183:$BT183,,AH183)*(1-AF183)+INDEX(Models!$BJ183:$BT183,,AH183+1)*AF183-ERP_i)*AE183*Ramure*Pc/MaxiM</f>
        <v>2.231986617545899E-3</v>
      </c>
      <c r="AE183" s="305">
        <f t="shared" si="62"/>
        <v>0.7</v>
      </c>
      <c r="AF183" s="177">
        <f t="shared" si="63"/>
        <v>0.79057236660361152</v>
      </c>
      <c r="AG183" s="176">
        <f t="shared" si="64"/>
        <v>-2</v>
      </c>
      <c r="AH183" s="176">
        <f t="shared" si="65"/>
        <v>4</v>
      </c>
      <c r="AI183" s="225">
        <f t="shared" si="66"/>
        <v>-1.2094276333963885</v>
      </c>
      <c r="AJ183" s="265" t="b">
        <f t="shared" si="67"/>
        <v>1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20">
        <v>46.914999999999999</v>
      </c>
      <c r="C184" s="390"/>
      <c r="D184" s="393">
        <f t="shared" si="48"/>
        <v>47.319541693836349</v>
      </c>
      <c r="E184" s="385">
        <f t="shared" si="73"/>
        <v>49.494144400612356</v>
      </c>
      <c r="F184" s="385">
        <f t="shared" si="49"/>
        <v>49.581737815799464</v>
      </c>
      <c r="G184" s="110">
        <f t="shared" si="74"/>
        <v>0.84575610496909281</v>
      </c>
      <c r="H184" s="414" t="b">
        <f>Wh_hp&gt;='2018'!Maxi_hp</f>
        <v>1</v>
      </c>
      <c r="I184" s="390">
        <f>IF(H184,Wh_hp,'2018'!Maxi_hp)</f>
        <v>49.581737815799464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8.5491464911851001E-3</v>
      </c>
      <c r="M184" s="959"/>
      <c r="N184" s="959"/>
      <c r="O184" s="48">
        <f>IF(t&lt;Tnet,'2018'!Resal+('2018'!Salim-'2018'!Resal)*(1-EXP(('2018'!Tnet-t)/('2018'!Tau_j))),Resal+(Salim-Resal)*(1-EXP((Tnet-t)/(Tau_j))))*Salcycl</f>
        <v>4.3936565286884707E-2</v>
      </c>
      <c r="P184" s="169">
        <f>(INDEX(Models!$BJ184:$BT184,,T184)*(1-R184)+INDEX(Models!$BJ184:$BT184,,T184+1)*R184-ERP_i)*Q184*Ramure*Pc/MaxiM</f>
        <v>2.2641941319862962E-3</v>
      </c>
      <c r="Q184" s="305">
        <f t="shared" si="51"/>
        <v>0.7</v>
      </c>
      <c r="R184" s="177">
        <f t="shared" si="52"/>
        <v>0.79556421001802402</v>
      </c>
      <c r="S184" s="921">
        <f t="shared" si="53"/>
        <v>-2</v>
      </c>
      <c r="T184" s="176">
        <f t="shared" si="54"/>
        <v>4</v>
      </c>
      <c r="U184" s="251">
        <f t="shared" si="55"/>
        <v>-1.204435789981976</v>
      </c>
      <c r="V184" s="383">
        <f t="shared" si="56"/>
        <v>55.4434262756225</v>
      </c>
      <c r="W184" s="58"/>
      <c r="X184" s="157">
        <f t="shared" si="57"/>
        <v>43635</v>
      </c>
      <c r="Y184" s="385">
        <f t="shared" si="58"/>
        <v>46.914999999999999</v>
      </c>
      <c r="Z184" s="385">
        <f t="shared" si="59"/>
        <v>47.319541693836349</v>
      </c>
      <c r="AA184" s="386">
        <f t="shared" si="60"/>
        <v>49.494144400612356</v>
      </c>
      <c r="AB184" s="197">
        <f t="shared" si="61"/>
        <v>43635</v>
      </c>
      <c r="AC184" s="427">
        <f>IF(OR(t&lt;Tnet,NoTnet),'2018'!Resal_s+('2018'!Salim-'2018'!Resal_s)*(1-EXP(('2018'!Tnet_s-t)/'2018'!Tau_j)),Resal_s+(Salim-Resal_s)*(1-EXP((Tnet_s-t)/Tau_j)))*Salcycl</f>
        <v>4.3936565286884707E-2</v>
      </c>
      <c r="AD184" s="231">
        <f>(INDEX(Models!$BJ184:$BT184,,AH184)*(1-AF184)+INDEX(Models!$BJ184:$BT184,,AH184+1)*AF184-ERP_i)*AE184*Ramure*Pc/MaxiM</f>
        <v>2.2641941319862962E-3</v>
      </c>
      <c r="AE184" s="305">
        <f t="shared" si="62"/>
        <v>0.7</v>
      </c>
      <c r="AF184" s="177">
        <f t="shared" si="63"/>
        <v>0.79556421001802402</v>
      </c>
      <c r="AG184" s="176">
        <f t="shared" si="64"/>
        <v>-2</v>
      </c>
      <c r="AH184" s="176">
        <f t="shared" si="65"/>
        <v>4</v>
      </c>
      <c r="AI184" s="225">
        <f t="shared" si="66"/>
        <v>-1.204435789981976</v>
      </c>
      <c r="AJ184" s="265" t="b">
        <f t="shared" si="67"/>
        <v>1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20">
        <v>21.844999999999999</v>
      </c>
      <c r="C185" s="390"/>
      <c r="D185" s="393">
        <f t="shared" si="48"/>
        <v>22.033849075555064</v>
      </c>
      <c r="E185" s="385">
        <f t="shared" si="73"/>
        <v>23.049141728324752</v>
      </c>
      <c r="F185" s="385">
        <f t="shared" si="49"/>
        <v>23.056293097016635</v>
      </c>
      <c r="G185" s="110">
        <f t="shared" si="74"/>
        <v>0.3938504372852753</v>
      </c>
      <c r="H185" s="414" t="b">
        <f>Wh_hp&gt;='2018'!Maxi_hp</f>
        <v>1</v>
      </c>
      <c r="I185" s="390">
        <f>IF(H185,Wh_hp,'2018'!Maxi_hp)</f>
        <v>23.056293097016635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8.5708618093685018E-3</v>
      </c>
      <c r="M185" s="959"/>
      <c r="N185" s="959"/>
      <c r="O185" s="48">
        <f>IF(t&lt;Tnet,'2018'!Resal+('2018'!Salim-'2018'!Resal)*(1-EXP(('2018'!Tnet-t)/('2018'!Tau_j))),Resal+(Salim-Resal)*(1-EXP((Tnet-t)/(Tau_j))))*Salcycl</f>
        <v>4.404904376643265E-2</v>
      </c>
      <c r="P185" s="169">
        <f>(INDEX(Models!$BJ185:$BT185,,T185)*(1-R185)+INDEX(Models!$BJ185:$BT185,,T185+1)*R185-ERP_i)*Q185*Ramure*Pc/MaxiM</f>
        <v>2.2943092549006549E-3</v>
      </c>
      <c r="Q185" s="305">
        <f t="shared" si="51"/>
        <v>0.7</v>
      </c>
      <c r="R185" s="177">
        <f t="shared" si="52"/>
        <v>0.80051868809510629</v>
      </c>
      <c r="S185" s="921">
        <f t="shared" si="53"/>
        <v>-2</v>
      </c>
      <c r="T185" s="176">
        <f t="shared" si="54"/>
        <v>4</v>
      </c>
      <c r="U185" s="251">
        <f t="shared" si="55"/>
        <v>-1.1994813119048937</v>
      </c>
      <c r="V185" s="383">
        <f t="shared" si="56"/>
        <v>55.355132213576525</v>
      </c>
      <c r="W185" s="58"/>
      <c r="X185" s="157">
        <f t="shared" si="57"/>
        <v>43636</v>
      </c>
      <c r="Y185" s="385">
        <f t="shared" si="58"/>
        <v>21.844999999999999</v>
      </c>
      <c r="Z185" s="385">
        <f t="shared" si="59"/>
        <v>22.033849075555064</v>
      </c>
      <c r="AA185" s="386">
        <f t="shared" si="60"/>
        <v>23.049141728324752</v>
      </c>
      <c r="AB185" s="197">
        <f t="shared" si="61"/>
        <v>43636</v>
      </c>
      <c r="AC185" s="427">
        <f>IF(OR(t&lt;Tnet,NoTnet),'2018'!Resal_s+('2018'!Salim-'2018'!Resal_s)*(1-EXP(('2018'!Tnet_s-t)/'2018'!Tau_j)),Resal_s+(Salim-Resal_s)*(1-EXP((Tnet_s-t)/Tau_j)))*Salcycl</f>
        <v>4.404904376643265E-2</v>
      </c>
      <c r="AD185" s="231">
        <f>(INDEX(Models!$BJ185:$BT185,,AH185)*(1-AF185)+INDEX(Models!$BJ185:$BT185,,AH185+1)*AF185-ERP_i)*AE185*Ramure*Pc/MaxiM</f>
        <v>2.2943092549006549E-3</v>
      </c>
      <c r="AE185" s="305">
        <f t="shared" si="62"/>
        <v>0.7</v>
      </c>
      <c r="AF185" s="177">
        <f t="shared" si="63"/>
        <v>0.80051868809510629</v>
      </c>
      <c r="AG185" s="176">
        <f t="shared" si="64"/>
        <v>-2</v>
      </c>
      <c r="AH185" s="176">
        <f t="shared" si="65"/>
        <v>4</v>
      </c>
      <c r="AI185" s="225">
        <f t="shared" si="66"/>
        <v>-1.1994813119048937</v>
      </c>
      <c r="AJ185" s="265" t="b">
        <f t="shared" si="67"/>
        <v>1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20">
        <v>10.186</v>
      </c>
      <c r="C186" s="390"/>
      <c r="D186" s="393">
        <f t="shared" si="48"/>
        <v>10.274282560444211</v>
      </c>
      <c r="E186" s="385">
        <f t="shared" si="73"/>
        <v>10.748965352353242</v>
      </c>
      <c r="F186" s="385">
        <f t="shared" si="49"/>
        <v>10.748965352353242</v>
      </c>
      <c r="G186" s="110">
        <f t="shared" si="74"/>
        <v>0.18388079695951573</v>
      </c>
      <c r="H186" s="414" t="b">
        <f>Wh_hp&gt;='2018'!Maxi_hp</f>
        <v>1</v>
      </c>
      <c r="I186" s="390">
        <f>IF(H186,Wh_hp,'2018'!Maxi_hp)</f>
        <v>10.748965352353242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8.5925766519306945E-3</v>
      </c>
      <c r="M186" s="959"/>
      <c r="N186" s="959"/>
      <c r="O186" s="48">
        <f>IF(t&lt;Tnet,'2018'!Resal+('2018'!Salim-'2018'!Resal)*(1-EXP(('2018'!Tnet-t)/('2018'!Tau_j))),Resal+(Salim-Resal)*(1-EXP((Tnet-t)/(Tau_j))))*Salcycl</f>
        <v>4.416078909446941E-2</v>
      </c>
      <c r="P186" s="169">
        <f>(INDEX(Models!$BJ186:$BT186,,T186)*(1-R186)+INDEX(Models!$BJ186:$BT186,,T186+1)*R186-ERP_i)*Q186*Ramure*Pc/MaxiM</f>
        <v>2.3222304196615813E-3</v>
      </c>
      <c r="Q186" s="305">
        <f t="shared" si="51"/>
        <v>0.7</v>
      </c>
      <c r="R186" s="177">
        <f t="shared" si="52"/>
        <v>0.80543208464473315</v>
      </c>
      <c r="S186" s="921">
        <f t="shared" si="53"/>
        <v>-2</v>
      </c>
      <c r="T186" s="176">
        <f t="shared" si="54"/>
        <v>4</v>
      </c>
      <c r="U186" s="251">
        <f t="shared" si="55"/>
        <v>-1.1945679153552669</v>
      </c>
      <c r="V186" s="383">
        <f t="shared" si="56"/>
        <v>55.265943638381813</v>
      </c>
      <c r="W186" s="58"/>
      <c r="X186" s="157">
        <f t="shared" si="57"/>
        <v>43637</v>
      </c>
      <c r="Y186" s="385">
        <f t="shared" si="58"/>
        <v>10.186</v>
      </c>
      <c r="Z186" s="385">
        <f t="shared" si="59"/>
        <v>10.274282560444211</v>
      </c>
      <c r="AA186" s="386">
        <f t="shared" si="60"/>
        <v>10.748965352353242</v>
      </c>
      <c r="AB186" s="197">
        <f t="shared" si="61"/>
        <v>43637</v>
      </c>
      <c r="AC186" s="427">
        <f>IF(OR(t&lt;Tnet,NoTnet),'2018'!Resal_s+('2018'!Salim-'2018'!Resal_s)*(1-EXP(('2018'!Tnet_s-t)/'2018'!Tau_j)),Resal_s+(Salim-Resal_s)*(1-EXP((Tnet_s-t)/Tau_j)))*Salcycl</f>
        <v>4.416078909446941E-2</v>
      </c>
      <c r="AD186" s="231">
        <f>(INDEX(Models!$BJ186:$BT186,,AH186)*(1-AF186)+INDEX(Models!$BJ186:$BT186,,AH186+1)*AF186-ERP_i)*AE186*Ramure*Pc/MaxiM</f>
        <v>2.3222304196615813E-3</v>
      </c>
      <c r="AE186" s="305">
        <f t="shared" si="62"/>
        <v>0.7</v>
      </c>
      <c r="AF186" s="177">
        <f t="shared" si="63"/>
        <v>0.80543208464473315</v>
      </c>
      <c r="AG186" s="176">
        <f t="shared" si="64"/>
        <v>-2</v>
      </c>
      <c r="AH186" s="176">
        <f t="shared" si="65"/>
        <v>4</v>
      </c>
      <c r="AI186" s="225">
        <f t="shared" si="66"/>
        <v>-1.1945679153552669</v>
      </c>
      <c r="AJ186" s="265" t="b">
        <f t="shared" si="67"/>
        <v>1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20">
        <v>50.101999999999997</v>
      </c>
      <c r="C187" s="390"/>
      <c r="D187" s="393">
        <f t="shared" si="48"/>
        <v>50.537343383224268</v>
      </c>
      <c r="E187" s="385">
        <f t="shared" si="73"/>
        <v>52.878363241531595</v>
      </c>
      <c r="F187" s="385">
        <f t="shared" si="49"/>
        <v>52.986423754924019</v>
      </c>
      <c r="G187" s="110">
        <f t="shared" si="74"/>
        <v>0.9077545617660906</v>
      </c>
      <c r="H187" s="414" t="b">
        <f>Wh_hp&gt;='2018'!Maxi_hp</f>
        <v>1</v>
      </c>
      <c r="I187" s="390">
        <f>IF(H187,Wh_hp,'2018'!Maxi_hp)</f>
        <v>52.986423754924019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8.6142910188821142E-3</v>
      </c>
      <c r="M187" s="959"/>
      <c r="N187" s="959"/>
      <c r="O187" s="48">
        <f>IF(t&lt;Tnet,'2018'!Resal+('2018'!Salim-'2018'!Resal)*(1-EXP(('2018'!Tnet-t)/('2018'!Tau_j))),Resal+(Salim-Resal)*(1-EXP((Tnet-t)/(Tau_j))))*Salcycl</f>
        <v>4.4271791235562498E-2</v>
      </c>
      <c r="P187" s="169">
        <f>(INDEX(Models!$BJ187:$BT187,,T187)*(1-R187)+INDEX(Models!$BJ187:$BT187,,T187+1)*R187-ERP_i)*Q187*Ramure*Pc/MaxiM</f>
        <v>2.3478574155878502E-3</v>
      </c>
      <c r="Q187" s="305">
        <f t="shared" si="51"/>
        <v>0.7</v>
      </c>
      <c r="R187" s="177">
        <f t="shared" si="52"/>
        <v>0.81030081358482065</v>
      </c>
      <c r="S187" s="921">
        <f t="shared" si="53"/>
        <v>-2</v>
      </c>
      <c r="T187" s="176">
        <f t="shared" si="54"/>
        <v>4</v>
      </c>
      <c r="U187" s="251">
        <f t="shared" si="55"/>
        <v>-1.1896991864151794</v>
      </c>
      <c r="V187" s="383">
        <f t="shared" si="56"/>
        <v>55.176273626085802</v>
      </c>
      <c r="W187" s="58"/>
      <c r="X187" s="157">
        <f t="shared" si="57"/>
        <v>43638</v>
      </c>
      <c r="Y187" s="385">
        <f t="shared" si="58"/>
        <v>50.101999999999997</v>
      </c>
      <c r="Z187" s="385">
        <f t="shared" si="59"/>
        <v>50.537343383224268</v>
      </c>
      <c r="AA187" s="386">
        <f t="shared" si="60"/>
        <v>52.878363241531595</v>
      </c>
      <c r="AB187" s="197">
        <f t="shared" si="61"/>
        <v>43638</v>
      </c>
      <c r="AC187" s="427">
        <f>IF(OR(t&lt;Tnet,NoTnet),'2018'!Resal_s+('2018'!Salim-'2018'!Resal_s)*(1-EXP(('2018'!Tnet_s-t)/'2018'!Tau_j)),Resal_s+(Salim-Resal_s)*(1-EXP((Tnet_s-t)/Tau_j)))*Salcycl</f>
        <v>4.4271791235562498E-2</v>
      </c>
      <c r="AD187" s="231">
        <f>(INDEX(Models!$BJ187:$BT187,,AH187)*(1-AF187)+INDEX(Models!$BJ187:$BT187,,AH187+1)*AF187-ERP_i)*AE187*Ramure*Pc/MaxiM</f>
        <v>2.3478574155878502E-3</v>
      </c>
      <c r="AE187" s="305">
        <f t="shared" si="62"/>
        <v>0.7</v>
      </c>
      <c r="AF187" s="177">
        <f t="shared" si="63"/>
        <v>0.81030081358482065</v>
      </c>
      <c r="AG187" s="176">
        <f t="shared" si="64"/>
        <v>-2</v>
      </c>
      <c r="AH187" s="176">
        <f t="shared" si="65"/>
        <v>4</v>
      </c>
      <c r="AI187" s="225">
        <f t="shared" si="66"/>
        <v>-1.1896991864151794</v>
      </c>
      <c r="AJ187" s="265" t="b">
        <f t="shared" si="67"/>
        <v>1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20">
        <v>49.84</v>
      </c>
      <c r="C188" s="390"/>
      <c r="D188" s="393">
        <f t="shared" si="48"/>
        <v>50.274167961372299</v>
      </c>
      <c r="E188" s="385">
        <f t="shared" si="73"/>
        <v>52.609065741422761</v>
      </c>
      <c r="F188" s="385">
        <f t="shared" si="49"/>
        <v>52.717054573900171</v>
      </c>
      <c r="G188" s="110">
        <f t="shared" si="74"/>
        <v>0.90446580702998303</v>
      </c>
      <c r="H188" s="414" t="b">
        <f>Wh_hp&gt;='2018'!Maxi_hp</f>
        <v>1</v>
      </c>
      <c r="I188" s="390">
        <f>IF(H188,Wh_hp,'2018'!Maxi_hp)</f>
        <v>52.717054573900171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8.636004910233086E-3</v>
      </c>
      <c r="M188" s="959"/>
      <c r="N188" s="959"/>
      <c r="O188" s="48">
        <f>IF(t&lt;Tnet,'2018'!Resal+('2018'!Salim-'2018'!Resal)*(1-EXP(('2018'!Tnet-t)/('2018'!Tau_j))),Resal+(Salim-Resal)*(1-EXP((Tnet-t)/(Tau_j))))*Salcycl</f>
        <v>4.438204228006333E-2</v>
      </c>
      <c r="P188" s="169">
        <f>(INDEX(Models!$BJ188:$BT188,,T188)*(1-R188)+INDEX(Models!$BJ188:$BT188,,T188+1)*R188-ERP_i)*Q188*Ramure*Pc/MaxiM</f>
        <v>2.3710675144753271E-3</v>
      </c>
      <c r="Q188" s="305">
        <f t="shared" si="51"/>
        <v>0.7</v>
      </c>
      <c r="R188" s="177">
        <f t="shared" si="52"/>
        <v>0.81512142841604263</v>
      </c>
      <c r="S188" s="921">
        <f t="shared" si="53"/>
        <v>-2</v>
      </c>
      <c r="T188" s="176">
        <f t="shared" si="54"/>
        <v>4</v>
      </c>
      <c r="U188" s="251">
        <f t="shared" si="55"/>
        <v>-1.1848785715839574</v>
      </c>
      <c r="V188" s="383">
        <f t="shared" si="56"/>
        <v>55.086536054630059</v>
      </c>
      <c r="W188" s="58"/>
      <c r="X188" s="157">
        <f t="shared" si="57"/>
        <v>43639</v>
      </c>
      <c r="Y188" s="385">
        <f t="shared" si="58"/>
        <v>49.84</v>
      </c>
      <c r="Z188" s="385">
        <f t="shared" si="59"/>
        <v>50.274167961372299</v>
      </c>
      <c r="AA188" s="386">
        <f t="shared" si="60"/>
        <v>52.609065741422761</v>
      </c>
      <c r="AB188" s="197">
        <f t="shared" si="61"/>
        <v>43639</v>
      </c>
      <c r="AC188" s="427">
        <f>IF(OR(t&lt;Tnet,NoTnet),'2018'!Resal_s+('2018'!Salim-'2018'!Resal_s)*(1-EXP(('2018'!Tnet_s-t)/'2018'!Tau_j)),Resal_s+(Salim-Resal_s)*(1-EXP((Tnet_s-t)/Tau_j)))*Salcycl</f>
        <v>4.438204228006333E-2</v>
      </c>
      <c r="AD188" s="231">
        <f>(INDEX(Models!$BJ188:$BT188,,AH188)*(1-AF188)+INDEX(Models!$BJ188:$BT188,,AH188+1)*AF188-ERP_i)*AE188*Ramure*Pc/MaxiM</f>
        <v>2.3710675144753271E-3</v>
      </c>
      <c r="AE188" s="305">
        <f t="shared" si="62"/>
        <v>0.7</v>
      </c>
      <c r="AF188" s="177">
        <f t="shared" si="63"/>
        <v>0.81512142841604263</v>
      </c>
      <c r="AG188" s="176">
        <f t="shared" si="64"/>
        <v>-2</v>
      </c>
      <c r="AH188" s="176">
        <f t="shared" si="65"/>
        <v>4</v>
      </c>
      <c r="AI188" s="225">
        <f t="shared" si="66"/>
        <v>-1.1848785715839574</v>
      </c>
      <c r="AJ188" s="265" t="b">
        <f t="shared" si="67"/>
        <v>1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20">
        <v>37.372999999999998</v>
      </c>
      <c r="C189" s="390"/>
      <c r="D189" s="393">
        <f t="shared" si="48"/>
        <v>37.699390705792354</v>
      </c>
      <c r="E189" s="385">
        <f t="shared" si="73"/>
        <v>39.454795162672845</v>
      </c>
      <c r="F189" s="385">
        <f t="shared" si="49"/>
        <v>39.50602718126823</v>
      </c>
      <c r="G189" s="110">
        <f t="shared" si="74"/>
        <v>0.67879935856442153</v>
      </c>
      <c r="H189" s="414" t="b">
        <f>Wh_hp&gt;='2018'!Maxi_hp</f>
        <v>1</v>
      </c>
      <c r="I189" s="390">
        <f>IF(H189,Wh_hp,'2018'!Maxi_hp)</f>
        <v>39.50602718126823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8.657718325994268E-3</v>
      </c>
      <c r="M189" s="959"/>
      <c r="N189" s="959"/>
      <c r="O189" s="48">
        <f>IF(t&lt;Tnet,'2018'!Resal+('2018'!Salim-'2018'!Resal)*(1-EXP(('2018'!Tnet-t)/('2018'!Tau_j))),Resal+(Salim-Resal)*(1-EXP((Tnet-t)/(Tau_j))))*Salcycl</f>
        <v>4.4491536444250412E-2</v>
      </c>
      <c r="P189" s="169">
        <f>(INDEX(Models!$BJ189:$BT189,,T189)*(1-R189)+INDEX(Models!$BJ189:$BT189,,T189+1)*R189-ERP_i)*Q189*Ramure*Pc/MaxiM</f>
        <v>2.3917379372935003E-3</v>
      </c>
      <c r="Q189" s="305">
        <f t="shared" si="51"/>
        <v>0.7</v>
      </c>
      <c r="R189" s="177">
        <f t="shared" si="52"/>
        <v>0.81989063079758484</v>
      </c>
      <c r="S189" s="921">
        <f t="shared" si="53"/>
        <v>-2</v>
      </c>
      <c r="T189" s="176">
        <f t="shared" si="54"/>
        <v>4</v>
      </c>
      <c r="U189" s="251">
        <f t="shared" si="55"/>
        <v>-1.1801093692024152</v>
      </c>
      <c r="V189" s="383">
        <f t="shared" si="56"/>
        <v>54.997144366992003</v>
      </c>
      <c r="W189" s="58"/>
      <c r="X189" s="157">
        <f t="shared" si="57"/>
        <v>43640</v>
      </c>
      <c r="Y189" s="385">
        <f t="shared" si="58"/>
        <v>37.372999999999998</v>
      </c>
      <c r="Z189" s="385">
        <f t="shared" si="59"/>
        <v>37.699390705792354</v>
      </c>
      <c r="AA189" s="386">
        <f t="shared" si="60"/>
        <v>39.454795162672845</v>
      </c>
      <c r="AB189" s="197">
        <f t="shared" si="61"/>
        <v>43640</v>
      </c>
      <c r="AC189" s="427">
        <f>IF(OR(t&lt;Tnet,NoTnet),'2018'!Resal_s+('2018'!Salim-'2018'!Resal_s)*(1-EXP(('2018'!Tnet_s-t)/'2018'!Tau_j)),Resal_s+(Salim-Resal_s)*(1-EXP((Tnet_s-t)/Tau_j)))*Salcycl</f>
        <v>4.4491536444250412E-2</v>
      </c>
      <c r="AD189" s="231">
        <f>(INDEX(Models!$BJ189:$BT189,,AH189)*(1-AF189)+INDEX(Models!$BJ189:$BT189,,AH189+1)*AF189-ERP_i)*AE189*Ramure*Pc/MaxiM</f>
        <v>2.3917379372935003E-3</v>
      </c>
      <c r="AE189" s="305">
        <f t="shared" si="62"/>
        <v>0.7</v>
      </c>
      <c r="AF189" s="177">
        <f t="shared" si="63"/>
        <v>0.81989063079758484</v>
      </c>
      <c r="AG189" s="176">
        <f t="shared" si="64"/>
        <v>-2</v>
      </c>
      <c r="AH189" s="176">
        <f t="shared" si="65"/>
        <v>4</v>
      </c>
      <c r="AI189" s="225">
        <f t="shared" si="66"/>
        <v>-1.1801093692024152</v>
      </c>
      <c r="AJ189" s="265" t="b">
        <f t="shared" si="67"/>
        <v>1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20">
        <v>49.98</v>
      </c>
      <c r="C190" s="390"/>
      <c r="D190" s="393">
        <f t="shared" si="48"/>
        <v>50.417596059605152</v>
      </c>
      <c r="E190" s="385">
        <f t="shared" si="73"/>
        <v>52.771206103109314</v>
      </c>
      <c r="F190" s="385">
        <f t="shared" si="49"/>
        <v>52.882299916994292</v>
      </c>
      <c r="G190" s="110">
        <f t="shared" si="74"/>
        <v>0.90995956150959112</v>
      </c>
      <c r="H190" s="414" t="b">
        <f>Wh_hp&gt;='2018'!Maxi_hp</f>
        <v>1</v>
      </c>
      <c r="I190" s="390">
        <f>IF(H190,Wh_hp,'2018'!Maxi_hp)</f>
        <v>52.882299916994292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8.6794312661757633E-3</v>
      </c>
      <c r="M190" s="959"/>
      <c r="N190" s="959"/>
      <c r="O190" s="48">
        <f>IF(t&lt;Tnet,'2018'!Resal+('2018'!Salim-'2018'!Resal)*(1-EXP(('2018'!Tnet-t)/('2018'!Tau_j))),Resal+(Salim-Resal)*(1-EXP((Tnet-t)/(Tau_j))))*Salcycl</f>
        <v>4.460027005836209E-2</v>
      </c>
      <c r="P190" s="169">
        <f>(INDEX(Models!$BJ190:$BT190,,T190)*(1-R190)+INDEX(Models!$BJ190:$BT190,,T190+1)*R190-ERP_i)*Q190*Ramure*Pc/MaxiM</f>
        <v>2.4097717181647735E-3</v>
      </c>
      <c r="Q190" s="305">
        <f t="shared" si="51"/>
        <v>0.7</v>
      </c>
      <c r="R190" s="177">
        <f t="shared" si="52"/>
        <v>0.82460527818856089</v>
      </c>
      <c r="S190" s="921">
        <f t="shared" si="53"/>
        <v>-2</v>
      </c>
      <c r="T190" s="176">
        <f t="shared" si="54"/>
        <v>4</v>
      </c>
      <c r="U190" s="251">
        <f t="shared" si="55"/>
        <v>-1.1753947218114391</v>
      </c>
      <c r="V190" s="383">
        <f t="shared" si="56"/>
        <v>54.908510164399154</v>
      </c>
      <c r="W190" s="58"/>
      <c r="X190" s="157">
        <f t="shared" si="57"/>
        <v>43641</v>
      </c>
      <c r="Y190" s="385">
        <f t="shared" si="58"/>
        <v>49.98</v>
      </c>
      <c r="Z190" s="385">
        <f t="shared" si="59"/>
        <v>50.417596059605152</v>
      </c>
      <c r="AA190" s="386">
        <f t="shared" si="60"/>
        <v>52.771206103109314</v>
      </c>
      <c r="AB190" s="197">
        <f t="shared" si="61"/>
        <v>43641</v>
      </c>
      <c r="AC190" s="427">
        <f>IF(OR(t&lt;Tnet,NoTnet),'2018'!Resal_s+('2018'!Salim-'2018'!Resal_s)*(1-EXP(('2018'!Tnet_s-t)/'2018'!Tau_j)),Resal_s+(Salim-Resal_s)*(1-EXP((Tnet_s-t)/Tau_j)))*Salcycl</f>
        <v>4.460027005836209E-2</v>
      </c>
      <c r="AD190" s="231">
        <f>(INDEX(Models!$BJ190:$BT190,,AH190)*(1-AF190)+INDEX(Models!$BJ190:$BT190,,AH190+1)*AF190-ERP_i)*AE190*Ramure*Pc/MaxiM</f>
        <v>2.4097717181647735E-3</v>
      </c>
      <c r="AE190" s="305">
        <f t="shared" si="62"/>
        <v>0.7</v>
      </c>
      <c r="AF190" s="177">
        <f t="shared" si="63"/>
        <v>0.82460527818856089</v>
      </c>
      <c r="AG190" s="176">
        <f t="shared" si="64"/>
        <v>-2</v>
      </c>
      <c r="AH190" s="176">
        <f t="shared" si="65"/>
        <v>4</v>
      </c>
      <c r="AI190" s="225">
        <f t="shared" si="66"/>
        <v>-1.1753947218114391</v>
      </c>
      <c r="AJ190" s="265" t="b">
        <f t="shared" si="67"/>
        <v>1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20">
        <v>54.594000000000001</v>
      </c>
      <c r="C191" s="390"/>
      <c r="D191" s="393">
        <f t="shared" si="48"/>
        <v>55.073199827412743</v>
      </c>
      <c r="E191" s="385">
        <f t="shared" si="73"/>
        <v>57.650659434501378</v>
      </c>
      <c r="F191" s="385">
        <f t="shared" si="49"/>
        <v>57.789981596859789</v>
      </c>
      <c r="G191" s="110">
        <f t="shared" si="74"/>
        <v>0.99586270902049856</v>
      </c>
      <c r="H191" s="414" t="b">
        <f>Wh_hp&gt;='2018'!Maxi_hp</f>
        <v>1</v>
      </c>
      <c r="I191" s="390">
        <f>IF(H191,Wh_hp,'2018'!Maxi_hp)</f>
        <v>57.789981596859789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8.70114373078823E-3</v>
      </c>
      <c r="M191" s="959"/>
      <c r="N191" s="959"/>
      <c r="O191" s="48">
        <f>IF(t&lt;Tnet,'2018'!Resal+('2018'!Salim-'2018'!Resal)*(1-EXP(('2018'!Tnet-t)/('2018'!Tau_j))),Resal+(Salim-Resal)*(1-EXP((Tnet-t)/(Tau_j))))*Salcycl</f>
        <v>4.4708241542613478E-2</v>
      </c>
      <c r="P191" s="169">
        <f>(INDEX(Models!$BJ191:$BT191,,T191)*(1-R191)+INDEX(Models!$BJ191:$BT191,,T191+1)*R191-ERP_i)*Q191*Ramure*Pc/MaxiM</f>
        <v>2.4251199666057112E-3</v>
      </c>
      <c r="Q191" s="305">
        <f t="shared" si="51"/>
        <v>0.7</v>
      </c>
      <c r="R191" s="177">
        <f t="shared" si="52"/>
        <v>0.82926239052939321</v>
      </c>
      <c r="S191" s="921">
        <f t="shared" si="53"/>
        <v>-2</v>
      </c>
      <c r="T191" s="176">
        <f t="shared" si="54"/>
        <v>4</v>
      </c>
      <c r="U191" s="251">
        <f t="shared" si="55"/>
        <v>-1.1707376094706068</v>
      </c>
      <c r="V191" s="383">
        <f t="shared" si="56"/>
        <v>54.820024684781188</v>
      </c>
      <c r="W191" s="58"/>
      <c r="X191" s="157">
        <f t="shared" si="57"/>
        <v>43642</v>
      </c>
      <c r="Y191" s="385">
        <f t="shared" si="58"/>
        <v>54.594000000000001</v>
      </c>
      <c r="Z191" s="385">
        <f t="shared" si="59"/>
        <v>55.073199827412743</v>
      </c>
      <c r="AA191" s="386">
        <f t="shared" si="60"/>
        <v>57.650659434501378</v>
      </c>
      <c r="AB191" s="197">
        <f t="shared" si="61"/>
        <v>43642</v>
      </c>
      <c r="AC191" s="427">
        <f>IF(OR(t&lt;Tnet,NoTnet),'2018'!Resal_s+('2018'!Salim-'2018'!Resal_s)*(1-EXP(('2018'!Tnet_s-t)/'2018'!Tau_j)),Resal_s+(Salim-Resal_s)*(1-EXP((Tnet_s-t)/Tau_j)))*Salcycl</f>
        <v>4.4708241542613478E-2</v>
      </c>
      <c r="AD191" s="231">
        <f>(INDEX(Models!$BJ191:$BT191,,AH191)*(1-AF191)+INDEX(Models!$BJ191:$BT191,,AH191+1)*AF191-ERP_i)*AE191*Ramure*Pc/MaxiM</f>
        <v>2.4251199666057112E-3</v>
      </c>
      <c r="AE191" s="305">
        <f t="shared" si="62"/>
        <v>0.7</v>
      </c>
      <c r="AF191" s="177">
        <f t="shared" si="63"/>
        <v>0.82926239052939321</v>
      </c>
      <c r="AG191" s="176">
        <f t="shared" si="64"/>
        <v>-2</v>
      </c>
      <c r="AH191" s="176">
        <f t="shared" si="65"/>
        <v>4</v>
      </c>
      <c r="AI191" s="225">
        <f t="shared" si="66"/>
        <v>-1.1707376094706068</v>
      </c>
      <c r="AJ191" s="265" t="b">
        <f t="shared" si="67"/>
        <v>1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20">
        <v>54.03</v>
      </c>
      <c r="C192" s="390"/>
      <c r="D192" s="393">
        <f t="shared" si="48"/>
        <v>54.505443116249097</v>
      </c>
      <c r="E192" s="385">
        <f t="shared" si="73"/>
        <v>57.062735357794622</v>
      </c>
      <c r="F192" s="385">
        <f t="shared" si="49"/>
        <v>57.199547222334189</v>
      </c>
      <c r="G192" s="110">
        <f t="shared" si="74"/>
        <v>0.98714994260247135</v>
      </c>
      <c r="H192" s="414" t="b">
        <f>Wh_hp&gt;='2018'!Maxi_hp</f>
        <v>1</v>
      </c>
      <c r="I192" s="390">
        <f>IF(H192,Wh_hp,'2018'!Maxi_hp)</f>
        <v>57.199547222334189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8.7228557198419931E-3</v>
      </c>
      <c r="M192" s="959"/>
      <c r="N192" s="959"/>
      <c r="O192" s="48">
        <f>IF(t&lt;Tnet,'2018'!Resal+('2018'!Salim-'2018'!Resal)*(1-EXP(('2018'!Tnet-t)/('2018'!Tau_j))),Resal+(Salim-Resal)*(1-EXP((Tnet-t)/(Tau_j))))*Salcycl</f>
        <v>4.4815451371386164E-2</v>
      </c>
      <c r="P192" s="169">
        <f>(INDEX(Models!$BJ192:$BT192,,T192)*(1-R192)+INDEX(Models!$BJ192:$BT192,,T192+1)*R192-ERP_i)*Q192*Ramure*Pc/MaxiM</f>
        <v>2.4364068984197057E-3</v>
      </c>
      <c r="Q192" s="305">
        <f t="shared" si="51"/>
        <v>0.7</v>
      </c>
      <c r="R192" s="177">
        <f t="shared" si="52"/>
        <v>0.83385915594711024</v>
      </c>
      <c r="S192" s="921">
        <f t="shared" si="53"/>
        <v>-2</v>
      </c>
      <c r="T192" s="176">
        <f t="shared" si="54"/>
        <v>4</v>
      </c>
      <c r="U192" s="251">
        <f t="shared" si="55"/>
        <v>-1.1661408440528898</v>
      </c>
      <c r="V192" s="383">
        <f t="shared" si="56"/>
        <v>54.730880954415476</v>
      </c>
      <c r="W192" s="58"/>
      <c r="X192" s="157">
        <f t="shared" si="57"/>
        <v>43643</v>
      </c>
      <c r="Y192" s="385">
        <f t="shared" si="58"/>
        <v>54.03</v>
      </c>
      <c r="Z192" s="385">
        <f t="shared" si="59"/>
        <v>54.505443116249097</v>
      </c>
      <c r="AA192" s="386">
        <f t="shared" si="60"/>
        <v>57.062735357794622</v>
      </c>
      <c r="AB192" s="197">
        <f t="shared" si="61"/>
        <v>43643</v>
      </c>
      <c r="AC192" s="427">
        <f>IF(OR(t&lt;Tnet,NoTnet),'2018'!Resal_s+('2018'!Salim-'2018'!Resal_s)*(1-EXP(('2018'!Tnet_s-t)/'2018'!Tau_j)),Resal_s+(Salim-Resal_s)*(1-EXP((Tnet_s-t)/Tau_j)))*Salcycl</f>
        <v>4.4815451371386164E-2</v>
      </c>
      <c r="AD192" s="231">
        <f>(INDEX(Models!$BJ192:$BT192,,AH192)*(1-AF192)+INDEX(Models!$BJ192:$BT192,,AH192+1)*AF192-ERP_i)*AE192*Ramure*Pc/MaxiM</f>
        <v>2.4364068984197057E-3</v>
      </c>
      <c r="AE192" s="305">
        <f t="shared" si="62"/>
        <v>0.7</v>
      </c>
      <c r="AF192" s="177">
        <f t="shared" si="63"/>
        <v>0.83385915594711024</v>
      </c>
      <c r="AG192" s="176">
        <f t="shared" si="64"/>
        <v>-2</v>
      </c>
      <c r="AH192" s="176">
        <f t="shared" si="65"/>
        <v>4</v>
      </c>
      <c r="AI192" s="225">
        <f t="shared" si="66"/>
        <v>-1.1661408440528898</v>
      </c>
      <c r="AJ192" s="265" t="b">
        <f t="shared" si="67"/>
        <v>1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20">
        <v>49.857999999999997</v>
      </c>
      <c r="C193" s="390"/>
      <c r="D193" s="393">
        <f t="shared" si="48"/>
        <v>50.297832780440217</v>
      </c>
      <c r="E193" s="385">
        <f t="shared" si="73"/>
        <v>52.663581006757475</v>
      </c>
      <c r="F193" s="385">
        <f t="shared" si="49"/>
        <v>52.776466913247475</v>
      </c>
      <c r="G193" s="110">
        <f t="shared" si="74"/>
        <v>0.91218508370510498</v>
      </c>
      <c r="H193" s="414" t="b">
        <f>Wh_hp&gt;='2018'!Maxi_hp</f>
        <v>1</v>
      </c>
      <c r="I193" s="390">
        <f>IF(H193,Wh_hp,'2018'!Maxi_hp)</f>
        <v>52.776466913247475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8.7445672333473778E-3</v>
      </c>
      <c r="M193" s="959"/>
      <c r="N193" s="959"/>
      <c r="O193" s="48">
        <f>IF(t&lt;Tnet,'2018'!Resal+('2018'!Salim-'2018'!Resal)*(1-EXP(('2018'!Tnet-t)/('2018'!Tau_j))),Resal+(Salim-Resal)*(1-EXP((Tnet-t)/(Tau_j))))*Salcycl</f>
        <v>4.49219020258744E-2</v>
      </c>
      <c r="P193" s="169">
        <f>(INDEX(Models!$BJ193:$BT193,,T193)*(1-R193)+INDEX(Models!$BJ193:$BT193,,T193+1)*R193-ERP_i)*Q193*Ramure*Pc/MaxiM</f>
        <v>2.4446485980528054E-3</v>
      </c>
      <c r="Q193" s="305">
        <f t="shared" si="51"/>
        <v>0.7</v>
      </c>
      <c r="R193" s="177">
        <f t="shared" si="52"/>
        <v>0.8383929354779398</v>
      </c>
      <c r="S193" s="921">
        <f t="shared" si="53"/>
        <v>-2</v>
      </c>
      <c r="T193" s="176">
        <f t="shared" si="54"/>
        <v>4</v>
      </c>
      <c r="U193" s="251">
        <f t="shared" si="55"/>
        <v>-1.1616070645220602</v>
      </c>
      <c r="V193" s="383">
        <f t="shared" si="56"/>
        <v>54.641022308437186</v>
      </c>
      <c r="W193" s="58"/>
      <c r="X193" s="157">
        <f t="shared" si="57"/>
        <v>43644</v>
      </c>
      <c r="Y193" s="385">
        <f t="shared" si="58"/>
        <v>49.857999999999997</v>
      </c>
      <c r="Z193" s="385">
        <f t="shared" si="59"/>
        <v>50.297832780440217</v>
      </c>
      <c r="AA193" s="386">
        <f t="shared" si="60"/>
        <v>52.663581006757475</v>
      </c>
      <c r="AB193" s="197">
        <f t="shared" si="61"/>
        <v>43644</v>
      </c>
      <c r="AC193" s="427">
        <f>IF(OR(t&lt;Tnet,NoTnet),'2018'!Resal_s+('2018'!Salim-'2018'!Resal_s)*(1-EXP(('2018'!Tnet_s-t)/'2018'!Tau_j)),Resal_s+(Salim-Resal_s)*(1-EXP((Tnet_s-t)/Tau_j)))*Salcycl</f>
        <v>4.49219020258744E-2</v>
      </c>
      <c r="AD193" s="231">
        <f>(INDEX(Models!$BJ193:$BT193,,AH193)*(1-AF193)+INDEX(Models!$BJ193:$BT193,,AH193+1)*AF193-ERP_i)*AE193*Ramure*Pc/MaxiM</f>
        <v>2.4446485980528054E-3</v>
      </c>
      <c r="AE193" s="305">
        <f t="shared" si="62"/>
        <v>0.7</v>
      </c>
      <c r="AF193" s="177">
        <f t="shared" si="63"/>
        <v>0.8383929354779398</v>
      </c>
      <c r="AG193" s="176">
        <f t="shared" si="64"/>
        <v>-2</v>
      </c>
      <c r="AH193" s="176">
        <f t="shared" si="65"/>
        <v>4</v>
      </c>
      <c r="AI193" s="225">
        <f t="shared" si="66"/>
        <v>-1.1616070645220602</v>
      </c>
      <c r="AJ193" s="265" t="b">
        <f t="shared" si="67"/>
        <v>1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20">
        <v>51.674999999999997</v>
      </c>
      <c r="C194" s="390"/>
      <c r="D194" s="393">
        <f t="shared" si="48"/>
        <v>52.13200365084451</v>
      </c>
      <c r="E194" s="385">
        <f t="shared" si="73"/>
        <v>54.590063061662072</v>
      </c>
      <c r="F194" s="385">
        <f t="shared" si="49"/>
        <v>54.714006796227508</v>
      </c>
      <c r="G194" s="110">
        <f t="shared" si="74"/>
        <v>0.94711306843034349</v>
      </c>
      <c r="H194" s="414" t="b">
        <f>Wh_hp&gt;='2018'!Maxi_hp</f>
        <v>1</v>
      </c>
      <c r="I194" s="390">
        <f>IF(H194,Wh_hp,'2018'!Maxi_hp)</f>
        <v>54.714006796227508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8.7662782713150422E-3</v>
      </c>
      <c r="M194" s="959"/>
      <c r="N194" s="959"/>
      <c r="O194" s="48">
        <f>IF(t&lt;Tnet,'2018'!Resal+('2018'!Salim-'2018'!Resal)*(1-EXP(('2018'!Tnet-t)/('2018'!Tau_j))),Resal+(Salim-Resal)*(1-EXP((Tnet-t)/(Tau_j))))*Salcycl</f>
        <v>4.5027597935563192E-2</v>
      </c>
      <c r="P194" s="169">
        <f>(INDEX(Models!$BJ194:$BT194,,T194)*(1-R194)+INDEX(Models!$BJ194:$BT194,,T194+1)*R194-ERP_i)*Q194*Ramure*Pc/MaxiM</f>
        <v>2.4497761225978723E-3</v>
      </c>
      <c r="Q194" s="305">
        <f t="shared" si="51"/>
        <v>0.7</v>
      </c>
      <c r="R194" s="177">
        <f t="shared" si="52"/>
        <v>0.84286126680971218</v>
      </c>
      <c r="S194" s="921">
        <f t="shared" si="53"/>
        <v>-2</v>
      </c>
      <c r="T194" s="176">
        <f t="shared" si="54"/>
        <v>4</v>
      </c>
      <c r="U194" s="251">
        <f t="shared" si="55"/>
        <v>-1.1571387331902878</v>
      </c>
      <c r="V194" s="383">
        <f t="shared" si="56"/>
        <v>54.550451645844888</v>
      </c>
      <c r="W194" s="58"/>
      <c r="X194" s="157">
        <f t="shared" si="57"/>
        <v>43645</v>
      </c>
      <c r="Y194" s="385">
        <f t="shared" si="58"/>
        <v>51.674999999999997</v>
      </c>
      <c r="Z194" s="385">
        <f t="shared" si="59"/>
        <v>52.13200365084451</v>
      </c>
      <c r="AA194" s="386">
        <f t="shared" si="60"/>
        <v>54.590063061662072</v>
      </c>
      <c r="AB194" s="197">
        <f t="shared" si="61"/>
        <v>43645</v>
      </c>
      <c r="AC194" s="427">
        <f>IF(OR(t&lt;Tnet,NoTnet),'2018'!Resal_s+('2018'!Salim-'2018'!Resal_s)*(1-EXP(('2018'!Tnet_s-t)/'2018'!Tau_j)),Resal_s+(Salim-Resal_s)*(1-EXP((Tnet_s-t)/Tau_j)))*Salcycl</f>
        <v>4.5027597935563192E-2</v>
      </c>
      <c r="AD194" s="231">
        <f>(INDEX(Models!$BJ194:$BT194,,AH194)*(1-AF194)+INDEX(Models!$BJ194:$BT194,,AH194+1)*AF194-ERP_i)*AE194*Ramure*Pc/MaxiM</f>
        <v>2.4497761225978723E-3</v>
      </c>
      <c r="AE194" s="305">
        <f t="shared" si="62"/>
        <v>0.7</v>
      </c>
      <c r="AF194" s="177">
        <f t="shared" si="63"/>
        <v>0.84286126680971218</v>
      </c>
      <c r="AG194" s="176">
        <f t="shared" si="64"/>
        <v>-2</v>
      </c>
      <c r="AH194" s="176">
        <f t="shared" si="65"/>
        <v>4</v>
      </c>
      <c r="AI194" s="225">
        <f t="shared" si="66"/>
        <v>-1.1571387331902878</v>
      </c>
      <c r="AJ194" s="265" t="b">
        <f t="shared" si="67"/>
        <v>1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20">
        <v>47.822000000000003</v>
      </c>
      <c r="C195" s="390"/>
      <c r="D195" s="393">
        <f t="shared" si="48"/>
        <v>48.24598517902681</v>
      </c>
      <c r="E195" s="385">
        <f t="shared" si="73"/>
        <v>50.526368813870853</v>
      </c>
      <c r="F195" s="385">
        <f t="shared" si="49"/>
        <v>50.628885436696059</v>
      </c>
      <c r="G195" s="110">
        <f t="shared" si="74"/>
        <v>0.87775013754331876</v>
      </c>
      <c r="H195" s="414" t="b">
        <f>Wh_hp&gt;='2018'!Maxi_hp</f>
        <v>1</v>
      </c>
      <c r="I195" s="390">
        <f>IF(H195,Wh_hp,'2018'!Maxi_hp)</f>
        <v>50.628885436696059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8.7879888337552003E-3</v>
      </c>
      <c r="M195" s="959"/>
      <c r="N195" s="959"/>
      <c r="O195" s="48">
        <f>IF(t&lt;Tnet,'2018'!Resal+('2018'!Salim-'2018'!Resal)*(1-EXP(('2018'!Tnet-t)/('2018'!Tau_j))),Resal+(Salim-Resal)*(1-EXP((Tnet-t)/(Tau_j))))*Salcycl</f>
        <v>4.513254540900271E-2</v>
      </c>
      <c r="P195" s="169">
        <f>(INDEX(Models!$BJ195:$BT195,,T195)*(1-R195)+INDEX(Models!$BJ195:$BT195,,T195+1)*R195-ERP_i)*Q195*Ramure*Pc/MaxiM</f>
        <v>2.4517244716840193E-3</v>
      </c>
      <c r="Q195" s="305">
        <f t="shared" si="51"/>
        <v>0.7</v>
      </c>
      <c r="R195" s="177">
        <f t="shared" si="52"/>
        <v>0.84726186705526763</v>
      </c>
      <c r="S195" s="921">
        <f t="shared" si="53"/>
        <v>-2</v>
      </c>
      <c r="T195" s="176">
        <f t="shared" si="54"/>
        <v>4</v>
      </c>
      <c r="U195" s="251">
        <f t="shared" si="55"/>
        <v>-1.1527381329447324</v>
      </c>
      <c r="V195" s="383">
        <f t="shared" si="56"/>
        <v>54.459171500403329</v>
      </c>
      <c r="W195" s="58"/>
      <c r="X195" s="157">
        <f t="shared" si="57"/>
        <v>43646</v>
      </c>
      <c r="Y195" s="385">
        <f t="shared" si="58"/>
        <v>47.822000000000003</v>
      </c>
      <c r="Z195" s="385">
        <f t="shared" si="59"/>
        <v>48.24598517902681</v>
      </c>
      <c r="AA195" s="386">
        <f t="shared" si="60"/>
        <v>50.526368813870853</v>
      </c>
      <c r="AB195" s="197">
        <f t="shared" si="61"/>
        <v>43646</v>
      </c>
      <c r="AC195" s="427">
        <f>IF(OR(t&lt;Tnet,NoTnet),'2018'!Resal_s+('2018'!Salim-'2018'!Resal_s)*(1-EXP(('2018'!Tnet_s-t)/'2018'!Tau_j)),Resal_s+(Salim-Resal_s)*(1-EXP((Tnet_s-t)/Tau_j)))*Salcycl</f>
        <v>4.513254540900271E-2</v>
      </c>
      <c r="AD195" s="231">
        <f>(INDEX(Models!$BJ195:$BT195,,AH195)*(1-AF195)+INDEX(Models!$BJ195:$BT195,,AH195+1)*AF195-ERP_i)*AE195*Ramure*Pc/MaxiM</f>
        <v>2.4517244716840193E-3</v>
      </c>
      <c r="AE195" s="305">
        <f t="shared" si="62"/>
        <v>0.7</v>
      </c>
      <c r="AF195" s="177">
        <f t="shared" si="63"/>
        <v>0.84726186705526763</v>
      </c>
      <c r="AG195" s="176">
        <f t="shared" si="64"/>
        <v>-2</v>
      </c>
      <c r="AH195" s="176">
        <f t="shared" si="65"/>
        <v>4</v>
      </c>
      <c r="AI195" s="225">
        <f t="shared" si="66"/>
        <v>-1.1527381329447324</v>
      </c>
      <c r="AJ195" s="265" t="b">
        <f t="shared" si="67"/>
        <v>1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20">
        <v>19.227</v>
      </c>
      <c r="C196" s="390"/>
      <c r="D196" s="393">
        <f t="shared" si="48"/>
        <v>19.397889566779899</v>
      </c>
      <c r="E196" s="385">
        <f t="shared" si="73"/>
        <v>20.316962994415768</v>
      </c>
      <c r="F196" s="385">
        <f t="shared" si="49"/>
        <v>20.320779461884474</v>
      </c>
      <c r="G196" s="110">
        <f t="shared" si="74"/>
        <v>0.35285050607579554</v>
      </c>
      <c r="H196" s="414" t="b">
        <f>Wh_hp&gt;='2018'!Maxi_hp</f>
        <v>1</v>
      </c>
      <c r="I196" s="390">
        <f>IF(H196,Wh_hp,'2018'!Maxi_hp)</f>
        <v>20.320779461884474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8.8096989206782883E-3</v>
      </c>
      <c r="M196" s="959"/>
      <c r="N196" s="959"/>
      <c r="O196" s="48">
        <f>IF(t&lt;Tnet,'2018'!Resal+('2018'!Salim-'2018'!Resal)*(1-EXP(('2018'!Tnet-t)/('2018'!Tau_j))),Resal+(Salim-Resal)*(1-EXP((Tnet-t)/(Tau_j))))*Salcycl</f>
        <v>4.5236752554428585E-2</v>
      </c>
      <c r="P196" s="169">
        <f>(INDEX(Models!$BJ196:$BT196,,T196)*(1-R196)+INDEX(Models!$BJ196:$BT196,,T196+1)*R196-ERP_i)*Q196*Ramure*Pc/MaxiM</f>
        <v>2.4504326012701988E-3</v>
      </c>
      <c r="Q196" s="305">
        <f t="shared" si="51"/>
        <v>0.7</v>
      </c>
      <c r="R196" s="177">
        <f t="shared" si="52"/>
        <v>0.85159263457621059</v>
      </c>
      <c r="S196" s="921">
        <f t="shared" si="53"/>
        <v>-2</v>
      </c>
      <c r="T196" s="176">
        <f t="shared" si="54"/>
        <v>4</v>
      </c>
      <c r="U196" s="251">
        <f t="shared" si="55"/>
        <v>-1.1484073654237894</v>
      </c>
      <c r="V196" s="383">
        <f t="shared" si="56"/>
        <v>54.367184044410216</v>
      </c>
      <c r="W196" s="58"/>
      <c r="X196" s="157">
        <f t="shared" si="57"/>
        <v>43647</v>
      </c>
      <c r="Y196" s="385">
        <f t="shared" si="58"/>
        <v>19.227</v>
      </c>
      <c r="Z196" s="385">
        <f t="shared" si="59"/>
        <v>19.397889566779899</v>
      </c>
      <c r="AA196" s="386">
        <f t="shared" si="60"/>
        <v>20.316962994415768</v>
      </c>
      <c r="AB196" s="197">
        <f t="shared" si="61"/>
        <v>43647</v>
      </c>
      <c r="AC196" s="427">
        <f>IF(OR(t&lt;Tnet,NoTnet),'2018'!Resal_s+('2018'!Salim-'2018'!Resal_s)*(1-EXP(('2018'!Tnet_s-t)/'2018'!Tau_j)),Resal_s+(Salim-Resal_s)*(1-EXP((Tnet_s-t)/Tau_j)))*Salcycl</f>
        <v>4.5236752554428585E-2</v>
      </c>
      <c r="AD196" s="231">
        <f>(INDEX(Models!$BJ196:$BT196,,AH196)*(1-AF196)+INDEX(Models!$BJ196:$BT196,,AH196+1)*AF196-ERP_i)*AE196*Ramure*Pc/MaxiM</f>
        <v>2.4504326012701988E-3</v>
      </c>
      <c r="AE196" s="305">
        <f t="shared" si="62"/>
        <v>0.7</v>
      </c>
      <c r="AF196" s="177">
        <f t="shared" si="63"/>
        <v>0.85159263457621059</v>
      </c>
      <c r="AG196" s="176">
        <f t="shared" si="64"/>
        <v>-2</v>
      </c>
      <c r="AH196" s="176">
        <f t="shared" si="65"/>
        <v>4</v>
      </c>
      <c r="AI196" s="225">
        <f t="shared" si="66"/>
        <v>-1.1484073654237894</v>
      </c>
      <c r="AJ196" s="265" t="b">
        <f t="shared" si="67"/>
        <v>1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20">
        <v>29.036999999999999</v>
      </c>
      <c r="C197" s="390"/>
      <c r="D197" s="393">
        <f t="shared" si="48"/>
        <v>29.295722493583714</v>
      </c>
      <c r="E197" s="385">
        <f t="shared" si="73"/>
        <v>30.687081816334953</v>
      </c>
      <c r="F197" s="385">
        <f t="shared" si="49"/>
        <v>30.712300117530923</v>
      </c>
      <c r="G197" s="110">
        <f t="shared" si="74"/>
        <v>0.53413276435719115</v>
      </c>
      <c r="H197" s="414" t="b">
        <f>Wh_hp&gt;='2018'!Maxi_hp</f>
        <v>1</v>
      </c>
      <c r="I197" s="390">
        <f>IF(H197,Wh_hp,'2018'!Maxi_hp)</f>
        <v>30.712300117530923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8.8314085320947422E-3</v>
      </c>
      <c r="M197" s="959"/>
      <c r="N197" s="959"/>
      <c r="O197" s="48">
        <f>IF(t&lt;Tnet,'2018'!Resal+('2018'!Salim-'2018'!Resal)*(1-EXP(('2018'!Tnet-t)/('2018'!Tau_j))),Resal+(Salim-Resal)*(1-EXP((Tnet-t)/(Tau_j))))*Salcycl</f>
        <v>4.5340229190858047E-2</v>
      </c>
      <c r="P197" s="169">
        <f>(INDEX(Models!$BJ197:$BT197,,T197)*(1-R197)+INDEX(Models!$BJ197:$BT197,,T197+1)*R197-ERP_i)*Q197*Ramure*Pc/MaxiM</f>
        <v>2.4458434047087379E-3</v>
      </c>
      <c r="Q197" s="305">
        <f t="shared" si="51"/>
        <v>0.7</v>
      </c>
      <c r="R197" s="177">
        <f t="shared" si="52"/>
        <v>0.85585164988387108</v>
      </c>
      <c r="S197" s="921">
        <f t="shared" si="53"/>
        <v>-2</v>
      </c>
      <c r="T197" s="176">
        <f t="shared" si="54"/>
        <v>4</v>
      </c>
      <c r="U197" s="251">
        <f t="shared" si="55"/>
        <v>-1.1441483501161289</v>
      </c>
      <c r="V197" s="383">
        <f t="shared" si="56"/>
        <v>54.274491097589042</v>
      </c>
      <c r="W197" s="58"/>
      <c r="X197" s="157">
        <f t="shared" si="57"/>
        <v>43648</v>
      </c>
      <c r="Y197" s="385">
        <f t="shared" si="58"/>
        <v>29.036999999999999</v>
      </c>
      <c r="Z197" s="385">
        <f t="shared" si="59"/>
        <v>29.295722493583714</v>
      </c>
      <c r="AA197" s="386">
        <f t="shared" si="60"/>
        <v>30.687081816334953</v>
      </c>
      <c r="AB197" s="197">
        <f t="shared" si="61"/>
        <v>43648</v>
      </c>
      <c r="AC197" s="427">
        <f>IF(OR(t&lt;Tnet,NoTnet),'2018'!Resal_s+('2018'!Salim-'2018'!Resal_s)*(1-EXP(('2018'!Tnet_s-t)/'2018'!Tau_j)),Resal_s+(Salim-Resal_s)*(1-EXP((Tnet_s-t)/Tau_j)))*Salcycl</f>
        <v>4.5340229190858047E-2</v>
      </c>
      <c r="AD197" s="231">
        <f>(INDEX(Models!$BJ197:$BT197,,AH197)*(1-AF197)+INDEX(Models!$BJ197:$BT197,,AH197+1)*AF197-ERP_i)*AE197*Ramure*Pc/MaxiM</f>
        <v>2.4458434047087379E-3</v>
      </c>
      <c r="AE197" s="305">
        <f t="shared" si="62"/>
        <v>0.7</v>
      </c>
      <c r="AF197" s="177">
        <f t="shared" si="63"/>
        <v>0.85585164988387108</v>
      </c>
      <c r="AG197" s="176">
        <f t="shared" si="64"/>
        <v>-2</v>
      </c>
      <c r="AH197" s="176">
        <f t="shared" si="65"/>
        <v>4</v>
      </c>
      <c r="AI197" s="225">
        <f t="shared" si="66"/>
        <v>-1.1441483501161289</v>
      </c>
      <c r="AJ197" s="265" t="b">
        <f t="shared" si="67"/>
        <v>1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20">
        <v>46.685000000000002</v>
      </c>
      <c r="C198" s="390"/>
      <c r="D198" s="393">
        <f t="shared" si="48"/>
        <v>47.101999544365057</v>
      </c>
      <c r="E198" s="385">
        <f t="shared" si="73"/>
        <v>49.344354386977869</v>
      </c>
      <c r="F198" s="385">
        <f t="shared" si="49"/>
        <v>49.441031489628365</v>
      </c>
      <c r="G198" s="110">
        <f t="shared" si="74"/>
        <v>0.86123085977012825</v>
      </c>
      <c r="H198" s="414" t="b">
        <f>Wh_hp&gt;='2018'!Maxi_hp</f>
        <v>1</v>
      </c>
      <c r="I198" s="390">
        <f>IF(H198,Wh_hp,'2018'!Maxi_hp)</f>
        <v>49.441031489628365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8.8531176680149981E-3</v>
      </c>
      <c r="M198" s="959"/>
      <c r="N198" s="959"/>
      <c r="O198" s="48">
        <f>IF(t&lt;Tnet,'2018'!Resal+('2018'!Salim-'2018'!Resal)*(1-EXP(('2018'!Tnet-t)/('2018'!Tau_j))),Resal+(Salim-Resal)*(1-EXP((Tnet-t)/(Tau_j))))*Salcycl</f>
        <v>4.5442986750366322E-2</v>
      </c>
      <c r="P198" s="169">
        <f>(INDEX(Models!$BJ198:$BT198,,T198)*(1-R198)+INDEX(Models!$BJ198:$BT198,,T198+1)*R198-ERP_i)*Q198*Ramure*Pc/MaxiM</f>
        <v>2.4370863702758839E-3</v>
      </c>
      <c r="Q198" s="305">
        <f t="shared" si="51"/>
        <v>0.7</v>
      </c>
      <c r="R198" s="177">
        <f t="shared" si="52"/>
        <v>0.86003717565116755</v>
      </c>
      <c r="S198" s="921">
        <f t="shared" si="53"/>
        <v>-2</v>
      </c>
      <c r="T198" s="176">
        <f t="shared" si="54"/>
        <v>4</v>
      </c>
      <c r="U198" s="251">
        <f t="shared" si="55"/>
        <v>-1.1399628243488324</v>
      </c>
      <c r="V198" s="383">
        <f t="shared" si="56"/>
        <v>54.181138527373463</v>
      </c>
      <c r="W198" s="58"/>
      <c r="X198" s="157">
        <f t="shared" si="57"/>
        <v>43649</v>
      </c>
      <c r="Y198" s="385">
        <f t="shared" si="58"/>
        <v>46.685000000000002</v>
      </c>
      <c r="Z198" s="385">
        <f t="shared" si="59"/>
        <v>47.101999544365057</v>
      </c>
      <c r="AA198" s="386">
        <f t="shared" si="60"/>
        <v>49.344354386977869</v>
      </c>
      <c r="AB198" s="197">
        <f t="shared" si="61"/>
        <v>43649</v>
      </c>
      <c r="AC198" s="427">
        <f>IF(OR(t&lt;Tnet,NoTnet),'2018'!Resal_s+('2018'!Salim-'2018'!Resal_s)*(1-EXP(('2018'!Tnet_s-t)/'2018'!Tau_j)),Resal_s+(Salim-Resal_s)*(1-EXP((Tnet_s-t)/Tau_j)))*Salcycl</f>
        <v>4.5442986750366322E-2</v>
      </c>
      <c r="AD198" s="231">
        <f>(INDEX(Models!$BJ198:$BT198,,AH198)*(1-AF198)+INDEX(Models!$BJ198:$BT198,,AH198+1)*AF198-ERP_i)*AE198*Ramure*Pc/MaxiM</f>
        <v>2.4370863702758839E-3</v>
      </c>
      <c r="AE198" s="305">
        <f t="shared" si="62"/>
        <v>0.7</v>
      </c>
      <c r="AF198" s="177">
        <f t="shared" si="63"/>
        <v>0.86003717565116755</v>
      </c>
      <c r="AG198" s="176">
        <f t="shared" si="64"/>
        <v>-2</v>
      </c>
      <c r="AH198" s="176">
        <f t="shared" si="65"/>
        <v>4</v>
      </c>
      <c r="AI198" s="225">
        <f t="shared" si="66"/>
        <v>-1.1399628243488324</v>
      </c>
      <c r="AJ198" s="265" t="b">
        <f t="shared" si="67"/>
        <v>1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20">
        <v>52.610999999999997</v>
      </c>
      <c r="C199" s="390"/>
      <c r="D199" s="393">
        <f t="shared" si="48"/>
        <v>53.08209436867233</v>
      </c>
      <c r="E199" s="385">
        <f t="shared" si="73"/>
        <v>55.615085563624262</v>
      </c>
      <c r="F199" s="385">
        <f t="shared" si="49"/>
        <v>55.745011407918014</v>
      </c>
      <c r="G199" s="110">
        <f t="shared" si="74"/>
        <v>0.9726172859732598</v>
      </c>
      <c r="H199" s="414" t="b">
        <f>Wh_hp&gt;='2018'!Maxi_hp</f>
        <v>1</v>
      </c>
      <c r="I199" s="390">
        <f>IF(H199,Wh_hp,'2018'!Maxi_hp)</f>
        <v>55.745011407918014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8.8748263284494922E-3</v>
      </c>
      <c r="M199" s="959"/>
      <c r="N199" s="959"/>
      <c r="O199" s="48">
        <f>IF(t&lt;Tnet,'2018'!Resal+('2018'!Salim-'2018'!Resal)*(1-EXP(('2018'!Tnet-t)/('2018'!Tau_j))),Resal+(Salim-Resal)*(1-EXP((Tnet-t)/(Tau_j))))*Salcycl</f>
        <v>4.5545038172316754E-2</v>
      </c>
      <c r="P199" s="169">
        <f>(INDEX(Models!$BJ199:$BT199,,T199)*(1-R199)+INDEX(Models!$BJ199:$BT199,,T199+1)*R199-ERP_i)*Q199*Ramure*Pc/MaxiM</f>
        <v>2.4252696696192219E-3</v>
      </c>
      <c r="Q199" s="305">
        <f t="shared" si="51"/>
        <v>0.7</v>
      </c>
      <c r="R199" s="177">
        <f t="shared" si="52"/>
        <v>0.86414765587512488</v>
      </c>
      <c r="S199" s="921">
        <f t="shared" si="53"/>
        <v>-2</v>
      </c>
      <c r="T199" s="176">
        <f t="shared" si="54"/>
        <v>4</v>
      </c>
      <c r="U199" s="251">
        <f t="shared" si="55"/>
        <v>-1.1358523441248751</v>
      </c>
      <c r="V199" s="383">
        <f t="shared" si="56"/>
        <v>54.087064486227945</v>
      </c>
      <c r="W199" s="58"/>
      <c r="X199" s="157">
        <f t="shared" si="57"/>
        <v>43650</v>
      </c>
      <c r="Y199" s="385">
        <f t="shared" si="58"/>
        <v>52.610999999999997</v>
      </c>
      <c r="Z199" s="385">
        <f t="shared" si="59"/>
        <v>53.08209436867233</v>
      </c>
      <c r="AA199" s="386">
        <f t="shared" si="60"/>
        <v>55.615085563624262</v>
      </c>
      <c r="AB199" s="197">
        <f t="shared" si="61"/>
        <v>43650</v>
      </c>
      <c r="AC199" s="427">
        <f>IF(OR(t&lt;Tnet,NoTnet),'2018'!Resal_s+('2018'!Salim-'2018'!Resal_s)*(1-EXP(('2018'!Tnet_s-t)/'2018'!Tau_j)),Resal_s+(Salim-Resal_s)*(1-EXP((Tnet_s-t)/Tau_j)))*Salcycl</f>
        <v>4.5545038172316754E-2</v>
      </c>
      <c r="AD199" s="231">
        <f>(INDEX(Models!$BJ199:$BT199,,AH199)*(1-AF199)+INDEX(Models!$BJ199:$BT199,,AH199+1)*AF199-ERP_i)*AE199*Ramure*Pc/MaxiM</f>
        <v>2.4252696696192219E-3</v>
      </c>
      <c r="AE199" s="305">
        <f t="shared" si="62"/>
        <v>0.7</v>
      </c>
      <c r="AF199" s="177">
        <f t="shared" si="63"/>
        <v>0.86414765587512488</v>
      </c>
      <c r="AG199" s="176">
        <f t="shared" si="64"/>
        <v>-2</v>
      </c>
      <c r="AH199" s="176">
        <f t="shared" si="65"/>
        <v>4</v>
      </c>
      <c r="AI199" s="225">
        <f t="shared" si="66"/>
        <v>-1.1358523441248751</v>
      </c>
      <c r="AJ199" s="265" t="b">
        <f t="shared" si="67"/>
        <v>1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20">
        <v>51.161000000000001</v>
      </c>
      <c r="C200" s="390"/>
      <c r="D200" s="393">
        <f t="shared" si="48"/>
        <v>51.620241257941764</v>
      </c>
      <c r="E200" s="385">
        <f t="shared" si="73"/>
        <v>54.089219277241774</v>
      </c>
      <c r="F200" s="385">
        <f t="shared" si="49"/>
        <v>54.210096477431442</v>
      </c>
      <c r="G200" s="110">
        <f t="shared" si="74"/>
        <v>0.9473900987632875</v>
      </c>
      <c r="H200" s="414" t="b">
        <f>Wh_hp&gt;='2018'!Maxi_hp</f>
        <v>1</v>
      </c>
      <c r="I200" s="390">
        <f>IF(H200,Wh_hp,'2018'!Maxi_hp)</f>
        <v>54.210096477431442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8.8965345134086604E-3</v>
      </c>
      <c r="M200" s="959"/>
      <c r="N200" s="959"/>
      <c r="O200" s="48">
        <f>IF(t&lt;Tnet,'2018'!Resal+('2018'!Salim-'2018'!Resal)*(1-EXP(('2018'!Tnet-t)/('2018'!Tau_j))),Resal+(Salim-Resal)*(1-EXP((Tnet-t)/(Tau_j))))*Salcycl</f>
        <v>4.5646397790378983E-2</v>
      </c>
      <c r="P200" s="169">
        <f>(INDEX(Models!$BJ200:$BT200,,T200)*(1-R200)+INDEX(Models!$BJ200:$BT200,,T200+1)*R200-ERP_i)*Q200*Ramure*Pc/MaxiM</f>
        <v>2.4103559382172607E-3</v>
      </c>
      <c r="Q200" s="305">
        <f t="shared" si="51"/>
        <v>0.7</v>
      </c>
      <c r="R200" s="177">
        <f t="shared" si="52"/>
        <v>0.86818171423509849</v>
      </c>
      <c r="S200" s="921">
        <f t="shared" si="53"/>
        <v>-2</v>
      </c>
      <c r="T200" s="176">
        <f t="shared" si="54"/>
        <v>4</v>
      </c>
      <c r="U200" s="251">
        <f t="shared" si="55"/>
        <v>-1.1318182857649015</v>
      </c>
      <c r="V200" s="383">
        <f t="shared" si="56"/>
        <v>53.992269450072065</v>
      </c>
      <c r="W200" s="58"/>
      <c r="X200" s="157">
        <f t="shared" si="57"/>
        <v>43651</v>
      </c>
      <c r="Y200" s="385">
        <f t="shared" si="58"/>
        <v>51.161000000000001</v>
      </c>
      <c r="Z200" s="385">
        <f t="shared" si="59"/>
        <v>51.620241257941764</v>
      </c>
      <c r="AA200" s="386">
        <f t="shared" si="60"/>
        <v>54.089219277241774</v>
      </c>
      <c r="AB200" s="197">
        <f t="shared" si="61"/>
        <v>43651</v>
      </c>
      <c r="AC200" s="427">
        <f>IF(OR(t&lt;Tnet,NoTnet),'2018'!Resal_s+('2018'!Salim-'2018'!Resal_s)*(1-EXP(('2018'!Tnet_s-t)/'2018'!Tau_j)),Resal_s+(Salim-Resal_s)*(1-EXP((Tnet_s-t)/Tau_j)))*Salcycl</f>
        <v>4.5646397790378983E-2</v>
      </c>
      <c r="AD200" s="231">
        <f>(INDEX(Models!$BJ200:$BT200,,AH200)*(1-AF200)+INDEX(Models!$BJ200:$BT200,,AH200+1)*AF200-ERP_i)*AE200*Ramure*Pc/MaxiM</f>
        <v>2.4103559382172607E-3</v>
      </c>
      <c r="AE200" s="305">
        <f t="shared" si="62"/>
        <v>0.7</v>
      </c>
      <c r="AF200" s="177">
        <f t="shared" si="63"/>
        <v>0.86818171423509849</v>
      </c>
      <c r="AG200" s="176">
        <f t="shared" si="64"/>
        <v>-2</v>
      </c>
      <c r="AH200" s="176">
        <f t="shared" si="65"/>
        <v>4</v>
      </c>
      <c r="AI200" s="225">
        <f t="shared" si="66"/>
        <v>-1.1318182857649015</v>
      </c>
      <c r="AJ200" s="265" t="b">
        <f t="shared" si="67"/>
        <v>1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20">
        <v>51.539000000000001</v>
      </c>
      <c r="C201" s="390"/>
      <c r="D201" s="393">
        <f t="shared" si="48"/>
        <v>52.002773328809035</v>
      </c>
      <c r="E201" s="385">
        <f t="shared" si="73"/>
        <v>54.495796978986057</v>
      </c>
      <c r="F201" s="385">
        <f t="shared" si="49"/>
        <v>54.618295227831183</v>
      </c>
      <c r="G201" s="110">
        <f t="shared" si="74"/>
        <v>0.95611096934378415</v>
      </c>
      <c r="H201" s="414" t="b">
        <f>Wh_hp&gt;='2018'!Maxi_hp</f>
        <v>1</v>
      </c>
      <c r="I201" s="390">
        <f>IF(H201,Wh_hp,'2018'!Maxi_hp)</f>
        <v>54.618295227831183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8.918242222902828E-3</v>
      </c>
      <c r="M201" s="959"/>
      <c r="N201" s="959"/>
      <c r="O201" s="48">
        <f>IF(t&lt;Tnet,'2018'!Resal+('2018'!Salim-'2018'!Resal)*(1-EXP(('2018'!Tnet-t)/('2018'!Tau_j))),Resal+(Salim-Resal)*(1-EXP((Tnet-t)/(Tau_j))))*Salcycl</f>
        <v>4.5747081213223718E-2</v>
      </c>
      <c r="P201" s="169">
        <f>(INDEX(Models!$BJ201:$BT201,,T201)*(1-R201)+INDEX(Models!$BJ201:$BT201,,T201+1)*R201-ERP_i)*Q201*Ramure*Pc/MaxiM</f>
        <v>2.3923110551696829E-3</v>
      </c>
      <c r="Q201" s="305">
        <f t="shared" si="51"/>
        <v>0.7</v>
      </c>
      <c r="R201" s="177">
        <f t="shared" si="52"/>
        <v>0.87213815169622477</v>
      </c>
      <c r="S201" s="921">
        <f t="shared" si="53"/>
        <v>-2</v>
      </c>
      <c r="T201" s="176">
        <f t="shared" si="54"/>
        <v>4</v>
      </c>
      <c r="U201" s="251">
        <f t="shared" si="55"/>
        <v>-1.1278618483037752</v>
      </c>
      <c r="V201" s="383">
        <f t="shared" si="56"/>
        <v>53.896753618493328</v>
      </c>
      <c r="W201" s="58"/>
      <c r="X201" s="157">
        <f t="shared" si="57"/>
        <v>43652</v>
      </c>
      <c r="Y201" s="385">
        <f t="shared" si="58"/>
        <v>51.539000000000001</v>
      </c>
      <c r="Z201" s="385">
        <f t="shared" si="59"/>
        <v>52.002773328809035</v>
      </c>
      <c r="AA201" s="386">
        <f t="shared" si="60"/>
        <v>54.495796978986057</v>
      </c>
      <c r="AB201" s="197">
        <f t="shared" si="61"/>
        <v>43652</v>
      </c>
      <c r="AC201" s="427">
        <f>IF(OR(t&lt;Tnet,NoTnet),'2018'!Resal_s+('2018'!Salim-'2018'!Resal_s)*(1-EXP(('2018'!Tnet_s-t)/'2018'!Tau_j)),Resal_s+(Salim-Resal_s)*(1-EXP((Tnet_s-t)/Tau_j)))*Salcycl</f>
        <v>4.5747081213223718E-2</v>
      </c>
      <c r="AD201" s="231">
        <f>(INDEX(Models!$BJ201:$BT201,,AH201)*(1-AF201)+INDEX(Models!$BJ201:$BT201,,AH201+1)*AF201-ERP_i)*AE201*Ramure*Pc/MaxiM</f>
        <v>2.3923110551696829E-3</v>
      </c>
      <c r="AE201" s="305">
        <f t="shared" si="62"/>
        <v>0.7</v>
      </c>
      <c r="AF201" s="177">
        <f t="shared" si="63"/>
        <v>0.87213815169622477</v>
      </c>
      <c r="AG201" s="176">
        <f t="shared" si="64"/>
        <v>-2</v>
      </c>
      <c r="AH201" s="176">
        <f t="shared" si="65"/>
        <v>4</v>
      </c>
      <c r="AI201" s="225">
        <f t="shared" si="66"/>
        <v>-1.1278618483037752</v>
      </c>
      <c r="AJ201" s="265" t="b">
        <f t="shared" si="67"/>
        <v>1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20">
        <v>45.000999999999998</v>
      </c>
      <c r="C202" s="390"/>
      <c r="D202" s="393">
        <f t="shared" si="48"/>
        <v>45.406935710244213</v>
      </c>
      <c r="E202" s="385">
        <f t="shared" si="73"/>
        <v>47.588741760044435</v>
      </c>
      <c r="F202" s="385">
        <f t="shared" si="49"/>
        <v>47.675371945351394</v>
      </c>
      <c r="G202" s="110">
        <f t="shared" si="74"/>
        <v>0.8359775287464668</v>
      </c>
      <c r="H202" s="414" t="b">
        <f>Wh_hp&gt;='2018'!Maxi_hp</f>
        <v>0</v>
      </c>
      <c r="I202" s="390">
        <f>IF(H202,Wh_hp,'2018'!Maxi_hp)</f>
        <v>56.989181729783134</v>
      </c>
      <c r="J202" s="85">
        <f>IF(H202,An,'2018'!An_max)</f>
        <v>2018</v>
      </c>
      <c r="K202" s="197">
        <f t="shared" si="50"/>
        <v>43653</v>
      </c>
      <c r="L202" s="147">
        <f>IF(t&lt;Tvie,1-EXP((T0-t)*PertePVj)+'2018'!Pspv,1-EXP((T0-t)*PertePVj)+Pspv)</f>
        <v>8.9399494569424309E-3</v>
      </c>
      <c r="M202" s="959"/>
      <c r="N202" s="959"/>
      <c r="O202" s="48">
        <f>IF(t&lt;Tnet,'2018'!Resal+('2018'!Salim-'2018'!Resal)*(1-EXP(('2018'!Tnet-t)/('2018'!Tau_j))),Resal+(Salim-Resal)*(1-EXP((Tnet-t)/(Tau_j))))*Salcycl</f>
        <v>4.5847105199828431E-2</v>
      </c>
      <c r="P202" s="169">
        <f>(INDEX(Models!$BJ202:$BT202,,T202)*(1-R202)+INDEX(Models!$BJ202:$BT202,,T202+1)*R202-ERP_i)*Q202*Ramure*Pc/MaxiM</f>
        <v>2.3711039869155738E-3</v>
      </c>
      <c r="Q202" s="305">
        <f t="shared" si="51"/>
        <v>0.7</v>
      </c>
      <c r="R202" s="177">
        <f t="shared" si="52"/>
        <v>0.87601594341126443</v>
      </c>
      <c r="S202" s="921">
        <f t="shared" si="53"/>
        <v>-2</v>
      </c>
      <c r="T202" s="176">
        <f t="shared" si="54"/>
        <v>4</v>
      </c>
      <c r="U202" s="251">
        <f t="shared" si="55"/>
        <v>-1.1239840565887356</v>
      </c>
      <c r="V202" s="383">
        <f t="shared" si="56"/>
        <v>53.800516931494144</v>
      </c>
      <c r="W202" s="58"/>
      <c r="X202" s="157">
        <f t="shared" si="57"/>
        <v>43653</v>
      </c>
      <c r="Y202" s="385">
        <f t="shared" si="58"/>
        <v>45.000999999999998</v>
      </c>
      <c r="Z202" s="385">
        <f t="shared" si="59"/>
        <v>45.406935710244213</v>
      </c>
      <c r="AA202" s="386">
        <f t="shared" si="60"/>
        <v>47.588741760044435</v>
      </c>
      <c r="AB202" s="197">
        <f t="shared" si="61"/>
        <v>43653</v>
      </c>
      <c r="AC202" s="427">
        <f>IF(OR(t&lt;Tnet,NoTnet),'2018'!Resal_s+('2018'!Salim-'2018'!Resal_s)*(1-EXP(('2018'!Tnet_s-t)/'2018'!Tau_j)),Resal_s+(Salim-Resal_s)*(1-EXP((Tnet_s-t)/Tau_j)))*Salcycl</f>
        <v>4.5847105199828431E-2</v>
      </c>
      <c r="AD202" s="231">
        <f>(INDEX(Models!$BJ202:$BT202,,AH202)*(1-AF202)+INDEX(Models!$BJ202:$BT202,,AH202+1)*AF202-ERP_i)*AE202*Ramure*Pc/MaxiM</f>
        <v>2.3711039869155738E-3</v>
      </c>
      <c r="AE202" s="305">
        <f t="shared" si="62"/>
        <v>0.7</v>
      </c>
      <c r="AF202" s="177">
        <f t="shared" si="63"/>
        <v>0.87601594341126443</v>
      </c>
      <c r="AG202" s="176">
        <f t="shared" si="64"/>
        <v>-2</v>
      </c>
      <c r="AH202" s="176">
        <f t="shared" si="65"/>
        <v>4</v>
      </c>
      <c r="AI202" s="225">
        <f t="shared" si="66"/>
        <v>-1.1239840565887356</v>
      </c>
      <c r="AJ202" s="265" t="b">
        <f t="shared" si="67"/>
        <v>1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20">
        <v>32.787999999999997</v>
      </c>
      <c r="C203" s="390"/>
      <c r="D203" s="393">
        <f t="shared" si="48"/>
        <v>33.084491841953351</v>
      </c>
      <c r="E203" s="385">
        <f t="shared" si="73"/>
        <v>34.677815667081205</v>
      </c>
      <c r="F203" s="385">
        <f t="shared" si="49"/>
        <v>34.713954818221779</v>
      </c>
      <c r="G203" s="110">
        <f t="shared" si="74"/>
        <v>0.60973883763498116</v>
      </c>
      <c r="H203" s="414" t="b">
        <f>Wh_hp&gt;='2018'!Maxi_hp</f>
        <v>0</v>
      </c>
      <c r="I203" s="390">
        <f>IF(H203,Wh_hp,'2018'!Maxi_hp)</f>
        <v>57.026884503007572</v>
      </c>
      <c r="J203" s="85">
        <f>IF(H203,An,'2018'!An_max)</f>
        <v>2018</v>
      </c>
      <c r="K203" s="197">
        <f t="shared" si="50"/>
        <v>43654</v>
      </c>
      <c r="L203" s="147">
        <f>IF(t&lt;Tvie,1-EXP((T0-t)*PertePVj)+'2018'!Pspv,1-EXP((T0-t)*PertePVj)+Pspv)</f>
        <v>8.9616562155379054E-3</v>
      </c>
      <c r="M203" s="959"/>
      <c r="N203" s="959"/>
      <c r="O203" s="48">
        <f>IF(t&lt;Tnet,'2018'!Resal+('2018'!Salim-'2018'!Resal)*(1-EXP(('2018'!Tnet-t)/('2018'!Tau_j))),Resal+(Salim-Resal)*(1-EXP((Tnet-t)/(Tau_j))))*Salcycl</f>
        <v>4.5946487530365197E-2</v>
      </c>
      <c r="P203" s="169">
        <f>(INDEX(Models!$BJ203:$BT203,,T203)*(1-R203)+INDEX(Models!$BJ203:$BT203,,T203+1)*R203-ERP_i)*Q203*Ramure*Pc/MaxiM</f>
        <v>2.3467066122310311E-3</v>
      </c>
      <c r="Q203" s="305">
        <f t="shared" si="51"/>
        <v>0.7</v>
      </c>
      <c r="R203" s="177">
        <f t="shared" si="52"/>
        <v>0.87981423497686673</v>
      </c>
      <c r="S203" s="921">
        <f t="shared" si="53"/>
        <v>-2</v>
      </c>
      <c r="T203" s="176">
        <f t="shared" si="54"/>
        <v>4</v>
      </c>
      <c r="U203" s="251">
        <f t="shared" si="55"/>
        <v>-1.1201857650231333</v>
      </c>
      <c r="V203" s="383">
        <f t="shared" si="56"/>
        <v>53.703559088218405</v>
      </c>
      <c r="W203" s="58"/>
      <c r="X203" s="157">
        <f t="shared" si="57"/>
        <v>43654</v>
      </c>
      <c r="Y203" s="385">
        <f t="shared" si="58"/>
        <v>32.787999999999997</v>
      </c>
      <c r="Z203" s="385">
        <f t="shared" si="59"/>
        <v>33.084491841953351</v>
      </c>
      <c r="AA203" s="386">
        <f t="shared" si="60"/>
        <v>34.677815667081205</v>
      </c>
      <c r="AB203" s="197">
        <f t="shared" si="61"/>
        <v>43654</v>
      </c>
      <c r="AC203" s="427">
        <f>IF(OR(t&lt;Tnet,NoTnet),'2018'!Resal_s+('2018'!Salim-'2018'!Resal_s)*(1-EXP(('2018'!Tnet_s-t)/'2018'!Tau_j)),Resal_s+(Salim-Resal_s)*(1-EXP((Tnet_s-t)/Tau_j)))*Salcycl</f>
        <v>4.5946487530365197E-2</v>
      </c>
      <c r="AD203" s="231">
        <f>(INDEX(Models!$BJ203:$BT203,,AH203)*(1-AF203)+INDEX(Models!$BJ203:$BT203,,AH203+1)*AF203-ERP_i)*AE203*Ramure*Pc/MaxiM</f>
        <v>2.3467066122310311E-3</v>
      </c>
      <c r="AE203" s="305">
        <f t="shared" si="62"/>
        <v>0.7</v>
      </c>
      <c r="AF203" s="177">
        <f t="shared" si="63"/>
        <v>0.87981423497686673</v>
      </c>
      <c r="AG203" s="176">
        <f t="shared" si="64"/>
        <v>-2</v>
      </c>
      <c r="AH203" s="176">
        <f t="shared" si="65"/>
        <v>4</v>
      </c>
      <c r="AI203" s="225">
        <f t="shared" si="66"/>
        <v>-1.1201857650231333</v>
      </c>
      <c r="AJ203" s="265" t="b">
        <f t="shared" si="67"/>
        <v>1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20">
        <v>20.248000000000001</v>
      </c>
      <c r="C204" s="390"/>
      <c r="D204" s="393">
        <f t="shared" si="48"/>
        <v>20.431543965853379</v>
      </c>
      <c r="E204" s="385">
        <f t="shared" si="73"/>
        <v>21.417728565106984</v>
      </c>
      <c r="F204" s="385">
        <f t="shared" si="49"/>
        <v>21.423244726036575</v>
      </c>
      <c r="G204" s="110">
        <f t="shared" si="74"/>
        <v>0.37694084976574616</v>
      </c>
      <c r="H204" s="414" t="b">
        <f>Wh_hp&gt;='2018'!Maxi_hp</f>
        <v>0</v>
      </c>
      <c r="I204" s="390">
        <f>IF(H204,Wh_hp,'2018'!Maxi_hp)</f>
        <v>55.744094439873535</v>
      </c>
      <c r="J204" s="85">
        <f>IF(H204,An,'2018'!An_max)</f>
        <v>2018</v>
      </c>
      <c r="K204" s="197">
        <f t="shared" si="50"/>
        <v>43655</v>
      </c>
      <c r="L204" s="147">
        <f>IF(t&lt;Tvie,1-EXP((T0-t)*PertePVj)+'2018'!Pspv,1-EXP((T0-t)*PertePVj)+Pspv)</f>
        <v>8.9833624986995764E-3</v>
      </c>
      <c r="M204" s="959"/>
      <c r="N204" s="959"/>
      <c r="O204" s="48">
        <f>IF(t&lt;Tnet,'2018'!Resal+('2018'!Salim-'2018'!Resal)*(1-EXP(('2018'!Tnet-t)/('2018'!Tau_j))),Resal+(Salim-Resal)*(1-EXP((Tnet-t)/(Tau_j))))*Salcycl</f>
        <v>4.6045246873669905E-2</v>
      </c>
      <c r="P204" s="169">
        <f>(INDEX(Models!$BJ204:$BT204,,T204)*(1-R204)+INDEX(Models!$BJ204:$BT204,,T204+1)*R204-ERP_i)*Q204*Ramure*Pc/MaxiM</f>
        <v>2.3190935309421235E-3</v>
      </c>
      <c r="Q204" s="305">
        <f t="shared" si="51"/>
        <v>0.7</v>
      </c>
      <c r="R204" s="177">
        <f t="shared" si="52"/>
        <v>0.88353233810231879</v>
      </c>
      <c r="S204" s="921">
        <f t="shared" si="53"/>
        <v>-2</v>
      </c>
      <c r="T204" s="176">
        <f t="shared" si="54"/>
        <v>4</v>
      </c>
      <c r="U204" s="251">
        <f t="shared" si="55"/>
        <v>-1.1164676618976812</v>
      </c>
      <c r="V204" s="383">
        <f t="shared" si="56"/>
        <v>53.60587956674641</v>
      </c>
      <c r="W204" s="58"/>
      <c r="X204" s="157">
        <f t="shared" si="57"/>
        <v>43655</v>
      </c>
      <c r="Y204" s="385">
        <f t="shared" si="58"/>
        <v>20.248000000000001</v>
      </c>
      <c r="Z204" s="385">
        <f t="shared" si="59"/>
        <v>20.431543965853379</v>
      </c>
      <c r="AA204" s="386">
        <f t="shared" si="60"/>
        <v>21.417728565106984</v>
      </c>
      <c r="AB204" s="197">
        <f t="shared" si="61"/>
        <v>43655</v>
      </c>
      <c r="AC204" s="427">
        <f>IF(OR(t&lt;Tnet,NoTnet),'2018'!Resal_s+('2018'!Salim-'2018'!Resal_s)*(1-EXP(('2018'!Tnet_s-t)/'2018'!Tau_j)),Resal_s+(Salim-Resal_s)*(1-EXP((Tnet_s-t)/Tau_j)))*Salcycl</f>
        <v>4.6045246873669905E-2</v>
      </c>
      <c r="AD204" s="231">
        <f>(INDEX(Models!$BJ204:$BT204,,AH204)*(1-AF204)+INDEX(Models!$BJ204:$BT204,,AH204+1)*AF204-ERP_i)*AE204*Ramure*Pc/MaxiM</f>
        <v>2.3190935309421235E-3</v>
      </c>
      <c r="AE204" s="305">
        <f t="shared" si="62"/>
        <v>0.7</v>
      </c>
      <c r="AF204" s="177">
        <f t="shared" si="63"/>
        <v>0.88353233810231879</v>
      </c>
      <c r="AG204" s="176">
        <f t="shared" si="64"/>
        <v>-2</v>
      </c>
      <c r="AH204" s="176">
        <f t="shared" si="65"/>
        <v>4</v>
      </c>
      <c r="AI204" s="225">
        <f t="shared" si="66"/>
        <v>-1.1164676618976812</v>
      </c>
      <c r="AJ204" s="265" t="b">
        <f t="shared" si="67"/>
        <v>1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20">
        <v>51.978999999999999</v>
      </c>
      <c r="C205" s="390"/>
      <c r="D205" s="393">
        <f t="shared" si="48"/>
        <v>52.451327789507886</v>
      </c>
      <c r="E205" s="385">
        <f t="shared" si="73"/>
        <v>54.988693201216016</v>
      </c>
      <c r="F205" s="385">
        <f t="shared" si="49"/>
        <v>55.109653779652717</v>
      </c>
      <c r="G205" s="110">
        <f t="shared" si="74"/>
        <v>0.97135143856676509</v>
      </c>
      <c r="H205" s="414" t="b">
        <f>Wh_hp&gt;='2018'!Maxi_hp</f>
        <v>0</v>
      </c>
      <c r="I205" s="390">
        <f>IF(H205,Wh_hp,'2018'!Maxi_hp)</f>
        <v>57.125082544615957</v>
      </c>
      <c r="J205" s="85">
        <f>IF(H205,An,'2018'!An_max)</f>
        <v>2018</v>
      </c>
      <c r="K205" s="197">
        <f t="shared" si="50"/>
        <v>43656</v>
      </c>
      <c r="L205" s="147">
        <f>IF(t&lt;Tvie,1-EXP((T0-t)*PertePVj)+'2018'!Pspv,1-EXP((T0-t)*PertePVj)+Pspv)</f>
        <v>9.0050683064379911E-3</v>
      </c>
      <c r="M205" s="959"/>
      <c r="N205" s="959"/>
      <c r="O205" s="48">
        <f>IF(t&lt;Tnet,'2018'!Resal+('2018'!Salim-'2018'!Resal)*(1-EXP(('2018'!Tnet-t)/('2018'!Tau_j))),Resal+(Salim-Resal)*(1-EXP((Tnet-t)/(Tau_j))))*Salcycl</f>
        <v>4.6143402652311413E-2</v>
      </c>
      <c r="P205" s="169">
        <f>(INDEX(Models!$BJ205:$BT205,,T205)*(1-R205)+INDEX(Models!$BJ205:$BT205,,T205+1)*R205-ERP_i)*Q205*Ramure*Pc/MaxiM</f>
        <v>2.2882606802884071E-3</v>
      </c>
      <c r="Q205" s="305">
        <f t="shared" si="51"/>
        <v>0.7</v>
      </c>
      <c r="R205" s="177">
        <f t="shared" si="52"/>
        <v>0.88716972575014763</v>
      </c>
      <c r="S205" s="921">
        <f t="shared" si="53"/>
        <v>-2</v>
      </c>
      <c r="T205" s="176">
        <f t="shared" si="54"/>
        <v>4</v>
      </c>
      <c r="U205" s="251">
        <f t="shared" si="55"/>
        <v>-1.1128302742498524</v>
      </c>
      <c r="V205" s="383">
        <f t="shared" si="56"/>
        <v>53.50703653100102</v>
      </c>
      <c r="W205" s="58"/>
      <c r="X205" s="157">
        <f t="shared" si="57"/>
        <v>43656</v>
      </c>
      <c r="Y205" s="385">
        <f t="shared" si="58"/>
        <v>51.978999999999999</v>
      </c>
      <c r="Z205" s="385">
        <f t="shared" si="59"/>
        <v>52.451327789507886</v>
      </c>
      <c r="AA205" s="386">
        <f t="shared" si="60"/>
        <v>54.988693201216016</v>
      </c>
      <c r="AB205" s="197">
        <f t="shared" si="61"/>
        <v>43656</v>
      </c>
      <c r="AC205" s="427">
        <f>IF(OR(t&lt;Tnet,NoTnet),'2018'!Resal_s+('2018'!Salim-'2018'!Resal_s)*(1-EXP(('2018'!Tnet_s-t)/'2018'!Tau_j)),Resal_s+(Salim-Resal_s)*(1-EXP((Tnet_s-t)/Tau_j)))*Salcycl</f>
        <v>4.6143402652311413E-2</v>
      </c>
      <c r="AD205" s="231">
        <f>(INDEX(Models!$BJ205:$BT205,,AH205)*(1-AF205)+INDEX(Models!$BJ205:$BT205,,AH205+1)*AF205-ERP_i)*AE205*Ramure*Pc/MaxiM</f>
        <v>2.2882606802884071E-3</v>
      </c>
      <c r="AE205" s="305">
        <f t="shared" si="62"/>
        <v>0.7</v>
      </c>
      <c r="AF205" s="177">
        <f t="shared" si="63"/>
        <v>0.88716972575014763</v>
      </c>
      <c r="AG205" s="176">
        <f t="shared" si="64"/>
        <v>-2</v>
      </c>
      <c r="AH205" s="176">
        <f t="shared" si="65"/>
        <v>4</v>
      </c>
      <c r="AI205" s="225">
        <f t="shared" si="66"/>
        <v>-1.1128302742498524</v>
      </c>
      <c r="AJ205" s="265" t="b">
        <f t="shared" si="67"/>
        <v>1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20">
        <v>53.040999999999997</v>
      </c>
      <c r="C206" s="390"/>
      <c r="D206" s="393">
        <f t="shared" si="48"/>
        <v>53.524150389775642</v>
      </c>
      <c r="E206" s="385">
        <f t="shared" si="73"/>
        <v>56.11915481954847</v>
      </c>
      <c r="F206" s="385">
        <f t="shared" si="49"/>
        <v>56.244702289420005</v>
      </c>
      <c r="G206" s="110">
        <f t="shared" si="74"/>
        <v>0.99313016779608443</v>
      </c>
      <c r="H206" s="414" t="b">
        <f>Wh_hp&gt;='2018'!Maxi_hp</f>
        <v>1</v>
      </c>
      <c r="I206" s="390">
        <f>IF(H206,Wh_hp,'2018'!Maxi_hp)</f>
        <v>56.244702289420005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9.0267736387635855E-3</v>
      </c>
      <c r="M206" s="959"/>
      <c r="N206" s="959"/>
      <c r="O206" s="48">
        <f>IF(t&lt;Tnet,'2018'!Resal+('2018'!Salim-'2018'!Resal)*(1-EXP(('2018'!Tnet-t)/('2018'!Tau_j))),Resal+(Salim-Resal)*(1-EXP((Tnet-t)/(Tau_j))))*Salcycl</f>
        <v>4.6240974906287931E-2</v>
      </c>
      <c r="P206" s="169">
        <f>(INDEX(Models!$BJ206:$BT206,,T206)*(1-R206)+INDEX(Models!$BJ206:$BT206,,T206+1)*R206-ERP_i)*Q206*Ramure*Pc/MaxiM</f>
        <v>2.2542175566996974E-3</v>
      </c>
      <c r="Q206" s="305">
        <f t="shared" si="51"/>
        <v>0.7</v>
      </c>
      <c r="R206" s="177">
        <f t="shared" si="52"/>
        <v>0.89072602680851176</v>
      </c>
      <c r="S206" s="921">
        <f t="shared" si="53"/>
        <v>-2</v>
      </c>
      <c r="T206" s="176">
        <f t="shared" si="54"/>
        <v>4</v>
      </c>
      <c r="U206" s="251">
        <f t="shared" si="55"/>
        <v>-1.1092739731914882</v>
      </c>
      <c r="V206" s="383">
        <f t="shared" si="56"/>
        <v>53.406722931879962</v>
      </c>
      <c r="W206" s="58"/>
      <c r="X206" s="157">
        <f t="shared" si="57"/>
        <v>43657</v>
      </c>
      <c r="Y206" s="385">
        <f t="shared" si="58"/>
        <v>53.040999999999997</v>
      </c>
      <c r="Z206" s="385">
        <f t="shared" si="59"/>
        <v>53.524150389775642</v>
      </c>
      <c r="AA206" s="386">
        <f t="shared" si="60"/>
        <v>56.11915481954847</v>
      </c>
      <c r="AB206" s="197">
        <f t="shared" si="61"/>
        <v>43657</v>
      </c>
      <c r="AC206" s="427">
        <f>IF(OR(t&lt;Tnet,NoTnet),'2018'!Resal_s+('2018'!Salim-'2018'!Resal_s)*(1-EXP(('2018'!Tnet_s-t)/'2018'!Tau_j)),Resal_s+(Salim-Resal_s)*(1-EXP((Tnet_s-t)/Tau_j)))*Salcycl</f>
        <v>4.6240974906287931E-2</v>
      </c>
      <c r="AD206" s="231">
        <f>(INDEX(Models!$BJ206:$BT206,,AH206)*(1-AF206)+INDEX(Models!$BJ206:$BT206,,AH206+1)*AF206-ERP_i)*AE206*Ramure*Pc/MaxiM</f>
        <v>2.2542175566996974E-3</v>
      </c>
      <c r="AE206" s="305">
        <f t="shared" si="62"/>
        <v>0.7</v>
      </c>
      <c r="AF206" s="177">
        <f t="shared" si="63"/>
        <v>0.89072602680851176</v>
      </c>
      <c r="AG206" s="176">
        <f t="shared" si="64"/>
        <v>-2</v>
      </c>
      <c r="AH206" s="176">
        <f t="shared" si="65"/>
        <v>4</v>
      </c>
      <c r="AI206" s="225">
        <f t="shared" si="66"/>
        <v>-1.1092739731914882</v>
      </c>
      <c r="AJ206" s="265" t="b">
        <f t="shared" si="67"/>
        <v>1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20">
        <v>54.343000000000004</v>
      </c>
      <c r="C207" s="390"/>
      <c r="D207" s="393">
        <f t="shared" ref="D207:D270" si="75">Wh/(1-Ppv)</f>
        <v>54.83921142530226</v>
      </c>
      <c r="E207" s="385">
        <f t="shared" si="73"/>
        <v>57.503822648101128</v>
      </c>
      <c r="F207" s="385">
        <f t="shared" ref="F207:F270" si="76">Wh_sa/(1-Pvg*MEDIAN((-Sdif+Wh/Env_an)/Csdif,0,1))</f>
        <v>57.631675116560842</v>
      </c>
      <c r="G207" s="110">
        <f t="shared" si="74"/>
        <v>1.019471676122599</v>
      </c>
      <c r="H207" s="414" t="b">
        <f>Wh_hp&gt;='2018'!Maxi_hp</f>
        <v>1</v>
      </c>
      <c r="I207" s="390">
        <f>IF(H207,Wh_hp,'2018'!Maxi_hp)</f>
        <v>57.631675116560842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9.0484784956865738E-3</v>
      </c>
      <c r="M207" s="959"/>
      <c r="N207" s="959"/>
      <c r="O207" s="48">
        <f>IF(t&lt;Tnet,'2018'!Resal+('2018'!Salim-'2018'!Resal)*(1-EXP(('2018'!Tnet-t)/('2018'!Tau_j))),Resal+(Salim-Resal)*(1-EXP((Tnet-t)/(Tau_j))))*Salcycl</f>
        <v>4.633798415637784E-2</v>
      </c>
      <c r="P207" s="169">
        <f>(INDEX(Models!$BJ207:$BT207,,T207)*(1-R207)+INDEX(Models!$BJ207:$BT207,,T207+1)*R207-ERP_i)*Q207*Ramure*Pc/MaxiM</f>
        <v>2.2184409563166785E-3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0.89420102035522997</v>
      </c>
      <c r="S207" s="921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-1.10579897964477</v>
      </c>
      <c r="V207" s="383">
        <f t="shared" ref="V207:V270" si="83">MaxiM*(1-Ppv)*(1-Pvg)*(1-Psa)</f>
        <v>53.305061114287248</v>
      </c>
      <c r="W207" s="58"/>
      <c r="X207" s="157">
        <f t="shared" ref="X207:X270" si="84">t</f>
        <v>43658</v>
      </c>
      <c r="Y207" s="385">
        <f t="shared" ref="Y207:Y270" si="85">Wh_pvt_s*(1-Ppv)</f>
        <v>54.343000000000004</v>
      </c>
      <c r="Z207" s="385">
        <f t="shared" ref="Z207:Z270" si="86">Wh_sa_s*(1-Psa_s)</f>
        <v>54.83921142530226</v>
      </c>
      <c r="AA207" s="386">
        <f t="shared" ref="AA207:AA270" si="87">Wh_hp*(1-Pvg_s*MEDIAN((-Sdif+Wh/Env_an)/Csdif,0,1))</f>
        <v>57.503822648101128</v>
      </c>
      <c r="AB207" s="197">
        <f t="shared" ref="AB207:AB270" si="88">t</f>
        <v>43658</v>
      </c>
      <c r="AC207" s="427">
        <f>IF(OR(t&lt;Tnet,NoTnet),'2018'!Resal_s+('2018'!Salim-'2018'!Resal_s)*(1-EXP(('2018'!Tnet_s-t)/'2018'!Tau_j)),Resal_s+(Salim-Resal_s)*(1-EXP((Tnet_s-t)/Tau_j)))*Salcycl</f>
        <v>4.633798415637784E-2</v>
      </c>
      <c r="AD207" s="231">
        <f>(INDEX(Models!$BJ207:$BT207,,AH207)*(1-AF207)+INDEX(Models!$BJ207:$BT207,,AH207+1)*AF207-ERP_i)*AE207*Ramure*Pc/MaxiM</f>
        <v>2.2184409563166785E-3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0.89420102035522997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-1.10579897964477</v>
      </c>
      <c r="AJ207" s="265" t="b">
        <f t="shared" ref="AJ207:AJ270" si="94">t&lt;Tnet</f>
        <v>1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20">
        <v>51.462000000000003</v>
      </c>
      <c r="C208" s="390"/>
      <c r="D208" s="393">
        <f t="shared" si="75"/>
        <v>51.933042190033866</v>
      </c>
      <c r="E208" s="385">
        <f t="shared" si="73"/>
        <v>54.461953097089641</v>
      </c>
      <c r="F208" s="385">
        <f t="shared" si="76"/>
        <v>54.575416488787674</v>
      </c>
      <c r="G208" s="110">
        <f t="shared" si="74"/>
        <v>0.9671910861666051</v>
      </c>
      <c r="H208" s="414" t="b">
        <f>Wh_hp&gt;='2018'!Maxi_hp</f>
        <v>1</v>
      </c>
      <c r="I208" s="390">
        <f>IF(H208,Wh_hp,'2018'!Maxi_hp)</f>
        <v>54.575416488787674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9.0701828772176141E-3</v>
      </c>
      <c r="M208" s="959"/>
      <c r="N208" s="959"/>
      <c r="O208" s="48">
        <f>IF(t&lt;Tnet,'2018'!Resal+('2018'!Salim-'2018'!Resal)*(1-EXP(('2018'!Tnet-t)/('2018'!Tau_j))),Resal+(Salim-Resal)*(1-EXP((Tnet-t)/(Tau_j))))*Salcycl</f>
        <v>4.6434451268162688E-2</v>
      </c>
      <c r="P208" s="169">
        <f>(INDEX(Models!$BJ208:$BT208,,T208)*(1-R208)+INDEX(Models!$BJ208:$BT208,,T208+1)*R208-ERP_i)*Q208*Ramure*Pc/MaxiM</f>
        <v>2.1809324317872908E-3</v>
      </c>
      <c r="Q208" s="305">
        <f t="shared" si="78"/>
        <v>0.7</v>
      </c>
      <c r="R208" s="177">
        <f t="shared" si="79"/>
        <v>0.89759462957257541</v>
      </c>
      <c r="S208" s="921">
        <f t="shared" si="80"/>
        <v>-2</v>
      </c>
      <c r="T208" s="176">
        <f t="shared" si="81"/>
        <v>4</v>
      </c>
      <c r="U208" s="251">
        <f t="shared" si="82"/>
        <v>-1.1024053704274246</v>
      </c>
      <c r="V208" s="383">
        <f t="shared" si="83"/>
        <v>53.20225258567617</v>
      </c>
      <c r="W208" s="58"/>
      <c r="X208" s="157">
        <f t="shared" si="84"/>
        <v>43659</v>
      </c>
      <c r="Y208" s="385">
        <f t="shared" si="85"/>
        <v>51.462000000000003</v>
      </c>
      <c r="Z208" s="385">
        <f t="shared" si="86"/>
        <v>51.933042190033866</v>
      </c>
      <c r="AA208" s="386">
        <f t="shared" si="87"/>
        <v>54.461953097089641</v>
      </c>
      <c r="AB208" s="197">
        <f t="shared" si="88"/>
        <v>43659</v>
      </c>
      <c r="AC208" s="427">
        <f>IF(OR(t&lt;Tnet,NoTnet),'2018'!Resal_s+('2018'!Salim-'2018'!Resal_s)*(1-EXP(('2018'!Tnet_s-t)/'2018'!Tau_j)),Resal_s+(Salim-Resal_s)*(1-EXP((Tnet_s-t)/Tau_j)))*Salcycl</f>
        <v>4.6434451268162688E-2</v>
      </c>
      <c r="AD208" s="231">
        <f>(INDEX(Models!$BJ208:$BT208,,AH208)*(1-AF208)+INDEX(Models!$BJ208:$BT208,,AH208+1)*AF208-ERP_i)*AE208*Ramure*Pc/MaxiM</f>
        <v>2.1809324317872908E-3</v>
      </c>
      <c r="AE208" s="305">
        <f t="shared" si="89"/>
        <v>0.7</v>
      </c>
      <c r="AF208" s="177">
        <f t="shared" si="90"/>
        <v>0.89759462957257541</v>
      </c>
      <c r="AG208" s="176">
        <f t="shared" si="91"/>
        <v>-2</v>
      </c>
      <c r="AH208" s="176">
        <f t="shared" si="92"/>
        <v>4</v>
      </c>
      <c r="AI208" s="225">
        <f t="shared" si="93"/>
        <v>-1.1024053704274246</v>
      </c>
      <c r="AJ208" s="265" t="b">
        <f t="shared" si="94"/>
        <v>1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20">
        <v>53.142000000000003</v>
      </c>
      <c r="C209" s="390"/>
      <c r="D209" s="393">
        <f t="shared" si="75"/>
        <v>53.629594198692423</v>
      </c>
      <c r="E209" s="385">
        <f t="shared" si="73"/>
        <v>56.246779181866749</v>
      </c>
      <c r="F209" s="385">
        <f t="shared" si="76"/>
        <v>56.367501147703905</v>
      </c>
      <c r="G209" s="110">
        <f t="shared" si="74"/>
        <v>1.0008192564296639</v>
      </c>
      <c r="H209" s="414" t="b">
        <f>Wh_hp&gt;='2018'!Maxi_hp</f>
        <v>1</v>
      </c>
      <c r="I209" s="390">
        <f>IF(H209,Wh_hp,'2018'!Maxi_hp)</f>
        <v>56.367501147703905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9.0918867833669204E-3</v>
      </c>
      <c r="M209" s="959"/>
      <c r="N209" s="959"/>
      <c r="O209" s="48">
        <f>IF(t&lt;Tnet,'2018'!Resal+('2018'!Salim-'2018'!Resal)*(1-EXP(('2018'!Tnet-t)/('2018'!Tau_j))),Resal+(Salim-Resal)*(1-EXP((Tnet-t)/(Tau_j))))*Salcycl</f>
        <v>4.6530397317720067E-2</v>
      </c>
      <c r="P209" s="169">
        <f>(INDEX(Models!$BJ209:$BT209,,T209)*(1-R209)+INDEX(Models!$BJ209:$BT209,,T209+1)*R209-ERP_i)*Q209*Ramure*Pc/MaxiM</f>
        <v>2.1416944760567621E-3</v>
      </c>
      <c r="Q209" s="305">
        <f t="shared" si="78"/>
        <v>0.7</v>
      </c>
      <c r="R209" s="177">
        <f t="shared" si="79"/>
        <v>0.90090691537070833</v>
      </c>
      <c r="S209" s="921">
        <f t="shared" si="80"/>
        <v>-2</v>
      </c>
      <c r="T209" s="176">
        <f t="shared" si="81"/>
        <v>4</v>
      </c>
      <c r="U209" s="251">
        <f t="shared" si="82"/>
        <v>-1.0990930846292917</v>
      </c>
      <c r="V209" s="383">
        <f t="shared" si="83"/>
        <v>53.098498713523448</v>
      </c>
      <c r="W209" s="58"/>
      <c r="X209" s="157">
        <f t="shared" si="84"/>
        <v>43660</v>
      </c>
      <c r="Y209" s="385">
        <f t="shared" si="85"/>
        <v>53.142000000000003</v>
      </c>
      <c r="Z209" s="385">
        <f t="shared" si="86"/>
        <v>53.629594198692423</v>
      </c>
      <c r="AA209" s="386">
        <f t="shared" si="87"/>
        <v>56.246779181866749</v>
      </c>
      <c r="AB209" s="197">
        <f t="shared" si="88"/>
        <v>43660</v>
      </c>
      <c r="AC209" s="427">
        <f>IF(OR(t&lt;Tnet,NoTnet),'2018'!Resal_s+('2018'!Salim-'2018'!Resal_s)*(1-EXP(('2018'!Tnet_s-t)/'2018'!Tau_j)),Resal_s+(Salim-Resal_s)*(1-EXP((Tnet_s-t)/Tau_j)))*Salcycl</f>
        <v>4.6530397317720067E-2</v>
      </c>
      <c r="AD209" s="231">
        <f>(INDEX(Models!$BJ209:$BT209,,AH209)*(1-AF209)+INDEX(Models!$BJ209:$BT209,,AH209+1)*AF209-ERP_i)*AE209*Ramure*Pc/MaxiM</f>
        <v>2.1416944760567621E-3</v>
      </c>
      <c r="AE209" s="305">
        <f t="shared" si="89"/>
        <v>0.7</v>
      </c>
      <c r="AF209" s="177">
        <f t="shared" si="90"/>
        <v>0.90090691537070833</v>
      </c>
      <c r="AG209" s="176">
        <f t="shared" si="91"/>
        <v>-2</v>
      </c>
      <c r="AH209" s="176">
        <f t="shared" si="92"/>
        <v>4</v>
      </c>
      <c r="AI209" s="225">
        <f t="shared" si="93"/>
        <v>-1.0990930846292917</v>
      </c>
      <c r="AJ209" s="265" t="b">
        <f t="shared" si="94"/>
        <v>1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20">
        <v>54.517000000000003</v>
      </c>
      <c r="C210" s="390"/>
      <c r="D210" s="393">
        <f t="shared" si="75"/>
        <v>55.018415291195609</v>
      </c>
      <c r="E210" s="385">
        <f t="shared" si="73"/>
        <v>57.709153236192961</v>
      </c>
      <c r="F210" s="385">
        <f t="shared" si="76"/>
        <v>57.830639820469678</v>
      </c>
      <c r="G210" s="110">
        <f t="shared" si="74"/>
        <v>1.0287390881207668</v>
      </c>
      <c r="H210" s="414" t="b">
        <f>Wh_hp&gt;='2018'!Maxi_hp</f>
        <v>1</v>
      </c>
      <c r="I210" s="390">
        <f>IF(H210,Wh_hp,'2018'!Maxi_hp)</f>
        <v>57.830639820469678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9.1135902141450398E-3</v>
      </c>
      <c r="M210" s="959"/>
      <c r="N210" s="959"/>
      <c r="O210" s="48">
        <f>IF(t&lt;Tnet,'2018'!Resal+('2018'!Salim-'2018'!Resal)*(1-EXP(('2018'!Tnet-t)/('2018'!Tau_j))),Resal+(Salim-Resal)*(1-EXP((Tnet-t)/(Tau_j))))*Salcycl</f>
        <v>4.662584345995615E-2</v>
      </c>
      <c r="P210" s="169">
        <f>(INDEX(Models!$BJ210:$BT210,,T210)*(1-R210)+INDEX(Models!$BJ210:$BT210,,T210+1)*R210-ERP_i)*Q210*Ramure*Pc/MaxiM</f>
        <v>2.1007304199618633E-3</v>
      </c>
      <c r="Q210" s="305">
        <f t="shared" si="78"/>
        <v>0.7</v>
      </c>
      <c r="R210" s="177">
        <f t="shared" si="79"/>
        <v>0.90413806977586075</v>
      </c>
      <c r="S210" s="921">
        <f t="shared" si="80"/>
        <v>-2</v>
      </c>
      <c r="T210" s="176">
        <f t="shared" si="81"/>
        <v>4</v>
      </c>
      <c r="U210" s="251">
        <f t="shared" si="82"/>
        <v>-1.0958619302241392</v>
      </c>
      <c r="V210" s="383">
        <f t="shared" si="83"/>
        <v>52.994000742781239</v>
      </c>
      <c r="W210" s="58"/>
      <c r="X210" s="157">
        <f t="shared" si="84"/>
        <v>43661</v>
      </c>
      <c r="Y210" s="385">
        <f t="shared" si="85"/>
        <v>54.517000000000003</v>
      </c>
      <c r="Z210" s="385">
        <f t="shared" si="86"/>
        <v>55.018415291195609</v>
      </c>
      <c r="AA210" s="386">
        <f t="shared" si="87"/>
        <v>57.709153236192961</v>
      </c>
      <c r="AB210" s="197">
        <f t="shared" si="88"/>
        <v>43661</v>
      </c>
      <c r="AC210" s="427">
        <f>IF(OR(t&lt;Tnet,NoTnet),'2018'!Resal_s+('2018'!Salim-'2018'!Resal_s)*(1-EXP(('2018'!Tnet_s-t)/'2018'!Tau_j)),Resal_s+(Salim-Resal_s)*(1-EXP((Tnet_s-t)/Tau_j)))*Salcycl</f>
        <v>4.662584345995615E-2</v>
      </c>
      <c r="AD210" s="231">
        <f>(INDEX(Models!$BJ210:$BT210,,AH210)*(1-AF210)+INDEX(Models!$BJ210:$BT210,,AH210+1)*AF210-ERP_i)*AE210*Ramure*Pc/MaxiM</f>
        <v>2.1007304199618633E-3</v>
      </c>
      <c r="AE210" s="305">
        <f t="shared" si="89"/>
        <v>0.7</v>
      </c>
      <c r="AF210" s="177">
        <f t="shared" si="90"/>
        <v>0.90413806977586075</v>
      </c>
      <c r="AG210" s="176">
        <f t="shared" si="91"/>
        <v>-2</v>
      </c>
      <c r="AH210" s="176">
        <f t="shared" si="92"/>
        <v>4</v>
      </c>
      <c r="AI210" s="225">
        <f t="shared" si="93"/>
        <v>-1.0958619302241392</v>
      </c>
      <c r="AJ210" s="265" t="b">
        <f t="shared" si="94"/>
        <v>1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20">
        <v>53.921999999999997</v>
      </c>
      <c r="C211" s="390"/>
      <c r="D211" s="393">
        <f t="shared" si="75"/>
        <v>54.41913474997493</v>
      </c>
      <c r="E211" s="385">
        <f t="shared" si="73"/>
        <v>57.086250666683505</v>
      </c>
      <c r="F211" s="385">
        <f t="shared" si="76"/>
        <v>57.203978991704709</v>
      </c>
      <c r="G211" s="110">
        <f t="shared" si="74"/>
        <v>1.0195322462193368</v>
      </c>
      <c r="H211" s="414" t="b">
        <f>Wh_hp&gt;='2018'!Maxi_hp</f>
        <v>1</v>
      </c>
      <c r="I211" s="390">
        <f>IF(H211,Wh_hp,'2018'!Maxi_hp)</f>
        <v>57.203978991704709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9.1352931695622974E-3</v>
      </c>
      <c r="M211" s="959"/>
      <c r="N211" s="959"/>
      <c r="O211" s="48">
        <f>IF(t&lt;Tnet,'2018'!Resal+('2018'!Salim-'2018'!Resal)*(1-EXP(('2018'!Tnet-t)/('2018'!Tau_j))),Resal+(Salim-Resal)*(1-EXP((Tnet-t)/(Tau_j))))*Salcycl</f>
        <v>4.6720810800509396E-2</v>
      </c>
      <c r="P211" s="169">
        <f>(INDEX(Models!$BJ211:$BT211,,T211)*(1-R211)+INDEX(Models!$BJ211:$BT211,,T211+1)*R211-ERP_i)*Q211*Ramure*Pc/MaxiM</f>
        <v>2.0580443370604887E-3</v>
      </c>
      <c r="Q211" s="305">
        <f t="shared" si="78"/>
        <v>0.7</v>
      </c>
      <c r="R211" s="177">
        <f t="shared" si="79"/>
        <v>0.90728840913720221</v>
      </c>
      <c r="S211" s="921">
        <f t="shared" si="80"/>
        <v>-2</v>
      </c>
      <c r="T211" s="176">
        <f t="shared" si="81"/>
        <v>4</v>
      </c>
      <c r="U211" s="251">
        <f t="shared" si="82"/>
        <v>-1.0927115908627978</v>
      </c>
      <c r="V211" s="383">
        <f t="shared" si="83"/>
        <v>52.8889598146163</v>
      </c>
      <c r="W211" s="58"/>
      <c r="X211" s="157">
        <f t="shared" si="84"/>
        <v>43662</v>
      </c>
      <c r="Y211" s="385">
        <f t="shared" si="85"/>
        <v>53.921999999999997</v>
      </c>
      <c r="Z211" s="385">
        <f t="shared" si="86"/>
        <v>54.41913474997493</v>
      </c>
      <c r="AA211" s="386">
        <f t="shared" si="87"/>
        <v>57.086250666683505</v>
      </c>
      <c r="AB211" s="197">
        <f t="shared" si="88"/>
        <v>43662</v>
      </c>
      <c r="AC211" s="427">
        <f>IF(OR(t&lt;Tnet,NoTnet),'2018'!Resal_s+('2018'!Salim-'2018'!Resal_s)*(1-EXP(('2018'!Tnet_s-t)/'2018'!Tau_j)),Resal_s+(Salim-Resal_s)*(1-EXP((Tnet_s-t)/Tau_j)))*Salcycl</f>
        <v>4.6720810800509396E-2</v>
      </c>
      <c r="AD211" s="231">
        <f>(INDEX(Models!$BJ211:$BT211,,AH211)*(1-AF211)+INDEX(Models!$BJ211:$BT211,,AH211+1)*AF211-ERP_i)*AE211*Ramure*Pc/MaxiM</f>
        <v>2.0580443370604887E-3</v>
      </c>
      <c r="AE211" s="305">
        <f t="shared" si="89"/>
        <v>0.7</v>
      </c>
      <c r="AF211" s="177">
        <f t="shared" si="90"/>
        <v>0.90728840913720221</v>
      </c>
      <c r="AG211" s="176">
        <f t="shared" si="91"/>
        <v>-2</v>
      </c>
      <c r="AH211" s="176">
        <f t="shared" si="92"/>
        <v>4</v>
      </c>
      <c r="AI211" s="225">
        <f t="shared" si="93"/>
        <v>-1.0927115908627978</v>
      </c>
      <c r="AJ211" s="265" t="b">
        <f t="shared" si="94"/>
        <v>1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20">
        <v>47.164000000000001</v>
      </c>
      <c r="C212" s="390"/>
      <c r="D212" s="393">
        <f t="shared" si="75"/>
        <v>47.599871819171049</v>
      </c>
      <c r="E212" s="385">
        <f t="shared" si="73"/>
        <v>49.937722281436237</v>
      </c>
      <c r="F212" s="385">
        <f t="shared" si="76"/>
        <v>50.0231298336127</v>
      </c>
      <c r="G212" s="110">
        <f t="shared" si="74"/>
        <v>0.89326136296898451</v>
      </c>
      <c r="H212" s="414" t="b">
        <f>Wh_hp&gt;='2018'!Maxi_hp</f>
        <v>1</v>
      </c>
      <c r="I212" s="390">
        <f>IF(H212,Wh_hp,'2018'!Maxi_hp)</f>
        <v>50.0231298336127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9.1569956496290184E-3</v>
      </c>
      <c r="M212" s="959"/>
      <c r="N212" s="959"/>
      <c r="O212" s="48">
        <f>IF(t&lt;Tnet,'2018'!Resal+('2018'!Salim-'2018'!Resal)*(1-EXP(('2018'!Tnet-t)/('2018'!Tau_j))),Resal+(Salim-Resal)*(1-EXP((Tnet-t)/(Tau_j))))*Salcycl</f>
        <v>4.6815320272111362E-2</v>
      </c>
      <c r="P212" s="169">
        <f>(INDEX(Models!$BJ212:$BT212,,T212)*(1-R212)+INDEX(Models!$BJ212:$BT212,,T212+1)*R212-ERP_i)*Q212*Ramure*Pc/MaxiM</f>
        <v>2.0136165318714698E-3</v>
      </c>
      <c r="Q212" s="305">
        <f t="shared" si="78"/>
        <v>0.7</v>
      </c>
      <c r="R212" s="177">
        <f t="shared" si="79"/>
        <v>0.9103583672037785</v>
      </c>
      <c r="S212" s="921">
        <f t="shared" si="80"/>
        <v>-2</v>
      </c>
      <c r="T212" s="176">
        <f t="shared" si="81"/>
        <v>4</v>
      </c>
      <c r="U212" s="251">
        <f t="shared" si="82"/>
        <v>-1.0896416327962215</v>
      </c>
      <c r="V212" s="383">
        <f t="shared" si="83"/>
        <v>52.783578273500197</v>
      </c>
      <c r="W212" s="58"/>
      <c r="X212" s="157">
        <f t="shared" si="84"/>
        <v>43663</v>
      </c>
      <c r="Y212" s="385">
        <f t="shared" si="85"/>
        <v>47.164000000000001</v>
      </c>
      <c r="Z212" s="385">
        <f t="shared" si="86"/>
        <v>47.599871819171049</v>
      </c>
      <c r="AA212" s="386">
        <f t="shared" si="87"/>
        <v>49.937722281436237</v>
      </c>
      <c r="AB212" s="197">
        <f t="shared" si="88"/>
        <v>43663</v>
      </c>
      <c r="AC212" s="427">
        <f>IF(OR(t&lt;Tnet,NoTnet),'2018'!Resal_s+('2018'!Salim-'2018'!Resal_s)*(1-EXP(('2018'!Tnet_s-t)/'2018'!Tau_j)),Resal_s+(Salim-Resal_s)*(1-EXP((Tnet_s-t)/Tau_j)))*Salcycl</f>
        <v>4.6815320272111362E-2</v>
      </c>
      <c r="AD212" s="231">
        <f>(INDEX(Models!$BJ212:$BT212,,AH212)*(1-AF212)+INDEX(Models!$BJ212:$BT212,,AH212+1)*AF212-ERP_i)*AE212*Ramure*Pc/MaxiM</f>
        <v>2.0136165318714698E-3</v>
      </c>
      <c r="AE212" s="305">
        <f t="shared" si="89"/>
        <v>0.7</v>
      </c>
      <c r="AF212" s="177">
        <f t="shared" si="90"/>
        <v>0.9103583672037785</v>
      </c>
      <c r="AG212" s="176">
        <f t="shared" si="91"/>
        <v>-2</v>
      </c>
      <c r="AH212" s="176">
        <f t="shared" si="92"/>
        <v>4</v>
      </c>
      <c r="AI212" s="225">
        <f t="shared" si="93"/>
        <v>-1.0896416327962215</v>
      </c>
      <c r="AJ212" s="265" t="b">
        <f t="shared" si="94"/>
        <v>1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20">
        <v>37.347000000000001</v>
      </c>
      <c r="C213" s="390"/>
      <c r="D213" s="393">
        <f t="shared" si="75"/>
        <v>37.692972397329065</v>
      </c>
      <c r="E213" s="385">
        <f t="shared" si="73"/>
        <v>39.548152191785341</v>
      </c>
      <c r="F213" s="385">
        <f t="shared" si="76"/>
        <v>39.593684487759283</v>
      </c>
      <c r="G213" s="110">
        <f t="shared" si="74"/>
        <v>0.70838670032168882</v>
      </c>
      <c r="H213" s="414" t="b">
        <f>Wh_hp&gt;='2018'!Maxi_hp</f>
        <v>0</v>
      </c>
      <c r="I213" s="390">
        <f>IF(H213,Wh_hp,'2018'!Maxi_hp)</f>
        <v>43.68377735688307</v>
      </c>
      <c r="J213" s="85">
        <f>IF(H213,An,'2018'!An_max)</f>
        <v>2018</v>
      </c>
      <c r="K213" s="197">
        <f t="shared" si="77"/>
        <v>43664</v>
      </c>
      <c r="L213" s="147">
        <f>IF(t&lt;Tvie,1-EXP((T0-t)*PertePVj)+'2018'!Pspv,1-EXP((T0-t)*PertePVj)+Pspv)</f>
        <v>9.1786976543558607E-3</v>
      </c>
      <c r="M213" s="959"/>
      <c r="N213" s="959"/>
      <c r="O213" s="48">
        <f>IF(t&lt;Tnet,'2018'!Resal+('2018'!Salim-'2018'!Resal)*(1-EXP(('2018'!Tnet-t)/('2018'!Tau_j))),Resal+(Salim-Resal)*(1-EXP((Tnet-t)/(Tau_j))))*Salcycl</f>
        <v>4.6909392516235382E-2</v>
      </c>
      <c r="P213" s="169">
        <f>(INDEX(Models!$BJ213:$BT213,,T213)*(1-R213)+INDEX(Models!$BJ213:$BT213,,T213+1)*R213-ERP_i)*Q213*Ramure*Pc/MaxiM</f>
        <v>1.9683522020642729E-3</v>
      </c>
      <c r="Q213" s="305">
        <f t="shared" si="78"/>
        <v>0.7</v>
      </c>
      <c r="R213" s="177">
        <f t="shared" si="79"/>
        <v>0.91334848812006886</v>
      </c>
      <c r="S213" s="921">
        <f t="shared" si="80"/>
        <v>-2</v>
      </c>
      <c r="T213" s="176">
        <f t="shared" si="81"/>
        <v>4</v>
      </c>
      <c r="U213" s="251">
        <f t="shared" si="82"/>
        <v>-1.0866515118799311</v>
      </c>
      <c r="V213" s="383">
        <f t="shared" si="83"/>
        <v>52.678009594417254</v>
      </c>
      <c r="W213" s="58"/>
      <c r="X213" s="157">
        <f t="shared" si="84"/>
        <v>43664</v>
      </c>
      <c r="Y213" s="385">
        <f t="shared" si="85"/>
        <v>37.347000000000001</v>
      </c>
      <c r="Z213" s="385">
        <f t="shared" si="86"/>
        <v>37.692972397329065</v>
      </c>
      <c r="AA213" s="386">
        <f t="shared" si="87"/>
        <v>39.548152191785341</v>
      </c>
      <c r="AB213" s="197">
        <f t="shared" si="88"/>
        <v>43664</v>
      </c>
      <c r="AC213" s="427">
        <f>IF(OR(t&lt;Tnet,NoTnet),'2018'!Resal_s+('2018'!Salim-'2018'!Resal_s)*(1-EXP(('2018'!Tnet_s-t)/'2018'!Tau_j)),Resal_s+(Salim-Resal_s)*(1-EXP((Tnet_s-t)/Tau_j)))*Salcycl</f>
        <v>4.6909392516235382E-2</v>
      </c>
      <c r="AD213" s="231">
        <f>(INDEX(Models!$BJ213:$BT213,,AH213)*(1-AF213)+INDEX(Models!$BJ213:$BT213,,AH213+1)*AF213-ERP_i)*AE213*Ramure*Pc/MaxiM</f>
        <v>1.9683522020642729E-3</v>
      </c>
      <c r="AE213" s="305">
        <f t="shared" si="89"/>
        <v>0.7</v>
      </c>
      <c r="AF213" s="177">
        <f t="shared" si="90"/>
        <v>0.91334848812006886</v>
      </c>
      <c r="AG213" s="176">
        <f t="shared" si="91"/>
        <v>-2</v>
      </c>
      <c r="AH213" s="176">
        <f t="shared" si="92"/>
        <v>4</v>
      </c>
      <c r="AI213" s="225">
        <f t="shared" si="93"/>
        <v>-1.0866515118799311</v>
      </c>
      <c r="AJ213" s="265" t="b">
        <f t="shared" si="94"/>
        <v>1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20">
        <v>52.235999999999997</v>
      </c>
      <c r="C214" s="390"/>
      <c r="D214" s="393">
        <f t="shared" si="75"/>
        <v>52.721054749080032</v>
      </c>
      <c r="E214" s="385">
        <f t="shared" si="73"/>
        <v>55.321325661910961</v>
      </c>
      <c r="F214" s="385">
        <f t="shared" si="76"/>
        <v>55.426897069494828</v>
      </c>
      <c r="G214" s="110">
        <f t="shared" si="74"/>
        <v>0.99358268427693741</v>
      </c>
      <c r="H214" s="414" t="b">
        <f>Wh_hp&gt;='2018'!Maxi_hp</f>
        <v>1</v>
      </c>
      <c r="I214" s="390">
        <f>IF(H214,Wh_hp,'2018'!Maxi_hp)</f>
        <v>55.426897069494828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9.2003991837530386E-3</v>
      </c>
      <c r="M214" s="959"/>
      <c r="N214" s="959"/>
      <c r="O214" s="48">
        <f>IF(t&lt;Tnet,'2018'!Resal+('2018'!Salim-'2018'!Resal)*(1-EXP(('2018'!Tnet-t)/('2018'!Tau_j))),Resal+(Salim-Resal)*(1-EXP((Tnet-t)/(Tau_j))))*Salcycl</f>
        <v>4.7003047770802601E-2</v>
      </c>
      <c r="P214" s="169">
        <f>(INDEX(Models!$BJ214:$BT214,,T214)*(1-R214)+INDEX(Models!$BJ214:$BT214,,T214+1)*R214-ERP_i)*Q214*Ramure*Pc/MaxiM</f>
        <v>1.9222708874391974E-3</v>
      </c>
      <c r="Q214" s="305">
        <f t="shared" si="78"/>
        <v>0.7</v>
      </c>
      <c r="R214" s="177">
        <f t="shared" si="79"/>
        <v>0.9162594193856326</v>
      </c>
      <c r="S214" s="921">
        <f t="shared" si="80"/>
        <v>-2</v>
      </c>
      <c r="T214" s="176">
        <f t="shared" si="81"/>
        <v>4</v>
      </c>
      <c r="U214" s="251">
        <f t="shared" si="82"/>
        <v>-1.0837405806143674</v>
      </c>
      <c r="V214" s="383">
        <f t="shared" si="83"/>
        <v>52.572454260995613</v>
      </c>
      <c r="W214" s="58"/>
      <c r="X214" s="157">
        <f t="shared" si="84"/>
        <v>43665</v>
      </c>
      <c r="Y214" s="385">
        <f t="shared" si="85"/>
        <v>52.235999999999997</v>
      </c>
      <c r="Z214" s="385">
        <f t="shared" si="86"/>
        <v>52.721054749080032</v>
      </c>
      <c r="AA214" s="386">
        <f t="shared" si="87"/>
        <v>55.321325661910961</v>
      </c>
      <c r="AB214" s="197">
        <f t="shared" si="88"/>
        <v>43665</v>
      </c>
      <c r="AC214" s="427">
        <f>IF(OR(t&lt;Tnet,NoTnet),'2018'!Resal_s+('2018'!Salim-'2018'!Resal_s)*(1-EXP(('2018'!Tnet_s-t)/'2018'!Tau_j)),Resal_s+(Salim-Resal_s)*(1-EXP((Tnet_s-t)/Tau_j)))*Salcycl</f>
        <v>4.7003047770802601E-2</v>
      </c>
      <c r="AD214" s="231">
        <f>(INDEX(Models!$BJ214:$BT214,,AH214)*(1-AF214)+INDEX(Models!$BJ214:$BT214,,AH214+1)*AF214-ERP_i)*AE214*Ramure*Pc/MaxiM</f>
        <v>1.9222708874391974E-3</v>
      </c>
      <c r="AE214" s="305">
        <f t="shared" si="89"/>
        <v>0.7</v>
      </c>
      <c r="AF214" s="177">
        <f t="shared" si="90"/>
        <v>0.9162594193856326</v>
      </c>
      <c r="AG214" s="176">
        <f t="shared" si="91"/>
        <v>-2</v>
      </c>
      <c r="AH214" s="176">
        <f t="shared" si="92"/>
        <v>4</v>
      </c>
      <c r="AI214" s="225">
        <f t="shared" si="93"/>
        <v>-1.0837405806143674</v>
      </c>
      <c r="AJ214" s="265" t="b">
        <f t="shared" si="94"/>
        <v>1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20">
        <v>26.632999999999999</v>
      </c>
      <c r="C215" s="390"/>
      <c r="D215" s="393">
        <f t="shared" si="75"/>
        <v>26.880898338964879</v>
      </c>
      <c r="E215" s="385">
        <f t="shared" si="73"/>
        <v>28.209459677386512</v>
      </c>
      <c r="F215" s="385">
        <f t="shared" si="76"/>
        <v>28.225159162924221</v>
      </c>
      <c r="G215" s="110">
        <f t="shared" si="74"/>
        <v>0.50694321887887905</v>
      </c>
      <c r="H215" s="414" t="b">
        <f>Wh_hp&gt;='2018'!Maxi_hp</f>
        <v>1</v>
      </c>
      <c r="I215" s="390">
        <f>IF(H215,Wh_hp,'2018'!Maxi_hp)</f>
        <v>28.225159162924221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9.222100237831099E-3</v>
      </c>
      <c r="M215" s="959"/>
      <c r="N215" s="959"/>
      <c r="O215" s="48">
        <f>IF(t&lt;Tnet,'2018'!Resal+('2018'!Salim-'2018'!Resal)*(1-EXP(('2018'!Tnet-t)/('2018'!Tau_j))),Resal+(Salim-Resal)*(1-EXP((Tnet-t)/(Tau_j))))*Salcycl</f>
        <v>4.7096305764645567E-2</v>
      </c>
      <c r="P215" s="169">
        <f>(INDEX(Models!$BJ215:$BT215,,T215)*(1-R215)+INDEX(Models!$BJ215:$BT215,,T215+1)*R215-ERP_i)*Q215*Ramure*Pc/MaxiM</f>
        <v>1.8753920000889328E-3</v>
      </c>
      <c r="Q215" s="305">
        <f t="shared" si="78"/>
        <v>0.7</v>
      </c>
      <c r="R215" s="177">
        <f t="shared" si="79"/>
        <v>0.91909190482106773</v>
      </c>
      <c r="S215" s="921">
        <f t="shared" si="80"/>
        <v>-2</v>
      </c>
      <c r="T215" s="176">
        <f t="shared" si="81"/>
        <v>4</v>
      </c>
      <c r="U215" s="251">
        <f t="shared" si="82"/>
        <v>-1.0809080951789323</v>
      </c>
      <c r="V215" s="383">
        <f t="shared" si="83"/>
        <v>52.467112748084347</v>
      </c>
      <c r="W215" s="58"/>
      <c r="X215" s="157">
        <f t="shared" si="84"/>
        <v>43666</v>
      </c>
      <c r="Y215" s="385">
        <f t="shared" si="85"/>
        <v>26.632999999999999</v>
      </c>
      <c r="Z215" s="385">
        <f t="shared" si="86"/>
        <v>26.880898338964879</v>
      </c>
      <c r="AA215" s="386">
        <f t="shared" si="87"/>
        <v>28.209459677386512</v>
      </c>
      <c r="AB215" s="197">
        <f t="shared" si="88"/>
        <v>43666</v>
      </c>
      <c r="AC215" s="427">
        <f>IF(OR(t&lt;Tnet,NoTnet),'2018'!Resal_s+('2018'!Salim-'2018'!Resal_s)*(1-EXP(('2018'!Tnet_s-t)/'2018'!Tau_j)),Resal_s+(Salim-Resal_s)*(1-EXP((Tnet_s-t)/Tau_j)))*Salcycl</f>
        <v>4.7096305764645567E-2</v>
      </c>
      <c r="AD215" s="231">
        <f>(INDEX(Models!$BJ215:$BT215,,AH215)*(1-AF215)+INDEX(Models!$BJ215:$BT215,,AH215+1)*AF215-ERP_i)*AE215*Ramure*Pc/MaxiM</f>
        <v>1.8753920000889328E-3</v>
      </c>
      <c r="AE215" s="305">
        <f t="shared" si="89"/>
        <v>0.7</v>
      </c>
      <c r="AF215" s="177">
        <f t="shared" si="90"/>
        <v>0.91909190482106773</v>
      </c>
      <c r="AG215" s="176">
        <f t="shared" si="91"/>
        <v>-2</v>
      </c>
      <c r="AH215" s="176">
        <f t="shared" si="92"/>
        <v>4</v>
      </c>
      <c r="AI215" s="225">
        <f t="shared" si="93"/>
        <v>-1.0809080951789323</v>
      </c>
      <c r="AJ215" s="265" t="b">
        <f t="shared" si="94"/>
        <v>1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20">
        <v>41.392000000000003</v>
      </c>
      <c r="C216" s="390"/>
      <c r="D216" s="393">
        <f t="shared" si="75"/>
        <v>41.778189259997653</v>
      </c>
      <c r="E216" s="385">
        <f t="shared" si="73"/>
        <v>43.847308016916955</v>
      </c>
      <c r="F216" s="385">
        <f t="shared" si="76"/>
        <v>43.903535473753848</v>
      </c>
      <c r="G216" s="110">
        <f t="shared" si="74"/>
        <v>0.79006114562534213</v>
      </c>
      <c r="H216" s="414" t="b">
        <f>Wh_hp&gt;='2018'!Maxi_hp</f>
        <v>1</v>
      </c>
      <c r="I216" s="390">
        <f>IF(H216,Wh_hp,'2018'!Maxi_hp)</f>
        <v>43.903535473753848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9.2438008166003671E-3</v>
      </c>
      <c r="M216" s="959"/>
      <c r="N216" s="959"/>
      <c r="O216" s="48">
        <f>IF(t&lt;Tnet,'2018'!Resal+('2018'!Salim-'2018'!Resal)*(1-EXP(('2018'!Tnet-t)/('2018'!Tau_j))),Resal+(Salim-Resal)*(1-EXP((Tnet-t)/(Tau_j))))*Salcycl</f>
        <v>4.7189185619354507E-2</v>
      </c>
      <c r="P216" s="169">
        <f>(INDEX(Models!$BJ216:$BT216,,T216)*(1-R216)+INDEX(Models!$BJ216:$BT216,,T216+1)*R216-ERP_i)*Q216*Ramure*Pc/MaxiM</f>
        <v>1.8277347834876529E-3</v>
      </c>
      <c r="Q216" s="305">
        <f t="shared" si="78"/>
        <v>0.7</v>
      </c>
      <c r="R216" s="177">
        <f t="shared" si="79"/>
        <v>0.9218467775791277</v>
      </c>
      <c r="S216" s="921">
        <f t="shared" si="80"/>
        <v>-2</v>
      </c>
      <c r="T216" s="176">
        <f t="shared" si="81"/>
        <v>4</v>
      </c>
      <c r="U216" s="251">
        <f t="shared" si="82"/>
        <v>-1.0781532224208723</v>
      </c>
      <c r="V216" s="383">
        <f t="shared" si="83"/>
        <v>52.362185530978884</v>
      </c>
      <c r="W216" s="58"/>
      <c r="X216" s="157">
        <f t="shared" si="84"/>
        <v>43667</v>
      </c>
      <c r="Y216" s="385">
        <f t="shared" si="85"/>
        <v>41.392000000000003</v>
      </c>
      <c r="Z216" s="385">
        <f t="shared" si="86"/>
        <v>41.778189259997653</v>
      </c>
      <c r="AA216" s="386">
        <f t="shared" si="87"/>
        <v>43.847308016916955</v>
      </c>
      <c r="AB216" s="197">
        <f t="shared" si="88"/>
        <v>43667</v>
      </c>
      <c r="AC216" s="427">
        <f>IF(OR(t&lt;Tnet,NoTnet),'2018'!Resal_s+('2018'!Salim-'2018'!Resal_s)*(1-EXP(('2018'!Tnet_s-t)/'2018'!Tau_j)),Resal_s+(Salim-Resal_s)*(1-EXP((Tnet_s-t)/Tau_j)))*Salcycl</f>
        <v>4.7189185619354507E-2</v>
      </c>
      <c r="AD216" s="231">
        <f>(INDEX(Models!$BJ216:$BT216,,AH216)*(1-AF216)+INDEX(Models!$BJ216:$BT216,,AH216+1)*AF216-ERP_i)*AE216*Ramure*Pc/MaxiM</f>
        <v>1.8277347834876529E-3</v>
      </c>
      <c r="AE216" s="305">
        <f t="shared" si="89"/>
        <v>0.7</v>
      </c>
      <c r="AF216" s="177">
        <f t="shared" si="90"/>
        <v>0.9218467775791277</v>
      </c>
      <c r="AG216" s="176">
        <f t="shared" si="91"/>
        <v>-2</v>
      </c>
      <c r="AH216" s="176">
        <f t="shared" si="92"/>
        <v>4</v>
      </c>
      <c r="AI216" s="225">
        <f t="shared" si="93"/>
        <v>-1.0781532224208723</v>
      </c>
      <c r="AJ216" s="265" t="b">
        <f t="shared" si="94"/>
        <v>1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20">
        <v>45.494999999999997</v>
      </c>
      <c r="C217" s="390"/>
      <c r="D217" s="393">
        <f t="shared" si="75"/>
        <v>45.920476214616635</v>
      </c>
      <c r="E217" s="385">
        <f t="shared" si="73"/>
        <v>48.199427356648442</v>
      </c>
      <c r="F217" s="385">
        <f t="shared" si="76"/>
        <v>48.26943562430597</v>
      </c>
      <c r="G217" s="110">
        <f t="shared" si="74"/>
        <v>0.87029972346850182</v>
      </c>
      <c r="H217" s="414" t="b">
        <f>Wh_hp&gt;='2018'!Maxi_hp</f>
        <v>0</v>
      </c>
      <c r="I217" s="390">
        <f>IF(H217,Wh_hp,'2018'!Maxi_hp)</f>
        <v>51.78933561671316</v>
      </c>
      <c r="J217" s="85">
        <f>IF(H217,An,'2018'!An_max)</f>
        <v>2018</v>
      </c>
      <c r="K217" s="197">
        <f t="shared" si="77"/>
        <v>43668</v>
      </c>
      <c r="L217" s="147">
        <f>IF(t&lt;Tvie,1-EXP((T0-t)*PertePVj)+'2018'!Pspv,1-EXP((T0-t)*PertePVj)+Pspv)</f>
        <v>9.265500920071168E-3</v>
      </c>
      <c r="M217" s="959"/>
      <c r="N217" s="959"/>
      <c r="O217" s="48">
        <f>IF(t&lt;Tnet,'2018'!Resal+('2018'!Salim-'2018'!Resal)*(1-EXP(('2018'!Tnet-t)/('2018'!Tau_j))),Resal+(Salim-Resal)*(1-EXP((Tnet-t)/(Tau_j))))*Salcycl</f>
        <v>4.7281705759051045E-2</v>
      </c>
      <c r="P217" s="169">
        <f>(INDEX(Models!$BJ217:$BT217,,T217)*(1-R217)+INDEX(Models!$BJ217:$BT217,,T217+1)*R217-ERP_i)*Q217*Ramure*Pc/MaxiM</f>
        <v>1.779318282658009E-3</v>
      </c>
      <c r="Q217" s="305">
        <f t="shared" si="78"/>
        <v>0.7</v>
      </c>
      <c r="R217" s="177">
        <f t="shared" si="79"/>
        <v>0.92452495323640682</v>
      </c>
      <c r="S217" s="921">
        <f t="shared" si="80"/>
        <v>-2</v>
      </c>
      <c r="T217" s="176">
        <f t="shared" si="81"/>
        <v>4</v>
      </c>
      <c r="U217" s="251">
        <f t="shared" si="82"/>
        <v>-1.0754750467635932</v>
      </c>
      <c r="V217" s="383">
        <f t="shared" si="83"/>
        <v>52.257873093805578</v>
      </c>
      <c r="W217" s="58"/>
      <c r="X217" s="157">
        <f t="shared" si="84"/>
        <v>43668</v>
      </c>
      <c r="Y217" s="385">
        <f t="shared" si="85"/>
        <v>45.494999999999997</v>
      </c>
      <c r="Z217" s="385">
        <f t="shared" si="86"/>
        <v>45.920476214616635</v>
      </c>
      <c r="AA217" s="386">
        <f t="shared" si="87"/>
        <v>48.199427356648442</v>
      </c>
      <c r="AB217" s="197">
        <f t="shared" si="88"/>
        <v>43668</v>
      </c>
      <c r="AC217" s="427">
        <f>IF(OR(t&lt;Tnet,NoTnet),'2018'!Resal_s+('2018'!Salim-'2018'!Resal_s)*(1-EXP(('2018'!Tnet_s-t)/'2018'!Tau_j)),Resal_s+(Salim-Resal_s)*(1-EXP((Tnet_s-t)/Tau_j)))*Salcycl</f>
        <v>4.7281705759051045E-2</v>
      </c>
      <c r="AD217" s="231">
        <f>(INDEX(Models!$BJ217:$BT217,,AH217)*(1-AF217)+INDEX(Models!$BJ217:$BT217,,AH217+1)*AF217-ERP_i)*AE217*Ramure*Pc/MaxiM</f>
        <v>1.779318282658009E-3</v>
      </c>
      <c r="AE217" s="305">
        <f t="shared" si="89"/>
        <v>0.7</v>
      </c>
      <c r="AF217" s="177">
        <f t="shared" si="90"/>
        <v>0.92452495323640682</v>
      </c>
      <c r="AG217" s="176">
        <f t="shared" si="91"/>
        <v>-2</v>
      </c>
      <c r="AH217" s="176">
        <f t="shared" si="92"/>
        <v>4</v>
      </c>
      <c r="AI217" s="225">
        <f t="shared" si="93"/>
        <v>-1.0754750467635932</v>
      </c>
      <c r="AJ217" s="265" t="b">
        <f t="shared" si="94"/>
        <v>1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20">
        <v>50.372999999999998</v>
      </c>
      <c r="C218" s="390"/>
      <c r="D218" s="393">
        <f t="shared" si="75"/>
        <v>50.845209659021357</v>
      </c>
      <c r="E218" s="385">
        <f t="shared" si="73"/>
        <v>53.373730570567687</v>
      </c>
      <c r="F218" s="385">
        <f t="shared" si="76"/>
        <v>53.46171464011249</v>
      </c>
      <c r="G218" s="110">
        <f t="shared" si="74"/>
        <v>0.96576249869235176</v>
      </c>
      <c r="H218" s="414" t="b">
        <f>Wh_hp&gt;='2018'!Maxi_hp</f>
        <v>0</v>
      </c>
      <c r="I218" s="390">
        <f>IF(H218,Wh_hp,'2018'!Maxi_hp)</f>
        <v>56.297408043792899</v>
      </c>
      <c r="J218" s="85">
        <f>IF(H218,An,'2018'!An_max)</f>
        <v>2018</v>
      </c>
      <c r="K218" s="197">
        <f t="shared" si="77"/>
        <v>43669</v>
      </c>
      <c r="L218" s="147">
        <f>IF(t&lt;Tvie,1-EXP((T0-t)*PertePVj)+'2018'!Pspv,1-EXP((T0-t)*PertePVj)+Pspv)</f>
        <v>9.2872005482541597E-3</v>
      </c>
      <c r="M218" s="959"/>
      <c r="N218" s="959"/>
      <c r="O218" s="48">
        <f>IF(t&lt;Tnet,'2018'!Resal+('2018'!Salim-'2018'!Resal)*(1-EXP(('2018'!Tnet-t)/('2018'!Tau_j))),Resal+(Salim-Resal)*(1-EXP((Tnet-t)/(Tau_j))))*Salcycl</f>
        <v>4.7373883828548707E-2</v>
      </c>
      <c r="P218" s="169">
        <f>(INDEX(Models!$BJ218:$BT218,,T218)*(1-R218)+INDEX(Models!$BJ218:$BT218,,T218+1)*R218-ERP_i)*Q218*Ramure*Pc/MaxiM</f>
        <v>1.7301613252570856E-3</v>
      </c>
      <c r="Q218" s="305">
        <f t="shared" si="78"/>
        <v>0.7</v>
      </c>
      <c r="R218" s="177">
        <f t="shared" si="79"/>
        <v>0.92712742299753903</v>
      </c>
      <c r="S218" s="921">
        <f t="shared" si="80"/>
        <v>-2</v>
      </c>
      <c r="T218" s="176">
        <f t="shared" si="81"/>
        <v>4</v>
      </c>
      <c r="U218" s="251">
        <f t="shared" si="82"/>
        <v>-1.072872577002461</v>
      </c>
      <c r="V218" s="383">
        <f t="shared" si="83"/>
        <v>52.154375936789201</v>
      </c>
      <c r="W218" s="58"/>
      <c r="X218" s="157">
        <f t="shared" si="84"/>
        <v>43669</v>
      </c>
      <c r="Y218" s="385">
        <f t="shared" si="85"/>
        <v>50.372999999999998</v>
      </c>
      <c r="Z218" s="385">
        <f t="shared" si="86"/>
        <v>50.845209659021357</v>
      </c>
      <c r="AA218" s="386">
        <f t="shared" si="87"/>
        <v>53.373730570567687</v>
      </c>
      <c r="AB218" s="197">
        <f t="shared" si="88"/>
        <v>43669</v>
      </c>
      <c r="AC218" s="427">
        <f>IF(OR(t&lt;Tnet,NoTnet),'2018'!Resal_s+('2018'!Salim-'2018'!Resal_s)*(1-EXP(('2018'!Tnet_s-t)/'2018'!Tau_j)),Resal_s+(Salim-Resal_s)*(1-EXP((Tnet_s-t)/Tau_j)))*Salcycl</f>
        <v>4.7373883828548707E-2</v>
      </c>
      <c r="AD218" s="231">
        <f>(INDEX(Models!$BJ218:$BT218,,AH218)*(1-AF218)+INDEX(Models!$BJ218:$BT218,,AH218+1)*AF218-ERP_i)*AE218*Ramure*Pc/MaxiM</f>
        <v>1.7301613252570856E-3</v>
      </c>
      <c r="AE218" s="305">
        <f t="shared" si="89"/>
        <v>0.7</v>
      </c>
      <c r="AF218" s="177">
        <f t="shared" si="90"/>
        <v>0.92712742299753903</v>
      </c>
      <c r="AG218" s="176">
        <f t="shared" si="91"/>
        <v>-2</v>
      </c>
      <c r="AH218" s="176">
        <f t="shared" si="92"/>
        <v>4</v>
      </c>
      <c r="AI218" s="225">
        <f t="shared" si="93"/>
        <v>-1.072872577002461</v>
      </c>
      <c r="AJ218" s="265" t="b">
        <f t="shared" si="94"/>
        <v>1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20">
        <v>50.52</v>
      </c>
      <c r="C219" s="390"/>
      <c r="D219" s="393">
        <f t="shared" si="75"/>
        <v>50.994704590321568</v>
      </c>
      <c r="E219" s="385">
        <f t="shared" si="73"/>
        <v>53.53582180801034</v>
      </c>
      <c r="F219" s="385">
        <f t="shared" si="76"/>
        <v>53.622135078221874</v>
      </c>
      <c r="G219" s="110">
        <f t="shared" si="74"/>
        <v>0.97050656169592753</v>
      </c>
      <c r="H219" s="414" t="b">
        <f>Wh_hp&gt;='2018'!Maxi_hp</f>
        <v>1</v>
      </c>
      <c r="I219" s="390">
        <f>IF(H219,Wh_hp,'2018'!Maxi_hp)</f>
        <v>53.622135078221874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9.3088997011595565E-3</v>
      </c>
      <c r="M219" s="959"/>
      <c r="N219" s="959"/>
      <c r="O219" s="48">
        <f>IF(t&lt;Tnet,'2018'!Resal+('2018'!Salim-'2018'!Resal)*(1-EXP(('2018'!Tnet-t)/('2018'!Tau_j))),Resal+(Salim-Resal)*(1-EXP((Tnet-t)/(Tau_j))))*Salcycl</f>
        <v>4.7465736620270815E-2</v>
      </c>
      <c r="P219" s="169">
        <f>(INDEX(Models!$BJ219:$BT219,,T219)*(1-R219)+INDEX(Models!$BJ219:$BT219,,T219+1)*R219-ERP_i)*Q219*Ramure*Pc/MaxiM</f>
        <v>1.6802890789277621E-3</v>
      </c>
      <c r="Q219" s="305">
        <f t="shared" si="78"/>
        <v>0.7</v>
      </c>
      <c r="R219" s="177">
        <f t="shared" si="79"/>
        <v>0.92965524704041624</v>
      </c>
      <c r="S219" s="921">
        <f t="shared" si="80"/>
        <v>-2</v>
      </c>
      <c r="T219" s="176">
        <f t="shared" si="81"/>
        <v>4</v>
      </c>
      <c r="U219" s="251">
        <f t="shared" si="82"/>
        <v>-1.0703447529595838</v>
      </c>
      <c r="V219" s="383">
        <f t="shared" si="83"/>
        <v>52.051606791566158</v>
      </c>
      <c r="W219" s="58"/>
      <c r="X219" s="157">
        <f t="shared" si="84"/>
        <v>43670</v>
      </c>
      <c r="Y219" s="385">
        <f t="shared" si="85"/>
        <v>50.52</v>
      </c>
      <c r="Z219" s="385">
        <f t="shared" si="86"/>
        <v>50.994704590321568</v>
      </c>
      <c r="AA219" s="386">
        <f t="shared" si="87"/>
        <v>53.53582180801034</v>
      </c>
      <c r="AB219" s="197">
        <f t="shared" si="88"/>
        <v>43670</v>
      </c>
      <c r="AC219" s="427">
        <f>IF(OR(t&lt;Tnet,NoTnet),'2018'!Resal_s+('2018'!Salim-'2018'!Resal_s)*(1-EXP(('2018'!Tnet_s-t)/'2018'!Tau_j)),Resal_s+(Salim-Resal_s)*(1-EXP((Tnet_s-t)/Tau_j)))*Salcycl</f>
        <v>4.7465736620270815E-2</v>
      </c>
      <c r="AD219" s="231">
        <f>(INDEX(Models!$BJ219:$BT219,,AH219)*(1-AF219)+INDEX(Models!$BJ219:$BT219,,AH219+1)*AF219-ERP_i)*AE219*Ramure*Pc/MaxiM</f>
        <v>1.6802890789277621E-3</v>
      </c>
      <c r="AE219" s="305">
        <f t="shared" si="89"/>
        <v>0.7</v>
      </c>
      <c r="AF219" s="177">
        <f t="shared" si="90"/>
        <v>0.92965524704041624</v>
      </c>
      <c r="AG219" s="176">
        <f t="shared" si="91"/>
        <v>-2</v>
      </c>
      <c r="AH219" s="176">
        <f t="shared" si="92"/>
        <v>4</v>
      </c>
      <c r="AI219" s="225">
        <f t="shared" si="93"/>
        <v>-1.0703447529595838</v>
      </c>
      <c r="AJ219" s="265" t="b">
        <f t="shared" si="94"/>
        <v>1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20">
        <v>50.99</v>
      </c>
      <c r="C220" s="390"/>
      <c r="D220" s="393">
        <f t="shared" si="75"/>
        <v>51.47024821454697</v>
      </c>
      <c r="E220" s="385">
        <f t="shared" si="73"/>
        <v>54.040255791023803</v>
      </c>
      <c r="F220" s="385">
        <f t="shared" si="76"/>
        <v>54.126143978256643</v>
      </c>
      <c r="G220" s="110">
        <f t="shared" si="74"/>
        <v>0.98149219369647012</v>
      </c>
      <c r="H220" s="414" t="b">
        <f>Wh_hp&gt;='2018'!Maxi_hp</f>
        <v>0</v>
      </c>
      <c r="I220" s="390">
        <f>IF(H220,Wh_hp,'2018'!Maxi_hp)</f>
        <v>54.530894378058939</v>
      </c>
      <c r="J220" s="85">
        <f>IF(H220,An,'2018'!An_max)</f>
        <v>2018</v>
      </c>
      <c r="K220" s="197">
        <f t="shared" si="77"/>
        <v>43671</v>
      </c>
      <c r="L220" s="147">
        <f>IF(t&lt;Tvie,1-EXP((T0-t)*PertePVj)+'2018'!Pspv,1-EXP((T0-t)*PertePVj)+Pspv)</f>
        <v>9.3305983787976832E-3</v>
      </c>
      <c r="M220" s="959"/>
      <c r="N220" s="959"/>
      <c r="O220" s="48">
        <f>IF(t&lt;Tnet,'2018'!Resal+('2018'!Salim-'2018'!Resal)*(1-EXP(('2018'!Tnet-t)/('2018'!Tau_j))),Resal+(Salim-Resal)*(1-EXP((Tnet-t)/(Tau_j))))*Salcycl</f>
        <v>4.7557280010205157E-2</v>
      </c>
      <c r="P220" s="169">
        <f>(INDEX(Models!$BJ220:$BT220,,T220)*(1-R220)+INDEX(Models!$BJ220:$BT220,,T220+1)*R220-ERP_i)*Q220*Ramure*Pc/MaxiM</f>
        <v>1.6298084620256343E-3</v>
      </c>
      <c r="Q220" s="305">
        <f t="shared" si="78"/>
        <v>0.7</v>
      </c>
      <c r="R220" s="177">
        <f t="shared" si="79"/>
        <v>0.93210954802755119</v>
      </c>
      <c r="S220" s="921">
        <f t="shared" si="80"/>
        <v>-2</v>
      </c>
      <c r="T220" s="176">
        <f t="shared" si="81"/>
        <v>4</v>
      </c>
      <c r="U220" s="251">
        <f t="shared" si="82"/>
        <v>-1.0678904519724488</v>
      </c>
      <c r="V220" s="383">
        <f t="shared" si="83"/>
        <v>51.949271340250277</v>
      </c>
      <c r="W220" s="58"/>
      <c r="X220" s="157">
        <f t="shared" si="84"/>
        <v>43671</v>
      </c>
      <c r="Y220" s="385">
        <f t="shared" si="85"/>
        <v>50.99</v>
      </c>
      <c r="Z220" s="385">
        <f t="shared" si="86"/>
        <v>51.47024821454697</v>
      </c>
      <c r="AA220" s="386">
        <f t="shared" si="87"/>
        <v>54.040255791023803</v>
      </c>
      <c r="AB220" s="197">
        <f t="shared" si="88"/>
        <v>43671</v>
      </c>
      <c r="AC220" s="427">
        <f>IF(OR(t&lt;Tnet,NoTnet),'2018'!Resal_s+('2018'!Salim-'2018'!Resal_s)*(1-EXP(('2018'!Tnet_s-t)/'2018'!Tau_j)),Resal_s+(Salim-Resal_s)*(1-EXP((Tnet_s-t)/Tau_j)))*Salcycl</f>
        <v>4.7557280010205157E-2</v>
      </c>
      <c r="AD220" s="231">
        <f>(INDEX(Models!$BJ220:$BT220,,AH220)*(1-AF220)+INDEX(Models!$BJ220:$BT220,,AH220+1)*AF220-ERP_i)*AE220*Ramure*Pc/MaxiM</f>
        <v>1.6298084620256343E-3</v>
      </c>
      <c r="AE220" s="305">
        <f t="shared" si="89"/>
        <v>0.7</v>
      </c>
      <c r="AF220" s="177">
        <f t="shared" si="90"/>
        <v>0.93210954802755119</v>
      </c>
      <c r="AG220" s="176">
        <f t="shared" si="91"/>
        <v>-2</v>
      </c>
      <c r="AH220" s="176">
        <f t="shared" si="92"/>
        <v>4</v>
      </c>
      <c r="AI220" s="225">
        <f t="shared" si="93"/>
        <v>-1.0678904519724488</v>
      </c>
      <c r="AJ220" s="265" t="b">
        <f t="shared" si="94"/>
        <v>1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20">
        <v>17.149000000000001</v>
      </c>
      <c r="C221" s="390"/>
      <c r="D221" s="393">
        <f t="shared" si="75"/>
        <v>17.310896639458353</v>
      </c>
      <c r="E221" s="385">
        <f t="shared" si="73"/>
        <v>18.177004146924496</v>
      </c>
      <c r="F221" s="385">
        <f t="shared" si="76"/>
        <v>18.178265239056579</v>
      </c>
      <c r="G221" s="110">
        <f t="shared" si="74"/>
        <v>0.3302606951528041</v>
      </c>
      <c r="H221" s="414" t="b">
        <f>Wh_hp&gt;='2018'!Maxi_hp</f>
        <v>0</v>
      </c>
      <c r="I221" s="390">
        <f>IF(H221,Wh_hp,'2018'!Maxi_hp)</f>
        <v>54.431799382786856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9.352296581179198E-3</v>
      </c>
      <c r="M221" s="959"/>
      <c r="N221" s="959"/>
      <c r="O221" s="48">
        <f>IF(t&lt;Tnet,'2018'!Resal+('2018'!Salim-'2018'!Resal)*(1-EXP(('2018'!Tnet-t)/('2018'!Tau_j))),Resal+(Salim-Resal)*(1-EXP((Tnet-t)/(Tau_j))))*Salcycl</f>
        <v>4.7648528903080356E-2</v>
      </c>
      <c r="P221" s="169">
        <f>(INDEX(Models!$BJ221:$BT221,,T221)*(1-R221)+INDEX(Models!$BJ221:$BT221,,T221+1)*R221-ERP_i)*Q221*Ramure*Pc/MaxiM</f>
        <v>1.5787254578580065E-3</v>
      </c>
      <c r="Q221" s="305">
        <f t="shared" si="78"/>
        <v>0.7</v>
      </c>
      <c r="R221" s="177">
        <f t="shared" si="79"/>
        <v>0.9344915048054101</v>
      </c>
      <c r="S221" s="921">
        <f t="shared" si="80"/>
        <v>-2</v>
      </c>
      <c r="T221" s="176">
        <f t="shared" si="81"/>
        <v>4</v>
      </c>
      <c r="U221" s="251">
        <f t="shared" si="82"/>
        <v>-1.0655084951945899</v>
      </c>
      <c r="V221" s="383">
        <f t="shared" si="83"/>
        <v>51.847266662146012</v>
      </c>
      <c r="W221" s="58"/>
      <c r="X221" s="157">
        <f t="shared" si="84"/>
        <v>43672</v>
      </c>
      <c r="Y221" s="385">
        <f t="shared" si="85"/>
        <v>17.149000000000001</v>
      </c>
      <c r="Z221" s="385">
        <f t="shared" si="86"/>
        <v>17.310896639458353</v>
      </c>
      <c r="AA221" s="386">
        <f t="shared" si="87"/>
        <v>18.177004146924496</v>
      </c>
      <c r="AB221" s="197">
        <f t="shared" si="88"/>
        <v>43672</v>
      </c>
      <c r="AC221" s="427">
        <f>IF(OR(t&lt;Tnet,NoTnet),'2018'!Resal_s+('2018'!Salim-'2018'!Resal_s)*(1-EXP(('2018'!Tnet_s-t)/'2018'!Tau_j)),Resal_s+(Salim-Resal_s)*(1-EXP((Tnet_s-t)/Tau_j)))*Salcycl</f>
        <v>4.7648528903080356E-2</v>
      </c>
      <c r="AD221" s="231">
        <f>(INDEX(Models!$BJ221:$BT221,,AH221)*(1-AF221)+INDEX(Models!$BJ221:$BT221,,AH221+1)*AF221-ERP_i)*AE221*Ramure*Pc/MaxiM</f>
        <v>1.5787254578580065E-3</v>
      </c>
      <c r="AE221" s="305">
        <f t="shared" si="89"/>
        <v>0.7</v>
      </c>
      <c r="AF221" s="177">
        <f t="shared" si="90"/>
        <v>0.9344915048054101</v>
      </c>
      <c r="AG221" s="176">
        <f t="shared" si="91"/>
        <v>-2</v>
      </c>
      <c r="AH221" s="176">
        <f t="shared" si="92"/>
        <v>4</v>
      </c>
      <c r="AI221" s="225">
        <f t="shared" si="93"/>
        <v>-1.0655084951945899</v>
      </c>
      <c r="AJ221" s="265" t="b">
        <f t="shared" si="94"/>
        <v>1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20">
        <v>11.242000000000001</v>
      </c>
      <c r="C222" s="390"/>
      <c r="D222" s="393">
        <f t="shared" si="75"/>
        <v>11.348379646212186</v>
      </c>
      <c r="E222" s="385">
        <f t="shared" si="73"/>
        <v>11.917305834576874</v>
      </c>
      <c r="F222" s="385">
        <f t="shared" si="76"/>
        <v>11.917305834576874</v>
      </c>
      <c r="G222" s="110">
        <f t="shared" si="74"/>
        <v>0.21692388966986706</v>
      </c>
      <c r="H222" s="414" t="b">
        <f>Wh_hp&gt;='2018'!Maxi_hp</f>
        <v>0</v>
      </c>
      <c r="I222" s="390">
        <f>IF(H222,Wh_hp,'2018'!Maxi_hp)</f>
        <v>50.176872336007754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9.3739943083144261E-3</v>
      </c>
      <c r="M222" s="959"/>
      <c r="N222" s="959"/>
      <c r="O222" s="48">
        <f>IF(t&lt;Tnet,'2018'!Resal+('2018'!Salim-'2018'!Resal)*(1-EXP(('2018'!Tnet-t)/('2018'!Tau_j))),Resal+(Salim-Resal)*(1-EXP((Tnet-t)/(Tau_j))))*Salcycl</f>
        <v>4.7739497186856238E-2</v>
      </c>
      <c r="P222" s="169">
        <f>(INDEX(Models!$BJ222:$BT222,,T222)*(1-R222)+INDEX(Models!$BJ222:$BT222,,T222+1)*R222-ERP_i)*Q222*Ramure*Pc/MaxiM</f>
        <v>1.5270639749579867E-3</v>
      </c>
      <c r="Q222" s="305">
        <f t="shared" si="78"/>
        <v>0.7</v>
      </c>
      <c r="R222" s="177">
        <f t="shared" si="79"/>
        <v>0.93680234631037607</v>
      </c>
      <c r="S222" s="921">
        <f t="shared" si="80"/>
        <v>-2</v>
      </c>
      <c r="T222" s="176">
        <f t="shared" si="81"/>
        <v>4</v>
      </c>
      <c r="U222" s="251">
        <f t="shared" si="82"/>
        <v>-1.0631976536896239</v>
      </c>
      <c r="V222" s="383">
        <f t="shared" si="83"/>
        <v>51.745489000203783</v>
      </c>
      <c r="W222" s="58"/>
      <c r="X222" s="157">
        <f t="shared" si="84"/>
        <v>43673</v>
      </c>
      <c r="Y222" s="385">
        <f t="shared" si="85"/>
        <v>11.242000000000001</v>
      </c>
      <c r="Z222" s="385">
        <f t="shared" si="86"/>
        <v>11.348379646212186</v>
      </c>
      <c r="AA222" s="386">
        <f t="shared" si="87"/>
        <v>11.917305834576874</v>
      </c>
      <c r="AB222" s="197">
        <f t="shared" si="88"/>
        <v>43673</v>
      </c>
      <c r="AC222" s="427">
        <f>IF(OR(t&lt;Tnet,NoTnet),'2018'!Resal_s+('2018'!Salim-'2018'!Resal_s)*(1-EXP(('2018'!Tnet_s-t)/'2018'!Tau_j)),Resal_s+(Salim-Resal_s)*(1-EXP((Tnet_s-t)/Tau_j)))*Salcycl</f>
        <v>4.7739497186856238E-2</v>
      </c>
      <c r="AD222" s="231">
        <f>(INDEX(Models!$BJ222:$BT222,,AH222)*(1-AF222)+INDEX(Models!$BJ222:$BT222,,AH222+1)*AF222-ERP_i)*AE222*Ramure*Pc/MaxiM</f>
        <v>1.5270639749579867E-3</v>
      </c>
      <c r="AE222" s="305">
        <f t="shared" si="89"/>
        <v>0.7</v>
      </c>
      <c r="AF222" s="177">
        <f t="shared" si="90"/>
        <v>0.93680234631037607</v>
      </c>
      <c r="AG222" s="176">
        <f t="shared" si="91"/>
        <v>-2</v>
      </c>
      <c r="AH222" s="176">
        <f t="shared" si="92"/>
        <v>4</v>
      </c>
      <c r="AI222" s="225">
        <f t="shared" si="93"/>
        <v>-1.0631976536896239</v>
      </c>
      <c r="AJ222" s="265" t="b">
        <f t="shared" si="94"/>
        <v>1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20">
        <v>48.118000000000002</v>
      </c>
      <c r="C223" s="390"/>
      <c r="D223" s="393">
        <f t="shared" si="75"/>
        <v>48.574389986034312</v>
      </c>
      <c r="E223" s="385">
        <f t="shared" si="73"/>
        <v>51.014419768957033</v>
      </c>
      <c r="F223" s="385">
        <f t="shared" si="76"/>
        <v>51.082410584191592</v>
      </c>
      <c r="G223" s="110">
        <f t="shared" si="74"/>
        <v>0.93159366459634196</v>
      </c>
      <c r="H223" s="414" t="b">
        <f>Wh_hp&gt;='2018'!Maxi_hp</f>
        <v>1</v>
      </c>
      <c r="I223" s="390">
        <f>IF(H223,Wh_hp,'2018'!Maxi_hp)</f>
        <v>51.082410584191592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9.3956915602136926E-3</v>
      </c>
      <c r="M223" s="959"/>
      <c r="N223" s="959"/>
      <c r="O223" s="48">
        <f>IF(t&lt;Tnet,'2018'!Resal+('2018'!Salim-'2018'!Resal)*(1-EXP(('2018'!Tnet-t)/('2018'!Tau_j))),Resal+(Salim-Resal)*(1-EXP((Tnet-t)/(Tau_j))))*Salcycl</f>
        <v>4.7830197696524884E-2</v>
      </c>
      <c r="P223" s="169">
        <f>(INDEX(Models!$BJ223:$BT223,,T223)*(1-R223)+INDEX(Models!$BJ223:$BT223,,T223+1)*R223-ERP_i)*Q223*Ramure*Pc/MaxiM</f>
        <v>1.4748466638001053E-3</v>
      </c>
      <c r="Q223" s="305">
        <f t="shared" si="78"/>
        <v>0.7</v>
      </c>
      <c r="R223" s="177">
        <f t="shared" si="79"/>
        <v>0.93904334569695758</v>
      </c>
      <c r="S223" s="921">
        <f t="shared" si="80"/>
        <v>-2</v>
      </c>
      <c r="T223" s="176">
        <f t="shared" si="81"/>
        <v>4</v>
      </c>
      <c r="U223" s="251">
        <f t="shared" si="82"/>
        <v>-1.0609566543030424</v>
      </c>
      <c r="V223" s="383">
        <f t="shared" si="83"/>
        <v>51.643834763158154</v>
      </c>
      <c r="W223" s="58"/>
      <c r="X223" s="157">
        <f t="shared" si="84"/>
        <v>43674</v>
      </c>
      <c r="Y223" s="385">
        <f t="shared" si="85"/>
        <v>48.118000000000002</v>
      </c>
      <c r="Z223" s="385">
        <f t="shared" si="86"/>
        <v>48.574389986034312</v>
      </c>
      <c r="AA223" s="386">
        <f t="shared" si="87"/>
        <v>51.014419768957033</v>
      </c>
      <c r="AB223" s="197">
        <f t="shared" si="88"/>
        <v>43674</v>
      </c>
      <c r="AC223" s="427">
        <f>IF(OR(t&lt;Tnet,NoTnet),'2018'!Resal_s+('2018'!Salim-'2018'!Resal_s)*(1-EXP(('2018'!Tnet_s-t)/'2018'!Tau_j)),Resal_s+(Salim-Resal_s)*(1-EXP((Tnet_s-t)/Tau_j)))*Salcycl</f>
        <v>4.7830197696524884E-2</v>
      </c>
      <c r="AD223" s="231">
        <f>(INDEX(Models!$BJ223:$BT223,,AH223)*(1-AF223)+INDEX(Models!$BJ223:$BT223,,AH223+1)*AF223-ERP_i)*AE223*Ramure*Pc/MaxiM</f>
        <v>1.4748466638001053E-3</v>
      </c>
      <c r="AE223" s="305">
        <f t="shared" si="89"/>
        <v>0.7</v>
      </c>
      <c r="AF223" s="177">
        <f t="shared" si="90"/>
        <v>0.93904334569695758</v>
      </c>
      <c r="AG223" s="176">
        <f t="shared" si="91"/>
        <v>-2</v>
      </c>
      <c r="AH223" s="176">
        <f t="shared" si="92"/>
        <v>4</v>
      </c>
      <c r="AI223" s="225">
        <f t="shared" si="93"/>
        <v>-1.0609566543030424</v>
      </c>
      <c r="AJ223" s="265" t="b">
        <f t="shared" si="94"/>
        <v>1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20">
        <v>52.476999999999997</v>
      </c>
      <c r="C224" s="390"/>
      <c r="D224" s="393">
        <f t="shared" si="75"/>
        <v>52.975894571675468</v>
      </c>
      <c r="E224" s="385">
        <f t="shared" si="73"/>
        <v>55.642309789566568</v>
      </c>
      <c r="F224" s="385">
        <f t="shared" si="76"/>
        <v>55.721551124095164</v>
      </c>
      <c r="G224" s="110">
        <f t="shared" si="74"/>
        <v>1.0181365845016872</v>
      </c>
      <c r="H224" s="414" t="b">
        <f>Wh_hp&gt;='2018'!Maxi_hp</f>
        <v>1</v>
      </c>
      <c r="I224" s="390">
        <f>IF(H224,Wh_hp,'2018'!Maxi_hp)</f>
        <v>55.721551124095164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9.4173883368874334E-3</v>
      </c>
      <c r="M224" s="959"/>
      <c r="N224" s="959"/>
      <c r="O224" s="48">
        <f>IF(t&lt;Tnet,'2018'!Resal+('2018'!Salim-'2018'!Resal)*(1-EXP(('2018'!Tnet-t)/('2018'!Tau_j))),Resal+(Salim-Resal)*(1-EXP((Tnet-t)/(Tau_j))))*Salcycl</f>
        <v>4.7920642187127105E-2</v>
      </c>
      <c r="P224" s="169">
        <f>(INDEX(Models!$BJ224:$BT224,,T224)*(1-R224)+INDEX(Models!$BJ224:$BT224,,T224+1)*R224-ERP_i)*Q224*Ramure*Pc/MaxiM</f>
        <v>1.4220949153429369E-3</v>
      </c>
      <c r="Q224" s="305">
        <f t="shared" si="78"/>
        <v>0.7</v>
      </c>
      <c r="R224" s="177">
        <f t="shared" si="79"/>
        <v>0.9412158147009908</v>
      </c>
      <c r="S224" s="921">
        <f t="shared" si="80"/>
        <v>-2</v>
      </c>
      <c r="T224" s="176">
        <f t="shared" si="81"/>
        <v>4</v>
      </c>
      <c r="U224" s="251">
        <f t="shared" si="82"/>
        <v>-1.0587841852990092</v>
      </c>
      <c r="V224" s="383">
        <f t="shared" si="83"/>
        <v>51.542200524779425</v>
      </c>
      <c r="W224" s="58"/>
      <c r="X224" s="157">
        <f t="shared" si="84"/>
        <v>43675</v>
      </c>
      <c r="Y224" s="385">
        <f t="shared" si="85"/>
        <v>52.476999999999997</v>
      </c>
      <c r="Z224" s="385">
        <f t="shared" si="86"/>
        <v>52.975894571675468</v>
      </c>
      <c r="AA224" s="386">
        <f t="shared" si="87"/>
        <v>55.642309789566568</v>
      </c>
      <c r="AB224" s="197">
        <f t="shared" si="88"/>
        <v>43675</v>
      </c>
      <c r="AC224" s="427">
        <f>IF(OR(t&lt;Tnet,NoTnet),'2018'!Resal_s+('2018'!Salim-'2018'!Resal_s)*(1-EXP(('2018'!Tnet_s-t)/'2018'!Tau_j)),Resal_s+(Salim-Resal_s)*(1-EXP((Tnet_s-t)/Tau_j)))*Salcycl</f>
        <v>4.7920642187127105E-2</v>
      </c>
      <c r="AD224" s="231">
        <f>(INDEX(Models!$BJ224:$BT224,,AH224)*(1-AF224)+INDEX(Models!$BJ224:$BT224,,AH224+1)*AF224-ERP_i)*AE224*Ramure*Pc/MaxiM</f>
        <v>1.4220949153429369E-3</v>
      </c>
      <c r="AE224" s="305">
        <f t="shared" si="89"/>
        <v>0.7</v>
      </c>
      <c r="AF224" s="177">
        <f t="shared" si="90"/>
        <v>0.9412158147009908</v>
      </c>
      <c r="AG224" s="176">
        <f t="shared" si="91"/>
        <v>-2</v>
      </c>
      <c r="AH224" s="176">
        <f t="shared" si="92"/>
        <v>4</v>
      </c>
      <c r="AI224" s="225">
        <f t="shared" si="93"/>
        <v>-1.0587841852990092</v>
      </c>
      <c r="AJ224" s="265" t="b">
        <f t="shared" si="94"/>
        <v>1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20">
        <v>24.233000000000001</v>
      </c>
      <c r="C225" s="390"/>
      <c r="D225" s="393">
        <f t="shared" si="75"/>
        <v>24.463916982987897</v>
      </c>
      <c r="E225" s="385">
        <f t="shared" si="73"/>
        <v>25.697684432458107</v>
      </c>
      <c r="F225" s="385">
        <f t="shared" si="76"/>
        <v>25.706284666311774</v>
      </c>
      <c r="G225" s="110">
        <f t="shared" si="74"/>
        <v>0.47060071552456767</v>
      </c>
      <c r="H225" s="414" t="b">
        <f>Wh_hp&gt;='2018'!Maxi_hp</f>
        <v>0</v>
      </c>
      <c r="I225" s="390">
        <f>IF(H225,Wh_hp,'2018'!Maxi_hp)</f>
        <v>53.533900381500366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9.4390846383460847E-3</v>
      </c>
      <c r="M225" s="959"/>
      <c r="N225" s="959"/>
      <c r="O225" s="48">
        <f>IF(t&lt;Tnet,'2018'!Resal+('2018'!Salim-'2018'!Resal)*(1-EXP(('2018'!Tnet-t)/('2018'!Tau_j))),Resal+(Salim-Resal)*(1-EXP((Tnet-t)/(Tau_j))))*Salcycl</f>
        <v>4.8010841315798435E-2</v>
      </c>
      <c r="P225" s="169">
        <f>(INDEX(Models!$BJ225:$BT225,,T225)*(1-R225)+INDEX(Models!$BJ225:$BT225,,T225+1)*R225-ERP_i)*Q225*Ramure*Pc/MaxiM</f>
        <v>1.3688288676635988E-3</v>
      </c>
      <c r="Q225" s="305">
        <f t="shared" si="78"/>
        <v>0.7</v>
      </c>
      <c r="R225" s="177">
        <f t="shared" si="79"/>
        <v>0.94332109824787347</v>
      </c>
      <c r="S225" s="921">
        <f t="shared" si="80"/>
        <v>-2</v>
      </c>
      <c r="T225" s="176">
        <f t="shared" si="81"/>
        <v>4</v>
      </c>
      <c r="U225" s="251">
        <f t="shared" si="82"/>
        <v>-1.0566789017521265</v>
      </c>
      <c r="V225" s="383">
        <f t="shared" si="83"/>
        <v>51.440483022413503</v>
      </c>
      <c r="W225" s="58"/>
      <c r="X225" s="157">
        <f t="shared" si="84"/>
        <v>43676</v>
      </c>
      <c r="Y225" s="385">
        <f t="shared" si="85"/>
        <v>24.233000000000001</v>
      </c>
      <c r="Z225" s="385">
        <f t="shared" si="86"/>
        <v>24.463916982987897</v>
      </c>
      <c r="AA225" s="386">
        <f t="shared" si="87"/>
        <v>25.697684432458107</v>
      </c>
      <c r="AB225" s="197">
        <f t="shared" si="88"/>
        <v>43676</v>
      </c>
      <c r="AC225" s="427">
        <f>IF(OR(t&lt;Tnet,NoTnet),'2018'!Resal_s+('2018'!Salim-'2018'!Resal_s)*(1-EXP(('2018'!Tnet_s-t)/'2018'!Tau_j)),Resal_s+(Salim-Resal_s)*(1-EXP((Tnet_s-t)/Tau_j)))*Salcycl</f>
        <v>4.8010841315798435E-2</v>
      </c>
      <c r="AD225" s="231">
        <f>(INDEX(Models!$BJ225:$BT225,,AH225)*(1-AF225)+INDEX(Models!$BJ225:$BT225,,AH225+1)*AF225-ERP_i)*AE225*Ramure*Pc/MaxiM</f>
        <v>1.3688288676635988E-3</v>
      </c>
      <c r="AE225" s="305">
        <f t="shared" si="89"/>
        <v>0.7</v>
      </c>
      <c r="AF225" s="177">
        <f t="shared" si="90"/>
        <v>0.94332109824787347</v>
      </c>
      <c r="AG225" s="176">
        <f t="shared" si="91"/>
        <v>-2</v>
      </c>
      <c r="AH225" s="176">
        <f t="shared" si="92"/>
        <v>4</v>
      </c>
      <c r="AI225" s="225">
        <f t="shared" si="93"/>
        <v>-1.0566789017521265</v>
      </c>
      <c r="AJ225" s="265" t="b">
        <f t="shared" si="94"/>
        <v>1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20">
        <v>51.3</v>
      </c>
      <c r="C226" s="390"/>
      <c r="D226" s="393">
        <f t="shared" si="75"/>
        <v>51.789973570215246</v>
      </c>
      <c r="E226" s="385">
        <f t="shared" si="73"/>
        <v>54.406993747089487</v>
      </c>
      <c r="F226" s="385">
        <f t="shared" si="76"/>
        <v>54.478591093372515</v>
      </c>
      <c r="G226" s="110">
        <f t="shared" si="74"/>
        <v>0.99924769595275131</v>
      </c>
      <c r="H226" s="414" t="b">
        <f>Wh_hp&gt;='2018'!Maxi_hp</f>
        <v>1</v>
      </c>
      <c r="I226" s="390">
        <f>IF(H226,Wh_hp,'2018'!Maxi_hp)</f>
        <v>54.478591093372515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9.4607804646000826E-3</v>
      </c>
      <c r="M226" s="959"/>
      <c r="N226" s="959"/>
      <c r="O226" s="48">
        <f>IF(t&lt;Tnet,'2018'!Resal+('2018'!Salim-'2018'!Resal)*(1-EXP(('2018'!Tnet-t)/('2018'!Tau_j))),Resal+(Salim-Resal)*(1-EXP((Tnet-t)/(Tau_j))))*Salcycl</f>
        <v>4.8100804632570562E-2</v>
      </c>
      <c r="P226" s="169">
        <f>(INDEX(Models!$BJ226:$BT226,,T226)*(1-R226)+INDEX(Models!$BJ226:$BT226,,T226+1)*R226-ERP_i)*Q226*Ramure*Pc/MaxiM</f>
        <v>1.3156403275727156E-3</v>
      </c>
      <c r="Q226" s="305">
        <f t="shared" si="78"/>
        <v>0.7</v>
      </c>
      <c r="R226" s="177">
        <f t="shared" si="79"/>
        <v>0.94536056931334644</v>
      </c>
      <c r="S226" s="921">
        <f t="shared" si="80"/>
        <v>-2</v>
      </c>
      <c r="T226" s="176">
        <f t="shared" si="81"/>
        <v>4</v>
      </c>
      <c r="U226" s="251">
        <f t="shared" si="82"/>
        <v>-1.0546394306866536</v>
      </c>
      <c r="V226" s="383">
        <f t="shared" si="83"/>
        <v>51.338549704216419</v>
      </c>
      <c r="W226" s="58"/>
      <c r="X226" s="157">
        <f t="shared" si="84"/>
        <v>43677</v>
      </c>
      <c r="Y226" s="385">
        <f t="shared" si="85"/>
        <v>51.3</v>
      </c>
      <c r="Z226" s="385">
        <f t="shared" si="86"/>
        <v>51.789973570215246</v>
      </c>
      <c r="AA226" s="386">
        <f t="shared" si="87"/>
        <v>54.406993747089487</v>
      </c>
      <c r="AB226" s="197">
        <f t="shared" si="88"/>
        <v>43677</v>
      </c>
      <c r="AC226" s="427">
        <f>IF(OR(t&lt;Tnet,NoTnet),'2018'!Resal_s+('2018'!Salim-'2018'!Resal_s)*(1-EXP(('2018'!Tnet_s-t)/'2018'!Tau_j)),Resal_s+(Salim-Resal_s)*(1-EXP((Tnet_s-t)/Tau_j)))*Salcycl</f>
        <v>4.8100804632570562E-2</v>
      </c>
      <c r="AD226" s="231">
        <f>(INDEX(Models!$BJ226:$BT226,,AH226)*(1-AF226)+INDEX(Models!$BJ226:$BT226,,AH226+1)*AF226-ERP_i)*AE226*Ramure*Pc/MaxiM</f>
        <v>1.3156403275727156E-3</v>
      </c>
      <c r="AE226" s="305">
        <f t="shared" si="89"/>
        <v>0.7</v>
      </c>
      <c r="AF226" s="177">
        <f t="shared" si="90"/>
        <v>0.94536056931334644</v>
      </c>
      <c r="AG226" s="176">
        <f t="shared" si="91"/>
        <v>-2</v>
      </c>
      <c r="AH226" s="176">
        <f t="shared" si="92"/>
        <v>4</v>
      </c>
      <c r="AI226" s="225">
        <f t="shared" si="93"/>
        <v>-1.0546394306866536</v>
      </c>
      <c r="AJ226" s="265" t="b">
        <f t="shared" si="94"/>
        <v>1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20">
        <v>41.604999999999997</v>
      </c>
      <c r="C227" s="390"/>
      <c r="D227" s="393">
        <f t="shared" si="75"/>
        <v>42.00329523120795</v>
      </c>
      <c r="E227" s="385">
        <f t="shared" si="73"/>
        <v>44.129940940894201</v>
      </c>
      <c r="F227" s="385">
        <f t="shared" si="76"/>
        <v>44.170733783962433</v>
      </c>
      <c r="G227" s="110">
        <f t="shared" si="74"/>
        <v>0.81174643355977993</v>
      </c>
      <c r="H227" s="414" t="b">
        <f>Wh_hp&gt;='2018'!Maxi_hp</f>
        <v>0</v>
      </c>
      <c r="I227" s="390">
        <f>IF(H227,Wh_hp,'2018'!Maxi_hp)</f>
        <v>52.564784252265206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9.4824758156598632E-3</v>
      </c>
      <c r="M227" s="959"/>
      <c r="N227" s="959"/>
      <c r="O227" s="48">
        <f>IF(t&lt;Tnet,'2018'!Resal+('2018'!Salim-'2018'!Resal)*(1-EXP(('2018'!Tnet-t)/('2018'!Tau_j))),Resal+(Salim-Resal)*(1-EXP((Tnet-t)/(Tau_j))))*Salcycl</f>
        <v>4.819054057957136E-2</v>
      </c>
      <c r="P227" s="169">
        <f>(INDEX(Models!$BJ227:$BT227,,T227)*(1-R227)+INDEX(Models!$BJ227:$BT227,,T227+1)*R227-ERP_i)*Q227*Ramure*Pc/MaxiM</f>
        <v>1.2625796155754381E-3</v>
      </c>
      <c r="Q227" s="305">
        <f t="shared" si="78"/>
        <v>0.7</v>
      </c>
      <c r="R227" s="177">
        <f t="shared" si="79"/>
        <v>0.94733562404201566</v>
      </c>
      <c r="S227" s="921">
        <f t="shared" si="80"/>
        <v>-2</v>
      </c>
      <c r="T227" s="176">
        <f t="shared" si="81"/>
        <v>4</v>
      </c>
      <c r="U227" s="251">
        <f t="shared" si="82"/>
        <v>-1.0526643759579843</v>
      </c>
      <c r="V227" s="383">
        <f t="shared" si="83"/>
        <v>51.236296133816261</v>
      </c>
      <c r="W227" s="58"/>
      <c r="X227" s="157">
        <f t="shared" si="84"/>
        <v>43678</v>
      </c>
      <c r="Y227" s="385">
        <f t="shared" si="85"/>
        <v>41.604999999999997</v>
      </c>
      <c r="Z227" s="385">
        <f t="shared" si="86"/>
        <v>42.00329523120795</v>
      </c>
      <c r="AA227" s="386">
        <f t="shared" si="87"/>
        <v>44.129940940894201</v>
      </c>
      <c r="AB227" s="197">
        <f t="shared" si="88"/>
        <v>43678</v>
      </c>
      <c r="AC227" s="427">
        <f>IF(OR(t&lt;Tnet,NoTnet),'2018'!Resal_s+('2018'!Salim-'2018'!Resal_s)*(1-EXP(('2018'!Tnet_s-t)/'2018'!Tau_j)),Resal_s+(Salim-Resal_s)*(1-EXP((Tnet_s-t)/Tau_j)))*Salcycl</f>
        <v>4.819054057957136E-2</v>
      </c>
      <c r="AD227" s="231">
        <f>(INDEX(Models!$BJ227:$BT227,,AH227)*(1-AF227)+INDEX(Models!$BJ227:$BT227,,AH227+1)*AF227-ERP_i)*AE227*Ramure*Pc/MaxiM</f>
        <v>1.2625796155754381E-3</v>
      </c>
      <c r="AE227" s="305">
        <f t="shared" si="89"/>
        <v>0.7</v>
      </c>
      <c r="AF227" s="177">
        <f t="shared" si="90"/>
        <v>0.94733562404201566</v>
      </c>
      <c r="AG227" s="176">
        <f t="shared" si="91"/>
        <v>-2</v>
      </c>
      <c r="AH227" s="176">
        <f t="shared" si="92"/>
        <v>4</v>
      </c>
      <c r="AI227" s="225">
        <f t="shared" si="93"/>
        <v>-1.0526643759579843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20">
        <v>47.104999999999997</v>
      </c>
      <c r="C228" s="390"/>
      <c r="D228" s="393">
        <f t="shared" si="75"/>
        <v>47.556989748141952</v>
      </c>
      <c r="E228" s="385">
        <f t="shared" si="73"/>
        <v>49.975059219366372</v>
      </c>
      <c r="F228" s="385">
        <f t="shared" si="76"/>
        <v>50.028774914741426</v>
      </c>
      <c r="G228" s="110">
        <f t="shared" si="74"/>
        <v>0.92119057139042881</v>
      </c>
      <c r="H228" s="414" t="b">
        <f>Wh_hp&gt;='2018'!Maxi_hp</f>
        <v>0</v>
      </c>
      <c r="I228" s="390">
        <f>IF(H228,Wh_hp,'2018'!Maxi_hp)</f>
        <v>52.775979801874328</v>
      </c>
      <c r="J228" s="85">
        <f>IF(H228,An,'2018'!An_max)</f>
        <v>2018</v>
      </c>
      <c r="K228" s="197">
        <f t="shared" si="77"/>
        <v>43679</v>
      </c>
      <c r="L228" s="147">
        <f>IF(t&lt;Tvie,1-EXP((T0-t)*PertePVj)+'2018'!Pspv,1-EXP((T0-t)*PertePVj)+Pspv)</f>
        <v>9.5041706915357516E-3</v>
      </c>
      <c r="M228" s="959"/>
      <c r="N228" s="959"/>
      <c r="O228" s="48">
        <f>IF(t&lt;Tnet,'2018'!Resal+('2018'!Salim-'2018'!Resal)*(1-EXP(('2018'!Tnet-t)/('2018'!Tau_j))),Resal+(Salim-Resal)*(1-EXP((Tnet-t)/(Tau_j))))*Salcycl</f>
        <v>4.8385524879725812E-2</v>
      </c>
      <c r="P228" s="169">
        <f>(INDEX(Models!$BJ228:$BT228,,T228)*(1-R228)+INDEX(Models!$BJ228:$BT228,,T228+1)*R228-ERP_i)*Q228*Ramure*Pc/MaxiM</f>
        <v>1.2096698317664695E-3</v>
      </c>
      <c r="Q228" s="305">
        <f t="shared" si="78"/>
        <v>0.7</v>
      </c>
      <c r="R228" s="177">
        <f t="shared" si="79"/>
        <v>0.94924767712665248</v>
      </c>
      <c r="S228" s="921">
        <f t="shared" si="80"/>
        <v>-2</v>
      </c>
      <c r="T228" s="176">
        <f t="shared" si="81"/>
        <v>4</v>
      </c>
      <c r="U228" s="251">
        <f t="shared" si="82"/>
        <v>-1.0507523228733475</v>
      </c>
      <c r="V228" s="383">
        <f t="shared" si="83"/>
        <v>51.127952815421601</v>
      </c>
      <c r="W228" s="58"/>
      <c r="X228" s="157">
        <f t="shared" si="84"/>
        <v>43679</v>
      </c>
      <c r="Y228" s="385">
        <f t="shared" si="85"/>
        <v>47.104999999999997</v>
      </c>
      <c r="Z228" s="385">
        <f t="shared" si="86"/>
        <v>47.556989748141952</v>
      </c>
      <c r="AA228" s="386">
        <f t="shared" si="87"/>
        <v>49.975059219366372</v>
      </c>
      <c r="AB228" s="197">
        <f t="shared" si="88"/>
        <v>43679</v>
      </c>
      <c r="AC228" s="427">
        <f>IF(OR(t&lt;Tnet,NoTnet),'2018'!Resal_s+('2018'!Salim-'2018'!Resal_s)*(1-EXP(('2018'!Tnet_s-t)/'2018'!Tau_j)),Resal_s+(Salim-Resal_s)*(1-EXP((Tnet_s-t)/Tau_j)))*Salcycl</f>
        <v>4.8385524879725812E-2</v>
      </c>
      <c r="AD228" s="231">
        <f>(INDEX(Models!$BJ228:$BT228,,AH228)*(1-AF228)+INDEX(Models!$BJ228:$BT228,,AH228+1)*AF228-ERP_i)*AE228*Ramure*Pc/MaxiM</f>
        <v>1.2096698317664695E-3</v>
      </c>
      <c r="AE228" s="305">
        <f t="shared" si="89"/>
        <v>0.7</v>
      </c>
      <c r="AF228" s="177">
        <f t="shared" si="90"/>
        <v>0.94924767712665248</v>
      </c>
      <c r="AG228" s="176">
        <f t="shared" si="91"/>
        <v>-2</v>
      </c>
      <c r="AH228" s="176">
        <f t="shared" si="92"/>
        <v>4</v>
      </c>
      <c r="AI228" s="225">
        <f t="shared" si="93"/>
        <v>-1.0507523228733475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20">
        <v>50.587000000000003</v>
      </c>
      <c r="C229" s="390"/>
      <c r="D229" s="393">
        <f t="shared" si="75"/>
        <v>51.073519456124842</v>
      </c>
      <c r="E229" s="385">
        <f t="shared" si="73"/>
        <v>53.681320712134863</v>
      </c>
      <c r="F229" s="385">
        <f t="shared" si="76"/>
        <v>53.74274506897126</v>
      </c>
      <c r="G229" s="110">
        <f t="shared" si="74"/>
        <v>0.99151558967515674</v>
      </c>
      <c r="H229" s="414" t="b">
        <f>Wh_hp&gt;='2018'!Maxi_hp</f>
        <v>1</v>
      </c>
      <c r="I229" s="390">
        <f>IF(H229,Wh_hp,'2018'!Maxi_hp)</f>
        <v>53.74274506897126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9.5258650922380728E-3</v>
      </c>
      <c r="M229" s="959"/>
      <c r="N229" s="959"/>
      <c r="O229" s="48">
        <f>IF(t&lt;Tnet,'2018'!Resal+('2018'!Salim-'2018'!Resal)*(1-EXP(('2018'!Tnet-t)/('2018'!Tau_j))),Resal+(Salim-Resal)*(1-EXP((Tnet-t)/(Tau_j))))*Salcycl</f>
        <v>4.8579305080705973E-2</v>
      </c>
      <c r="P229" s="169">
        <f>(INDEX(Models!$BJ229:$BT229,,T229)*(1-R229)+INDEX(Models!$BJ229:$BT229,,T229+1)*R229-ERP_i)*Q229*Ramure*Pc/MaxiM</f>
        <v>1.1569327341811558E-3</v>
      </c>
      <c r="Q229" s="305">
        <f t="shared" si="78"/>
        <v>0.7</v>
      </c>
      <c r="R229" s="177">
        <f t="shared" si="79"/>
        <v>0.95109815744937531</v>
      </c>
      <c r="S229" s="921">
        <f t="shared" si="80"/>
        <v>-2</v>
      </c>
      <c r="T229" s="176">
        <f t="shared" si="81"/>
        <v>4</v>
      </c>
      <c r="U229" s="251">
        <f t="shared" si="82"/>
        <v>-1.0489018425506247</v>
      </c>
      <c r="V229" s="383">
        <f t="shared" si="83"/>
        <v>51.01915845987952</v>
      </c>
      <c r="W229" s="58"/>
      <c r="X229" s="157">
        <f t="shared" si="84"/>
        <v>43680</v>
      </c>
      <c r="Y229" s="385">
        <f t="shared" si="85"/>
        <v>50.587000000000003</v>
      </c>
      <c r="Z229" s="385">
        <f t="shared" si="86"/>
        <v>51.073519456124842</v>
      </c>
      <c r="AA229" s="386">
        <f t="shared" si="87"/>
        <v>53.681320712134863</v>
      </c>
      <c r="AB229" s="197">
        <f t="shared" si="88"/>
        <v>43680</v>
      </c>
      <c r="AC229" s="427">
        <f>IF(OR(t&lt;Tnet,NoTnet),'2018'!Resal_s+('2018'!Salim-'2018'!Resal_s)*(1-EXP(('2018'!Tnet_s-t)/'2018'!Tau_j)),Resal_s+(Salim-Resal_s)*(1-EXP((Tnet_s-t)/Tau_j)))*Salcycl</f>
        <v>4.8579305080705973E-2</v>
      </c>
      <c r="AD229" s="231">
        <f>(INDEX(Models!$BJ229:$BT229,,AH229)*(1-AF229)+INDEX(Models!$BJ229:$BT229,,AH229+1)*AF229-ERP_i)*AE229*Ramure*Pc/MaxiM</f>
        <v>1.1569327341811558E-3</v>
      </c>
      <c r="AE229" s="305">
        <f t="shared" si="89"/>
        <v>0.7</v>
      </c>
      <c r="AF229" s="177">
        <f t="shared" si="90"/>
        <v>0.95109815744937531</v>
      </c>
      <c r="AG229" s="176">
        <f t="shared" si="91"/>
        <v>-2</v>
      </c>
      <c r="AH229" s="176">
        <f t="shared" si="92"/>
        <v>4</v>
      </c>
      <c r="AI229" s="225">
        <f t="shared" si="93"/>
        <v>-1.0489018425506247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20">
        <v>49.009</v>
      </c>
      <c r="C230" s="390"/>
      <c r="D230" s="393">
        <f t="shared" si="75"/>
        <v>49.481426843068029</v>
      </c>
      <c r="E230" s="385">
        <f t="shared" si="73"/>
        <v>52.018465807806976</v>
      </c>
      <c r="F230" s="385">
        <f t="shared" si="76"/>
        <v>52.072907124529117</v>
      </c>
      <c r="G230" s="110">
        <f t="shared" si="74"/>
        <v>0.9626064200134351</v>
      </c>
      <c r="H230" s="414" t="b">
        <f>Wh_hp&gt;='2018'!Maxi_hp</f>
        <v>1</v>
      </c>
      <c r="I230" s="390">
        <f>IF(H230,Wh_hp,'2018'!Maxi_hp)</f>
        <v>52.072907124529117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9.5475590177774849E-3</v>
      </c>
      <c r="M230" s="959"/>
      <c r="N230" s="959"/>
      <c r="O230" s="48">
        <f>IF(t&lt;Tnet,'2018'!Resal+('2018'!Salim-'2018'!Resal)*(1-EXP(('2018'!Tnet-t)/('2018'!Tau_j))),Resal+(Salim-Resal)*(1-EXP((Tnet-t)/(Tau_j))))*Salcycl</f>
        <v>4.8771891391656247E-2</v>
      </c>
      <c r="P230" s="169">
        <f>(INDEX(Models!$BJ230:$BT230,,T230)*(1-R230)+INDEX(Models!$BJ230:$BT230,,T230+1)*R230-ERP_i)*Q230*Ramure*Pc/MaxiM</f>
        <v>1.1043887960062314E-3</v>
      </c>
      <c r="Q230" s="305">
        <f t="shared" si="78"/>
        <v>0.7</v>
      </c>
      <c r="R230" s="177">
        <f t="shared" si="79"/>
        <v>0.95288850398405223</v>
      </c>
      <c r="S230" s="921">
        <f t="shared" si="80"/>
        <v>-2</v>
      </c>
      <c r="T230" s="176">
        <f t="shared" si="81"/>
        <v>4</v>
      </c>
      <c r="U230" s="251">
        <f t="shared" si="82"/>
        <v>-1.0471114960159478</v>
      </c>
      <c r="V230" s="383">
        <f t="shared" si="83"/>
        <v>50.909810099379207</v>
      </c>
      <c r="W230" s="58"/>
      <c r="X230" s="157">
        <f t="shared" si="84"/>
        <v>43681</v>
      </c>
      <c r="Y230" s="385">
        <f t="shared" si="85"/>
        <v>49.009</v>
      </c>
      <c r="Z230" s="385">
        <f t="shared" si="86"/>
        <v>49.481426843068029</v>
      </c>
      <c r="AA230" s="386">
        <f t="shared" si="87"/>
        <v>52.018465807806976</v>
      </c>
      <c r="AB230" s="197">
        <f t="shared" si="88"/>
        <v>43681</v>
      </c>
      <c r="AC230" s="427">
        <f>IF(OR(t&lt;Tnet,NoTnet),'2018'!Resal_s+('2018'!Salim-'2018'!Resal_s)*(1-EXP(('2018'!Tnet_s-t)/'2018'!Tau_j)),Resal_s+(Salim-Resal_s)*(1-EXP((Tnet_s-t)/Tau_j)))*Salcycl</f>
        <v>4.8771891391656247E-2</v>
      </c>
      <c r="AD230" s="231">
        <f>(INDEX(Models!$BJ230:$BT230,,AH230)*(1-AF230)+INDEX(Models!$BJ230:$BT230,,AH230+1)*AF230-ERP_i)*AE230*Ramure*Pc/MaxiM</f>
        <v>1.1043887960062314E-3</v>
      </c>
      <c r="AE230" s="305">
        <f t="shared" si="89"/>
        <v>0.7</v>
      </c>
      <c r="AF230" s="177">
        <f t="shared" si="90"/>
        <v>0.95288850398405223</v>
      </c>
      <c r="AG230" s="176">
        <f t="shared" si="91"/>
        <v>-2</v>
      </c>
      <c r="AH230" s="176">
        <f t="shared" si="92"/>
        <v>4</v>
      </c>
      <c r="AI230" s="225">
        <f t="shared" si="93"/>
        <v>-1.0471114960159478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20">
        <v>48.353000000000002</v>
      </c>
      <c r="C231" s="390"/>
      <c r="D231" s="393">
        <f t="shared" si="75"/>
        <v>48.820172556734732</v>
      </c>
      <c r="E231" s="385">
        <f t="shared" si="73"/>
        <v>51.33363643887521</v>
      </c>
      <c r="F231" s="385">
        <f t="shared" si="76"/>
        <v>51.383975637118787</v>
      </c>
      <c r="G231" s="110">
        <f t="shared" si="74"/>
        <v>0.9517653922190471</v>
      </c>
      <c r="H231" s="414" t="b">
        <f>Wh_hp&gt;='2018'!Maxi_hp</f>
        <v>0</v>
      </c>
      <c r="I231" s="390">
        <f>IF(H231,Wh_hp,'2018'!Maxi_hp)</f>
        <v>51.736003836165686</v>
      </c>
      <c r="J231" s="85">
        <f>IF(H231,An,'2018'!An_max)</f>
        <v>2018</v>
      </c>
      <c r="K231" s="197">
        <f t="shared" si="77"/>
        <v>43682</v>
      </c>
      <c r="L231" s="147">
        <f>IF(t&lt;Tvie,1-EXP((T0-t)*PertePVj)+'2018'!Pspv,1-EXP((T0-t)*PertePVj)+Pspv)</f>
        <v>9.5692524681640911E-3</v>
      </c>
      <c r="M231" s="959"/>
      <c r="N231" s="959"/>
      <c r="O231" s="48">
        <f>IF(t&lt;Tnet,'2018'!Resal+('2018'!Salim-'2018'!Resal)*(1-EXP(('2018'!Tnet-t)/('2018'!Tau_j))),Resal+(Salim-Resal)*(1-EXP((Tnet-t)/(Tau_j))))*Salcycl</f>
        <v>4.8963293008344511E-2</v>
      </c>
      <c r="P231" s="169">
        <f>(INDEX(Models!$BJ231:$BT231,,T231)*(1-R231)+INDEX(Models!$BJ231:$BT231,,T231+1)*R231-ERP_i)*Q231*Ramure*Pc/MaxiM</f>
        <v>1.0520572643924497E-3</v>
      </c>
      <c r="Q231" s="305">
        <f t="shared" si="78"/>
        <v>0.7</v>
      </c>
      <c r="R231" s="177">
        <f t="shared" si="79"/>
        <v>0.95462016195769461</v>
      </c>
      <c r="S231" s="921">
        <f t="shared" si="80"/>
        <v>-2</v>
      </c>
      <c r="T231" s="176">
        <f t="shared" si="81"/>
        <v>4</v>
      </c>
      <c r="U231" s="251">
        <f t="shared" si="82"/>
        <v>-1.0453798380423054</v>
      </c>
      <c r="V231" s="383">
        <f t="shared" si="83"/>
        <v>50.799804960936022</v>
      </c>
      <c r="W231" s="58"/>
      <c r="X231" s="157">
        <f t="shared" si="84"/>
        <v>43682</v>
      </c>
      <c r="Y231" s="385">
        <f t="shared" si="85"/>
        <v>48.353000000000002</v>
      </c>
      <c r="Z231" s="385">
        <f t="shared" si="86"/>
        <v>48.820172556734732</v>
      </c>
      <c r="AA231" s="386">
        <f t="shared" si="87"/>
        <v>51.33363643887521</v>
      </c>
      <c r="AB231" s="197">
        <f t="shared" si="88"/>
        <v>43682</v>
      </c>
      <c r="AC231" s="427">
        <f>IF(OR(t&lt;Tnet,NoTnet),'2018'!Resal_s+('2018'!Salim-'2018'!Resal_s)*(1-EXP(('2018'!Tnet_s-t)/'2018'!Tau_j)),Resal_s+(Salim-Resal_s)*(1-EXP((Tnet_s-t)/Tau_j)))*Salcycl</f>
        <v>4.8963293008344511E-2</v>
      </c>
      <c r="AD231" s="231">
        <f>(INDEX(Models!$BJ231:$BT231,,AH231)*(1-AF231)+INDEX(Models!$BJ231:$BT231,,AH231+1)*AF231-ERP_i)*AE231*Ramure*Pc/MaxiM</f>
        <v>1.0520572643924497E-3</v>
      </c>
      <c r="AE231" s="305">
        <f t="shared" si="89"/>
        <v>0.7</v>
      </c>
      <c r="AF231" s="177">
        <f t="shared" si="90"/>
        <v>0.95462016195769461</v>
      </c>
      <c r="AG231" s="176">
        <f t="shared" si="91"/>
        <v>-2</v>
      </c>
      <c r="AH231" s="176">
        <f t="shared" si="92"/>
        <v>4</v>
      </c>
      <c r="AI231" s="225">
        <f t="shared" si="93"/>
        <v>-1.0453798380423054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20">
        <v>37.316000000000003</v>
      </c>
      <c r="C232" s="390"/>
      <c r="D232" s="393">
        <f t="shared" si="75"/>
        <v>37.677361518778184</v>
      </c>
      <c r="E232" s="385">
        <f t="shared" si="73"/>
        <v>39.625073276662548</v>
      </c>
      <c r="F232" s="385">
        <f t="shared" si="76"/>
        <v>39.649778250198082</v>
      </c>
      <c r="G232" s="110">
        <f t="shared" si="74"/>
        <v>0.73589729396657544</v>
      </c>
      <c r="H232" s="414" t="b">
        <f>Wh_hp&gt;='2018'!Maxi_hp</f>
        <v>0</v>
      </c>
      <c r="I232" s="390">
        <f>IF(H232,Wh_hp,'2018'!Maxi_hp)</f>
        <v>52.214461911625534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9.5909454434085495E-3</v>
      </c>
      <c r="M232" s="959"/>
      <c r="N232" s="959"/>
      <c r="O232" s="48">
        <f>IF(t&lt;Tnet,'2018'!Resal+('2018'!Salim-'2018'!Resal)*(1-EXP(('2018'!Tnet-t)/('2018'!Tau_j))),Resal+(Salim-Resal)*(1-EXP((Tnet-t)/(Tau_j))))*Salcycl</f>
        <v>4.9153518134475806E-2</v>
      </c>
      <c r="P232" s="169">
        <f>(INDEX(Models!$BJ232:$BT232,,T232)*(1-R232)+INDEX(Models!$BJ232:$BT232,,T232+1)*R232-ERP_i)*Q232*Ramure*Pc/MaxiM</f>
        <v>9.9995621999921761E-4</v>
      </c>
      <c r="Q232" s="305">
        <f t="shared" si="78"/>
        <v>0.7</v>
      </c>
      <c r="R232" s="177">
        <f t="shared" si="79"/>
        <v>0.95629457926722616</v>
      </c>
      <c r="S232" s="921">
        <f t="shared" si="80"/>
        <v>-2</v>
      </c>
      <c r="T232" s="176">
        <f t="shared" si="81"/>
        <v>4</v>
      </c>
      <c r="U232" s="251">
        <f t="shared" si="82"/>
        <v>-1.0437054207327738</v>
      </c>
      <c r="V232" s="383">
        <f t="shared" si="83"/>
        <v>50.689040461152828</v>
      </c>
      <c r="W232" s="58"/>
      <c r="X232" s="157">
        <f t="shared" si="84"/>
        <v>43683</v>
      </c>
      <c r="Y232" s="385">
        <f t="shared" si="85"/>
        <v>37.316000000000003</v>
      </c>
      <c r="Z232" s="385">
        <f t="shared" si="86"/>
        <v>37.677361518778184</v>
      </c>
      <c r="AA232" s="386">
        <f t="shared" si="87"/>
        <v>39.625073276662548</v>
      </c>
      <c r="AB232" s="197">
        <f t="shared" si="88"/>
        <v>43683</v>
      </c>
      <c r="AC232" s="427">
        <f>IF(OR(t&lt;Tnet,NoTnet),'2018'!Resal_s+('2018'!Salim-'2018'!Resal_s)*(1-EXP(('2018'!Tnet_s-t)/'2018'!Tau_j)),Resal_s+(Salim-Resal_s)*(1-EXP((Tnet_s-t)/Tau_j)))*Salcycl</f>
        <v>4.9153518134475806E-2</v>
      </c>
      <c r="AD232" s="231">
        <f>(INDEX(Models!$BJ232:$BT232,,AH232)*(1-AF232)+INDEX(Models!$BJ232:$BT232,,AH232+1)*AF232-ERP_i)*AE232*Ramure*Pc/MaxiM</f>
        <v>9.9995621999921761E-4</v>
      </c>
      <c r="AE232" s="305">
        <f t="shared" si="89"/>
        <v>0.7</v>
      </c>
      <c r="AF232" s="177">
        <f t="shared" si="90"/>
        <v>0.95629457926722616</v>
      </c>
      <c r="AG232" s="176">
        <f t="shared" si="91"/>
        <v>-2</v>
      </c>
      <c r="AH232" s="176">
        <f t="shared" si="92"/>
        <v>4</v>
      </c>
      <c r="AI232" s="225">
        <f t="shared" si="93"/>
        <v>-1.0437054207327738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20">
        <v>37.881999999999998</v>
      </c>
      <c r="C233" s="390"/>
      <c r="D233" s="393">
        <f t="shared" si="75"/>
        <v>38.24968032845284</v>
      </c>
      <c r="E233" s="385">
        <f t="shared" ref="E233:E296" si="97">Wh_pvt/(1-Psa)</f>
        <v>40.234977693011487</v>
      </c>
      <c r="F233" s="385">
        <f t="shared" si="76"/>
        <v>40.259460472109204</v>
      </c>
      <c r="G233" s="110">
        <f t="shared" ref="G233:G296" si="98">+Wh_hp/MaxiM</f>
        <v>0.74873458494260592</v>
      </c>
      <c r="H233" s="414" t="b">
        <f>Wh_hp&gt;='2018'!Maxi_hp</f>
        <v>1</v>
      </c>
      <c r="I233" s="390">
        <f>IF(H233,Wh_hp,'2018'!Maxi_hp)</f>
        <v>40.259460472109204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9.6126379435211851E-3</v>
      </c>
      <c r="M233" s="959"/>
      <c r="N233" s="959"/>
      <c r="O233" s="48">
        <f>IF(t&lt;Tnet,'2018'!Resal+('2018'!Salim-'2018'!Resal)*(1-EXP(('2018'!Tnet-t)/('2018'!Tau_j))),Resal+(Salim-Resal)*(1-EXP((Tnet-t)/(Tau_j))))*Salcycl</f>
        <v>4.9342574008770373E-2</v>
      </c>
      <c r="P233" s="169">
        <f>(INDEX(Models!$BJ233:$BT233,,T233)*(1-R233)+INDEX(Models!$BJ233:$BT233,,T233+1)*R233-ERP_i)*Q233*Ramure*Pc/MaxiM</f>
        <v>9.481012872230391E-4</v>
      </c>
      <c r="Q233" s="305">
        <f t="shared" si="78"/>
        <v>0.7</v>
      </c>
      <c r="R233" s="177">
        <f t="shared" si="79"/>
        <v>0.95791320314678963</v>
      </c>
      <c r="S233" s="921">
        <f t="shared" si="80"/>
        <v>-2</v>
      </c>
      <c r="T233" s="176">
        <f t="shared" si="81"/>
        <v>4</v>
      </c>
      <c r="U233" s="251">
        <f t="shared" si="82"/>
        <v>-1.0420867968532104</v>
      </c>
      <c r="V233" s="383">
        <f t="shared" si="83"/>
        <v>50.577486252225988</v>
      </c>
      <c r="W233" s="58"/>
      <c r="X233" s="157">
        <f t="shared" si="84"/>
        <v>43684</v>
      </c>
      <c r="Y233" s="385">
        <f t="shared" si="85"/>
        <v>37.881999999999998</v>
      </c>
      <c r="Z233" s="385">
        <f t="shared" si="86"/>
        <v>38.24968032845284</v>
      </c>
      <c r="AA233" s="386">
        <f t="shared" si="87"/>
        <v>40.234977693011487</v>
      </c>
      <c r="AB233" s="197">
        <f t="shared" si="88"/>
        <v>43684</v>
      </c>
      <c r="AC233" s="427">
        <f>IF(OR(t&lt;Tnet,NoTnet),'2018'!Resal_s+('2018'!Salim-'2018'!Resal_s)*(1-EXP(('2018'!Tnet_s-t)/'2018'!Tau_j)),Resal_s+(Salim-Resal_s)*(1-EXP((Tnet_s-t)/Tau_j)))*Salcycl</f>
        <v>4.9342574008770373E-2</v>
      </c>
      <c r="AD233" s="231">
        <f>(INDEX(Models!$BJ233:$BT233,,AH233)*(1-AF233)+INDEX(Models!$BJ233:$BT233,,AH233+1)*AF233-ERP_i)*AE233*Ramure*Pc/MaxiM</f>
        <v>9.481012872230391E-4</v>
      </c>
      <c r="AE233" s="305">
        <f t="shared" si="89"/>
        <v>0.7</v>
      </c>
      <c r="AF233" s="177">
        <f t="shared" si="90"/>
        <v>0.95791320314678963</v>
      </c>
      <c r="AG233" s="176">
        <f t="shared" si="91"/>
        <v>-2</v>
      </c>
      <c r="AH233" s="176">
        <f t="shared" si="92"/>
        <v>4</v>
      </c>
      <c r="AI233" s="225">
        <f t="shared" si="93"/>
        <v>-1.0420867968532104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20">
        <v>48.722000000000001</v>
      </c>
      <c r="C234" s="390"/>
      <c r="D234" s="393">
        <f t="shared" si="75"/>
        <v>49.195970210125459</v>
      </c>
      <c r="E234" s="385">
        <f t="shared" si="97"/>
        <v>51.759649834949919</v>
      </c>
      <c r="F234" s="385">
        <f t="shared" si="76"/>
        <v>51.803831793657018</v>
      </c>
      <c r="G234" s="110">
        <f t="shared" si="98"/>
        <v>0.96541454219770528</v>
      </c>
      <c r="H234" s="414" t="b">
        <f>Wh_hp&gt;='2018'!Maxi_hp</f>
        <v>1</v>
      </c>
      <c r="I234" s="390">
        <f>IF(H234,Wh_hp,'2018'!Maxi_hp)</f>
        <v>51.803831793657018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9.634329968512434E-3</v>
      </c>
      <c r="M234" s="959"/>
      <c r="N234" s="959"/>
      <c r="O234" s="48">
        <f>IF(t&lt;Tnet,'2018'!Resal+('2018'!Salim-'2018'!Resal)*(1-EXP(('2018'!Tnet-t)/('2018'!Tau_j))),Resal+(Salim-Resal)*(1-EXP((Tnet-t)/(Tau_j))))*Salcycl</f>
        <v>4.9530466937072921E-2</v>
      </c>
      <c r="P234" s="169">
        <f>(INDEX(Models!$BJ234:$BT234,,T234)*(1-R234)+INDEX(Models!$BJ234:$BT234,,T234+1)*R234-ERP_i)*Q234*Ramure*Pc/MaxiM</f>
        <v>8.9714143230182634E-4</v>
      </c>
      <c r="Q234" s="305">
        <f t="shared" si="78"/>
        <v>0.7</v>
      </c>
      <c r="R234" s="177">
        <f t="shared" si="79"/>
        <v>0.95947747707971121</v>
      </c>
      <c r="S234" s="921">
        <f t="shared" si="80"/>
        <v>-2</v>
      </c>
      <c r="T234" s="176">
        <f t="shared" si="81"/>
        <v>4</v>
      </c>
      <c r="U234" s="251">
        <f t="shared" si="82"/>
        <v>-1.0405225229202888</v>
      </c>
      <c r="V234" s="383">
        <f t="shared" si="83"/>
        <v>50.465203350260865</v>
      </c>
      <c r="W234" s="58"/>
      <c r="X234" s="157">
        <f t="shared" si="84"/>
        <v>43685</v>
      </c>
      <c r="Y234" s="385">
        <f t="shared" si="85"/>
        <v>48.722000000000001</v>
      </c>
      <c r="Z234" s="385">
        <f t="shared" si="86"/>
        <v>49.195970210125459</v>
      </c>
      <c r="AA234" s="386">
        <f t="shared" si="87"/>
        <v>51.759649834949919</v>
      </c>
      <c r="AB234" s="197">
        <f t="shared" si="88"/>
        <v>43685</v>
      </c>
      <c r="AC234" s="427">
        <f>IF(OR(t&lt;Tnet,NoTnet),'2018'!Resal_s+('2018'!Salim-'2018'!Resal_s)*(1-EXP(('2018'!Tnet_s-t)/'2018'!Tau_j)),Resal_s+(Salim-Resal_s)*(1-EXP((Tnet_s-t)/Tau_j)))*Salcycl</f>
        <v>4.9530466937072921E-2</v>
      </c>
      <c r="AD234" s="231">
        <f>(INDEX(Models!$BJ234:$BT234,,AH234)*(1-AF234)+INDEX(Models!$BJ234:$BT234,,AH234+1)*AF234-ERP_i)*AE234*Ramure*Pc/MaxiM</f>
        <v>8.9714143230182634E-4</v>
      </c>
      <c r="AE234" s="305">
        <f t="shared" si="89"/>
        <v>0.7</v>
      </c>
      <c r="AF234" s="177">
        <f t="shared" si="90"/>
        <v>0.95947747707971121</v>
      </c>
      <c r="AG234" s="176">
        <f t="shared" si="91"/>
        <v>-2</v>
      </c>
      <c r="AH234" s="176">
        <f t="shared" si="92"/>
        <v>4</v>
      </c>
      <c r="AI234" s="225">
        <f t="shared" si="93"/>
        <v>-1.0405225229202888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20">
        <v>47.567999999999998</v>
      </c>
      <c r="C235" s="390"/>
      <c r="D235" s="393">
        <f t="shared" si="75"/>
        <v>48.031796056286545</v>
      </c>
      <c r="E235" s="385">
        <f t="shared" si="97"/>
        <v>50.544739075558454</v>
      </c>
      <c r="F235" s="385">
        <f t="shared" si="76"/>
        <v>50.584200043559008</v>
      </c>
      <c r="G235" s="110">
        <f t="shared" si="98"/>
        <v>0.94464076117230422</v>
      </c>
      <c r="H235" s="414" t="b">
        <f>Wh_hp&gt;='2018'!Maxi_hp</f>
        <v>1</v>
      </c>
      <c r="I235" s="390">
        <f>IF(H235,Wh_hp,'2018'!Maxi_hp)</f>
        <v>50.584200043559008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9.6560215183926212E-3</v>
      </c>
      <c r="M235" s="959"/>
      <c r="N235" s="959"/>
      <c r="O235" s="48">
        <f>IF(t&lt;Tnet,'2018'!Resal+('2018'!Salim-'2018'!Resal)*(1-EXP(('2018'!Tnet-t)/('2018'!Tau_j))),Resal+(Salim-Resal)*(1-EXP((Tnet-t)/(Tau_j))))*Salcycl</f>
        <v>4.9717202328720213E-2</v>
      </c>
      <c r="P235" s="169">
        <f>(INDEX(Models!$BJ235:$BT235,,T235)*(1-R235)+INDEX(Models!$BJ235:$BT235,,T235+1)*R235-ERP_i)*Q235*Ramure*Pc/MaxiM</f>
        <v>8.4701384666765827E-4</v>
      </c>
      <c r="Q235" s="305">
        <f t="shared" si="78"/>
        <v>0.7</v>
      </c>
      <c r="R235" s="177">
        <f t="shared" si="79"/>
        <v>0.96098883794833956</v>
      </c>
      <c r="S235" s="921">
        <f t="shared" si="80"/>
        <v>-2</v>
      </c>
      <c r="T235" s="176">
        <f t="shared" si="81"/>
        <v>4</v>
      </c>
      <c r="U235" s="251">
        <f t="shared" si="82"/>
        <v>-1.0390111620516604</v>
      </c>
      <c r="V235" s="383">
        <f t="shared" si="83"/>
        <v>50.352278593109972</v>
      </c>
      <c r="W235" s="58"/>
      <c r="X235" s="157">
        <f t="shared" si="84"/>
        <v>43686</v>
      </c>
      <c r="Y235" s="385">
        <f t="shared" si="85"/>
        <v>47.567999999999998</v>
      </c>
      <c r="Z235" s="385">
        <f t="shared" si="86"/>
        <v>48.031796056286545</v>
      </c>
      <c r="AA235" s="386">
        <f t="shared" si="87"/>
        <v>50.544739075558454</v>
      </c>
      <c r="AB235" s="197">
        <f t="shared" si="88"/>
        <v>43686</v>
      </c>
      <c r="AC235" s="427">
        <f>IF(OR(t&lt;Tnet,NoTnet),'2018'!Resal_s+('2018'!Salim-'2018'!Resal_s)*(1-EXP(('2018'!Tnet_s-t)/'2018'!Tau_j)),Resal_s+(Salim-Resal_s)*(1-EXP((Tnet_s-t)/Tau_j)))*Salcycl</f>
        <v>4.9717202328720213E-2</v>
      </c>
      <c r="AD235" s="231">
        <f>(INDEX(Models!$BJ235:$BT235,,AH235)*(1-AF235)+INDEX(Models!$BJ235:$BT235,,AH235+1)*AF235-ERP_i)*AE235*Ramure*Pc/MaxiM</f>
        <v>8.4701384666765827E-4</v>
      </c>
      <c r="AE235" s="305">
        <f t="shared" si="89"/>
        <v>0.7</v>
      </c>
      <c r="AF235" s="177">
        <f t="shared" si="90"/>
        <v>0.96098883794833956</v>
      </c>
      <c r="AG235" s="176">
        <f t="shared" si="91"/>
        <v>-2</v>
      </c>
      <c r="AH235" s="176">
        <f t="shared" si="92"/>
        <v>4</v>
      </c>
      <c r="AI235" s="225">
        <f t="shared" si="93"/>
        <v>-1.0390111620516604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20">
        <v>34.655000000000001</v>
      </c>
      <c r="C236" s="390"/>
      <c r="D236" s="393">
        <f t="shared" si="75"/>
        <v>34.993658570226245</v>
      </c>
      <c r="E236" s="385">
        <f t="shared" si="97"/>
        <v>36.831661021673575</v>
      </c>
      <c r="F236" s="385">
        <f t="shared" si="76"/>
        <v>36.848030078300141</v>
      </c>
      <c r="G236" s="110">
        <f t="shared" si="98"/>
        <v>0.6895616034387323</v>
      </c>
      <c r="H236" s="414" t="b">
        <f>Wh_hp&gt;='2018'!Maxi_hp</f>
        <v>0</v>
      </c>
      <c r="I236" s="390">
        <f>IF(H236,Wh_hp,'2018'!Maxi_hp)</f>
        <v>49.139217090165502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9.677712593172183E-3</v>
      </c>
      <c r="M236" s="959"/>
      <c r="N236" s="959"/>
      <c r="O236" s="48">
        <f>IF(t&lt;Tnet,'2018'!Resal+('2018'!Salim-'2018'!Resal)*(1-EXP(('2018'!Tnet-t)/('2018'!Tau_j))),Resal+(Salim-Resal)*(1-EXP((Tnet-t)/(Tau_j))))*Salcycl</f>
        <v>4.9902784736364628E-2</v>
      </c>
      <c r="P236" s="169">
        <f>(INDEX(Models!$BJ236:$BT236,,T236)*(1-R236)+INDEX(Models!$BJ236:$BT236,,T236+1)*R236-ERP_i)*Q236*Ramure*Pc/MaxiM</f>
        <v>7.9773635598192737E-4</v>
      </c>
      <c r="Q236" s="305">
        <f t="shared" si="78"/>
        <v>0.7</v>
      </c>
      <c r="R236" s="177">
        <f t="shared" si="79"/>
        <v>0.96244871341423677</v>
      </c>
      <c r="S236" s="921">
        <f t="shared" si="80"/>
        <v>-2</v>
      </c>
      <c r="T236" s="176">
        <f t="shared" si="81"/>
        <v>4</v>
      </c>
      <c r="U236" s="251">
        <f t="shared" si="82"/>
        <v>-1.0375512865857632</v>
      </c>
      <c r="V236" s="383">
        <f t="shared" si="83"/>
        <v>50.238794725205274</v>
      </c>
      <c r="W236" s="58"/>
      <c r="X236" s="157">
        <f t="shared" si="84"/>
        <v>43687</v>
      </c>
      <c r="Y236" s="385">
        <f t="shared" si="85"/>
        <v>34.655000000000001</v>
      </c>
      <c r="Z236" s="385">
        <f t="shared" si="86"/>
        <v>34.993658570226245</v>
      </c>
      <c r="AA236" s="386">
        <f t="shared" si="87"/>
        <v>36.831661021673575</v>
      </c>
      <c r="AB236" s="197">
        <f t="shared" si="88"/>
        <v>43687</v>
      </c>
      <c r="AC236" s="427">
        <f>IF(OR(t&lt;Tnet,NoTnet),'2018'!Resal_s+('2018'!Salim-'2018'!Resal_s)*(1-EXP(('2018'!Tnet_s-t)/'2018'!Tau_j)),Resal_s+(Salim-Resal_s)*(1-EXP((Tnet_s-t)/Tau_j)))*Salcycl</f>
        <v>4.9902784736364628E-2</v>
      </c>
      <c r="AD236" s="231">
        <f>(INDEX(Models!$BJ236:$BT236,,AH236)*(1-AF236)+INDEX(Models!$BJ236:$BT236,,AH236+1)*AF236-ERP_i)*AE236*Ramure*Pc/MaxiM</f>
        <v>7.9773635598192737E-4</v>
      </c>
      <c r="AE236" s="305">
        <f t="shared" si="89"/>
        <v>0.7</v>
      </c>
      <c r="AF236" s="177">
        <f t="shared" si="90"/>
        <v>0.96244871341423677</v>
      </c>
      <c r="AG236" s="176">
        <f t="shared" si="91"/>
        <v>-2</v>
      </c>
      <c r="AH236" s="176">
        <f t="shared" si="92"/>
        <v>4</v>
      </c>
      <c r="AI236" s="225">
        <f t="shared" si="93"/>
        <v>-1.0375512865857632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20">
        <v>22.268999999999998</v>
      </c>
      <c r="C237" s="390"/>
      <c r="D237" s="393">
        <f t="shared" si="75"/>
        <v>22.487111561679587</v>
      </c>
      <c r="E237" s="385">
        <f t="shared" si="97"/>
        <v>23.672817110566243</v>
      </c>
      <c r="F237" s="385">
        <f t="shared" si="76"/>
        <v>23.676473635056166</v>
      </c>
      <c r="G237" s="110">
        <f t="shared" si="98"/>
        <v>0.44400646071754341</v>
      </c>
      <c r="H237" s="414" t="b">
        <f>Wh_hp&gt;='2018'!Maxi_hp</f>
        <v>0</v>
      </c>
      <c r="I237" s="390">
        <f>IF(H237,Wh_hp,'2018'!Maxi_hp)</f>
        <v>52.879735063277003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9.6994031928615554E-3</v>
      </c>
      <c r="M237" s="959"/>
      <c r="N237" s="959"/>
      <c r="O237" s="48">
        <f>IF(t&lt;Tnet,'2018'!Resal+('2018'!Salim-'2018'!Resal)*(1-EXP(('2018'!Tnet-t)/('2018'!Tau_j))),Resal+(Salim-Resal)*(1-EXP((Tnet-t)/(Tau_j))))*Salcycl</f>
        <v>5.0087217898431804E-2</v>
      </c>
      <c r="P237" s="169">
        <f>(INDEX(Models!$BJ237:$BT237,,T237)*(1-R237)+INDEX(Models!$BJ237:$BT237,,T237+1)*R237-ERP_i)*Q237*Ramure*Pc/MaxiM</f>
        <v>7.4932649131492334E-4</v>
      </c>
      <c r="Q237" s="305">
        <f t="shared" si="78"/>
        <v>0.7</v>
      </c>
      <c r="R237" s="177">
        <f t="shared" si="79"/>
        <v>0.9638585195205791</v>
      </c>
      <c r="S237" s="921">
        <f t="shared" si="80"/>
        <v>-2</v>
      </c>
      <c r="T237" s="176">
        <f t="shared" si="81"/>
        <v>4</v>
      </c>
      <c r="U237" s="251">
        <f t="shared" si="82"/>
        <v>-1.0361414804794209</v>
      </c>
      <c r="V237" s="383">
        <f t="shared" si="83"/>
        <v>50.124834500362603</v>
      </c>
      <c r="W237" s="58"/>
      <c r="X237" s="157">
        <f t="shared" si="84"/>
        <v>43688</v>
      </c>
      <c r="Y237" s="385">
        <f t="shared" si="85"/>
        <v>22.268999999999998</v>
      </c>
      <c r="Z237" s="385">
        <f t="shared" si="86"/>
        <v>22.487111561679587</v>
      </c>
      <c r="AA237" s="386">
        <f t="shared" si="87"/>
        <v>23.672817110566243</v>
      </c>
      <c r="AB237" s="197">
        <f t="shared" si="88"/>
        <v>43688</v>
      </c>
      <c r="AC237" s="427">
        <f>IF(OR(t&lt;Tnet,NoTnet),'2018'!Resal_s+('2018'!Salim-'2018'!Resal_s)*(1-EXP(('2018'!Tnet_s-t)/'2018'!Tau_j)),Resal_s+(Salim-Resal_s)*(1-EXP((Tnet_s-t)/Tau_j)))*Salcycl</f>
        <v>5.0087217898431804E-2</v>
      </c>
      <c r="AD237" s="231">
        <f>(INDEX(Models!$BJ237:$BT237,,AH237)*(1-AF237)+INDEX(Models!$BJ237:$BT237,,AH237+1)*AF237-ERP_i)*AE237*Ramure*Pc/MaxiM</f>
        <v>7.4932649131492334E-4</v>
      </c>
      <c r="AE237" s="305">
        <f t="shared" si="89"/>
        <v>0.7</v>
      </c>
      <c r="AF237" s="177">
        <f t="shared" si="90"/>
        <v>0.9638585195205791</v>
      </c>
      <c r="AG237" s="176">
        <f t="shared" si="91"/>
        <v>-2</v>
      </c>
      <c r="AH237" s="176">
        <f t="shared" si="92"/>
        <v>4</v>
      </c>
      <c r="AI237" s="225">
        <f t="shared" si="93"/>
        <v>-1.0361414804794209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20">
        <v>24.413</v>
      </c>
      <c r="C238" s="390"/>
      <c r="D238" s="393">
        <f t="shared" si="75"/>
        <v>24.652650718154199</v>
      </c>
      <c r="E238" s="385">
        <f t="shared" si="97"/>
        <v>25.957549852162206</v>
      </c>
      <c r="F238" s="385">
        <f t="shared" si="76"/>
        <v>25.962447458119723</v>
      </c>
      <c r="G238" s="110">
        <f t="shared" si="98"/>
        <v>0.48790712546934223</v>
      </c>
      <c r="H238" s="414" t="b">
        <f>Wh_hp&gt;='2018'!Maxi_hp</f>
        <v>0</v>
      </c>
      <c r="I238" s="390">
        <f>IF(H238,Wh_hp,'2018'!Maxi_hp)</f>
        <v>51.227825043986797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9.7210933174710634E-3</v>
      </c>
      <c r="M238" s="959"/>
      <c r="N238" s="959"/>
      <c r="O238" s="48">
        <f>IF(t&lt;Tnet,'2018'!Resal+('2018'!Salim-'2018'!Resal)*(1-EXP(('2018'!Tnet-t)/('2018'!Tau_j))),Resal+(Salim-Resal)*(1-EXP((Tnet-t)/(Tau_j))))*Salcycl</f>
        <v>5.0270504783382332E-2</v>
      </c>
      <c r="P238" s="169">
        <f>(INDEX(Models!$BJ238:$BT238,,T238)*(1-R238)+INDEX(Models!$BJ238:$BT238,,T238+1)*R238-ERP_i)*Q238*Ramure*Pc/MaxiM</f>
        <v>7.0180152998539774E-4</v>
      </c>
      <c r="Q238" s="305">
        <f t="shared" si="78"/>
        <v>0.7</v>
      </c>
      <c r="R238" s="177">
        <f t="shared" si="79"/>
        <v>0.96521965850814517</v>
      </c>
      <c r="S238" s="921">
        <f t="shared" si="80"/>
        <v>-2</v>
      </c>
      <c r="T238" s="176">
        <f t="shared" si="81"/>
        <v>4</v>
      </c>
      <c r="U238" s="251">
        <f t="shared" si="82"/>
        <v>-1.0347803414918548</v>
      </c>
      <c r="V238" s="383">
        <f t="shared" si="83"/>
        <v>50.01048067761176</v>
      </c>
      <c r="W238" s="58"/>
      <c r="X238" s="157">
        <f t="shared" si="84"/>
        <v>43689</v>
      </c>
      <c r="Y238" s="385">
        <f t="shared" si="85"/>
        <v>24.413</v>
      </c>
      <c r="Z238" s="385">
        <f t="shared" si="86"/>
        <v>24.652650718154199</v>
      </c>
      <c r="AA238" s="386">
        <f t="shared" si="87"/>
        <v>25.957549852162206</v>
      </c>
      <c r="AB238" s="197">
        <f t="shared" si="88"/>
        <v>43689</v>
      </c>
      <c r="AC238" s="427">
        <f>IF(OR(t&lt;Tnet,NoTnet),'2018'!Resal_s+('2018'!Salim-'2018'!Resal_s)*(1-EXP(('2018'!Tnet_s-t)/'2018'!Tau_j)),Resal_s+(Salim-Resal_s)*(1-EXP((Tnet_s-t)/Tau_j)))*Salcycl</f>
        <v>5.0270504783382332E-2</v>
      </c>
      <c r="AD238" s="231">
        <f>(INDEX(Models!$BJ238:$BT238,,AH238)*(1-AF238)+INDEX(Models!$BJ238:$BT238,,AH238+1)*AF238-ERP_i)*AE238*Ramure*Pc/MaxiM</f>
        <v>7.0180152998539774E-4</v>
      </c>
      <c r="AE238" s="305">
        <f t="shared" si="89"/>
        <v>0.7</v>
      </c>
      <c r="AF238" s="177">
        <f t="shared" si="90"/>
        <v>0.96521965850814517</v>
      </c>
      <c r="AG238" s="176">
        <f t="shared" si="91"/>
        <v>-2</v>
      </c>
      <c r="AH238" s="176">
        <f t="shared" si="92"/>
        <v>4</v>
      </c>
      <c r="AI238" s="225">
        <f t="shared" si="93"/>
        <v>-1.0347803414918548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20">
        <v>45.612000000000002</v>
      </c>
      <c r="C239" s="390"/>
      <c r="D239" s="393">
        <f t="shared" si="75"/>
        <v>46.060759987857288</v>
      </c>
      <c r="E239" s="385">
        <f t="shared" si="97"/>
        <v>48.508123236964565</v>
      </c>
      <c r="F239" s="385">
        <f t="shared" si="76"/>
        <v>48.536022746732414</v>
      </c>
      <c r="G239" s="110">
        <f t="shared" si="98"/>
        <v>0.91407128392840586</v>
      </c>
      <c r="H239" s="414" t="b">
        <f>Wh_hp&gt;='2018'!Maxi_hp</f>
        <v>1</v>
      </c>
      <c r="I239" s="390">
        <f>IF(H239,Wh_hp,'2018'!Maxi_hp)</f>
        <v>48.536022746732414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9.7427829670112542E-3</v>
      </c>
      <c r="M239" s="959"/>
      <c r="N239" s="959"/>
      <c r="O239" s="48">
        <f>IF(t&lt;Tnet,'2018'!Resal+('2018'!Salim-'2018'!Resal)*(1-EXP(('2018'!Tnet-t)/('2018'!Tau_j))),Resal+(Salim-Resal)*(1-EXP((Tnet-t)/(Tau_j))))*Salcycl</f>
        <v>5.0452647634949409E-2</v>
      </c>
      <c r="P239" s="169">
        <f>(INDEX(Models!$BJ239:$BT239,,T239)*(1-R239)+INDEX(Models!$BJ239:$BT239,,T239+1)*R239-ERP_i)*Q239*Ramure*Pc/MaxiM</f>
        <v>6.5517853171813401E-4</v>
      </c>
      <c r="Q239" s="305">
        <f t="shared" si="78"/>
        <v>0.7</v>
      </c>
      <c r="R239" s="177">
        <f t="shared" si="79"/>
        <v>0.96653351683588884</v>
      </c>
      <c r="S239" s="921">
        <f t="shared" si="80"/>
        <v>-2</v>
      </c>
      <c r="T239" s="176">
        <f t="shared" si="81"/>
        <v>4</v>
      </c>
      <c r="U239" s="251">
        <f t="shared" si="82"/>
        <v>-1.0334664831641112</v>
      </c>
      <c r="V239" s="383">
        <f t="shared" si="83"/>
        <v>49.895816017458273</v>
      </c>
      <c r="W239" s="58"/>
      <c r="X239" s="157">
        <f t="shared" si="84"/>
        <v>43690</v>
      </c>
      <c r="Y239" s="385">
        <f t="shared" si="85"/>
        <v>45.612000000000002</v>
      </c>
      <c r="Z239" s="385">
        <f t="shared" si="86"/>
        <v>46.060759987857288</v>
      </c>
      <c r="AA239" s="386">
        <f t="shared" si="87"/>
        <v>48.508123236964565</v>
      </c>
      <c r="AB239" s="197">
        <f t="shared" si="88"/>
        <v>43690</v>
      </c>
      <c r="AC239" s="427">
        <f>IF(OR(t&lt;Tnet,NoTnet),'2018'!Resal_s+('2018'!Salim-'2018'!Resal_s)*(1-EXP(('2018'!Tnet_s-t)/'2018'!Tau_j)),Resal_s+(Salim-Resal_s)*(1-EXP((Tnet_s-t)/Tau_j)))*Salcycl</f>
        <v>5.0452647634949409E-2</v>
      </c>
      <c r="AD239" s="231">
        <f>(INDEX(Models!$BJ239:$BT239,,AH239)*(1-AF239)+INDEX(Models!$BJ239:$BT239,,AH239+1)*AF239-ERP_i)*AE239*Ramure*Pc/MaxiM</f>
        <v>6.5517853171813401E-4</v>
      </c>
      <c r="AE239" s="305">
        <f t="shared" si="89"/>
        <v>0.7</v>
      </c>
      <c r="AF239" s="177">
        <f t="shared" si="90"/>
        <v>0.96653351683588884</v>
      </c>
      <c r="AG239" s="176">
        <f t="shared" si="91"/>
        <v>-2</v>
      </c>
      <c r="AH239" s="176">
        <f t="shared" si="92"/>
        <v>4</v>
      </c>
      <c r="AI239" s="225">
        <f t="shared" si="93"/>
        <v>-1.0334664831641112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20">
        <v>50.301000000000002</v>
      </c>
      <c r="C240" s="390"/>
      <c r="D240" s="393">
        <f t="shared" si="75"/>
        <v>50.797005949464776</v>
      </c>
      <c r="E240" s="385">
        <f t="shared" si="97"/>
        <v>53.506221116211556</v>
      </c>
      <c r="F240" s="385">
        <f t="shared" si="76"/>
        <v>53.538915966622881</v>
      </c>
      <c r="G240" s="110">
        <f t="shared" si="98"/>
        <v>1.0104485231193459</v>
      </c>
      <c r="H240" s="414" t="b">
        <f>Wh_hp&gt;='2018'!Maxi_hp</f>
        <v>1</v>
      </c>
      <c r="I240" s="390">
        <f>IF(H240,Wh_hp,'2018'!Maxi_hp)</f>
        <v>53.538915966622881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9.7644721414924529E-3</v>
      </c>
      <c r="M240" s="959"/>
      <c r="N240" s="959"/>
      <c r="O240" s="48">
        <f>IF(t&lt;Tnet,'2018'!Resal+('2018'!Salim-'2018'!Resal)*(1-EXP(('2018'!Tnet-t)/('2018'!Tau_j))),Resal+(Salim-Resal)*(1-EXP((Tnet-t)/(Tau_j))))*Salcycl</f>
        <v>5.0633648017537385E-2</v>
      </c>
      <c r="P240" s="169">
        <f>(INDEX(Models!$BJ240:$BT240,,T240)*(1-R240)+INDEX(Models!$BJ240:$BT240,,T240+1)*R240-ERP_i)*Q240*Ramure*Pc/MaxiM</f>
        <v>6.1067449388976509E-4</v>
      </c>
      <c r="Q240" s="305">
        <f t="shared" si="78"/>
        <v>0.7</v>
      </c>
      <c r="R240" s="177">
        <f t="shared" si="79"/>
        <v>0.9678014633968377</v>
      </c>
      <c r="S240" s="921">
        <f t="shared" si="80"/>
        <v>-2</v>
      </c>
      <c r="T240" s="176">
        <f t="shared" si="81"/>
        <v>4</v>
      </c>
      <c r="U240" s="251">
        <f t="shared" si="82"/>
        <v>-1.0321985366031623</v>
      </c>
      <c r="V240" s="383">
        <f t="shared" si="83"/>
        <v>49.780863496852142</v>
      </c>
      <c r="W240" s="58"/>
      <c r="X240" s="157">
        <f t="shared" si="84"/>
        <v>43691</v>
      </c>
      <c r="Y240" s="385">
        <f t="shared" si="85"/>
        <v>50.301000000000002</v>
      </c>
      <c r="Z240" s="385">
        <f t="shared" si="86"/>
        <v>50.797005949464776</v>
      </c>
      <c r="AA240" s="386">
        <f t="shared" si="87"/>
        <v>53.506221116211556</v>
      </c>
      <c r="AB240" s="197">
        <f t="shared" si="88"/>
        <v>43691</v>
      </c>
      <c r="AC240" s="427">
        <f>IF(OR(t&lt;Tnet,NoTnet),'2018'!Resal_s+('2018'!Salim-'2018'!Resal_s)*(1-EXP(('2018'!Tnet_s-t)/'2018'!Tau_j)),Resal_s+(Salim-Resal_s)*(1-EXP((Tnet_s-t)/Tau_j)))*Salcycl</f>
        <v>5.0633648017537385E-2</v>
      </c>
      <c r="AD240" s="231">
        <f>(INDEX(Models!$BJ240:$BT240,,AH240)*(1-AF240)+INDEX(Models!$BJ240:$BT240,,AH240+1)*AF240-ERP_i)*AE240*Ramure*Pc/MaxiM</f>
        <v>6.1067449388976509E-4</v>
      </c>
      <c r="AE240" s="305">
        <f t="shared" si="89"/>
        <v>0.7</v>
      </c>
      <c r="AF240" s="177">
        <f t="shared" si="90"/>
        <v>0.9678014633968377</v>
      </c>
      <c r="AG240" s="176">
        <f t="shared" si="91"/>
        <v>-2</v>
      </c>
      <c r="AH240" s="176">
        <f t="shared" si="92"/>
        <v>4</v>
      </c>
      <c r="AI240" s="225">
        <f t="shared" si="93"/>
        <v>-1.0321985366031623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20">
        <v>24.646999999999998</v>
      </c>
      <c r="C241" s="390"/>
      <c r="D241" s="393">
        <f t="shared" si="75"/>
        <v>24.890583251119892</v>
      </c>
      <c r="E241" s="385">
        <f t="shared" si="97"/>
        <v>26.22306936627955</v>
      </c>
      <c r="F241" s="385">
        <f t="shared" si="76"/>
        <v>26.227243928729536</v>
      </c>
      <c r="G241" s="110">
        <f t="shared" si="98"/>
        <v>0.49605484813539313</v>
      </c>
      <c r="H241" s="414" t="b">
        <f>Wh_hp&gt;='2018'!Maxi_hp</f>
        <v>0</v>
      </c>
      <c r="I241" s="390">
        <f>IF(H241,Wh_hp,'2018'!Maxi_hp)</f>
        <v>53.803189402990363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9.7861608409249845E-3</v>
      </c>
      <c r="M241" s="959"/>
      <c r="N241" s="959"/>
      <c r="O241" s="48">
        <f>IF(t&lt;Tnet,'2018'!Resal+('2018'!Salim-'2018'!Resal)*(1-EXP(('2018'!Tnet-t)/('2018'!Tau_j))),Resal+(Salim-Resal)*(1-EXP((Tnet-t)/(Tau_j))))*Salcycl</f>
        <v>5.0813506860989871E-2</v>
      </c>
      <c r="P241" s="169">
        <f>(INDEX(Models!$BJ241:$BT241,,T241)*(1-R241)+INDEX(Models!$BJ241:$BT241,,T241+1)*R241-ERP_i)*Q241*Ramure*Pc/MaxiM</f>
        <v>5.6771426879557009E-4</v>
      </c>
      <c r="Q241" s="305">
        <f t="shared" si="78"/>
        <v>0.7</v>
      </c>
      <c r="R241" s="177">
        <f t="shared" si="79"/>
        <v>0.96902484791987797</v>
      </c>
      <c r="S241" s="921">
        <f t="shared" si="80"/>
        <v>-2</v>
      </c>
      <c r="T241" s="176">
        <f t="shared" si="81"/>
        <v>4</v>
      </c>
      <c r="U241" s="251">
        <f t="shared" si="82"/>
        <v>-1.030975152080122</v>
      </c>
      <c r="V241" s="383">
        <f t="shared" si="83"/>
        <v>49.665735699871576</v>
      </c>
      <c r="W241" s="58"/>
      <c r="X241" s="157">
        <f t="shared" si="84"/>
        <v>43692</v>
      </c>
      <c r="Y241" s="385">
        <f t="shared" si="85"/>
        <v>24.646999999999998</v>
      </c>
      <c r="Z241" s="385">
        <f t="shared" si="86"/>
        <v>24.890583251119892</v>
      </c>
      <c r="AA241" s="386">
        <f t="shared" si="87"/>
        <v>26.22306936627955</v>
      </c>
      <c r="AB241" s="197">
        <f t="shared" si="88"/>
        <v>43692</v>
      </c>
      <c r="AC241" s="427">
        <f>IF(OR(t&lt;Tnet,NoTnet),'2018'!Resal_s+('2018'!Salim-'2018'!Resal_s)*(1-EXP(('2018'!Tnet_s-t)/'2018'!Tau_j)),Resal_s+(Salim-Resal_s)*(1-EXP((Tnet_s-t)/Tau_j)))*Salcycl</f>
        <v>5.0813506860989871E-2</v>
      </c>
      <c r="AD241" s="231">
        <f>(INDEX(Models!$BJ241:$BT241,,AH241)*(1-AF241)+INDEX(Models!$BJ241:$BT241,,AH241+1)*AF241-ERP_i)*AE241*Ramure*Pc/MaxiM</f>
        <v>5.6771426879557009E-4</v>
      </c>
      <c r="AE241" s="305">
        <f t="shared" si="89"/>
        <v>0.7</v>
      </c>
      <c r="AF241" s="177">
        <f t="shared" si="90"/>
        <v>0.96902484791987797</v>
      </c>
      <c r="AG241" s="176">
        <f t="shared" si="91"/>
        <v>-2</v>
      </c>
      <c r="AH241" s="176">
        <f t="shared" si="92"/>
        <v>4</v>
      </c>
      <c r="AI241" s="225">
        <f t="shared" si="93"/>
        <v>-1.030975152080122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20">
        <v>50.500999999999998</v>
      </c>
      <c r="C242" s="390"/>
      <c r="D242" s="393">
        <f t="shared" si="75"/>
        <v>51.001212191320796</v>
      </c>
      <c r="E242" s="385">
        <f t="shared" si="97"/>
        <v>53.741616779339168</v>
      </c>
      <c r="F242" s="385">
        <f t="shared" si="76"/>
        <v>53.769916943030935</v>
      </c>
      <c r="G242" s="110">
        <f t="shared" si="98"/>
        <v>1.0191821350933172</v>
      </c>
      <c r="H242" s="414" t="b">
        <f>Wh_hp&gt;='2018'!Maxi_hp</f>
        <v>1</v>
      </c>
      <c r="I242" s="390">
        <f>IF(H242,Wh_hp,'2018'!Maxi_hp)</f>
        <v>53.769916943030935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9.8078490653193962E-3</v>
      </c>
      <c r="M242" s="959"/>
      <c r="N242" s="959"/>
      <c r="O242" s="48">
        <f>IF(t&lt;Tnet,'2018'!Resal+('2018'!Salim-'2018'!Resal)*(1-EXP(('2018'!Tnet-t)/('2018'!Tau_j))),Resal+(Salim-Resal)*(1-EXP((Tnet-t)/(Tau_j))))*Salcycl</f>
        <v>5.099222450396982E-2</v>
      </c>
      <c r="P242" s="169">
        <f>(INDEX(Models!$BJ242:$BT242,,T242)*(1-R242)+INDEX(Models!$BJ242:$BT242,,T242+1)*R242-ERP_i)*Q242*Ramure*Pc/MaxiM</f>
        <v>5.2631964675996809E-4</v>
      </c>
      <c r="Q242" s="305">
        <f t="shared" si="78"/>
        <v>0.7</v>
      </c>
      <c r="R242" s="177">
        <f t="shared" si="79"/>
        <v>0.97020499954789674</v>
      </c>
      <c r="S242" s="921">
        <f t="shared" si="80"/>
        <v>-2</v>
      </c>
      <c r="T242" s="176">
        <f t="shared" si="81"/>
        <v>4</v>
      </c>
      <c r="U242" s="251">
        <f t="shared" si="82"/>
        <v>-1.0297950004521033</v>
      </c>
      <c r="V242" s="383">
        <f t="shared" si="83"/>
        <v>49.550515321165904</v>
      </c>
      <c r="W242" s="58"/>
      <c r="X242" s="157">
        <f t="shared" si="84"/>
        <v>43693</v>
      </c>
      <c r="Y242" s="385">
        <f t="shared" si="85"/>
        <v>50.500999999999998</v>
      </c>
      <c r="Z242" s="385">
        <f t="shared" si="86"/>
        <v>51.001212191320796</v>
      </c>
      <c r="AA242" s="386">
        <f t="shared" si="87"/>
        <v>53.741616779339168</v>
      </c>
      <c r="AB242" s="197">
        <f t="shared" si="88"/>
        <v>43693</v>
      </c>
      <c r="AC242" s="427">
        <f>IF(OR(t&lt;Tnet,NoTnet),'2018'!Resal_s+('2018'!Salim-'2018'!Resal_s)*(1-EXP(('2018'!Tnet_s-t)/'2018'!Tau_j)),Resal_s+(Salim-Resal_s)*(1-EXP((Tnet_s-t)/Tau_j)))*Salcycl</f>
        <v>5.099222450396982E-2</v>
      </c>
      <c r="AD242" s="231">
        <f>(INDEX(Models!$BJ242:$BT242,,AH242)*(1-AF242)+INDEX(Models!$BJ242:$BT242,,AH242+1)*AF242-ERP_i)*AE242*Ramure*Pc/MaxiM</f>
        <v>5.2631964675996809E-4</v>
      </c>
      <c r="AE242" s="305">
        <f t="shared" si="89"/>
        <v>0.7</v>
      </c>
      <c r="AF242" s="177">
        <f t="shared" si="90"/>
        <v>0.97020499954789674</v>
      </c>
      <c r="AG242" s="176">
        <f t="shared" si="91"/>
        <v>-2</v>
      </c>
      <c r="AH242" s="176">
        <f t="shared" si="92"/>
        <v>4</v>
      </c>
      <c r="AI242" s="225">
        <f t="shared" si="93"/>
        <v>-1.0297950004521033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20">
        <v>48.728000000000002</v>
      </c>
      <c r="C243" s="390"/>
      <c r="D243" s="393">
        <f t="shared" si="75"/>
        <v>49.211728496975354</v>
      </c>
      <c r="E243" s="385">
        <f t="shared" si="97"/>
        <v>51.865685277628131</v>
      </c>
      <c r="F243" s="385">
        <f t="shared" si="76"/>
        <v>51.890414604753857</v>
      </c>
      <c r="G243" s="110">
        <f t="shared" si="98"/>
        <v>0.98568290190951002</v>
      </c>
      <c r="H243" s="414" t="b">
        <f>Wh_hp&gt;='2018'!Maxi_hp</f>
        <v>1</v>
      </c>
      <c r="I243" s="390">
        <f>IF(H243,Wh_hp,'2018'!Maxi_hp)</f>
        <v>51.890414604753857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9.8295368146860129E-3</v>
      </c>
      <c r="M243" s="959"/>
      <c r="N243" s="959"/>
      <c r="O243" s="48">
        <f>IF(t&lt;Tnet,'2018'!Resal+('2018'!Salim-'2018'!Resal)*(1-EXP(('2018'!Tnet-t)/('2018'!Tau_j))),Resal+(Salim-Resal)*(1-EXP((Tnet-t)/(Tau_j))))*Salcycl</f>
        <v>5.1169800735237601E-2</v>
      </c>
      <c r="P243" s="169">
        <f>(INDEX(Models!$BJ243:$BT243,,T243)*(1-R243)+INDEX(Models!$BJ243:$BT243,,T243+1)*R243-ERP_i)*Q243*Ramure*Pc/MaxiM</f>
        <v>4.8651212435575175E-4</v>
      </c>
      <c r="Q243" s="305">
        <f t="shared" si="78"/>
        <v>0.7</v>
      </c>
      <c r="R243" s="177">
        <f t="shared" si="79"/>
        <v>0.97134322558274944</v>
      </c>
      <c r="S243" s="921">
        <f t="shared" si="80"/>
        <v>-2</v>
      </c>
      <c r="T243" s="176">
        <f t="shared" si="81"/>
        <v>4</v>
      </c>
      <c r="U243" s="251">
        <f t="shared" si="82"/>
        <v>-1.0286567744172506</v>
      </c>
      <c r="V243" s="383">
        <f t="shared" si="83"/>
        <v>49.435285051942955</v>
      </c>
      <c r="W243" s="58"/>
      <c r="X243" s="157">
        <f t="shared" si="84"/>
        <v>43694</v>
      </c>
      <c r="Y243" s="385">
        <f t="shared" si="85"/>
        <v>48.728000000000002</v>
      </c>
      <c r="Z243" s="385">
        <f t="shared" si="86"/>
        <v>49.211728496975354</v>
      </c>
      <c r="AA243" s="386">
        <f t="shared" si="87"/>
        <v>51.865685277628131</v>
      </c>
      <c r="AB243" s="197">
        <f t="shared" si="88"/>
        <v>43694</v>
      </c>
      <c r="AC243" s="427">
        <f>IF(OR(t&lt;Tnet,NoTnet),'2018'!Resal_s+('2018'!Salim-'2018'!Resal_s)*(1-EXP(('2018'!Tnet_s-t)/'2018'!Tau_j)),Resal_s+(Salim-Resal_s)*(1-EXP((Tnet_s-t)/Tau_j)))*Salcycl</f>
        <v>5.1169800735237601E-2</v>
      </c>
      <c r="AD243" s="231">
        <f>(INDEX(Models!$BJ243:$BT243,,AH243)*(1-AF243)+INDEX(Models!$BJ243:$BT243,,AH243+1)*AF243-ERP_i)*AE243*Ramure*Pc/MaxiM</f>
        <v>4.8651212435575175E-4</v>
      </c>
      <c r="AE243" s="305">
        <f t="shared" si="89"/>
        <v>0.7</v>
      </c>
      <c r="AF243" s="177">
        <f t="shared" si="90"/>
        <v>0.97134322558274944</v>
      </c>
      <c r="AG243" s="176">
        <f t="shared" si="91"/>
        <v>-2</v>
      </c>
      <c r="AH243" s="176">
        <f t="shared" si="92"/>
        <v>4</v>
      </c>
      <c r="AI243" s="225">
        <f t="shared" si="93"/>
        <v>-1.0286567744172506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20">
        <v>31.895</v>
      </c>
      <c r="C244" s="390"/>
      <c r="D244" s="393">
        <f t="shared" si="75"/>
        <v>32.212330890027815</v>
      </c>
      <c r="E244" s="385">
        <f t="shared" si="97"/>
        <v>33.955835176945619</v>
      </c>
      <c r="F244" s="385">
        <f t="shared" si="76"/>
        <v>33.963376362173307</v>
      </c>
      <c r="G244" s="110">
        <f t="shared" si="98"/>
        <v>0.64654701740135612</v>
      </c>
      <c r="H244" s="414" t="b">
        <f>Wh_hp&gt;='2018'!Maxi_hp</f>
        <v>1</v>
      </c>
      <c r="I244" s="390">
        <f>IF(H244,Wh_hp,'2018'!Maxi_hp)</f>
        <v>33.963376362173307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9.8512240890352709E-3</v>
      </c>
      <c r="M244" s="959"/>
      <c r="N244" s="959"/>
      <c r="O244" s="48">
        <f>IF(t&lt;Tnet,'2018'!Resal+('2018'!Salim-'2018'!Resal)*(1-EXP(('2018'!Tnet-t)/('2018'!Tau_j))),Resal+(Salim-Resal)*(1-EXP((Tnet-t)/(Tau_j))))*Salcycl</f>
        <v>5.1346234832166958E-2</v>
      </c>
      <c r="P244" s="169">
        <f>(INDEX(Models!$BJ244:$BT244,,T244)*(1-R244)+INDEX(Models!$BJ244:$BT244,,T244+1)*R244-ERP_i)*Q244*Ramure*Pc/MaxiM</f>
        <v>4.4831290601394998E-4</v>
      </c>
      <c r="Q244" s="305">
        <f t="shared" si="78"/>
        <v>0.7</v>
      </c>
      <c r="R244" s="177">
        <f t="shared" si="79"/>
        <v>0.97244081038756303</v>
      </c>
      <c r="S244" s="921">
        <f t="shared" si="80"/>
        <v>-2</v>
      </c>
      <c r="T244" s="176">
        <f t="shared" si="81"/>
        <v>4</v>
      </c>
      <c r="U244" s="251">
        <f t="shared" si="82"/>
        <v>-1.027559189612437</v>
      </c>
      <c r="V244" s="383">
        <f t="shared" si="83"/>
        <v>49.32012757674736</v>
      </c>
      <c r="W244" s="58"/>
      <c r="X244" s="157">
        <f t="shared" si="84"/>
        <v>43695</v>
      </c>
      <c r="Y244" s="385">
        <f t="shared" si="85"/>
        <v>31.894999999999996</v>
      </c>
      <c r="Z244" s="385">
        <f t="shared" si="86"/>
        <v>32.212330890027815</v>
      </c>
      <c r="AA244" s="386">
        <f t="shared" si="87"/>
        <v>33.955835176945619</v>
      </c>
      <c r="AB244" s="197">
        <f t="shared" si="88"/>
        <v>43695</v>
      </c>
      <c r="AC244" s="427">
        <f>IF(OR(t&lt;Tnet,NoTnet),'2018'!Resal_s+('2018'!Salim-'2018'!Resal_s)*(1-EXP(('2018'!Tnet_s-t)/'2018'!Tau_j)),Resal_s+(Salim-Resal_s)*(1-EXP((Tnet_s-t)/Tau_j)))*Salcycl</f>
        <v>5.1346234832166958E-2</v>
      </c>
      <c r="AD244" s="231">
        <f>(INDEX(Models!$BJ244:$BT244,,AH244)*(1-AF244)+INDEX(Models!$BJ244:$BT244,,AH244+1)*AF244-ERP_i)*AE244*Ramure*Pc/MaxiM</f>
        <v>4.4831290601394998E-4</v>
      </c>
      <c r="AE244" s="305">
        <f t="shared" si="89"/>
        <v>0.7</v>
      </c>
      <c r="AF244" s="177">
        <f t="shared" si="90"/>
        <v>0.97244081038756303</v>
      </c>
      <c r="AG244" s="176">
        <f t="shared" si="91"/>
        <v>-2</v>
      </c>
      <c r="AH244" s="176">
        <f t="shared" si="92"/>
        <v>4</v>
      </c>
      <c r="AI244" s="225">
        <f t="shared" si="93"/>
        <v>-1.027559189612437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20">
        <v>30.681000000000001</v>
      </c>
      <c r="C245" s="390"/>
      <c r="D245" s="393">
        <f t="shared" si="75"/>
        <v>30.986931210546008</v>
      </c>
      <c r="E245" s="385">
        <f t="shared" si="97"/>
        <v>32.670147026809587</v>
      </c>
      <c r="F245" s="385">
        <f t="shared" si="76"/>
        <v>32.676365444281792</v>
      </c>
      <c r="G245" s="110">
        <f t="shared" si="98"/>
        <v>0.62339450127828888</v>
      </c>
      <c r="H245" s="414" t="b">
        <f>Wh_hp&gt;='2018'!Maxi_hp</f>
        <v>0</v>
      </c>
      <c r="I245" s="390">
        <f>IF(H245,Wh_hp,'2018'!Maxi_hp)</f>
        <v>49.967163493960541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9.8729108883776062E-3</v>
      </c>
      <c r="M245" s="959"/>
      <c r="N245" s="959"/>
      <c r="O245" s="48">
        <f>IF(t&lt;Tnet,'2018'!Resal+('2018'!Salim-'2018'!Resal)*(1-EXP(('2018'!Tnet-t)/('2018'!Tau_j))),Resal+(Salim-Resal)*(1-EXP((Tnet-t)/(Tau_j))))*Salcycl</f>
        <v>5.1521525595899835E-2</v>
      </c>
      <c r="P245" s="169">
        <f>(INDEX(Models!$BJ245:$BT245,,T245)*(1-R245)+INDEX(Models!$BJ245:$BT245,,T245+1)*R245-ERP_i)*Q245*Ramure*Pc/MaxiM</f>
        <v>4.1174290034672647E-4</v>
      </c>
      <c r="Q245" s="305">
        <f t="shared" si="78"/>
        <v>0.7</v>
      </c>
      <c r="R245" s="177">
        <f t="shared" si="79"/>
        <v>0.97349901443700237</v>
      </c>
      <c r="S245" s="921">
        <f t="shared" si="80"/>
        <v>-2</v>
      </c>
      <c r="T245" s="176">
        <f t="shared" si="81"/>
        <v>4</v>
      </c>
      <c r="U245" s="251">
        <f t="shared" si="82"/>
        <v>-1.0265009855629976</v>
      </c>
      <c r="V245" s="383">
        <f t="shared" si="83"/>
        <v>49.205125571400188</v>
      </c>
      <c r="W245" s="58"/>
      <c r="X245" s="157">
        <f t="shared" si="84"/>
        <v>43696</v>
      </c>
      <c r="Y245" s="385">
        <f t="shared" si="85"/>
        <v>30.681000000000001</v>
      </c>
      <c r="Z245" s="385">
        <f t="shared" si="86"/>
        <v>30.986931210546008</v>
      </c>
      <c r="AA245" s="386">
        <f t="shared" si="87"/>
        <v>32.670147026809587</v>
      </c>
      <c r="AB245" s="197">
        <f t="shared" si="88"/>
        <v>43696</v>
      </c>
      <c r="AC245" s="427">
        <f>IF(OR(t&lt;Tnet,NoTnet),'2018'!Resal_s+('2018'!Salim-'2018'!Resal_s)*(1-EXP(('2018'!Tnet_s-t)/'2018'!Tau_j)),Resal_s+(Salim-Resal_s)*(1-EXP((Tnet_s-t)/Tau_j)))*Salcycl</f>
        <v>5.1521525595899835E-2</v>
      </c>
      <c r="AD245" s="231">
        <f>(INDEX(Models!$BJ245:$BT245,,AH245)*(1-AF245)+INDEX(Models!$BJ245:$BT245,,AH245+1)*AF245-ERP_i)*AE245*Ramure*Pc/MaxiM</f>
        <v>4.1174290034672647E-4</v>
      </c>
      <c r="AE245" s="305">
        <f t="shared" si="89"/>
        <v>0.7</v>
      </c>
      <c r="AF245" s="177">
        <f t="shared" si="90"/>
        <v>0.97349901443700237</v>
      </c>
      <c r="AG245" s="176">
        <f t="shared" si="91"/>
        <v>-2</v>
      </c>
      <c r="AH245" s="176">
        <f t="shared" si="92"/>
        <v>4</v>
      </c>
      <c r="AI245" s="225">
        <f t="shared" si="93"/>
        <v>-1.0265009855629976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20">
        <v>28.629000000000001</v>
      </c>
      <c r="C246" s="390"/>
      <c r="D246" s="393">
        <f t="shared" si="75"/>
        <v>28.915103300522965</v>
      </c>
      <c r="E246" s="385">
        <f t="shared" si="97"/>
        <v>30.491375424470224</v>
      </c>
      <c r="F246" s="385">
        <f t="shared" si="76"/>
        <v>30.496024428465393</v>
      </c>
      <c r="G246" s="110">
        <f t="shared" si="98"/>
        <v>0.58305896218143538</v>
      </c>
      <c r="H246" s="414" t="b">
        <f>Wh_hp&gt;='2018'!Maxi_hp</f>
        <v>0</v>
      </c>
      <c r="I246" s="390">
        <f>IF(H246,Wh_hp,'2018'!Maxi_hp)</f>
        <v>51.550510278445401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9.8945972127233439E-3</v>
      </c>
      <c r="M246" s="959"/>
      <c r="N246" s="959"/>
      <c r="O246" s="48">
        <f>IF(t&lt;Tnet,'2018'!Resal+('2018'!Salim-'2018'!Resal)*(1-EXP(('2018'!Tnet-t)/('2018'!Tau_j))),Resal+(Salim-Resal)*(1-EXP((Tnet-t)/(Tau_j))))*Salcycl</f>
        <v>5.1695671382611934E-2</v>
      </c>
      <c r="P246" s="169">
        <f>(INDEX(Models!$BJ246:$BT246,,T246)*(1-R246)+INDEX(Models!$BJ246:$BT246,,T246+1)*R246-ERP_i)*Q246*Ramure*Pc/MaxiM</f>
        <v>3.7682271146672491E-4</v>
      </c>
      <c r="Q246" s="305">
        <f t="shared" si="78"/>
        <v>0.7</v>
      </c>
      <c r="R246" s="177">
        <f t="shared" si="79"/>
        <v>0.97451907350628764</v>
      </c>
      <c r="S246" s="921">
        <f t="shared" si="80"/>
        <v>-2</v>
      </c>
      <c r="T246" s="176">
        <f t="shared" si="81"/>
        <v>4</v>
      </c>
      <c r="U246" s="251">
        <f t="shared" si="82"/>
        <v>-1.0254809264937124</v>
      </c>
      <c r="V246" s="383">
        <f t="shared" si="83"/>
        <v>49.09036170072568</v>
      </c>
      <c r="W246" s="58"/>
      <c r="X246" s="157">
        <f t="shared" si="84"/>
        <v>43697</v>
      </c>
      <c r="Y246" s="385">
        <f t="shared" si="85"/>
        <v>28.629000000000001</v>
      </c>
      <c r="Z246" s="385">
        <f t="shared" si="86"/>
        <v>28.915103300522965</v>
      </c>
      <c r="AA246" s="386">
        <f t="shared" si="87"/>
        <v>30.491375424470224</v>
      </c>
      <c r="AB246" s="197">
        <f t="shared" si="88"/>
        <v>43697</v>
      </c>
      <c r="AC246" s="427">
        <f>IF(OR(t&lt;Tnet,NoTnet),'2018'!Resal_s+('2018'!Salim-'2018'!Resal_s)*(1-EXP(('2018'!Tnet_s-t)/'2018'!Tau_j)),Resal_s+(Salim-Resal_s)*(1-EXP((Tnet_s-t)/Tau_j)))*Salcycl</f>
        <v>5.1695671382611934E-2</v>
      </c>
      <c r="AD246" s="231">
        <f>(INDEX(Models!$BJ246:$BT246,,AH246)*(1-AF246)+INDEX(Models!$BJ246:$BT246,,AH246+1)*AF246-ERP_i)*AE246*Ramure*Pc/MaxiM</f>
        <v>3.7682271146672491E-4</v>
      </c>
      <c r="AE246" s="305">
        <f t="shared" si="89"/>
        <v>0.7</v>
      </c>
      <c r="AF246" s="177">
        <f t="shared" si="90"/>
        <v>0.97451907350628764</v>
      </c>
      <c r="AG246" s="176">
        <f t="shared" si="91"/>
        <v>-2</v>
      </c>
      <c r="AH246" s="176">
        <f t="shared" si="92"/>
        <v>4</v>
      </c>
      <c r="AI246" s="225">
        <f t="shared" si="93"/>
        <v>-1.0254809264937124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20">
        <v>45.167999999999999</v>
      </c>
      <c r="C247" s="390"/>
      <c r="D247" s="393">
        <f t="shared" si="75"/>
        <v>45.620384647566368</v>
      </c>
      <c r="E247" s="385">
        <f t="shared" si="97"/>
        <v>48.116102917770384</v>
      </c>
      <c r="F247" s="385">
        <f t="shared" si="76"/>
        <v>48.130801997101351</v>
      </c>
      <c r="G247" s="110">
        <f t="shared" si="98"/>
        <v>0.92219872243346757</v>
      </c>
      <c r="H247" s="414" t="b">
        <f>Wh_hp&gt;='2018'!Maxi_hp</f>
        <v>0</v>
      </c>
      <c r="I247" s="390">
        <f>IF(H247,Wh_hp,'2018'!Maxi_hp)</f>
        <v>51.052233719552078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9.9162830620829201E-3</v>
      </c>
      <c r="M247" s="959"/>
      <c r="N247" s="959"/>
      <c r="O247" s="48">
        <f>IF(t&lt;Tnet,'2018'!Resal+('2018'!Salim-'2018'!Resal)*(1-EXP(('2018'!Tnet-t)/('2018'!Tau_j))),Resal+(Salim-Resal)*(1-EXP((Tnet-t)/(Tau_j))))*Salcycl</f>
        <v>5.1868670130437659E-2</v>
      </c>
      <c r="P247" s="169">
        <f>(INDEX(Models!$BJ247:$BT247,,T247)*(1-R247)+INDEX(Models!$BJ247:$BT247,,T247+1)*R247-ERP_i)*Q247*Ramure*Pc/MaxiM</f>
        <v>3.4356695352971808E-4</v>
      </c>
      <c r="Q247" s="305">
        <f t="shared" si="78"/>
        <v>0.7</v>
      </c>
      <c r="R247" s="177">
        <f t="shared" si="79"/>
        <v>0.97550219798995186</v>
      </c>
      <c r="S247" s="921">
        <f t="shared" si="80"/>
        <v>-2</v>
      </c>
      <c r="T247" s="176">
        <f t="shared" si="81"/>
        <v>4</v>
      </c>
      <c r="U247" s="251">
        <f t="shared" si="82"/>
        <v>-1.0244978020100481</v>
      </c>
      <c r="V247" s="383">
        <f t="shared" si="83"/>
        <v>48.976727451711781</v>
      </c>
      <c r="W247" s="58"/>
      <c r="X247" s="157">
        <f t="shared" si="84"/>
        <v>43698</v>
      </c>
      <c r="Y247" s="385">
        <f t="shared" si="85"/>
        <v>45.167999999999999</v>
      </c>
      <c r="Z247" s="385">
        <f t="shared" si="86"/>
        <v>45.620384647566368</v>
      </c>
      <c r="AA247" s="386">
        <f t="shared" si="87"/>
        <v>48.116102917770384</v>
      </c>
      <c r="AB247" s="197">
        <f t="shared" si="88"/>
        <v>43698</v>
      </c>
      <c r="AC247" s="427">
        <f>IF(OR(t&lt;Tnet,NoTnet),'2018'!Resal_s+('2018'!Salim-'2018'!Resal_s)*(1-EXP(('2018'!Tnet_s-t)/'2018'!Tau_j)),Resal_s+(Salim-Resal_s)*(1-EXP((Tnet_s-t)/Tau_j)))*Salcycl</f>
        <v>5.1868670130437659E-2</v>
      </c>
      <c r="AD247" s="231">
        <f>(INDEX(Models!$BJ247:$BT247,,AH247)*(1-AF247)+INDEX(Models!$BJ247:$BT247,,AH247+1)*AF247-ERP_i)*AE247*Ramure*Pc/MaxiM</f>
        <v>3.4356695352971808E-4</v>
      </c>
      <c r="AE247" s="305">
        <f t="shared" si="89"/>
        <v>0.7</v>
      </c>
      <c r="AF247" s="177">
        <f t="shared" si="90"/>
        <v>0.97550219798995186</v>
      </c>
      <c r="AG247" s="176">
        <f t="shared" si="91"/>
        <v>-2</v>
      </c>
      <c r="AH247" s="176">
        <f t="shared" si="92"/>
        <v>4</v>
      </c>
      <c r="AI247" s="225">
        <f t="shared" si="93"/>
        <v>-1.0244978020100481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20">
        <v>50.4</v>
      </c>
      <c r="C248" s="390"/>
      <c r="D248" s="393">
        <f t="shared" si="75"/>
        <v>50.905901239750534</v>
      </c>
      <c r="E248" s="385">
        <f t="shared" si="97"/>
        <v>53.700503323777944</v>
      </c>
      <c r="F248" s="385">
        <f t="shared" si="76"/>
        <v>53.717329476513434</v>
      </c>
      <c r="G248" s="110">
        <f t="shared" si="98"/>
        <v>1.0314197401972047</v>
      </c>
      <c r="H248" s="414" t="b">
        <f>Wh_hp&gt;='2018'!Maxi_hp</f>
        <v>1</v>
      </c>
      <c r="I248" s="390">
        <f>IF(H248,Wh_hp,'2018'!Maxi_hp)</f>
        <v>53.717329476513434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9.9379684364667709E-3</v>
      </c>
      <c r="M248" s="959"/>
      <c r="N248" s="959"/>
      <c r="O248" s="48">
        <f>IF(t&lt;Tnet,'2018'!Resal+('2018'!Salim-'2018'!Resal)*(1-EXP(('2018'!Tnet-t)/('2018'!Tau_j))),Resal+(Salim-Resal)*(1-EXP((Tnet-t)/(Tau_j))))*Salcycl</f>
        <v>5.2040519381686932E-2</v>
      </c>
      <c r="P248" s="169">
        <f>(INDEX(Models!$BJ248:$BT248,,T248)*(1-R248)+INDEX(Models!$BJ248:$BT248,,T248+1)*R248-ERP_i)*Q248*Ramure*Pc/MaxiM</f>
        <v>3.132350937670096E-4</v>
      </c>
      <c r="Q248" s="305">
        <f t="shared" si="78"/>
        <v>0.7</v>
      </c>
      <c r="R248" s="177">
        <f t="shared" si="79"/>
        <v>0.97644957234157026</v>
      </c>
      <c r="S248" s="921">
        <f t="shared" si="80"/>
        <v>-2</v>
      </c>
      <c r="T248" s="176">
        <f t="shared" si="81"/>
        <v>4</v>
      </c>
      <c r="U248" s="251">
        <f t="shared" si="82"/>
        <v>-1.0235504276584297</v>
      </c>
      <c r="V248" s="383">
        <f t="shared" si="83"/>
        <v>48.864684314034605</v>
      </c>
      <c r="W248" s="58"/>
      <c r="X248" s="157">
        <f t="shared" si="84"/>
        <v>43699</v>
      </c>
      <c r="Y248" s="385">
        <f t="shared" si="85"/>
        <v>50.4</v>
      </c>
      <c r="Z248" s="385">
        <f t="shared" si="86"/>
        <v>50.905901239750534</v>
      </c>
      <c r="AA248" s="386">
        <f t="shared" si="87"/>
        <v>53.700503323777944</v>
      </c>
      <c r="AB248" s="197">
        <f t="shared" si="88"/>
        <v>43699</v>
      </c>
      <c r="AC248" s="427">
        <f>IF(OR(t&lt;Tnet,NoTnet),'2018'!Resal_s+('2018'!Salim-'2018'!Resal_s)*(1-EXP(('2018'!Tnet_s-t)/'2018'!Tau_j)),Resal_s+(Salim-Resal_s)*(1-EXP((Tnet_s-t)/Tau_j)))*Salcycl</f>
        <v>5.2040519381686932E-2</v>
      </c>
      <c r="AD248" s="231">
        <f>(INDEX(Models!$BJ248:$BT248,,AH248)*(1-AF248)+INDEX(Models!$BJ248:$BT248,,AH248+1)*AF248-ERP_i)*AE248*Ramure*Pc/MaxiM</f>
        <v>3.132350937670096E-4</v>
      </c>
      <c r="AE248" s="305">
        <f t="shared" si="89"/>
        <v>0.7</v>
      </c>
      <c r="AF248" s="177">
        <f t="shared" si="90"/>
        <v>0.97644957234157026</v>
      </c>
      <c r="AG248" s="176">
        <f t="shared" si="91"/>
        <v>-2</v>
      </c>
      <c r="AH248" s="176">
        <f t="shared" si="92"/>
        <v>4</v>
      </c>
      <c r="AI248" s="225">
        <f t="shared" si="93"/>
        <v>-1.0235504276584297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20">
        <v>48.161000000000001</v>
      </c>
      <c r="C249" s="390"/>
      <c r="D249" s="393">
        <f t="shared" si="75"/>
        <v>48.645492239054477</v>
      </c>
      <c r="E249" s="385">
        <f t="shared" si="97"/>
        <v>51.32524574637285</v>
      </c>
      <c r="F249" s="385">
        <f t="shared" si="76"/>
        <v>51.339633290441888</v>
      </c>
      <c r="G249" s="110">
        <f t="shared" si="98"/>
        <v>0.98783618135591655</v>
      </c>
      <c r="H249" s="414" t="b">
        <f>Wh_hp&gt;='2018'!Maxi_hp</f>
        <v>1</v>
      </c>
      <c r="I249" s="390">
        <f>IF(H249,Wh_hp,'2018'!Maxi_hp)</f>
        <v>51.339633290441888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9.9596533358852213E-3</v>
      </c>
      <c r="M249" s="959"/>
      <c r="N249" s="959"/>
      <c r="O249" s="48">
        <f>IF(t&lt;Tnet,'2018'!Resal+('2018'!Salim-'2018'!Resal)*(1-EXP(('2018'!Tnet-t)/('2018'!Tau_j))),Resal+(Salim-Resal)*(1-EXP((Tnet-t)/(Tau_j))))*Salcycl</f>
        <v>5.2211216300074983E-2</v>
      </c>
      <c r="P249" s="169">
        <f>(INDEX(Models!$BJ249:$BT249,,T249)*(1-R249)+INDEX(Models!$BJ249:$BT249,,T249+1)*R249-ERP_i)*Q249*Ramure*Pc/MaxiM</f>
        <v>2.8519626742729638E-4</v>
      </c>
      <c r="Q249" s="305">
        <f t="shared" si="78"/>
        <v>0.7</v>
      </c>
      <c r="R249" s="177">
        <f t="shared" si="79"/>
        <v>0.97736235462595644</v>
      </c>
      <c r="S249" s="921">
        <f t="shared" si="80"/>
        <v>-2</v>
      </c>
      <c r="T249" s="176">
        <f t="shared" si="81"/>
        <v>4</v>
      </c>
      <c r="U249" s="251">
        <f t="shared" si="82"/>
        <v>-1.0226376453740436</v>
      </c>
      <c r="V249" s="383">
        <f t="shared" si="83"/>
        <v>48.753793656050242</v>
      </c>
      <c r="W249" s="58"/>
      <c r="X249" s="157">
        <f t="shared" si="84"/>
        <v>43700</v>
      </c>
      <c r="Y249" s="385">
        <f t="shared" si="85"/>
        <v>48.161000000000001</v>
      </c>
      <c r="Z249" s="385">
        <f t="shared" si="86"/>
        <v>48.645492239054477</v>
      </c>
      <c r="AA249" s="386">
        <f t="shared" si="87"/>
        <v>51.32524574637285</v>
      </c>
      <c r="AB249" s="197">
        <f t="shared" si="88"/>
        <v>43700</v>
      </c>
      <c r="AC249" s="427">
        <f>IF(OR(t&lt;Tnet,NoTnet),'2018'!Resal_s+('2018'!Salim-'2018'!Resal_s)*(1-EXP(('2018'!Tnet_s-t)/'2018'!Tau_j)),Resal_s+(Salim-Resal_s)*(1-EXP((Tnet_s-t)/Tau_j)))*Salcycl</f>
        <v>5.2211216300074983E-2</v>
      </c>
      <c r="AD249" s="231">
        <f>(INDEX(Models!$BJ249:$BT249,,AH249)*(1-AF249)+INDEX(Models!$BJ249:$BT249,,AH249+1)*AF249-ERP_i)*AE249*Ramure*Pc/MaxiM</f>
        <v>2.8519626742729638E-4</v>
      </c>
      <c r="AE249" s="305">
        <f t="shared" si="89"/>
        <v>0.7</v>
      </c>
      <c r="AF249" s="177">
        <f t="shared" si="90"/>
        <v>0.97736235462595644</v>
      </c>
      <c r="AG249" s="176">
        <f t="shared" si="91"/>
        <v>-2</v>
      </c>
      <c r="AH249" s="176">
        <f t="shared" si="92"/>
        <v>4</v>
      </c>
      <c r="AI249" s="225">
        <f t="shared" si="93"/>
        <v>-1.0226376453740436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20">
        <v>48.048000000000002</v>
      </c>
      <c r="C250" s="390"/>
      <c r="D250" s="393">
        <f t="shared" si="75"/>
        <v>48.532418460985681</v>
      </c>
      <c r="E250" s="385">
        <f t="shared" si="97"/>
        <v>51.215104436154121</v>
      </c>
      <c r="F250" s="385">
        <f t="shared" si="76"/>
        <v>51.228164501997107</v>
      </c>
      <c r="G250" s="110">
        <f t="shared" si="98"/>
        <v>0.98775166347008991</v>
      </c>
      <c r="H250" s="414" t="b">
        <f>Wh_hp&gt;='2018'!Maxi_hp</f>
        <v>1</v>
      </c>
      <c r="I250" s="390">
        <f>IF(H250,Wh_hp,'2018'!Maxi_hp)</f>
        <v>51.228164501997107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9.9813377603487075E-3</v>
      </c>
      <c r="M250" s="959"/>
      <c r="N250" s="959"/>
      <c r="O250" s="48">
        <f>IF(t&lt;Tnet,'2018'!Resal+('2018'!Salim-'2018'!Resal)*(1-EXP(('2018'!Tnet-t)/('2018'!Tau_j))),Resal+(Salim-Resal)*(1-EXP((Tnet-t)/(Tau_j))))*Salcycl</f>
        <v>5.2380757682779659E-2</v>
      </c>
      <c r="P250" s="169">
        <f>(INDEX(Models!$BJ250:$BT250,,T250)*(1-R250)+INDEX(Models!$BJ250:$BT250,,T250+1)*R250-ERP_i)*Q250*Ramure*Pc/MaxiM</f>
        <v>2.5947775391071503E-4</v>
      </c>
      <c r="Q250" s="305">
        <f t="shared" si="78"/>
        <v>0.7</v>
      </c>
      <c r="R250" s="177">
        <f t="shared" si="79"/>
        <v>0.97824167617562074</v>
      </c>
      <c r="S250" s="921">
        <f t="shared" si="80"/>
        <v>-2</v>
      </c>
      <c r="T250" s="176">
        <f t="shared" si="81"/>
        <v>4</v>
      </c>
      <c r="U250" s="251">
        <f t="shared" si="82"/>
        <v>-1.0217583238243793</v>
      </c>
      <c r="V250" s="383">
        <f t="shared" si="83"/>
        <v>48.643584872144579</v>
      </c>
      <c r="W250" s="58"/>
      <c r="X250" s="157">
        <f t="shared" si="84"/>
        <v>43701</v>
      </c>
      <c r="Y250" s="385">
        <f t="shared" si="85"/>
        <v>48.048000000000002</v>
      </c>
      <c r="Z250" s="385">
        <f t="shared" si="86"/>
        <v>48.532418460985681</v>
      </c>
      <c r="AA250" s="386">
        <f t="shared" si="87"/>
        <v>51.215104436154121</v>
      </c>
      <c r="AB250" s="197">
        <f t="shared" si="88"/>
        <v>43701</v>
      </c>
      <c r="AC250" s="427">
        <f>IF(OR(t&lt;Tnet,NoTnet),'2018'!Resal_s+('2018'!Salim-'2018'!Resal_s)*(1-EXP(('2018'!Tnet_s-t)/'2018'!Tau_j)),Resal_s+(Salim-Resal_s)*(1-EXP((Tnet_s-t)/Tau_j)))*Salcycl</f>
        <v>5.2380757682779659E-2</v>
      </c>
      <c r="AD250" s="231">
        <f>(INDEX(Models!$BJ250:$BT250,,AH250)*(1-AF250)+INDEX(Models!$BJ250:$BT250,,AH250+1)*AF250-ERP_i)*AE250*Ramure*Pc/MaxiM</f>
        <v>2.5947775391071503E-4</v>
      </c>
      <c r="AE250" s="305">
        <f t="shared" si="89"/>
        <v>0.7</v>
      </c>
      <c r="AF250" s="177">
        <f t="shared" si="90"/>
        <v>0.97824167617562074</v>
      </c>
      <c r="AG250" s="176">
        <f t="shared" si="91"/>
        <v>-2</v>
      </c>
      <c r="AH250" s="176">
        <f t="shared" si="92"/>
        <v>4</v>
      </c>
      <c r="AI250" s="225">
        <f t="shared" si="93"/>
        <v>-1.0217583238243793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20">
        <v>41.621000000000002</v>
      </c>
      <c r="C251" s="390"/>
      <c r="D251" s="393">
        <f t="shared" si="75"/>
        <v>42.041542461963346</v>
      </c>
      <c r="E251" s="385">
        <f t="shared" si="97"/>
        <v>44.373322391104843</v>
      </c>
      <c r="F251" s="385">
        <f t="shared" si="76"/>
        <v>44.381669016196078</v>
      </c>
      <c r="G251" s="110">
        <f t="shared" si="98"/>
        <v>0.85752984743338989</v>
      </c>
      <c r="H251" s="414" t="b">
        <f>Wh_hp&gt;='2018'!Maxi_hp</f>
        <v>1</v>
      </c>
      <c r="I251" s="390">
        <f>IF(H251,Wh_hp,'2018'!Maxi_hp)</f>
        <v>44.381669016196078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1.0003021709867665E-2</v>
      </c>
      <c r="M251" s="959"/>
      <c r="N251" s="959"/>
      <c r="O251" s="48">
        <f>IF(t&lt;Tnet,'2018'!Resal+('2018'!Salim-'2018'!Resal)*(1-EXP(('2018'!Tnet-t)/('2018'!Tau_j))),Resal+(Salim-Resal)*(1-EXP((Tnet-t)/(Tau_j))))*Salcycl</f>
        <v>5.2549139967236813E-2</v>
      </c>
      <c r="P251" s="169">
        <f>(INDEX(Models!$BJ251:$BT251,,T251)*(1-R251)+INDEX(Models!$BJ251:$BT251,,T251+1)*R251-ERP_i)*Q251*Ramure*Pc/MaxiM</f>
        <v>2.3610495283059237E-4</v>
      </c>
      <c r="Q251" s="305">
        <f t="shared" si="78"/>
        <v>0.7</v>
      </c>
      <c r="R251" s="177">
        <f t="shared" si="79"/>
        <v>0.97908864134358531</v>
      </c>
      <c r="S251" s="921">
        <f t="shared" si="80"/>
        <v>-2</v>
      </c>
      <c r="T251" s="176">
        <f t="shared" si="81"/>
        <v>4</v>
      </c>
      <c r="U251" s="251">
        <f t="shared" si="82"/>
        <v>-1.0209113586564147</v>
      </c>
      <c r="V251" s="383">
        <f t="shared" si="83"/>
        <v>48.533587798645158</v>
      </c>
      <c r="W251" s="58"/>
      <c r="X251" s="157">
        <f t="shared" si="84"/>
        <v>43702</v>
      </c>
      <c r="Y251" s="385">
        <f t="shared" si="85"/>
        <v>41.621000000000002</v>
      </c>
      <c r="Z251" s="385">
        <f t="shared" si="86"/>
        <v>42.041542461963346</v>
      </c>
      <c r="AA251" s="386">
        <f t="shared" si="87"/>
        <v>44.373322391104843</v>
      </c>
      <c r="AB251" s="197">
        <f t="shared" si="88"/>
        <v>43702</v>
      </c>
      <c r="AC251" s="427">
        <f>IF(OR(t&lt;Tnet,NoTnet),'2018'!Resal_s+('2018'!Salim-'2018'!Resal_s)*(1-EXP(('2018'!Tnet_s-t)/'2018'!Tau_j)),Resal_s+(Salim-Resal_s)*(1-EXP((Tnet_s-t)/Tau_j)))*Salcycl</f>
        <v>5.2549139967236813E-2</v>
      </c>
      <c r="AD251" s="231">
        <f>(INDEX(Models!$BJ251:$BT251,,AH251)*(1-AF251)+INDEX(Models!$BJ251:$BT251,,AH251+1)*AF251-ERP_i)*AE251*Ramure*Pc/MaxiM</f>
        <v>2.3610495283059237E-4</v>
      </c>
      <c r="AE251" s="305">
        <f t="shared" si="89"/>
        <v>0.7</v>
      </c>
      <c r="AF251" s="177">
        <f t="shared" si="90"/>
        <v>0.97908864134358531</v>
      </c>
      <c r="AG251" s="176">
        <f t="shared" si="91"/>
        <v>-2</v>
      </c>
      <c r="AH251" s="176">
        <f t="shared" si="92"/>
        <v>4</v>
      </c>
      <c r="AI251" s="225">
        <f t="shared" si="93"/>
        <v>-1.0209113586564147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20">
        <v>42.334000000000003</v>
      </c>
      <c r="C252" s="390"/>
      <c r="D252" s="393">
        <f t="shared" si="75"/>
        <v>42.762683292907518</v>
      </c>
      <c r="E252" s="385">
        <f t="shared" si="97"/>
        <v>45.142427729744114</v>
      </c>
      <c r="F252" s="385">
        <f t="shared" si="76"/>
        <v>45.150394937519252</v>
      </c>
      <c r="G252" s="110">
        <f t="shared" si="98"/>
        <v>0.87421417449885064</v>
      </c>
      <c r="H252" s="414" t="b">
        <f>Wh_hp&gt;='2018'!Maxi_hp</f>
        <v>0</v>
      </c>
      <c r="I252" s="390">
        <f>IF(H252,Wh_hp,'2018'!Maxi_hp)</f>
        <v>53.637175533284911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1.0024705184452531E-2</v>
      </c>
      <c r="M252" s="959"/>
      <c r="N252" s="959"/>
      <c r="O252" s="48">
        <f>IF(t&lt;Tnet,'2018'!Resal+('2018'!Salim-'2018'!Resal)*(1-EXP(('2018'!Tnet-t)/('2018'!Tau_j))),Resal+(Salim-Resal)*(1-EXP((Tnet-t)/(Tau_j))))*Salcycl</f>
        <v>5.2716359232682489E-2</v>
      </c>
      <c r="P252" s="169">
        <f>(INDEX(Models!$BJ252:$BT252,,T252)*(1-R252)+INDEX(Models!$BJ252:$BT252,,T252+1)*R252-ERP_i)*Q252*Ramure*Pc/MaxiM</f>
        <v>2.1510136493371119E-4</v>
      </c>
      <c r="Q252" s="305">
        <f t="shared" si="78"/>
        <v>0.7</v>
      </c>
      <c r="R252" s="177">
        <f t="shared" si="79"/>
        <v>0.979904327344989</v>
      </c>
      <c r="S252" s="921">
        <f t="shared" si="80"/>
        <v>-2</v>
      </c>
      <c r="T252" s="176">
        <f t="shared" si="81"/>
        <v>4</v>
      </c>
      <c r="U252" s="251">
        <f t="shared" si="82"/>
        <v>-1.020095672655011</v>
      </c>
      <c r="V252" s="383">
        <f t="shared" si="83"/>
        <v>48.42333271823378</v>
      </c>
      <c r="W252" s="58"/>
      <c r="X252" s="157">
        <f t="shared" si="84"/>
        <v>43703</v>
      </c>
      <c r="Y252" s="385">
        <f t="shared" si="85"/>
        <v>42.334000000000003</v>
      </c>
      <c r="Z252" s="385">
        <f t="shared" si="86"/>
        <v>42.762683292907518</v>
      </c>
      <c r="AA252" s="386">
        <f t="shared" si="87"/>
        <v>45.142427729744114</v>
      </c>
      <c r="AB252" s="197">
        <f t="shared" si="88"/>
        <v>43703</v>
      </c>
      <c r="AC252" s="427">
        <f>IF(OR(t&lt;Tnet,NoTnet),'2018'!Resal_s+('2018'!Salim-'2018'!Resal_s)*(1-EXP(('2018'!Tnet_s-t)/'2018'!Tau_j)),Resal_s+(Salim-Resal_s)*(1-EXP((Tnet_s-t)/Tau_j)))*Salcycl</f>
        <v>5.2716359232682489E-2</v>
      </c>
      <c r="AD252" s="231">
        <f>(INDEX(Models!$BJ252:$BT252,,AH252)*(1-AF252)+INDEX(Models!$BJ252:$BT252,,AH252+1)*AF252-ERP_i)*AE252*Ramure*Pc/MaxiM</f>
        <v>2.1510136493371119E-4</v>
      </c>
      <c r="AE252" s="305">
        <f t="shared" si="89"/>
        <v>0.7</v>
      </c>
      <c r="AF252" s="177">
        <f t="shared" si="90"/>
        <v>0.979904327344989</v>
      </c>
      <c r="AG252" s="176">
        <f t="shared" si="91"/>
        <v>-2</v>
      </c>
      <c r="AH252" s="176">
        <f t="shared" si="92"/>
        <v>4</v>
      </c>
      <c r="AI252" s="225">
        <f t="shared" si="93"/>
        <v>-1.020095672655011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20">
        <v>29.751999999999999</v>
      </c>
      <c r="C253" s="390"/>
      <c r="D253" s="393">
        <f t="shared" si="75"/>
        <v>30.053933482221925</v>
      </c>
      <c r="E253" s="385">
        <f t="shared" si="97"/>
        <v>31.731998051256582</v>
      </c>
      <c r="F253" s="385">
        <f t="shared" si="76"/>
        <v>31.734811402749937</v>
      </c>
      <c r="G253" s="110">
        <f t="shared" si="98"/>
        <v>0.61575955492180301</v>
      </c>
      <c r="H253" s="414" t="b">
        <f>Wh_hp&gt;='2018'!Maxi_hp</f>
        <v>0</v>
      </c>
      <c r="I253" s="390">
        <f>IF(H253,Wh_hp,'2018'!Maxi_hp)</f>
        <v>51.403994258295555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1.0046388184113519E-2</v>
      </c>
      <c r="M253" s="959"/>
      <c r="N253" s="959"/>
      <c r="O253" s="48">
        <f>IF(t&lt;Tnet,'2018'!Resal+('2018'!Salim-'2018'!Resal)*(1-EXP(('2018'!Tnet-t)/('2018'!Tau_j))),Resal+(Salim-Resal)*(1-EXP((Tnet-t)/(Tau_j))))*Salcycl</f>
        <v>5.2882411196549441E-2</v>
      </c>
      <c r="P253" s="169">
        <f>(INDEX(Models!$BJ253:$BT253,,T253)*(1-R253)+INDEX(Models!$BJ253:$BT253,,T253+1)*R253-ERP_i)*Q253*Ramure*Pc/MaxiM</f>
        <v>1.9648901490926395E-4</v>
      </c>
      <c r="Q253" s="305">
        <f t="shared" si="78"/>
        <v>0.7</v>
      </c>
      <c r="R253" s="177">
        <f t="shared" si="79"/>
        <v>0.98068978418023622</v>
      </c>
      <c r="S253" s="921">
        <f t="shared" si="80"/>
        <v>-2</v>
      </c>
      <c r="T253" s="176">
        <f t="shared" si="81"/>
        <v>4</v>
      </c>
      <c r="U253" s="251">
        <f t="shared" si="82"/>
        <v>-1.0193102158197638</v>
      </c>
      <c r="V253" s="383">
        <f t="shared" si="83"/>
        <v>48.312350345319061</v>
      </c>
      <c r="W253" s="58"/>
      <c r="X253" s="157">
        <f t="shared" si="84"/>
        <v>43704</v>
      </c>
      <c r="Y253" s="385">
        <f t="shared" si="85"/>
        <v>29.751999999999999</v>
      </c>
      <c r="Z253" s="385">
        <f t="shared" si="86"/>
        <v>30.053933482221925</v>
      </c>
      <c r="AA253" s="386">
        <f t="shared" si="87"/>
        <v>31.731998051256582</v>
      </c>
      <c r="AB253" s="197">
        <f t="shared" si="88"/>
        <v>43704</v>
      </c>
      <c r="AC253" s="427">
        <f>IF(OR(t&lt;Tnet,NoTnet),'2018'!Resal_s+('2018'!Salim-'2018'!Resal_s)*(1-EXP(('2018'!Tnet_s-t)/'2018'!Tau_j)),Resal_s+(Salim-Resal_s)*(1-EXP((Tnet_s-t)/Tau_j)))*Salcycl</f>
        <v>5.2882411196549441E-2</v>
      </c>
      <c r="AD253" s="231">
        <f>(INDEX(Models!$BJ253:$BT253,,AH253)*(1-AF253)+INDEX(Models!$BJ253:$BT253,,AH253+1)*AF253-ERP_i)*AE253*Ramure*Pc/MaxiM</f>
        <v>1.9648901490926395E-4</v>
      </c>
      <c r="AE253" s="305">
        <f t="shared" si="89"/>
        <v>0.7</v>
      </c>
      <c r="AF253" s="177">
        <f t="shared" si="90"/>
        <v>0.98068978418023622</v>
      </c>
      <c r="AG253" s="176">
        <f t="shared" si="91"/>
        <v>-2</v>
      </c>
      <c r="AH253" s="176">
        <f t="shared" si="92"/>
        <v>4</v>
      </c>
      <c r="AI253" s="225">
        <f t="shared" si="93"/>
        <v>-1.0193102158197638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20">
        <v>34.357999999999997</v>
      </c>
      <c r="C254" s="390"/>
      <c r="D254" s="393">
        <f t="shared" si="75"/>
        <v>34.707436929125777</v>
      </c>
      <c r="E254" s="385">
        <f t="shared" si="97"/>
        <v>36.651710911017886</v>
      </c>
      <c r="F254" s="385">
        <f t="shared" si="76"/>
        <v>36.655621293137443</v>
      </c>
      <c r="G254" s="110">
        <f t="shared" si="98"/>
        <v>0.71276655975523473</v>
      </c>
      <c r="H254" s="414" t="b">
        <f>Wh_hp&gt;='2018'!Maxi_hp</f>
        <v>0</v>
      </c>
      <c r="I254" s="390">
        <f>IF(H254,Wh_hp,'2018'!Maxi_hp)</f>
        <v>43.257954582794689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1.0068070708861288E-2</v>
      </c>
      <c r="M254" s="959"/>
      <c r="N254" s="959"/>
      <c r="O254" s="48">
        <f>IF(t&lt;Tnet,'2018'!Resal+('2018'!Salim-'2018'!Resal)*(1-EXP(('2018'!Tnet-t)/('2018'!Tau_j))),Resal+(Salim-Resal)*(1-EXP((Tnet-t)/(Tau_j))))*Salcycl</f>
        <v>5.3047291205924031E-2</v>
      </c>
      <c r="P254" s="169">
        <f>(INDEX(Models!$BJ254:$BT254,,T254)*(1-R254)+INDEX(Models!$BJ254:$BT254,,T254+1)*R254-ERP_i)*Q254*Ramure*Pc/MaxiM</f>
        <v>1.8089080301196146E-4</v>
      </c>
      <c r="Q254" s="305">
        <f t="shared" si="78"/>
        <v>0.7</v>
      </c>
      <c r="R254" s="177">
        <f t="shared" si="79"/>
        <v>0.981446034632796</v>
      </c>
      <c r="S254" s="921">
        <f t="shared" si="80"/>
        <v>-2</v>
      </c>
      <c r="T254" s="176">
        <f t="shared" si="81"/>
        <v>4</v>
      </c>
      <c r="U254" s="251">
        <f t="shared" si="82"/>
        <v>-1.018553965367204</v>
      </c>
      <c r="V254" s="383">
        <f t="shared" si="83"/>
        <v>48.20014278996419</v>
      </c>
      <c r="W254" s="58"/>
      <c r="X254" s="157">
        <f t="shared" si="84"/>
        <v>43705</v>
      </c>
      <c r="Y254" s="385">
        <f t="shared" si="85"/>
        <v>34.357999999999997</v>
      </c>
      <c r="Z254" s="385">
        <f t="shared" si="86"/>
        <v>34.707436929125777</v>
      </c>
      <c r="AA254" s="386">
        <f t="shared" si="87"/>
        <v>36.651710911017886</v>
      </c>
      <c r="AB254" s="197">
        <f t="shared" si="88"/>
        <v>43705</v>
      </c>
      <c r="AC254" s="427">
        <f>IF(OR(t&lt;Tnet,NoTnet),'2018'!Resal_s+('2018'!Salim-'2018'!Resal_s)*(1-EXP(('2018'!Tnet_s-t)/'2018'!Tau_j)),Resal_s+(Salim-Resal_s)*(1-EXP((Tnet_s-t)/Tau_j)))*Salcycl</f>
        <v>5.3047291205924031E-2</v>
      </c>
      <c r="AD254" s="231">
        <f>(INDEX(Models!$BJ254:$BT254,,AH254)*(1-AF254)+INDEX(Models!$BJ254:$BT254,,AH254+1)*AF254-ERP_i)*AE254*Ramure*Pc/MaxiM</f>
        <v>1.8089080301196146E-4</v>
      </c>
      <c r="AE254" s="305">
        <f t="shared" si="89"/>
        <v>0.7</v>
      </c>
      <c r="AF254" s="177">
        <f t="shared" si="90"/>
        <v>0.981446034632796</v>
      </c>
      <c r="AG254" s="176">
        <f t="shared" si="91"/>
        <v>-2</v>
      </c>
      <c r="AH254" s="176">
        <f t="shared" si="92"/>
        <v>4</v>
      </c>
      <c r="AI254" s="225">
        <f t="shared" si="93"/>
        <v>-1.018553965367204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20">
        <v>46.094999999999999</v>
      </c>
      <c r="C255" s="390"/>
      <c r="D255" s="393">
        <f t="shared" si="75"/>
        <v>46.5648275977127</v>
      </c>
      <c r="E255" s="385">
        <f t="shared" si="97"/>
        <v>49.181842325646357</v>
      </c>
      <c r="F255" s="385">
        <f t="shared" si="76"/>
        <v>49.189574840738644</v>
      </c>
      <c r="G255" s="110">
        <f t="shared" si="98"/>
        <v>0.95857952757993004</v>
      </c>
      <c r="H255" s="414" t="b">
        <f>Wh_hp&gt;='2018'!Maxi_hp</f>
        <v>1</v>
      </c>
      <c r="I255" s="390">
        <f>IF(H255,Wh_hp,'2018'!Maxi_hp)</f>
        <v>49.189574840738644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1.0089752758706161E-2</v>
      </c>
      <c r="M255" s="959"/>
      <c r="N255" s="959"/>
      <c r="O255" s="48">
        <f>IF(t&lt;Tnet,'2018'!Resal+('2018'!Salim-'2018'!Resal)*(1-EXP(('2018'!Tnet-t)/('2018'!Tau_j))),Resal+(Salim-Resal)*(1-EXP((Tnet-t)/(Tau_j))))*Salcycl</f>
        <v>5.3210994224366107E-2</v>
      </c>
      <c r="P255" s="169">
        <f>(INDEX(Models!$BJ255:$BT255,,T255)*(1-R255)+INDEX(Models!$BJ255:$BT255,,T255+1)*R255-ERP_i)*Q255*Ramure*Pc/MaxiM</f>
        <v>1.6708261820568647E-4</v>
      </c>
      <c r="Q255" s="305">
        <f t="shared" si="78"/>
        <v>0.7</v>
      </c>
      <c r="R255" s="177">
        <f t="shared" si="79"/>
        <v>0.98217407433509063</v>
      </c>
      <c r="S255" s="921">
        <f t="shared" si="80"/>
        <v>-2</v>
      </c>
      <c r="T255" s="176">
        <f t="shared" si="81"/>
        <v>4</v>
      </c>
      <c r="U255" s="251">
        <f t="shared" si="82"/>
        <v>-1.0178259256649094</v>
      </c>
      <c r="V255" s="383">
        <f t="shared" si="83"/>
        <v>48.086301639254039</v>
      </c>
      <c r="W255" s="58"/>
      <c r="X255" s="157">
        <f t="shared" si="84"/>
        <v>43706</v>
      </c>
      <c r="Y255" s="385">
        <f t="shared" si="85"/>
        <v>46.094999999999999</v>
      </c>
      <c r="Z255" s="385">
        <f t="shared" si="86"/>
        <v>46.5648275977127</v>
      </c>
      <c r="AA255" s="386">
        <f t="shared" si="87"/>
        <v>49.181842325646357</v>
      </c>
      <c r="AB255" s="197">
        <f t="shared" si="88"/>
        <v>43706</v>
      </c>
      <c r="AC255" s="427">
        <f>IF(OR(t&lt;Tnet,NoTnet),'2018'!Resal_s+('2018'!Salim-'2018'!Resal_s)*(1-EXP(('2018'!Tnet_s-t)/'2018'!Tau_j)),Resal_s+(Salim-Resal_s)*(1-EXP((Tnet_s-t)/Tau_j)))*Salcycl</f>
        <v>5.3210994224366107E-2</v>
      </c>
      <c r="AD255" s="231">
        <f>(INDEX(Models!$BJ255:$BT255,,AH255)*(1-AF255)+INDEX(Models!$BJ255:$BT255,,AH255+1)*AF255-ERP_i)*AE255*Ramure*Pc/MaxiM</f>
        <v>1.6708261820568647E-4</v>
      </c>
      <c r="AE255" s="305">
        <f t="shared" si="89"/>
        <v>0.7</v>
      </c>
      <c r="AF255" s="177">
        <f t="shared" si="90"/>
        <v>0.98217407433509063</v>
      </c>
      <c r="AG255" s="176">
        <f t="shared" si="91"/>
        <v>-2</v>
      </c>
      <c r="AH255" s="176">
        <f t="shared" si="92"/>
        <v>4</v>
      </c>
      <c r="AI255" s="225">
        <f t="shared" si="93"/>
        <v>-1.0178259256649094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20">
        <v>45.640999999999998</v>
      </c>
      <c r="C256" s="390"/>
      <c r="D256" s="393">
        <f t="shared" si="75"/>
        <v>46.107210026491053</v>
      </c>
      <c r="E256" s="385">
        <f t="shared" si="97"/>
        <v>48.706866697750741</v>
      </c>
      <c r="F256" s="385">
        <f t="shared" si="76"/>
        <v>48.713897156166894</v>
      </c>
      <c r="G256" s="110">
        <f t="shared" si="98"/>
        <v>0.95143146790816213</v>
      </c>
      <c r="H256" s="414" t="b">
        <f>Wh_hp&gt;='2018'!Maxi_hp</f>
        <v>1</v>
      </c>
      <c r="I256" s="390">
        <f>IF(H256,Wh_hp,'2018'!Maxi_hp)</f>
        <v>48.713897156166894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1.0111434333658353E-2</v>
      </c>
      <c r="M256" s="959"/>
      <c r="N256" s="959"/>
      <c r="O256" s="48">
        <f>IF(t&lt;Tnet,'2018'!Resal+('2018'!Salim-'2018'!Resal)*(1-EXP(('2018'!Tnet-t)/('2018'!Tau_j))),Resal+(Salim-Resal)*(1-EXP((Tnet-t)/(Tau_j))))*Salcycl</f>
        <v>5.3373514814487912E-2</v>
      </c>
      <c r="P256" s="169">
        <f>(INDEX(Models!$BJ256:$BT256,,T256)*(1-R256)+INDEX(Models!$BJ256:$BT256,,T256+1)*R256-ERP_i)*Q256*Ramure*Pc/MaxiM</f>
        <v>1.5507909241017323E-4</v>
      </c>
      <c r="Q256" s="305">
        <f t="shared" si="78"/>
        <v>0.7</v>
      </c>
      <c r="R256" s="177">
        <f t="shared" si="79"/>
        <v>0.98287487189626543</v>
      </c>
      <c r="S256" s="921">
        <f t="shared" si="80"/>
        <v>-2</v>
      </c>
      <c r="T256" s="176">
        <f t="shared" si="81"/>
        <v>4</v>
      </c>
      <c r="U256" s="251">
        <f t="shared" si="82"/>
        <v>-1.0171251281037346</v>
      </c>
      <c r="V256" s="383">
        <f t="shared" si="83"/>
        <v>47.970358851151644</v>
      </c>
      <c r="W256" s="58"/>
      <c r="X256" s="157">
        <f t="shared" si="84"/>
        <v>43707</v>
      </c>
      <c r="Y256" s="385">
        <f t="shared" si="85"/>
        <v>45.640999999999998</v>
      </c>
      <c r="Z256" s="385">
        <f t="shared" si="86"/>
        <v>46.107210026491053</v>
      </c>
      <c r="AA256" s="386">
        <f t="shared" si="87"/>
        <v>48.706866697750741</v>
      </c>
      <c r="AB256" s="197">
        <f t="shared" si="88"/>
        <v>43707</v>
      </c>
      <c r="AC256" s="427">
        <f>IF(OR(t&lt;Tnet,NoTnet),'2018'!Resal_s+('2018'!Salim-'2018'!Resal_s)*(1-EXP(('2018'!Tnet_s-t)/'2018'!Tau_j)),Resal_s+(Salim-Resal_s)*(1-EXP((Tnet_s-t)/Tau_j)))*Salcycl</f>
        <v>5.3373514814487912E-2</v>
      </c>
      <c r="AD256" s="231">
        <f>(INDEX(Models!$BJ256:$BT256,,AH256)*(1-AF256)+INDEX(Models!$BJ256:$BT256,,AH256+1)*AF256-ERP_i)*AE256*Ramure*Pc/MaxiM</f>
        <v>1.5507909241017323E-4</v>
      </c>
      <c r="AE256" s="305">
        <f t="shared" si="89"/>
        <v>0.7</v>
      </c>
      <c r="AF256" s="177">
        <f t="shared" si="90"/>
        <v>0.98287487189626543</v>
      </c>
      <c r="AG256" s="176">
        <f t="shared" si="91"/>
        <v>-2</v>
      </c>
      <c r="AH256" s="176">
        <f t="shared" si="92"/>
        <v>4</v>
      </c>
      <c r="AI256" s="225">
        <f t="shared" si="93"/>
        <v>-1.0171251281037346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20">
        <v>44.063000000000002</v>
      </c>
      <c r="C257" s="390"/>
      <c r="D257" s="393">
        <f t="shared" si="75"/>
        <v>44.514066170934711</v>
      </c>
      <c r="E257" s="385">
        <f t="shared" si="97"/>
        <v>47.031912411493721</v>
      </c>
      <c r="F257" s="385">
        <f t="shared" si="76"/>
        <v>47.03795702238282</v>
      </c>
      <c r="G257" s="110">
        <f t="shared" si="98"/>
        <v>0.92080621141362373</v>
      </c>
      <c r="H257" s="414" t="b">
        <f>Wh_hp&gt;='2018'!Maxi_hp</f>
        <v>0</v>
      </c>
      <c r="I257" s="390">
        <f>IF(H257,Wh_hp,'2018'!Maxi_hp)</f>
        <v>47.557915907198883</v>
      </c>
      <c r="J257" s="85">
        <f>IF(H257,An,'2018'!An_max)</f>
        <v>2018</v>
      </c>
      <c r="K257" s="197">
        <f t="shared" si="77"/>
        <v>43708</v>
      </c>
      <c r="L257" s="147">
        <f>IF(t&lt;Tvie,1-EXP((T0-t)*PertePVj)+'2018'!Pspv,1-EXP((T0-t)*PertePVj)+Pspv)</f>
        <v>1.0133115433728523E-2</v>
      </c>
      <c r="M257" s="959"/>
      <c r="N257" s="959"/>
      <c r="O257" s="48">
        <f>IF(t&lt;Tnet,'2018'!Resal+('2018'!Salim-'2018'!Resal)*(1-EXP(('2018'!Tnet-t)/('2018'!Tau_j))),Resal+(Salim-Resal)*(1-EXP((Tnet-t)/(Tau_j))))*Salcycl</f>
        <v>5.3534847116778035E-2</v>
      </c>
      <c r="P257" s="169">
        <f>(INDEX(Models!$BJ257:$BT257,,T257)*(1-R257)+INDEX(Models!$BJ257:$BT257,,T257+1)*R257-ERP_i)*Q257*Ramure*Pc/MaxiM</f>
        <v>1.4489430825476098E-4</v>
      </c>
      <c r="Q257" s="305">
        <f t="shared" si="78"/>
        <v>0.7</v>
      </c>
      <c r="R257" s="177">
        <f t="shared" si="79"/>
        <v>0.98354936908596557</v>
      </c>
      <c r="S257" s="921">
        <f t="shared" si="80"/>
        <v>-2</v>
      </c>
      <c r="T257" s="176">
        <f t="shared" si="81"/>
        <v>4</v>
      </c>
      <c r="U257" s="251">
        <f t="shared" si="82"/>
        <v>-1.0164506309140344</v>
      </c>
      <c r="V257" s="383">
        <f t="shared" si="83"/>
        <v>47.851846780862509</v>
      </c>
      <c r="W257" s="58"/>
      <c r="X257" s="157">
        <f t="shared" si="84"/>
        <v>43708</v>
      </c>
      <c r="Y257" s="385">
        <f t="shared" si="85"/>
        <v>44.063000000000002</v>
      </c>
      <c r="Z257" s="385">
        <f t="shared" si="86"/>
        <v>44.514066170934711</v>
      </c>
      <c r="AA257" s="386">
        <f t="shared" si="87"/>
        <v>47.031912411493721</v>
      </c>
      <c r="AB257" s="197">
        <f t="shared" si="88"/>
        <v>43708</v>
      </c>
      <c r="AC257" s="427">
        <f>IF(OR(t&lt;Tnet,NoTnet),'2018'!Resal_s+('2018'!Salim-'2018'!Resal_s)*(1-EXP(('2018'!Tnet_s-t)/'2018'!Tau_j)),Resal_s+(Salim-Resal_s)*(1-EXP((Tnet_s-t)/Tau_j)))*Salcycl</f>
        <v>5.3534847116778035E-2</v>
      </c>
      <c r="AD257" s="231">
        <f>(INDEX(Models!$BJ257:$BT257,,AH257)*(1-AF257)+INDEX(Models!$BJ257:$BT257,,AH257+1)*AF257-ERP_i)*AE257*Ramure*Pc/MaxiM</f>
        <v>1.4489430825476098E-4</v>
      </c>
      <c r="AE257" s="305">
        <f t="shared" si="89"/>
        <v>0.7</v>
      </c>
      <c r="AF257" s="177">
        <f t="shared" si="90"/>
        <v>0.98354936908596557</v>
      </c>
      <c r="AG257" s="176">
        <f t="shared" si="91"/>
        <v>-2</v>
      </c>
      <c r="AH257" s="176">
        <f t="shared" si="92"/>
        <v>4</v>
      </c>
      <c r="AI257" s="225">
        <f t="shared" si="93"/>
        <v>-1.0164506309140344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20">
        <v>14.961</v>
      </c>
      <c r="C258" s="390"/>
      <c r="D258" s="393">
        <f t="shared" si="75"/>
        <v>15.114484507711621</v>
      </c>
      <c r="E258" s="385">
        <f t="shared" si="97"/>
        <v>15.972106525209886</v>
      </c>
      <c r="F258" s="385">
        <f t="shared" si="76"/>
        <v>15.972148424999762</v>
      </c>
      <c r="G258" s="110">
        <f t="shared" si="98"/>
        <v>0.3134067250489766</v>
      </c>
      <c r="H258" s="414" t="b">
        <f>Wh_hp&gt;='2018'!Maxi_hp</f>
        <v>0</v>
      </c>
      <c r="I258" s="390">
        <f>IF(H258,Wh_hp,'2018'!Maxi_hp)</f>
        <v>52.083506608695828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1.0154796058926885E-2</v>
      </c>
      <c r="M258" s="959"/>
      <c r="N258" s="959"/>
      <c r="O258" s="48">
        <f>IF(t&lt;Tnet,'2018'!Resal+('2018'!Salim-'2018'!Resal)*(1-EXP(('2018'!Tnet-t)/('2018'!Tau_j))),Resal+(Salim-Resal)*(1-EXP((Tnet-t)/(Tau_j))))*Salcycl</f>
        <v>5.3694984825240273E-2</v>
      </c>
      <c r="P258" s="169">
        <f>(INDEX(Models!$BJ258:$BT258,,T258)*(1-R258)+INDEX(Models!$BJ258:$BT258,,T258+1)*R258-ERP_i)*Q258*Ramure*Pc/MaxiM</f>
        <v>1.3654197610733898E-4</v>
      </c>
      <c r="Q258" s="305">
        <f t="shared" si="78"/>
        <v>0.7</v>
      </c>
      <c r="R258" s="177">
        <f t="shared" si="79"/>
        <v>0.98419848106858709</v>
      </c>
      <c r="S258" s="921">
        <f t="shared" si="80"/>
        <v>-2</v>
      </c>
      <c r="T258" s="176">
        <f t="shared" si="81"/>
        <v>4</v>
      </c>
      <c r="U258" s="251">
        <f t="shared" si="82"/>
        <v>-1.0158015189314129</v>
      </c>
      <c r="V258" s="383">
        <f t="shared" si="83"/>
        <v>47.730298177688105</v>
      </c>
      <c r="W258" s="58"/>
      <c r="X258" s="157">
        <f t="shared" si="84"/>
        <v>43709</v>
      </c>
      <c r="Y258" s="385">
        <f t="shared" si="85"/>
        <v>14.961</v>
      </c>
      <c r="Z258" s="385">
        <f t="shared" si="86"/>
        <v>15.114484507711621</v>
      </c>
      <c r="AA258" s="386">
        <f t="shared" si="87"/>
        <v>15.972106525209886</v>
      </c>
      <c r="AB258" s="197">
        <f t="shared" si="88"/>
        <v>43709</v>
      </c>
      <c r="AC258" s="427">
        <f>IF(OR(t&lt;Tnet,NoTnet),'2018'!Resal_s+('2018'!Salim-'2018'!Resal_s)*(1-EXP(('2018'!Tnet_s-t)/'2018'!Tau_j)),Resal_s+(Salim-Resal_s)*(1-EXP((Tnet_s-t)/Tau_j)))*Salcycl</f>
        <v>5.3694984825240273E-2</v>
      </c>
      <c r="AD258" s="231">
        <f>(INDEX(Models!$BJ258:$BT258,,AH258)*(1-AF258)+INDEX(Models!$BJ258:$BT258,,AH258+1)*AF258-ERP_i)*AE258*Ramure*Pc/MaxiM</f>
        <v>1.3654197610733898E-4</v>
      </c>
      <c r="AE258" s="305">
        <f t="shared" si="89"/>
        <v>0.7</v>
      </c>
      <c r="AF258" s="177">
        <f t="shared" si="90"/>
        <v>0.98419848106858709</v>
      </c>
      <c r="AG258" s="176">
        <f t="shared" si="91"/>
        <v>-2</v>
      </c>
      <c r="AH258" s="176">
        <f t="shared" si="92"/>
        <v>4</v>
      </c>
      <c r="AI258" s="225">
        <f t="shared" si="93"/>
        <v>-1.0158015189314129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20">
        <v>46.185000000000002</v>
      </c>
      <c r="C259" s="390"/>
      <c r="D259" s="393">
        <f t="shared" si="75"/>
        <v>46.659832677167437</v>
      </c>
      <c r="E259" s="385">
        <f t="shared" si="97"/>
        <v>49.315675159165728</v>
      </c>
      <c r="F259" s="385">
        <f t="shared" si="76"/>
        <v>49.321815406073689</v>
      </c>
      <c r="G259" s="110">
        <f t="shared" si="98"/>
        <v>0.97016080611778843</v>
      </c>
      <c r="H259" s="414" t="b">
        <f>Wh_hp&gt;='2018'!Maxi_hp</f>
        <v>0</v>
      </c>
      <c r="I259" s="390">
        <f>IF(H259,Wh_hp,'2018'!Maxi_hp)</f>
        <v>50.502495754224739</v>
      </c>
      <c r="J259" s="85">
        <f>IF(H259,An,'2018'!An_max)</f>
        <v>2018</v>
      </c>
      <c r="K259" s="197">
        <f t="shared" si="77"/>
        <v>43710</v>
      </c>
      <c r="L259" s="147">
        <f>IF(t&lt;Tvie,1-EXP((T0-t)*PertePVj)+'2018'!Pspv,1-EXP((T0-t)*PertePVj)+Pspv)</f>
        <v>1.0176476209263985E-2</v>
      </c>
      <c r="M259" s="959"/>
      <c r="N259" s="959"/>
      <c r="O259" s="48">
        <f>IF(t&lt;Tnet,'2018'!Resal+('2018'!Salim-'2018'!Resal)*(1-EXP(('2018'!Tnet-t)/('2018'!Tau_j))),Resal+(Salim-Resal)*(1-EXP((Tnet-t)/(Tau_j))))*Salcycl</f>
        <v>5.3853921160495075E-2</v>
      </c>
      <c r="P259" s="169">
        <f>(INDEX(Models!$BJ259:$BT259,,T259)*(1-R259)+INDEX(Models!$BJ259:$BT259,,T259+1)*R259-ERP_i)*Q259*Ramure*Pc/MaxiM</f>
        <v>1.3003561380880491E-4</v>
      </c>
      <c r="Q259" s="305">
        <f t="shared" si="78"/>
        <v>0.7</v>
      </c>
      <c r="R259" s="177">
        <f t="shared" si="79"/>
        <v>0.98482309668279377</v>
      </c>
      <c r="S259" s="921">
        <f t="shared" si="80"/>
        <v>-2</v>
      </c>
      <c r="T259" s="176">
        <f t="shared" si="81"/>
        <v>4</v>
      </c>
      <c r="U259" s="251">
        <f t="shared" si="82"/>
        <v>-1.0151769033172062</v>
      </c>
      <c r="V259" s="383">
        <f t="shared" si="83"/>
        <v>47.605246177492347</v>
      </c>
      <c r="W259" s="58"/>
      <c r="X259" s="157">
        <f t="shared" si="84"/>
        <v>43710</v>
      </c>
      <c r="Y259" s="385">
        <f t="shared" si="85"/>
        <v>46.185000000000002</v>
      </c>
      <c r="Z259" s="385">
        <f t="shared" si="86"/>
        <v>46.659832677167437</v>
      </c>
      <c r="AA259" s="386">
        <f t="shared" si="87"/>
        <v>49.315675159165728</v>
      </c>
      <c r="AB259" s="197">
        <f t="shared" si="88"/>
        <v>43710</v>
      </c>
      <c r="AC259" s="427">
        <f>IF(OR(t&lt;Tnet,NoTnet),'2018'!Resal_s+('2018'!Salim-'2018'!Resal_s)*(1-EXP(('2018'!Tnet_s-t)/'2018'!Tau_j)),Resal_s+(Salim-Resal_s)*(1-EXP((Tnet_s-t)/Tau_j)))*Salcycl</f>
        <v>5.3853921160495075E-2</v>
      </c>
      <c r="AD259" s="231">
        <f>(INDEX(Models!$BJ259:$BT259,,AH259)*(1-AF259)+INDEX(Models!$BJ259:$BT259,,AH259+1)*AF259-ERP_i)*AE259*Ramure*Pc/MaxiM</f>
        <v>1.3003561380880491E-4</v>
      </c>
      <c r="AE259" s="305">
        <f t="shared" si="89"/>
        <v>0.7</v>
      </c>
      <c r="AF259" s="177">
        <f t="shared" si="90"/>
        <v>0.98482309668279377</v>
      </c>
      <c r="AG259" s="176">
        <f t="shared" si="91"/>
        <v>-2</v>
      </c>
      <c r="AH259" s="176">
        <f t="shared" si="92"/>
        <v>4</v>
      </c>
      <c r="AI259" s="225">
        <f t="shared" si="93"/>
        <v>-1.0151769033172062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20">
        <v>48.637</v>
      </c>
      <c r="C260" s="390"/>
      <c r="D260" s="393">
        <f t="shared" si="75"/>
        <v>49.138118189176495</v>
      </c>
      <c r="E260" s="385">
        <f t="shared" si="97"/>
        <v>51.94368210663162</v>
      </c>
      <c r="F260" s="385">
        <f t="shared" si="76"/>
        <v>51.950196075696489</v>
      </c>
      <c r="G260" s="110">
        <f t="shared" si="98"/>
        <v>1.0244496211876524</v>
      </c>
      <c r="H260" s="414" t="b">
        <f>Wh_hp&gt;='2018'!Maxi_hp</f>
        <v>1</v>
      </c>
      <c r="I260" s="390">
        <f>IF(H260,Wh_hp,'2018'!Maxi_hp)</f>
        <v>51.950196075696489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1.0198155884750038E-2</v>
      </c>
      <c r="M260" s="959"/>
      <c r="N260" s="959"/>
      <c r="O260" s="48">
        <f>IF(t&lt;Tnet,'2018'!Resal+('2018'!Salim-'2018'!Resal)*(1-EXP(('2018'!Tnet-t)/('2018'!Tau_j))),Resal+(Salim-Resal)*(1-EXP((Tnet-t)/(Tau_j))))*Salcycl</f>
        <v>5.4011648841061709E-2</v>
      </c>
      <c r="P260" s="169">
        <f>(INDEX(Models!$BJ260:$BT260,,T260)*(1-R260)+INDEX(Models!$BJ260:$BT260,,T260+1)*R260-ERP_i)*Q260*Ramure*Pc/MaxiM</f>
        <v>1.253887291470315E-4</v>
      </c>
      <c r="Q260" s="305">
        <f t="shared" si="78"/>
        <v>0.7</v>
      </c>
      <c r="R260" s="177">
        <f t="shared" si="79"/>
        <v>0.98542407876141924</v>
      </c>
      <c r="S260" s="921">
        <f t="shared" si="80"/>
        <v>-2</v>
      </c>
      <c r="T260" s="176">
        <f t="shared" si="81"/>
        <v>4</v>
      </c>
      <c r="U260" s="251">
        <f t="shared" si="82"/>
        <v>-1.0145759212385808</v>
      </c>
      <c r="V260" s="383">
        <f t="shared" si="83"/>
        <v>47.476224300434367</v>
      </c>
      <c r="W260" s="58"/>
      <c r="X260" s="157">
        <f t="shared" si="84"/>
        <v>43711</v>
      </c>
      <c r="Y260" s="385">
        <f t="shared" si="85"/>
        <v>48.637</v>
      </c>
      <c r="Z260" s="385">
        <f t="shared" si="86"/>
        <v>49.138118189176495</v>
      </c>
      <c r="AA260" s="386">
        <f t="shared" si="87"/>
        <v>51.94368210663162</v>
      </c>
      <c r="AB260" s="197">
        <f t="shared" si="88"/>
        <v>43711</v>
      </c>
      <c r="AC260" s="427">
        <f>IF(OR(t&lt;Tnet,NoTnet),'2018'!Resal_s+('2018'!Salim-'2018'!Resal_s)*(1-EXP(('2018'!Tnet_s-t)/'2018'!Tau_j)),Resal_s+(Salim-Resal_s)*(1-EXP((Tnet_s-t)/Tau_j)))*Salcycl</f>
        <v>5.4011648841061709E-2</v>
      </c>
      <c r="AD260" s="231">
        <f>(INDEX(Models!$BJ260:$BT260,,AH260)*(1-AF260)+INDEX(Models!$BJ260:$BT260,,AH260+1)*AF260-ERP_i)*AE260*Ramure*Pc/MaxiM</f>
        <v>1.253887291470315E-4</v>
      </c>
      <c r="AE260" s="305">
        <f t="shared" si="89"/>
        <v>0.7</v>
      </c>
      <c r="AF260" s="177">
        <f t="shared" si="90"/>
        <v>0.98542407876141924</v>
      </c>
      <c r="AG260" s="176">
        <f t="shared" si="91"/>
        <v>-2</v>
      </c>
      <c r="AH260" s="176">
        <f t="shared" si="92"/>
        <v>4</v>
      </c>
      <c r="AI260" s="225">
        <f t="shared" si="93"/>
        <v>-1.0145759212385808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20">
        <v>48.08</v>
      </c>
      <c r="C261" s="390"/>
      <c r="D261" s="393">
        <f t="shared" si="75"/>
        <v>48.576443238937017</v>
      </c>
      <c r="E261" s="385">
        <f t="shared" si="97"/>
        <v>51.358435175633218</v>
      </c>
      <c r="F261" s="385">
        <f t="shared" si="76"/>
        <v>51.364733019215166</v>
      </c>
      <c r="G261" s="110">
        <f t="shared" si="98"/>
        <v>1.0155329957627435</v>
      </c>
      <c r="H261" s="414" t="b">
        <f>Wh_hp&gt;='2018'!Maxi_hp</f>
        <v>1</v>
      </c>
      <c r="I261" s="390">
        <f>IF(H261,Wh_hp,'2018'!Maxi_hp)</f>
        <v>51.364733019215166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1.0219835085395701E-2</v>
      </c>
      <c r="M261" s="959"/>
      <c r="N261" s="959"/>
      <c r="O261" s="48">
        <f>IF(t&lt;Tnet,'2018'!Resal+('2018'!Salim-'2018'!Resal)*(1-EXP(('2018'!Tnet-t)/('2018'!Tau_j))),Resal+(Salim-Resal)*(1-EXP((Tnet-t)/(Tau_j))))*Salcycl</f>
        <v>5.4168160053601165E-2</v>
      </c>
      <c r="P261" s="169">
        <f>(INDEX(Models!$BJ261:$BT261,,T261)*(1-R261)+INDEX(Models!$BJ261:$BT261,,T261+1)*R261-ERP_i)*Q261*Ramure*Pc/MaxiM</f>
        <v>1.2261026606695844E-4</v>
      </c>
      <c r="Q261" s="305">
        <f t="shared" si="78"/>
        <v>0.7</v>
      </c>
      <c r="R261" s="177">
        <f t="shared" si="79"/>
        <v>0.98600226448718331</v>
      </c>
      <c r="S261" s="921">
        <f t="shared" si="80"/>
        <v>-2</v>
      </c>
      <c r="T261" s="176">
        <f t="shared" si="81"/>
        <v>4</v>
      </c>
      <c r="U261" s="251">
        <f t="shared" si="82"/>
        <v>-1.0139977355128167</v>
      </c>
      <c r="V261" s="383">
        <f t="shared" si="83"/>
        <v>47.344596581904476</v>
      </c>
      <c r="W261" s="58"/>
      <c r="X261" s="157">
        <f t="shared" si="84"/>
        <v>43712</v>
      </c>
      <c r="Y261" s="385">
        <f t="shared" si="85"/>
        <v>48.08</v>
      </c>
      <c r="Z261" s="385">
        <f t="shared" si="86"/>
        <v>48.576443238937017</v>
      </c>
      <c r="AA261" s="386">
        <f t="shared" si="87"/>
        <v>51.358435175633218</v>
      </c>
      <c r="AB261" s="197">
        <f t="shared" si="88"/>
        <v>43712</v>
      </c>
      <c r="AC261" s="427">
        <f>IF(OR(t&lt;Tnet,NoTnet),'2018'!Resal_s+('2018'!Salim-'2018'!Resal_s)*(1-EXP(('2018'!Tnet_s-t)/'2018'!Tau_j)),Resal_s+(Salim-Resal_s)*(1-EXP((Tnet_s-t)/Tau_j)))*Salcycl</f>
        <v>5.4168160053601165E-2</v>
      </c>
      <c r="AD261" s="231">
        <f>(INDEX(Models!$BJ261:$BT261,,AH261)*(1-AF261)+INDEX(Models!$BJ261:$BT261,,AH261+1)*AF261-ERP_i)*AE261*Ramure*Pc/MaxiM</f>
        <v>1.2261026606695844E-4</v>
      </c>
      <c r="AE261" s="305">
        <f t="shared" si="89"/>
        <v>0.7</v>
      </c>
      <c r="AF261" s="177">
        <f t="shared" si="90"/>
        <v>0.98600226448718331</v>
      </c>
      <c r="AG261" s="176">
        <f t="shared" si="91"/>
        <v>-2</v>
      </c>
      <c r="AH261" s="176">
        <f t="shared" si="92"/>
        <v>4</v>
      </c>
      <c r="AI261" s="225">
        <f t="shared" si="93"/>
        <v>-1.0139977355128167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20">
        <v>36.912999999999997</v>
      </c>
      <c r="C262" s="390"/>
      <c r="D262" s="393">
        <f t="shared" si="75"/>
        <v>37.294956815312538</v>
      </c>
      <c r="E262" s="385">
        <f t="shared" si="97"/>
        <v>39.437328412387224</v>
      </c>
      <c r="F262" s="385">
        <f t="shared" si="76"/>
        <v>39.440637642162109</v>
      </c>
      <c r="G262" s="110">
        <f t="shared" si="98"/>
        <v>0.78182947203025843</v>
      </c>
      <c r="H262" s="414" t="b">
        <f>Wh_hp&gt;='2018'!Maxi_hp</f>
        <v>0</v>
      </c>
      <c r="I262" s="390">
        <f>IF(H262,Wh_hp,'2018'!Maxi_hp)</f>
        <v>44.053826687887273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1.0241513811211078E-2</v>
      </c>
      <c r="M262" s="959"/>
      <c r="N262" s="959"/>
      <c r="O262" s="48">
        <f>IF(t&lt;Tnet,'2018'!Resal+('2018'!Salim-'2018'!Resal)*(1-EXP(('2018'!Tnet-t)/('2018'!Tau_j))),Resal+(Salim-Resal)*(1-EXP((Tnet-t)/(Tau_j))))*Salcycl</f>
        <v>5.4323446422952087E-2</v>
      </c>
      <c r="P262" s="169">
        <f>(INDEX(Models!$BJ262:$BT262,,T262)*(1-R262)+INDEX(Models!$BJ262:$BT262,,T262+1)*R262-ERP_i)*Q262*Ramure*Pc/MaxiM</f>
        <v>1.2188798711600412E-4</v>
      </c>
      <c r="Q262" s="305">
        <f t="shared" si="78"/>
        <v>0.7</v>
      </c>
      <c r="R262" s="177">
        <f t="shared" si="79"/>
        <v>0.98655846577995532</v>
      </c>
      <c r="S262" s="921">
        <f t="shared" si="80"/>
        <v>-2</v>
      </c>
      <c r="T262" s="176">
        <f t="shared" si="81"/>
        <v>4</v>
      </c>
      <c r="U262" s="251">
        <f t="shared" si="82"/>
        <v>-1.0134415342200447</v>
      </c>
      <c r="V262" s="383">
        <f t="shared" si="83"/>
        <v>47.211827006127812</v>
      </c>
      <c r="W262" s="58"/>
      <c r="X262" s="157">
        <f t="shared" si="84"/>
        <v>43713</v>
      </c>
      <c r="Y262" s="385">
        <f t="shared" si="85"/>
        <v>36.912999999999997</v>
      </c>
      <c r="Z262" s="385">
        <f t="shared" si="86"/>
        <v>37.294956815312538</v>
      </c>
      <c r="AA262" s="386">
        <f t="shared" si="87"/>
        <v>39.437328412387224</v>
      </c>
      <c r="AB262" s="197">
        <f t="shared" si="88"/>
        <v>43713</v>
      </c>
      <c r="AC262" s="427">
        <f>IF(OR(t&lt;Tnet,NoTnet),'2018'!Resal_s+('2018'!Salim-'2018'!Resal_s)*(1-EXP(('2018'!Tnet_s-t)/'2018'!Tau_j)),Resal_s+(Salim-Resal_s)*(1-EXP((Tnet_s-t)/Tau_j)))*Salcycl</f>
        <v>5.4323446422952087E-2</v>
      </c>
      <c r="AD262" s="231">
        <f>(INDEX(Models!$BJ262:$BT262,,AH262)*(1-AF262)+INDEX(Models!$BJ262:$BT262,,AH262+1)*AF262-ERP_i)*AE262*Ramure*Pc/MaxiM</f>
        <v>1.2188798711600412E-4</v>
      </c>
      <c r="AE262" s="305">
        <f t="shared" si="89"/>
        <v>0.7</v>
      </c>
      <c r="AF262" s="177">
        <f t="shared" si="90"/>
        <v>0.98655846577995532</v>
      </c>
      <c r="AG262" s="176">
        <f t="shared" si="91"/>
        <v>-2</v>
      </c>
      <c r="AH262" s="176">
        <f t="shared" si="92"/>
        <v>4</v>
      </c>
      <c r="AI262" s="225">
        <f t="shared" si="93"/>
        <v>-1.0134415342200447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20">
        <v>46.872999999999998</v>
      </c>
      <c r="C263" s="390"/>
      <c r="D263" s="393">
        <f t="shared" si="75"/>
        <v>47.359055078151698</v>
      </c>
      <c r="E263" s="385">
        <f t="shared" si="97"/>
        <v>50.087708147827492</v>
      </c>
      <c r="F263" s="385">
        <f t="shared" si="76"/>
        <v>50.093779259666192</v>
      </c>
      <c r="G263" s="110">
        <f t="shared" si="98"/>
        <v>0.99565169335313952</v>
      </c>
      <c r="H263" s="414" t="b">
        <f>Wh_hp&gt;='2018'!Maxi_hp</f>
        <v>1</v>
      </c>
      <c r="I263" s="390">
        <f>IF(H263,Wh_hp,'2018'!Maxi_hp)</f>
        <v>50.093779259666192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1.0263192062206827E-2</v>
      </c>
      <c r="M263" s="959"/>
      <c r="N263" s="959"/>
      <c r="O263" s="48">
        <f>IF(t&lt;Tnet,'2018'!Resal+('2018'!Salim-'2018'!Resal)*(1-EXP(('2018'!Tnet-t)/('2018'!Tau_j))),Resal+(Salim-Resal)*(1-EXP((Tnet-t)/(Tau_j))))*Salcycl</f>
        <v>5.4477498982834681E-2</v>
      </c>
      <c r="P263" s="169">
        <f>(INDEX(Models!$BJ263:$BT263,,T263)*(1-R263)+INDEX(Models!$BJ263:$BT263,,T263+1)*R263-ERP_i)*Q263*Ramure*Pc/MaxiM</f>
        <v>1.2195234567588096E-4</v>
      </c>
      <c r="Q263" s="305">
        <f t="shared" si="78"/>
        <v>0.7</v>
      </c>
      <c r="R263" s="177">
        <f t="shared" si="79"/>
        <v>0.98709346971158696</v>
      </c>
      <c r="S263" s="921">
        <f t="shared" si="80"/>
        <v>-2</v>
      </c>
      <c r="T263" s="176">
        <f t="shared" si="81"/>
        <v>4</v>
      </c>
      <c r="U263" s="251">
        <f t="shared" si="82"/>
        <v>-1.012906530288413</v>
      </c>
      <c r="V263" s="383">
        <f t="shared" si="83"/>
        <v>47.077672650037456</v>
      </c>
      <c r="W263" s="58"/>
      <c r="X263" s="157">
        <f t="shared" si="84"/>
        <v>43714</v>
      </c>
      <c r="Y263" s="385">
        <f t="shared" si="85"/>
        <v>46.872999999999998</v>
      </c>
      <c r="Z263" s="385">
        <f t="shared" si="86"/>
        <v>47.359055078151698</v>
      </c>
      <c r="AA263" s="386">
        <f t="shared" si="87"/>
        <v>50.087708147827492</v>
      </c>
      <c r="AB263" s="197">
        <f t="shared" si="88"/>
        <v>43714</v>
      </c>
      <c r="AC263" s="427">
        <f>IF(OR(t&lt;Tnet,NoTnet),'2018'!Resal_s+('2018'!Salim-'2018'!Resal_s)*(1-EXP(('2018'!Tnet_s-t)/'2018'!Tau_j)),Resal_s+(Salim-Resal_s)*(1-EXP((Tnet_s-t)/Tau_j)))*Salcycl</f>
        <v>5.4477498982834681E-2</v>
      </c>
      <c r="AD263" s="231">
        <f>(INDEX(Models!$BJ263:$BT263,,AH263)*(1-AF263)+INDEX(Models!$BJ263:$BT263,,AH263+1)*AF263-ERP_i)*AE263*Ramure*Pc/MaxiM</f>
        <v>1.2195234567588096E-4</v>
      </c>
      <c r="AE263" s="305">
        <f t="shared" si="89"/>
        <v>0.7</v>
      </c>
      <c r="AF263" s="177">
        <f t="shared" si="90"/>
        <v>0.98709346971158696</v>
      </c>
      <c r="AG263" s="176">
        <f t="shared" si="91"/>
        <v>-2</v>
      </c>
      <c r="AH263" s="176">
        <f t="shared" si="92"/>
        <v>4</v>
      </c>
      <c r="AI263" s="225">
        <f t="shared" si="93"/>
        <v>-1.012906530288413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20">
        <v>48.064999999999998</v>
      </c>
      <c r="C264" s="390"/>
      <c r="D264" s="393">
        <f t="shared" si="75"/>
        <v>48.564479348872489</v>
      </c>
      <c r="E264" s="385">
        <f t="shared" si="97"/>
        <v>51.370886720241941</v>
      </c>
      <c r="F264" s="385">
        <f t="shared" si="76"/>
        <v>51.37719632099251</v>
      </c>
      <c r="G264" s="110">
        <f t="shared" si="98"/>
        <v>1.02392684141227</v>
      </c>
      <c r="H264" s="414" t="b">
        <f>Wh_hp&gt;='2018'!Maxi_hp</f>
        <v>1</v>
      </c>
      <c r="I264" s="390">
        <f>IF(H264,Wh_hp,'2018'!Maxi_hp)</f>
        <v>51.37719632099251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1.0284869838393274E-2</v>
      </c>
      <c r="M264" s="959"/>
      <c r="N264" s="959"/>
      <c r="O264" s="48">
        <f>IF(t&lt;Tnet,'2018'!Resal+('2018'!Salim-'2018'!Resal)*(1-EXP(('2018'!Tnet-t)/('2018'!Tau_j))),Resal+(Salim-Resal)*(1-EXP((Tnet-t)/(Tau_j))))*Salcycl</f>
        <v>5.4630308148129185E-2</v>
      </c>
      <c r="P264" s="169">
        <f>(INDEX(Models!$BJ264:$BT264,,T264)*(1-R264)+INDEX(Models!$BJ264:$BT264,,T264+1)*R264-ERP_i)*Q264*Ramure*Pc/MaxiM</f>
        <v>1.2280936295451937E-4</v>
      </c>
      <c r="Q264" s="305">
        <f t="shared" si="78"/>
        <v>0.7</v>
      </c>
      <c r="R264" s="177">
        <f t="shared" si="79"/>
        <v>0.98760803894462446</v>
      </c>
      <c r="S264" s="921">
        <f t="shared" si="80"/>
        <v>-2</v>
      </c>
      <c r="T264" s="176">
        <f t="shared" si="81"/>
        <v>4</v>
      </c>
      <c r="U264" s="251">
        <f t="shared" si="82"/>
        <v>-1.0123919610553755</v>
      </c>
      <c r="V264" s="383">
        <f t="shared" si="83"/>
        <v>46.941830271492307</v>
      </c>
      <c r="W264" s="58"/>
      <c r="X264" s="157">
        <f t="shared" si="84"/>
        <v>43715</v>
      </c>
      <c r="Y264" s="385">
        <f t="shared" si="85"/>
        <v>48.064999999999998</v>
      </c>
      <c r="Z264" s="385">
        <f t="shared" si="86"/>
        <v>48.564479348872489</v>
      </c>
      <c r="AA264" s="386">
        <f t="shared" si="87"/>
        <v>51.370886720241941</v>
      </c>
      <c r="AB264" s="197">
        <f t="shared" si="88"/>
        <v>43715</v>
      </c>
      <c r="AC264" s="427">
        <f>IF(OR(t&lt;Tnet,NoTnet),'2018'!Resal_s+('2018'!Salim-'2018'!Resal_s)*(1-EXP(('2018'!Tnet_s-t)/'2018'!Tau_j)),Resal_s+(Salim-Resal_s)*(1-EXP((Tnet_s-t)/Tau_j)))*Salcycl</f>
        <v>5.4630308148129185E-2</v>
      </c>
      <c r="AD264" s="231">
        <f>(INDEX(Models!$BJ264:$BT264,,AH264)*(1-AF264)+INDEX(Models!$BJ264:$BT264,,AH264+1)*AF264-ERP_i)*AE264*Ramure*Pc/MaxiM</f>
        <v>1.2280936295451937E-4</v>
      </c>
      <c r="AE264" s="305">
        <f t="shared" si="89"/>
        <v>0.7</v>
      </c>
      <c r="AF264" s="177">
        <f t="shared" si="90"/>
        <v>0.98760803894462446</v>
      </c>
      <c r="AG264" s="176">
        <f t="shared" si="91"/>
        <v>-2</v>
      </c>
      <c r="AH264" s="176">
        <f t="shared" si="92"/>
        <v>4</v>
      </c>
      <c r="AI264" s="225">
        <f t="shared" si="93"/>
        <v>-1.0123919610553755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20">
        <v>41.645000000000003</v>
      </c>
      <c r="C265" s="390"/>
      <c r="D265" s="393">
        <f t="shared" si="75"/>
        <v>42.078685960431216</v>
      </c>
      <c r="E265" s="385">
        <f t="shared" si="97"/>
        <v>44.517433959408798</v>
      </c>
      <c r="F265" s="385">
        <f t="shared" si="76"/>
        <v>44.522102818967994</v>
      </c>
      <c r="G265" s="110">
        <f t="shared" si="98"/>
        <v>0.88975699712556389</v>
      </c>
      <c r="H265" s="414" t="b">
        <f>Wh_hp&gt;='2018'!Maxi_hp</f>
        <v>0</v>
      </c>
      <c r="I265" s="390">
        <f>IF(H265,Wh_hp,'2018'!Maxi_hp)</f>
        <v>49.21838095853591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1.0306547139780742E-2</v>
      </c>
      <c r="M265" s="959"/>
      <c r="N265" s="959"/>
      <c r="O265" s="48">
        <f>IF(t&lt;Tnet,'2018'!Resal+('2018'!Salim-'2018'!Resal)*(1-EXP(('2018'!Tnet-t)/('2018'!Tau_j))),Resal+(Salim-Resal)*(1-EXP((Tnet-t)/(Tau_j))))*Salcycl</f>
        <v>5.4781863689655652E-2</v>
      </c>
      <c r="P265" s="169">
        <f>(INDEX(Models!$BJ265:$BT265,,T265)*(1-R265)+INDEX(Models!$BJ265:$BT265,,T265+1)*R265-ERP_i)*Q265*Ramure*Pc/MaxiM</f>
        <v>1.2446499816747258E-4</v>
      </c>
      <c r="Q265" s="305">
        <f t="shared" si="78"/>
        <v>0.7</v>
      </c>
      <c r="R265" s="177">
        <f t="shared" si="79"/>
        <v>0.98810291219147039</v>
      </c>
      <c r="S265" s="921">
        <f t="shared" si="80"/>
        <v>-2</v>
      </c>
      <c r="T265" s="176">
        <f t="shared" si="81"/>
        <v>4</v>
      </c>
      <c r="U265" s="251">
        <f t="shared" si="82"/>
        <v>-1.0118970878085296</v>
      </c>
      <c r="V265" s="383">
        <f t="shared" si="83"/>
        <v>46.803996881256126</v>
      </c>
      <c r="W265" s="58"/>
      <c r="X265" s="157">
        <f t="shared" si="84"/>
        <v>43716</v>
      </c>
      <c r="Y265" s="385">
        <f t="shared" si="85"/>
        <v>41.645000000000003</v>
      </c>
      <c r="Z265" s="385">
        <f t="shared" si="86"/>
        <v>42.078685960431216</v>
      </c>
      <c r="AA265" s="386">
        <f t="shared" si="87"/>
        <v>44.517433959408798</v>
      </c>
      <c r="AB265" s="197">
        <f t="shared" si="88"/>
        <v>43716</v>
      </c>
      <c r="AC265" s="427">
        <f>IF(OR(t&lt;Tnet,NoTnet),'2018'!Resal_s+('2018'!Salim-'2018'!Resal_s)*(1-EXP(('2018'!Tnet_s-t)/'2018'!Tau_j)),Resal_s+(Salim-Resal_s)*(1-EXP((Tnet_s-t)/Tau_j)))*Salcycl</f>
        <v>5.4781863689655652E-2</v>
      </c>
      <c r="AD265" s="231">
        <f>(INDEX(Models!$BJ265:$BT265,,AH265)*(1-AF265)+INDEX(Models!$BJ265:$BT265,,AH265+1)*AF265-ERP_i)*AE265*Ramure*Pc/MaxiM</f>
        <v>1.2446499816747258E-4</v>
      </c>
      <c r="AE265" s="305">
        <f t="shared" si="89"/>
        <v>0.7</v>
      </c>
      <c r="AF265" s="177">
        <f t="shared" si="90"/>
        <v>0.98810291219147039</v>
      </c>
      <c r="AG265" s="176">
        <f t="shared" si="91"/>
        <v>-2</v>
      </c>
      <c r="AH265" s="176">
        <f t="shared" si="92"/>
        <v>4</v>
      </c>
      <c r="AI265" s="225">
        <f t="shared" si="93"/>
        <v>-1.0118970878085296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20">
        <v>39.493000000000002</v>
      </c>
      <c r="C266" s="390"/>
      <c r="D266" s="393">
        <f t="shared" si="75"/>
        <v>39.905149319584496</v>
      </c>
      <c r="E266" s="385">
        <f t="shared" si="97"/>
        <v>42.22463976376244</v>
      </c>
      <c r="F266" s="385">
        <f t="shared" si="76"/>
        <v>42.228823008341969</v>
      </c>
      <c r="G266" s="110">
        <f t="shared" si="98"/>
        <v>0.84630571120803</v>
      </c>
      <c r="H266" s="414" t="b">
        <f>Wh_hp&gt;='2018'!Maxi_hp</f>
        <v>1</v>
      </c>
      <c r="I266" s="390">
        <f>IF(H266,Wh_hp,'2018'!Maxi_hp)</f>
        <v>42.228823008341969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1.0328223966379668E-2</v>
      </c>
      <c r="M266" s="959"/>
      <c r="N266" s="959"/>
      <c r="O266" s="48">
        <f>IF(t&lt;Tnet,'2018'!Resal+('2018'!Salim-'2018'!Resal)*(1-EXP(('2018'!Tnet-t)/('2018'!Tau_j))),Resal+(Salim-Resal)*(1-EXP((Tnet-t)/(Tau_j))))*Salcycl</f>
        <v>5.4932154712390227E-2</v>
      </c>
      <c r="P266" s="169">
        <f>(INDEX(Models!$BJ266:$BT266,,T266)*(1-R266)+INDEX(Models!$BJ266:$BT266,,T266+1)*R266-ERP_i)*Q266*Ramure*Pc/MaxiM</f>
        <v>1.2692519253902287E-4</v>
      </c>
      <c r="Q266" s="305">
        <f t="shared" si="78"/>
        <v>0.7</v>
      </c>
      <c r="R266" s="177">
        <f t="shared" si="79"/>
        <v>0.98857880469082549</v>
      </c>
      <c r="S266" s="921">
        <f t="shared" si="80"/>
        <v>-2</v>
      </c>
      <c r="T266" s="176">
        <f t="shared" si="81"/>
        <v>4</v>
      </c>
      <c r="U266" s="251">
        <f t="shared" si="82"/>
        <v>-1.0114211953091745</v>
      </c>
      <c r="V266" s="383">
        <f t="shared" si="83"/>
        <v>46.663869735930994</v>
      </c>
      <c r="W266" s="58"/>
      <c r="X266" s="157">
        <f t="shared" si="84"/>
        <v>43717</v>
      </c>
      <c r="Y266" s="385">
        <f t="shared" si="85"/>
        <v>39.493000000000002</v>
      </c>
      <c r="Z266" s="385">
        <f t="shared" si="86"/>
        <v>39.905149319584496</v>
      </c>
      <c r="AA266" s="386">
        <f t="shared" si="87"/>
        <v>42.22463976376244</v>
      </c>
      <c r="AB266" s="197">
        <f t="shared" si="88"/>
        <v>43717</v>
      </c>
      <c r="AC266" s="427">
        <f>IF(OR(t&lt;Tnet,NoTnet),'2018'!Resal_s+('2018'!Salim-'2018'!Resal_s)*(1-EXP(('2018'!Tnet_s-t)/'2018'!Tau_j)),Resal_s+(Salim-Resal_s)*(1-EXP((Tnet_s-t)/Tau_j)))*Salcycl</f>
        <v>5.4932154712390227E-2</v>
      </c>
      <c r="AD266" s="231">
        <f>(INDEX(Models!$BJ266:$BT266,,AH266)*(1-AF266)+INDEX(Models!$BJ266:$BT266,,AH266+1)*AF266-ERP_i)*AE266*Ramure*Pc/MaxiM</f>
        <v>1.2692519253902287E-4</v>
      </c>
      <c r="AE266" s="305">
        <f t="shared" si="89"/>
        <v>0.7</v>
      </c>
      <c r="AF266" s="177">
        <f t="shared" si="90"/>
        <v>0.98857880469082549</v>
      </c>
      <c r="AG266" s="176">
        <f t="shared" si="91"/>
        <v>-2</v>
      </c>
      <c r="AH266" s="176">
        <f t="shared" si="92"/>
        <v>4</v>
      </c>
      <c r="AI266" s="225">
        <f t="shared" si="93"/>
        <v>-1.0114211953091745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20">
        <v>13.717000000000001</v>
      </c>
      <c r="C267" s="390"/>
      <c r="D267" s="393">
        <f t="shared" si="75"/>
        <v>13.860454320583006</v>
      </c>
      <c r="E267" s="385">
        <f t="shared" si="97"/>
        <v>14.668407354390187</v>
      </c>
      <c r="F267" s="385">
        <f t="shared" si="76"/>
        <v>14.668407354390187</v>
      </c>
      <c r="G267" s="110">
        <f t="shared" si="98"/>
        <v>0.29481677004666162</v>
      </c>
      <c r="H267" s="414" t="b">
        <f>Wh_hp&gt;='2018'!Maxi_hp</f>
        <v>0</v>
      </c>
      <c r="I267" s="390">
        <f>IF(H267,Wh_hp,'2018'!Maxi_hp)</f>
        <v>38.182108050968154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1.0349900318200489E-2</v>
      </c>
      <c r="M267" s="959"/>
      <c r="N267" s="959"/>
      <c r="O267" s="48">
        <f>IF(t&lt;Tnet,'2018'!Resal+('2018'!Salim-'2018'!Resal)*(1-EXP(('2018'!Tnet-t)/('2018'!Tau_j))),Resal+(Salim-Resal)*(1-EXP((Tnet-t)/(Tau_j))))*Salcycl</f>
        <v>5.5081169638049612E-2</v>
      </c>
      <c r="P267" s="169">
        <f>(INDEX(Models!$BJ267:$BT267,,T267)*(1-R267)+INDEX(Models!$BJ267:$BT267,,T267+1)*R267-ERP_i)*Q267*Ramure*Pc/MaxiM</f>
        <v>1.3019591350208666E-4</v>
      </c>
      <c r="Q267" s="305">
        <f t="shared" si="78"/>
        <v>0.7</v>
      </c>
      <c r="R267" s="177">
        <f t="shared" si="79"/>
        <v>0.98903640869849041</v>
      </c>
      <c r="S267" s="921">
        <f t="shared" si="80"/>
        <v>-2</v>
      </c>
      <c r="T267" s="176">
        <f t="shared" si="81"/>
        <v>4</v>
      </c>
      <c r="U267" s="251">
        <f t="shared" si="82"/>
        <v>-1.0109635913015096</v>
      </c>
      <c r="V267" s="383">
        <f t="shared" si="83"/>
        <v>46.521146339415296</v>
      </c>
      <c r="W267" s="58"/>
      <c r="X267" s="157">
        <f t="shared" si="84"/>
        <v>43718</v>
      </c>
      <c r="Y267" s="385">
        <f t="shared" si="85"/>
        <v>13.717000000000001</v>
      </c>
      <c r="Z267" s="385">
        <f t="shared" si="86"/>
        <v>13.860454320583006</v>
      </c>
      <c r="AA267" s="386">
        <f t="shared" si="87"/>
        <v>14.668407354390187</v>
      </c>
      <c r="AB267" s="197">
        <f t="shared" si="88"/>
        <v>43718</v>
      </c>
      <c r="AC267" s="427">
        <f>IF(OR(t&lt;Tnet,NoTnet),'2018'!Resal_s+('2018'!Salim-'2018'!Resal_s)*(1-EXP(('2018'!Tnet_s-t)/'2018'!Tau_j)),Resal_s+(Salim-Resal_s)*(1-EXP((Tnet_s-t)/Tau_j)))*Salcycl</f>
        <v>5.5081169638049612E-2</v>
      </c>
      <c r="AD267" s="231">
        <f>(INDEX(Models!$BJ267:$BT267,,AH267)*(1-AF267)+INDEX(Models!$BJ267:$BT267,,AH267+1)*AF267-ERP_i)*AE267*Ramure*Pc/MaxiM</f>
        <v>1.3019591350208666E-4</v>
      </c>
      <c r="AE267" s="305">
        <f t="shared" si="89"/>
        <v>0.7</v>
      </c>
      <c r="AF267" s="177">
        <f t="shared" si="90"/>
        <v>0.98903640869849041</v>
      </c>
      <c r="AG267" s="176">
        <f t="shared" si="91"/>
        <v>-2</v>
      </c>
      <c r="AH267" s="176">
        <f t="shared" si="92"/>
        <v>4</v>
      </c>
      <c r="AI267" s="225">
        <f t="shared" si="93"/>
        <v>-1.0109635913015096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20">
        <v>41.984000000000002</v>
      </c>
      <c r="C268" s="390"/>
      <c r="D268" s="393">
        <f t="shared" si="75"/>
        <v>42.42400378779282</v>
      </c>
      <c r="E268" s="385">
        <f t="shared" si="97"/>
        <v>44.904002267683111</v>
      </c>
      <c r="F268" s="385">
        <f t="shared" si="76"/>
        <v>44.909220035954625</v>
      </c>
      <c r="G268" s="110">
        <f t="shared" si="98"/>
        <v>0.90528873966167234</v>
      </c>
      <c r="H268" s="414" t="b">
        <f>Wh_hp&gt;='2018'!Maxi_hp</f>
        <v>0</v>
      </c>
      <c r="I268" s="390">
        <f>IF(H268,Wh_hp,'2018'!Maxi_hp)</f>
        <v>48.02648130757494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1.0371576195253529E-2</v>
      </c>
      <c r="M268" s="959"/>
      <c r="N268" s="959"/>
      <c r="O268" s="48">
        <f>IF(t&lt;Tnet,'2018'!Resal+('2018'!Salim-'2018'!Resal)*(1-EXP(('2018'!Tnet-t)/('2018'!Tau_j))),Resal+(Salim-Resal)*(1-EXP((Tnet-t)/(Tau_j))))*Salcycl</f>
        <v>5.5228896192959558E-2</v>
      </c>
      <c r="P268" s="169">
        <f>(INDEX(Models!$BJ268:$BT268,,T268)*(1-R268)+INDEX(Models!$BJ268:$BT268,,T268+1)*R268-ERP_i)*Q268*Ramure*Pc/MaxiM</f>
        <v>1.3436090263610316E-4</v>
      </c>
      <c r="Q268" s="305">
        <f t="shared" si="78"/>
        <v>0.7</v>
      </c>
      <c r="R268" s="177">
        <f t="shared" si="79"/>
        <v>0.98947639398982723</v>
      </c>
      <c r="S268" s="921">
        <f t="shared" si="80"/>
        <v>-2</v>
      </c>
      <c r="T268" s="176">
        <f t="shared" si="81"/>
        <v>4</v>
      </c>
      <c r="U268" s="251">
        <f t="shared" si="82"/>
        <v>-1.0105236060101728</v>
      </c>
      <c r="V268" s="383">
        <f t="shared" si="83"/>
        <v>46.375520832259511</v>
      </c>
      <c r="W268" s="58"/>
      <c r="X268" s="157">
        <f t="shared" si="84"/>
        <v>43719</v>
      </c>
      <c r="Y268" s="385">
        <f t="shared" si="85"/>
        <v>41.984000000000002</v>
      </c>
      <c r="Z268" s="385">
        <f t="shared" si="86"/>
        <v>42.42400378779282</v>
      </c>
      <c r="AA268" s="386">
        <f t="shared" si="87"/>
        <v>44.904002267683111</v>
      </c>
      <c r="AB268" s="197">
        <f t="shared" si="88"/>
        <v>43719</v>
      </c>
      <c r="AC268" s="427">
        <f>IF(OR(t&lt;Tnet,NoTnet),'2018'!Resal_s+('2018'!Salim-'2018'!Resal_s)*(1-EXP(('2018'!Tnet_s-t)/'2018'!Tau_j)),Resal_s+(Salim-Resal_s)*(1-EXP((Tnet_s-t)/Tau_j)))*Salcycl</f>
        <v>5.5228896192959558E-2</v>
      </c>
      <c r="AD268" s="231">
        <f>(INDEX(Models!$BJ268:$BT268,,AH268)*(1-AF268)+INDEX(Models!$BJ268:$BT268,,AH268+1)*AF268-ERP_i)*AE268*Ramure*Pc/MaxiM</f>
        <v>1.3436090263610316E-4</v>
      </c>
      <c r="AE268" s="305">
        <f t="shared" si="89"/>
        <v>0.7</v>
      </c>
      <c r="AF268" s="177">
        <f t="shared" si="90"/>
        <v>0.98947639398982723</v>
      </c>
      <c r="AG268" s="176">
        <f t="shared" si="91"/>
        <v>-2</v>
      </c>
      <c r="AH268" s="176">
        <f t="shared" si="92"/>
        <v>4</v>
      </c>
      <c r="AI268" s="225">
        <f t="shared" si="93"/>
        <v>-1.0105236060101728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20">
        <v>46.311</v>
      </c>
      <c r="C269" s="390"/>
      <c r="D269" s="393">
        <f t="shared" si="75"/>
        <v>46.797376912355453</v>
      </c>
      <c r="E269" s="385">
        <f t="shared" si="97"/>
        <v>49.540709630639995</v>
      </c>
      <c r="F269" s="385">
        <f t="shared" si="76"/>
        <v>49.547587041399964</v>
      </c>
      <c r="G269" s="110">
        <f t="shared" si="98"/>
        <v>1.0018231881284128</v>
      </c>
      <c r="H269" s="414" t="b">
        <f>Wh_hp&gt;='2018'!Maxi_hp</f>
        <v>1</v>
      </c>
      <c r="I269" s="390">
        <f>IF(H269,Wh_hp,'2018'!Maxi_hp)</f>
        <v>49.547587041399964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1.0393251597549225E-2</v>
      </c>
      <c r="M269" s="959"/>
      <c r="N269" s="959"/>
      <c r="O269" s="48">
        <f>IF(t&lt;Tnet,'2018'!Resal+('2018'!Salim-'2018'!Resal)*(1-EXP(('2018'!Tnet-t)/('2018'!Tau_j))),Resal+(Salim-Resal)*(1-EXP((Tnet-t)/(Tau_j))))*Salcycl</f>
        <v>5.5375321402094745E-2</v>
      </c>
      <c r="P269" s="169">
        <f>(INDEX(Models!$BJ269:$BT269,,T269)*(1-R269)+INDEX(Models!$BJ269:$BT269,,T269+1)*R269-ERP_i)*Q269*Ramure*Pc/MaxiM</f>
        <v>1.3880415113294727E-4</v>
      </c>
      <c r="Q269" s="305">
        <f t="shared" si="78"/>
        <v>0.7</v>
      </c>
      <c r="R269" s="177">
        <f t="shared" si="79"/>
        <v>0.9898994083714141</v>
      </c>
      <c r="S269" s="921">
        <f t="shared" si="80"/>
        <v>-2</v>
      </c>
      <c r="T269" s="176">
        <f t="shared" si="81"/>
        <v>4</v>
      </c>
      <c r="U269" s="251">
        <f t="shared" si="82"/>
        <v>-1.0101005916285859</v>
      </c>
      <c r="V269" s="383">
        <f t="shared" si="83"/>
        <v>46.2267199928935</v>
      </c>
      <c r="W269" s="58"/>
      <c r="X269" s="157">
        <f t="shared" si="84"/>
        <v>43720</v>
      </c>
      <c r="Y269" s="385">
        <f t="shared" si="85"/>
        <v>46.311</v>
      </c>
      <c r="Z269" s="385">
        <f t="shared" si="86"/>
        <v>46.797376912355453</v>
      </c>
      <c r="AA269" s="386">
        <f t="shared" si="87"/>
        <v>49.540709630639995</v>
      </c>
      <c r="AB269" s="197">
        <f t="shared" si="88"/>
        <v>43720</v>
      </c>
      <c r="AC269" s="427">
        <f>IF(OR(t&lt;Tnet,NoTnet),'2018'!Resal_s+('2018'!Salim-'2018'!Resal_s)*(1-EXP(('2018'!Tnet_s-t)/'2018'!Tau_j)),Resal_s+(Salim-Resal_s)*(1-EXP((Tnet_s-t)/Tau_j)))*Salcycl</f>
        <v>5.5375321402094745E-2</v>
      </c>
      <c r="AD269" s="231">
        <f>(INDEX(Models!$BJ269:$BT269,,AH269)*(1-AF269)+INDEX(Models!$BJ269:$BT269,,AH269+1)*AF269-ERP_i)*AE269*Ramure*Pc/MaxiM</f>
        <v>1.3880415113294727E-4</v>
      </c>
      <c r="AE269" s="305">
        <f t="shared" si="89"/>
        <v>0.7</v>
      </c>
      <c r="AF269" s="177">
        <f t="shared" si="90"/>
        <v>0.9898994083714141</v>
      </c>
      <c r="AG269" s="176">
        <f t="shared" si="91"/>
        <v>-2</v>
      </c>
      <c r="AH269" s="176">
        <f t="shared" si="92"/>
        <v>4</v>
      </c>
      <c r="AI269" s="225">
        <f t="shared" si="93"/>
        <v>-1.0101005916285859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20">
        <v>36.96</v>
      </c>
      <c r="C270" s="390"/>
      <c r="D270" s="393">
        <f t="shared" si="75"/>
        <v>37.34898695492236</v>
      </c>
      <c r="E270" s="385">
        <f t="shared" si="97"/>
        <v>39.544515523828181</v>
      </c>
      <c r="F270" s="385">
        <f t="shared" si="76"/>
        <v>39.548587733059861</v>
      </c>
      <c r="G270" s="110">
        <f t="shared" si="98"/>
        <v>0.80214754947395117</v>
      </c>
      <c r="H270" s="414" t="b">
        <f>Wh_hp&gt;='2018'!Maxi_hp</f>
        <v>1</v>
      </c>
      <c r="I270" s="390">
        <f>IF(H270,Wh_hp,'2018'!Maxi_hp)</f>
        <v>39.548587733059861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1.0414926525098012E-2</v>
      </c>
      <c r="M270" s="959"/>
      <c r="N270" s="959"/>
      <c r="O270" s="48">
        <f>IF(t&lt;Tnet,'2018'!Resal+('2018'!Salim-'2018'!Resal)*(1-EXP(('2018'!Tnet-t)/('2018'!Tau_j))),Resal+(Salim-Resal)*(1-EXP((Tnet-t)/(Tau_j))))*Salcycl</f>
        <v>5.552043159013717E-2</v>
      </c>
      <c r="P270" s="169">
        <f>(INDEX(Models!$BJ270:$BT270,,T270)*(1-R270)+INDEX(Models!$BJ270:$BT270,,T270+1)*R270-ERP_i)*Q270*Ramure*Pc/MaxiM</f>
        <v>1.4352833744275898E-4</v>
      </c>
      <c r="Q270" s="305">
        <f t="shared" si="78"/>
        <v>0.7</v>
      </c>
      <c r="R270" s="177">
        <f t="shared" si="79"/>
        <v>0.99030607819962424</v>
      </c>
      <c r="S270" s="921">
        <f t="shared" si="80"/>
        <v>-2</v>
      </c>
      <c r="T270" s="176">
        <f t="shared" si="81"/>
        <v>4</v>
      </c>
      <c r="U270" s="251">
        <f t="shared" si="82"/>
        <v>-1.0096939218003758</v>
      </c>
      <c r="V270" s="383">
        <f t="shared" si="83"/>
        <v>46.074441955204811</v>
      </c>
      <c r="W270" s="58"/>
      <c r="X270" s="157">
        <f t="shared" si="84"/>
        <v>43721</v>
      </c>
      <c r="Y270" s="385">
        <f t="shared" si="85"/>
        <v>36.96</v>
      </c>
      <c r="Z270" s="385">
        <f t="shared" si="86"/>
        <v>37.34898695492236</v>
      </c>
      <c r="AA270" s="386">
        <f t="shared" si="87"/>
        <v>39.544515523828181</v>
      </c>
      <c r="AB270" s="197">
        <f t="shared" si="88"/>
        <v>43721</v>
      </c>
      <c r="AC270" s="427">
        <f>IF(OR(t&lt;Tnet,NoTnet),'2018'!Resal_s+('2018'!Salim-'2018'!Resal_s)*(1-EXP(('2018'!Tnet_s-t)/'2018'!Tau_j)),Resal_s+(Salim-Resal_s)*(1-EXP((Tnet_s-t)/Tau_j)))*Salcycl</f>
        <v>5.552043159013717E-2</v>
      </c>
      <c r="AD270" s="231">
        <f>(INDEX(Models!$BJ270:$BT270,,AH270)*(1-AF270)+INDEX(Models!$BJ270:$BT270,,AH270+1)*AF270-ERP_i)*AE270*Ramure*Pc/MaxiM</f>
        <v>1.4352833744275898E-4</v>
      </c>
      <c r="AE270" s="305">
        <f t="shared" si="89"/>
        <v>0.7</v>
      </c>
      <c r="AF270" s="177">
        <f t="shared" si="90"/>
        <v>0.99030607819962424</v>
      </c>
      <c r="AG270" s="176">
        <f t="shared" si="91"/>
        <v>-2</v>
      </c>
      <c r="AH270" s="176">
        <f t="shared" si="92"/>
        <v>4</v>
      </c>
      <c r="AI270" s="225">
        <f t="shared" si="93"/>
        <v>-1.0096939218003758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20">
        <v>39.335999999999999</v>
      </c>
      <c r="C271" s="390"/>
      <c r="D271" s="393">
        <f t="shared" ref="D271:D334" si="99">Wh/(1-Ppv)</f>
        <v>39.750863905104794</v>
      </c>
      <c r="E271" s="385">
        <f t="shared" si="97"/>
        <v>42.093992864258681</v>
      </c>
      <c r="F271" s="385">
        <f t="shared" ref="F271:F334" si="100">Wh_sa/(1-Pvg*MEDIAN((-Sdif+Wh/Env_an)/Csdif,0,1))</f>
        <v>42.098965519695213</v>
      </c>
      <c r="G271" s="110">
        <f t="shared" si="98"/>
        <v>0.85662427532663454</v>
      </c>
      <c r="H271" s="414" t="b">
        <f>Wh_hp&gt;='2018'!Maxi_hp</f>
        <v>1</v>
      </c>
      <c r="I271" s="390">
        <f>IF(H271,Wh_hp,'2018'!Maxi_hp)</f>
        <v>42.098965519695213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1.0436600977910215E-2</v>
      </c>
      <c r="M271" s="959"/>
      <c r="N271" s="959"/>
      <c r="O271" s="48">
        <f>IF(t&lt;Tnet,'2018'!Resal+('2018'!Salim-'2018'!Resal)*(1-EXP(('2018'!Tnet-t)/('2018'!Tau_j))),Resal+(Salim-Resal)*(1-EXP((Tnet-t)/(Tau_j))))*Salcycl</f>
        <v>5.5664212390347911E-2</v>
      </c>
      <c r="P271" s="169">
        <f>(INDEX(Models!$BJ271:$BT271,,T271)*(1-R271)+INDEX(Models!$BJ271:$BT271,,T271+1)*R271-ERP_i)*Q271*Ramure*Pc/MaxiM</f>
        <v>1.4853626783631622E-4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0.99069700890405965</v>
      </c>
      <c r="S271" s="921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-1.0093029910959403</v>
      </c>
      <c r="V271" s="383">
        <f t="shared" ref="V271:V334" si="107">MaxiM*(1-Ppv)*(1-Pvg)*(1-Psa)</f>
        <v>45.918385070108137</v>
      </c>
      <c r="W271" s="58"/>
      <c r="X271" s="157">
        <f t="shared" ref="X271:X334" si="108">t</f>
        <v>43722</v>
      </c>
      <c r="Y271" s="385">
        <f t="shared" ref="Y271:Y334" si="109">Wh_pvt_s*(1-Ppv)</f>
        <v>39.335999999999999</v>
      </c>
      <c r="Z271" s="385">
        <f t="shared" ref="Z271:Z334" si="110">Wh_sa_s*(1-Psa_s)</f>
        <v>39.750863905104794</v>
      </c>
      <c r="AA271" s="386">
        <f t="shared" ref="AA271:AA334" si="111">Wh_hp*(1-Pvg_s*MEDIAN((-Sdif+Wh/Env_an)/Csdif,0,1))</f>
        <v>42.093992864258681</v>
      </c>
      <c r="AB271" s="197">
        <f t="shared" ref="AB271:AB334" si="112">t</f>
        <v>43722</v>
      </c>
      <c r="AC271" s="427">
        <f>IF(OR(t&lt;Tnet,NoTnet),'2018'!Resal_s+('2018'!Salim-'2018'!Resal_s)*(1-EXP(('2018'!Tnet_s-t)/'2018'!Tau_j)),Resal_s+(Salim-Resal_s)*(1-EXP((Tnet_s-t)/Tau_j)))*Salcycl</f>
        <v>5.5664212390347911E-2</v>
      </c>
      <c r="AD271" s="231">
        <f>(INDEX(Models!$BJ271:$BT271,,AH271)*(1-AF271)+INDEX(Models!$BJ271:$BT271,,AH271+1)*AF271-ERP_i)*AE271*Ramure*Pc/MaxiM</f>
        <v>1.4853626783631622E-4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0.99069700890405965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-1.0093029910959403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20">
        <v>38.759</v>
      </c>
      <c r="C272" s="390"/>
      <c r="D272" s="393">
        <f t="shared" si="99"/>
        <v>39.168636368796314</v>
      </c>
      <c r="E272" s="385">
        <f t="shared" si="97"/>
        <v>41.483702800320273</v>
      </c>
      <c r="F272" s="385">
        <f t="shared" si="100"/>
        <v>41.488690418285209</v>
      </c>
      <c r="G272" s="110">
        <f t="shared" si="98"/>
        <v>0.84701007487407687</v>
      </c>
      <c r="H272" s="414" t="b">
        <f>Wh_hp&gt;='2018'!Maxi_hp</f>
        <v>1</v>
      </c>
      <c r="I272" s="390">
        <f>IF(H272,Wh_hp,'2018'!Maxi_hp)</f>
        <v>41.488690418285209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1.0458274955996383E-2</v>
      </c>
      <c r="M272" s="959"/>
      <c r="N272" s="959"/>
      <c r="O272" s="48">
        <f>IF(t&lt;Tnet,'2018'!Resal+('2018'!Salim-'2018'!Resal)*(1-EXP(('2018'!Tnet-t)/('2018'!Tau_j))),Resal+(Salim-Resal)*(1-EXP((Tnet-t)/(Tau_j))))*Salcycl</f>
        <v>5.5806648761982977E-2</v>
      </c>
      <c r="P272" s="169">
        <f>(INDEX(Models!$BJ272:$BT272,,T272)*(1-R272)+INDEX(Models!$BJ272:$BT272,,T272+1)*R272-ERP_i)*Q272*Ramure*Pc/MaxiM</f>
        <v>1.5383089285204483E-4</v>
      </c>
      <c r="Q272" s="305">
        <f t="shared" si="102"/>
        <v>0.7</v>
      </c>
      <c r="R272" s="177">
        <f t="shared" si="103"/>
        <v>0.99107278551395783</v>
      </c>
      <c r="S272" s="921">
        <f t="shared" si="104"/>
        <v>-2</v>
      </c>
      <c r="T272" s="176">
        <f t="shared" si="105"/>
        <v>4</v>
      </c>
      <c r="U272" s="251">
        <f t="shared" si="106"/>
        <v>-1.0089272144860422</v>
      </c>
      <c r="V272" s="383">
        <f t="shared" si="107"/>
        <v>45.758247895871683</v>
      </c>
      <c r="W272" s="58"/>
      <c r="X272" s="157">
        <f t="shared" si="108"/>
        <v>43723</v>
      </c>
      <c r="Y272" s="385">
        <f t="shared" si="109"/>
        <v>38.759</v>
      </c>
      <c r="Z272" s="385">
        <f t="shared" si="110"/>
        <v>39.168636368796314</v>
      </c>
      <c r="AA272" s="386">
        <f t="shared" si="111"/>
        <v>41.483702800320273</v>
      </c>
      <c r="AB272" s="197">
        <f t="shared" si="112"/>
        <v>43723</v>
      </c>
      <c r="AC272" s="427">
        <f>IF(OR(t&lt;Tnet,NoTnet),'2018'!Resal_s+('2018'!Salim-'2018'!Resal_s)*(1-EXP(('2018'!Tnet_s-t)/'2018'!Tau_j)),Resal_s+(Salim-Resal_s)*(1-EXP((Tnet_s-t)/Tau_j)))*Salcycl</f>
        <v>5.5806648761982977E-2</v>
      </c>
      <c r="AD272" s="231">
        <f>(INDEX(Models!$BJ272:$BT272,,AH272)*(1-AF272)+INDEX(Models!$BJ272:$BT272,,AH272+1)*AF272-ERP_i)*AE272*Ramure*Pc/MaxiM</f>
        <v>1.5383089285204483E-4</v>
      </c>
      <c r="AE272" s="305">
        <f t="shared" si="113"/>
        <v>0.7</v>
      </c>
      <c r="AF272" s="177">
        <f t="shared" si="114"/>
        <v>0.99107278551395783</v>
      </c>
      <c r="AG272" s="176">
        <f t="shared" si="115"/>
        <v>-2</v>
      </c>
      <c r="AH272" s="176">
        <f t="shared" si="116"/>
        <v>4</v>
      </c>
      <c r="AI272" s="225">
        <f t="shared" si="117"/>
        <v>-1.0089272144860422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20">
        <v>40.831000000000003</v>
      </c>
      <c r="C273" s="390"/>
      <c r="D273" s="393">
        <f t="shared" si="99"/>
        <v>41.263438710946964</v>
      </c>
      <c r="E273" s="385">
        <f t="shared" si="97"/>
        <v>43.708849397864149</v>
      </c>
      <c r="F273" s="385">
        <f t="shared" si="100"/>
        <v>43.714778256725523</v>
      </c>
      <c r="G273" s="110">
        <f t="shared" si="98"/>
        <v>0.8955185119140513</v>
      </c>
      <c r="H273" s="414" t="b">
        <f>Wh_hp&gt;='2018'!Maxi_hp</f>
        <v>0</v>
      </c>
      <c r="I273" s="390">
        <f>IF(H273,Wh_hp,'2018'!Maxi_hp)</f>
        <v>47.259197332077989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1.0479948459366728E-2</v>
      </c>
      <c r="M273" s="959"/>
      <c r="N273" s="959"/>
      <c r="O273" s="48">
        <f>IF(t&lt;Tnet,'2018'!Resal+('2018'!Salim-'2018'!Resal)*(1-EXP(('2018'!Tnet-t)/('2018'!Tau_j))),Resal+(Salim-Resal)*(1-EXP((Tnet-t)/(Tau_j))))*Salcycl</f>
        <v>5.5947725016908881E-2</v>
      </c>
      <c r="P273" s="169">
        <f>(INDEX(Models!$BJ273:$BT273,,T273)*(1-R273)+INDEX(Models!$BJ273:$BT273,,T273+1)*R273-ERP_i)*Q273*Ramure*Pc/MaxiM</f>
        <v>1.5941532448082111E-4</v>
      </c>
      <c r="Q273" s="305">
        <f t="shared" si="102"/>
        <v>0.7</v>
      </c>
      <c r="R273" s="177">
        <f t="shared" si="103"/>
        <v>0.99143397318585347</v>
      </c>
      <c r="S273" s="921">
        <f t="shared" si="104"/>
        <v>-2</v>
      </c>
      <c r="T273" s="176">
        <f t="shared" si="105"/>
        <v>4</v>
      </c>
      <c r="U273" s="251">
        <f t="shared" si="106"/>
        <v>-1.0085660268141465</v>
      </c>
      <c r="V273" s="383">
        <f t="shared" si="107"/>
        <v>45.593729198875849</v>
      </c>
      <c r="W273" s="58"/>
      <c r="X273" s="157">
        <f t="shared" si="108"/>
        <v>43724</v>
      </c>
      <c r="Y273" s="385">
        <f t="shared" si="109"/>
        <v>40.831000000000003</v>
      </c>
      <c r="Z273" s="385">
        <f t="shared" si="110"/>
        <v>41.263438710946964</v>
      </c>
      <c r="AA273" s="386">
        <f t="shared" si="111"/>
        <v>43.708849397864149</v>
      </c>
      <c r="AB273" s="197">
        <f t="shared" si="112"/>
        <v>43724</v>
      </c>
      <c r="AC273" s="427">
        <f>IF(OR(t&lt;Tnet,NoTnet),'2018'!Resal_s+('2018'!Salim-'2018'!Resal_s)*(1-EXP(('2018'!Tnet_s-t)/'2018'!Tau_j)),Resal_s+(Salim-Resal_s)*(1-EXP((Tnet_s-t)/Tau_j)))*Salcycl</f>
        <v>5.5947725016908881E-2</v>
      </c>
      <c r="AD273" s="231">
        <f>(INDEX(Models!$BJ273:$BT273,,AH273)*(1-AF273)+INDEX(Models!$BJ273:$BT273,,AH273+1)*AF273-ERP_i)*AE273*Ramure*Pc/MaxiM</f>
        <v>1.5941532448082111E-4</v>
      </c>
      <c r="AE273" s="305">
        <f t="shared" si="113"/>
        <v>0.7</v>
      </c>
      <c r="AF273" s="177">
        <f t="shared" si="114"/>
        <v>0.99143397318585347</v>
      </c>
      <c r="AG273" s="176">
        <f t="shared" si="115"/>
        <v>-2</v>
      </c>
      <c r="AH273" s="176">
        <f t="shared" si="116"/>
        <v>4</v>
      </c>
      <c r="AI273" s="225">
        <f t="shared" si="117"/>
        <v>-1.0085660268141465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20">
        <v>39.969000000000001</v>
      </c>
      <c r="C274" s="390"/>
      <c r="D274" s="393">
        <f t="shared" si="99"/>
        <v>40.393194034442331</v>
      </c>
      <c r="E274" s="385">
        <f t="shared" si="97"/>
        <v>42.793363599674045</v>
      </c>
      <c r="F274" s="385">
        <f t="shared" si="100"/>
        <v>42.799224230303949</v>
      </c>
      <c r="G274" s="110">
        <f t="shared" si="98"/>
        <v>0.87987411532770698</v>
      </c>
      <c r="H274" s="414" t="b">
        <f>Wh_hp&gt;='2018'!Maxi_hp</f>
        <v>0</v>
      </c>
      <c r="I274" s="390">
        <f>IF(H274,Wh_hp,'2018'!Maxi_hp)</f>
        <v>45.090850708314242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1.0501621488031687E-2</v>
      </c>
      <c r="M274" s="959"/>
      <c r="N274" s="959"/>
      <c r="O274" s="48">
        <f>IF(t&lt;Tnet,'2018'!Resal+('2018'!Salim-'2018'!Resal)*(1-EXP(('2018'!Tnet-t)/('2018'!Tau_j))),Resal+(Salim-Resal)*(1-EXP((Tnet-t)/(Tau_j))))*Salcycl</f>
        <v>5.6087424855988527E-2</v>
      </c>
      <c r="P274" s="169">
        <f>(INDEX(Models!$BJ274:$BT274,,T274)*(1-R274)+INDEX(Models!$BJ274:$BT274,,T274+1)*R274-ERP_i)*Q274*Ramure*Pc/MaxiM</f>
        <v>1.6529285434370401E-4</v>
      </c>
      <c r="Q274" s="305">
        <f t="shared" si="102"/>
        <v>0.7</v>
      </c>
      <c r="R274" s="177">
        <f t="shared" si="103"/>
        <v>0.99178111773095168</v>
      </c>
      <c r="S274" s="921">
        <f t="shared" si="104"/>
        <v>-2</v>
      </c>
      <c r="T274" s="176">
        <f t="shared" si="105"/>
        <v>4</v>
      </c>
      <c r="U274" s="251">
        <f t="shared" si="106"/>
        <v>-1.0082188822690483</v>
      </c>
      <c r="V274" s="383">
        <f t="shared" si="107"/>
        <v>45.424527938320971</v>
      </c>
      <c r="W274" s="58"/>
      <c r="X274" s="157">
        <f t="shared" si="108"/>
        <v>43725</v>
      </c>
      <c r="Y274" s="385">
        <f t="shared" si="109"/>
        <v>39.969000000000001</v>
      </c>
      <c r="Z274" s="385">
        <f t="shared" si="110"/>
        <v>40.393194034442331</v>
      </c>
      <c r="AA274" s="386">
        <f t="shared" si="111"/>
        <v>42.793363599674045</v>
      </c>
      <c r="AB274" s="197">
        <f t="shared" si="112"/>
        <v>43725</v>
      </c>
      <c r="AC274" s="427">
        <f>IF(OR(t&lt;Tnet,NoTnet),'2018'!Resal_s+('2018'!Salim-'2018'!Resal_s)*(1-EXP(('2018'!Tnet_s-t)/'2018'!Tau_j)),Resal_s+(Salim-Resal_s)*(1-EXP((Tnet_s-t)/Tau_j)))*Salcycl</f>
        <v>5.6087424855988527E-2</v>
      </c>
      <c r="AD274" s="231">
        <f>(INDEX(Models!$BJ274:$BT274,,AH274)*(1-AF274)+INDEX(Models!$BJ274:$BT274,,AH274+1)*AF274-ERP_i)*AE274*Ramure*Pc/MaxiM</f>
        <v>1.6529285434370401E-4</v>
      </c>
      <c r="AE274" s="305">
        <f t="shared" si="113"/>
        <v>0.7</v>
      </c>
      <c r="AF274" s="177">
        <f t="shared" si="114"/>
        <v>0.99178111773095168</v>
      </c>
      <c r="AG274" s="176">
        <f t="shared" si="115"/>
        <v>-2</v>
      </c>
      <c r="AH274" s="176">
        <f t="shared" si="116"/>
        <v>4</v>
      </c>
      <c r="AI274" s="225">
        <f t="shared" si="117"/>
        <v>-1.0082188822690483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20">
        <v>25.01</v>
      </c>
      <c r="C275" s="390"/>
      <c r="D275" s="393">
        <f t="shared" si="99"/>
        <v>25.275986639610331</v>
      </c>
      <c r="E275" s="385">
        <f t="shared" si="97"/>
        <v>26.781813703742614</v>
      </c>
      <c r="F275" s="385">
        <f t="shared" si="100"/>
        <v>26.783471537363241</v>
      </c>
      <c r="G275" s="110">
        <f t="shared" si="98"/>
        <v>0.55263494324036322</v>
      </c>
      <c r="H275" s="414" t="b">
        <f>Wh_hp&gt;='2018'!Maxi_hp</f>
        <v>0</v>
      </c>
      <c r="I275" s="390">
        <f>IF(H275,Wh_hp,'2018'!Maxi_hp)</f>
        <v>41.625984598825738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1.0523294042001807E-2</v>
      </c>
      <c r="M275" s="959"/>
      <c r="N275" s="959"/>
      <c r="O275" s="48">
        <f>IF(t&lt;Tnet,'2018'!Resal+('2018'!Salim-'2018'!Resal)*(1-EXP(('2018'!Tnet-t)/('2018'!Tau_j))),Resal+(Salim-Resal)*(1-EXP((Tnet-t)/(Tau_j))))*Salcycl</f>
        <v>5.6225731415712576E-2</v>
      </c>
      <c r="P275" s="169">
        <f>(INDEX(Models!$BJ275:$BT275,,T275)*(1-R275)+INDEX(Models!$BJ275:$BT275,,T275+1)*R275-ERP_i)*Q275*Ramure*Pc/MaxiM</f>
        <v>1.7146465114094056E-4</v>
      </c>
      <c r="Q275" s="305">
        <f t="shared" si="102"/>
        <v>0.7</v>
      </c>
      <c r="R275" s="177">
        <f t="shared" si="103"/>
        <v>0.99211474614080952</v>
      </c>
      <c r="S275" s="921">
        <f t="shared" si="104"/>
        <v>-2</v>
      </c>
      <c r="T275" s="176">
        <f t="shared" si="105"/>
        <v>4</v>
      </c>
      <c r="U275" s="251">
        <f t="shared" si="106"/>
        <v>-1.0078852538591905</v>
      </c>
      <c r="V275" s="383">
        <f t="shared" si="107"/>
        <v>45.250956106286672</v>
      </c>
      <c r="W275" s="58"/>
      <c r="X275" s="157">
        <f t="shared" si="108"/>
        <v>43726</v>
      </c>
      <c r="Y275" s="385">
        <f t="shared" si="109"/>
        <v>25.01</v>
      </c>
      <c r="Z275" s="385">
        <f t="shared" si="110"/>
        <v>25.275986639610331</v>
      </c>
      <c r="AA275" s="386">
        <f t="shared" si="111"/>
        <v>26.781813703742614</v>
      </c>
      <c r="AB275" s="197">
        <f t="shared" si="112"/>
        <v>43726</v>
      </c>
      <c r="AC275" s="427">
        <f>IF(OR(t&lt;Tnet,NoTnet),'2018'!Resal_s+('2018'!Salim-'2018'!Resal_s)*(1-EXP(('2018'!Tnet_s-t)/'2018'!Tau_j)),Resal_s+(Salim-Resal_s)*(1-EXP((Tnet_s-t)/Tau_j)))*Salcycl</f>
        <v>5.6225731415712576E-2</v>
      </c>
      <c r="AD275" s="231">
        <f>(INDEX(Models!$BJ275:$BT275,,AH275)*(1-AF275)+INDEX(Models!$BJ275:$BT275,,AH275+1)*AF275-ERP_i)*AE275*Ramure*Pc/MaxiM</f>
        <v>1.7146465114094056E-4</v>
      </c>
      <c r="AE275" s="305">
        <f t="shared" si="113"/>
        <v>0.7</v>
      </c>
      <c r="AF275" s="177">
        <f t="shared" si="114"/>
        <v>0.99211474614080952</v>
      </c>
      <c r="AG275" s="176">
        <f t="shared" si="115"/>
        <v>-2</v>
      </c>
      <c r="AH275" s="176">
        <f t="shared" si="116"/>
        <v>4</v>
      </c>
      <c r="AI275" s="225">
        <f t="shared" si="117"/>
        <v>-1.0078852538591905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20">
        <v>39.323</v>
      </c>
      <c r="C276" s="390"/>
      <c r="D276" s="393">
        <f t="shared" si="99"/>
        <v>39.742078875329881</v>
      </c>
      <c r="E276" s="385">
        <f t="shared" si="97"/>
        <v>42.115838166401652</v>
      </c>
      <c r="F276" s="385">
        <f t="shared" si="100"/>
        <v>42.121990012430572</v>
      </c>
      <c r="G276" s="110">
        <f t="shared" si="98"/>
        <v>0.8723902671819469</v>
      </c>
      <c r="H276" s="414" t="b">
        <f>Wh_hp&gt;='2018'!Maxi_hp</f>
        <v>1</v>
      </c>
      <c r="I276" s="390">
        <f>IF(H276,Wh_hp,'2018'!Maxi_hp)</f>
        <v>42.121990012430572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1.0544966121287302E-2</v>
      </c>
      <c r="M276" s="959"/>
      <c r="N276" s="959"/>
      <c r="O276" s="48">
        <f>IF(t&lt;Tnet,'2018'!Resal+('2018'!Salim-'2018'!Resal)*(1-EXP(('2018'!Tnet-t)/('2018'!Tau_j))),Resal+(Salim-Resal)*(1-EXP((Tnet-t)/(Tau_j))))*Salcycl</f>
        <v>5.6362627325447938E-2</v>
      </c>
      <c r="P276" s="169">
        <f>(INDEX(Models!$BJ276:$BT276,,T276)*(1-R276)+INDEX(Models!$BJ276:$BT276,,T276+1)*R276-ERP_i)*Q276*Ramure*Pc/MaxiM</f>
        <v>1.7859974163968916E-4</v>
      </c>
      <c r="Q276" s="305">
        <f t="shared" si="102"/>
        <v>0.7</v>
      </c>
      <c r="R276" s="177">
        <f t="shared" si="103"/>
        <v>0.99243536711007119</v>
      </c>
      <c r="S276" s="921">
        <f t="shared" si="104"/>
        <v>-2</v>
      </c>
      <c r="T276" s="176">
        <f t="shared" si="105"/>
        <v>4</v>
      </c>
      <c r="U276" s="251">
        <f t="shared" si="106"/>
        <v>-1.0075646328899288</v>
      </c>
      <c r="V276" s="383">
        <f t="shared" si="107"/>
        <v>45.073542510551967</v>
      </c>
      <c r="W276" s="58"/>
      <c r="X276" s="157">
        <f t="shared" si="108"/>
        <v>43727</v>
      </c>
      <c r="Y276" s="385">
        <f t="shared" si="109"/>
        <v>39.323</v>
      </c>
      <c r="Z276" s="385">
        <f t="shared" si="110"/>
        <v>39.742078875329881</v>
      </c>
      <c r="AA276" s="386">
        <f t="shared" si="111"/>
        <v>42.115838166401652</v>
      </c>
      <c r="AB276" s="197">
        <f t="shared" si="112"/>
        <v>43727</v>
      </c>
      <c r="AC276" s="427">
        <f>IF(OR(t&lt;Tnet,NoTnet),'2018'!Resal_s+('2018'!Salim-'2018'!Resal_s)*(1-EXP(('2018'!Tnet_s-t)/'2018'!Tau_j)),Resal_s+(Salim-Resal_s)*(1-EXP((Tnet_s-t)/Tau_j)))*Salcycl</f>
        <v>5.6362627325447938E-2</v>
      </c>
      <c r="AD276" s="231">
        <f>(INDEX(Models!$BJ276:$BT276,,AH276)*(1-AF276)+INDEX(Models!$BJ276:$BT276,,AH276+1)*AF276-ERP_i)*AE276*Ramure*Pc/MaxiM</f>
        <v>1.7859974163968916E-4</v>
      </c>
      <c r="AE276" s="305">
        <f t="shared" si="113"/>
        <v>0.7</v>
      </c>
      <c r="AF276" s="177">
        <f t="shared" si="114"/>
        <v>0.99243536711007119</v>
      </c>
      <c r="AG276" s="176">
        <f t="shared" si="115"/>
        <v>-2</v>
      </c>
      <c r="AH276" s="176">
        <f t="shared" si="116"/>
        <v>4</v>
      </c>
      <c r="AI276" s="225">
        <f t="shared" si="117"/>
        <v>-1.0075646328899288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20">
        <v>43.860999999999997</v>
      </c>
      <c r="C277" s="390"/>
      <c r="D277" s="393">
        <f t="shared" si="99"/>
        <v>44.329412846147029</v>
      </c>
      <c r="E277" s="385">
        <f t="shared" si="97"/>
        <v>46.983914500524648</v>
      </c>
      <c r="F277" s="385">
        <f t="shared" si="100"/>
        <v>46.992391841113573</v>
      </c>
      <c r="G277" s="110">
        <f t="shared" si="98"/>
        <v>0.97701984149973153</v>
      </c>
      <c r="H277" s="414" t="b">
        <f>Wh_hp&gt;='2018'!Maxi_hp</f>
        <v>1</v>
      </c>
      <c r="I277" s="390">
        <f>IF(H277,Wh_hp,'2018'!Maxi_hp)</f>
        <v>46.992391841113573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1.0566637725898609E-2</v>
      </c>
      <c r="M277" s="959"/>
      <c r="N277" s="959"/>
      <c r="O277" s="48">
        <f>IF(t&lt;Tnet,'2018'!Resal+('2018'!Salim-'2018'!Resal)*(1-EXP(('2018'!Tnet-t)/('2018'!Tau_j))),Resal+(Salim-Resal)*(1-EXP((Tnet-t)/(Tau_j))))*Salcycl</f>
        <v>5.649809477556357E-2</v>
      </c>
      <c r="P277" s="169">
        <f>(INDEX(Models!$BJ277:$BT277,,T277)*(1-R277)+INDEX(Models!$BJ277:$BT277,,T277+1)*R277-ERP_i)*Q277*Ramure*Pc/MaxiM</f>
        <v>1.865197768702587E-4</v>
      </c>
      <c r="Q277" s="305">
        <f t="shared" si="102"/>
        <v>0.7</v>
      </c>
      <c r="R277" s="177">
        <f t="shared" si="103"/>
        <v>0.99274347155512999</v>
      </c>
      <c r="S277" s="921">
        <f t="shared" si="104"/>
        <v>-2</v>
      </c>
      <c r="T277" s="176">
        <f t="shared" si="105"/>
        <v>4</v>
      </c>
      <c r="U277" s="251">
        <f t="shared" si="106"/>
        <v>-1.00725652844487</v>
      </c>
      <c r="V277" s="383">
        <f t="shared" si="107"/>
        <v>44.892365116747129</v>
      </c>
      <c r="W277" s="58"/>
      <c r="X277" s="157">
        <f t="shared" si="108"/>
        <v>43728</v>
      </c>
      <c r="Y277" s="385">
        <f t="shared" si="109"/>
        <v>43.860999999999997</v>
      </c>
      <c r="Z277" s="385">
        <f t="shared" si="110"/>
        <v>44.329412846147029</v>
      </c>
      <c r="AA277" s="386">
        <f t="shared" si="111"/>
        <v>46.983914500524648</v>
      </c>
      <c r="AB277" s="197">
        <f t="shared" si="112"/>
        <v>43728</v>
      </c>
      <c r="AC277" s="427">
        <f>IF(OR(t&lt;Tnet,NoTnet),'2018'!Resal_s+('2018'!Salim-'2018'!Resal_s)*(1-EXP(('2018'!Tnet_s-t)/'2018'!Tau_j)),Resal_s+(Salim-Resal_s)*(1-EXP((Tnet_s-t)/Tau_j)))*Salcycl</f>
        <v>5.649809477556357E-2</v>
      </c>
      <c r="AD277" s="231">
        <f>(INDEX(Models!$BJ277:$BT277,,AH277)*(1-AF277)+INDEX(Models!$BJ277:$BT277,,AH277+1)*AF277-ERP_i)*AE277*Ramure*Pc/MaxiM</f>
        <v>1.865197768702587E-4</v>
      </c>
      <c r="AE277" s="305">
        <f t="shared" si="113"/>
        <v>0.7</v>
      </c>
      <c r="AF277" s="177">
        <f t="shared" si="114"/>
        <v>0.99274347155512999</v>
      </c>
      <c r="AG277" s="176">
        <f t="shared" si="115"/>
        <v>-2</v>
      </c>
      <c r="AH277" s="176">
        <f t="shared" si="116"/>
        <v>4</v>
      </c>
      <c r="AI277" s="225">
        <f t="shared" si="117"/>
        <v>-1.00725652844487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20">
        <v>32.264000000000003</v>
      </c>
      <c r="C278" s="390"/>
      <c r="D278" s="393">
        <f t="shared" si="99"/>
        <v>32.609277097473928</v>
      </c>
      <c r="E278" s="385">
        <f t="shared" si="97"/>
        <v>34.566872199699347</v>
      </c>
      <c r="F278" s="385">
        <f t="shared" si="100"/>
        <v>34.570937857482065</v>
      </c>
      <c r="G278" s="110">
        <f t="shared" si="98"/>
        <v>0.721612701476126</v>
      </c>
      <c r="H278" s="414" t="b">
        <f>Wh_hp&gt;='2018'!Maxi_hp</f>
        <v>1</v>
      </c>
      <c r="I278" s="390">
        <f>IF(H278,Wh_hp,'2018'!Maxi_hp)</f>
        <v>34.570937857482065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1.0588308855846162E-2</v>
      </c>
      <c r="M278" s="959"/>
      <c r="N278" s="959"/>
      <c r="O278" s="48">
        <f>IF(t&lt;Tnet,'2018'!Resal+('2018'!Salim-'2018'!Resal)*(1-EXP(('2018'!Tnet-t)/('2018'!Tau_j))),Resal+(Salim-Resal)*(1-EXP((Tnet-t)/(Tau_j))))*Salcycl</f>
        <v>5.6632115596575335E-2</v>
      </c>
      <c r="P278" s="169">
        <f>(INDEX(Models!$BJ278:$BT278,,T278)*(1-R278)+INDEX(Models!$BJ278:$BT278,,T278+1)*R278-ERP_i)*Q278*Ramure*Pc/MaxiM</f>
        <v>1.9522988752639244E-4</v>
      </c>
      <c r="Q278" s="305">
        <f t="shared" si="102"/>
        <v>0.7</v>
      </c>
      <c r="R278" s="177">
        <f t="shared" si="103"/>
        <v>0.99303953312771753</v>
      </c>
      <c r="S278" s="921">
        <f t="shared" si="104"/>
        <v>-2</v>
      </c>
      <c r="T278" s="176">
        <f t="shared" si="105"/>
        <v>4</v>
      </c>
      <c r="U278" s="251">
        <f t="shared" si="106"/>
        <v>-1.0069604668722825</v>
      </c>
      <c r="V278" s="383">
        <f t="shared" si="107"/>
        <v>44.7074935024309</v>
      </c>
      <c r="W278" s="58"/>
      <c r="X278" s="157">
        <f t="shared" si="108"/>
        <v>43729</v>
      </c>
      <c r="Y278" s="385">
        <f t="shared" si="109"/>
        <v>32.264000000000003</v>
      </c>
      <c r="Z278" s="385">
        <f t="shared" si="110"/>
        <v>32.609277097473928</v>
      </c>
      <c r="AA278" s="386">
        <f t="shared" si="111"/>
        <v>34.566872199699347</v>
      </c>
      <c r="AB278" s="197">
        <f t="shared" si="112"/>
        <v>43729</v>
      </c>
      <c r="AC278" s="427">
        <f>IF(OR(t&lt;Tnet,NoTnet),'2018'!Resal_s+('2018'!Salim-'2018'!Resal_s)*(1-EXP(('2018'!Tnet_s-t)/'2018'!Tau_j)),Resal_s+(Salim-Resal_s)*(1-EXP((Tnet_s-t)/Tau_j)))*Salcycl</f>
        <v>5.6632115596575335E-2</v>
      </c>
      <c r="AD278" s="231">
        <f>(INDEX(Models!$BJ278:$BT278,,AH278)*(1-AF278)+INDEX(Models!$BJ278:$BT278,,AH278+1)*AF278-ERP_i)*AE278*Ramure*Pc/MaxiM</f>
        <v>1.9522988752639244E-4</v>
      </c>
      <c r="AE278" s="305">
        <f t="shared" si="113"/>
        <v>0.7</v>
      </c>
      <c r="AF278" s="177">
        <f t="shared" si="114"/>
        <v>0.99303953312771753</v>
      </c>
      <c r="AG278" s="176">
        <f t="shared" si="115"/>
        <v>-2</v>
      </c>
      <c r="AH278" s="176">
        <f t="shared" si="116"/>
        <v>4</v>
      </c>
      <c r="AI278" s="225">
        <f t="shared" si="117"/>
        <v>-1.0069604668722825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20">
        <v>9.4290000000000003</v>
      </c>
      <c r="C279" s="390"/>
      <c r="D279" s="393">
        <f t="shared" si="99"/>
        <v>9.5301143176490832</v>
      </c>
      <c r="E279" s="385">
        <f t="shared" si="97"/>
        <v>10.103644369727141</v>
      </c>
      <c r="F279" s="385">
        <f t="shared" si="100"/>
        <v>10.103644369727141</v>
      </c>
      <c r="G279" s="110">
        <f t="shared" si="98"/>
        <v>0.21175386123484879</v>
      </c>
      <c r="H279" s="414" t="b">
        <f>Wh_hp&gt;='2018'!Maxi_hp</f>
        <v>0</v>
      </c>
      <c r="I279" s="390">
        <f>IF(H279,Wh_hp,'2018'!Maxi_hp)</f>
        <v>45.830234564690414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1.0609979511140399E-2</v>
      </c>
      <c r="M279" s="959"/>
      <c r="N279" s="959"/>
      <c r="O279" s="48">
        <f>IF(t&lt;Tnet,'2018'!Resal+('2018'!Salim-'2018'!Resal)*(1-EXP(('2018'!Tnet-t)/('2018'!Tau_j))),Resal+(Salim-Resal)*(1-EXP((Tnet-t)/(Tau_j))))*Salcycl</f>
        <v>5.6764671349328867E-2</v>
      </c>
      <c r="P279" s="169">
        <f>(INDEX(Models!$BJ279:$BT279,,T279)*(1-R279)+INDEX(Models!$BJ279:$BT279,,T279+1)*R279-ERP_i)*Q279*Ramure*Pc/MaxiM</f>
        <v>2.0473515578313934E-4</v>
      </c>
      <c r="Q279" s="305">
        <f t="shared" si="102"/>
        <v>0.7</v>
      </c>
      <c r="R279" s="177">
        <f t="shared" si="103"/>
        <v>0.99332400872252791</v>
      </c>
      <c r="S279" s="921">
        <f t="shared" si="104"/>
        <v>-2</v>
      </c>
      <c r="T279" s="176">
        <f t="shared" si="105"/>
        <v>4</v>
      </c>
      <c r="U279" s="251">
        <f t="shared" si="106"/>
        <v>-1.0066759912774721</v>
      </c>
      <c r="V279" s="383">
        <f t="shared" si="107"/>
        <v>44.518997184948084</v>
      </c>
      <c r="W279" s="58"/>
      <c r="X279" s="157">
        <f t="shared" si="108"/>
        <v>43730</v>
      </c>
      <c r="Y279" s="385">
        <f t="shared" si="109"/>
        <v>9.4290000000000003</v>
      </c>
      <c r="Z279" s="385">
        <f t="shared" si="110"/>
        <v>9.5301143176490832</v>
      </c>
      <c r="AA279" s="386">
        <f t="shared" si="111"/>
        <v>10.103644369727141</v>
      </c>
      <c r="AB279" s="197">
        <f t="shared" si="112"/>
        <v>43730</v>
      </c>
      <c r="AC279" s="427">
        <f>IF(OR(t&lt;Tnet,NoTnet),'2018'!Resal_s+('2018'!Salim-'2018'!Resal_s)*(1-EXP(('2018'!Tnet_s-t)/'2018'!Tau_j)),Resal_s+(Salim-Resal_s)*(1-EXP((Tnet_s-t)/Tau_j)))*Salcycl</f>
        <v>5.6764671349328867E-2</v>
      </c>
      <c r="AD279" s="231">
        <f>(INDEX(Models!$BJ279:$BT279,,AH279)*(1-AF279)+INDEX(Models!$BJ279:$BT279,,AH279+1)*AF279-ERP_i)*AE279*Ramure*Pc/MaxiM</f>
        <v>2.0473515578313934E-4</v>
      </c>
      <c r="AE279" s="305">
        <f t="shared" si="113"/>
        <v>0.7</v>
      </c>
      <c r="AF279" s="177">
        <f t="shared" si="114"/>
        <v>0.99332400872252791</v>
      </c>
      <c r="AG279" s="176">
        <f t="shared" si="115"/>
        <v>-2</v>
      </c>
      <c r="AH279" s="176">
        <f t="shared" si="116"/>
        <v>4</v>
      </c>
      <c r="AI279" s="225">
        <f t="shared" si="117"/>
        <v>-1.0066759912774721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20">
        <v>37.883000000000003</v>
      </c>
      <c r="C280" s="390"/>
      <c r="D280" s="393">
        <f t="shared" si="99"/>
        <v>38.290086789413344</v>
      </c>
      <c r="E280" s="385">
        <f t="shared" si="97"/>
        <v>40.600057228575814</v>
      </c>
      <c r="F280" s="385">
        <f t="shared" si="100"/>
        <v>40.606975957088402</v>
      </c>
      <c r="G280" s="110">
        <f t="shared" si="98"/>
        <v>0.8545887250691232</v>
      </c>
      <c r="H280" s="414" t="b">
        <f>Wh_hp&gt;='2018'!Maxi_hp</f>
        <v>0</v>
      </c>
      <c r="I280" s="390">
        <f>IF(H280,Wh_hp,'2018'!Maxi_hp)</f>
        <v>46.242324699542912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1.0631649691791645E-2</v>
      </c>
      <c r="M280" s="959"/>
      <c r="N280" s="959"/>
      <c r="O280" s="48">
        <f>IF(t&lt;Tnet,'2018'!Resal+('2018'!Salim-'2018'!Resal)*(1-EXP(('2018'!Tnet-t)/('2018'!Tau_j))),Resal+(Salim-Resal)*(1-EXP((Tnet-t)/(Tau_j))))*Salcycl</f>
        <v>5.6895743426110958E-2</v>
      </c>
      <c r="P280" s="169">
        <f>(INDEX(Models!$BJ280:$BT280,,T280)*(1-R280)+INDEX(Models!$BJ280:$BT280,,T280+1)*R280-ERP_i)*Q280*Ramure*Pc/MaxiM</f>
        <v>2.1504173378840587E-4</v>
      </c>
      <c r="Q280" s="305">
        <f t="shared" si="102"/>
        <v>0.7</v>
      </c>
      <c r="R280" s="177">
        <f t="shared" si="103"/>
        <v>0.99359733897809299</v>
      </c>
      <c r="S280" s="921">
        <f t="shared" si="104"/>
        <v>-2</v>
      </c>
      <c r="T280" s="176">
        <f t="shared" si="105"/>
        <v>4</v>
      </c>
      <c r="U280" s="251">
        <f t="shared" si="106"/>
        <v>-1.006402661021907</v>
      </c>
      <c r="V280" s="383">
        <f t="shared" si="107"/>
        <v>44.326945563912965</v>
      </c>
      <c r="W280" s="58"/>
      <c r="X280" s="157">
        <f t="shared" si="108"/>
        <v>43731</v>
      </c>
      <c r="Y280" s="385">
        <f t="shared" si="109"/>
        <v>37.883000000000003</v>
      </c>
      <c r="Z280" s="385">
        <f t="shared" si="110"/>
        <v>38.290086789413344</v>
      </c>
      <c r="AA280" s="386">
        <f t="shared" si="111"/>
        <v>40.600057228575814</v>
      </c>
      <c r="AB280" s="197">
        <f t="shared" si="112"/>
        <v>43731</v>
      </c>
      <c r="AC280" s="427">
        <f>IF(OR(t&lt;Tnet,NoTnet),'2018'!Resal_s+('2018'!Salim-'2018'!Resal_s)*(1-EXP(('2018'!Tnet_s-t)/'2018'!Tau_j)),Resal_s+(Salim-Resal_s)*(1-EXP((Tnet_s-t)/Tau_j)))*Salcycl</f>
        <v>5.6895743426110958E-2</v>
      </c>
      <c r="AD280" s="231">
        <f>(INDEX(Models!$BJ280:$BT280,,AH280)*(1-AF280)+INDEX(Models!$BJ280:$BT280,,AH280+1)*AF280-ERP_i)*AE280*Ramure*Pc/MaxiM</f>
        <v>2.1504173378840587E-4</v>
      </c>
      <c r="AE280" s="305">
        <f t="shared" si="113"/>
        <v>0.7</v>
      </c>
      <c r="AF280" s="177">
        <f t="shared" si="114"/>
        <v>0.99359733897809299</v>
      </c>
      <c r="AG280" s="176">
        <f t="shared" si="115"/>
        <v>-2</v>
      </c>
      <c r="AH280" s="176">
        <f t="shared" si="116"/>
        <v>4</v>
      </c>
      <c r="AI280" s="225">
        <f t="shared" si="117"/>
        <v>-1.006402661021907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20">
        <v>26.064</v>
      </c>
      <c r="C281" s="390"/>
      <c r="D281" s="393">
        <f t="shared" si="99"/>
        <v>26.344658056704166</v>
      </c>
      <c r="E281" s="385">
        <f t="shared" si="97"/>
        <v>27.937821051226873</v>
      </c>
      <c r="F281" s="385">
        <f t="shared" si="100"/>
        <v>27.940444287089317</v>
      </c>
      <c r="G281" s="110">
        <f t="shared" si="98"/>
        <v>0.59052165819640645</v>
      </c>
      <c r="H281" s="414" t="b">
        <f>Wh_hp&gt;='2018'!Maxi_hp</f>
        <v>0</v>
      </c>
      <c r="I281" s="390">
        <f>IF(H281,Wh_hp,'2018'!Maxi_hp)</f>
        <v>34.2577380271441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1.0653319397810335E-2</v>
      </c>
      <c r="M281" s="959"/>
      <c r="N281" s="959"/>
      <c r="O281" s="48">
        <f>IF(t&lt;Tnet,'2018'!Resal+('2018'!Salim-'2018'!Resal)*(1-EXP(('2018'!Tnet-t)/('2018'!Tau_j))),Resal+(Salim-Resal)*(1-EXP((Tnet-t)/(Tau_j))))*Salcycl</f>
        <v>5.7025313162450304E-2</v>
      </c>
      <c r="P281" s="169">
        <f>(INDEX(Models!$BJ281:$BT281,,T281)*(1-R281)+INDEX(Models!$BJ281:$BT281,,T281+1)*R281-ERP_i)*Q281*Ramure*Pc/MaxiM</f>
        <v>2.2615530894198744E-4</v>
      </c>
      <c r="Q281" s="305">
        <f t="shared" si="102"/>
        <v>0.7</v>
      </c>
      <c r="R281" s="177">
        <f t="shared" si="103"/>
        <v>0.9938599487702291</v>
      </c>
      <c r="S281" s="921">
        <f t="shared" si="104"/>
        <v>-2</v>
      </c>
      <c r="T281" s="176">
        <f t="shared" si="105"/>
        <v>4</v>
      </c>
      <c r="U281" s="251">
        <f t="shared" si="106"/>
        <v>-1.0061400512297709</v>
      </c>
      <c r="V281" s="383">
        <f t="shared" si="107"/>
        <v>44.13140799380691</v>
      </c>
      <c r="W281" s="58"/>
      <c r="X281" s="157">
        <f t="shared" si="108"/>
        <v>43732</v>
      </c>
      <c r="Y281" s="385">
        <f t="shared" si="109"/>
        <v>26.064</v>
      </c>
      <c r="Z281" s="385">
        <f t="shared" si="110"/>
        <v>26.344658056704166</v>
      </c>
      <c r="AA281" s="386">
        <f t="shared" si="111"/>
        <v>27.937821051226873</v>
      </c>
      <c r="AB281" s="197">
        <f t="shared" si="112"/>
        <v>43732</v>
      </c>
      <c r="AC281" s="427">
        <f>IF(OR(t&lt;Tnet,NoTnet),'2018'!Resal_s+('2018'!Salim-'2018'!Resal_s)*(1-EXP(('2018'!Tnet_s-t)/'2018'!Tau_j)),Resal_s+(Salim-Resal_s)*(1-EXP((Tnet_s-t)/Tau_j)))*Salcycl</f>
        <v>5.7025313162450304E-2</v>
      </c>
      <c r="AD281" s="231">
        <f>(INDEX(Models!$BJ281:$BT281,,AH281)*(1-AF281)+INDEX(Models!$BJ281:$BT281,,AH281+1)*AF281-ERP_i)*AE281*Ramure*Pc/MaxiM</f>
        <v>2.2615530894198744E-4</v>
      </c>
      <c r="AE281" s="305">
        <f t="shared" si="113"/>
        <v>0.7</v>
      </c>
      <c r="AF281" s="177">
        <f t="shared" si="114"/>
        <v>0.9938599487702291</v>
      </c>
      <c r="AG281" s="176">
        <f t="shared" si="115"/>
        <v>-2</v>
      </c>
      <c r="AH281" s="176">
        <f t="shared" si="116"/>
        <v>4</v>
      </c>
      <c r="AI281" s="225">
        <f t="shared" si="117"/>
        <v>-1.0061400512297709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20">
        <v>25.943999999999999</v>
      </c>
      <c r="C282" s="390"/>
      <c r="D282" s="393">
        <f t="shared" si="99"/>
        <v>26.223940264132615</v>
      </c>
      <c r="E282" s="385">
        <f t="shared" si="97"/>
        <v>27.813579861329284</v>
      </c>
      <c r="F282" s="385">
        <f t="shared" si="100"/>
        <v>27.816328989529456</v>
      </c>
      <c r="G282" s="110">
        <f t="shared" si="98"/>
        <v>0.59046068962862408</v>
      </c>
      <c r="H282" s="414" t="b">
        <f>Wh_hp&gt;='2018'!Maxi_hp</f>
        <v>0</v>
      </c>
      <c r="I282" s="390">
        <f>IF(H282,Wh_hp,'2018'!Maxi_hp)</f>
        <v>48.914209724554347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1.0674988629206905E-2</v>
      </c>
      <c r="M282" s="959"/>
      <c r="N282" s="959"/>
      <c r="O282" s="48">
        <f>IF(t&lt;Tnet,'2018'!Resal+('2018'!Salim-'2018'!Resal)*(1-EXP(('2018'!Tnet-t)/('2018'!Tau_j))),Resal+(Salim-Resal)*(1-EXP((Tnet-t)/(Tau_j))))*Salcycl</f>
        <v>5.7153361959235961E-2</v>
      </c>
      <c r="P282" s="169">
        <f>(INDEX(Models!$BJ282:$BT282,,T282)*(1-R282)+INDEX(Models!$BJ282:$BT282,,T282+1)*R282-ERP_i)*Q282*Ramure*Pc/MaxiM</f>
        <v>2.3811287440116688E-4</v>
      </c>
      <c r="Q282" s="305">
        <f t="shared" si="102"/>
        <v>0.7</v>
      </c>
      <c r="R282" s="177">
        <f t="shared" si="103"/>
        <v>0.99411224769744733</v>
      </c>
      <c r="S282" s="921">
        <f t="shared" si="104"/>
        <v>-2</v>
      </c>
      <c r="T282" s="176">
        <f t="shared" si="105"/>
        <v>4</v>
      </c>
      <c r="U282" s="251">
        <f t="shared" si="106"/>
        <v>-1.0058877523025527</v>
      </c>
      <c r="V282" s="383">
        <f t="shared" si="107"/>
        <v>43.932452373660844</v>
      </c>
      <c r="W282" s="58"/>
      <c r="X282" s="157">
        <f t="shared" si="108"/>
        <v>43733</v>
      </c>
      <c r="Y282" s="385">
        <f t="shared" si="109"/>
        <v>25.943999999999999</v>
      </c>
      <c r="Z282" s="385">
        <f t="shared" si="110"/>
        <v>26.223940264132615</v>
      </c>
      <c r="AA282" s="386">
        <f t="shared" si="111"/>
        <v>27.813579861329284</v>
      </c>
      <c r="AB282" s="197">
        <f t="shared" si="112"/>
        <v>43733</v>
      </c>
      <c r="AC282" s="427">
        <f>IF(OR(t&lt;Tnet,NoTnet),'2018'!Resal_s+('2018'!Salim-'2018'!Resal_s)*(1-EXP(('2018'!Tnet_s-t)/'2018'!Tau_j)),Resal_s+(Salim-Resal_s)*(1-EXP((Tnet_s-t)/Tau_j)))*Salcycl</f>
        <v>5.7153361959235961E-2</v>
      </c>
      <c r="AD282" s="231">
        <f>(INDEX(Models!$BJ282:$BT282,,AH282)*(1-AF282)+INDEX(Models!$BJ282:$BT282,,AH282+1)*AF282-ERP_i)*AE282*Ramure*Pc/MaxiM</f>
        <v>2.3811287440116688E-4</v>
      </c>
      <c r="AE282" s="305">
        <f t="shared" si="113"/>
        <v>0.7</v>
      </c>
      <c r="AF282" s="177">
        <f t="shared" si="114"/>
        <v>0.99411224769744733</v>
      </c>
      <c r="AG282" s="176">
        <f t="shared" si="115"/>
        <v>-2</v>
      </c>
      <c r="AH282" s="176">
        <f t="shared" si="116"/>
        <v>4</v>
      </c>
      <c r="AI282" s="225">
        <f t="shared" si="117"/>
        <v>-1.0058877523025527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20">
        <v>33.423000000000002</v>
      </c>
      <c r="C283" s="390"/>
      <c r="D283" s="393">
        <f t="shared" si="99"/>
        <v>33.784379937186252</v>
      </c>
      <c r="E283" s="385">
        <f t="shared" si="97"/>
        <v>35.837125900645887</v>
      </c>
      <c r="F283" s="385">
        <f t="shared" si="100"/>
        <v>35.843089406515965</v>
      </c>
      <c r="G283" s="110">
        <f t="shared" si="98"/>
        <v>0.76423647020490537</v>
      </c>
      <c r="H283" s="414" t="b">
        <f>Wh_hp&gt;='2018'!Maxi_hp</f>
        <v>0</v>
      </c>
      <c r="I283" s="390">
        <f>IF(H283,Wh_hp,'2018'!Maxi_hp)</f>
        <v>47.979649608380406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1.069665738599157E-2</v>
      </c>
      <c r="M283" s="959"/>
      <c r="N283" s="959"/>
      <c r="O283" s="48">
        <f>IF(t&lt;Tnet,'2018'!Resal+('2018'!Salim-'2018'!Resal)*(1-EXP(('2018'!Tnet-t)/('2018'!Tau_j))),Resal+(Salim-Resal)*(1-EXP((Tnet-t)/(Tau_j))))*Salcycl</f>
        <v>5.7279871414650525E-2</v>
      </c>
      <c r="P283" s="169">
        <f>(INDEX(Models!$BJ283:$BT283,,T283)*(1-R283)+INDEX(Models!$BJ283:$BT283,,T283+1)*R283-ERP_i)*Q283*Ramure*Pc/MaxiM</f>
        <v>2.508387364545115E-4</v>
      </c>
      <c r="Q283" s="305">
        <f t="shared" si="102"/>
        <v>0.7</v>
      </c>
      <c r="R283" s="177">
        <f t="shared" si="103"/>
        <v>0.99435463055782525</v>
      </c>
      <c r="S283" s="921">
        <f t="shared" si="104"/>
        <v>-2</v>
      </c>
      <c r="T283" s="176">
        <f t="shared" si="105"/>
        <v>4</v>
      </c>
      <c r="U283" s="251">
        <f t="shared" si="106"/>
        <v>-1.0056453694421748</v>
      </c>
      <c r="V283" s="383">
        <f t="shared" si="107"/>
        <v>43.730151472804202</v>
      </c>
      <c r="W283" s="58"/>
      <c r="X283" s="157">
        <f t="shared" si="108"/>
        <v>43734</v>
      </c>
      <c r="Y283" s="385">
        <f t="shared" si="109"/>
        <v>33.423000000000002</v>
      </c>
      <c r="Z283" s="385">
        <f t="shared" si="110"/>
        <v>33.784379937186252</v>
      </c>
      <c r="AA283" s="386">
        <f t="shared" si="111"/>
        <v>35.837125900645887</v>
      </c>
      <c r="AB283" s="197">
        <f t="shared" si="112"/>
        <v>43734</v>
      </c>
      <c r="AC283" s="427">
        <f>IF(OR(t&lt;Tnet,NoTnet),'2018'!Resal_s+('2018'!Salim-'2018'!Resal_s)*(1-EXP(('2018'!Tnet_s-t)/'2018'!Tau_j)),Resal_s+(Salim-Resal_s)*(1-EXP((Tnet_s-t)/Tau_j)))*Salcycl</f>
        <v>5.7279871414650525E-2</v>
      </c>
      <c r="AD283" s="231">
        <f>(INDEX(Models!$BJ283:$BT283,,AH283)*(1-AF283)+INDEX(Models!$BJ283:$BT283,,AH283+1)*AF283-ERP_i)*AE283*Ramure*Pc/MaxiM</f>
        <v>2.508387364545115E-4</v>
      </c>
      <c r="AE283" s="305">
        <f t="shared" si="113"/>
        <v>0.7</v>
      </c>
      <c r="AF283" s="177">
        <f t="shared" si="114"/>
        <v>0.99435463055782525</v>
      </c>
      <c r="AG283" s="176">
        <f t="shared" si="115"/>
        <v>-2</v>
      </c>
      <c r="AH283" s="176">
        <f t="shared" si="116"/>
        <v>4</v>
      </c>
      <c r="AI283" s="225">
        <f t="shared" si="117"/>
        <v>-1.0056453694421748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20">
        <v>34.786000000000001</v>
      </c>
      <c r="C284" s="390"/>
      <c r="D284" s="393">
        <f t="shared" si="99"/>
        <v>35.162887277271118</v>
      </c>
      <c r="E284" s="385">
        <f t="shared" si="97"/>
        <v>37.304336105921173</v>
      </c>
      <c r="F284" s="385">
        <f t="shared" si="100"/>
        <v>37.311370046352593</v>
      </c>
      <c r="G284" s="110">
        <f t="shared" si="98"/>
        <v>0.79916604783009992</v>
      </c>
      <c r="H284" s="414" t="b">
        <f>Wh_hp&gt;='2018'!Maxi_hp</f>
        <v>0</v>
      </c>
      <c r="I284" s="390">
        <f>IF(H284,Wh_hp,'2018'!Maxi_hp)</f>
        <v>46.988763169188566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1.0718325668174988E-2</v>
      </c>
      <c r="M284" s="959"/>
      <c r="N284" s="959"/>
      <c r="O284" s="48">
        <f>IF(t&lt;Tnet,'2018'!Resal+('2018'!Salim-'2018'!Resal)*(1-EXP(('2018'!Tnet-t)/('2018'!Tau_j))),Resal+(Salim-Resal)*(1-EXP((Tnet-t)/(Tau_j))))*Salcycl</f>
        <v>5.7404823465284777E-2</v>
      </c>
      <c r="P284" s="169">
        <f>(INDEX(Models!$BJ284:$BT284,,T284)*(1-R284)+INDEX(Models!$BJ284:$BT284,,T284+1)*R284-ERP_i)*Q284*Ramure*Pc/MaxiM</f>
        <v>2.6433688334151056E-4</v>
      </c>
      <c r="Q284" s="305">
        <f t="shared" si="102"/>
        <v>0.7</v>
      </c>
      <c r="R284" s="177">
        <f t="shared" si="103"/>
        <v>0.99458747781689461</v>
      </c>
      <c r="S284" s="921">
        <f t="shared" si="104"/>
        <v>-2</v>
      </c>
      <c r="T284" s="176">
        <f t="shared" si="105"/>
        <v>4</v>
      </c>
      <c r="U284" s="251">
        <f t="shared" si="106"/>
        <v>-1.0054125221831054</v>
      </c>
      <c r="V284" s="383">
        <f t="shared" si="107"/>
        <v>43.524574438486368</v>
      </c>
      <c r="W284" s="58"/>
      <c r="X284" s="157">
        <f t="shared" si="108"/>
        <v>43735</v>
      </c>
      <c r="Y284" s="385">
        <f t="shared" si="109"/>
        <v>34.786000000000001</v>
      </c>
      <c r="Z284" s="385">
        <f t="shared" si="110"/>
        <v>35.162887277271118</v>
      </c>
      <c r="AA284" s="386">
        <f t="shared" si="111"/>
        <v>37.304336105921173</v>
      </c>
      <c r="AB284" s="197">
        <f t="shared" si="112"/>
        <v>43735</v>
      </c>
      <c r="AC284" s="427">
        <f>IF(OR(t&lt;Tnet,NoTnet),'2018'!Resal_s+('2018'!Salim-'2018'!Resal_s)*(1-EXP(('2018'!Tnet_s-t)/'2018'!Tau_j)),Resal_s+(Salim-Resal_s)*(1-EXP((Tnet_s-t)/Tau_j)))*Salcycl</f>
        <v>5.7404823465284777E-2</v>
      </c>
      <c r="AD284" s="231">
        <f>(INDEX(Models!$BJ284:$BT284,,AH284)*(1-AF284)+INDEX(Models!$BJ284:$BT284,,AH284+1)*AF284-ERP_i)*AE284*Ramure*Pc/MaxiM</f>
        <v>2.6433688334151056E-4</v>
      </c>
      <c r="AE284" s="305">
        <f t="shared" si="113"/>
        <v>0.7</v>
      </c>
      <c r="AF284" s="177">
        <f t="shared" si="114"/>
        <v>0.99458747781689461</v>
      </c>
      <c r="AG284" s="176">
        <f t="shared" si="115"/>
        <v>-2</v>
      </c>
      <c r="AH284" s="176">
        <f t="shared" si="116"/>
        <v>4</v>
      </c>
      <c r="AI284" s="225">
        <f t="shared" si="117"/>
        <v>-1.0054125221831054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20">
        <v>32.801000000000002</v>
      </c>
      <c r="C285" s="390"/>
      <c r="D285" s="393">
        <f t="shared" si="99"/>
        <v>33.157107114080546</v>
      </c>
      <c r="E285" s="385">
        <f t="shared" si="97"/>
        <v>35.181007148358219</v>
      </c>
      <c r="F285" s="385">
        <f t="shared" si="100"/>
        <v>35.187411039033712</v>
      </c>
      <c r="G285" s="110">
        <f t="shared" si="98"/>
        <v>0.75717954194744719</v>
      </c>
      <c r="H285" s="414" t="b">
        <f>Wh_hp&gt;='2018'!Maxi_hp</f>
        <v>0</v>
      </c>
      <c r="I285" s="390">
        <f>IF(H285,Wh_hp,'2018'!Maxi_hp)</f>
        <v>44.138858996476266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1.0739993475767262E-2</v>
      </c>
      <c r="M285" s="959"/>
      <c r="N285" s="959"/>
      <c r="O285" s="48">
        <f>IF(t&lt;Tnet,'2018'!Resal+('2018'!Salim-'2018'!Resal)*(1-EXP(('2018'!Tnet-t)/('2018'!Tau_j))),Resal+(Salim-Resal)*(1-EXP((Tnet-t)/(Tau_j))))*Salcycl</f>
        <v>5.7528200535672265E-2</v>
      </c>
      <c r="P285" s="169">
        <f>(INDEX(Models!$BJ285:$BT285,,T285)*(1-R285)+INDEX(Models!$BJ285:$BT285,,T285+1)*R285-ERP_i)*Q285*Ramure*Pc/MaxiM</f>
        <v>2.7861105092807182E-4</v>
      </c>
      <c r="Q285" s="305">
        <f t="shared" si="102"/>
        <v>0.7</v>
      </c>
      <c r="R285" s="177">
        <f t="shared" si="103"/>
        <v>0.9948111560661812</v>
      </c>
      <c r="S285" s="921">
        <f t="shared" si="104"/>
        <v>-2</v>
      </c>
      <c r="T285" s="176">
        <f t="shared" si="105"/>
        <v>4</v>
      </c>
      <c r="U285" s="251">
        <f t="shared" si="106"/>
        <v>-1.0051888439338188</v>
      </c>
      <c r="V285" s="383">
        <f t="shared" si="107"/>
        <v>43.315790329403583</v>
      </c>
      <c r="W285" s="58"/>
      <c r="X285" s="157">
        <f t="shared" si="108"/>
        <v>43736</v>
      </c>
      <c r="Y285" s="385">
        <f t="shared" si="109"/>
        <v>32.801000000000002</v>
      </c>
      <c r="Z285" s="385">
        <f t="shared" si="110"/>
        <v>33.157107114080546</v>
      </c>
      <c r="AA285" s="386">
        <f t="shared" si="111"/>
        <v>35.181007148358219</v>
      </c>
      <c r="AB285" s="197">
        <f t="shared" si="112"/>
        <v>43736</v>
      </c>
      <c r="AC285" s="427">
        <f>IF(OR(t&lt;Tnet,NoTnet),'2018'!Resal_s+('2018'!Salim-'2018'!Resal_s)*(1-EXP(('2018'!Tnet_s-t)/'2018'!Tau_j)),Resal_s+(Salim-Resal_s)*(1-EXP((Tnet_s-t)/Tau_j)))*Salcycl</f>
        <v>5.7528200535672265E-2</v>
      </c>
      <c r="AD285" s="231">
        <f>(INDEX(Models!$BJ285:$BT285,,AH285)*(1-AF285)+INDEX(Models!$BJ285:$BT285,,AH285+1)*AF285-ERP_i)*AE285*Ramure*Pc/MaxiM</f>
        <v>2.7861105092807182E-4</v>
      </c>
      <c r="AE285" s="305">
        <f t="shared" si="113"/>
        <v>0.7</v>
      </c>
      <c r="AF285" s="177">
        <f t="shared" si="114"/>
        <v>0.9948111560661812</v>
      </c>
      <c r="AG285" s="176">
        <f t="shared" si="115"/>
        <v>-2</v>
      </c>
      <c r="AH285" s="176">
        <f t="shared" si="116"/>
        <v>4</v>
      </c>
      <c r="AI285" s="225">
        <f t="shared" si="117"/>
        <v>-1.0051888439338188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20">
        <v>41.271999999999998</v>
      </c>
      <c r="C286" s="390"/>
      <c r="D286" s="393">
        <f t="shared" si="99"/>
        <v>41.720987111905771</v>
      </c>
      <c r="E286" s="385">
        <f t="shared" si="97"/>
        <v>44.273344806697658</v>
      </c>
      <c r="F286" s="385">
        <f t="shared" si="100"/>
        <v>44.285560336458531</v>
      </c>
      <c r="G286" s="110">
        <f t="shared" si="98"/>
        <v>0.95748399762176828</v>
      </c>
      <c r="H286" s="414" t="b">
        <f>Wh_hp&gt;='2018'!Maxi_hp</f>
        <v>0</v>
      </c>
      <c r="I286" s="390">
        <f>IF(H286,Wh_hp,'2018'!Maxi_hp)</f>
        <v>45.467806820564945</v>
      </c>
      <c r="J286" s="85">
        <f>IF(H286,An,'2018'!An_max)</f>
        <v>2018</v>
      </c>
      <c r="K286" s="197">
        <f t="shared" si="101"/>
        <v>43737</v>
      </c>
      <c r="L286" s="147">
        <f>IF(t&lt;Tvie,1-EXP((T0-t)*PertePVj)+'2018'!Pspv,1-EXP((T0-t)*PertePVj)+Pspv)</f>
        <v>1.076166080877905E-2</v>
      </c>
      <c r="M286" s="959"/>
      <c r="N286" s="959"/>
      <c r="O286" s="48">
        <f>IF(t&lt;Tnet,'2018'!Resal+('2018'!Salim-'2018'!Resal)*(1-EXP(('2018'!Tnet-t)/('2018'!Tau_j))),Resal+(Salim-Resal)*(1-EXP((Tnet-t)/(Tau_j))))*Salcycl</f>
        <v>5.7649985695360659E-2</v>
      </c>
      <c r="P286" s="169">
        <f>(INDEX(Models!$BJ286:$BT286,,T286)*(1-R286)+INDEX(Models!$BJ286:$BT286,,T286+1)*R286-ERP_i)*Q286*Ramure*Pc/MaxiM</f>
        <v>2.9366469348938144E-4</v>
      </c>
      <c r="Q286" s="305">
        <f t="shared" si="102"/>
        <v>0.7</v>
      </c>
      <c r="R286" s="177">
        <f t="shared" si="103"/>
        <v>0.99502601847209138</v>
      </c>
      <c r="S286" s="921">
        <f t="shared" si="104"/>
        <v>-2</v>
      </c>
      <c r="T286" s="176">
        <f t="shared" si="105"/>
        <v>4</v>
      </c>
      <c r="U286" s="251">
        <f t="shared" si="106"/>
        <v>-1.0049739815279086</v>
      </c>
      <c r="V286" s="383">
        <f t="shared" si="107"/>
        <v>43.103868109635037</v>
      </c>
      <c r="W286" s="58"/>
      <c r="X286" s="157">
        <f t="shared" si="108"/>
        <v>43737</v>
      </c>
      <c r="Y286" s="385">
        <f t="shared" si="109"/>
        <v>41.271999999999998</v>
      </c>
      <c r="Z286" s="385">
        <f t="shared" si="110"/>
        <v>41.720987111905771</v>
      </c>
      <c r="AA286" s="386">
        <f t="shared" si="111"/>
        <v>44.273344806697658</v>
      </c>
      <c r="AB286" s="197">
        <f t="shared" si="112"/>
        <v>43737</v>
      </c>
      <c r="AC286" s="427">
        <f>IF(OR(t&lt;Tnet,NoTnet),'2018'!Resal_s+('2018'!Salim-'2018'!Resal_s)*(1-EXP(('2018'!Tnet_s-t)/'2018'!Tau_j)),Resal_s+(Salim-Resal_s)*(1-EXP((Tnet_s-t)/Tau_j)))*Salcycl</f>
        <v>5.7649985695360659E-2</v>
      </c>
      <c r="AD286" s="231">
        <f>(INDEX(Models!$BJ286:$BT286,,AH286)*(1-AF286)+INDEX(Models!$BJ286:$BT286,,AH286+1)*AF286-ERP_i)*AE286*Ramure*Pc/MaxiM</f>
        <v>2.9366469348938144E-4</v>
      </c>
      <c r="AE286" s="305">
        <f t="shared" si="113"/>
        <v>0.7</v>
      </c>
      <c r="AF286" s="177">
        <f t="shared" si="114"/>
        <v>0.99502601847209138</v>
      </c>
      <c r="AG286" s="176">
        <f t="shared" si="115"/>
        <v>-2</v>
      </c>
      <c r="AH286" s="176">
        <f t="shared" si="116"/>
        <v>4</v>
      </c>
      <c r="AI286" s="225">
        <f t="shared" si="117"/>
        <v>-1.0049739815279086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20">
        <v>24.632000000000001</v>
      </c>
      <c r="C287" s="390"/>
      <c r="D287" s="393">
        <f t="shared" si="99"/>
        <v>24.900510362317899</v>
      </c>
      <c r="E287" s="385">
        <f t="shared" si="97"/>
        <v>26.427214868199449</v>
      </c>
      <c r="F287" s="385">
        <f t="shared" si="100"/>
        <v>26.430420604022185</v>
      </c>
      <c r="G287" s="110">
        <f t="shared" si="98"/>
        <v>0.57421330053195485</v>
      </c>
      <c r="H287" s="414" t="b">
        <f>Wh_hp&gt;='2018'!Maxi_hp</f>
        <v>0</v>
      </c>
      <c r="I287" s="390">
        <f>IF(H287,Wh_hp,'2018'!Maxi_hp)</f>
        <v>41.385817820684117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1.0783327667220677E-2</v>
      </c>
      <c r="M287" s="959"/>
      <c r="N287" s="959"/>
      <c r="O287" s="48">
        <f>IF(t&lt;Tnet,'2018'!Resal+('2018'!Salim-'2018'!Resal)*(1-EXP(('2018'!Tnet-t)/('2018'!Tau_j))),Resal+(Salim-Resal)*(1-EXP((Tnet-t)/(Tau_j))))*Salcycl</f>
        <v>5.7770162822517963E-2</v>
      </c>
      <c r="P287" s="169">
        <f>(INDEX(Models!$BJ287:$BT287,,T287)*(1-R287)+INDEX(Models!$BJ287:$BT287,,T287+1)*R287-ERP_i)*Q287*Ramure*Pc/MaxiM</f>
        <v>3.0950095655099557E-4</v>
      </c>
      <c r="Q287" s="305">
        <f t="shared" si="102"/>
        <v>0.7</v>
      </c>
      <c r="R287" s="177">
        <f t="shared" si="103"/>
        <v>0.99523240521490042</v>
      </c>
      <c r="S287" s="921">
        <f t="shared" si="104"/>
        <v>-2</v>
      </c>
      <c r="T287" s="176">
        <f t="shared" si="105"/>
        <v>4</v>
      </c>
      <c r="U287" s="251">
        <f t="shared" si="106"/>
        <v>-1.0047675947850996</v>
      </c>
      <c r="V287" s="383">
        <f t="shared" si="107"/>
        <v>42.888876647953907</v>
      </c>
      <c r="W287" s="58"/>
      <c r="X287" s="157">
        <f t="shared" si="108"/>
        <v>43738</v>
      </c>
      <c r="Y287" s="385">
        <f t="shared" si="109"/>
        <v>24.632000000000001</v>
      </c>
      <c r="Z287" s="385">
        <f t="shared" si="110"/>
        <v>24.900510362317899</v>
      </c>
      <c r="AA287" s="386">
        <f t="shared" si="111"/>
        <v>26.427214868199449</v>
      </c>
      <c r="AB287" s="197">
        <f t="shared" si="112"/>
        <v>43738</v>
      </c>
      <c r="AC287" s="427">
        <f>IF(OR(t&lt;Tnet,NoTnet),'2018'!Resal_s+('2018'!Salim-'2018'!Resal_s)*(1-EXP(('2018'!Tnet_s-t)/'2018'!Tau_j)),Resal_s+(Salim-Resal_s)*(1-EXP((Tnet_s-t)/Tau_j)))*Salcycl</f>
        <v>5.7770162822517963E-2</v>
      </c>
      <c r="AD287" s="231">
        <f>(INDEX(Models!$BJ287:$BT287,,AH287)*(1-AF287)+INDEX(Models!$BJ287:$BT287,,AH287+1)*AF287-ERP_i)*AE287*Ramure*Pc/MaxiM</f>
        <v>3.0950095655099557E-4</v>
      </c>
      <c r="AE287" s="305">
        <f t="shared" si="113"/>
        <v>0.7</v>
      </c>
      <c r="AF287" s="177">
        <f t="shared" si="114"/>
        <v>0.99523240521490042</v>
      </c>
      <c r="AG287" s="176">
        <f t="shared" si="115"/>
        <v>-2</v>
      </c>
      <c r="AH287" s="176">
        <f t="shared" si="116"/>
        <v>4</v>
      </c>
      <c r="AI287" s="225">
        <f t="shared" si="117"/>
        <v>-1.0047675947850996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20">
        <v>29.626999999999999</v>
      </c>
      <c r="C288" s="390"/>
      <c r="D288" s="393">
        <f t="shared" si="99"/>
        <v>29.950616230194097</v>
      </c>
      <c r="E288" s="385">
        <f t="shared" si="97"/>
        <v>31.790953747633189</v>
      </c>
      <c r="F288" s="385">
        <f t="shared" si="100"/>
        <v>31.79679503617761</v>
      </c>
      <c r="G288" s="110">
        <f t="shared" si="98"/>
        <v>0.69421527286166906</v>
      </c>
      <c r="H288" s="414" t="b">
        <f>Wh_hp&gt;='2018'!Maxi_hp</f>
        <v>1</v>
      </c>
      <c r="I288" s="390">
        <f>IF(H288,Wh_hp,'2018'!Maxi_hp)</f>
        <v>31.79679503617761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1.0804994051102357E-2</v>
      </c>
      <c r="M288" s="959"/>
      <c r="N288" s="959"/>
      <c r="O288" s="48">
        <f>IF(t&lt;Tnet,'2018'!Resal+('2018'!Salim-'2018'!Resal)*(1-EXP(('2018'!Tnet-t)/('2018'!Tau_j))),Resal+(Salim-Resal)*(1-EXP((Tnet-t)/(Tau_j))))*Salcycl</f>
        <v>5.7888716772962548E-2</v>
      </c>
      <c r="P288" s="169">
        <f>(INDEX(Models!$BJ288:$BT288,,T288)*(1-R288)+INDEX(Models!$BJ288:$BT288,,T288+1)*R288-ERP_i)*Q288*Ramure*Pc/MaxiM</f>
        <v>3.2612265231709669E-4</v>
      </c>
      <c r="Q288" s="305">
        <f t="shared" si="102"/>
        <v>0.7</v>
      </c>
      <c r="R288" s="177">
        <f t="shared" si="103"/>
        <v>0.99543064391764879</v>
      </c>
      <c r="S288" s="921">
        <f t="shared" si="104"/>
        <v>-2</v>
      </c>
      <c r="T288" s="176">
        <f t="shared" si="105"/>
        <v>4</v>
      </c>
      <c r="U288" s="251">
        <f t="shared" si="106"/>
        <v>-1.0045693560823512</v>
      </c>
      <c r="V288" s="383">
        <f t="shared" si="107"/>
        <v>42.670884708674684</v>
      </c>
      <c r="W288" s="58"/>
      <c r="X288" s="157">
        <f t="shared" si="108"/>
        <v>43739</v>
      </c>
      <c r="Y288" s="385">
        <f t="shared" si="109"/>
        <v>29.626999999999999</v>
      </c>
      <c r="Z288" s="385">
        <f t="shared" si="110"/>
        <v>29.950616230194097</v>
      </c>
      <c r="AA288" s="386">
        <f t="shared" si="111"/>
        <v>31.790953747633189</v>
      </c>
      <c r="AB288" s="197">
        <f t="shared" si="112"/>
        <v>43739</v>
      </c>
      <c r="AC288" s="427">
        <f>IF(OR(t&lt;Tnet,NoTnet),'2018'!Resal_s+('2018'!Salim-'2018'!Resal_s)*(1-EXP(('2018'!Tnet_s-t)/'2018'!Tau_j)),Resal_s+(Salim-Resal_s)*(1-EXP((Tnet_s-t)/Tau_j)))*Salcycl</f>
        <v>5.7888716772962548E-2</v>
      </c>
      <c r="AD288" s="231">
        <f>(INDEX(Models!$BJ288:$BT288,,AH288)*(1-AF288)+INDEX(Models!$BJ288:$BT288,,AH288+1)*AF288-ERP_i)*AE288*Ramure*Pc/MaxiM</f>
        <v>3.2612265231709669E-4</v>
      </c>
      <c r="AE288" s="305">
        <f t="shared" si="113"/>
        <v>0.7</v>
      </c>
      <c r="AF288" s="177">
        <f t="shared" si="114"/>
        <v>0.99543064391764879</v>
      </c>
      <c r="AG288" s="176">
        <f t="shared" si="115"/>
        <v>-2</v>
      </c>
      <c r="AH288" s="176">
        <f t="shared" si="116"/>
        <v>4</v>
      </c>
      <c r="AI288" s="225">
        <f t="shared" si="117"/>
        <v>-1.0045693560823512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20">
        <v>21.754000000000001</v>
      </c>
      <c r="C289" s="390"/>
      <c r="D289" s="393">
        <f t="shared" si="99"/>
        <v>21.992100999335342</v>
      </c>
      <c r="E289" s="385">
        <f t="shared" si="97"/>
        <v>23.346319025552393</v>
      </c>
      <c r="F289" s="385">
        <f t="shared" si="100"/>
        <v>23.348753678912551</v>
      </c>
      <c r="G289" s="110">
        <f t="shared" si="98"/>
        <v>0.51234728185793343</v>
      </c>
      <c r="H289" s="414" t="b">
        <f>Wh_hp&gt;='2018'!Maxi_hp</f>
        <v>0</v>
      </c>
      <c r="I289" s="390">
        <f>IF(H289,Wh_hp,'2018'!Maxi_hp)</f>
        <v>47.647904130278036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1.0826659960434748E-2</v>
      </c>
      <c r="M289" s="959"/>
      <c r="N289" s="959"/>
      <c r="O289" s="48">
        <f>IF(t&lt;Tnet,'2018'!Resal+('2018'!Salim-'2018'!Resal)*(1-EXP(('2018'!Tnet-t)/('2018'!Tau_j))),Resal+(Salim-Resal)*(1-EXP((Tnet-t)/(Tau_j))))*Salcycl</f>
        <v>5.8005633553403865E-2</v>
      </c>
      <c r="P289" s="169">
        <f>(INDEX(Models!$BJ289:$BT289,,T289)*(1-R289)+INDEX(Models!$BJ289:$BT289,,T289+1)*R289-ERP_i)*Q289*Ramure*Pc/MaxiM</f>
        <v>3.435374108720864E-4</v>
      </c>
      <c r="Q289" s="305">
        <f t="shared" si="102"/>
        <v>0.7</v>
      </c>
      <c r="R289" s="177">
        <f t="shared" si="103"/>
        <v>0.99562105006480506</v>
      </c>
      <c r="S289" s="921">
        <f t="shared" si="104"/>
        <v>-2</v>
      </c>
      <c r="T289" s="176">
        <f t="shared" si="105"/>
        <v>4</v>
      </c>
      <c r="U289" s="251">
        <f t="shared" si="106"/>
        <v>-1.0043789499351949</v>
      </c>
      <c r="V289" s="383">
        <f t="shared" si="107"/>
        <v>42.449321539313203</v>
      </c>
      <c r="W289" s="58"/>
      <c r="X289" s="157">
        <f t="shared" si="108"/>
        <v>43740</v>
      </c>
      <c r="Y289" s="385">
        <f t="shared" si="109"/>
        <v>21.754000000000001</v>
      </c>
      <c r="Z289" s="385">
        <f t="shared" si="110"/>
        <v>21.992100999335342</v>
      </c>
      <c r="AA289" s="386">
        <f t="shared" si="111"/>
        <v>23.346319025552393</v>
      </c>
      <c r="AB289" s="197">
        <f t="shared" si="112"/>
        <v>43740</v>
      </c>
      <c r="AC289" s="427">
        <f>IF(OR(t&lt;Tnet,NoTnet),'2018'!Resal_s+('2018'!Salim-'2018'!Resal_s)*(1-EXP(('2018'!Tnet_s-t)/'2018'!Tau_j)),Resal_s+(Salim-Resal_s)*(1-EXP((Tnet_s-t)/Tau_j)))*Salcycl</f>
        <v>5.8005633553403865E-2</v>
      </c>
      <c r="AD289" s="231">
        <f>(INDEX(Models!$BJ289:$BT289,,AH289)*(1-AF289)+INDEX(Models!$BJ289:$BT289,,AH289+1)*AF289-ERP_i)*AE289*Ramure*Pc/MaxiM</f>
        <v>3.435374108720864E-4</v>
      </c>
      <c r="AE289" s="305">
        <f t="shared" si="113"/>
        <v>0.7</v>
      </c>
      <c r="AF289" s="177">
        <f t="shared" si="114"/>
        <v>0.99562105006480506</v>
      </c>
      <c r="AG289" s="176">
        <f t="shared" si="115"/>
        <v>-2</v>
      </c>
      <c r="AH289" s="176">
        <f t="shared" si="116"/>
        <v>4</v>
      </c>
      <c r="AI289" s="225">
        <f t="shared" si="117"/>
        <v>-1.0043789499351949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20">
        <v>32.448999999999998</v>
      </c>
      <c r="C290" s="390"/>
      <c r="D290" s="393">
        <f t="shared" si="99"/>
        <v>32.804877990997092</v>
      </c>
      <c r="E290" s="385">
        <f t="shared" si="97"/>
        <v>34.829181376174191</v>
      </c>
      <c r="F290" s="385">
        <f t="shared" si="100"/>
        <v>34.837590136236912</v>
      </c>
      <c r="G290" s="110">
        <f t="shared" si="98"/>
        <v>0.7684092063385336</v>
      </c>
      <c r="H290" s="414" t="b">
        <f>Wh_hp&gt;='2018'!Maxi_hp</f>
        <v>0</v>
      </c>
      <c r="I290" s="390">
        <f>IF(H290,Wh_hp,'2018'!Maxi_hp)</f>
        <v>43.351504842538631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1.0848325395228064E-2</v>
      </c>
      <c r="M290" s="959"/>
      <c r="N290" s="959"/>
      <c r="O290" s="48">
        <f>IF(t&lt;Tnet,'2018'!Resal+('2018'!Salim-'2018'!Resal)*(1-EXP(('2018'!Tnet-t)/('2018'!Tau_j))),Resal+(Salim-Resal)*(1-EXP((Tnet-t)/(Tau_j))))*Salcycl</f>
        <v>5.8120900497588932E-2</v>
      </c>
      <c r="P290" s="169">
        <f>(INDEX(Models!$BJ290:$BT290,,T290)*(1-R290)+INDEX(Models!$BJ290:$BT290,,T290+1)*R290-ERP_i)*Q290*Ramure*Pc/MaxiM</f>
        <v>3.6063799402822732E-4</v>
      </c>
      <c r="Q290" s="305">
        <f t="shared" si="102"/>
        <v>0.7</v>
      </c>
      <c r="R290" s="177">
        <f t="shared" si="103"/>
        <v>0.9958039274105932</v>
      </c>
      <c r="S290" s="921">
        <f t="shared" si="104"/>
        <v>-2</v>
      </c>
      <c r="T290" s="176">
        <f t="shared" si="105"/>
        <v>4</v>
      </c>
      <c r="U290" s="251">
        <f t="shared" si="106"/>
        <v>-1.0041960725894068</v>
      </c>
      <c r="V290" s="383">
        <f t="shared" si="107"/>
        <v>42.223763954218924</v>
      </c>
      <c r="W290" s="58"/>
      <c r="X290" s="157">
        <f t="shared" si="108"/>
        <v>43741</v>
      </c>
      <c r="Y290" s="385">
        <f t="shared" si="109"/>
        <v>32.448999999999998</v>
      </c>
      <c r="Z290" s="385">
        <f t="shared" si="110"/>
        <v>32.804877990997092</v>
      </c>
      <c r="AA290" s="386">
        <f t="shared" si="111"/>
        <v>34.829181376174191</v>
      </c>
      <c r="AB290" s="197">
        <f t="shared" si="112"/>
        <v>43741</v>
      </c>
      <c r="AC290" s="427">
        <f>IF(OR(t&lt;Tnet,NoTnet),'2018'!Resal_s+('2018'!Salim-'2018'!Resal_s)*(1-EXP(('2018'!Tnet_s-t)/'2018'!Tau_j)),Resal_s+(Salim-Resal_s)*(1-EXP((Tnet_s-t)/Tau_j)))*Salcycl</f>
        <v>5.8120900497588932E-2</v>
      </c>
      <c r="AD290" s="231">
        <f>(INDEX(Models!$BJ290:$BT290,,AH290)*(1-AF290)+INDEX(Models!$BJ290:$BT290,,AH290+1)*AF290-ERP_i)*AE290*Ramure*Pc/MaxiM</f>
        <v>3.6063799402822732E-4</v>
      </c>
      <c r="AE290" s="305">
        <f t="shared" si="113"/>
        <v>0.7</v>
      </c>
      <c r="AF290" s="177">
        <f t="shared" si="114"/>
        <v>0.9958039274105932</v>
      </c>
      <c r="AG290" s="176">
        <f t="shared" si="115"/>
        <v>-2</v>
      </c>
      <c r="AH290" s="176">
        <f t="shared" si="116"/>
        <v>4</v>
      </c>
      <c r="AI290" s="225">
        <f t="shared" si="117"/>
        <v>-1.0041960725894068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20">
        <v>10.349</v>
      </c>
      <c r="C291" s="390"/>
      <c r="D291" s="393">
        <f t="shared" si="99"/>
        <v>10.462729771710622</v>
      </c>
      <c r="E291" s="385">
        <f t="shared" si="97"/>
        <v>11.109697523747855</v>
      </c>
      <c r="F291" s="385">
        <f t="shared" si="100"/>
        <v>11.109697523747855</v>
      </c>
      <c r="G291" s="110">
        <f t="shared" si="98"/>
        <v>0.24634442977576079</v>
      </c>
      <c r="H291" s="414" t="b">
        <f>Wh_hp&gt;='2018'!Maxi_hp</f>
        <v>0</v>
      </c>
      <c r="I291" s="390">
        <f>IF(H291,Wh_hp,'2018'!Maxi_hp)</f>
        <v>44.844605022343991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1.0869990355492742E-2</v>
      </c>
      <c r="M291" s="959"/>
      <c r="N291" s="959"/>
      <c r="O291" s="48">
        <f>IF(t&lt;Tnet,'2018'!Resal+('2018'!Salim-'2018'!Resal)*(1-EXP(('2018'!Tnet-t)/('2018'!Tau_j))),Resal+(Salim-Resal)*(1-EXP((Tnet-t)/(Tau_j))))*Salcycl</f>
        <v>5.8234506443968236E-2</v>
      </c>
      <c r="P291" s="169">
        <f>(INDEX(Models!$BJ291:$BT291,,T291)*(1-R291)+INDEX(Models!$BJ291:$BT291,,T291+1)*R291-ERP_i)*Q291*Ramure*Pc/MaxiM</f>
        <v>3.7672566566089171E-4</v>
      </c>
      <c r="Q291" s="305">
        <f t="shared" si="102"/>
        <v>0.7</v>
      </c>
      <c r="R291" s="177">
        <f t="shared" si="103"/>
        <v>0.99597956837692347</v>
      </c>
      <c r="S291" s="921">
        <f t="shared" si="104"/>
        <v>-2</v>
      </c>
      <c r="T291" s="176">
        <f t="shared" si="105"/>
        <v>4</v>
      </c>
      <c r="U291" s="251">
        <f t="shared" si="106"/>
        <v>-1.0040204316230765</v>
      </c>
      <c r="V291" s="383">
        <f t="shared" si="107"/>
        <v>41.994459852422395</v>
      </c>
      <c r="W291" s="58"/>
      <c r="X291" s="157">
        <f t="shared" si="108"/>
        <v>43742</v>
      </c>
      <c r="Y291" s="385">
        <f t="shared" si="109"/>
        <v>10.349</v>
      </c>
      <c r="Z291" s="385">
        <f t="shared" si="110"/>
        <v>10.462729771710622</v>
      </c>
      <c r="AA291" s="386">
        <f t="shared" si="111"/>
        <v>11.109697523747855</v>
      </c>
      <c r="AB291" s="197">
        <f t="shared" si="112"/>
        <v>43742</v>
      </c>
      <c r="AC291" s="427">
        <f>IF(OR(t&lt;Tnet,NoTnet),'2018'!Resal_s+('2018'!Salim-'2018'!Resal_s)*(1-EXP(('2018'!Tnet_s-t)/'2018'!Tau_j)),Resal_s+(Salim-Resal_s)*(1-EXP((Tnet_s-t)/Tau_j)))*Salcycl</f>
        <v>5.8234506443968236E-2</v>
      </c>
      <c r="AD291" s="231">
        <f>(INDEX(Models!$BJ291:$BT291,,AH291)*(1-AF291)+INDEX(Models!$BJ291:$BT291,,AH291+1)*AF291-ERP_i)*AE291*Ramure*Pc/MaxiM</f>
        <v>3.7672566566089171E-4</v>
      </c>
      <c r="AE291" s="305">
        <f t="shared" si="113"/>
        <v>0.7</v>
      </c>
      <c r="AF291" s="177">
        <f t="shared" si="114"/>
        <v>0.99597956837692347</v>
      </c>
      <c r="AG291" s="176">
        <f t="shared" si="115"/>
        <v>-2</v>
      </c>
      <c r="AH291" s="176">
        <f t="shared" si="116"/>
        <v>4</v>
      </c>
      <c r="AI291" s="225">
        <f t="shared" si="117"/>
        <v>-1.0040204316230765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20">
        <v>32.648000000000003</v>
      </c>
      <c r="C292" s="390"/>
      <c r="D292" s="393">
        <f t="shared" si="99"/>
        <v>33.007506366514079</v>
      </c>
      <c r="E292" s="385">
        <f t="shared" si="97"/>
        <v>35.052707105556792</v>
      </c>
      <c r="F292" s="385">
        <f t="shared" si="100"/>
        <v>35.062161500976572</v>
      </c>
      <c r="G292" s="110">
        <f t="shared" si="98"/>
        <v>0.78167478563190007</v>
      </c>
      <c r="H292" s="414" t="b">
        <f>Wh_hp&gt;='2018'!Maxi_hp</f>
        <v>0</v>
      </c>
      <c r="I292" s="390">
        <f>IF(H292,Wh_hp,'2018'!Maxi_hp)</f>
        <v>44.683643039833356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1.0891654841239218E-2</v>
      </c>
      <c r="M292" s="959"/>
      <c r="N292" s="959"/>
      <c r="O292" s="48">
        <f>IF(t&lt;Tnet,'2018'!Resal+('2018'!Salim-'2018'!Resal)*(1-EXP(('2018'!Tnet-t)/('2018'!Tau_j))),Resal+(Salim-Resal)*(1-EXP((Tnet-t)/(Tau_j))))*Salcycl</f>
        <v>5.8346441913426333E-2</v>
      </c>
      <c r="P292" s="169">
        <f>(INDEX(Models!$BJ292:$BT292,,T292)*(1-R292)+INDEX(Models!$BJ292:$BT292,,T292+1)*R292-ERP_i)*Q292*Ramure*Pc/MaxiM</f>
        <v>3.9178977170536218E-4</v>
      </c>
      <c r="Q292" s="305">
        <f t="shared" si="102"/>
        <v>0.7</v>
      </c>
      <c r="R292" s="177">
        <f t="shared" si="103"/>
        <v>0.99614825444090527</v>
      </c>
      <c r="S292" s="921">
        <f t="shared" si="104"/>
        <v>-2</v>
      </c>
      <c r="T292" s="176">
        <f t="shared" si="105"/>
        <v>4</v>
      </c>
      <c r="U292" s="251">
        <f t="shared" si="106"/>
        <v>-1.0038517455590947</v>
      </c>
      <c r="V292" s="383">
        <f t="shared" si="107"/>
        <v>41.761627465524874</v>
      </c>
      <c r="W292" s="58"/>
      <c r="X292" s="157">
        <f t="shared" si="108"/>
        <v>43743</v>
      </c>
      <c r="Y292" s="385">
        <f t="shared" si="109"/>
        <v>32.648000000000003</v>
      </c>
      <c r="Z292" s="385">
        <f t="shared" si="110"/>
        <v>33.007506366514079</v>
      </c>
      <c r="AA292" s="386">
        <f t="shared" si="111"/>
        <v>35.052707105556792</v>
      </c>
      <c r="AB292" s="197">
        <f t="shared" si="112"/>
        <v>43743</v>
      </c>
      <c r="AC292" s="427">
        <f>IF(OR(t&lt;Tnet,NoTnet),'2018'!Resal_s+('2018'!Salim-'2018'!Resal_s)*(1-EXP(('2018'!Tnet_s-t)/'2018'!Tau_j)),Resal_s+(Salim-Resal_s)*(1-EXP((Tnet_s-t)/Tau_j)))*Salcycl</f>
        <v>5.8346441913426333E-2</v>
      </c>
      <c r="AD292" s="231">
        <f>(INDEX(Models!$BJ292:$BT292,,AH292)*(1-AF292)+INDEX(Models!$BJ292:$BT292,,AH292+1)*AF292-ERP_i)*AE292*Ramure*Pc/MaxiM</f>
        <v>3.9178977170536218E-4</v>
      </c>
      <c r="AE292" s="305">
        <f t="shared" si="113"/>
        <v>0.7</v>
      </c>
      <c r="AF292" s="177">
        <f t="shared" si="114"/>
        <v>0.99614825444090527</v>
      </c>
      <c r="AG292" s="176">
        <f t="shared" si="115"/>
        <v>-2</v>
      </c>
      <c r="AH292" s="176">
        <f t="shared" si="116"/>
        <v>4</v>
      </c>
      <c r="AI292" s="225">
        <f t="shared" si="117"/>
        <v>-1.0038517455590947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20">
        <v>17.731999999999999</v>
      </c>
      <c r="C293" s="390"/>
      <c r="D293" s="393">
        <f t="shared" si="99"/>
        <v>17.927650162499027</v>
      </c>
      <c r="E293" s="385">
        <f t="shared" si="97"/>
        <v>19.040707048625041</v>
      </c>
      <c r="F293" s="385">
        <f t="shared" si="100"/>
        <v>19.04210923066665</v>
      </c>
      <c r="G293" s="110">
        <f t="shared" si="98"/>
        <v>0.4268730251165182</v>
      </c>
      <c r="H293" s="414" t="b">
        <f>Wh_hp&gt;='2018'!Maxi_hp</f>
        <v>0</v>
      </c>
      <c r="I293" s="390">
        <f>IF(H293,Wh_hp,'2018'!Maxi_hp)</f>
        <v>42.282942542755286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1.0913318852477816E-2</v>
      </c>
      <c r="M293" s="959"/>
      <c r="N293" s="959"/>
      <c r="O293" s="48">
        <f>IF(t&lt;Tnet,'2018'!Resal+('2018'!Salim-'2018'!Resal)*(1-EXP(('2018'!Tnet-t)/('2018'!Tau_j))),Resal+(Salim-Resal)*(1-EXP((Tnet-t)/(Tau_j))))*Salcycl</f>
        <v>5.8456699285565128E-2</v>
      </c>
      <c r="P293" s="169">
        <f>(INDEX(Models!$BJ293:$BT293,,T293)*(1-R293)+INDEX(Models!$BJ293:$BT293,,T293+1)*R293-ERP_i)*Q293*Ramure*Pc/MaxiM</f>
        <v>4.0581937391038076E-4</v>
      </c>
      <c r="Q293" s="305">
        <f t="shared" si="102"/>
        <v>0.7</v>
      </c>
      <c r="R293" s="177">
        <f t="shared" si="103"/>
        <v>0.99631025651194438</v>
      </c>
      <c r="S293" s="921">
        <f t="shared" si="104"/>
        <v>-2</v>
      </c>
      <c r="T293" s="176">
        <f t="shared" si="105"/>
        <v>4</v>
      </c>
      <c r="U293" s="251">
        <f t="shared" si="106"/>
        <v>-1.0036897434880556</v>
      </c>
      <c r="V293" s="383">
        <f t="shared" si="107"/>
        <v>41.525484734671934</v>
      </c>
      <c r="W293" s="58"/>
      <c r="X293" s="157">
        <f t="shared" si="108"/>
        <v>43744</v>
      </c>
      <c r="Y293" s="385">
        <f t="shared" si="109"/>
        <v>17.731999999999999</v>
      </c>
      <c r="Z293" s="385">
        <f t="shared" si="110"/>
        <v>17.927650162499027</v>
      </c>
      <c r="AA293" s="386">
        <f t="shared" si="111"/>
        <v>19.040707048625041</v>
      </c>
      <c r="AB293" s="197">
        <f t="shared" si="112"/>
        <v>43744</v>
      </c>
      <c r="AC293" s="427">
        <f>IF(OR(t&lt;Tnet,NoTnet),'2018'!Resal_s+('2018'!Salim-'2018'!Resal_s)*(1-EXP(('2018'!Tnet_s-t)/'2018'!Tau_j)),Resal_s+(Salim-Resal_s)*(1-EXP((Tnet_s-t)/Tau_j)))*Salcycl</f>
        <v>5.8456699285565128E-2</v>
      </c>
      <c r="AD293" s="231">
        <f>(INDEX(Models!$BJ293:$BT293,,AH293)*(1-AF293)+INDEX(Models!$BJ293:$BT293,,AH293+1)*AF293-ERP_i)*AE293*Ramure*Pc/MaxiM</f>
        <v>4.0581937391038076E-4</v>
      </c>
      <c r="AE293" s="305">
        <f t="shared" si="113"/>
        <v>0.7</v>
      </c>
      <c r="AF293" s="177">
        <f t="shared" si="114"/>
        <v>0.99631025651194438</v>
      </c>
      <c r="AG293" s="176">
        <f t="shared" si="115"/>
        <v>-2</v>
      </c>
      <c r="AH293" s="176">
        <f t="shared" si="116"/>
        <v>4</v>
      </c>
      <c r="AI293" s="225">
        <f t="shared" si="117"/>
        <v>-1.0036897434880556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20">
        <v>30.891999999999999</v>
      </c>
      <c r="C294" s="390"/>
      <c r="D294" s="393">
        <f t="shared" si="99"/>
        <v>31.233538190061317</v>
      </c>
      <c r="E294" s="385">
        <f t="shared" si="97"/>
        <v>33.176530770923989</v>
      </c>
      <c r="F294" s="385">
        <f t="shared" si="100"/>
        <v>33.185430353119671</v>
      </c>
      <c r="G294" s="110">
        <f t="shared" si="98"/>
        <v>0.74812670391564862</v>
      </c>
      <c r="H294" s="414" t="b">
        <f>Wh_hp&gt;='2018'!Maxi_hp</f>
        <v>1</v>
      </c>
      <c r="I294" s="390">
        <f>IF(H294,Wh_hp,'2018'!Maxi_hp)</f>
        <v>33.185430353119671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1.0934982389218972E-2</v>
      </c>
      <c r="M294" s="959"/>
      <c r="N294" s="959"/>
      <c r="O294" s="48">
        <f>IF(t&lt;Tnet,'2018'!Resal+('2018'!Salim-'2018'!Resal)*(1-EXP(('2018'!Tnet-t)/('2018'!Tau_j))),Resal+(Salim-Resal)*(1-EXP((Tnet-t)/(Tau_j))))*Salcycl</f>
        <v>5.8565272971986548E-2</v>
      </c>
      <c r="P294" s="169">
        <f>(INDEX(Models!$BJ294:$BT294,,T294)*(1-R294)+INDEX(Models!$BJ294:$BT294,,T294+1)*R294-ERP_i)*Q294*Ramure*Pc/MaxiM</f>
        <v>4.1880334251186412E-4</v>
      </c>
      <c r="Q294" s="305">
        <f t="shared" si="102"/>
        <v>0.7</v>
      </c>
      <c r="R294" s="177">
        <f t="shared" si="103"/>
        <v>0.99646583529846722</v>
      </c>
      <c r="S294" s="921">
        <f t="shared" si="104"/>
        <v>-2</v>
      </c>
      <c r="T294" s="176">
        <f t="shared" si="105"/>
        <v>4</v>
      </c>
      <c r="U294" s="251">
        <f t="shared" si="106"/>
        <v>-1.0035341647015328</v>
      </c>
      <c r="V294" s="383">
        <f t="shared" si="107"/>
        <v>41.286249312185383</v>
      </c>
      <c r="W294" s="58"/>
      <c r="X294" s="157">
        <f t="shared" si="108"/>
        <v>43745</v>
      </c>
      <c r="Y294" s="385">
        <f t="shared" si="109"/>
        <v>30.891999999999996</v>
      </c>
      <c r="Z294" s="385">
        <f t="shared" si="110"/>
        <v>31.233538190061314</v>
      </c>
      <c r="AA294" s="386">
        <f t="shared" si="111"/>
        <v>33.176530770923989</v>
      </c>
      <c r="AB294" s="197">
        <f t="shared" si="112"/>
        <v>43745</v>
      </c>
      <c r="AC294" s="427">
        <f>IF(OR(t&lt;Tnet,NoTnet),'2018'!Resal_s+('2018'!Salim-'2018'!Resal_s)*(1-EXP(('2018'!Tnet_s-t)/'2018'!Tau_j)),Resal_s+(Salim-Resal_s)*(1-EXP((Tnet_s-t)/Tau_j)))*Salcycl</f>
        <v>5.8565272971986548E-2</v>
      </c>
      <c r="AD294" s="231">
        <f>(INDEX(Models!$BJ294:$BT294,,AH294)*(1-AF294)+INDEX(Models!$BJ294:$BT294,,AH294+1)*AF294-ERP_i)*AE294*Ramure*Pc/MaxiM</f>
        <v>4.1880334251186412E-4</v>
      </c>
      <c r="AE294" s="305">
        <f t="shared" si="113"/>
        <v>0.7</v>
      </c>
      <c r="AF294" s="177">
        <f t="shared" si="114"/>
        <v>0.99646583529846722</v>
      </c>
      <c r="AG294" s="176">
        <f t="shared" si="115"/>
        <v>-2</v>
      </c>
      <c r="AH294" s="176">
        <f t="shared" si="116"/>
        <v>4</v>
      </c>
      <c r="AI294" s="225">
        <f t="shared" si="117"/>
        <v>-1.0035341647015328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20">
        <v>38.061999999999998</v>
      </c>
      <c r="C295" s="390"/>
      <c r="D295" s="393">
        <f t="shared" si="99"/>
        <v>38.483651727657914</v>
      </c>
      <c r="E295" s="385">
        <f t="shared" si="97"/>
        <v>40.882304841521979</v>
      </c>
      <c r="F295" s="385">
        <f t="shared" si="100"/>
        <v>40.898092427700632</v>
      </c>
      <c r="G295" s="110">
        <f t="shared" si="98"/>
        <v>0.92730165649528118</v>
      </c>
      <c r="H295" s="414" t="b">
        <f>Wh_hp&gt;='2018'!Maxi_hp</f>
        <v>1</v>
      </c>
      <c r="I295" s="390">
        <f>IF(H295,Wh_hp,'2018'!Maxi_hp)</f>
        <v>40.898092427700632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1.0956645451473124E-2</v>
      </c>
      <c r="M295" s="959"/>
      <c r="N295" s="959"/>
      <c r="O295" s="48">
        <f>IF(t&lt;Tnet,'2018'!Resal+('2018'!Salim-'2018'!Resal)*(1-EXP(('2018'!Tnet-t)/('2018'!Tau_j))),Resal+(Salim-Resal)*(1-EXP((Tnet-t)/(Tau_j))))*Salcycl</f>
        <v>5.8672159584991966E-2</v>
      </c>
      <c r="P295" s="169">
        <f>(INDEX(Models!$BJ295:$BT295,,T295)*(1-R295)+INDEX(Models!$BJ295:$BT295,,T295+1)*R295-ERP_i)*Q295*Ramure*Pc/MaxiM</f>
        <v>4.3073044951140888E-4</v>
      </c>
      <c r="Q295" s="305">
        <f t="shared" si="102"/>
        <v>0.7</v>
      </c>
      <c r="R295" s="177">
        <f t="shared" si="103"/>
        <v>0.99661524166432836</v>
      </c>
      <c r="S295" s="921">
        <f t="shared" si="104"/>
        <v>-2</v>
      </c>
      <c r="T295" s="176">
        <f t="shared" si="105"/>
        <v>4</v>
      </c>
      <c r="U295" s="251">
        <f t="shared" si="106"/>
        <v>-1.0033847583356716</v>
      </c>
      <c r="V295" s="383">
        <f t="shared" si="107"/>
        <v>41.044138554515094</v>
      </c>
      <c r="W295" s="58"/>
      <c r="X295" s="157">
        <f t="shared" si="108"/>
        <v>43746</v>
      </c>
      <c r="Y295" s="385">
        <f t="shared" si="109"/>
        <v>38.061999999999998</v>
      </c>
      <c r="Z295" s="385">
        <f t="shared" si="110"/>
        <v>38.483651727657914</v>
      </c>
      <c r="AA295" s="386">
        <f t="shared" si="111"/>
        <v>40.882304841521979</v>
      </c>
      <c r="AB295" s="197">
        <f t="shared" si="112"/>
        <v>43746</v>
      </c>
      <c r="AC295" s="427">
        <f>IF(OR(t&lt;Tnet,NoTnet),'2018'!Resal_s+('2018'!Salim-'2018'!Resal_s)*(1-EXP(('2018'!Tnet_s-t)/'2018'!Tau_j)),Resal_s+(Salim-Resal_s)*(1-EXP((Tnet_s-t)/Tau_j)))*Salcycl</f>
        <v>5.8672159584991966E-2</v>
      </c>
      <c r="AD295" s="231">
        <f>(INDEX(Models!$BJ295:$BT295,,AH295)*(1-AF295)+INDEX(Models!$BJ295:$BT295,,AH295+1)*AF295-ERP_i)*AE295*Ramure*Pc/MaxiM</f>
        <v>4.3073044951140888E-4</v>
      </c>
      <c r="AE295" s="305">
        <f t="shared" si="113"/>
        <v>0.7</v>
      </c>
      <c r="AF295" s="177">
        <f t="shared" si="114"/>
        <v>0.99661524166432836</v>
      </c>
      <c r="AG295" s="176">
        <f t="shared" si="115"/>
        <v>-2</v>
      </c>
      <c r="AH295" s="176">
        <f t="shared" si="116"/>
        <v>4</v>
      </c>
      <c r="AI295" s="225">
        <f t="shared" si="117"/>
        <v>-1.0033847583356716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20">
        <v>8.9359999999999999</v>
      </c>
      <c r="C296" s="390"/>
      <c r="D296" s="393">
        <f t="shared" si="99"/>
        <v>9.0351911112123879</v>
      </c>
      <c r="E296" s="385">
        <f t="shared" si="97"/>
        <v>9.5994196367551119</v>
      </c>
      <c r="F296" s="385">
        <f t="shared" si="100"/>
        <v>9.5994196367551119</v>
      </c>
      <c r="G296" s="110">
        <f t="shared" si="98"/>
        <v>0.2189262741435736</v>
      </c>
      <c r="H296" s="414" t="b">
        <f>Wh_hp&gt;='2018'!Maxi_hp</f>
        <v>0</v>
      </c>
      <c r="I296" s="390">
        <f>IF(H296,Wh_hp,'2018'!Maxi_hp)</f>
        <v>36.705511878602785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1.0978308039250595E-2</v>
      </c>
      <c r="M296" s="959"/>
      <c r="N296" s="959"/>
      <c r="O296" s="48">
        <f>IF(t&lt;Tnet,'2018'!Resal+('2018'!Salim-'2018'!Resal)*(1-EXP(('2018'!Tnet-t)/('2018'!Tau_j))),Resal+(Salim-Resal)*(1-EXP((Tnet-t)/(Tau_j))))*Salcycl</f>
        <v>5.8777358100103899E-2</v>
      </c>
      <c r="P296" s="169">
        <f>(INDEX(Models!$BJ296:$BT296,,T296)*(1-R296)+INDEX(Models!$BJ296:$BT296,,T296+1)*R296-ERP_i)*Q296*Ramure*Pc/MaxiM</f>
        <v>4.4113681053672938E-4</v>
      </c>
      <c r="Q296" s="305">
        <f t="shared" si="102"/>
        <v>0.7</v>
      </c>
      <c r="R296" s="177">
        <f t="shared" si="103"/>
        <v>0.99675871697499097</v>
      </c>
      <c r="S296" s="921">
        <f t="shared" si="104"/>
        <v>-2</v>
      </c>
      <c r="T296" s="176">
        <f t="shared" si="105"/>
        <v>4</v>
      </c>
      <c r="U296" s="251">
        <f t="shared" si="106"/>
        <v>-1.003241283025009</v>
      </c>
      <c r="V296" s="383">
        <f t="shared" si="107"/>
        <v>40.799387996725002</v>
      </c>
      <c r="W296" s="58"/>
      <c r="X296" s="157">
        <f t="shared" si="108"/>
        <v>43747</v>
      </c>
      <c r="Y296" s="385">
        <f t="shared" si="109"/>
        <v>8.9359999999999999</v>
      </c>
      <c r="Z296" s="385">
        <f t="shared" si="110"/>
        <v>9.0351911112123879</v>
      </c>
      <c r="AA296" s="386">
        <f t="shared" si="111"/>
        <v>9.5994196367551119</v>
      </c>
      <c r="AB296" s="197">
        <f t="shared" si="112"/>
        <v>43747</v>
      </c>
      <c r="AC296" s="427">
        <f>IF(OR(t&lt;Tnet,NoTnet),'2018'!Resal_s+('2018'!Salim-'2018'!Resal_s)*(1-EXP(('2018'!Tnet_s-t)/'2018'!Tau_j)),Resal_s+(Salim-Resal_s)*(1-EXP((Tnet_s-t)/Tau_j)))*Salcycl</f>
        <v>5.8777358100103899E-2</v>
      </c>
      <c r="AD296" s="231">
        <f>(INDEX(Models!$BJ296:$BT296,,AH296)*(1-AF296)+INDEX(Models!$BJ296:$BT296,,AH296+1)*AF296-ERP_i)*AE296*Ramure*Pc/MaxiM</f>
        <v>4.4113681053672938E-4</v>
      </c>
      <c r="AE296" s="305">
        <f t="shared" si="113"/>
        <v>0.7</v>
      </c>
      <c r="AF296" s="177">
        <f t="shared" si="114"/>
        <v>0.99675871697499097</v>
      </c>
      <c r="AG296" s="176">
        <f t="shared" si="115"/>
        <v>-2</v>
      </c>
      <c r="AH296" s="176">
        <f t="shared" si="116"/>
        <v>4</v>
      </c>
      <c r="AI296" s="225">
        <f t="shared" si="117"/>
        <v>-1.003241283025009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20">
        <v>29.606000000000002</v>
      </c>
      <c r="C297" s="390"/>
      <c r="D297" s="393">
        <f t="shared" si="99"/>
        <v>29.935287266439197</v>
      </c>
      <c r="E297" s="385">
        <f t="shared" ref="E297:E360" si="121">Wh_pvt/(1-Psa)</f>
        <v>31.808180614481032</v>
      </c>
      <c r="F297" s="385">
        <f t="shared" si="100"/>
        <v>31.816976703345219</v>
      </c>
      <c r="G297" s="110">
        <f t="shared" ref="G297:G360" si="122">+Wh_hp/MaxiM</f>
        <v>0.7299443710477006</v>
      </c>
      <c r="H297" s="414" t="b">
        <f>Wh_hp&gt;='2018'!Maxi_hp</f>
        <v>1</v>
      </c>
      <c r="I297" s="390">
        <f>IF(H297,Wh_hp,'2018'!Maxi_hp)</f>
        <v>31.816976703345219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1.0999970152561822E-2</v>
      </c>
      <c r="M297" s="959"/>
      <c r="N297" s="959"/>
      <c r="O297" s="48">
        <f>IF(t&lt;Tnet,'2018'!Resal+('2018'!Salim-'2018'!Resal)*(1-EXP(('2018'!Tnet-t)/('2018'!Tau_j))),Resal+(Salim-Resal)*(1-EXP((Tnet-t)/(Tau_j))))*Salcycl</f>
        <v>5.8880870010816613E-2</v>
      </c>
      <c r="P297" s="169">
        <f>(INDEX(Models!$BJ297:$BT297,,T297)*(1-R297)+INDEX(Models!$BJ297:$BT297,,T297+1)*R297-ERP_i)*Q297*Ramure*Pc/MaxiM</f>
        <v>4.499751117937788E-4</v>
      </c>
      <c r="Q297" s="305">
        <f t="shared" si="102"/>
        <v>0.7</v>
      </c>
      <c r="R297" s="177">
        <f t="shared" si="103"/>
        <v>0.996896493433582</v>
      </c>
      <c r="S297" s="921">
        <f t="shared" si="104"/>
        <v>-2</v>
      </c>
      <c r="T297" s="176">
        <f t="shared" si="105"/>
        <v>4</v>
      </c>
      <c r="U297" s="251">
        <f t="shared" si="106"/>
        <v>-1.003103506566418</v>
      </c>
      <c r="V297" s="383">
        <f t="shared" si="107"/>
        <v>40.552215531524169</v>
      </c>
      <c r="W297" s="58"/>
      <c r="X297" s="157">
        <f t="shared" si="108"/>
        <v>43748</v>
      </c>
      <c r="Y297" s="385">
        <f t="shared" si="109"/>
        <v>29.606000000000002</v>
      </c>
      <c r="Z297" s="385">
        <f t="shared" si="110"/>
        <v>29.935287266439197</v>
      </c>
      <c r="AA297" s="386">
        <f t="shared" si="111"/>
        <v>31.808180614481032</v>
      </c>
      <c r="AB297" s="197">
        <f t="shared" si="112"/>
        <v>43748</v>
      </c>
      <c r="AC297" s="427">
        <f>IF(OR(t&lt;Tnet,NoTnet),'2018'!Resal_s+('2018'!Salim-'2018'!Resal_s)*(1-EXP(('2018'!Tnet_s-t)/'2018'!Tau_j)),Resal_s+(Salim-Resal_s)*(1-EXP((Tnet_s-t)/Tau_j)))*Salcycl</f>
        <v>5.8880870010816613E-2</v>
      </c>
      <c r="AD297" s="231">
        <f>(INDEX(Models!$BJ297:$BT297,,AH297)*(1-AF297)+INDEX(Models!$BJ297:$BT297,,AH297+1)*AF297-ERP_i)*AE297*Ramure*Pc/MaxiM</f>
        <v>4.499751117937788E-4</v>
      </c>
      <c r="AE297" s="305">
        <f t="shared" si="113"/>
        <v>0.7</v>
      </c>
      <c r="AF297" s="177">
        <f t="shared" si="114"/>
        <v>0.996896493433582</v>
      </c>
      <c r="AG297" s="176">
        <f t="shared" si="115"/>
        <v>-2</v>
      </c>
      <c r="AH297" s="176">
        <f t="shared" si="116"/>
        <v>4</v>
      </c>
      <c r="AI297" s="225">
        <f t="shared" si="117"/>
        <v>-1.003103506566418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20">
        <v>39.968000000000004</v>
      </c>
      <c r="C298" s="390"/>
      <c r="D298" s="393">
        <f t="shared" si="99"/>
        <v>40.41342185511833</v>
      </c>
      <c r="E298" s="385">
        <f t="shared" si="121"/>
        <v>42.946523759476591</v>
      </c>
      <c r="F298" s="385">
        <f t="shared" si="100"/>
        <v>42.965935977053093</v>
      </c>
      <c r="G298" s="110">
        <f t="shared" si="122"/>
        <v>0.99168658134839716</v>
      </c>
      <c r="H298" s="414" t="b">
        <f>Wh_hp&gt;='2018'!Maxi_hp</f>
        <v>1</v>
      </c>
      <c r="I298" s="390">
        <f>IF(H298,Wh_hp,'2018'!Maxi_hp)</f>
        <v>42.965935977053093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1.102163179141713E-2</v>
      </c>
      <c r="M298" s="959"/>
      <c r="N298" s="959"/>
      <c r="O298" s="48">
        <f>IF(t&lt;Tnet,'2018'!Resal+('2018'!Salim-'2018'!Resal)*(1-EXP(('2018'!Tnet-t)/('2018'!Tau_j))),Resal+(Salim-Resal)*(1-EXP((Tnet-t)/(Tau_j))))*Salcycl</f>
        <v>5.8982699474001282E-2</v>
      </c>
      <c r="P298" s="169">
        <f>(INDEX(Models!$BJ298:$BT298,,T298)*(1-R298)+INDEX(Models!$BJ298:$BT298,,T298+1)*R298-ERP_i)*Q298*Ramure*Pc/MaxiM</f>
        <v>4.5723154192293735E-4</v>
      </c>
      <c r="Q298" s="305">
        <f t="shared" si="102"/>
        <v>0.7</v>
      </c>
      <c r="R298" s="177">
        <f t="shared" si="103"/>
        <v>0.99702879440694847</v>
      </c>
      <c r="S298" s="921">
        <f t="shared" si="104"/>
        <v>-2</v>
      </c>
      <c r="T298" s="176">
        <f t="shared" si="105"/>
        <v>4</v>
      </c>
      <c r="U298" s="251">
        <f t="shared" si="106"/>
        <v>-1.0029712055930515</v>
      </c>
      <c r="V298" s="383">
        <f t="shared" si="107"/>
        <v>40.302837367184665</v>
      </c>
      <c r="W298" s="58"/>
      <c r="X298" s="157">
        <f t="shared" si="108"/>
        <v>43749</v>
      </c>
      <c r="Y298" s="385">
        <f t="shared" si="109"/>
        <v>39.968000000000004</v>
      </c>
      <c r="Z298" s="385">
        <f t="shared" si="110"/>
        <v>40.41342185511833</v>
      </c>
      <c r="AA298" s="386">
        <f t="shared" si="111"/>
        <v>42.946523759476591</v>
      </c>
      <c r="AB298" s="197">
        <f t="shared" si="112"/>
        <v>43749</v>
      </c>
      <c r="AC298" s="427">
        <f>IF(OR(t&lt;Tnet,NoTnet),'2018'!Resal_s+('2018'!Salim-'2018'!Resal_s)*(1-EXP(('2018'!Tnet_s-t)/'2018'!Tau_j)),Resal_s+(Salim-Resal_s)*(1-EXP((Tnet_s-t)/Tau_j)))*Salcycl</f>
        <v>5.8982699474001282E-2</v>
      </c>
      <c r="AD298" s="231">
        <f>(INDEX(Models!$BJ298:$BT298,,AH298)*(1-AF298)+INDEX(Models!$BJ298:$BT298,,AH298+1)*AF298-ERP_i)*AE298*Ramure*Pc/MaxiM</f>
        <v>4.5723154192293735E-4</v>
      </c>
      <c r="AE298" s="305">
        <f t="shared" si="113"/>
        <v>0.7</v>
      </c>
      <c r="AF298" s="177">
        <f t="shared" si="114"/>
        <v>0.99702879440694847</v>
      </c>
      <c r="AG298" s="176">
        <f t="shared" si="115"/>
        <v>-2</v>
      </c>
      <c r="AH298" s="176">
        <f t="shared" si="116"/>
        <v>4</v>
      </c>
      <c r="AI298" s="225">
        <f t="shared" si="117"/>
        <v>-1.0029712055930515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20">
        <v>19.896000000000001</v>
      </c>
      <c r="C299" s="390"/>
      <c r="D299" s="393">
        <f t="shared" si="99"/>
        <v>20.11817085448142</v>
      </c>
      <c r="E299" s="385">
        <f t="shared" si="121"/>
        <v>21.381447801358707</v>
      </c>
      <c r="F299" s="385">
        <f t="shared" si="100"/>
        <v>21.384230169165413</v>
      </c>
      <c r="G299" s="110">
        <f t="shared" si="122"/>
        <v>0.49659546713674912</v>
      </c>
      <c r="H299" s="414" t="b">
        <f>Wh_hp&gt;='2018'!Maxi_hp</f>
        <v>0</v>
      </c>
      <c r="I299" s="390">
        <f>IF(H299,Wh_hp,'2018'!Maxi_hp)</f>
        <v>40.471947544594585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1.1043292955826955E-2</v>
      </c>
      <c r="M299" s="959"/>
      <c r="N299" s="959"/>
      <c r="O299" s="48">
        <f>IF(t&lt;Tnet,'2018'!Resal+('2018'!Salim-'2018'!Resal)*(1-EXP(('2018'!Tnet-t)/('2018'!Tau_j))),Resal+(Salim-Resal)*(1-EXP((Tnet-t)/(Tau_j))))*Salcycl</f>
        <v>5.9082853444424398E-2</v>
      </c>
      <c r="P299" s="169">
        <f>(INDEX(Models!$BJ299:$BT299,,T299)*(1-R299)+INDEX(Models!$BJ299:$BT299,,T299+1)*R299-ERP_i)*Q299*Ramure*Pc/MaxiM</f>
        <v>4.6289274976132145E-4</v>
      </c>
      <c r="Q299" s="305">
        <f t="shared" si="102"/>
        <v>0.7</v>
      </c>
      <c r="R299" s="177">
        <f t="shared" si="103"/>
        <v>0.99715583474184988</v>
      </c>
      <c r="S299" s="921">
        <f t="shared" si="104"/>
        <v>-2</v>
      </c>
      <c r="T299" s="176">
        <f t="shared" si="105"/>
        <v>4</v>
      </c>
      <c r="U299" s="251">
        <f t="shared" si="106"/>
        <v>-1.0028441652581501</v>
      </c>
      <c r="V299" s="383">
        <f t="shared" si="107"/>
        <v>40.051469395304927</v>
      </c>
      <c r="W299" s="58"/>
      <c r="X299" s="157">
        <f t="shared" si="108"/>
        <v>43750</v>
      </c>
      <c r="Y299" s="385">
        <f t="shared" si="109"/>
        <v>19.896000000000001</v>
      </c>
      <c r="Z299" s="385">
        <f t="shared" si="110"/>
        <v>20.11817085448142</v>
      </c>
      <c r="AA299" s="386">
        <f t="shared" si="111"/>
        <v>21.381447801358707</v>
      </c>
      <c r="AB299" s="197">
        <f t="shared" si="112"/>
        <v>43750</v>
      </c>
      <c r="AC299" s="427">
        <f>IF(OR(t&lt;Tnet,NoTnet),'2018'!Resal_s+('2018'!Salim-'2018'!Resal_s)*(1-EXP(('2018'!Tnet_s-t)/'2018'!Tau_j)),Resal_s+(Salim-Resal_s)*(1-EXP((Tnet_s-t)/Tau_j)))*Salcycl</f>
        <v>5.9082853444424398E-2</v>
      </c>
      <c r="AD299" s="231">
        <f>(INDEX(Models!$BJ299:$BT299,,AH299)*(1-AF299)+INDEX(Models!$BJ299:$BT299,,AH299+1)*AF299-ERP_i)*AE299*Ramure*Pc/MaxiM</f>
        <v>4.6289274976132145E-4</v>
      </c>
      <c r="AE299" s="305">
        <f t="shared" si="113"/>
        <v>0.7</v>
      </c>
      <c r="AF299" s="177">
        <f t="shared" si="114"/>
        <v>0.99715583474184988</v>
      </c>
      <c r="AG299" s="176">
        <f t="shared" si="115"/>
        <v>-2</v>
      </c>
      <c r="AH299" s="176">
        <f t="shared" si="116"/>
        <v>4</v>
      </c>
      <c r="AI299" s="225">
        <f t="shared" si="117"/>
        <v>-1.0028441652581501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20">
        <v>38.165999999999997</v>
      </c>
      <c r="C300" s="390"/>
      <c r="D300" s="393">
        <f t="shared" si="99"/>
        <v>38.593030088985657</v>
      </c>
      <c r="E300" s="385">
        <f t="shared" si="121"/>
        <v>41.020689537232634</v>
      </c>
      <c r="F300" s="385">
        <f t="shared" si="100"/>
        <v>41.038729599738197</v>
      </c>
      <c r="G300" s="110">
        <f t="shared" si="122"/>
        <v>0.95895878098159149</v>
      </c>
      <c r="H300" s="414" t="b">
        <f>Wh_hp&gt;='2018'!Maxi_hp</f>
        <v>1</v>
      </c>
      <c r="I300" s="390">
        <f>IF(H300,Wh_hp,'2018'!Maxi_hp)</f>
        <v>41.038729599738197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1.1064953645801734E-2</v>
      </c>
      <c r="M300" s="959"/>
      <c r="N300" s="959"/>
      <c r="O300" s="48">
        <f>IF(t&lt;Tnet,'2018'!Resal+('2018'!Salim-'2018'!Resal)*(1-EXP(('2018'!Tnet-t)/('2018'!Tau_j))),Resal+(Salim-Resal)*(1-EXP((Tnet-t)/(Tau_j))))*Salcycl</f>
        <v>5.9181341796887728E-2</v>
      </c>
      <c r="P300" s="169">
        <f>(INDEX(Models!$BJ300:$BT300,,T300)*(1-R300)+INDEX(Models!$BJ300:$BT300,,T300+1)*R300-ERP_i)*Q300*Ramure*Pc/MaxiM</f>
        <v>4.6694595840057496E-4</v>
      </c>
      <c r="Q300" s="305">
        <f t="shared" si="102"/>
        <v>0.7</v>
      </c>
      <c r="R300" s="177">
        <f t="shared" si="103"/>
        <v>0.99727782107144414</v>
      </c>
      <c r="S300" s="921">
        <f t="shared" si="104"/>
        <v>-2</v>
      </c>
      <c r="T300" s="176">
        <f t="shared" si="105"/>
        <v>4</v>
      </c>
      <c r="U300" s="251">
        <f t="shared" si="106"/>
        <v>-1.0027221789285559</v>
      </c>
      <c r="V300" s="383">
        <f t="shared" si="107"/>
        <v>39.79832719426124</v>
      </c>
      <c r="W300" s="58"/>
      <c r="X300" s="157">
        <f t="shared" si="108"/>
        <v>43751</v>
      </c>
      <c r="Y300" s="385">
        <f t="shared" si="109"/>
        <v>38.165999999999997</v>
      </c>
      <c r="Z300" s="385">
        <f t="shared" si="110"/>
        <v>38.593030088985657</v>
      </c>
      <c r="AA300" s="386">
        <f t="shared" si="111"/>
        <v>41.020689537232634</v>
      </c>
      <c r="AB300" s="197">
        <f t="shared" si="112"/>
        <v>43751</v>
      </c>
      <c r="AC300" s="427">
        <f>IF(OR(t&lt;Tnet,NoTnet),'2018'!Resal_s+('2018'!Salim-'2018'!Resal_s)*(1-EXP(('2018'!Tnet_s-t)/'2018'!Tau_j)),Resal_s+(Salim-Resal_s)*(1-EXP((Tnet_s-t)/Tau_j)))*Salcycl</f>
        <v>5.9181341796887728E-2</v>
      </c>
      <c r="AD300" s="231">
        <f>(INDEX(Models!$BJ300:$BT300,,AH300)*(1-AF300)+INDEX(Models!$BJ300:$BT300,,AH300+1)*AF300-ERP_i)*AE300*Ramure*Pc/MaxiM</f>
        <v>4.6694595840057496E-4</v>
      </c>
      <c r="AE300" s="305">
        <f t="shared" si="113"/>
        <v>0.7</v>
      </c>
      <c r="AF300" s="177">
        <f t="shared" si="114"/>
        <v>0.99727782107144414</v>
      </c>
      <c r="AG300" s="176">
        <f t="shared" si="115"/>
        <v>-2</v>
      </c>
      <c r="AH300" s="176">
        <f t="shared" si="116"/>
        <v>4</v>
      </c>
      <c r="AI300" s="225">
        <f t="shared" si="117"/>
        <v>-1.0027221789285559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20">
        <v>11.289</v>
      </c>
      <c r="C301" s="390"/>
      <c r="D301" s="393">
        <f t="shared" si="99"/>
        <v>11.415559904674254</v>
      </c>
      <c r="E301" s="385">
        <f t="shared" si="121"/>
        <v>12.134894323534398</v>
      </c>
      <c r="F301" s="385">
        <f t="shared" si="100"/>
        <v>12.134894323534398</v>
      </c>
      <c r="G301" s="110">
        <f t="shared" si="122"/>
        <v>0.28534816635905613</v>
      </c>
      <c r="H301" s="414" t="b">
        <f>Wh_hp&gt;='2018'!Maxi_hp</f>
        <v>0</v>
      </c>
      <c r="I301" s="390">
        <f>IF(H301,Wh_hp,'2018'!Maxi_hp)</f>
        <v>35.424353260670031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1.1086613861351791E-2</v>
      </c>
      <c r="M301" s="959"/>
      <c r="N301" s="959"/>
      <c r="O301" s="48">
        <f>IF(t&lt;Tnet,'2018'!Resal+('2018'!Salim-'2018'!Resal)*(1-EXP(('2018'!Tnet-t)/('2018'!Tau_j))),Resal+(Salim-Resal)*(1-EXP((Tnet-t)/(Tau_j))))*Salcycl</f>
        <v>5.9278177434563144E-2</v>
      </c>
      <c r="P301" s="169">
        <f>(INDEX(Models!$BJ301:$BT301,,T301)*(1-R301)+INDEX(Models!$BJ301:$BT301,,T301+1)*R301-ERP_i)*Q301*Ramure*Pc/MaxiM</f>
        <v>4.6937907380036352E-4</v>
      </c>
      <c r="Q301" s="305">
        <f t="shared" si="102"/>
        <v>0.7</v>
      </c>
      <c r="R301" s="177">
        <f t="shared" si="103"/>
        <v>0.99739495211222495</v>
      </c>
      <c r="S301" s="921">
        <f t="shared" si="104"/>
        <v>-2</v>
      </c>
      <c r="T301" s="176">
        <f t="shared" si="105"/>
        <v>4</v>
      </c>
      <c r="U301" s="251">
        <f t="shared" si="106"/>
        <v>-1.002605047887775</v>
      </c>
      <c r="V301" s="383">
        <f t="shared" si="107"/>
        <v>39.543626032758475</v>
      </c>
      <c r="W301" s="58"/>
      <c r="X301" s="157">
        <f t="shared" si="108"/>
        <v>43752</v>
      </c>
      <c r="Y301" s="385">
        <f t="shared" si="109"/>
        <v>11.289</v>
      </c>
      <c r="Z301" s="385">
        <f t="shared" si="110"/>
        <v>11.415559904674254</v>
      </c>
      <c r="AA301" s="386">
        <f t="shared" si="111"/>
        <v>12.134894323534398</v>
      </c>
      <c r="AB301" s="197">
        <f t="shared" si="112"/>
        <v>43752</v>
      </c>
      <c r="AC301" s="427">
        <f>IF(OR(t&lt;Tnet,NoTnet),'2018'!Resal_s+('2018'!Salim-'2018'!Resal_s)*(1-EXP(('2018'!Tnet_s-t)/'2018'!Tau_j)),Resal_s+(Salim-Resal_s)*(1-EXP((Tnet_s-t)/Tau_j)))*Salcycl</f>
        <v>5.9278177434563144E-2</v>
      </c>
      <c r="AD301" s="231">
        <f>(INDEX(Models!$BJ301:$BT301,,AH301)*(1-AF301)+INDEX(Models!$BJ301:$BT301,,AH301+1)*AF301-ERP_i)*AE301*Ramure*Pc/MaxiM</f>
        <v>4.6937907380036352E-4</v>
      </c>
      <c r="AE301" s="305">
        <f t="shared" si="113"/>
        <v>0.7</v>
      </c>
      <c r="AF301" s="177">
        <f t="shared" si="114"/>
        <v>0.99739495211222495</v>
      </c>
      <c r="AG301" s="176">
        <f t="shared" si="115"/>
        <v>-2</v>
      </c>
      <c r="AH301" s="176">
        <f t="shared" si="116"/>
        <v>4</v>
      </c>
      <c r="AI301" s="225">
        <f t="shared" si="117"/>
        <v>-1.002605047887775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20">
        <v>29.2</v>
      </c>
      <c r="C302" s="390"/>
      <c r="D302" s="393">
        <f t="shared" si="99"/>
        <v>29.528005160255784</v>
      </c>
      <c r="E302" s="385">
        <f t="shared" si="121"/>
        <v>31.391844988062957</v>
      </c>
      <c r="F302" s="385">
        <f t="shared" si="100"/>
        <v>31.401193648979611</v>
      </c>
      <c r="G302" s="110">
        <f t="shared" si="122"/>
        <v>0.74310919382532747</v>
      </c>
      <c r="H302" s="414" t="b">
        <f>Wh_hp&gt;='2018'!Maxi_hp</f>
        <v>1</v>
      </c>
      <c r="I302" s="390">
        <f>IF(H302,Wh_hp,'2018'!Maxi_hp)</f>
        <v>31.401193648979611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1.1108273602487562E-2</v>
      </c>
      <c r="M302" s="959"/>
      <c r="N302" s="959"/>
      <c r="O302" s="48">
        <f>IF(t&lt;Tnet,'2018'!Resal+('2018'!Salim-'2018'!Resal)*(1-EXP(('2018'!Tnet-t)/('2018'!Tau_j))),Resal+(Salim-Resal)*(1-EXP((Tnet-t)/(Tau_j))))*Salcycl</f>
        <v>5.9373376382175505E-2</v>
      </c>
      <c r="P302" s="169">
        <f>(INDEX(Models!$BJ302:$BT302,,T302)*(1-R302)+INDEX(Models!$BJ302:$BT302,,T302+1)*R302-ERP_i)*Q302*Ramure*Pc/MaxiM</f>
        <v>4.7018078701684758E-4</v>
      </c>
      <c r="Q302" s="305">
        <f t="shared" si="102"/>
        <v>0.7</v>
      </c>
      <c r="R302" s="177">
        <f t="shared" si="103"/>
        <v>0.9975074189515909</v>
      </c>
      <c r="S302" s="921">
        <f t="shared" si="104"/>
        <v>-2</v>
      </c>
      <c r="T302" s="176">
        <f t="shared" si="105"/>
        <v>4</v>
      </c>
      <c r="U302" s="251">
        <f t="shared" si="106"/>
        <v>-1.0024925810484091</v>
      </c>
      <c r="V302" s="383">
        <f t="shared" si="107"/>
        <v>39.287580873173766</v>
      </c>
      <c r="W302" s="58"/>
      <c r="X302" s="157">
        <f t="shared" si="108"/>
        <v>43753</v>
      </c>
      <c r="Y302" s="385">
        <f t="shared" si="109"/>
        <v>29.2</v>
      </c>
      <c r="Z302" s="385">
        <f t="shared" si="110"/>
        <v>29.528005160255784</v>
      </c>
      <c r="AA302" s="386">
        <f t="shared" si="111"/>
        <v>31.391844988062957</v>
      </c>
      <c r="AB302" s="197">
        <f t="shared" si="112"/>
        <v>43753</v>
      </c>
      <c r="AC302" s="427">
        <f>IF(OR(t&lt;Tnet,NoTnet),'2018'!Resal_s+('2018'!Salim-'2018'!Resal_s)*(1-EXP(('2018'!Tnet_s-t)/'2018'!Tau_j)),Resal_s+(Salim-Resal_s)*(1-EXP((Tnet_s-t)/Tau_j)))*Salcycl</f>
        <v>5.9373376382175505E-2</v>
      </c>
      <c r="AD302" s="231">
        <f>(INDEX(Models!$BJ302:$BT302,,AH302)*(1-AF302)+INDEX(Models!$BJ302:$BT302,,AH302+1)*AF302-ERP_i)*AE302*Ramure*Pc/MaxiM</f>
        <v>4.7018078701684758E-4</v>
      </c>
      <c r="AE302" s="305">
        <f t="shared" si="113"/>
        <v>0.7</v>
      </c>
      <c r="AF302" s="177">
        <f t="shared" si="114"/>
        <v>0.9975074189515909</v>
      </c>
      <c r="AG302" s="176">
        <f t="shared" si="115"/>
        <v>-2</v>
      </c>
      <c r="AH302" s="176">
        <f t="shared" si="116"/>
        <v>4</v>
      </c>
      <c r="AI302" s="225">
        <f t="shared" si="117"/>
        <v>-1.0024925810484091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20">
        <v>33.329000000000001</v>
      </c>
      <c r="C303" s="390"/>
      <c r="D303" s="393">
        <f t="shared" si="99"/>
        <v>33.704124644711442</v>
      </c>
      <c r="E303" s="385">
        <f t="shared" si="121"/>
        <v>35.835130861669597</v>
      </c>
      <c r="F303" s="385">
        <f t="shared" si="100"/>
        <v>35.848445208152498</v>
      </c>
      <c r="G303" s="110">
        <f t="shared" si="122"/>
        <v>0.85384744748904307</v>
      </c>
      <c r="H303" s="414" t="b">
        <f>Wh_hp&gt;='2018'!Maxi_hp</f>
        <v>1</v>
      </c>
      <c r="I303" s="390">
        <f>IF(H303,Wh_hp,'2018'!Maxi_hp)</f>
        <v>35.848445208152498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1.1129932869219372E-2</v>
      </c>
      <c r="M303" s="959"/>
      <c r="N303" s="959"/>
      <c r="O303" s="48">
        <f>IF(t&lt;Tnet,'2018'!Resal+('2018'!Salim-'2018'!Resal)*(1-EXP(('2018'!Tnet-t)/('2018'!Tau_j))),Resal+(Salim-Resal)*(1-EXP((Tnet-t)/(Tau_j))))*Salcycl</f>
        <v>5.9466957862781208E-2</v>
      </c>
      <c r="P303" s="169">
        <f>(INDEX(Models!$BJ303:$BT303,,T303)*(1-R303)+INDEX(Models!$BJ303:$BT303,,T303+1)*R303-ERP_i)*Q303*Ramure*Pc/MaxiM</f>
        <v>4.6934458598710743E-4</v>
      </c>
      <c r="Q303" s="305">
        <f t="shared" si="102"/>
        <v>0.7</v>
      </c>
      <c r="R303" s="177">
        <f t="shared" si="103"/>
        <v>0.99761540532622384</v>
      </c>
      <c r="S303" s="921">
        <f t="shared" si="104"/>
        <v>-2</v>
      </c>
      <c r="T303" s="176">
        <f t="shared" si="105"/>
        <v>4</v>
      </c>
      <c r="U303" s="251">
        <f t="shared" si="106"/>
        <v>-1.0023845946737762</v>
      </c>
      <c r="V303" s="383">
        <f t="shared" si="107"/>
        <v>39.030080499275236</v>
      </c>
      <c r="W303" s="58"/>
      <c r="X303" s="157">
        <f t="shared" si="108"/>
        <v>43754</v>
      </c>
      <c r="Y303" s="385">
        <f t="shared" si="109"/>
        <v>33.329000000000001</v>
      </c>
      <c r="Z303" s="385">
        <f t="shared" si="110"/>
        <v>33.704124644711442</v>
      </c>
      <c r="AA303" s="386">
        <f t="shared" si="111"/>
        <v>35.835130861669597</v>
      </c>
      <c r="AB303" s="197">
        <f t="shared" si="112"/>
        <v>43754</v>
      </c>
      <c r="AC303" s="427">
        <f>IF(OR(t&lt;Tnet,NoTnet),'2018'!Resal_s+('2018'!Salim-'2018'!Resal_s)*(1-EXP(('2018'!Tnet_s-t)/'2018'!Tau_j)),Resal_s+(Salim-Resal_s)*(1-EXP((Tnet_s-t)/Tau_j)))*Salcycl</f>
        <v>5.9466957862781208E-2</v>
      </c>
      <c r="AD303" s="231">
        <f>(INDEX(Models!$BJ303:$BT303,,AH303)*(1-AF303)+INDEX(Models!$BJ303:$BT303,,AH303+1)*AF303-ERP_i)*AE303*Ramure*Pc/MaxiM</f>
        <v>4.6934458598710743E-4</v>
      </c>
      <c r="AE303" s="305">
        <f t="shared" si="113"/>
        <v>0.7</v>
      </c>
      <c r="AF303" s="177">
        <f t="shared" si="114"/>
        <v>0.99761540532622384</v>
      </c>
      <c r="AG303" s="176">
        <f t="shared" si="115"/>
        <v>-2</v>
      </c>
      <c r="AH303" s="176">
        <f t="shared" si="116"/>
        <v>4</v>
      </c>
      <c r="AI303" s="225">
        <f t="shared" si="117"/>
        <v>-1.0023845946737762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20">
        <v>19.173999999999999</v>
      </c>
      <c r="C304" s="390"/>
      <c r="D304" s="393">
        <f t="shared" si="99"/>
        <v>19.390231948917215</v>
      </c>
      <c r="E304" s="385">
        <f t="shared" si="121"/>
        <v>20.618232086496548</v>
      </c>
      <c r="F304" s="385">
        <f t="shared" si="100"/>
        <v>20.620908536456241</v>
      </c>
      <c r="G304" s="110">
        <f t="shared" si="122"/>
        <v>0.49438069591895578</v>
      </c>
      <c r="H304" s="414" t="b">
        <f>Wh_hp&gt;='2018'!Maxi_hp</f>
        <v>0</v>
      </c>
      <c r="I304" s="390">
        <f>IF(H304,Wh_hp,'2018'!Maxi_hp)</f>
        <v>23.477802408188175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1.1151591661557658E-2</v>
      </c>
      <c r="M304" s="959"/>
      <c r="N304" s="959"/>
      <c r="O304" s="48">
        <f>IF(t&lt;Tnet,'2018'!Resal+('2018'!Salim-'2018'!Resal)*(1-EXP(('2018'!Tnet-t)/('2018'!Tau_j))),Resal+(Salim-Resal)*(1-EXP((Tnet-t)/(Tau_j))))*Salcycl</f>
        <v>5.9558944356998739E-2</v>
      </c>
      <c r="P304" s="169">
        <f>(INDEX(Models!$BJ304:$BT304,,T304)*(1-R304)+INDEX(Models!$BJ304:$BT304,,T304+1)*R304-ERP_i)*Q304*Ramure*Pc/MaxiM</f>
        <v>4.6700738550191188E-4</v>
      </c>
      <c r="Q304" s="305">
        <f t="shared" si="102"/>
        <v>0.7</v>
      </c>
      <c r="R304" s="177">
        <f t="shared" si="103"/>
        <v>0.99771908789146879</v>
      </c>
      <c r="S304" s="921">
        <f t="shared" si="104"/>
        <v>-2</v>
      </c>
      <c r="T304" s="176">
        <f t="shared" si="105"/>
        <v>4</v>
      </c>
      <c r="U304" s="251">
        <f t="shared" si="106"/>
        <v>-1.0022809121085312</v>
      </c>
      <c r="V304" s="383">
        <f t="shared" si="107"/>
        <v>38.770796616112435</v>
      </c>
      <c r="W304" s="58"/>
      <c r="X304" s="157">
        <f t="shared" si="108"/>
        <v>43755</v>
      </c>
      <c r="Y304" s="385">
        <f t="shared" si="109"/>
        <v>19.173999999999999</v>
      </c>
      <c r="Z304" s="385">
        <f t="shared" si="110"/>
        <v>19.390231948917215</v>
      </c>
      <c r="AA304" s="386">
        <f t="shared" si="111"/>
        <v>20.618232086496548</v>
      </c>
      <c r="AB304" s="197">
        <f t="shared" si="112"/>
        <v>43755</v>
      </c>
      <c r="AC304" s="427">
        <f>IF(OR(t&lt;Tnet,NoTnet),'2018'!Resal_s+('2018'!Salim-'2018'!Resal_s)*(1-EXP(('2018'!Tnet_s-t)/'2018'!Tau_j)),Resal_s+(Salim-Resal_s)*(1-EXP((Tnet_s-t)/Tau_j)))*Salcycl</f>
        <v>5.9558944356998739E-2</v>
      </c>
      <c r="AD304" s="231">
        <f>(INDEX(Models!$BJ304:$BT304,,AH304)*(1-AF304)+INDEX(Models!$BJ304:$BT304,,AH304+1)*AF304-ERP_i)*AE304*Ramure*Pc/MaxiM</f>
        <v>4.6700738550191188E-4</v>
      </c>
      <c r="AE304" s="305">
        <f t="shared" si="113"/>
        <v>0.7</v>
      </c>
      <c r="AF304" s="177">
        <f t="shared" si="114"/>
        <v>0.99771908789146879</v>
      </c>
      <c r="AG304" s="176">
        <f t="shared" si="115"/>
        <v>-2</v>
      </c>
      <c r="AH304" s="176">
        <f t="shared" si="116"/>
        <v>4</v>
      </c>
      <c r="AI304" s="225">
        <f t="shared" si="117"/>
        <v>-1.0022809121085312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20">
        <v>14.994999999999999</v>
      </c>
      <c r="C305" s="390"/>
      <c r="D305" s="393">
        <f t="shared" si="99"/>
        <v>15.164436034613061</v>
      </c>
      <c r="E305" s="385">
        <f t="shared" si="121"/>
        <v>16.12636331179554</v>
      </c>
      <c r="F305" s="385">
        <f t="shared" si="100"/>
        <v>16.127319476973426</v>
      </c>
      <c r="G305" s="110">
        <f t="shared" si="122"/>
        <v>0.38922588688156606</v>
      </c>
      <c r="H305" s="414" t="b">
        <f>Wh_hp&gt;='2018'!Maxi_hp</f>
        <v>1</v>
      </c>
      <c r="I305" s="390">
        <f>IF(H305,Wh_hp,'2018'!Maxi_hp)</f>
        <v>16.127319476973426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1.1173249979512745E-2</v>
      </c>
      <c r="M305" s="959"/>
      <c r="N305" s="959"/>
      <c r="O305" s="48">
        <f>IF(t&lt;Tnet,'2018'!Resal+('2018'!Salim-'2018'!Resal)*(1-EXP(('2018'!Tnet-t)/('2018'!Tau_j))),Resal+(Salim-Resal)*(1-EXP((Tnet-t)/(Tau_j))))*Salcycl</f>
        <v>5.9649361643668464E-2</v>
      </c>
      <c r="P305" s="169">
        <f>(INDEX(Models!$BJ305:$BT305,,T305)*(1-R305)+INDEX(Models!$BJ305:$BT305,,T305+1)*R305-ERP_i)*Q305*Ramure*Pc/MaxiM</f>
        <v>4.6431306261601561E-4</v>
      </c>
      <c r="Q305" s="305">
        <f t="shared" si="102"/>
        <v>0.7</v>
      </c>
      <c r="R305" s="177">
        <f t="shared" si="103"/>
        <v>0.99781863648190905</v>
      </c>
      <c r="S305" s="921">
        <f t="shared" si="104"/>
        <v>-2</v>
      </c>
      <c r="T305" s="176">
        <f t="shared" si="105"/>
        <v>4</v>
      </c>
      <c r="U305" s="251">
        <f t="shared" si="106"/>
        <v>-1.002181363518091</v>
      </c>
      <c r="V305" s="383">
        <f t="shared" si="107"/>
        <v>38.5095822305843</v>
      </c>
      <c r="W305" s="58"/>
      <c r="X305" s="157">
        <f t="shared" si="108"/>
        <v>43756</v>
      </c>
      <c r="Y305" s="385">
        <f t="shared" si="109"/>
        <v>14.994999999999999</v>
      </c>
      <c r="Z305" s="385">
        <f t="shared" si="110"/>
        <v>15.164436034613061</v>
      </c>
      <c r="AA305" s="386">
        <f t="shared" si="111"/>
        <v>16.12636331179554</v>
      </c>
      <c r="AB305" s="197">
        <f t="shared" si="112"/>
        <v>43756</v>
      </c>
      <c r="AC305" s="427">
        <f>IF(OR(t&lt;Tnet,NoTnet),'2018'!Resal_s+('2018'!Salim-'2018'!Resal_s)*(1-EXP(('2018'!Tnet_s-t)/'2018'!Tau_j)),Resal_s+(Salim-Resal_s)*(1-EXP((Tnet_s-t)/Tau_j)))*Salcycl</f>
        <v>5.9649361643668464E-2</v>
      </c>
      <c r="AD305" s="231">
        <f>(INDEX(Models!$BJ305:$BT305,,AH305)*(1-AF305)+INDEX(Models!$BJ305:$BT305,,AH305+1)*AF305-ERP_i)*AE305*Ramure*Pc/MaxiM</f>
        <v>4.6431306261601561E-4</v>
      </c>
      <c r="AE305" s="305">
        <f t="shared" si="113"/>
        <v>0.7</v>
      </c>
      <c r="AF305" s="177">
        <f t="shared" si="114"/>
        <v>0.99781863648190905</v>
      </c>
      <c r="AG305" s="176">
        <f t="shared" si="115"/>
        <v>-2</v>
      </c>
      <c r="AH305" s="176">
        <f t="shared" si="116"/>
        <v>4</v>
      </c>
      <c r="AI305" s="225">
        <f t="shared" si="117"/>
        <v>-1.002181363518091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20">
        <v>30.895</v>
      </c>
      <c r="C306" s="390"/>
      <c r="D306" s="393">
        <f t="shared" si="99"/>
        <v>31.244782459587746</v>
      </c>
      <c r="E306" s="385">
        <f t="shared" si="121"/>
        <v>33.229876774326627</v>
      </c>
      <c r="F306" s="385">
        <f t="shared" si="100"/>
        <v>33.240999439568832</v>
      </c>
      <c r="G306" s="110">
        <f t="shared" si="122"/>
        <v>0.80768746882684073</v>
      </c>
      <c r="H306" s="414" t="b">
        <f>Wh_hp&gt;='2018'!Maxi_hp</f>
        <v>1</v>
      </c>
      <c r="I306" s="390">
        <f>IF(H306,Wh_hp,'2018'!Maxi_hp)</f>
        <v>33.240999439568832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1.1194907823095179E-2</v>
      </c>
      <c r="M306" s="959"/>
      <c r="N306" s="959"/>
      <c r="O306" s="48">
        <f>IF(t&lt;Tnet,'2018'!Resal+('2018'!Salim-'2018'!Resal)*(1-EXP(('2018'!Tnet-t)/('2018'!Tau_j))),Resal+(Salim-Resal)*(1-EXP((Tnet-t)/(Tau_j))))*Salcycl</f>
        <v>5.973823882105285E-2</v>
      </c>
      <c r="P306" s="169">
        <f>(INDEX(Models!$BJ306:$BT306,,T306)*(1-R306)+INDEX(Models!$BJ306:$BT306,,T306+1)*R306-ERP_i)*Q306*Ramure*Pc/MaxiM</f>
        <v>4.6126324280556114E-4</v>
      </c>
      <c r="Q306" s="305">
        <f t="shared" si="102"/>
        <v>0.7</v>
      </c>
      <c r="R306" s="177">
        <f t="shared" si="103"/>
        <v>0.99791421436333927</v>
      </c>
      <c r="S306" s="921">
        <f t="shared" si="104"/>
        <v>-2</v>
      </c>
      <c r="T306" s="176">
        <f t="shared" si="105"/>
        <v>4</v>
      </c>
      <c r="U306" s="251">
        <f t="shared" si="106"/>
        <v>-1.0020857856366607</v>
      </c>
      <c r="V306" s="383">
        <f t="shared" si="107"/>
        <v>38.246335163565391</v>
      </c>
      <c r="W306" s="58"/>
      <c r="X306" s="157">
        <f t="shared" si="108"/>
        <v>43757</v>
      </c>
      <c r="Y306" s="385">
        <f t="shared" si="109"/>
        <v>30.894999999999996</v>
      </c>
      <c r="Z306" s="385">
        <f t="shared" si="110"/>
        <v>31.244782459587743</v>
      </c>
      <c r="AA306" s="386">
        <f t="shared" si="111"/>
        <v>33.229876774326627</v>
      </c>
      <c r="AB306" s="197">
        <f t="shared" si="112"/>
        <v>43757</v>
      </c>
      <c r="AC306" s="427">
        <f>IF(OR(t&lt;Tnet,NoTnet),'2018'!Resal_s+('2018'!Salim-'2018'!Resal_s)*(1-EXP(('2018'!Tnet_s-t)/'2018'!Tau_j)),Resal_s+(Salim-Resal_s)*(1-EXP((Tnet_s-t)/Tau_j)))*Salcycl</f>
        <v>5.973823882105285E-2</v>
      </c>
      <c r="AD306" s="231">
        <f>(INDEX(Models!$BJ306:$BT306,,AH306)*(1-AF306)+INDEX(Models!$BJ306:$BT306,,AH306+1)*AF306-ERP_i)*AE306*Ramure*Pc/MaxiM</f>
        <v>4.6126324280556114E-4</v>
      </c>
      <c r="AE306" s="305">
        <f t="shared" si="113"/>
        <v>0.7</v>
      </c>
      <c r="AF306" s="177">
        <f t="shared" si="114"/>
        <v>0.99791421436333927</v>
      </c>
      <c r="AG306" s="176">
        <f t="shared" si="115"/>
        <v>-2</v>
      </c>
      <c r="AH306" s="176">
        <f t="shared" si="116"/>
        <v>4</v>
      </c>
      <c r="AI306" s="225">
        <f t="shared" si="117"/>
        <v>-1.0020857856366607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20">
        <v>12.718999999999999</v>
      </c>
      <c r="C307" s="390"/>
      <c r="D307" s="393">
        <f t="shared" si="99"/>
        <v>12.863281839338059</v>
      </c>
      <c r="E307" s="385">
        <f t="shared" si="121"/>
        <v>13.681804091883581</v>
      </c>
      <c r="F307" s="385">
        <f t="shared" si="100"/>
        <v>13.682116228068518</v>
      </c>
      <c r="G307" s="110">
        <f t="shared" si="122"/>
        <v>0.33473268746396462</v>
      </c>
      <c r="H307" s="414" t="b">
        <f>Wh_hp&gt;='2018'!Maxi_hp</f>
        <v>1</v>
      </c>
      <c r="I307" s="390">
        <f>IF(H307,Wh_hp,'2018'!Maxi_hp)</f>
        <v>13.682116228068518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1.1216565192315286E-2</v>
      </c>
      <c r="M307" s="959"/>
      <c r="N307" s="959"/>
      <c r="O307" s="48">
        <f>IF(t&lt;Tnet,'2018'!Resal+('2018'!Salim-'2018'!Resal)*(1-EXP(('2018'!Tnet-t)/('2018'!Tau_j))),Resal+(Salim-Resal)*(1-EXP((Tnet-t)/(Tau_j))))*Salcycl</f>
        <v>5.9825608307832158E-2</v>
      </c>
      <c r="P307" s="169">
        <f>(INDEX(Models!$BJ307:$BT307,,T307)*(1-R307)+INDEX(Models!$BJ307:$BT307,,T307+1)*R307-ERP_i)*Q307*Ramure*Pc/MaxiM</f>
        <v>4.5785988730188379E-4</v>
      </c>
      <c r="Q307" s="305">
        <f t="shared" si="102"/>
        <v>0.7</v>
      </c>
      <c r="R307" s="177">
        <f t="shared" si="103"/>
        <v>0.99800597847633266</v>
      </c>
      <c r="S307" s="921">
        <f t="shared" si="104"/>
        <v>-2</v>
      </c>
      <c r="T307" s="176">
        <f t="shared" si="105"/>
        <v>4</v>
      </c>
      <c r="U307" s="251">
        <f t="shared" si="106"/>
        <v>-1.0019940215236673</v>
      </c>
      <c r="V307" s="383">
        <f t="shared" si="107"/>
        <v>37.980953143130399</v>
      </c>
      <c r="W307" s="58"/>
      <c r="X307" s="157">
        <f t="shared" si="108"/>
        <v>43758</v>
      </c>
      <c r="Y307" s="385">
        <f t="shared" si="109"/>
        <v>12.718999999999999</v>
      </c>
      <c r="Z307" s="385">
        <f t="shared" si="110"/>
        <v>12.863281839338059</v>
      </c>
      <c r="AA307" s="386">
        <f t="shared" si="111"/>
        <v>13.681804091883581</v>
      </c>
      <c r="AB307" s="197">
        <f t="shared" si="112"/>
        <v>43758</v>
      </c>
      <c r="AC307" s="427">
        <f>IF(OR(t&lt;Tnet,NoTnet),'2018'!Resal_s+('2018'!Salim-'2018'!Resal_s)*(1-EXP(('2018'!Tnet_s-t)/'2018'!Tau_j)),Resal_s+(Salim-Resal_s)*(1-EXP((Tnet_s-t)/Tau_j)))*Salcycl</f>
        <v>5.9825608307832158E-2</v>
      </c>
      <c r="AD307" s="231">
        <f>(INDEX(Models!$BJ307:$BT307,,AH307)*(1-AF307)+INDEX(Models!$BJ307:$BT307,,AH307+1)*AF307-ERP_i)*AE307*Ramure*Pc/MaxiM</f>
        <v>4.5785988730188379E-4</v>
      </c>
      <c r="AE307" s="305">
        <f t="shared" si="113"/>
        <v>0.7</v>
      </c>
      <c r="AF307" s="177">
        <f t="shared" si="114"/>
        <v>0.99800597847633266</v>
      </c>
      <c r="AG307" s="176">
        <f t="shared" si="115"/>
        <v>-2</v>
      </c>
      <c r="AH307" s="176">
        <f t="shared" si="116"/>
        <v>4</v>
      </c>
      <c r="AI307" s="225">
        <f t="shared" si="117"/>
        <v>-1.0019940215236673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20">
        <v>23.513000000000002</v>
      </c>
      <c r="C308" s="390"/>
      <c r="D308" s="393">
        <f t="shared" si="99"/>
        <v>23.780247704996988</v>
      </c>
      <c r="E308" s="385">
        <f t="shared" si="121"/>
        <v>25.295754444716518</v>
      </c>
      <c r="F308" s="385">
        <f t="shared" si="100"/>
        <v>25.301063614108177</v>
      </c>
      <c r="G308" s="110">
        <f t="shared" si="122"/>
        <v>0.62331417047503879</v>
      </c>
      <c r="H308" s="414" t="b">
        <f>Wh_hp&gt;='2018'!Maxi_hp</f>
        <v>1</v>
      </c>
      <c r="I308" s="390">
        <f>IF(H308,Wh_hp,'2018'!Maxi_hp)</f>
        <v>25.301063614108177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1.1238222087183281E-2</v>
      </c>
      <c r="M308" s="959"/>
      <c r="N308" s="959"/>
      <c r="O308" s="48">
        <f>IF(t&lt;Tnet,'2018'!Resal+('2018'!Salim-'2018'!Resal)*(1-EXP(('2018'!Tnet-t)/('2018'!Tau_j))),Resal+(Salim-Resal)*(1-EXP((Tnet-t)/(Tau_j))))*Salcycl</f>
        <v>5.9911505823305032E-2</v>
      </c>
      <c r="P308" s="169">
        <f>(INDEX(Models!$BJ308:$BT308,,T308)*(1-R308)+INDEX(Models!$BJ308:$BT308,,T308+1)*R308-ERP_i)*Q308*Ramure*Pc/MaxiM</f>
        <v>4.5410527034642613E-4</v>
      </c>
      <c r="Q308" s="305">
        <f t="shared" si="102"/>
        <v>0.7</v>
      </c>
      <c r="R308" s="177">
        <f t="shared" si="103"/>
        <v>0.99809407967161801</v>
      </c>
      <c r="S308" s="921">
        <f t="shared" si="104"/>
        <v>-2</v>
      </c>
      <c r="T308" s="176">
        <f t="shared" si="105"/>
        <v>4</v>
      </c>
      <c r="U308" s="251">
        <f t="shared" si="106"/>
        <v>-1.001905920328382</v>
      </c>
      <c r="V308" s="383">
        <f t="shared" si="107"/>
        <v>37.71333381037342</v>
      </c>
      <c r="W308" s="58"/>
      <c r="X308" s="157">
        <f t="shared" si="108"/>
        <v>43759</v>
      </c>
      <c r="Y308" s="385">
        <f t="shared" si="109"/>
        <v>23.513000000000002</v>
      </c>
      <c r="Z308" s="385">
        <f t="shared" si="110"/>
        <v>23.780247704996988</v>
      </c>
      <c r="AA308" s="386">
        <f t="shared" si="111"/>
        <v>25.295754444716518</v>
      </c>
      <c r="AB308" s="197">
        <f t="shared" si="112"/>
        <v>43759</v>
      </c>
      <c r="AC308" s="427">
        <f>IF(OR(t&lt;Tnet,NoTnet),'2018'!Resal_s+('2018'!Salim-'2018'!Resal_s)*(1-EXP(('2018'!Tnet_s-t)/'2018'!Tau_j)),Resal_s+(Salim-Resal_s)*(1-EXP((Tnet_s-t)/Tau_j)))*Salcycl</f>
        <v>5.9911505823305032E-2</v>
      </c>
      <c r="AD308" s="231">
        <f>(INDEX(Models!$BJ308:$BT308,,AH308)*(1-AF308)+INDEX(Models!$BJ308:$BT308,,AH308+1)*AF308-ERP_i)*AE308*Ramure*Pc/MaxiM</f>
        <v>4.5410527034642613E-4</v>
      </c>
      <c r="AE308" s="305">
        <f t="shared" si="113"/>
        <v>0.7</v>
      </c>
      <c r="AF308" s="177">
        <f t="shared" si="114"/>
        <v>0.99809407967161801</v>
      </c>
      <c r="AG308" s="176">
        <f t="shared" si="115"/>
        <v>-2</v>
      </c>
      <c r="AH308" s="176">
        <f t="shared" si="116"/>
        <v>4</v>
      </c>
      <c r="AI308" s="225">
        <f t="shared" si="117"/>
        <v>-1.001905920328382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20">
        <v>4.194</v>
      </c>
      <c r="C309" s="390"/>
      <c r="D309" s="393">
        <f t="shared" si="99"/>
        <v>4.2417617216443695</v>
      </c>
      <c r="E309" s="385">
        <f t="shared" si="121"/>
        <v>4.5124931253830276</v>
      </c>
      <c r="F309" s="385">
        <f t="shared" si="100"/>
        <v>4.5124931253830276</v>
      </c>
      <c r="G309" s="110">
        <f t="shared" si="122"/>
        <v>0.11195873028569872</v>
      </c>
      <c r="H309" s="414" t="b">
        <f>Wh_hp&gt;='2018'!Maxi_hp</f>
        <v>0</v>
      </c>
      <c r="I309" s="390">
        <f>IF(H309,Wh_hp,'2018'!Maxi_hp)</f>
        <v>24.397964921918717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1.125987850770982E-2</v>
      </c>
      <c r="M309" s="959"/>
      <c r="N309" s="959"/>
      <c r="O309" s="48">
        <f>IF(t&lt;Tnet,'2018'!Resal+('2018'!Salim-'2018'!Resal)*(1-EXP(('2018'!Tnet-t)/('2018'!Tau_j))),Resal+(Salim-Resal)*(1-EXP((Tnet-t)/(Tau_j))))*Salcycl</f>
        <v>5.9995970346365411E-2</v>
      </c>
      <c r="P309" s="169">
        <f>(INDEX(Models!$BJ309:$BT309,,T309)*(1-R309)+INDEX(Models!$BJ309:$BT309,,T309+1)*R309-ERP_i)*Q309*Ramure*Pc/MaxiM</f>
        <v>4.5000195189581781E-4</v>
      </c>
      <c r="Q309" s="305">
        <f t="shared" si="102"/>
        <v>0.7</v>
      </c>
      <c r="R309" s="177">
        <f t="shared" si="103"/>
        <v>0.99817866293746382</v>
      </c>
      <c r="S309" s="921">
        <f t="shared" si="104"/>
        <v>-2</v>
      </c>
      <c r="T309" s="176">
        <f t="shared" si="105"/>
        <v>4</v>
      </c>
      <c r="U309" s="251">
        <f t="shared" si="106"/>
        <v>-1.0018213370625362</v>
      </c>
      <c r="V309" s="383">
        <f t="shared" si="107"/>
        <v>37.443374724920737</v>
      </c>
      <c r="W309" s="58"/>
      <c r="X309" s="157">
        <f t="shared" si="108"/>
        <v>43760</v>
      </c>
      <c r="Y309" s="385">
        <f t="shared" si="109"/>
        <v>4.194</v>
      </c>
      <c r="Z309" s="385">
        <f t="shared" si="110"/>
        <v>4.2417617216443695</v>
      </c>
      <c r="AA309" s="386">
        <f t="shared" si="111"/>
        <v>4.5124931253830276</v>
      </c>
      <c r="AB309" s="197">
        <f t="shared" si="112"/>
        <v>43760</v>
      </c>
      <c r="AC309" s="427">
        <f>IF(OR(t&lt;Tnet,NoTnet),'2018'!Resal_s+('2018'!Salim-'2018'!Resal_s)*(1-EXP(('2018'!Tnet_s-t)/'2018'!Tau_j)),Resal_s+(Salim-Resal_s)*(1-EXP((Tnet_s-t)/Tau_j)))*Salcycl</f>
        <v>5.9995970346365411E-2</v>
      </c>
      <c r="AD309" s="231">
        <f>(INDEX(Models!$BJ309:$BT309,,AH309)*(1-AF309)+INDEX(Models!$BJ309:$BT309,,AH309+1)*AF309-ERP_i)*AE309*Ramure*Pc/MaxiM</f>
        <v>4.5000195189581781E-4</v>
      </c>
      <c r="AE309" s="305">
        <f t="shared" si="113"/>
        <v>0.7</v>
      </c>
      <c r="AF309" s="177">
        <f t="shared" si="114"/>
        <v>0.99817866293746382</v>
      </c>
      <c r="AG309" s="176">
        <f t="shared" si="115"/>
        <v>-2</v>
      </c>
      <c r="AH309" s="176">
        <f t="shared" si="116"/>
        <v>4</v>
      </c>
      <c r="AI309" s="225">
        <f t="shared" si="117"/>
        <v>-1.0018213370625362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20">
        <v>18.202999999999999</v>
      </c>
      <c r="C310" s="390"/>
      <c r="D310" s="393">
        <f t="shared" si="99"/>
        <v>18.410700957168842</v>
      </c>
      <c r="E310" s="385">
        <f t="shared" si="121"/>
        <v>19.587499183502526</v>
      </c>
      <c r="F310" s="385">
        <f t="shared" si="100"/>
        <v>19.589865156724592</v>
      </c>
      <c r="G310" s="110">
        <f t="shared" si="122"/>
        <v>0.4895510047690973</v>
      </c>
      <c r="H310" s="414" t="b">
        <f>Wh_hp&gt;='2018'!Maxi_hp</f>
        <v>0</v>
      </c>
      <c r="I310" s="390">
        <f>IF(H310,Wh_hp,'2018'!Maxi_hp)</f>
        <v>39.836073518385142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1.1281534453905118E-2</v>
      </c>
      <c r="M310" s="959"/>
      <c r="N310" s="959"/>
      <c r="O310" s="48">
        <f>IF(t&lt;Tnet,'2018'!Resal+('2018'!Salim-'2018'!Resal)*(1-EXP(('2018'!Tnet-t)/('2018'!Tau_j))),Resal+(Salim-Resal)*(1-EXP((Tnet-t)/(Tau_j))))*Salcycl</f>
        <v>6.0079044052996695E-2</v>
      </c>
      <c r="P310" s="169">
        <f>(INDEX(Models!$BJ310:$BT310,,T310)*(1-R310)+INDEX(Models!$BJ310:$BT310,,T310+1)*R310-ERP_i)*Q310*Ramure*Pc/MaxiM</f>
        <v>4.4564181314944316E-4</v>
      </c>
      <c r="Q310" s="305">
        <f t="shared" si="102"/>
        <v>0.7</v>
      </c>
      <c r="R310" s="177">
        <f t="shared" si="103"/>
        <v>0.99825986761928576</v>
      </c>
      <c r="S310" s="921">
        <f t="shared" si="104"/>
        <v>-2</v>
      </c>
      <c r="T310" s="176">
        <f t="shared" si="105"/>
        <v>4</v>
      </c>
      <c r="U310" s="251">
        <f t="shared" si="106"/>
        <v>-1.0017401323807142</v>
      </c>
      <c r="V310" s="383">
        <f t="shared" si="107"/>
        <v>37.170970061496135</v>
      </c>
      <c r="W310" s="58"/>
      <c r="X310" s="157">
        <f t="shared" si="108"/>
        <v>43761</v>
      </c>
      <c r="Y310" s="385">
        <f t="shared" si="109"/>
        <v>18.202999999999999</v>
      </c>
      <c r="Z310" s="385">
        <f t="shared" si="110"/>
        <v>18.410700957168842</v>
      </c>
      <c r="AA310" s="386">
        <f t="shared" si="111"/>
        <v>19.587499183502526</v>
      </c>
      <c r="AB310" s="197">
        <f t="shared" si="112"/>
        <v>43761</v>
      </c>
      <c r="AC310" s="427">
        <f>IF(OR(t&lt;Tnet,NoTnet),'2018'!Resal_s+('2018'!Salim-'2018'!Resal_s)*(1-EXP(('2018'!Tnet_s-t)/'2018'!Tau_j)),Resal_s+(Salim-Resal_s)*(1-EXP((Tnet_s-t)/Tau_j)))*Salcycl</f>
        <v>6.0079044052996695E-2</v>
      </c>
      <c r="AD310" s="231">
        <f>(INDEX(Models!$BJ310:$BT310,,AH310)*(1-AF310)+INDEX(Models!$BJ310:$BT310,,AH310+1)*AF310-ERP_i)*AE310*Ramure*Pc/MaxiM</f>
        <v>4.4564181314944316E-4</v>
      </c>
      <c r="AE310" s="305">
        <f t="shared" si="113"/>
        <v>0.7</v>
      </c>
      <c r="AF310" s="177">
        <f t="shared" si="114"/>
        <v>0.99825986761928576</v>
      </c>
      <c r="AG310" s="176">
        <f t="shared" si="115"/>
        <v>-2</v>
      </c>
      <c r="AH310" s="176">
        <f t="shared" si="116"/>
        <v>4</v>
      </c>
      <c r="AI310" s="225">
        <f t="shared" si="117"/>
        <v>-1.0017401323807142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20">
        <v>16.027000000000001</v>
      </c>
      <c r="C311" s="390"/>
      <c r="D311" s="393">
        <f t="shared" si="99"/>
        <v>16.210227277659438</v>
      </c>
      <c r="E311" s="385">
        <f t="shared" si="121"/>
        <v>17.247872613446994</v>
      </c>
      <c r="F311" s="385">
        <f t="shared" si="100"/>
        <v>17.249334612379357</v>
      </c>
      <c r="G311" s="110">
        <f t="shared" si="122"/>
        <v>0.43422815592654723</v>
      </c>
      <c r="H311" s="414" t="b">
        <f>Wh_hp&gt;='2018'!Maxi_hp</f>
        <v>0</v>
      </c>
      <c r="I311" s="390">
        <f>IF(H311,Wh_hp,'2018'!Maxi_hp)</f>
        <v>36.762198666415699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1.1303189925779611E-2</v>
      </c>
      <c r="M311" s="959"/>
      <c r="N311" s="959"/>
      <c r="O311" s="48">
        <f>IF(t&lt;Tnet,'2018'!Resal+('2018'!Salim-'2018'!Resal)*(1-EXP(('2018'!Tnet-t)/('2018'!Tau_j))),Resal+(Salim-Resal)*(1-EXP((Tnet-t)/(Tau_j))))*Salcycl</f>
        <v>6.0160772232198262E-2</v>
      </c>
      <c r="P311" s="169">
        <f>(INDEX(Models!$BJ311:$BT311,,T311)*(1-R311)+INDEX(Models!$BJ311:$BT311,,T311+1)*R311-ERP_i)*Q311*Ramure*Pc/MaxiM</f>
        <v>4.4149723980182727E-4</v>
      </c>
      <c r="Q311" s="305">
        <f t="shared" si="102"/>
        <v>0.7</v>
      </c>
      <c r="R311" s="177">
        <f t="shared" si="103"/>
        <v>0.99833782763167833</v>
      </c>
      <c r="S311" s="921">
        <f t="shared" si="104"/>
        <v>-2</v>
      </c>
      <c r="T311" s="176">
        <f t="shared" si="105"/>
        <v>4</v>
      </c>
      <c r="U311" s="251">
        <f t="shared" si="106"/>
        <v>-1.0016621723683217</v>
      </c>
      <c r="V311" s="383">
        <f t="shared" si="107"/>
        <v>36.895999990235573</v>
      </c>
      <c r="W311" s="58"/>
      <c r="X311" s="157">
        <f t="shared" si="108"/>
        <v>43762</v>
      </c>
      <c r="Y311" s="385">
        <f t="shared" si="109"/>
        <v>16.027000000000001</v>
      </c>
      <c r="Z311" s="385">
        <f t="shared" si="110"/>
        <v>16.210227277659438</v>
      </c>
      <c r="AA311" s="386">
        <f t="shared" si="111"/>
        <v>17.247872613446994</v>
      </c>
      <c r="AB311" s="197">
        <f t="shared" si="112"/>
        <v>43762</v>
      </c>
      <c r="AC311" s="427">
        <f>IF(OR(t&lt;Tnet,NoTnet),'2018'!Resal_s+('2018'!Salim-'2018'!Resal_s)*(1-EXP(('2018'!Tnet_s-t)/'2018'!Tau_j)),Resal_s+(Salim-Resal_s)*(1-EXP((Tnet_s-t)/Tau_j)))*Salcycl</f>
        <v>6.0160772232198262E-2</v>
      </c>
      <c r="AD311" s="231">
        <f>(INDEX(Models!$BJ311:$BT311,,AH311)*(1-AF311)+INDEX(Models!$BJ311:$BT311,,AH311+1)*AF311-ERP_i)*AE311*Ramure*Pc/MaxiM</f>
        <v>4.4149723980182727E-4</v>
      </c>
      <c r="AE311" s="305">
        <f t="shared" si="113"/>
        <v>0.7</v>
      </c>
      <c r="AF311" s="177">
        <f t="shared" si="114"/>
        <v>0.99833782763167833</v>
      </c>
      <c r="AG311" s="176">
        <f t="shared" si="115"/>
        <v>-2</v>
      </c>
      <c r="AH311" s="176">
        <f t="shared" si="116"/>
        <v>4</v>
      </c>
      <c r="AI311" s="225">
        <f t="shared" si="117"/>
        <v>-1.0016621723683217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20">
        <v>29.946999999999999</v>
      </c>
      <c r="C312" s="390"/>
      <c r="D312" s="393">
        <f t="shared" si="99"/>
        <v>30.290029891241758</v>
      </c>
      <c r="E312" s="385">
        <f t="shared" si="121"/>
        <v>32.231706682345198</v>
      </c>
      <c r="F312" s="385">
        <f t="shared" si="100"/>
        <v>32.242143160827602</v>
      </c>
      <c r="G312" s="110">
        <f t="shared" si="122"/>
        <v>0.81772058024472716</v>
      </c>
      <c r="H312" s="414" t="b">
        <f>Wh_hp&gt;='2018'!Maxi_hp</f>
        <v>0</v>
      </c>
      <c r="I312" s="390">
        <f>IF(H312,Wh_hp,'2018'!Maxi_hp)</f>
        <v>39.380465592356508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1.1324844923343735E-2</v>
      </c>
      <c r="M312" s="959"/>
      <c r="N312" s="959"/>
      <c r="O312" s="48">
        <f>IF(t&lt;Tnet,'2018'!Resal+('2018'!Salim-'2018'!Resal)*(1-EXP(('2018'!Tnet-t)/('2018'!Tau_j))),Resal+(Salim-Resal)*(1-EXP((Tnet-t)/(Tau_j))))*Salcycl</f>
        <v>6.0241203180438095E-2</v>
      </c>
      <c r="P312" s="169">
        <f>(INDEX(Models!$BJ312:$BT312,,T312)*(1-R312)+INDEX(Models!$BJ312:$BT312,,T312+1)*R312-ERP_i)*Q312*Ramure*Pc/MaxiM</f>
        <v>4.3757705694696963E-4</v>
      </c>
      <c r="Q312" s="305">
        <f t="shared" si="102"/>
        <v>0.7</v>
      </c>
      <c r="R312" s="177">
        <f t="shared" si="103"/>
        <v>0.99841267166308656</v>
      </c>
      <c r="S312" s="921">
        <f t="shared" si="104"/>
        <v>-2</v>
      </c>
      <c r="T312" s="176">
        <f t="shared" si="105"/>
        <v>4</v>
      </c>
      <c r="U312" s="251">
        <f t="shared" si="106"/>
        <v>-1.0015873283369134</v>
      </c>
      <c r="V312" s="383">
        <f t="shared" si="107"/>
        <v>36.618362141282674</v>
      </c>
      <c r="W312" s="58"/>
      <c r="X312" s="157">
        <f t="shared" si="108"/>
        <v>43763</v>
      </c>
      <c r="Y312" s="385">
        <f t="shared" si="109"/>
        <v>29.946999999999996</v>
      </c>
      <c r="Z312" s="385">
        <f t="shared" si="110"/>
        <v>30.290029891241755</v>
      </c>
      <c r="AA312" s="386">
        <f t="shared" si="111"/>
        <v>32.231706682345198</v>
      </c>
      <c r="AB312" s="197">
        <f t="shared" si="112"/>
        <v>43763</v>
      </c>
      <c r="AC312" s="427">
        <f>IF(OR(t&lt;Tnet,NoTnet),'2018'!Resal_s+('2018'!Salim-'2018'!Resal_s)*(1-EXP(('2018'!Tnet_s-t)/'2018'!Tau_j)),Resal_s+(Salim-Resal_s)*(1-EXP((Tnet_s-t)/Tau_j)))*Salcycl</f>
        <v>6.0241203180438095E-2</v>
      </c>
      <c r="AD312" s="231">
        <f>(INDEX(Models!$BJ312:$BT312,,AH312)*(1-AF312)+INDEX(Models!$BJ312:$BT312,,AH312+1)*AF312-ERP_i)*AE312*Ramure*Pc/MaxiM</f>
        <v>4.3757705694696963E-4</v>
      </c>
      <c r="AE312" s="305">
        <f t="shared" si="113"/>
        <v>0.7</v>
      </c>
      <c r="AF312" s="177">
        <f t="shared" si="114"/>
        <v>0.99841267166308656</v>
      </c>
      <c r="AG312" s="176">
        <f t="shared" si="115"/>
        <v>-2</v>
      </c>
      <c r="AH312" s="176">
        <f t="shared" si="116"/>
        <v>4</v>
      </c>
      <c r="AI312" s="225">
        <f t="shared" si="117"/>
        <v>-1.0015873283369134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20">
        <v>36.171999999999997</v>
      </c>
      <c r="C313" s="390"/>
      <c r="D313" s="393">
        <f t="shared" si="99"/>
        <v>36.5871359174402</v>
      </c>
      <c r="E313" s="385">
        <f t="shared" si="121"/>
        <v>38.93575581839557</v>
      </c>
      <c r="F313" s="385">
        <f t="shared" si="100"/>
        <v>38.95254653773808</v>
      </c>
      <c r="G313" s="110">
        <f t="shared" si="122"/>
        <v>0.99543021366786899</v>
      </c>
      <c r="H313" s="414" t="b">
        <f>Wh_hp&gt;='2018'!Maxi_hp</f>
        <v>1</v>
      </c>
      <c r="I313" s="390">
        <f>IF(H313,Wh_hp,'2018'!Maxi_hp)</f>
        <v>38.95254653773808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1.1346499446607816E-2</v>
      </c>
      <c r="M313" s="959"/>
      <c r="N313" s="959"/>
      <c r="O313" s="48">
        <f>IF(t&lt;Tnet,'2018'!Resal+('2018'!Salim-'2018'!Resal)*(1-EXP(('2018'!Tnet-t)/('2018'!Tau_j))),Resal+(Salim-Resal)*(1-EXP((Tnet-t)/(Tau_j))))*Salcycl</f>
        <v>6.0320388074905279E-2</v>
      </c>
      <c r="P313" s="169">
        <f>(INDEX(Models!$BJ313:$BT313,,T313)*(1-R313)+INDEX(Models!$BJ313:$BT313,,T313+1)*R313-ERP_i)*Q313*Ramure*Pc/MaxiM</f>
        <v>4.3388653405367506E-4</v>
      </c>
      <c r="Q313" s="305">
        <f t="shared" si="102"/>
        <v>0.7</v>
      </c>
      <c r="R313" s="177">
        <f t="shared" si="103"/>
        <v>0.99848452337331617</v>
      </c>
      <c r="S313" s="921">
        <f t="shared" si="104"/>
        <v>-2</v>
      </c>
      <c r="T313" s="176">
        <f t="shared" si="105"/>
        <v>4</v>
      </c>
      <c r="U313" s="251">
        <f t="shared" si="106"/>
        <v>-1.0015154766266838</v>
      </c>
      <c r="V313" s="383">
        <f t="shared" si="107"/>
        <v>36.3379542475477</v>
      </c>
      <c r="W313" s="58"/>
      <c r="X313" s="157">
        <f t="shared" si="108"/>
        <v>43764</v>
      </c>
      <c r="Y313" s="385">
        <f t="shared" si="109"/>
        <v>36.171999999999997</v>
      </c>
      <c r="Z313" s="385">
        <f t="shared" si="110"/>
        <v>36.5871359174402</v>
      </c>
      <c r="AA313" s="386">
        <f t="shared" si="111"/>
        <v>38.93575581839557</v>
      </c>
      <c r="AB313" s="197">
        <f t="shared" si="112"/>
        <v>43764</v>
      </c>
      <c r="AC313" s="427">
        <f>IF(OR(t&lt;Tnet,NoTnet),'2018'!Resal_s+('2018'!Salim-'2018'!Resal_s)*(1-EXP(('2018'!Tnet_s-t)/'2018'!Tau_j)),Resal_s+(Salim-Resal_s)*(1-EXP((Tnet_s-t)/Tau_j)))*Salcycl</f>
        <v>6.0320388074905279E-2</v>
      </c>
      <c r="AD313" s="231">
        <f>(INDEX(Models!$BJ313:$BT313,,AH313)*(1-AF313)+INDEX(Models!$BJ313:$BT313,,AH313+1)*AF313-ERP_i)*AE313*Ramure*Pc/MaxiM</f>
        <v>4.3388653405367506E-4</v>
      </c>
      <c r="AE313" s="305">
        <f t="shared" si="113"/>
        <v>0.7</v>
      </c>
      <c r="AF313" s="177">
        <f t="shared" si="114"/>
        <v>0.99848452337331617</v>
      </c>
      <c r="AG313" s="176">
        <f t="shared" si="115"/>
        <v>-2</v>
      </c>
      <c r="AH313" s="176">
        <f t="shared" si="116"/>
        <v>4</v>
      </c>
      <c r="AI313" s="225">
        <f t="shared" si="117"/>
        <v>-1.0015154766266838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20">
        <v>24.478999999999999</v>
      </c>
      <c r="C314" s="390"/>
      <c r="D314" s="393">
        <f t="shared" si="99"/>
        <v>24.760480948041778</v>
      </c>
      <c r="E314" s="385">
        <f t="shared" si="121"/>
        <v>26.352105448486849</v>
      </c>
      <c r="F314" s="385">
        <f t="shared" si="100"/>
        <v>26.35824722290937</v>
      </c>
      <c r="G314" s="110">
        <f t="shared" si="122"/>
        <v>0.67880703133523146</v>
      </c>
      <c r="H314" s="414" t="b">
        <f>Wh_hp&gt;='2018'!Maxi_hp</f>
        <v>1</v>
      </c>
      <c r="I314" s="390">
        <f>IF(H314,Wh_hp,'2018'!Maxi_hp)</f>
        <v>26.35824722290937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1.1368153495582289E-2</v>
      </c>
      <c r="M314" s="959"/>
      <c r="N314" s="959"/>
      <c r="O314" s="48">
        <f>IF(t&lt;Tnet,'2018'!Resal+('2018'!Salim-'2018'!Resal)*(1-EXP(('2018'!Tnet-t)/('2018'!Tau_j))),Resal+(Salim-Resal)*(1-EXP((Tnet-t)/(Tau_j))))*Salcycl</f>
        <v>6.0398380826017194E-2</v>
      </c>
      <c r="P314" s="169">
        <f>(INDEX(Models!$BJ314:$BT314,,T314)*(1-R314)+INDEX(Models!$BJ314:$BT314,,T314+1)*R314-ERP_i)*Q314*Ramure*Pc/MaxiM</f>
        <v>4.3043112111466994E-4</v>
      </c>
      <c r="Q314" s="305">
        <f t="shared" si="102"/>
        <v>0.7</v>
      </c>
      <c r="R314" s="177">
        <f t="shared" si="103"/>
        <v>0.99855350158409339</v>
      </c>
      <c r="S314" s="921">
        <f t="shared" si="104"/>
        <v>-2</v>
      </c>
      <c r="T314" s="176">
        <f t="shared" si="105"/>
        <v>4</v>
      </c>
      <c r="U314" s="251">
        <f t="shared" si="106"/>
        <v>-1.0014464984159066</v>
      </c>
      <c r="V314" s="383">
        <f t="shared" si="107"/>
        <v>36.054674021794646</v>
      </c>
      <c r="W314" s="58"/>
      <c r="X314" s="157">
        <f t="shared" si="108"/>
        <v>43765</v>
      </c>
      <c r="Y314" s="385">
        <f t="shared" si="109"/>
        <v>24.478999999999999</v>
      </c>
      <c r="Z314" s="385">
        <f t="shared" si="110"/>
        <v>24.760480948041778</v>
      </c>
      <c r="AA314" s="386">
        <f t="shared" si="111"/>
        <v>26.352105448486849</v>
      </c>
      <c r="AB314" s="197">
        <f t="shared" si="112"/>
        <v>43765</v>
      </c>
      <c r="AC314" s="427">
        <f>IF(OR(t&lt;Tnet,NoTnet),'2018'!Resal_s+('2018'!Salim-'2018'!Resal_s)*(1-EXP(('2018'!Tnet_s-t)/'2018'!Tau_j)),Resal_s+(Salim-Resal_s)*(1-EXP((Tnet_s-t)/Tau_j)))*Salcycl</f>
        <v>6.0398380826017194E-2</v>
      </c>
      <c r="AD314" s="231">
        <f>(INDEX(Models!$BJ314:$BT314,,AH314)*(1-AF314)+INDEX(Models!$BJ314:$BT314,,AH314+1)*AF314-ERP_i)*AE314*Ramure*Pc/MaxiM</f>
        <v>4.3043112111466994E-4</v>
      </c>
      <c r="AE314" s="305">
        <f t="shared" si="113"/>
        <v>0.7</v>
      </c>
      <c r="AF314" s="177">
        <f t="shared" si="114"/>
        <v>0.99855350158409339</v>
      </c>
      <c r="AG314" s="176">
        <f t="shared" si="115"/>
        <v>-2</v>
      </c>
      <c r="AH314" s="176">
        <f t="shared" si="116"/>
        <v>4</v>
      </c>
      <c r="AI314" s="225">
        <f t="shared" si="117"/>
        <v>-1.0014464984159066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20">
        <v>9.1620000000000008</v>
      </c>
      <c r="C315" s="390"/>
      <c r="D315" s="393">
        <f t="shared" si="99"/>
        <v>9.2675556711069653</v>
      </c>
      <c r="E315" s="385">
        <f t="shared" si="121"/>
        <v>9.8640887872813483</v>
      </c>
      <c r="F315" s="385">
        <f t="shared" si="100"/>
        <v>9.8640887872813483</v>
      </c>
      <c r="G315" s="110">
        <f t="shared" si="122"/>
        <v>0.25603831695946633</v>
      </c>
      <c r="H315" s="414" t="b">
        <f>Wh_hp&gt;='2018'!Maxi_hp</f>
        <v>1</v>
      </c>
      <c r="I315" s="390">
        <f>IF(H315,Wh_hp,'2018'!Maxi_hp)</f>
        <v>9.8640887872813483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1.138980707027748E-2</v>
      </c>
      <c r="M315" s="959"/>
      <c r="N315" s="959"/>
      <c r="O315" s="48">
        <f>IF(t&lt;Tnet,'2018'!Resal+('2018'!Salim-'2018'!Resal)*(1-EXP(('2018'!Tnet-t)/('2018'!Tau_j))),Resal+(Salim-Resal)*(1-EXP((Tnet-t)/(Tau_j))))*Salcycl</f>
        <v>6.0475237909815571E-2</v>
      </c>
      <c r="P315" s="169">
        <f>(INDEX(Models!$BJ315:$BT315,,T315)*(1-R315)+INDEX(Models!$BJ315:$BT315,,T315+1)*R315-ERP_i)*Q315*Ramure*Pc/MaxiM</f>
        <v>4.2721646290012124E-4</v>
      </c>
      <c r="Q315" s="305">
        <f t="shared" si="102"/>
        <v>0.7</v>
      </c>
      <c r="R315" s="177">
        <f t="shared" si="103"/>
        <v>0.9986197204628755</v>
      </c>
      <c r="S315" s="921">
        <f t="shared" si="104"/>
        <v>-2</v>
      </c>
      <c r="T315" s="176">
        <f t="shared" si="105"/>
        <v>4</v>
      </c>
      <c r="U315" s="251">
        <f t="shared" si="106"/>
        <v>-1.0013802795371245</v>
      </c>
      <c r="V315" s="383">
        <f t="shared" si="107"/>
        <v>35.768419162889337</v>
      </c>
      <c r="W315" s="58"/>
      <c r="X315" s="157">
        <f t="shared" si="108"/>
        <v>43766</v>
      </c>
      <c r="Y315" s="385">
        <f t="shared" si="109"/>
        <v>9.1620000000000008</v>
      </c>
      <c r="Z315" s="385">
        <f t="shared" si="110"/>
        <v>9.2675556711069653</v>
      </c>
      <c r="AA315" s="386">
        <f t="shared" si="111"/>
        <v>9.8640887872813483</v>
      </c>
      <c r="AB315" s="197">
        <f t="shared" si="112"/>
        <v>43766</v>
      </c>
      <c r="AC315" s="427">
        <f>IF(OR(t&lt;Tnet,NoTnet),'2018'!Resal_s+('2018'!Salim-'2018'!Resal_s)*(1-EXP(('2018'!Tnet_s-t)/'2018'!Tau_j)),Resal_s+(Salim-Resal_s)*(1-EXP((Tnet_s-t)/Tau_j)))*Salcycl</f>
        <v>6.0475237909815571E-2</v>
      </c>
      <c r="AD315" s="231">
        <f>(INDEX(Models!$BJ315:$BT315,,AH315)*(1-AF315)+INDEX(Models!$BJ315:$BT315,,AH315+1)*AF315-ERP_i)*AE315*Ramure*Pc/MaxiM</f>
        <v>4.2721646290012124E-4</v>
      </c>
      <c r="AE315" s="305">
        <f t="shared" si="113"/>
        <v>0.7</v>
      </c>
      <c r="AF315" s="177">
        <f t="shared" si="114"/>
        <v>0.9986197204628755</v>
      </c>
      <c r="AG315" s="176">
        <f t="shared" si="115"/>
        <v>-2</v>
      </c>
      <c r="AH315" s="176">
        <f t="shared" si="116"/>
        <v>4</v>
      </c>
      <c r="AI315" s="225">
        <f t="shared" si="117"/>
        <v>-1.0013802795371245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20">
        <v>28.521999999999998</v>
      </c>
      <c r="C316" s="390"/>
      <c r="D316" s="393">
        <f t="shared" si="99"/>
        <v>28.851234715835382</v>
      </c>
      <c r="E316" s="385">
        <f t="shared" si="121"/>
        <v>30.710805242424474</v>
      </c>
      <c r="F316" s="385">
        <f t="shared" si="100"/>
        <v>30.720187323726929</v>
      </c>
      <c r="G316" s="110">
        <f t="shared" si="122"/>
        <v>0.80381462464412623</v>
      </c>
      <c r="H316" s="414" t="b">
        <f>Wh_hp&gt;='2018'!Maxi_hp</f>
        <v>1</v>
      </c>
      <c r="I316" s="390">
        <f>IF(H316,Wh_hp,'2018'!Maxi_hp)</f>
        <v>30.720187323726929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1.1411460170703824E-2</v>
      </c>
      <c r="M316" s="959"/>
      <c r="N316" s="959"/>
      <c r="O316" s="48">
        <f>IF(t&lt;Tnet,'2018'!Resal+('2018'!Salim-'2018'!Resal)*(1-EXP(('2018'!Tnet-t)/('2018'!Tau_j))),Resal+(Salim-Resal)*(1-EXP((Tnet-t)/(Tau_j))))*Salcycl</f>
        <v>6.0551018181061782E-2</v>
      </c>
      <c r="P316" s="169">
        <f>(INDEX(Models!$BJ316:$BT316,,T316)*(1-R316)+INDEX(Models!$BJ316:$BT316,,T316+1)*R316-ERP_i)*Q316*Ramure*Pc/MaxiM</f>
        <v>4.2424841517343237E-4</v>
      </c>
      <c r="Q316" s="305">
        <f t="shared" si="102"/>
        <v>0.7</v>
      </c>
      <c r="R316" s="177">
        <f t="shared" si="103"/>
        <v>0.99868328970011166</v>
      </c>
      <c r="S316" s="921">
        <f t="shared" si="104"/>
        <v>-2</v>
      </c>
      <c r="T316" s="176">
        <f t="shared" si="105"/>
        <v>4</v>
      </c>
      <c r="U316" s="251">
        <f t="shared" si="106"/>
        <v>-1.0013167102998883</v>
      </c>
      <c r="V316" s="383">
        <f t="shared" si="107"/>
        <v>35.479087369115923</v>
      </c>
      <c r="W316" s="58"/>
      <c r="X316" s="157">
        <f t="shared" si="108"/>
        <v>43767</v>
      </c>
      <c r="Y316" s="385">
        <f t="shared" si="109"/>
        <v>28.521999999999998</v>
      </c>
      <c r="Z316" s="385">
        <f t="shared" si="110"/>
        <v>28.851234715835382</v>
      </c>
      <c r="AA316" s="386">
        <f t="shared" si="111"/>
        <v>30.710805242424474</v>
      </c>
      <c r="AB316" s="197">
        <f t="shared" si="112"/>
        <v>43767</v>
      </c>
      <c r="AC316" s="427">
        <f>IF(OR(t&lt;Tnet,NoTnet),'2018'!Resal_s+('2018'!Salim-'2018'!Resal_s)*(1-EXP(('2018'!Tnet_s-t)/'2018'!Tau_j)),Resal_s+(Salim-Resal_s)*(1-EXP((Tnet_s-t)/Tau_j)))*Salcycl</f>
        <v>6.0551018181061782E-2</v>
      </c>
      <c r="AD316" s="231">
        <f>(INDEX(Models!$BJ316:$BT316,,AH316)*(1-AF316)+INDEX(Models!$BJ316:$BT316,,AH316+1)*AF316-ERP_i)*AE316*Ramure*Pc/MaxiM</f>
        <v>4.2424841517343237E-4</v>
      </c>
      <c r="AE316" s="305">
        <f t="shared" si="113"/>
        <v>0.7</v>
      </c>
      <c r="AF316" s="177">
        <f t="shared" si="114"/>
        <v>0.99868328970011166</v>
      </c>
      <c r="AG316" s="176">
        <f t="shared" si="115"/>
        <v>-2</v>
      </c>
      <c r="AH316" s="176">
        <f t="shared" si="116"/>
        <v>4</v>
      </c>
      <c r="AI316" s="225">
        <f t="shared" si="117"/>
        <v>-1.0013167102998883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20">
        <v>20.358000000000001</v>
      </c>
      <c r="C317" s="390"/>
      <c r="D317" s="393">
        <f t="shared" si="99"/>
        <v>20.593447204768541</v>
      </c>
      <c r="E317" s="385">
        <f t="shared" si="121"/>
        <v>21.92251695310323</v>
      </c>
      <c r="F317" s="385">
        <f t="shared" si="100"/>
        <v>21.926196052136252</v>
      </c>
      <c r="G317" s="110">
        <f t="shared" si="122"/>
        <v>0.57847182379591711</v>
      </c>
      <c r="H317" s="414" t="b">
        <f>Wh_hp&gt;='2018'!Maxi_hp</f>
        <v>0</v>
      </c>
      <c r="I317" s="390">
        <f>IF(H317,Wh_hp,'2018'!Maxi_hp)</f>
        <v>35.207799824990232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1.1433112796871647E-2</v>
      </c>
      <c r="M317" s="959"/>
      <c r="N317" s="959"/>
      <c r="O317" s="48">
        <f>IF(t&lt;Tnet,'2018'!Resal+('2018'!Salim-'2018'!Resal)*(1-EXP(('2018'!Tnet-t)/('2018'!Tau_j))),Resal+(Salim-Resal)*(1-EXP((Tnet-t)/(Tau_j))))*Salcycl</f>
        <v>6.0625782668013967E-2</v>
      </c>
      <c r="P317" s="169">
        <f>(INDEX(Models!$BJ317:$BT317,,T317)*(1-R317)+INDEX(Models!$BJ317:$BT317,,T317+1)*R317-ERP_i)*Q317*Ramure*Pc/MaxiM</f>
        <v>4.2156639725289405E-4</v>
      </c>
      <c r="Q317" s="305">
        <f t="shared" si="102"/>
        <v>0.7</v>
      </c>
      <c r="R317" s="177">
        <f t="shared" si="103"/>
        <v>0.99874431468015423</v>
      </c>
      <c r="S317" s="921">
        <f t="shared" si="104"/>
        <v>-2</v>
      </c>
      <c r="T317" s="176">
        <f t="shared" si="105"/>
        <v>4</v>
      </c>
      <c r="U317" s="251">
        <f t="shared" si="106"/>
        <v>-1.0012556853198458</v>
      </c>
      <c r="V317" s="383">
        <f t="shared" si="107"/>
        <v>35.183792902459651</v>
      </c>
      <c r="W317" s="58"/>
      <c r="X317" s="157">
        <f t="shared" si="108"/>
        <v>43768</v>
      </c>
      <c r="Y317" s="385">
        <f t="shared" si="109"/>
        <v>20.358000000000001</v>
      </c>
      <c r="Z317" s="385">
        <f t="shared" si="110"/>
        <v>20.593447204768541</v>
      </c>
      <c r="AA317" s="386">
        <f t="shared" si="111"/>
        <v>21.92251695310323</v>
      </c>
      <c r="AB317" s="197">
        <f t="shared" si="112"/>
        <v>43768</v>
      </c>
      <c r="AC317" s="427">
        <f>IF(OR(t&lt;Tnet,NoTnet),'2018'!Resal_s+('2018'!Salim-'2018'!Resal_s)*(1-EXP(('2018'!Tnet_s-t)/'2018'!Tau_j)),Resal_s+(Salim-Resal_s)*(1-EXP((Tnet_s-t)/Tau_j)))*Salcycl</f>
        <v>6.0625782668013967E-2</v>
      </c>
      <c r="AD317" s="231">
        <f>(INDEX(Models!$BJ317:$BT317,,AH317)*(1-AF317)+INDEX(Models!$BJ317:$BT317,,AH317+1)*AF317-ERP_i)*AE317*Ramure*Pc/MaxiM</f>
        <v>4.2156639725289405E-4</v>
      </c>
      <c r="AE317" s="305">
        <f t="shared" si="113"/>
        <v>0.7</v>
      </c>
      <c r="AF317" s="177">
        <f t="shared" si="114"/>
        <v>0.99874431468015423</v>
      </c>
      <c r="AG317" s="176">
        <f t="shared" si="115"/>
        <v>-2</v>
      </c>
      <c r="AH317" s="176">
        <f t="shared" si="116"/>
        <v>4</v>
      </c>
      <c r="AI317" s="225">
        <f t="shared" si="117"/>
        <v>-1.0012556853198458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20">
        <v>16.513999999999999</v>
      </c>
      <c r="C318" s="390"/>
      <c r="D318" s="393">
        <f t="shared" si="99"/>
        <v>16.705355925512649</v>
      </c>
      <c r="E318" s="385">
        <f t="shared" si="121"/>
        <v>17.784891633207657</v>
      </c>
      <c r="F318" s="385">
        <f t="shared" si="100"/>
        <v>17.786739640463512</v>
      </c>
      <c r="G318" s="110">
        <f t="shared" si="122"/>
        <v>0.47329370479797855</v>
      </c>
      <c r="H318" s="414" t="b">
        <f>Wh_hp&gt;='2018'!Maxi_hp</f>
        <v>1</v>
      </c>
      <c r="I318" s="390">
        <f>IF(H318,Wh_hp,'2018'!Maxi_hp)</f>
        <v>17.786739640463512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1.1454764948791496E-2</v>
      </c>
      <c r="M318" s="959"/>
      <c r="N318" s="959"/>
      <c r="O318" s="48">
        <f>IF(t&lt;Tnet,'2018'!Resal+('2018'!Salim-'2018'!Resal)*(1-EXP(('2018'!Tnet-t)/('2018'!Tau_j))),Resal+(Salim-Resal)*(1-EXP((Tnet-t)/(Tau_j))))*Salcycl</f>
        <v>6.069959435003331E-2</v>
      </c>
      <c r="P318" s="169">
        <f>(INDEX(Models!$BJ318:$BT318,,T318)*(1-R318)+INDEX(Models!$BJ318:$BT318,,T318+1)*R318-ERP_i)*Q318*Ramure*Pc/MaxiM</f>
        <v>4.1932277108212417E-4</v>
      </c>
      <c r="Q318" s="305">
        <f t="shared" si="102"/>
        <v>0.7</v>
      </c>
      <c r="R318" s="177">
        <f t="shared" si="103"/>
        <v>0.99880289664601518</v>
      </c>
      <c r="S318" s="921">
        <f t="shared" si="104"/>
        <v>-2</v>
      </c>
      <c r="T318" s="176">
        <f t="shared" si="105"/>
        <v>4</v>
      </c>
      <c r="U318" s="251">
        <f t="shared" si="106"/>
        <v>-1.0011971033539848</v>
      </c>
      <c r="V318" s="383">
        <f t="shared" si="107"/>
        <v>34.880646768084368</v>
      </c>
      <c r="W318" s="58"/>
      <c r="X318" s="157">
        <f t="shared" si="108"/>
        <v>43769</v>
      </c>
      <c r="Y318" s="385">
        <f t="shared" si="109"/>
        <v>16.513999999999999</v>
      </c>
      <c r="Z318" s="385">
        <f t="shared" si="110"/>
        <v>16.705355925512649</v>
      </c>
      <c r="AA318" s="386">
        <f t="shared" si="111"/>
        <v>17.784891633207657</v>
      </c>
      <c r="AB318" s="197">
        <f t="shared" si="112"/>
        <v>43769</v>
      </c>
      <c r="AC318" s="427">
        <f>IF(OR(t&lt;Tnet,NoTnet),'2018'!Resal_s+('2018'!Salim-'2018'!Resal_s)*(1-EXP(('2018'!Tnet_s-t)/'2018'!Tau_j)),Resal_s+(Salim-Resal_s)*(1-EXP((Tnet_s-t)/Tau_j)))*Salcycl</f>
        <v>6.069959435003331E-2</v>
      </c>
      <c r="AD318" s="231">
        <f>(INDEX(Models!$BJ318:$BT318,,AH318)*(1-AF318)+INDEX(Models!$BJ318:$BT318,,AH318+1)*AF318-ERP_i)*AE318*Ramure*Pc/MaxiM</f>
        <v>4.1932277108212417E-4</v>
      </c>
      <c r="AE318" s="305">
        <f t="shared" si="113"/>
        <v>0.7</v>
      </c>
      <c r="AF318" s="177">
        <f t="shared" si="114"/>
        <v>0.99880289664601518</v>
      </c>
      <c r="AG318" s="176">
        <f t="shared" si="115"/>
        <v>-2</v>
      </c>
      <c r="AH318" s="176">
        <f t="shared" si="116"/>
        <v>4</v>
      </c>
      <c r="AI318" s="225">
        <f t="shared" si="117"/>
        <v>-1.0011971033539848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20">
        <v>7.7359999999999998</v>
      </c>
      <c r="C319" s="390"/>
      <c r="D319" s="393">
        <f t="shared" si="99"/>
        <v>7.8258122821909977</v>
      </c>
      <c r="E319" s="385">
        <f t="shared" si="121"/>
        <v>8.3321798302307304</v>
      </c>
      <c r="F319" s="385">
        <f t="shared" si="100"/>
        <v>8.3321798302307304</v>
      </c>
      <c r="G319" s="110">
        <f t="shared" si="122"/>
        <v>0.22367763263688387</v>
      </c>
      <c r="H319" s="414" t="b">
        <f>Wh_hp&gt;='2018'!Maxi_hp</f>
        <v>0</v>
      </c>
      <c r="I319" s="390">
        <f>IF(H319,Wh_hp,'2018'!Maxi_hp)</f>
        <v>25.392151416441983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1.1476416626473585E-2</v>
      </c>
      <c r="M319" s="959"/>
      <c r="N319" s="959"/>
      <c r="O319" s="48">
        <f>IF(t&lt;Tnet,'2018'!Resal+('2018'!Salim-'2018'!Resal)*(1-EXP(('2018'!Tnet-t)/('2018'!Tau_j))),Resal+(Salim-Resal)*(1-EXP((Tnet-t)/(Tau_j))))*Salcycl</f>
        <v>6.0772517919324746E-2</v>
      </c>
      <c r="P319" s="169">
        <f>(INDEX(Models!$BJ319:$BT319,,T319)*(1-R319)+INDEX(Models!$BJ319:$BT319,,T319+1)*R319-ERP_i)*Q319*Ramure*Pc/MaxiM</f>
        <v>4.1736452390899186E-4</v>
      </c>
      <c r="Q319" s="305">
        <f t="shared" si="102"/>
        <v>0.7</v>
      </c>
      <c r="R319" s="177">
        <f t="shared" si="103"/>
        <v>0.99885913285815686</v>
      </c>
      <c r="S319" s="921">
        <f t="shared" si="104"/>
        <v>-2</v>
      </c>
      <c r="T319" s="176">
        <f t="shared" si="105"/>
        <v>4</v>
      </c>
      <c r="U319" s="251">
        <f t="shared" si="106"/>
        <v>-1.0011408671418431</v>
      </c>
      <c r="V319" s="383">
        <f t="shared" si="107"/>
        <v>34.571052889299608</v>
      </c>
      <c r="W319" s="58"/>
      <c r="X319" s="157">
        <f t="shared" si="108"/>
        <v>43770</v>
      </c>
      <c r="Y319" s="385">
        <f t="shared" si="109"/>
        <v>7.7359999999999998</v>
      </c>
      <c r="Z319" s="385">
        <f t="shared" si="110"/>
        <v>7.8258122821909977</v>
      </c>
      <c r="AA319" s="386">
        <f t="shared" si="111"/>
        <v>8.3321798302307304</v>
      </c>
      <c r="AB319" s="197">
        <f t="shared" si="112"/>
        <v>43770</v>
      </c>
      <c r="AC319" s="427">
        <f>IF(OR(t&lt;Tnet,NoTnet),'2018'!Resal_s+('2018'!Salim-'2018'!Resal_s)*(1-EXP(('2018'!Tnet_s-t)/'2018'!Tau_j)),Resal_s+(Salim-Resal_s)*(1-EXP((Tnet_s-t)/Tau_j)))*Salcycl</f>
        <v>6.0772517919324746E-2</v>
      </c>
      <c r="AD319" s="231">
        <f>(INDEX(Models!$BJ319:$BT319,,AH319)*(1-AF319)+INDEX(Models!$BJ319:$BT319,,AH319+1)*AF319-ERP_i)*AE319*Ramure*Pc/MaxiM</f>
        <v>4.1736452390899186E-4</v>
      </c>
      <c r="AE319" s="305">
        <f t="shared" si="113"/>
        <v>0.7</v>
      </c>
      <c r="AF319" s="177">
        <f t="shared" si="114"/>
        <v>0.99885913285815686</v>
      </c>
      <c r="AG319" s="176">
        <f t="shared" si="115"/>
        <v>-2</v>
      </c>
      <c r="AH319" s="176">
        <f t="shared" si="116"/>
        <v>4</v>
      </c>
      <c r="AI319" s="225">
        <f t="shared" si="117"/>
        <v>-1.0011408671418431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20">
        <v>5.9130000000000003</v>
      </c>
      <c r="C320" s="390"/>
      <c r="D320" s="393">
        <f t="shared" si="99"/>
        <v>5.9817788995304353</v>
      </c>
      <c r="E320" s="385">
        <f t="shared" si="121"/>
        <v>6.3693176059171384</v>
      </c>
      <c r="F320" s="385">
        <f t="shared" si="100"/>
        <v>6.3693176059171384</v>
      </c>
      <c r="G320" s="110">
        <f t="shared" si="122"/>
        <v>0.1725382826338413</v>
      </c>
      <c r="H320" s="414" t="b">
        <f>Wh_hp&gt;='2018'!Maxi_hp</f>
        <v>0</v>
      </c>
      <c r="I320" s="390">
        <f>IF(H320,Wh_hp,'2018'!Maxi_hp)</f>
        <v>7.3798746343573471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1.1498067829928349E-2</v>
      </c>
      <c r="M320" s="959"/>
      <c r="N320" s="959"/>
      <c r="O320" s="48">
        <f>IF(t&lt;Tnet,'2018'!Resal+('2018'!Salim-'2018'!Resal)*(1-EXP(('2018'!Tnet-t)/('2018'!Tau_j))),Resal+(Salim-Resal)*(1-EXP((Tnet-t)/(Tau_j))))*Salcycl</f>
        <v>6.0844619528264289E-2</v>
      </c>
      <c r="P320" s="169">
        <f>(INDEX(Models!$BJ320:$BT320,,T320)*(1-R320)+INDEX(Models!$BJ320:$BT320,,T320+1)*R320-ERP_i)*Q320*Ramure*Pc/MaxiM</f>
        <v>4.1568107531578848E-4</v>
      </c>
      <c r="Q320" s="305">
        <f t="shared" si="102"/>
        <v>0.7</v>
      </c>
      <c r="R320" s="177">
        <f t="shared" si="103"/>
        <v>0.99891311674751093</v>
      </c>
      <c r="S320" s="921">
        <f t="shared" si="104"/>
        <v>-2</v>
      </c>
      <c r="T320" s="176">
        <f t="shared" si="105"/>
        <v>4</v>
      </c>
      <c r="U320" s="251">
        <f t="shared" si="106"/>
        <v>-1.0010868832524891</v>
      </c>
      <c r="V320" s="383">
        <f t="shared" si="107"/>
        <v>34.256409578069928</v>
      </c>
      <c r="W320" s="58"/>
      <c r="X320" s="157">
        <f t="shared" si="108"/>
        <v>43771</v>
      </c>
      <c r="Y320" s="385">
        <f t="shared" si="109"/>
        <v>5.9130000000000003</v>
      </c>
      <c r="Z320" s="385">
        <f t="shared" si="110"/>
        <v>5.9817788995304353</v>
      </c>
      <c r="AA320" s="386">
        <f t="shared" si="111"/>
        <v>6.3693176059171384</v>
      </c>
      <c r="AB320" s="197">
        <f t="shared" si="112"/>
        <v>43771</v>
      </c>
      <c r="AC320" s="427">
        <f>IF(OR(t&lt;Tnet,NoTnet),'2018'!Resal_s+('2018'!Salim-'2018'!Resal_s)*(1-EXP(('2018'!Tnet_s-t)/'2018'!Tau_j)),Resal_s+(Salim-Resal_s)*(1-EXP((Tnet_s-t)/Tau_j)))*Salcycl</f>
        <v>6.0844619528264289E-2</v>
      </c>
      <c r="AD320" s="231">
        <f>(INDEX(Models!$BJ320:$BT320,,AH320)*(1-AF320)+INDEX(Models!$BJ320:$BT320,,AH320+1)*AF320-ERP_i)*AE320*Ramure*Pc/MaxiM</f>
        <v>4.1568107531578848E-4</v>
      </c>
      <c r="AE320" s="305">
        <f t="shared" si="113"/>
        <v>0.7</v>
      </c>
      <c r="AF320" s="177">
        <f t="shared" si="114"/>
        <v>0.99891311674751093</v>
      </c>
      <c r="AG320" s="176">
        <f t="shared" si="115"/>
        <v>-2</v>
      </c>
      <c r="AH320" s="176">
        <f t="shared" si="116"/>
        <v>4</v>
      </c>
      <c r="AI320" s="225">
        <f t="shared" si="117"/>
        <v>-1.0010868832524891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20">
        <v>9.7880000000000003</v>
      </c>
      <c r="C321" s="390"/>
      <c r="D321" s="393">
        <f t="shared" si="99"/>
        <v>9.9020690485932246</v>
      </c>
      <c r="E321" s="385">
        <f t="shared" si="121"/>
        <v>10.544390805942998</v>
      </c>
      <c r="F321" s="385">
        <f t="shared" si="100"/>
        <v>10.544390805942998</v>
      </c>
      <c r="G321" s="110">
        <f t="shared" si="122"/>
        <v>0.28828782379036855</v>
      </c>
      <c r="H321" s="414" t="b">
        <f>Wh_hp&gt;='2018'!Maxi_hp</f>
        <v>0</v>
      </c>
      <c r="I321" s="390">
        <f>IF(H321,Wh_hp,'2018'!Maxi_hp)</f>
        <v>31.18806335046073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1.1519718559166225E-2</v>
      </c>
      <c r="M321" s="959"/>
      <c r="N321" s="959"/>
      <c r="O321" s="48">
        <f>IF(t&lt;Tnet,'2018'!Resal+('2018'!Salim-'2018'!Resal)*(1-EXP(('2018'!Tnet-t)/('2018'!Tau_j))),Resal+(Salim-Resal)*(1-EXP((Tnet-t)/(Tau_j))))*Salcycl</f>
        <v>6.0915966523902923E-2</v>
      </c>
      <c r="P321" s="169">
        <f>(INDEX(Models!$BJ321:$BT321,,T321)*(1-R321)+INDEX(Models!$BJ321:$BT321,,T321+1)*R321-ERP_i)*Q321*Ramure*Pc/MaxiM</f>
        <v>4.1426195533331259E-4</v>
      </c>
      <c r="Q321" s="305">
        <f t="shared" si="102"/>
        <v>0.7</v>
      </c>
      <c r="R321" s="177">
        <f t="shared" si="103"/>
        <v>0.99896493806290421</v>
      </c>
      <c r="S321" s="921">
        <f t="shared" si="104"/>
        <v>-2</v>
      </c>
      <c r="T321" s="176">
        <f t="shared" si="105"/>
        <v>4</v>
      </c>
      <c r="U321" s="251">
        <f t="shared" si="106"/>
        <v>-1.0010350619370958</v>
      </c>
      <c r="V321" s="383">
        <f t="shared" si="107"/>
        <v>33.938114608321762</v>
      </c>
      <c r="W321" s="58"/>
      <c r="X321" s="157">
        <f t="shared" si="108"/>
        <v>43772</v>
      </c>
      <c r="Y321" s="385">
        <f t="shared" si="109"/>
        <v>9.7880000000000003</v>
      </c>
      <c r="Z321" s="385">
        <f t="shared" si="110"/>
        <v>9.9020690485932246</v>
      </c>
      <c r="AA321" s="386">
        <f t="shared" si="111"/>
        <v>10.544390805942998</v>
      </c>
      <c r="AB321" s="197">
        <f t="shared" si="112"/>
        <v>43772</v>
      </c>
      <c r="AC321" s="427">
        <f>IF(OR(t&lt;Tnet,NoTnet),'2018'!Resal_s+('2018'!Salim-'2018'!Resal_s)*(1-EXP(('2018'!Tnet_s-t)/'2018'!Tau_j)),Resal_s+(Salim-Resal_s)*(1-EXP((Tnet_s-t)/Tau_j)))*Salcycl</f>
        <v>6.0915966523902923E-2</v>
      </c>
      <c r="AD321" s="231">
        <f>(INDEX(Models!$BJ321:$BT321,,AH321)*(1-AF321)+INDEX(Models!$BJ321:$BT321,,AH321+1)*AF321-ERP_i)*AE321*Ramure*Pc/MaxiM</f>
        <v>4.1426195533331259E-4</v>
      </c>
      <c r="AE321" s="305">
        <f t="shared" si="113"/>
        <v>0.7</v>
      </c>
      <c r="AF321" s="177">
        <f t="shared" si="114"/>
        <v>0.99896493806290421</v>
      </c>
      <c r="AG321" s="176">
        <f t="shared" si="115"/>
        <v>-2</v>
      </c>
      <c r="AH321" s="176">
        <f t="shared" si="116"/>
        <v>4</v>
      </c>
      <c r="AI321" s="225">
        <f t="shared" si="117"/>
        <v>-1.0010350619370958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20">
        <v>12.765000000000001</v>
      </c>
      <c r="C322" s="390"/>
      <c r="D322" s="393">
        <f t="shared" si="99"/>
        <v>12.91404576505796</v>
      </c>
      <c r="E322" s="385">
        <f t="shared" si="121"/>
        <v>13.752781524459335</v>
      </c>
      <c r="F322" s="385">
        <f t="shared" si="100"/>
        <v>13.753428502429696</v>
      </c>
      <c r="G322" s="110">
        <f t="shared" si="122"/>
        <v>0.37957320789764565</v>
      </c>
      <c r="H322" s="414" t="b">
        <f>Wh_hp&gt;='2018'!Maxi_hp</f>
        <v>0</v>
      </c>
      <c r="I322" s="390">
        <f>IF(H322,Wh_hp,'2018'!Maxi_hp)</f>
        <v>29.822160701304174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1.1541368814197539E-2</v>
      </c>
      <c r="M322" s="959"/>
      <c r="N322" s="959"/>
      <c r="O322" s="48">
        <f>IF(t&lt;Tnet,'2018'!Resal+('2018'!Salim-'2018'!Resal)*(1-EXP(('2018'!Tnet-t)/('2018'!Tau_j))),Resal+(Salim-Resal)*(1-EXP((Tnet-t)/(Tau_j))))*Salcycl</f>
        <v>6.0986627171360414E-2</v>
      </c>
      <c r="P322" s="169">
        <f>(INDEX(Models!$BJ322:$BT322,,T322)*(1-R322)+INDEX(Models!$BJ322:$BT322,,T322+1)*R322-ERP_i)*Q322*Ramure*Pc/MaxiM</f>
        <v>4.1309668337020353E-4</v>
      </c>
      <c r="Q322" s="305">
        <f t="shared" si="102"/>
        <v>0.7</v>
      </c>
      <c r="R322" s="177">
        <f t="shared" si="103"/>
        <v>0.99901468301307661</v>
      </c>
      <c r="S322" s="921">
        <f t="shared" si="104"/>
        <v>-2</v>
      </c>
      <c r="T322" s="176">
        <f t="shared" si="105"/>
        <v>4</v>
      </c>
      <c r="U322" s="251">
        <f t="shared" si="106"/>
        <v>-1.0009853169869234</v>
      </c>
      <c r="V322" s="383">
        <f t="shared" si="107"/>
        <v>33.617565245942835</v>
      </c>
      <c r="W322" s="58"/>
      <c r="X322" s="157">
        <f t="shared" si="108"/>
        <v>43773</v>
      </c>
      <c r="Y322" s="385">
        <f t="shared" si="109"/>
        <v>12.765000000000001</v>
      </c>
      <c r="Z322" s="385">
        <f t="shared" si="110"/>
        <v>12.91404576505796</v>
      </c>
      <c r="AA322" s="386">
        <f t="shared" si="111"/>
        <v>13.752781524459335</v>
      </c>
      <c r="AB322" s="197">
        <f t="shared" si="112"/>
        <v>43773</v>
      </c>
      <c r="AC322" s="427">
        <f>IF(OR(t&lt;Tnet,NoTnet),'2018'!Resal_s+('2018'!Salim-'2018'!Resal_s)*(1-EXP(('2018'!Tnet_s-t)/'2018'!Tau_j)),Resal_s+(Salim-Resal_s)*(1-EXP((Tnet_s-t)/Tau_j)))*Salcycl</f>
        <v>6.0986627171360414E-2</v>
      </c>
      <c r="AD322" s="231">
        <f>(INDEX(Models!$BJ322:$BT322,,AH322)*(1-AF322)+INDEX(Models!$BJ322:$BT322,,AH322+1)*AF322-ERP_i)*AE322*Ramure*Pc/MaxiM</f>
        <v>4.1309668337020353E-4</v>
      </c>
      <c r="AE322" s="305">
        <f t="shared" si="113"/>
        <v>0.7</v>
      </c>
      <c r="AF322" s="177">
        <f t="shared" si="114"/>
        <v>0.99901468301307661</v>
      </c>
      <c r="AG322" s="176">
        <f t="shared" si="115"/>
        <v>-2</v>
      </c>
      <c r="AH322" s="176">
        <f t="shared" si="116"/>
        <v>4</v>
      </c>
      <c r="AI322" s="225">
        <f t="shared" si="117"/>
        <v>-1.0009853169869234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20">
        <v>11.032999999999999</v>
      </c>
      <c r="C323" s="390"/>
      <c r="D323" s="393">
        <f t="shared" si="99"/>
        <v>11.162067190482553</v>
      </c>
      <c r="E323" s="385">
        <f t="shared" si="121"/>
        <v>11.887902963064352</v>
      </c>
      <c r="F323" s="385">
        <f t="shared" si="100"/>
        <v>11.888122479135671</v>
      </c>
      <c r="G323" s="110">
        <f t="shared" si="122"/>
        <v>0.33122908754773478</v>
      </c>
      <c r="H323" s="414" t="b">
        <f>Wh_hp&gt;='2018'!Maxi_hp</f>
        <v>0</v>
      </c>
      <c r="I323" s="390">
        <f>IF(H323,Wh_hp,'2018'!Maxi_hp)</f>
        <v>12.412694052556738</v>
      </c>
      <c r="J323" s="85">
        <f>IF(H323,An,'2018'!An_max)</f>
        <v>2018</v>
      </c>
      <c r="K323" s="197">
        <f t="shared" si="101"/>
        <v>43774</v>
      </c>
      <c r="L323" s="147">
        <f>IF(t&lt;Tvie,1-EXP((T0-t)*PertePVj)+'2018'!Pspv,1-EXP((T0-t)*PertePVj)+Pspv)</f>
        <v>1.1563018595032615E-2</v>
      </c>
      <c r="M323" s="959"/>
      <c r="N323" s="959"/>
      <c r="O323" s="48">
        <f>IF(t&lt;Tnet,'2018'!Resal+('2018'!Salim-'2018'!Resal)*(1-EXP(('2018'!Tnet-t)/('2018'!Tau_j))),Resal+(Salim-Resal)*(1-EXP((Tnet-t)/(Tau_j))))*Salcycl</f>
        <v>6.1056670367933448E-2</v>
      </c>
      <c r="P323" s="169">
        <f>(INDEX(Models!$BJ323:$BT323,,T323)*(1-R323)+INDEX(Models!$BJ323:$BT323,,T323+1)*R323-ERP_i)*Q323*Ramure*Pc/MaxiM</f>
        <v>4.121746497540918E-4</v>
      </c>
      <c r="Q323" s="305">
        <f t="shared" si="102"/>
        <v>0.7</v>
      </c>
      <c r="R323" s="177">
        <f t="shared" si="103"/>
        <v>0.99906243440346598</v>
      </c>
      <c r="S323" s="921">
        <f t="shared" si="104"/>
        <v>-2</v>
      </c>
      <c r="T323" s="176">
        <f t="shared" si="105"/>
        <v>4</v>
      </c>
      <c r="U323" s="251">
        <f t="shared" si="106"/>
        <v>-1.000937565596534</v>
      </c>
      <c r="V323" s="383">
        <f t="shared" si="107"/>
        <v>33.296158271088764</v>
      </c>
      <c r="W323" s="58"/>
      <c r="X323" s="157">
        <f t="shared" si="108"/>
        <v>43774</v>
      </c>
      <c r="Y323" s="385">
        <f t="shared" si="109"/>
        <v>11.032999999999999</v>
      </c>
      <c r="Z323" s="385">
        <f t="shared" si="110"/>
        <v>11.162067190482553</v>
      </c>
      <c r="AA323" s="386">
        <f t="shared" si="111"/>
        <v>11.887902963064352</v>
      </c>
      <c r="AB323" s="197">
        <f t="shared" si="112"/>
        <v>43774</v>
      </c>
      <c r="AC323" s="427">
        <f>IF(OR(t&lt;Tnet,NoTnet),'2018'!Resal_s+('2018'!Salim-'2018'!Resal_s)*(1-EXP(('2018'!Tnet_s-t)/'2018'!Tau_j)),Resal_s+(Salim-Resal_s)*(1-EXP((Tnet_s-t)/Tau_j)))*Salcycl</f>
        <v>6.1056670367933448E-2</v>
      </c>
      <c r="AD323" s="231">
        <f>(INDEX(Models!$BJ323:$BT323,,AH323)*(1-AF323)+INDEX(Models!$BJ323:$BT323,,AH323+1)*AF323-ERP_i)*AE323*Ramure*Pc/MaxiM</f>
        <v>4.121746497540918E-4</v>
      </c>
      <c r="AE323" s="305">
        <f t="shared" si="113"/>
        <v>0.7</v>
      </c>
      <c r="AF323" s="177">
        <f t="shared" si="114"/>
        <v>0.99906243440346598</v>
      </c>
      <c r="AG323" s="176">
        <f t="shared" si="115"/>
        <v>-2</v>
      </c>
      <c r="AH323" s="176">
        <f t="shared" si="116"/>
        <v>4</v>
      </c>
      <c r="AI323" s="225">
        <f t="shared" si="117"/>
        <v>-1.000937565596534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20">
        <v>10.904</v>
      </c>
      <c r="C324" s="390"/>
      <c r="D324" s="393">
        <f t="shared" si="99"/>
        <v>11.031799736302935</v>
      </c>
      <c r="E324" s="385">
        <f t="shared" si="121"/>
        <v>11.750034274214858</v>
      </c>
      <c r="F324" s="385">
        <f t="shared" si="100"/>
        <v>11.750246339798728</v>
      </c>
      <c r="G324" s="110">
        <f t="shared" si="122"/>
        <v>0.33054174450077062</v>
      </c>
      <c r="H324" s="414" t="b">
        <f>Wh_hp&gt;='2018'!Maxi_hp</f>
        <v>0</v>
      </c>
      <c r="I324" s="390">
        <f>IF(H324,Wh_hp,'2018'!Maxi_hp)</f>
        <v>21.681215275304478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1.1584667901682111E-2</v>
      </c>
      <c r="M324" s="959"/>
      <c r="N324" s="959"/>
      <c r="O324" s="48">
        <f>IF(t&lt;Tnet,'2018'!Resal+('2018'!Salim-'2018'!Resal)*(1-EXP(('2018'!Tnet-t)/('2018'!Tau_j))),Resal+(Salim-Resal)*(1-EXP((Tnet-t)/(Tau_j))))*Salcycl</f>
        <v>6.1126165349838328E-2</v>
      </c>
      <c r="P324" s="169">
        <f>(INDEX(Models!$BJ324:$BT324,,T324)*(1-R324)+INDEX(Models!$BJ324:$BT324,,T324+1)*R324-ERP_i)*Q324*Ramure*Pc/MaxiM</f>
        <v>4.1188830835682896E-4</v>
      </c>
      <c r="Q324" s="305">
        <f t="shared" si="102"/>
        <v>0.7</v>
      </c>
      <c r="R324" s="177">
        <f t="shared" si="103"/>
        <v>0.99910827176793515</v>
      </c>
      <c r="S324" s="921">
        <f t="shared" si="104"/>
        <v>-2</v>
      </c>
      <c r="T324" s="176">
        <f t="shared" si="105"/>
        <v>4</v>
      </c>
      <c r="U324" s="251">
        <f t="shared" si="106"/>
        <v>-1.0008917282320648</v>
      </c>
      <c r="V324" s="383">
        <f t="shared" si="107"/>
        <v>32.97527669788758</v>
      </c>
      <c r="W324" s="58"/>
      <c r="X324" s="157">
        <f t="shared" si="108"/>
        <v>43775</v>
      </c>
      <c r="Y324" s="385">
        <f t="shared" si="109"/>
        <v>10.904</v>
      </c>
      <c r="Z324" s="385">
        <f t="shared" si="110"/>
        <v>11.031799736302935</v>
      </c>
      <c r="AA324" s="386">
        <f t="shared" si="111"/>
        <v>11.750034274214858</v>
      </c>
      <c r="AB324" s="197">
        <f t="shared" si="112"/>
        <v>43775</v>
      </c>
      <c r="AC324" s="427">
        <f>IF(OR(t&lt;Tnet,NoTnet),'2018'!Resal_s+('2018'!Salim-'2018'!Resal_s)*(1-EXP(('2018'!Tnet_s-t)/'2018'!Tau_j)),Resal_s+(Salim-Resal_s)*(1-EXP((Tnet_s-t)/Tau_j)))*Salcycl</f>
        <v>6.1126165349838328E-2</v>
      </c>
      <c r="AD324" s="231">
        <f>(INDEX(Models!$BJ324:$BT324,,AH324)*(1-AF324)+INDEX(Models!$BJ324:$BT324,,AH324+1)*AF324-ERP_i)*AE324*Ramure*Pc/MaxiM</f>
        <v>4.1188830835682896E-4</v>
      </c>
      <c r="AE324" s="305">
        <f t="shared" si="113"/>
        <v>0.7</v>
      </c>
      <c r="AF324" s="177">
        <f t="shared" si="114"/>
        <v>0.99910827176793515</v>
      </c>
      <c r="AG324" s="176">
        <f t="shared" si="115"/>
        <v>-2</v>
      </c>
      <c r="AH324" s="176">
        <f t="shared" si="116"/>
        <v>4</v>
      </c>
      <c r="AI324" s="225">
        <f t="shared" si="117"/>
        <v>-1.0008917282320648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20">
        <v>3.68</v>
      </c>
      <c r="C325" s="390"/>
      <c r="D325" s="393">
        <f t="shared" si="99"/>
        <v>3.7232127868731095</v>
      </c>
      <c r="E325" s="385">
        <f t="shared" si="121"/>
        <v>3.9659071971956337</v>
      </c>
      <c r="F325" s="385">
        <f t="shared" si="100"/>
        <v>3.9659071971956337</v>
      </c>
      <c r="G325" s="110">
        <f t="shared" si="122"/>
        <v>0.11264231145739799</v>
      </c>
      <c r="H325" s="414" t="b">
        <f>Wh_hp&gt;='2018'!Maxi_hp</f>
        <v>0</v>
      </c>
      <c r="I325" s="390">
        <f>IF(H325,Wh_hp,'2018'!Maxi_hp)</f>
        <v>10.494667806910758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1.160631673415613E-2</v>
      </c>
      <c r="M325" s="959"/>
      <c r="N325" s="959"/>
      <c r="O325" s="48">
        <f>IF(t&lt;Tnet,'2018'!Resal+('2018'!Salim-'2018'!Resal)*(1-EXP(('2018'!Tnet-t)/('2018'!Tau_j))),Resal+(Salim-Resal)*(1-EXP((Tnet-t)/(Tau_j))))*Salcycl</f>
        <v>6.1195181393588219E-2</v>
      </c>
      <c r="P325" s="169">
        <f>(INDEX(Models!$BJ325:$BT325,,T325)*(1-R325)+INDEX(Models!$BJ325:$BT325,,T325+1)*R325-ERP_i)*Q325*Ramure*Pc/MaxiM</f>
        <v>4.12138024729644E-4</v>
      </c>
      <c r="Q325" s="305">
        <f t="shared" si="102"/>
        <v>0.7</v>
      </c>
      <c r="R325" s="177">
        <f t="shared" si="103"/>
        <v>0.99915227149560626</v>
      </c>
      <c r="S325" s="921">
        <f t="shared" si="104"/>
        <v>-2</v>
      </c>
      <c r="T325" s="176">
        <f t="shared" si="105"/>
        <v>4</v>
      </c>
      <c r="U325" s="251">
        <f t="shared" si="106"/>
        <v>-1.0008477285043937</v>
      </c>
      <c r="V325" s="383">
        <f t="shared" si="107"/>
        <v>32.656319676644955</v>
      </c>
      <c r="W325" s="58"/>
      <c r="X325" s="157">
        <f t="shared" si="108"/>
        <v>43776</v>
      </c>
      <c r="Y325" s="385">
        <f t="shared" si="109"/>
        <v>3.68</v>
      </c>
      <c r="Z325" s="385">
        <f t="shared" si="110"/>
        <v>3.7232127868731095</v>
      </c>
      <c r="AA325" s="386">
        <f t="shared" si="111"/>
        <v>3.9659071971956337</v>
      </c>
      <c r="AB325" s="197">
        <f t="shared" si="112"/>
        <v>43776</v>
      </c>
      <c r="AC325" s="427">
        <f>IF(OR(t&lt;Tnet,NoTnet),'2018'!Resal_s+('2018'!Salim-'2018'!Resal_s)*(1-EXP(('2018'!Tnet_s-t)/'2018'!Tau_j)),Resal_s+(Salim-Resal_s)*(1-EXP((Tnet_s-t)/Tau_j)))*Salcycl</f>
        <v>6.1195181393588219E-2</v>
      </c>
      <c r="AD325" s="231">
        <f>(INDEX(Models!$BJ325:$BT325,,AH325)*(1-AF325)+INDEX(Models!$BJ325:$BT325,,AH325+1)*AF325-ERP_i)*AE325*Ramure*Pc/MaxiM</f>
        <v>4.12138024729644E-4</v>
      </c>
      <c r="AE325" s="305">
        <f t="shared" si="113"/>
        <v>0.7</v>
      </c>
      <c r="AF325" s="177">
        <f t="shared" si="114"/>
        <v>0.99915227149560626</v>
      </c>
      <c r="AG325" s="176">
        <f t="shared" si="115"/>
        <v>-2</v>
      </c>
      <c r="AH325" s="176">
        <f t="shared" si="116"/>
        <v>4</v>
      </c>
      <c r="AI325" s="225">
        <f t="shared" si="117"/>
        <v>-1.0008477285043937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20">
        <v>13.041</v>
      </c>
      <c r="C326" s="390"/>
      <c r="D326" s="393">
        <f t="shared" si="99"/>
        <v>13.194424305236463</v>
      </c>
      <c r="E326" s="385">
        <f t="shared" si="121"/>
        <v>14.055518610809106</v>
      </c>
      <c r="F326" s="385">
        <f t="shared" si="100"/>
        <v>14.056374615293274</v>
      </c>
      <c r="G326" s="110">
        <f t="shared" si="122"/>
        <v>0.40309628351128007</v>
      </c>
      <c r="H326" s="414" t="b">
        <f>Wh_hp&gt;='2018'!Maxi_hp</f>
        <v>0</v>
      </c>
      <c r="I326" s="390">
        <f>IF(H326,Wh_hp,'2018'!Maxi_hp)</f>
        <v>17.916158880352736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1.1627965092465109E-2</v>
      </c>
      <c r="M326" s="959"/>
      <c r="N326" s="959"/>
      <c r="O326" s="48">
        <f>IF(t&lt;Tnet,'2018'!Resal+('2018'!Salim-'2018'!Resal)*(1-EXP(('2018'!Tnet-t)/('2018'!Tau_j))),Resal+(Salim-Resal)*(1-EXP((Tnet-t)/(Tau_j))))*Salcycl</f>
        <v>6.126378751406835E-2</v>
      </c>
      <c r="P326" s="169">
        <f>(INDEX(Models!$BJ326:$BT326,,T326)*(1-R326)+INDEX(Models!$BJ326:$BT326,,T326+1)*R326-ERP_i)*Q326*Ramure*Pc/MaxiM</f>
        <v>4.1291453440563965E-4</v>
      </c>
      <c r="Q326" s="305">
        <f t="shared" si="102"/>
        <v>0.7</v>
      </c>
      <c r="R326" s="177">
        <f t="shared" si="103"/>
        <v>0.99919450695297218</v>
      </c>
      <c r="S326" s="921">
        <f t="shared" si="104"/>
        <v>-2</v>
      </c>
      <c r="T326" s="176">
        <f t="shared" si="105"/>
        <v>4</v>
      </c>
      <c r="U326" s="251">
        <f t="shared" si="106"/>
        <v>-1.0008054930470278</v>
      </c>
      <c r="V326" s="383">
        <f t="shared" si="107"/>
        <v>32.340682872754194</v>
      </c>
      <c r="W326" s="58"/>
      <c r="X326" s="157">
        <f t="shared" si="108"/>
        <v>43777</v>
      </c>
      <c r="Y326" s="385">
        <f t="shared" si="109"/>
        <v>13.041</v>
      </c>
      <c r="Z326" s="385">
        <f t="shared" si="110"/>
        <v>13.194424305236463</v>
      </c>
      <c r="AA326" s="386">
        <f t="shared" si="111"/>
        <v>14.055518610809106</v>
      </c>
      <c r="AB326" s="197">
        <f t="shared" si="112"/>
        <v>43777</v>
      </c>
      <c r="AC326" s="427">
        <f>IF(OR(t&lt;Tnet,NoTnet),'2018'!Resal_s+('2018'!Salim-'2018'!Resal_s)*(1-EXP(('2018'!Tnet_s-t)/'2018'!Tau_j)),Resal_s+(Salim-Resal_s)*(1-EXP((Tnet_s-t)/Tau_j)))*Salcycl</f>
        <v>6.126378751406835E-2</v>
      </c>
      <c r="AD326" s="231">
        <f>(INDEX(Models!$BJ326:$BT326,,AH326)*(1-AF326)+INDEX(Models!$BJ326:$BT326,,AH326+1)*AF326-ERP_i)*AE326*Ramure*Pc/MaxiM</f>
        <v>4.1291453440563965E-4</v>
      </c>
      <c r="AE326" s="305">
        <f t="shared" si="113"/>
        <v>0.7</v>
      </c>
      <c r="AF326" s="177">
        <f t="shared" si="114"/>
        <v>0.99919450695297218</v>
      </c>
      <c r="AG326" s="176">
        <f t="shared" si="115"/>
        <v>-2</v>
      </c>
      <c r="AH326" s="176">
        <f t="shared" si="116"/>
        <v>4</v>
      </c>
      <c r="AI326" s="225">
        <f t="shared" si="117"/>
        <v>-1.0008054930470278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20">
        <v>18.353999999999999</v>
      </c>
      <c r="C327" s="390"/>
      <c r="D327" s="393">
        <f t="shared" si="99"/>
        <v>18.57033724171124</v>
      </c>
      <c r="E327" s="385">
        <f t="shared" si="121"/>
        <v>19.783712956719278</v>
      </c>
      <c r="F327" s="385">
        <f t="shared" si="100"/>
        <v>19.786909701348762</v>
      </c>
      <c r="G327" s="110">
        <f t="shared" si="122"/>
        <v>0.57288475604038658</v>
      </c>
      <c r="H327" s="414" t="b">
        <f>Wh_hp&gt;='2018'!Maxi_hp</f>
        <v>1</v>
      </c>
      <c r="I327" s="390">
        <f>IF(H327,Wh_hp,'2018'!Maxi_hp)</f>
        <v>19.786909701348762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1.1649612976619594E-2</v>
      </c>
      <c r="M327" s="959"/>
      <c r="N327" s="959"/>
      <c r="O327" s="48">
        <f>IF(t&lt;Tnet,'2018'!Resal+('2018'!Salim-'2018'!Resal)*(1-EXP(('2018'!Tnet-t)/('2018'!Tau_j))),Resal+(Salim-Resal)*(1-EXP((Tnet-t)/(Tau_j))))*Salcycl</f>
        <v>6.1332052161418515E-2</v>
      </c>
      <c r="P327" s="169">
        <f>(INDEX(Models!$BJ327:$BT327,,T327)*(1-R327)+INDEX(Models!$BJ327:$BT327,,T327+1)*R327-ERP_i)*Q327*Ramure*Pc/MaxiM</f>
        <v>4.1420787470747294E-4</v>
      </c>
      <c r="Q327" s="305">
        <f t="shared" si="102"/>
        <v>0.7</v>
      </c>
      <c r="R327" s="177">
        <f t="shared" si="103"/>
        <v>0.99923504860144186</v>
      </c>
      <c r="S327" s="921">
        <f t="shared" si="104"/>
        <v>-2</v>
      </c>
      <c r="T327" s="176">
        <f t="shared" si="105"/>
        <v>4</v>
      </c>
      <c r="U327" s="251">
        <f t="shared" si="106"/>
        <v>-1.0007649513985581</v>
      </c>
      <c r="V327" s="383">
        <f t="shared" si="107"/>
        <v>32.029761538789884</v>
      </c>
      <c r="W327" s="58"/>
      <c r="X327" s="157">
        <f t="shared" si="108"/>
        <v>43778</v>
      </c>
      <c r="Y327" s="385">
        <f t="shared" si="109"/>
        <v>18.353999999999999</v>
      </c>
      <c r="Z327" s="385">
        <f t="shared" si="110"/>
        <v>18.57033724171124</v>
      </c>
      <c r="AA327" s="386">
        <f t="shared" si="111"/>
        <v>19.783712956719278</v>
      </c>
      <c r="AB327" s="197">
        <f t="shared" si="112"/>
        <v>43778</v>
      </c>
      <c r="AC327" s="427">
        <f>IF(OR(t&lt;Tnet,NoTnet),'2018'!Resal_s+('2018'!Salim-'2018'!Resal_s)*(1-EXP(('2018'!Tnet_s-t)/'2018'!Tau_j)),Resal_s+(Salim-Resal_s)*(1-EXP((Tnet_s-t)/Tau_j)))*Salcycl</f>
        <v>6.1332052161418515E-2</v>
      </c>
      <c r="AD327" s="231">
        <f>(INDEX(Models!$BJ327:$BT327,,AH327)*(1-AF327)+INDEX(Models!$BJ327:$BT327,,AH327+1)*AF327-ERP_i)*AE327*Ramure*Pc/MaxiM</f>
        <v>4.1420787470747294E-4</v>
      </c>
      <c r="AE327" s="305">
        <f t="shared" si="113"/>
        <v>0.7</v>
      </c>
      <c r="AF327" s="177">
        <f t="shared" si="114"/>
        <v>0.99923504860144186</v>
      </c>
      <c r="AG327" s="176">
        <f t="shared" si="115"/>
        <v>-2</v>
      </c>
      <c r="AH327" s="176">
        <f t="shared" si="116"/>
        <v>4</v>
      </c>
      <c r="AI327" s="225">
        <f t="shared" si="117"/>
        <v>-1.0007649513985581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20">
        <v>19.512</v>
      </c>
      <c r="C328" s="390"/>
      <c r="D328" s="393">
        <f t="shared" si="99"/>
        <v>19.742418911781325</v>
      </c>
      <c r="E328" s="385">
        <f t="shared" si="121"/>
        <v>21.033901357907936</v>
      </c>
      <c r="F328" s="385">
        <f t="shared" si="100"/>
        <v>21.037840164795352</v>
      </c>
      <c r="G328" s="110">
        <f t="shared" si="122"/>
        <v>0.61489568443712306</v>
      </c>
      <c r="H328" s="414" t="b">
        <f>Wh_hp&gt;='2018'!Maxi_hp</f>
        <v>0</v>
      </c>
      <c r="I328" s="390">
        <f>IF(H328,Wh_hp,'2018'!Maxi_hp)</f>
        <v>21.661173331050904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1.16712603866298E-2</v>
      </c>
      <c r="M328" s="959"/>
      <c r="N328" s="959"/>
      <c r="O328" s="48">
        <f>IF(t&lt;Tnet,'2018'!Resal+('2018'!Salim-'2018'!Resal)*(1-EXP(('2018'!Tnet-t)/('2018'!Tau_j))),Resal+(Salim-Resal)*(1-EXP((Tnet-t)/(Tau_j))))*Salcycl</f>
        <v>6.1400042918859789E-2</v>
      </c>
      <c r="P328" s="169">
        <f>(INDEX(Models!$BJ328:$BT328,,T328)*(1-R328)+INDEX(Models!$BJ328:$BT328,,T328+1)*R328-ERP_i)*Q328*Ramure*Pc/MaxiM</f>
        <v>4.160071677420578E-4</v>
      </c>
      <c r="Q328" s="305">
        <f t="shared" si="102"/>
        <v>0.7</v>
      </c>
      <c r="R328" s="177">
        <f t="shared" si="103"/>
        <v>0.99927396411047686</v>
      </c>
      <c r="S328" s="921">
        <f t="shared" si="104"/>
        <v>-2</v>
      </c>
      <c r="T328" s="176">
        <f t="shared" si="105"/>
        <v>4</v>
      </c>
      <c r="U328" s="251">
        <f t="shared" si="106"/>
        <v>-1.0007260358895231</v>
      </c>
      <c r="V328" s="383">
        <f t="shared" si="107"/>
        <v>31.724950520238245</v>
      </c>
      <c r="W328" s="58"/>
      <c r="X328" s="157">
        <f t="shared" si="108"/>
        <v>43779</v>
      </c>
      <c r="Y328" s="385">
        <f t="shared" si="109"/>
        <v>19.512</v>
      </c>
      <c r="Z328" s="385">
        <f t="shared" si="110"/>
        <v>19.742418911781325</v>
      </c>
      <c r="AA328" s="386">
        <f t="shared" si="111"/>
        <v>21.033901357907936</v>
      </c>
      <c r="AB328" s="197">
        <f t="shared" si="112"/>
        <v>43779</v>
      </c>
      <c r="AC328" s="427">
        <f>IF(OR(t&lt;Tnet,NoTnet),'2018'!Resal_s+('2018'!Salim-'2018'!Resal_s)*(1-EXP(('2018'!Tnet_s-t)/'2018'!Tau_j)),Resal_s+(Salim-Resal_s)*(1-EXP((Tnet_s-t)/Tau_j)))*Salcycl</f>
        <v>6.1400042918859789E-2</v>
      </c>
      <c r="AD328" s="231">
        <f>(INDEX(Models!$BJ328:$BT328,,AH328)*(1-AF328)+INDEX(Models!$BJ328:$BT328,,AH328+1)*AF328-ERP_i)*AE328*Ramure*Pc/MaxiM</f>
        <v>4.160071677420578E-4</v>
      </c>
      <c r="AE328" s="305">
        <f t="shared" si="113"/>
        <v>0.7</v>
      </c>
      <c r="AF328" s="177">
        <f t="shared" si="114"/>
        <v>0.99927396411047686</v>
      </c>
      <c r="AG328" s="176">
        <f t="shared" si="115"/>
        <v>-2</v>
      </c>
      <c r="AH328" s="176">
        <f t="shared" si="116"/>
        <v>4</v>
      </c>
      <c r="AI328" s="225">
        <f t="shared" si="117"/>
        <v>-1.0007260358895231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20">
        <v>23.876999999999999</v>
      </c>
      <c r="C329" s="390"/>
      <c r="D329" s="393">
        <f t="shared" si="99"/>
        <v>24.159494732870023</v>
      </c>
      <c r="E329" s="385">
        <f t="shared" si="121"/>
        <v>25.741786384524495</v>
      </c>
      <c r="F329" s="385">
        <f t="shared" si="100"/>
        <v>25.748860390137768</v>
      </c>
      <c r="G329" s="110">
        <f t="shared" si="122"/>
        <v>0.75963603387591472</v>
      </c>
      <c r="H329" s="414" t="b">
        <f>Wh_hp&gt;='2018'!Maxi_hp</f>
        <v>0</v>
      </c>
      <c r="I329" s="390">
        <f>IF(H329,Wh_hp,'2018'!Maxi_hp)</f>
        <v>29.153917771397072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1.1692907322506163E-2</v>
      </c>
      <c r="M329" s="959"/>
      <c r="N329" s="959"/>
      <c r="O329" s="48">
        <f>IF(t&lt;Tnet,'2018'!Resal+('2018'!Salim-'2018'!Resal)*(1-EXP(('2018'!Tnet-t)/('2018'!Tau_j))),Resal+(Salim-Resal)*(1-EXP((Tnet-t)/(Tau_j))))*Salcycl</f>
        <v>6.1467826203612623E-2</v>
      </c>
      <c r="P329" s="169">
        <f>(INDEX(Models!$BJ329:$BT329,,T329)*(1-R329)+INDEX(Models!$BJ329:$BT329,,T329+1)*R329-ERP_i)*Q329*Ramure*Pc/MaxiM</f>
        <v>4.1830040059025875E-4</v>
      </c>
      <c r="Q329" s="305">
        <f t="shared" si="102"/>
        <v>0.7</v>
      </c>
      <c r="R329" s="177">
        <f t="shared" si="103"/>
        <v>0.99931131846647414</v>
      </c>
      <c r="S329" s="921">
        <f t="shared" si="104"/>
        <v>-2</v>
      </c>
      <c r="T329" s="176">
        <f t="shared" si="105"/>
        <v>4</v>
      </c>
      <c r="U329" s="251">
        <f t="shared" si="106"/>
        <v>-1.0006886815335259</v>
      </c>
      <c r="V329" s="383">
        <f t="shared" si="107"/>
        <v>31.42764426978594</v>
      </c>
      <c r="W329" s="58"/>
      <c r="X329" s="157">
        <f t="shared" si="108"/>
        <v>43780</v>
      </c>
      <c r="Y329" s="385">
        <f t="shared" si="109"/>
        <v>23.876999999999999</v>
      </c>
      <c r="Z329" s="385">
        <f t="shared" si="110"/>
        <v>24.159494732870023</v>
      </c>
      <c r="AA329" s="386">
        <f t="shared" si="111"/>
        <v>25.741786384524495</v>
      </c>
      <c r="AB329" s="197">
        <f t="shared" si="112"/>
        <v>43780</v>
      </c>
      <c r="AC329" s="427">
        <f>IF(OR(t&lt;Tnet,NoTnet),'2018'!Resal_s+('2018'!Salim-'2018'!Resal_s)*(1-EXP(('2018'!Tnet_s-t)/'2018'!Tau_j)),Resal_s+(Salim-Resal_s)*(1-EXP((Tnet_s-t)/Tau_j)))*Salcycl</f>
        <v>6.1467826203612623E-2</v>
      </c>
      <c r="AD329" s="231">
        <f>(INDEX(Models!$BJ329:$BT329,,AH329)*(1-AF329)+INDEX(Models!$BJ329:$BT329,,AH329+1)*AF329-ERP_i)*AE329*Ramure*Pc/MaxiM</f>
        <v>4.1830040059025875E-4</v>
      </c>
      <c r="AE329" s="305">
        <f t="shared" si="113"/>
        <v>0.7</v>
      </c>
      <c r="AF329" s="177">
        <f t="shared" si="114"/>
        <v>0.99931131846647414</v>
      </c>
      <c r="AG329" s="176">
        <f t="shared" si="115"/>
        <v>-2</v>
      </c>
      <c r="AH329" s="176">
        <f t="shared" si="116"/>
        <v>4</v>
      </c>
      <c r="AI329" s="225">
        <f t="shared" si="117"/>
        <v>-1.0006886815335259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20">
        <v>16.818000000000001</v>
      </c>
      <c r="C330" s="390"/>
      <c r="D330" s="393">
        <f t="shared" si="99"/>
        <v>17.01735066968563</v>
      </c>
      <c r="E330" s="385">
        <f t="shared" si="121"/>
        <v>18.133184655148632</v>
      </c>
      <c r="F330" s="385">
        <f t="shared" si="100"/>
        <v>18.135803875492226</v>
      </c>
      <c r="G330" s="110">
        <f t="shared" si="122"/>
        <v>0.53994086892856641</v>
      </c>
      <c r="H330" s="414" t="b">
        <f>Wh_hp&gt;='2018'!Maxi_hp</f>
        <v>0</v>
      </c>
      <c r="I330" s="390">
        <f>IF(H330,Wh_hp,'2018'!Maxi_hp)</f>
        <v>27.819248428423119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1.1714553784259119E-2</v>
      </c>
      <c r="M330" s="959"/>
      <c r="N330" s="959"/>
      <c r="O330" s="48">
        <f>IF(t&lt;Tnet,'2018'!Resal+('2018'!Salim-'2018'!Resal)*(1-EXP(('2018'!Tnet-t)/('2018'!Tau_j))),Resal+(Salim-Resal)*(1-EXP((Tnet-t)/(Tau_j))))*Salcycl</f>
        <v>6.1535466973043761E-2</v>
      </c>
      <c r="P330" s="169">
        <f>(INDEX(Models!$BJ330:$BT330,,T330)*(1-R330)+INDEX(Models!$BJ330:$BT330,,T330+1)*R330-ERP_i)*Q330*Ramure*Pc/MaxiM</f>
        <v>4.2107420476374054E-4</v>
      </c>
      <c r="Q330" s="305">
        <f t="shared" si="102"/>
        <v>0.7</v>
      </c>
      <c r="R330" s="177">
        <f t="shared" si="103"/>
        <v>0.99934717407753726</v>
      </c>
      <c r="S330" s="921">
        <f t="shared" si="104"/>
        <v>-2</v>
      </c>
      <c r="T330" s="176">
        <f t="shared" si="105"/>
        <v>4</v>
      </c>
      <c r="U330" s="251">
        <f t="shared" si="106"/>
        <v>-1.0006528259224627</v>
      </c>
      <c r="V330" s="383">
        <f t="shared" si="107"/>
        <v>31.139236848258637</v>
      </c>
      <c r="W330" s="58"/>
      <c r="X330" s="157">
        <f t="shared" si="108"/>
        <v>43781</v>
      </c>
      <c r="Y330" s="385">
        <f t="shared" si="109"/>
        <v>16.818000000000001</v>
      </c>
      <c r="Z330" s="385">
        <f t="shared" si="110"/>
        <v>17.01735066968563</v>
      </c>
      <c r="AA330" s="386">
        <f t="shared" si="111"/>
        <v>18.133184655148632</v>
      </c>
      <c r="AB330" s="197">
        <f t="shared" si="112"/>
        <v>43781</v>
      </c>
      <c r="AC330" s="427">
        <f>IF(OR(t&lt;Tnet,NoTnet),'2018'!Resal_s+('2018'!Salim-'2018'!Resal_s)*(1-EXP(('2018'!Tnet_s-t)/'2018'!Tau_j)),Resal_s+(Salim-Resal_s)*(1-EXP((Tnet_s-t)/Tau_j)))*Salcycl</f>
        <v>6.1535466973043761E-2</v>
      </c>
      <c r="AD330" s="231">
        <f>(INDEX(Models!$BJ330:$BT330,,AH330)*(1-AF330)+INDEX(Models!$BJ330:$BT330,,AH330+1)*AF330-ERP_i)*AE330*Ramure*Pc/MaxiM</f>
        <v>4.2107420476374054E-4</v>
      </c>
      <c r="AE330" s="305">
        <f t="shared" si="113"/>
        <v>0.7</v>
      </c>
      <c r="AF330" s="177">
        <f t="shared" si="114"/>
        <v>0.99934717407753726</v>
      </c>
      <c r="AG330" s="176">
        <f t="shared" si="115"/>
        <v>-2</v>
      </c>
      <c r="AH330" s="176">
        <f t="shared" si="116"/>
        <v>4</v>
      </c>
      <c r="AI330" s="225">
        <f t="shared" si="117"/>
        <v>-1.0006528259224627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20">
        <v>18.085999999999999</v>
      </c>
      <c r="C331" s="390"/>
      <c r="D331" s="393">
        <f t="shared" si="99"/>
        <v>18.300781629181976</v>
      </c>
      <c r="E331" s="385">
        <f t="shared" si="121"/>
        <v>19.502174648669801</v>
      </c>
      <c r="F331" s="385">
        <f t="shared" si="100"/>
        <v>19.505558166502119</v>
      </c>
      <c r="G331" s="110">
        <f t="shared" si="122"/>
        <v>0.58598053400864392</v>
      </c>
      <c r="H331" s="414" t="b">
        <f>Wh_hp&gt;='2018'!Maxi_hp</f>
        <v>1</v>
      </c>
      <c r="I331" s="390">
        <f>IF(H331,Wh_hp,'2018'!Maxi_hp)</f>
        <v>19.505558166502119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1.1736199771898992E-2</v>
      </c>
      <c r="M331" s="959"/>
      <c r="N331" s="959"/>
      <c r="O331" s="48">
        <f>IF(t&lt;Tnet,'2018'!Resal+('2018'!Salim-'2018'!Resal)*(1-EXP(('2018'!Tnet-t)/('2018'!Tau_j))),Resal+(Salim-Resal)*(1-EXP((Tnet-t)/(Tau_j))))*Salcycl</f>
        <v>6.1603028438152588E-2</v>
      </c>
      <c r="P331" s="169">
        <f>(INDEX(Models!$BJ331:$BT331,,T331)*(1-R331)+INDEX(Models!$BJ331:$BT331,,T331+1)*R331-ERP_i)*Q331*Ramure*Pc/MaxiM</f>
        <v>4.2437357971464328E-4</v>
      </c>
      <c r="Q331" s="305">
        <f t="shared" si="102"/>
        <v>0.7</v>
      </c>
      <c r="R331" s="177">
        <f t="shared" si="103"/>
        <v>0.99938159087428802</v>
      </c>
      <c r="S331" s="921">
        <f t="shared" si="104"/>
        <v>-2</v>
      </c>
      <c r="T331" s="176">
        <f t="shared" si="105"/>
        <v>4</v>
      </c>
      <c r="U331" s="251">
        <f t="shared" si="106"/>
        <v>-1.000618409125712</v>
      </c>
      <c r="V331" s="383">
        <f t="shared" si="107"/>
        <v>30.856760963740292</v>
      </c>
      <c r="W331" s="58"/>
      <c r="X331" s="157">
        <f t="shared" si="108"/>
        <v>43782</v>
      </c>
      <c r="Y331" s="385">
        <f t="shared" si="109"/>
        <v>18.085999999999999</v>
      </c>
      <c r="Z331" s="385">
        <f t="shared" si="110"/>
        <v>18.300781629181976</v>
      </c>
      <c r="AA331" s="386">
        <f t="shared" si="111"/>
        <v>19.502174648669801</v>
      </c>
      <c r="AB331" s="197">
        <f t="shared" si="112"/>
        <v>43782</v>
      </c>
      <c r="AC331" s="427">
        <f>IF(OR(t&lt;Tnet,NoTnet),'2018'!Resal_s+('2018'!Salim-'2018'!Resal_s)*(1-EXP(('2018'!Tnet_s-t)/'2018'!Tau_j)),Resal_s+(Salim-Resal_s)*(1-EXP((Tnet_s-t)/Tau_j)))*Salcycl</f>
        <v>6.1603028438152588E-2</v>
      </c>
      <c r="AD331" s="231">
        <f>(INDEX(Models!$BJ331:$BT331,,AH331)*(1-AF331)+INDEX(Models!$BJ331:$BT331,,AH331+1)*AF331-ERP_i)*AE331*Ramure*Pc/MaxiM</f>
        <v>4.2437357971464328E-4</v>
      </c>
      <c r="AE331" s="305">
        <f t="shared" si="113"/>
        <v>0.7</v>
      </c>
      <c r="AF331" s="177">
        <f t="shared" si="114"/>
        <v>0.99938159087428802</v>
      </c>
      <c r="AG331" s="176">
        <f t="shared" si="115"/>
        <v>-2</v>
      </c>
      <c r="AH331" s="176">
        <f t="shared" si="116"/>
        <v>4</v>
      </c>
      <c r="AI331" s="225">
        <f t="shared" si="117"/>
        <v>-1.000618409125712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20">
        <v>5.524</v>
      </c>
      <c r="C332" s="390"/>
      <c r="D332" s="393">
        <f t="shared" si="99"/>
        <v>5.5897230993910689</v>
      </c>
      <c r="E332" s="385">
        <f t="shared" si="121"/>
        <v>5.9571009192722437</v>
      </c>
      <c r="F332" s="385">
        <f t="shared" si="100"/>
        <v>5.9571009192722437</v>
      </c>
      <c r="G332" s="110">
        <f t="shared" si="122"/>
        <v>0.18058374886007303</v>
      </c>
      <c r="H332" s="414" t="b">
        <f>Wh_hp&gt;='2018'!Maxi_hp</f>
        <v>0</v>
      </c>
      <c r="I332" s="390">
        <f>IF(H332,Wh_hp,'2018'!Maxi_hp)</f>
        <v>19.201146475349681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1.1757845285436108E-2</v>
      </c>
      <c r="M332" s="959"/>
      <c r="N332" s="959"/>
      <c r="O332" s="48">
        <f>IF(t&lt;Tnet,'2018'!Resal+('2018'!Salim-'2018'!Resal)*(1-EXP(('2018'!Tnet-t)/('2018'!Tau_j))),Resal+(Salim-Resal)*(1-EXP((Tnet-t)/(Tau_j))))*Salcycl</f>
        <v>6.1670571786461466E-2</v>
      </c>
      <c r="P332" s="169">
        <f>(INDEX(Models!$BJ332:$BT332,,T332)*(1-R332)+INDEX(Models!$BJ332:$BT332,,T332+1)*R332-ERP_i)*Q332*Ramure*Pc/MaxiM</f>
        <v>4.2816267871964071E-4</v>
      </c>
      <c r="Q332" s="305">
        <f t="shared" si="102"/>
        <v>0.7</v>
      </c>
      <c r="R332" s="177">
        <f t="shared" si="103"/>
        <v>0.99941462640684975</v>
      </c>
      <c r="S332" s="921">
        <f t="shared" si="104"/>
        <v>-2</v>
      </c>
      <c r="T332" s="176">
        <f t="shared" si="105"/>
        <v>4</v>
      </c>
      <c r="U332" s="251">
        <f t="shared" si="106"/>
        <v>-1.0005853735931503</v>
      </c>
      <c r="V332" s="383">
        <f t="shared" si="107"/>
        <v>30.576587673131332</v>
      </c>
      <c r="W332" s="58"/>
      <c r="X332" s="157">
        <f t="shared" si="108"/>
        <v>43783</v>
      </c>
      <c r="Y332" s="385">
        <f t="shared" si="109"/>
        <v>5.524</v>
      </c>
      <c r="Z332" s="385">
        <f t="shared" si="110"/>
        <v>5.5897230993910689</v>
      </c>
      <c r="AA332" s="386">
        <f t="shared" si="111"/>
        <v>5.9571009192722437</v>
      </c>
      <c r="AB332" s="197">
        <f t="shared" si="112"/>
        <v>43783</v>
      </c>
      <c r="AC332" s="427">
        <f>IF(OR(t&lt;Tnet,NoTnet),'2018'!Resal_s+('2018'!Salim-'2018'!Resal_s)*(1-EXP(('2018'!Tnet_s-t)/'2018'!Tau_j)),Resal_s+(Salim-Resal_s)*(1-EXP((Tnet_s-t)/Tau_j)))*Salcycl</f>
        <v>6.1670571786461466E-2</v>
      </c>
      <c r="AD332" s="231">
        <f>(INDEX(Models!$BJ332:$BT332,,AH332)*(1-AF332)+INDEX(Models!$BJ332:$BT332,,AH332+1)*AF332-ERP_i)*AE332*Ramure*Pc/MaxiM</f>
        <v>4.2816267871964071E-4</v>
      </c>
      <c r="AE332" s="305">
        <f t="shared" si="113"/>
        <v>0.7</v>
      </c>
      <c r="AF332" s="177">
        <f t="shared" si="114"/>
        <v>0.99941462640684975</v>
      </c>
      <c r="AG332" s="176">
        <f t="shared" si="115"/>
        <v>-2</v>
      </c>
      <c r="AH332" s="176">
        <f t="shared" si="116"/>
        <v>4</v>
      </c>
      <c r="AI332" s="225">
        <f t="shared" si="117"/>
        <v>-1.0005853735931503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20">
        <v>12.43</v>
      </c>
      <c r="C333" s="390"/>
      <c r="D333" s="393">
        <f t="shared" si="99"/>
        <v>12.578164365447552</v>
      </c>
      <c r="E333" s="385">
        <f t="shared" si="121"/>
        <v>13.405814639868938</v>
      </c>
      <c r="F333" s="385">
        <f t="shared" si="100"/>
        <v>13.406727440937559</v>
      </c>
      <c r="G333" s="110">
        <f t="shared" si="122"/>
        <v>0.41009353376902546</v>
      </c>
      <c r="H333" s="414" t="b">
        <f>Wh_hp&gt;='2018'!Maxi_hp</f>
        <v>0</v>
      </c>
      <c r="I333" s="390">
        <f>IF(H333,Wh_hp,'2018'!Maxi_hp)</f>
        <v>21.851026415041137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1.1779490324881015E-2</v>
      </c>
      <c r="M333" s="959"/>
      <c r="N333" s="959"/>
      <c r="O333" s="48">
        <f>IF(t&lt;Tnet,'2018'!Resal+('2018'!Salim-'2018'!Resal)*(1-EXP(('2018'!Tnet-t)/('2018'!Tau_j))),Resal+(Salim-Resal)*(1-EXP((Tnet-t)/(Tau_j))))*Salcycl</f>
        <v>6.1738155916310433E-2</v>
      </c>
      <c r="P333" s="169">
        <f>(INDEX(Models!$BJ333:$BT333,,T333)*(1-R333)+INDEX(Models!$BJ333:$BT333,,T333+1)*R333-ERP_i)*Q333*Ramure*Pc/MaxiM</f>
        <v>4.3231520237533796E-4</v>
      </c>
      <c r="Q333" s="305">
        <f t="shared" si="102"/>
        <v>0.7</v>
      </c>
      <c r="R333" s="177">
        <f t="shared" si="103"/>
        <v>0.99944633593814469</v>
      </c>
      <c r="S333" s="921">
        <f t="shared" si="104"/>
        <v>-2</v>
      </c>
      <c r="T333" s="176">
        <f t="shared" si="105"/>
        <v>4</v>
      </c>
      <c r="U333" s="251">
        <f t="shared" si="106"/>
        <v>-1.0005536640618553</v>
      </c>
      <c r="V333" s="383">
        <f t="shared" si="107"/>
        <v>30.299117861856089</v>
      </c>
      <c r="W333" s="58"/>
      <c r="X333" s="157">
        <f t="shared" si="108"/>
        <v>43784</v>
      </c>
      <c r="Y333" s="385">
        <f t="shared" si="109"/>
        <v>12.43</v>
      </c>
      <c r="Z333" s="385">
        <f t="shared" si="110"/>
        <v>12.578164365447552</v>
      </c>
      <c r="AA333" s="386">
        <f t="shared" si="111"/>
        <v>13.405814639868938</v>
      </c>
      <c r="AB333" s="197">
        <f t="shared" si="112"/>
        <v>43784</v>
      </c>
      <c r="AC333" s="427">
        <f>IF(OR(t&lt;Tnet,NoTnet),'2018'!Resal_s+('2018'!Salim-'2018'!Resal_s)*(1-EXP(('2018'!Tnet_s-t)/'2018'!Tau_j)),Resal_s+(Salim-Resal_s)*(1-EXP((Tnet_s-t)/Tau_j)))*Salcycl</f>
        <v>6.1738155916310433E-2</v>
      </c>
      <c r="AD333" s="231">
        <f>(INDEX(Models!$BJ333:$BT333,,AH333)*(1-AF333)+INDEX(Models!$BJ333:$BT333,,AH333+1)*AF333-ERP_i)*AE333*Ramure*Pc/MaxiM</f>
        <v>4.3231520237533796E-4</v>
      </c>
      <c r="AE333" s="305">
        <f t="shared" si="113"/>
        <v>0.7</v>
      </c>
      <c r="AF333" s="177">
        <f t="shared" si="114"/>
        <v>0.99944633593814469</v>
      </c>
      <c r="AG333" s="176">
        <f t="shared" si="115"/>
        <v>-2</v>
      </c>
      <c r="AH333" s="176">
        <f t="shared" si="116"/>
        <v>4</v>
      </c>
      <c r="AI333" s="225">
        <f t="shared" si="117"/>
        <v>-1.0005536640618553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20">
        <v>13.731999999999999</v>
      </c>
      <c r="C334" s="390"/>
      <c r="D334" s="393">
        <f t="shared" si="99"/>
        <v>13.895988433942222</v>
      </c>
      <c r="E334" s="385">
        <f t="shared" si="121"/>
        <v>14.81142068955141</v>
      </c>
      <c r="F334" s="385">
        <f t="shared" si="100"/>
        <v>14.812875276772695</v>
      </c>
      <c r="G334" s="110">
        <f t="shared" si="122"/>
        <v>0.45720114656986416</v>
      </c>
      <c r="H334" s="414" t="b">
        <f>Wh_hp&gt;='2018'!Maxi_hp</f>
        <v>0</v>
      </c>
      <c r="I334" s="390">
        <f>IF(H334,Wh_hp,'2018'!Maxi_hp)</f>
        <v>26.374163427809396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1.1801134890244036E-2</v>
      </c>
      <c r="M334" s="959"/>
      <c r="N334" s="959"/>
      <c r="O334" s="48">
        <f>IF(t&lt;Tnet,'2018'!Resal+('2018'!Salim-'2018'!Resal)*(1-EXP(('2018'!Tnet-t)/('2018'!Tau_j))),Resal+(Salim-Resal)*(1-EXP((Tnet-t)/(Tau_j))))*Salcycl</f>
        <v>6.1805837184475666E-2</v>
      </c>
      <c r="P334" s="169">
        <f>(INDEX(Models!$BJ334:$BT334,,T334)*(1-R334)+INDEX(Models!$BJ334:$BT334,,T334+1)*R334-ERP_i)*Q334*Ramure*Pc/MaxiM</f>
        <v>4.3683258649519313E-4</v>
      </c>
      <c r="Q334" s="305">
        <f t="shared" si="102"/>
        <v>0.7</v>
      </c>
      <c r="R334" s="177">
        <f t="shared" si="103"/>
        <v>0.99947677253363443</v>
      </c>
      <c r="S334" s="921">
        <f t="shared" si="104"/>
        <v>-2</v>
      </c>
      <c r="T334" s="176">
        <f t="shared" si="105"/>
        <v>4</v>
      </c>
      <c r="U334" s="251">
        <f t="shared" si="106"/>
        <v>-1.0005232274663656</v>
      </c>
      <c r="V334" s="383">
        <f t="shared" si="107"/>
        <v>30.02474842684245</v>
      </c>
      <c r="W334" s="58"/>
      <c r="X334" s="157">
        <f t="shared" si="108"/>
        <v>43785</v>
      </c>
      <c r="Y334" s="385">
        <f t="shared" si="109"/>
        <v>13.731999999999999</v>
      </c>
      <c r="Z334" s="385">
        <f t="shared" si="110"/>
        <v>13.895988433942222</v>
      </c>
      <c r="AA334" s="386">
        <f t="shared" si="111"/>
        <v>14.81142068955141</v>
      </c>
      <c r="AB334" s="197">
        <f t="shared" si="112"/>
        <v>43785</v>
      </c>
      <c r="AC334" s="427">
        <f>IF(OR(t&lt;Tnet,NoTnet),'2018'!Resal_s+('2018'!Salim-'2018'!Resal_s)*(1-EXP(('2018'!Tnet_s-t)/'2018'!Tau_j)),Resal_s+(Salim-Resal_s)*(1-EXP((Tnet_s-t)/Tau_j)))*Salcycl</f>
        <v>6.1805837184475666E-2</v>
      </c>
      <c r="AD334" s="231">
        <f>(INDEX(Models!$BJ334:$BT334,,AH334)*(1-AF334)+INDEX(Models!$BJ334:$BT334,,AH334+1)*AF334-ERP_i)*AE334*Ramure*Pc/MaxiM</f>
        <v>4.3683258649519313E-4</v>
      </c>
      <c r="AE334" s="305">
        <f t="shared" si="113"/>
        <v>0.7</v>
      </c>
      <c r="AF334" s="177">
        <f t="shared" si="114"/>
        <v>0.99947677253363443</v>
      </c>
      <c r="AG334" s="176">
        <f t="shared" si="115"/>
        <v>-2</v>
      </c>
      <c r="AH334" s="176">
        <f t="shared" si="116"/>
        <v>4</v>
      </c>
      <c r="AI334" s="225">
        <f t="shared" si="117"/>
        <v>-1.0005232274663656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20">
        <v>8.5289999999999999</v>
      </c>
      <c r="C335" s="390"/>
      <c r="D335" s="393">
        <f t="shared" ref="D335:D379" si="123">Wh/(1-Ppv)</f>
        <v>8.631042912737442</v>
      </c>
      <c r="E335" s="385">
        <f t="shared" si="121"/>
        <v>9.2002991804860326</v>
      </c>
      <c r="F335" s="385">
        <f t="shared" ref="F335:F379" si="124">Wh_sa/(1-Pvg*MEDIAN((-Sdif+Wh/Env_an)/Csdif,0,1))</f>
        <v>9.2002991804860326</v>
      </c>
      <c r="G335" s="110">
        <f t="shared" si="122"/>
        <v>0.28652510784812668</v>
      </c>
      <c r="H335" s="414" t="b">
        <f>Wh_hp&gt;='2018'!Maxi_hp</f>
        <v>0</v>
      </c>
      <c r="I335" s="390">
        <f>IF(H335,Wh_hp,'2018'!Maxi_hp)</f>
        <v>31.482813740825435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1.1822778981535387E-2</v>
      </c>
      <c r="M335" s="959"/>
      <c r="N335" s="959"/>
      <c r="O335" s="48">
        <f>IF(t&lt;Tnet,'2018'!Resal+('2018'!Salim-'2018'!Resal)*(1-EXP(('2018'!Tnet-t)/('2018'!Tau_j))),Resal+(Salim-Resal)*(1-EXP((Tnet-t)/(Tau_j))))*Salcycl</f>
        <v>6.1873669168932069E-2</v>
      </c>
      <c r="P335" s="169">
        <f>(INDEX(Models!$BJ335:$BT335,,T335)*(1-R335)+INDEX(Models!$BJ335:$BT335,,T335+1)*R335-ERP_i)*Q335*Ramure*Pc/MaxiM</f>
        <v>4.4171598984530991E-4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0.99950598714762862</v>
      </c>
      <c r="S335" s="921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-1.0004940128523714</v>
      </c>
      <c r="V335" s="383">
        <f t="shared" ref="V335:V379" si="131">MaxiM*(1-Ppv)*(1-Pvg)*(1-Psa)</f>
        <v>29.753876260091765</v>
      </c>
      <c r="W335" s="58"/>
      <c r="X335" s="157">
        <f t="shared" ref="X335:X379" si="132">t</f>
        <v>43786</v>
      </c>
      <c r="Y335" s="385">
        <f t="shared" ref="Y335:Y379" si="133">Wh_pvt_s*(1-Ppv)</f>
        <v>8.5289999999999999</v>
      </c>
      <c r="Z335" s="385">
        <f t="shared" ref="Z335:Z379" si="134">Wh_sa_s*(1-Psa_s)</f>
        <v>8.631042912737442</v>
      </c>
      <c r="AA335" s="386">
        <f t="shared" ref="AA335:AA379" si="135">Wh_hp*(1-Pvg_s*MEDIAN((-Sdif+Wh/Env_an)/Csdif,0,1))</f>
        <v>9.2002991804860326</v>
      </c>
      <c r="AB335" s="197">
        <f t="shared" ref="AB335:AB379" si="136">t</f>
        <v>43786</v>
      </c>
      <c r="AC335" s="427">
        <f>IF(OR(t&lt;Tnet,NoTnet),'2018'!Resal_s+('2018'!Salim-'2018'!Resal_s)*(1-EXP(('2018'!Tnet_s-t)/'2018'!Tau_j)),Resal_s+(Salim-Resal_s)*(1-EXP((Tnet_s-t)/Tau_j)))*Salcycl</f>
        <v>6.1873669168932069E-2</v>
      </c>
      <c r="AD335" s="231">
        <f>(INDEX(Models!$BJ335:$BT335,,AH335)*(1-AF335)+INDEX(Models!$BJ335:$BT335,,AH335+1)*AF335-ERP_i)*AE335*Ramure*Pc/MaxiM</f>
        <v>4.4171598984530991E-4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0.99950598714762862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-1.0004940128523714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20">
        <v>11.336</v>
      </c>
      <c r="C336" s="390"/>
      <c r="D336" s="393">
        <f t="shared" si="123"/>
        <v>11.471877768289001</v>
      </c>
      <c r="E336" s="385">
        <f t="shared" si="121"/>
        <v>12.229386807016416</v>
      </c>
      <c r="F336" s="385">
        <f t="shared" si="124"/>
        <v>12.230046228219797</v>
      </c>
      <c r="G336" s="110">
        <f t="shared" si="122"/>
        <v>0.38429081511857988</v>
      </c>
      <c r="H336" s="414" t="b">
        <f>Wh_hp&gt;='2018'!Maxi_hp</f>
        <v>0</v>
      </c>
      <c r="I336" s="390">
        <f>IF(H336,Wh_hp,'2018'!Maxi_hp)</f>
        <v>23.138870814554306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1.1844422598765725E-2</v>
      </c>
      <c r="M336" s="959"/>
      <c r="N336" s="959"/>
      <c r="O336" s="48">
        <f>IF(t&lt;Tnet,'2018'!Resal+('2018'!Salim-'2018'!Resal)*(1-EXP(('2018'!Tnet-t)/('2018'!Tau_j))),Resal+(Salim-Resal)*(1-EXP((Tnet-t)/(Tau_j))))*Salcycl</f>
        <v>6.1941702448466682E-2</v>
      </c>
      <c r="P336" s="169">
        <f>(INDEX(Models!$BJ336:$BT336,,T336)*(1-R336)+INDEX(Models!$BJ336:$BT336,,T336+1)*R336-ERP_i)*Q336*Ramure*Pc/MaxiM</f>
        <v>4.4696622939941339E-4</v>
      </c>
      <c r="Q336" s="305">
        <f t="shared" si="126"/>
        <v>0.7</v>
      </c>
      <c r="R336" s="177">
        <f t="shared" si="127"/>
        <v>0.99953402870629193</v>
      </c>
      <c r="S336" s="921">
        <f t="shared" si="128"/>
        <v>-2</v>
      </c>
      <c r="T336" s="176">
        <f t="shared" si="129"/>
        <v>4</v>
      </c>
      <c r="U336" s="251">
        <f t="shared" si="130"/>
        <v>-1.0004659712937081</v>
      </c>
      <c r="V336" s="383">
        <f t="shared" si="131"/>
        <v>29.486898256938009</v>
      </c>
      <c r="W336" s="58"/>
      <c r="X336" s="157">
        <f t="shared" si="132"/>
        <v>43787</v>
      </c>
      <c r="Y336" s="385">
        <f t="shared" si="133"/>
        <v>11.336</v>
      </c>
      <c r="Z336" s="385">
        <f t="shared" si="134"/>
        <v>11.471877768289001</v>
      </c>
      <c r="AA336" s="386">
        <f t="shared" si="135"/>
        <v>12.229386807016416</v>
      </c>
      <c r="AB336" s="197">
        <f t="shared" si="136"/>
        <v>43787</v>
      </c>
      <c r="AC336" s="427">
        <f>IF(OR(t&lt;Tnet,NoTnet),'2018'!Resal_s+('2018'!Salim-'2018'!Resal_s)*(1-EXP(('2018'!Tnet_s-t)/'2018'!Tau_j)),Resal_s+(Salim-Resal_s)*(1-EXP((Tnet_s-t)/Tau_j)))*Salcycl</f>
        <v>6.1941702448466682E-2</v>
      </c>
      <c r="AD336" s="231">
        <f>(INDEX(Models!$BJ336:$BT336,,AH336)*(1-AF336)+INDEX(Models!$BJ336:$BT336,,AH336+1)*AF336-ERP_i)*AE336*Ramure*Pc/MaxiM</f>
        <v>4.4696622939941339E-4</v>
      </c>
      <c r="AE336" s="305">
        <f t="shared" si="137"/>
        <v>0.7</v>
      </c>
      <c r="AF336" s="177">
        <f t="shared" si="138"/>
        <v>0.99953402870629193</v>
      </c>
      <c r="AG336" s="176">
        <f t="shared" si="139"/>
        <v>-2</v>
      </c>
      <c r="AH336" s="176">
        <f t="shared" si="140"/>
        <v>4</v>
      </c>
      <c r="AI336" s="225">
        <f t="shared" si="141"/>
        <v>-1.0004659712937081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20">
        <v>18.986000000000001</v>
      </c>
      <c r="C337" s="390"/>
      <c r="D337" s="393">
        <f t="shared" si="123"/>
        <v>19.21399452216539</v>
      </c>
      <c r="E337" s="385">
        <f t="shared" si="121"/>
        <v>20.484220730099768</v>
      </c>
      <c r="F337" s="385">
        <f t="shared" si="124"/>
        <v>20.488852776768624</v>
      </c>
      <c r="G337" s="110">
        <f t="shared" si="122"/>
        <v>0.64951961790088475</v>
      </c>
      <c r="H337" s="414" t="b">
        <f>Wh_hp&gt;='2018'!Maxi_hp</f>
        <v>0</v>
      </c>
      <c r="I337" s="390">
        <f>IF(H337,Wh_hp,'2018'!Maxi_hp)</f>
        <v>23.094560136920578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1.1866065741945264E-2</v>
      </c>
      <c r="M337" s="959"/>
      <c r="N337" s="959"/>
      <c r="O337" s="48">
        <f>IF(t&lt;Tnet,'2018'!Resal+('2018'!Salim-'2018'!Resal)*(1-EXP(('2018'!Tnet-t)/('2018'!Tau_j))),Resal+(Salim-Resal)*(1-EXP((Tnet-t)/(Tau_j))))*Salcycl</f>
        <v>6.2009984400719365E-2</v>
      </c>
      <c r="P337" s="169">
        <f>(INDEX(Models!$BJ337:$BT337,,T337)*(1-R337)+INDEX(Models!$BJ337:$BT337,,T337+1)*R337-ERP_i)*Q337*Ramure*Pc/MaxiM</f>
        <v>4.5258371054057245E-4</v>
      </c>
      <c r="Q337" s="305">
        <f t="shared" si="126"/>
        <v>0.7</v>
      </c>
      <c r="R337" s="177">
        <f t="shared" si="127"/>
        <v>0.99956094418746244</v>
      </c>
      <c r="S337" s="921">
        <f t="shared" si="128"/>
        <v>-2</v>
      </c>
      <c r="T337" s="176">
        <f t="shared" si="129"/>
        <v>4</v>
      </c>
      <c r="U337" s="251">
        <f t="shared" si="130"/>
        <v>-1.0004390558125376</v>
      </c>
      <c r="V337" s="383">
        <f t="shared" si="131"/>
        <v>29.224211305029396</v>
      </c>
      <c r="W337" s="58"/>
      <c r="X337" s="157">
        <f t="shared" si="132"/>
        <v>43788</v>
      </c>
      <c r="Y337" s="385">
        <f t="shared" si="133"/>
        <v>18.986000000000001</v>
      </c>
      <c r="Z337" s="385">
        <f t="shared" si="134"/>
        <v>19.21399452216539</v>
      </c>
      <c r="AA337" s="386">
        <f t="shared" si="135"/>
        <v>20.484220730099768</v>
      </c>
      <c r="AB337" s="197">
        <f t="shared" si="136"/>
        <v>43788</v>
      </c>
      <c r="AC337" s="427">
        <f>IF(OR(t&lt;Tnet,NoTnet),'2018'!Resal_s+('2018'!Salim-'2018'!Resal_s)*(1-EXP(('2018'!Tnet_s-t)/'2018'!Tau_j)),Resal_s+(Salim-Resal_s)*(1-EXP((Tnet_s-t)/Tau_j)))*Salcycl</f>
        <v>6.2009984400719365E-2</v>
      </c>
      <c r="AD337" s="231">
        <f>(INDEX(Models!$BJ337:$BT337,,AH337)*(1-AF337)+INDEX(Models!$BJ337:$BT337,,AH337+1)*AF337-ERP_i)*AE337*Ramure*Pc/MaxiM</f>
        <v>4.5258371054057245E-4</v>
      </c>
      <c r="AE337" s="305">
        <f t="shared" si="137"/>
        <v>0.7</v>
      </c>
      <c r="AF337" s="177">
        <f t="shared" si="138"/>
        <v>0.99956094418746244</v>
      </c>
      <c r="AG337" s="176">
        <f t="shared" si="139"/>
        <v>-2</v>
      </c>
      <c r="AH337" s="176">
        <f t="shared" si="140"/>
        <v>4</v>
      </c>
      <c r="AI337" s="225">
        <f t="shared" si="141"/>
        <v>-1.0004390558125376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20">
        <v>29.388000000000002</v>
      </c>
      <c r="C338" s="390"/>
      <c r="D338" s="393">
        <f t="shared" si="123"/>
        <v>29.74155898085548</v>
      </c>
      <c r="E338" s="385">
        <f t="shared" si="121"/>
        <v>31.710074726282279</v>
      </c>
      <c r="F338" s="385">
        <f t="shared" si="124"/>
        <v>31.724603682982458</v>
      </c>
      <c r="G338" s="110">
        <f t="shared" si="122"/>
        <v>1.0145607629823961</v>
      </c>
      <c r="H338" s="414" t="b">
        <f>Wh_hp&gt;='2018'!Maxi_hp</f>
        <v>1</v>
      </c>
      <c r="I338" s="390">
        <f>IF(H338,Wh_hp,'2018'!Maxi_hp)</f>
        <v>31.724603682982458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1.1887708411084441E-2</v>
      </c>
      <c r="M338" s="959"/>
      <c r="N338" s="959"/>
      <c r="O338" s="48">
        <f>IF(t&lt;Tnet,'2018'!Resal+('2018'!Salim-'2018'!Resal)*(1-EXP(('2018'!Tnet-t)/('2018'!Tau_j))),Resal+(Salim-Resal)*(1-EXP((Tnet-t)/(Tau_j))))*Salcycl</f>
        <v>6.2078559020084322E-2</v>
      </c>
      <c r="P338" s="169">
        <f>(INDEX(Models!$BJ338:$BT338,,T338)*(1-R338)+INDEX(Models!$BJ338:$BT338,,T338+1)*R338-ERP_i)*Q338*Ramure*Pc/MaxiM</f>
        <v>4.5797125932184156E-4</v>
      </c>
      <c r="Q338" s="305">
        <f t="shared" si="126"/>
        <v>0.7</v>
      </c>
      <c r="R338" s="177">
        <f t="shared" si="127"/>
        <v>0.99958677869740153</v>
      </c>
      <c r="S338" s="921">
        <f t="shared" si="128"/>
        <v>-2</v>
      </c>
      <c r="T338" s="176">
        <f t="shared" si="129"/>
        <v>4</v>
      </c>
      <c r="U338" s="251">
        <f t="shared" si="130"/>
        <v>-1.0004132213025985</v>
      </c>
      <c r="V338" s="383">
        <f t="shared" si="131"/>
        <v>28.966229596353831</v>
      </c>
      <c r="W338" s="58"/>
      <c r="X338" s="157">
        <f t="shared" si="132"/>
        <v>43789</v>
      </c>
      <c r="Y338" s="385">
        <f t="shared" si="133"/>
        <v>29.388000000000002</v>
      </c>
      <c r="Z338" s="385">
        <f t="shared" si="134"/>
        <v>29.74155898085548</v>
      </c>
      <c r="AA338" s="386">
        <f t="shared" si="135"/>
        <v>31.710074726282279</v>
      </c>
      <c r="AB338" s="197">
        <f t="shared" si="136"/>
        <v>43789</v>
      </c>
      <c r="AC338" s="427">
        <f>IF(OR(t&lt;Tnet,NoTnet),'2018'!Resal_s+('2018'!Salim-'2018'!Resal_s)*(1-EXP(('2018'!Tnet_s-t)/'2018'!Tau_j)),Resal_s+(Salim-Resal_s)*(1-EXP((Tnet_s-t)/Tau_j)))*Salcycl</f>
        <v>6.2078559020084322E-2</v>
      </c>
      <c r="AD338" s="231">
        <f>(INDEX(Models!$BJ338:$BT338,,AH338)*(1-AF338)+INDEX(Models!$BJ338:$BT338,,AH338+1)*AF338-ERP_i)*AE338*Ramure*Pc/MaxiM</f>
        <v>4.5797125932184156E-4</v>
      </c>
      <c r="AE338" s="305">
        <f t="shared" si="137"/>
        <v>0.7</v>
      </c>
      <c r="AF338" s="177">
        <f t="shared" si="138"/>
        <v>0.99958677869740153</v>
      </c>
      <c r="AG338" s="176">
        <f t="shared" si="139"/>
        <v>-2</v>
      </c>
      <c r="AH338" s="176">
        <f t="shared" si="140"/>
        <v>4</v>
      </c>
      <c r="AI338" s="225">
        <f t="shared" si="141"/>
        <v>-1.0004132213025985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20">
        <v>28.141999999999999</v>
      </c>
      <c r="C339" s="390"/>
      <c r="D339" s="393">
        <f t="shared" si="123"/>
        <v>28.48119250725135</v>
      </c>
      <c r="E339" s="385">
        <f t="shared" si="121"/>
        <v>30.368519034393007</v>
      </c>
      <c r="F339" s="385">
        <f t="shared" si="124"/>
        <v>30.382177410120054</v>
      </c>
      <c r="G339" s="110">
        <f t="shared" si="122"/>
        <v>0.98008829364893713</v>
      </c>
      <c r="H339" s="414" t="b">
        <f>Wh_hp&gt;='2018'!Maxi_hp</f>
        <v>0</v>
      </c>
      <c r="I339" s="390">
        <f>IF(H339,Wh_hp,'2018'!Maxi_hp)</f>
        <v>30.885830486283265</v>
      </c>
      <c r="J339" s="85">
        <f>IF(H339,An,'2018'!An_max)</f>
        <v>2018</v>
      </c>
      <c r="K339" s="197">
        <f t="shared" si="125"/>
        <v>43790</v>
      </c>
      <c r="L339" s="147">
        <f>IF(t&lt;Tvie,1-EXP((T0-t)*PertePVj)+'2018'!Pspv,1-EXP((T0-t)*PertePVj)+Pspv)</f>
        <v>1.1909350606193581E-2</v>
      </c>
      <c r="M339" s="959"/>
      <c r="N339" s="959"/>
      <c r="O339" s="48">
        <f>IF(t&lt;Tnet,'2018'!Resal+('2018'!Salim-'2018'!Resal)*(1-EXP(('2018'!Tnet-t)/('2018'!Tau_j))),Resal+(Salim-Resal)*(1-EXP((Tnet-t)/(Tau_j))))*Salcycl</f>
        <v>6.2147466756749585E-2</v>
      </c>
      <c r="P339" s="169">
        <f>(INDEX(Models!$BJ339:$BT339,,T339)*(1-R339)+INDEX(Models!$BJ339:$BT339,,T339+1)*R339-ERP_i)*Q339*Ramure*Pc/MaxiM</f>
        <v>4.6270550315048053E-4</v>
      </c>
      <c r="Q339" s="305">
        <f t="shared" si="126"/>
        <v>0.7</v>
      </c>
      <c r="R339" s="177">
        <f t="shared" si="127"/>
        <v>0.99961157554458668</v>
      </c>
      <c r="S339" s="921">
        <f t="shared" si="128"/>
        <v>-2</v>
      </c>
      <c r="T339" s="176">
        <f t="shared" si="129"/>
        <v>4</v>
      </c>
      <c r="U339" s="251">
        <f t="shared" si="130"/>
        <v>-1.0003884244554133</v>
      </c>
      <c r="V339" s="383">
        <f t="shared" si="131"/>
        <v>28.713361700754721</v>
      </c>
      <c r="W339" s="58"/>
      <c r="X339" s="157">
        <f t="shared" si="132"/>
        <v>43790</v>
      </c>
      <c r="Y339" s="385">
        <f t="shared" si="133"/>
        <v>28.141999999999999</v>
      </c>
      <c r="Z339" s="385">
        <f t="shared" si="134"/>
        <v>28.48119250725135</v>
      </c>
      <c r="AA339" s="386">
        <f t="shared" si="135"/>
        <v>30.368519034393007</v>
      </c>
      <c r="AB339" s="197">
        <f t="shared" si="136"/>
        <v>43790</v>
      </c>
      <c r="AC339" s="427">
        <f>IF(OR(t&lt;Tnet,NoTnet),'2018'!Resal_s+('2018'!Salim-'2018'!Resal_s)*(1-EXP(('2018'!Tnet_s-t)/'2018'!Tau_j)),Resal_s+(Salim-Resal_s)*(1-EXP((Tnet_s-t)/Tau_j)))*Salcycl</f>
        <v>6.2147466756749585E-2</v>
      </c>
      <c r="AD339" s="231">
        <f>(INDEX(Models!$BJ339:$BT339,,AH339)*(1-AF339)+INDEX(Models!$BJ339:$BT339,,AH339+1)*AF339-ERP_i)*AE339*Ramure*Pc/MaxiM</f>
        <v>4.6270550315048053E-4</v>
      </c>
      <c r="AE339" s="305">
        <f t="shared" si="137"/>
        <v>0.7</v>
      </c>
      <c r="AF339" s="177">
        <f t="shared" si="138"/>
        <v>0.99961157554458668</v>
      </c>
      <c r="AG339" s="176">
        <f t="shared" si="139"/>
        <v>-2</v>
      </c>
      <c r="AH339" s="176">
        <f t="shared" si="140"/>
        <v>4</v>
      </c>
      <c r="AI339" s="225">
        <f t="shared" si="141"/>
        <v>-1.0003884244554133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20">
        <v>12.17</v>
      </c>
      <c r="C340" s="390"/>
      <c r="D340" s="393">
        <f t="shared" si="123"/>
        <v>12.316953477434776</v>
      </c>
      <c r="E340" s="385">
        <f t="shared" si="121"/>
        <v>13.134115376441814</v>
      </c>
      <c r="F340" s="385">
        <f t="shared" si="124"/>
        <v>13.135232376511306</v>
      </c>
      <c r="G340" s="110">
        <f t="shared" si="122"/>
        <v>0.42736429949329402</v>
      </c>
      <c r="H340" s="414" t="b">
        <f>Wh_hp&gt;='2018'!Maxi_hp</f>
        <v>0</v>
      </c>
      <c r="I340" s="390">
        <f>IF(H340,Wh_hp,'2018'!Maxi_hp)</f>
        <v>23.275748141901541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1.1930992327283008E-2</v>
      </c>
      <c r="M340" s="959"/>
      <c r="N340" s="959"/>
      <c r="O340" s="48">
        <f>IF(t&lt;Tnet,'2018'!Resal+('2018'!Salim-'2018'!Resal)*(1-EXP(('2018'!Tnet-t)/('2018'!Tau_j))),Resal+(Salim-Resal)*(1-EXP((Tnet-t)/(Tau_j))))*Salcycl</f>
        <v>6.221674437798469E-2</v>
      </c>
      <c r="P340" s="169">
        <f>(INDEX(Models!$BJ340:$BT340,,T340)*(1-R340)+INDEX(Models!$BJ340:$BT340,,T340+1)*R340-ERP_i)*Q340*Ramure*Pc/MaxiM</f>
        <v>4.6677713640729147E-4</v>
      </c>
      <c r="Q340" s="305">
        <f t="shared" si="126"/>
        <v>0.7</v>
      </c>
      <c r="R340" s="177">
        <f t="shared" si="127"/>
        <v>0.99963537631065513</v>
      </c>
      <c r="S340" s="921">
        <f t="shared" si="128"/>
        <v>-2</v>
      </c>
      <c r="T340" s="176">
        <f t="shared" si="129"/>
        <v>4</v>
      </c>
      <c r="U340" s="251">
        <f t="shared" si="130"/>
        <v>-1.0003646236893449</v>
      </c>
      <c r="V340" s="383">
        <f t="shared" si="131"/>
        <v>28.466003968409513</v>
      </c>
      <c r="W340" s="58"/>
      <c r="X340" s="157">
        <f t="shared" si="132"/>
        <v>43791</v>
      </c>
      <c r="Y340" s="385">
        <f t="shared" si="133"/>
        <v>12.17</v>
      </c>
      <c r="Z340" s="385">
        <f t="shared" si="134"/>
        <v>12.316953477434776</v>
      </c>
      <c r="AA340" s="386">
        <f t="shared" si="135"/>
        <v>13.134115376441814</v>
      </c>
      <c r="AB340" s="197">
        <f t="shared" si="136"/>
        <v>43791</v>
      </c>
      <c r="AC340" s="427">
        <f>IF(OR(t&lt;Tnet,NoTnet),'2018'!Resal_s+('2018'!Salim-'2018'!Resal_s)*(1-EXP(('2018'!Tnet_s-t)/'2018'!Tau_j)),Resal_s+(Salim-Resal_s)*(1-EXP((Tnet_s-t)/Tau_j)))*Salcycl</f>
        <v>6.221674437798469E-2</v>
      </c>
      <c r="AD340" s="231">
        <f>(INDEX(Models!$BJ340:$BT340,,AH340)*(1-AF340)+INDEX(Models!$BJ340:$BT340,,AH340+1)*AF340-ERP_i)*AE340*Ramure*Pc/MaxiM</f>
        <v>4.6677713640729147E-4</v>
      </c>
      <c r="AE340" s="305">
        <f t="shared" si="137"/>
        <v>0.7</v>
      </c>
      <c r="AF340" s="177">
        <f t="shared" si="138"/>
        <v>0.99963537631065513</v>
      </c>
      <c r="AG340" s="176">
        <f t="shared" si="139"/>
        <v>-2</v>
      </c>
      <c r="AH340" s="176">
        <f t="shared" si="140"/>
        <v>4</v>
      </c>
      <c r="AI340" s="225">
        <f t="shared" si="141"/>
        <v>-1.0003646236893449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20">
        <v>7.8109999999999999</v>
      </c>
      <c r="C341" s="390"/>
      <c r="D341" s="393">
        <f t="shared" si="123"/>
        <v>7.9054914424367118</v>
      </c>
      <c r="E341" s="385">
        <f t="shared" si="121"/>
        <v>8.4306036000322564</v>
      </c>
      <c r="F341" s="385">
        <f t="shared" si="124"/>
        <v>8.4306036000322564</v>
      </c>
      <c r="G341" s="110">
        <f t="shared" si="122"/>
        <v>0.2766147445730569</v>
      </c>
      <c r="H341" s="414" t="b">
        <f>Wh_hp&gt;='2018'!Maxi_hp</f>
        <v>0</v>
      </c>
      <c r="I341" s="390">
        <f>IF(H341,Wh_hp,'2018'!Maxi_hp)</f>
        <v>13.305620721497654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1.195263357436338E-2</v>
      </c>
      <c r="M341" s="959"/>
      <c r="N341" s="959"/>
      <c r="O341" s="48">
        <f>IF(t&lt;Tnet,'2018'!Resal+('2018'!Salim-'2018'!Resal)*(1-EXP(('2018'!Tnet-t)/('2018'!Tau_j))),Resal+(Salim-Resal)*(1-EXP((Tnet-t)/(Tau_j))))*Salcycl</f>
        <v>6.2286424852609004E-2</v>
      </c>
      <c r="P341" s="169">
        <f>(INDEX(Models!$BJ341:$BT341,,T341)*(1-R341)+INDEX(Models!$BJ341:$BT341,,T341+1)*R341-ERP_i)*Q341*Ramure*Pc/MaxiM</f>
        <v>4.7017309453980524E-4</v>
      </c>
      <c r="Q341" s="305">
        <f t="shared" si="126"/>
        <v>0.7</v>
      </c>
      <c r="R341" s="177">
        <f t="shared" si="127"/>
        <v>0.9996582209186049</v>
      </c>
      <c r="S341" s="921">
        <f t="shared" si="128"/>
        <v>-2</v>
      </c>
      <c r="T341" s="176">
        <f t="shared" si="129"/>
        <v>4</v>
      </c>
      <c r="U341" s="251">
        <f t="shared" si="130"/>
        <v>-1.0003417790813951</v>
      </c>
      <c r="V341" s="383">
        <f t="shared" si="131"/>
        <v>28.224552852411495</v>
      </c>
      <c r="W341" s="58"/>
      <c r="X341" s="157">
        <f t="shared" si="132"/>
        <v>43792</v>
      </c>
      <c r="Y341" s="385">
        <f t="shared" si="133"/>
        <v>7.8109999999999999</v>
      </c>
      <c r="Z341" s="385">
        <f t="shared" si="134"/>
        <v>7.9054914424367118</v>
      </c>
      <c r="AA341" s="386">
        <f t="shared" si="135"/>
        <v>8.4306036000322564</v>
      </c>
      <c r="AB341" s="197">
        <f t="shared" si="136"/>
        <v>43792</v>
      </c>
      <c r="AC341" s="427">
        <f>IF(OR(t&lt;Tnet,NoTnet),'2018'!Resal_s+('2018'!Salim-'2018'!Resal_s)*(1-EXP(('2018'!Tnet_s-t)/'2018'!Tau_j)),Resal_s+(Salim-Resal_s)*(1-EXP((Tnet_s-t)/Tau_j)))*Salcycl</f>
        <v>6.2286424852609004E-2</v>
      </c>
      <c r="AD341" s="231">
        <f>(INDEX(Models!$BJ341:$BT341,,AH341)*(1-AF341)+INDEX(Models!$BJ341:$BT341,,AH341+1)*AF341-ERP_i)*AE341*Ramure*Pc/MaxiM</f>
        <v>4.7017309453980524E-4</v>
      </c>
      <c r="AE341" s="305">
        <f t="shared" si="137"/>
        <v>0.7</v>
      </c>
      <c r="AF341" s="177">
        <f t="shared" si="138"/>
        <v>0.9996582209186049</v>
      </c>
      <c r="AG341" s="176">
        <f t="shared" si="139"/>
        <v>-2</v>
      </c>
      <c r="AH341" s="176">
        <f t="shared" si="140"/>
        <v>4</v>
      </c>
      <c r="AI341" s="225">
        <f t="shared" si="141"/>
        <v>-1.0003417790813951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20">
        <v>9.5069999999999997</v>
      </c>
      <c r="C342" s="390"/>
      <c r="D342" s="393">
        <f t="shared" si="123"/>
        <v>9.6222190912296046</v>
      </c>
      <c r="E342" s="385">
        <f t="shared" si="121"/>
        <v>10.262129981800433</v>
      </c>
      <c r="F342" s="385">
        <f t="shared" si="124"/>
        <v>10.262404962696369</v>
      </c>
      <c r="G342" s="110">
        <f t="shared" si="122"/>
        <v>0.33951272008727923</v>
      </c>
      <c r="H342" s="414" t="b">
        <f>Wh_hp&gt;='2018'!Maxi_hp</f>
        <v>0</v>
      </c>
      <c r="I342" s="390">
        <f>IF(H342,Wh_hp,'2018'!Maxi_hp)</f>
        <v>23.446937900123171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1.1974274347444802E-2</v>
      </c>
      <c r="M342" s="959"/>
      <c r="N342" s="959"/>
      <c r="O342" s="48">
        <f>IF(t&lt;Tnet,'2018'!Resal+('2018'!Salim-'2018'!Resal)*(1-EXP(('2018'!Tnet-t)/('2018'!Tau_j))),Resal+(Salim-Resal)*(1-EXP((Tnet-t)/(Tau_j))))*Salcycl</f>
        <v>6.2356537259388736E-2</v>
      </c>
      <c r="P342" s="169">
        <f>(INDEX(Models!$BJ342:$BT342,,T342)*(1-R342)+INDEX(Models!$BJ342:$BT342,,T342+1)*R342-ERP_i)*Q342*Ramure*Pc/MaxiM</f>
        <v>4.7288140424229283E-4</v>
      </c>
      <c r="Q342" s="305">
        <f t="shared" si="126"/>
        <v>0.7</v>
      </c>
      <c r="R342" s="177">
        <f t="shared" si="127"/>
        <v>0.99968014769835301</v>
      </c>
      <c r="S342" s="921">
        <f t="shared" si="128"/>
        <v>-2</v>
      </c>
      <c r="T342" s="176">
        <f t="shared" si="129"/>
        <v>4</v>
      </c>
      <c r="U342" s="251">
        <f t="shared" si="130"/>
        <v>-1.000319852301647</v>
      </c>
      <c r="V342" s="383">
        <f t="shared" si="131"/>
        <v>27.989404757046934</v>
      </c>
      <c r="W342" s="58"/>
      <c r="X342" s="157">
        <f t="shared" si="132"/>
        <v>43793</v>
      </c>
      <c r="Y342" s="385">
        <f t="shared" si="133"/>
        <v>9.5069999999999997</v>
      </c>
      <c r="Z342" s="385">
        <f t="shared" si="134"/>
        <v>9.6222190912296046</v>
      </c>
      <c r="AA342" s="386">
        <f t="shared" si="135"/>
        <v>10.262129981800433</v>
      </c>
      <c r="AB342" s="197">
        <f t="shared" si="136"/>
        <v>43793</v>
      </c>
      <c r="AC342" s="427">
        <f>IF(OR(t&lt;Tnet,NoTnet),'2018'!Resal_s+('2018'!Salim-'2018'!Resal_s)*(1-EXP(('2018'!Tnet_s-t)/'2018'!Tau_j)),Resal_s+(Salim-Resal_s)*(1-EXP((Tnet_s-t)/Tau_j)))*Salcycl</f>
        <v>6.2356537259388736E-2</v>
      </c>
      <c r="AD342" s="231">
        <f>(INDEX(Models!$BJ342:$BT342,,AH342)*(1-AF342)+INDEX(Models!$BJ342:$BT342,,AH342+1)*AF342-ERP_i)*AE342*Ramure*Pc/MaxiM</f>
        <v>4.7288140424229283E-4</v>
      </c>
      <c r="AE342" s="305">
        <f t="shared" si="137"/>
        <v>0.7</v>
      </c>
      <c r="AF342" s="177">
        <f t="shared" si="138"/>
        <v>0.99968014769835301</v>
      </c>
      <c r="AG342" s="176">
        <f t="shared" si="139"/>
        <v>-2</v>
      </c>
      <c r="AH342" s="176">
        <f t="shared" si="140"/>
        <v>4</v>
      </c>
      <c r="AI342" s="225">
        <f t="shared" si="141"/>
        <v>-1.000319852301647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20">
        <v>12.590999999999999</v>
      </c>
      <c r="C343" s="390"/>
      <c r="D343" s="393">
        <f t="shared" si="123"/>
        <v>12.743874429927606</v>
      </c>
      <c r="E343" s="385">
        <f t="shared" si="121"/>
        <v>13.592409210278458</v>
      </c>
      <c r="F343" s="385">
        <f t="shared" si="124"/>
        <v>13.593825297464468</v>
      </c>
      <c r="G343" s="110">
        <f t="shared" si="122"/>
        <v>0.45338250452943857</v>
      </c>
      <c r="H343" s="414" t="b">
        <f>Wh_hp&gt;='2018'!Maxi_hp</f>
        <v>1</v>
      </c>
      <c r="I343" s="390">
        <f>IF(H343,Wh_hp,'2018'!Maxi_hp)</f>
        <v>13.593825297464468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1.199591464653782E-2</v>
      </c>
      <c r="M343" s="959"/>
      <c r="N343" s="959"/>
      <c r="O343" s="48">
        <f>IF(t&lt;Tnet,'2018'!Resal+('2018'!Salim-'2018'!Resal)*(1-EXP(('2018'!Tnet-t)/('2018'!Tau_j))),Resal+(Salim-Resal)*(1-EXP((Tnet-t)/(Tau_j))))*Salcycl</f>
        <v>6.2427106719918156E-2</v>
      </c>
      <c r="P343" s="169">
        <f>(INDEX(Models!$BJ343:$BT343,,T343)*(1-R343)+INDEX(Models!$BJ343:$BT343,,T343+1)*R343-ERP_i)*Q343*Ramure*Pc/MaxiM</f>
        <v>4.7489178182243559E-4</v>
      </c>
      <c r="Q343" s="305">
        <f t="shared" si="126"/>
        <v>0.7</v>
      </c>
      <c r="R343" s="177">
        <f t="shared" si="127"/>
        <v>0.99970119344975039</v>
      </c>
      <c r="S343" s="921">
        <f t="shared" si="128"/>
        <v>-2</v>
      </c>
      <c r="T343" s="176">
        <f t="shared" si="129"/>
        <v>4</v>
      </c>
      <c r="U343" s="251">
        <f t="shared" si="130"/>
        <v>-1.0002988065502496</v>
      </c>
      <c r="V343" s="383">
        <f t="shared" si="131"/>
        <v>27.760956029522578</v>
      </c>
      <c r="W343" s="58"/>
      <c r="X343" s="157">
        <f t="shared" si="132"/>
        <v>43794</v>
      </c>
      <c r="Y343" s="385">
        <f t="shared" si="133"/>
        <v>12.590999999999999</v>
      </c>
      <c r="Z343" s="385">
        <f t="shared" si="134"/>
        <v>12.743874429927606</v>
      </c>
      <c r="AA343" s="386">
        <f t="shared" si="135"/>
        <v>13.592409210278458</v>
      </c>
      <c r="AB343" s="197">
        <f t="shared" si="136"/>
        <v>43794</v>
      </c>
      <c r="AC343" s="427">
        <f>IF(OR(t&lt;Tnet,NoTnet),'2018'!Resal_s+('2018'!Salim-'2018'!Resal_s)*(1-EXP(('2018'!Tnet_s-t)/'2018'!Tau_j)),Resal_s+(Salim-Resal_s)*(1-EXP((Tnet_s-t)/Tau_j)))*Salcycl</f>
        <v>6.2427106719918156E-2</v>
      </c>
      <c r="AD343" s="231">
        <f>(INDEX(Models!$BJ343:$BT343,,AH343)*(1-AF343)+INDEX(Models!$BJ343:$BT343,,AH343+1)*AF343-ERP_i)*AE343*Ramure*Pc/MaxiM</f>
        <v>4.7489178182243559E-4</v>
      </c>
      <c r="AE343" s="305">
        <f t="shared" si="137"/>
        <v>0.7</v>
      </c>
      <c r="AF343" s="177">
        <f t="shared" si="138"/>
        <v>0.99970119344975039</v>
      </c>
      <c r="AG343" s="176">
        <f t="shared" si="139"/>
        <v>-2</v>
      </c>
      <c r="AH343" s="176">
        <f t="shared" si="140"/>
        <v>4</v>
      </c>
      <c r="AI343" s="225">
        <f t="shared" si="141"/>
        <v>-1.0002988065502496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20">
        <v>20.663</v>
      </c>
      <c r="C344" s="390"/>
      <c r="D344" s="393">
        <f t="shared" si="123"/>
        <v>20.914339210703247</v>
      </c>
      <c r="E344" s="385">
        <f t="shared" si="121"/>
        <v>22.308584572806051</v>
      </c>
      <c r="F344" s="385">
        <f t="shared" si="124"/>
        <v>22.315420438532016</v>
      </c>
      <c r="G344" s="110">
        <f t="shared" si="122"/>
        <v>0.75017381380241255</v>
      </c>
      <c r="H344" s="414" t="b">
        <f>Wh_hp&gt;='2018'!Maxi_hp</f>
        <v>1</v>
      </c>
      <c r="I344" s="390">
        <f>IF(H344,Wh_hp,'2018'!Maxi_hp)</f>
        <v>22.315420438532016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1.2017554471652647E-2</v>
      </c>
      <c r="M344" s="959"/>
      <c r="N344" s="959"/>
      <c r="O344" s="48">
        <f>IF(t&lt;Tnet,'2018'!Resal+('2018'!Salim-'2018'!Resal)*(1-EXP(('2018'!Tnet-t)/('2018'!Tau_j))),Resal+(Salim-Resal)*(1-EXP((Tnet-t)/(Tau_j))))*Salcycl</f>
        <v>6.2498154356344739E-2</v>
      </c>
      <c r="P344" s="169">
        <f>(INDEX(Models!$BJ344:$BT344,,T344)*(1-R344)+INDEX(Models!$BJ344:$BT344,,T344+1)*R344-ERP_i)*Q344*Ramure*Pc/MaxiM</f>
        <v>4.7619330703606956E-4</v>
      </c>
      <c r="Q344" s="305">
        <f t="shared" si="126"/>
        <v>0.7</v>
      </c>
      <c r="R344" s="177">
        <f t="shared" si="127"/>
        <v>0.99972139350314859</v>
      </c>
      <c r="S344" s="921">
        <f t="shared" si="128"/>
        <v>-2</v>
      </c>
      <c r="T344" s="176">
        <f t="shared" si="129"/>
        <v>4</v>
      </c>
      <c r="U344" s="251">
        <f t="shared" si="130"/>
        <v>-1.0002786064968514</v>
      </c>
      <c r="V344" s="383">
        <f t="shared" si="131"/>
        <v>27.539603013464369</v>
      </c>
      <c r="W344" s="58"/>
      <c r="X344" s="157">
        <f t="shared" si="132"/>
        <v>43795</v>
      </c>
      <c r="Y344" s="385">
        <f t="shared" si="133"/>
        <v>20.663</v>
      </c>
      <c r="Z344" s="385">
        <f t="shared" si="134"/>
        <v>20.914339210703247</v>
      </c>
      <c r="AA344" s="386">
        <f t="shared" si="135"/>
        <v>22.308584572806051</v>
      </c>
      <c r="AB344" s="197">
        <f t="shared" si="136"/>
        <v>43795</v>
      </c>
      <c r="AC344" s="427">
        <f>IF(OR(t&lt;Tnet,NoTnet),'2018'!Resal_s+('2018'!Salim-'2018'!Resal_s)*(1-EXP(('2018'!Tnet_s-t)/'2018'!Tau_j)),Resal_s+(Salim-Resal_s)*(1-EXP((Tnet_s-t)/Tau_j)))*Salcycl</f>
        <v>6.2498154356344739E-2</v>
      </c>
      <c r="AD344" s="231">
        <f>(INDEX(Models!$BJ344:$BT344,,AH344)*(1-AF344)+INDEX(Models!$BJ344:$BT344,,AH344+1)*AF344-ERP_i)*AE344*Ramure*Pc/MaxiM</f>
        <v>4.7619330703606956E-4</v>
      </c>
      <c r="AE344" s="305">
        <f t="shared" si="137"/>
        <v>0.7</v>
      </c>
      <c r="AF344" s="177">
        <f t="shared" si="138"/>
        <v>0.99972139350314859</v>
      </c>
      <c r="AG344" s="176">
        <f t="shared" si="139"/>
        <v>-2</v>
      </c>
      <c r="AH344" s="176">
        <f t="shared" si="140"/>
        <v>4</v>
      </c>
      <c r="AI344" s="225">
        <f t="shared" si="141"/>
        <v>-1.0002786064968514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20">
        <v>19.943999999999999</v>
      </c>
      <c r="C345" s="390"/>
      <c r="D345" s="393">
        <f t="shared" si="123"/>
        <v>20.187035634714089</v>
      </c>
      <c r="E345" s="385">
        <f t="shared" si="121"/>
        <v>21.534438961502868</v>
      </c>
      <c r="F345" s="385">
        <f t="shared" si="124"/>
        <v>21.540748597540265</v>
      </c>
      <c r="G345" s="110">
        <f t="shared" si="122"/>
        <v>0.72985170946674827</v>
      </c>
      <c r="H345" s="414" t="b">
        <f>Wh_hp&gt;='2018'!Maxi_hp</f>
        <v>0</v>
      </c>
      <c r="I345" s="390">
        <f>IF(H345,Wh_hp,'2018'!Maxi_hp)</f>
        <v>27.662208875171967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1.2039193822799832E-2</v>
      </c>
      <c r="M345" s="959"/>
      <c r="N345" s="959"/>
      <c r="O345" s="48">
        <f>IF(t&lt;Tnet,'2018'!Resal+('2018'!Salim-'2018'!Resal)*(1-EXP(('2018'!Tnet-t)/('2018'!Tau_j))),Resal+(Salim-Resal)*(1-EXP((Tnet-t)/(Tau_j))))*Salcycl</f>
        <v>6.2569697274098154E-2</v>
      </c>
      <c r="P345" s="169">
        <f>(INDEX(Models!$BJ345:$BT345,,T345)*(1-R345)+INDEX(Models!$BJ345:$BT345,,T345+1)*R345-ERP_i)*Q345*Ramure*Pc/MaxiM</f>
        <v>4.7685596351911696E-4</v>
      </c>
      <c r="Q345" s="305">
        <f t="shared" si="126"/>
        <v>0.7</v>
      </c>
      <c r="R345" s="177">
        <f t="shared" si="127"/>
        <v>0.99974078177760917</v>
      </c>
      <c r="S345" s="921">
        <f t="shared" si="128"/>
        <v>-2</v>
      </c>
      <c r="T345" s="176">
        <f t="shared" si="129"/>
        <v>4</v>
      </c>
      <c r="U345" s="251">
        <f t="shared" si="130"/>
        <v>-1.0002592182223908</v>
      </c>
      <c r="V345" s="383">
        <f t="shared" si="131"/>
        <v>27.321071079942886</v>
      </c>
      <c r="W345" s="58"/>
      <c r="X345" s="157">
        <f t="shared" si="132"/>
        <v>43796</v>
      </c>
      <c r="Y345" s="385">
        <f t="shared" si="133"/>
        <v>19.943999999999999</v>
      </c>
      <c r="Z345" s="385">
        <f t="shared" si="134"/>
        <v>20.187035634714089</v>
      </c>
      <c r="AA345" s="386">
        <f t="shared" si="135"/>
        <v>21.534438961502868</v>
      </c>
      <c r="AB345" s="197">
        <f t="shared" si="136"/>
        <v>43796</v>
      </c>
      <c r="AC345" s="427">
        <f>IF(OR(t&lt;Tnet,NoTnet),'2018'!Resal_s+('2018'!Salim-'2018'!Resal_s)*(1-EXP(('2018'!Tnet_s-t)/'2018'!Tau_j)),Resal_s+(Salim-Resal_s)*(1-EXP((Tnet_s-t)/Tau_j)))*Salcycl</f>
        <v>6.2569697274098154E-2</v>
      </c>
      <c r="AD345" s="231">
        <f>(INDEX(Models!$BJ345:$BT345,,AH345)*(1-AF345)+INDEX(Models!$BJ345:$BT345,,AH345+1)*AF345-ERP_i)*AE345*Ramure*Pc/MaxiM</f>
        <v>4.7685596351911696E-4</v>
      </c>
      <c r="AE345" s="305">
        <f t="shared" si="137"/>
        <v>0.7</v>
      </c>
      <c r="AF345" s="177">
        <f t="shared" si="138"/>
        <v>0.99974078177760917</v>
      </c>
      <c r="AG345" s="176">
        <f t="shared" si="139"/>
        <v>-2</v>
      </c>
      <c r="AH345" s="176">
        <f t="shared" si="140"/>
        <v>4</v>
      </c>
      <c r="AI345" s="225">
        <f t="shared" si="141"/>
        <v>-1.0002592182223908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20">
        <v>7.7270000000000003</v>
      </c>
      <c r="C346" s="390"/>
      <c r="D346" s="393">
        <f t="shared" si="123"/>
        <v>7.8213317740175397</v>
      </c>
      <c r="E346" s="385">
        <f t="shared" si="121"/>
        <v>8.3440154946970537</v>
      </c>
      <c r="F346" s="385">
        <f t="shared" si="124"/>
        <v>8.3440154946970537</v>
      </c>
      <c r="G346" s="110">
        <f t="shared" si="122"/>
        <v>0.28497263928776906</v>
      </c>
      <c r="H346" s="414" t="b">
        <f>Wh_hp&gt;='2018'!Maxi_hp</f>
        <v>0</v>
      </c>
      <c r="I346" s="390">
        <f>IF(H346,Wh_hp,'2018'!Maxi_hp)</f>
        <v>20.343286490073936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1.2060832699989699E-2</v>
      </c>
      <c r="M346" s="959"/>
      <c r="N346" s="959"/>
      <c r="O346" s="48">
        <f>IF(t&lt;Tnet,'2018'!Resal+('2018'!Salim-'2018'!Resal)*(1-EXP(('2018'!Tnet-t)/('2018'!Tau_j))),Resal+(Salim-Resal)*(1-EXP((Tnet-t)/(Tau_j))))*Salcycl</f>
        <v>6.2641748569582628E-2</v>
      </c>
      <c r="P346" s="169">
        <f>(INDEX(Models!$BJ346:$BT346,,T346)*(1-R346)+INDEX(Models!$BJ346:$BT346,,T346+1)*R346-ERP_i)*Q346*Ramure*Pc/MaxiM</f>
        <v>4.7727491378721823E-4</v>
      </c>
      <c r="Q346" s="305">
        <f t="shared" si="126"/>
        <v>0.7</v>
      </c>
      <c r="R346" s="177">
        <f t="shared" si="127"/>
        <v>0.99975939083684384</v>
      </c>
      <c r="S346" s="921">
        <f t="shared" si="128"/>
        <v>-2</v>
      </c>
      <c r="T346" s="176">
        <f t="shared" si="129"/>
        <v>4</v>
      </c>
      <c r="U346" s="251">
        <f t="shared" si="130"/>
        <v>-1.0002406091631562</v>
      </c>
      <c r="V346" s="383">
        <f t="shared" si="131"/>
        <v>27.101942544533426</v>
      </c>
      <c r="W346" s="58"/>
      <c r="X346" s="157">
        <f t="shared" si="132"/>
        <v>43797</v>
      </c>
      <c r="Y346" s="385">
        <f t="shared" si="133"/>
        <v>7.7270000000000003</v>
      </c>
      <c r="Z346" s="385">
        <f t="shared" si="134"/>
        <v>7.8213317740175397</v>
      </c>
      <c r="AA346" s="386">
        <f t="shared" si="135"/>
        <v>8.3440154946970537</v>
      </c>
      <c r="AB346" s="197">
        <f t="shared" si="136"/>
        <v>43797</v>
      </c>
      <c r="AC346" s="427">
        <f>IF(OR(t&lt;Tnet,NoTnet),'2018'!Resal_s+('2018'!Salim-'2018'!Resal_s)*(1-EXP(('2018'!Tnet_s-t)/'2018'!Tau_j)),Resal_s+(Salim-Resal_s)*(1-EXP((Tnet_s-t)/Tau_j)))*Salcycl</f>
        <v>6.2641748569582628E-2</v>
      </c>
      <c r="AD346" s="231">
        <f>(INDEX(Models!$BJ346:$BT346,,AH346)*(1-AF346)+INDEX(Models!$BJ346:$BT346,,AH346+1)*AF346-ERP_i)*AE346*Ramure*Pc/MaxiM</f>
        <v>4.7727491378721823E-4</v>
      </c>
      <c r="AE346" s="305">
        <f t="shared" si="137"/>
        <v>0.7</v>
      </c>
      <c r="AF346" s="177">
        <f t="shared" si="138"/>
        <v>0.99975939083684384</v>
      </c>
      <c r="AG346" s="176">
        <f t="shared" si="139"/>
        <v>-2</v>
      </c>
      <c r="AH346" s="176">
        <f t="shared" si="140"/>
        <v>4</v>
      </c>
      <c r="AI346" s="225">
        <f t="shared" si="141"/>
        <v>-1.0002406091631562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20">
        <v>18.824000000000002</v>
      </c>
      <c r="C347" s="390"/>
      <c r="D347" s="393">
        <f t="shared" si="123"/>
        <v>19.054222087770061</v>
      </c>
      <c r="E347" s="385">
        <f t="shared" si="121"/>
        <v>20.329150909628538</v>
      </c>
      <c r="F347" s="385">
        <f t="shared" si="124"/>
        <v>20.334702288517693</v>
      </c>
      <c r="G347" s="110">
        <f t="shared" si="122"/>
        <v>0.70005252425280573</v>
      </c>
      <c r="H347" s="414" t="b">
        <f>Wh_hp&gt;='2018'!Maxi_hp</f>
        <v>0</v>
      </c>
      <c r="I347" s="390">
        <f>IF(H347,Wh_hp,'2018'!Maxi_hp)</f>
        <v>29.549892661364552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1.2082471103232573E-2</v>
      </c>
      <c r="M347" s="959"/>
      <c r="N347" s="959"/>
      <c r="O347" s="48">
        <f>IF(t&lt;Tnet,'2018'!Resal+('2018'!Salim-'2018'!Resal)*(1-EXP(('2018'!Tnet-t)/('2018'!Tau_j))),Resal+(Salim-Resal)*(1-EXP((Tnet-t)/(Tau_j))))*Salcycl</f>
        <v>6.271431736259242E-2</v>
      </c>
      <c r="P347" s="169">
        <f>(INDEX(Models!$BJ347:$BT347,,T347)*(1-R347)+INDEX(Models!$BJ347:$BT347,,T347+1)*R347-ERP_i)*Q347*Ramure*Pc/MaxiM</f>
        <v>4.775167418601853E-4</v>
      </c>
      <c r="Q347" s="305">
        <f t="shared" si="126"/>
        <v>0.7</v>
      </c>
      <c r="R347" s="177">
        <f t="shared" si="127"/>
        <v>0.99977725194297307</v>
      </c>
      <c r="S347" s="921">
        <f t="shared" si="128"/>
        <v>-2</v>
      </c>
      <c r="T347" s="176">
        <f t="shared" si="129"/>
        <v>4</v>
      </c>
      <c r="U347" s="251">
        <f t="shared" si="130"/>
        <v>-1.0002227480570269</v>
      </c>
      <c r="V347" s="383">
        <f t="shared" si="131"/>
        <v>26.883910104361178</v>
      </c>
      <c r="W347" s="58"/>
      <c r="X347" s="157">
        <f t="shared" si="132"/>
        <v>43798</v>
      </c>
      <c r="Y347" s="385">
        <f t="shared" si="133"/>
        <v>18.824000000000002</v>
      </c>
      <c r="Z347" s="385">
        <f t="shared" si="134"/>
        <v>19.054222087770061</v>
      </c>
      <c r="AA347" s="386">
        <f t="shared" si="135"/>
        <v>20.329150909628538</v>
      </c>
      <c r="AB347" s="197">
        <f t="shared" si="136"/>
        <v>43798</v>
      </c>
      <c r="AC347" s="427">
        <f>IF(OR(t&lt;Tnet,NoTnet),'2018'!Resal_s+('2018'!Salim-'2018'!Resal_s)*(1-EXP(('2018'!Tnet_s-t)/'2018'!Tau_j)),Resal_s+(Salim-Resal_s)*(1-EXP((Tnet_s-t)/Tau_j)))*Salcycl</f>
        <v>6.271431736259242E-2</v>
      </c>
      <c r="AD347" s="231">
        <f>(INDEX(Models!$BJ347:$BT347,,AH347)*(1-AF347)+INDEX(Models!$BJ347:$BT347,,AH347+1)*AF347-ERP_i)*AE347*Ramure*Pc/MaxiM</f>
        <v>4.775167418601853E-4</v>
      </c>
      <c r="AE347" s="305">
        <f t="shared" si="137"/>
        <v>0.7</v>
      </c>
      <c r="AF347" s="177">
        <f t="shared" si="138"/>
        <v>0.99977725194297307</v>
      </c>
      <c r="AG347" s="176">
        <f t="shared" si="139"/>
        <v>-2</v>
      </c>
      <c r="AH347" s="176">
        <f t="shared" si="140"/>
        <v>4</v>
      </c>
      <c r="AI347" s="225">
        <f t="shared" si="141"/>
        <v>-1.0002227480570269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20">
        <v>11.237</v>
      </c>
      <c r="C348" s="390"/>
      <c r="D348" s="393">
        <f t="shared" si="123"/>
        <v>11.37468037142602</v>
      </c>
      <c r="E348" s="385">
        <f t="shared" si="121"/>
        <v>12.136713141578014</v>
      </c>
      <c r="F348" s="385">
        <f t="shared" si="124"/>
        <v>12.137718033623315</v>
      </c>
      <c r="G348" s="110">
        <f t="shared" si="122"/>
        <v>0.42118952047370906</v>
      </c>
      <c r="H348" s="414" t="b">
        <f>Wh_hp&gt;='2018'!Maxi_hp</f>
        <v>1</v>
      </c>
      <c r="I348" s="390">
        <f>IF(H348,Wh_hp,'2018'!Maxi_hp)</f>
        <v>12.137718033623315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1.210410903253889E-2</v>
      </c>
      <c r="M348" s="959"/>
      <c r="N348" s="959"/>
      <c r="O348" s="48">
        <f>IF(t&lt;Tnet,'2018'!Resal+('2018'!Salim-'2018'!Resal)*(1-EXP(('2018'!Tnet-t)/('2018'!Tau_j))),Resal+(Salim-Resal)*(1-EXP((Tnet-t)/(Tau_j))))*Salcycl</f>
        <v>6.2787408853012941E-2</v>
      </c>
      <c r="P348" s="169">
        <f>(INDEX(Models!$BJ348:$BT348,,T348)*(1-R348)+INDEX(Models!$BJ348:$BT348,,T348+1)*R348-ERP_i)*Q348*Ramure*Pc/MaxiM</f>
        <v>4.7755084809815489E-4</v>
      </c>
      <c r="Q348" s="305">
        <f t="shared" si="126"/>
        <v>0.7</v>
      </c>
      <c r="R348" s="177">
        <f t="shared" si="127"/>
        <v>0.99979439510818224</v>
      </c>
      <c r="S348" s="921">
        <f t="shared" si="128"/>
        <v>-2</v>
      </c>
      <c r="T348" s="176">
        <f t="shared" si="129"/>
        <v>4</v>
      </c>
      <c r="U348" s="251">
        <f t="shared" si="130"/>
        <v>-1.0002056048918178</v>
      </c>
      <c r="V348" s="383">
        <f t="shared" si="131"/>
        <v>26.668668541498111</v>
      </c>
      <c r="W348" s="58"/>
      <c r="X348" s="157">
        <f t="shared" si="132"/>
        <v>43799</v>
      </c>
      <c r="Y348" s="385">
        <f t="shared" si="133"/>
        <v>11.237</v>
      </c>
      <c r="Z348" s="385">
        <f t="shared" si="134"/>
        <v>11.37468037142602</v>
      </c>
      <c r="AA348" s="386">
        <f t="shared" si="135"/>
        <v>12.136713141578014</v>
      </c>
      <c r="AB348" s="197">
        <f t="shared" si="136"/>
        <v>43799</v>
      </c>
      <c r="AC348" s="427">
        <f>IF(OR(t&lt;Tnet,NoTnet),'2018'!Resal_s+('2018'!Salim-'2018'!Resal_s)*(1-EXP(('2018'!Tnet_s-t)/'2018'!Tau_j)),Resal_s+(Salim-Resal_s)*(1-EXP((Tnet_s-t)/Tau_j)))*Salcycl</f>
        <v>6.2787408853012941E-2</v>
      </c>
      <c r="AD348" s="231">
        <f>(INDEX(Models!$BJ348:$BT348,,AH348)*(1-AF348)+INDEX(Models!$BJ348:$BT348,,AH348+1)*AF348-ERP_i)*AE348*Ramure*Pc/MaxiM</f>
        <v>4.7755084809815489E-4</v>
      </c>
      <c r="AE348" s="305">
        <f t="shared" si="137"/>
        <v>0.7</v>
      </c>
      <c r="AF348" s="177">
        <f t="shared" si="138"/>
        <v>0.99979439510818224</v>
      </c>
      <c r="AG348" s="176">
        <f t="shared" si="139"/>
        <v>-2</v>
      </c>
      <c r="AH348" s="176">
        <f t="shared" si="140"/>
        <v>4</v>
      </c>
      <c r="AI348" s="225">
        <f t="shared" si="141"/>
        <v>-1.0002056048918178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20">
        <v>10.395</v>
      </c>
      <c r="C349" s="390"/>
      <c r="D349" s="393">
        <f t="shared" si="123"/>
        <v>10.522594311010533</v>
      </c>
      <c r="E349" s="385">
        <f t="shared" si="121"/>
        <v>11.228424582689767</v>
      </c>
      <c r="F349" s="385">
        <f t="shared" si="124"/>
        <v>11.229135863295829</v>
      </c>
      <c r="G349" s="110">
        <f t="shared" si="122"/>
        <v>0.39272547785070194</v>
      </c>
      <c r="H349" s="414" t="b">
        <f>Wh_hp&gt;='2018'!Maxi_hp</f>
        <v>0</v>
      </c>
      <c r="I349" s="390">
        <f>IF(H349,Wh_hp,'2018'!Maxi_hp)</f>
        <v>20.226581068449882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1.2125746487919087E-2</v>
      </c>
      <c r="M349" s="959"/>
      <c r="N349" s="959"/>
      <c r="O349" s="48">
        <f>IF(t&lt;Tnet,'2018'!Resal+('2018'!Salim-'2018'!Resal)*(1-EXP(('2018'!Tnet-t)/('2018'!Tau_j))),Resal+(Salim-Resal)*(1-EXP((Tnet-t)/(Tau_j))))*Salcycl</f>
        <v>6.2861024401176649E-2</v>
      </c>
      <c r="P349" s="169">
        <f>(INDEX(Models!$BJ349:$BT349,,T349)*(1-R349)+INDEX(Models!$BJ349:$BT349,,T349+1)*R349-ERP_i)*Q349*Ramure*Pc/MaxiM</f>
        <v>4.7734500397475114E-4</v>
      </c>
      <c r="Q349" s="305">
        <f t="shared" si="126"/>
        <v>0.7</v>
      </c>
      <c r="R349" s="177">
        <f t="shared" si="127"/>
        <v>0.99981084914435758</v>
      </c>
      <c r="S349" s="921">
        <f t="shared" si="128"/>
        <v>-2</v>
      </c>
      <c r="T349" s="176">
        <f t="shared" si="129"/>
        <v>4</v>
      </c>
      <c r="U349" s="251">
        <f t="shared" si="130"/>
        <v>-1.0001891508556424</v>
      </c>
      <c r="V349" s="383">
        <f t="shared" si="131"/>
        <v>26.45791209513337</v>
      </c>
      <c r="W349" s="58"/>
      <c r="X349" s="157">
        <f t="shared" si="132"/>
        <v>43800</v>
      </c>
      <c r="Y349" s="385">
        <f t="shared" si="133"/>
        <v>10.395</v>
      </c>
      <c r="Z349" s="385">
        <f t="shared" si="134"/>
        <v>10.522594311010533</v>
      </c>
      <c r="AA349" s="386">
        <f t="shared" si="135"/>
        <v>11.228424582689767</v>
      </c>
      <c r="AB349" s="197">
        <f t="shared" si="136"/>
        <v>43800</v>
      </c>
      <c r="AC349" s="427">
        <f>IF(OR(t&lt;Tnet,NoTnet),'2018'!Resal_s+('2018'!Salim-'2018'!Resal_s)*(1-EXP(('2018'!Tnet_s-t)/'2018'!Tau_j)),Resal_s+(Salim-Resal_s)*(1-EXP((Tnet_s-t)/Tau_j)))*Salcycl</f>
        <v>6.2861024401176649E-2</v>
      </c>
      <c r="AD349" s="231">
        <f>(INDEX(Models!$BJ349:$BT349,,AH349)*(1-AF349)+INDEX(Models!$BJ349:$BT349,,AH349+1)*AF349-ERP_i)*AE349*Ramure*Pc/MaxiM</f>
        <v>4.7734500397475114E-4</v>
      </c>
      <c r="AE349" s="305">
        <f t="shared" si="137"/>
        <v>0.7</v>
      </c>
      <c r="AF349" s="177">
        <f t="shared" si="138"/>
        <v>0.99981084914435758</v>
      </c>
      <c r="AG349" s="176">
        <f t="shared" si="139"/>
        <v>-2</v>
      </c>
      <c r="AH349" s="176">
        <f t="shared" si="140"/>
        <v>4</v>
      </c>
      <c r="AI349" s="225">
        <f t="shared" si="141"/>
        <v>-1.0001891508556424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20">
        <v>4.016</v>
      </c>
      <c r="C350" s="390"/>
      <c r="D350" s="393">
        <f t="shared" si="123"/>
        <v>4.0653837756733138</v>
      </c>
      <c r="E350" s="385">
        <f t="shared" si="121"/>
        <v>4.3384231370259583</v>
      </c>
      <c r="F350" s="385">
        <f t="shared" si="124"/>
        <v>4.3384231370259583</v>
      </c>
      <c r="G350" s="110">
        <f t="shared" si="122"/>
        <v>0.15289809827689652</v>
      </c>
      <c r="H350" s="414" t="b">
        <f>Wh_hp&gt;='2018'!Maxi_hp</f>
        <v>0</v>
      </c>
      <c r="I350" s="390">
        <f>IF(H350,Wh_hp,'2018'!Maxi_hp)</f>
        <v>7.8128549705141292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1.2147383469383488E-2</v>
      </c>
      <c r="M350" s="959"/>
      <c r="N350" s="959"/>
      <c r="O350" s="48">
        <f>IF(t&lt;Tnet,'2018'!Resal+('2018'!Salim-'2018'!Resal)*(1-EXP(('2018'!Tnet-t)/('2018'!Tau_j))),Resal+(Salim-Resal)*(1-EXP((Tnet-t)/(Tau_j))))*Salcycl</f>
        <v>6.2935161631056766E-2</v>
      </c>
      <c r="P350" s="169">
        <f>(INDEX(Models!$BJ350:$BT350,,T350)*(1-R350)+INDEX(Models!$BJ350:$BT350,,T350+1)*R350-ERP_i)*Q350*Ramure*Pc/MaxiM</f>
        <v>4.768654938938357E-4</v>
      </c>
      <c r="Q350" s="305">
        <f t="shared" si="126"/>
        <v>0.7</v>
      </c>
      <c r="R350" s="177">
        <f t="shared" si="127"/>
        <v>0.99982664171077973</v>
      </c>
      <c r="S350" s="921">
        <f t="shared" si="128"/>
        <v>-2</v>
      </c>
      <c r="T350" s="176">
        <f t="shared" si="129"/>
        <v>4</v>
      </c>
      <c r="U350" s="251">
        <f t="shared" si="130"/>
        <v>-1.0001733582892203</v>
      </c>
      <c r="V350" s="383">
        <f t="shared" si="131"/>
        <v>26.253334432630187</v>
      </c>
      <c r="W350" s="58"/>
      <c r="X350" s="157">
        <f t="shared" si="132"/>
        <v>43801</v>
      </c>
      <c r="Y350" s="385">
        <f t="shared" si="133"/>
        <v>4.016</v>
      </c>
      <c r="Z350" s="385">
        <f t="shared" si="134"/>
        <v>4.0653837756733138</v>
      </c>
      <c r="AA350" s="386">
        <f t="shared" si="135"/>
        <v>4.3384231370259583</v>
      </c>
      <c r="AB350" s="197">
        <f t="shared" si="136"/>
        <v>43801</v>
      </c>
      <c r="AC350" s="427">
        <f>IF(OR(t&lt;Tnet,NoTnet),'2018'!Resal_s+('2018'!Salim-'2018'!Resal_s)*(1-EXP(('2018'!Tnet_s-t)/'2018'!Tau_j)),Resal_s+(Salim-Resal_s)*(1-EXP((Tnet_s-t)/Tau_j)))*Salcycl</f>
        <v>6.2935161631056766E-2</v>
      </c>
      <c r="AD350" s="231">
        <f>(INDEX(Models!$BJ350:$BT350,,AH350)*(1-AF350)+INDEX(Models!$BJ350:$BT350,,AH350+1)*AF350-ERP_i)*AE350*Ramure*Pc/MaxiM</f>
        <v>4.768654938938357E-4</v>
      </c>
      <c r="AE350" s="305">
        <f t="shared" si="137"/>
        <v>0.7</v>
      </c>
      <c r="AF350" s="177">
        <f t="shared" si="138"/>
        <v>0.99982664171077973</v>
      </c>
      <c r="AG350" s="176">
        <f t="shared" si="139"/>
        <v>-2</v>
      </c>
      <c r="AH350" s="176">
        <f t="shared" si="140"/>
        <v>4</v>
      </c>
      <c r="AI350" s="225">
        <f t="shared" si="141"/>
        <v>-1.0001733582892203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20">
        <v>3.9910000000000001</v>
      </c>
      <c r="C351" s="390"/>
      <c r="D351" s="393">
        <f t="shared" si="123"/>
        <v>4.0401648467299971</v>
      </c>
      <c r="E351" s="385">
        <f t="shared" si="121"/>
        <v>4.3118539654847323</v>
      </c>
      <c r="F351" s="385">
        <f t="shared" si="124"/>
        <v>4.3118539654847323</v>
      </c>
      <c r="G351" s="110">
        <f t="shared" si="122"/>
        <v>0.15309348078409632</v>
      </c>
      <c r="H351" s="414" t="b">
        <f>Wh_hp&gt;='2018'!Maxi_hp</f>
        <v>0</v>
      </c>
      <c r="I351" s="390">
        <f>IF(H351,Wh_hp,'2018'!Maxi_hp)</f>
        <v>10.193235268861663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1.2169019976942308E-2</v>
      </c>
      <c r="M351" s="959"/>
      <c r="N351" s="959"/>
      <c r="O351" s="48">
        <f>IF(t&lt;Tnet,'2018'!Resal+('2018'!Salim-'2018'!Resal)*(1-EXP(('2018'!Tnet-t)/('2018'!Tau_j))),Resal+(Salim-Resal)*(1-EXP((Tnet-t)/(Tau_j))))*Salcycl</f>
        <v>6.3009814555301663E-2</v>
      </c>
      <c r="P351" s="169">
        <f>(INDEX(Models!$BJ351:$BT351,,T351)*(1-R351)+INDEX(Models!$BJ351:$BT351,,T351+1)*R351-ERP_i)*Q351*Ramure*Pc/MaxiM</f>
        <v>4.7607731508087701E-4</v>
      </c>
      <c r="Q351" s="305">
        <f t="shared" si="126"/>
        <v>0.7</v>
      </c>
      <c r="R351" s="177">
        <f t="shared" si="127"/>
        <v>0.99984179935994222</v>
      </c>
      <c r="S351" s="921">
        <f t="shared" si="128"/>
        <v>-2</v>
      </c>
      <c r="T351" s="176">
        <f t="shared" si="129"/>
        <v>4</v>
      </c>
      <c r="U351" s="251">
        <f t="shared" si="130"/>
        <v>-1.0001582006400578</v>
      </c>
      <c r="V351" s="383">
        <f t="shared" si="131"/>
        <v>26.056628636337781</v>
      </c>
      <c r="W351" s="58"/>
      <c r="X351" s="157">
        <f t="shared" si="132"/>
        <v>43802</v>
      </c>
      <c r="Y351" s="385">
        <f t="shared" si="133"/>
        <v>3.9909999999999997</v>
      </c>
      <c r="Z351" s="385">
        <f t="shared" si="134"/>
        <v>4.0401648467299971</v>
      </c>
      <c r="AA351" s="386">
        <f t="shared" si="135"/>
        <v>4.3118539654847323</v>
      </c>
      <c r="AB351" s="197">
        <f t="shared" si="136"/>
        <v>43802</v>
      </c>
      <c r="AC351" s="427">
        <f>IF(OR(t&lt;Tnet,NoTnet),'2018'!Resal_s+('2018'!Salim-'2018'!Resal_s)*(1-EXP(('2018'!Tnet_s-t)/'2018'!Tau_j)),Resal_s+(Salim-Resal_s)*(1-EXP((Tnet_s-t)/Tau_j)))*Salcycl</f>
        <v>6.3009814555301663E-2</v>
      </c>
      <c r="AD351" s="231">
        <f>(INDEX(Models!$BJ351:$BT351,,AH351)*(1-AF351)+INDEX(Models!$BJ351:$BT351,,AH351+1)*AF351-ERP_i)*AE351*Ramure*Pc/MaxiM</f>
        <v>4.7607731508087701E-4</v>
      </c>
      <c r="AE351" s="305">
        <f t="shared" si="137"/>
        <v>0.7</v>
      </c>
      <c r="AF351" s="177">
        <f t="shared" si="138"/>
        <v>0.99984179935994222</v>
      </c>
      <c r="AG351" s="176">
        <f t="shared" si="139"/>
        <v>-2</v>
      </c>
      <c r="AH351" s="176">
        <f t="shared" si="140"/>
        <v>4</v>
      </c>
      <c r="AI351" s="225">
        <f t="shared" si="141"/>
        <v>-1.0001582006400578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20">
        <v>5.8710000000000004</v>
      </c>
      <c r="C352" s="390"/>
      <c r="D352" s="393">
        <f t="shared" si="123"/>
        <v>5.9434546106733706</v>
      </c>
      <c r="E352" s="385">
        <f t="shared" si="121"/>
        <v>6.3436431735732883</v>
      </c>
      <c r="F352" s="385">
        <f t="shared" si="124"/>
        <v>6.3436431735732883</v>
      </c>
      <c r="G352" s="110">
        <f t="shared" si="122"/>
        <v>0.22683911592024592</v>
      </c>
      <c r="H352" s="414" t="b">
        <f>Wh_hp&gt;='2018'!Maxi_hp</f>
        <v>1</v>
      </c>
      <c r="I352" s="390">
        <f>IF(H352,Wh_hp,'2018'!Maxi_hp)</f>
        <v>6.3436431735732883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1.2190656010606205E-2</v>
      </c>
      <c r="M352" s="959"/>
      <c r="N352" s="959"/>
      <c r="O352" s="48">
        <f>IF(t&lt;Tnet,'2018'!Resal+('2018'!Salim-'2018'!Resal)*(1-EXP(('2018'!Tnet-t)/('2018'!Tau_j))),Resal+(Salim-Resal)*(1-EXP((Tnet-t)/(Tau_j))))*Salcycl</f>
        <v>6.3084973720944168E-2</v>
      </c>
      <c r="P352" s="169">
        <f>(INDEX(Models!$BJ352:$BT352,,T352)*(1-R352)+INDEX(Models!$BJ352:$BT352,,T352+1)*R352-ERP_i)*Q352*Ramure*Pc/MaxiM</f>
        <v>4.7515974316757057E-4</v>
      </c>
      <c r="Q352" s="305">
        <f t="shared" si="126"/>
        <v>0.7</v>
      </c>
      <c r="R352" s="177">
        <f t="shared" si="127"/>
        <v>0.99985634758157715</v>
      </c>
      <c r="S352" s="921">
        <f t="shared" si="128"/>
        <v>-2</v>
      </c>
      <c r="T352" s="176">
        <f t="shared" si="129"/>
        <v>4</v>
      </c>
      <c r="U352" s="251">
        <f t="shared" si="130"/>
        <v>-1.0001436524184228</v>
      </c>
      <c r="V352" s="383">
        <f t="shared" si="131"/>
        <v>25.8694816074449</v>
      </c>
      <c r="W352" s="58"/>
      <c r="X352" s="157">
        <f t="shared" si="132"/>
        <v>43803</v>
      </c>
      <c r="Y352" s="385">
        <f t="shared" si="133"/>
        <v>5.8710000000000004</v>
      </c>
      <c r="Z352" s="385">
        <f t="shared" si="134"/>
        <v>5.9434546106733706</v>
      </c>
      <c r="AA352" s="386">
        <f t="shared" si="135"/>
        <v>6.3436431735732883</v>
      </c>
      <c r="AB352" s="197">
        <f t="shared" si="136"/>
        <v>43803</v>
      </c>
      <c r="AC352" s="427">
        <f>IF(OR(t&lt;Tnet,NoTnet),'2018'!Resal_s+('2018'!Salim-'2018'!Resal_s)*(1-EXP(('2018'!Tnet_s-t)/'2018'!Tau_j)),Resal_s+(Salim-Resal_s)*(1-EXP((Tnet_s-t)/Tau_j)))*Salcycl</f>
        <v>6.3084973720944168E-2</v>
      </c>
      <c r="AD352" s="231">
        <f>(INDEX(Models!$BJ352:$BT352,,AH352)*(1-AF352)+INDEX(Models!$BJ352:$BT352,,AH352+1)*AF352-ERP_i)*AE352*Ramure*Pc/MaxiM</f>
        <v>4.7515974316757057E-4</v>
      </c>
      <c r="AE352" s="305">
        <f t="shared" si="137"/>
        <v>0.7</v>
      </c>
      <c r="AF352" s="177">
        <f t="shared" si="138"/>
        <v>0.99985634758157715</v>
      </c>
      <c r="AG352" s="176">
        <f t="shared" si="139"/>
        <v>-2</v>
      </c>
      <c r="AH352" s="176">
        <f t="shared" si="140"/>
        <v>4</v>
      </c>
      <c r="AI352" s="225">
        <f t="shared" si="141"/>
        <v>-1.0001436524184228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20">
        <v>9.5350000000000001</v>
      </c>
      <c r="C353" s="390"/>
      <c r="D353" s="393">
        <f t="shared" si="123"/>
        <v>9.6528838318496071</v>
      </c>
      <c r="E353" s="385">
        <f t="shared" si="121"/>
        <v>10.303670088601466</v>
      </c>
      <c r="F353" s="385">
        <f t="shared" si="124"/>
        <v>10.304166947444211</v>
      </c>
      <c r="G353" s="110">
        <f t="shared" si="122"/>
        <v>0.37094625537739967</v>
      </c>
      <c r="H353" s="414" t="b">
        <f>Wh_hp&gt;='2018'!Maxi_hp</f>
        <v>0</v>
      </c>
      <c r="I353" s="390">
        <f>IF(H353,Wh_hp,'2018'!Maxi_hp)</f>
        <v>21.606623524518486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1.2212291570385503E-2</v>
      </c>
      <c r="M353" s="959"/>
      <c r="N353" s="959"/>
      <c r="O353" s="48">
        <f>IF(t&lt;Tnet,'2018'!Resal+('2018'!Salim-'2018'!Resal)*(1-EXP(('2018'!Tnet-t)/('2018'!Tau_j))),Resal+(Salim-Resal)*(1-EXP((Tnet-t)/(Tau_j))))*Salcycl</f>
        <v>6.316062637446021E-2</v>
      </c>
      <c r="P353" s="169">
        <f>(INDEX(Models!$BJ353:$BT353,,T353)*(1-R353)+INDEX(Models!$BJ353:$BT353,,T353+1)*R353-ERP_i)*Q353*Ramure*Pc/MaxiM</f>
        <v>4.7470181348904328E-4</v>
      </c>
      <c r="Q353" s="305">
        <f t="shared" si="126"/>
        <v>0.7</v>
      </c>
      <c r="R353" s="177">
        <f t="shared" si="127"/>
        <v>0.99987031084494626</v>
      </c>
      <c r="S353" s="921">
        <f t="shared" si="128"/>
        <v>-2</v>
      </c>
      <c r="T353" s="176">
        <f t="shared" si="129"/>
        <v>4</v>
      </c>
      <c r="U353" s="251">
        <f t="shared" si="130"/>
        <v>-1.0001296891550537</v>
      </c>
      <c r="V353" s="383">
        <f t="shared" si="131"/>
        <v>25.693569227796687</v>
      </c>
      <c r="W353" s="58"/>
      <c r="X353" s="157">
        <f t="shared" si="132"/>
        <v>43804</v>
      </c>
      <c r="Y353" s="385">
        <f t="shared" si="133"/>
        <v>9.5350000000000001</v>
      </c>
      <c r="Z353" s="385">
        <f t="shared" si="134"/>
        <v>9.6528838318496071</v>
      </c>
      <c r="AA353" s="386">
        <f t="shared" si="135"/>
        <v>10.303670088601466</v>
      </c>
      <c r="AB353" s="197">
        <f t="shared" si="136"/>
        <v>43804</v>
      </c>
      <c r="AC353" s="427">
        <f>IF(OR(t&lt;Tnet,NoTnet),'2018'!Resal_s+('2018'!Salim-'2018'!Resal_s)*(1-EXP(('2018'!Tnet_s-t)/'2018'!Tau_j)),Resal_s+(Salim-Resal_s)*(1-EXP((Tnet_s-t)/Tau_j)))*Salcycl</f>
        <v>6.316062637446021E-2</v>
      </c>
      <c r="AD353" s="231">
        <f>(INDEX(Models!$BJ353:$BT353,,AH353)*(1-AF353)+INDEX(Models!$BJ353:$BT353,,AH353+1)*AF353-ERP_i)*AE353*Ramure*Pc/MaxiM</f>
        <v>4.7470181348904328E-4</v>
      </c>
      <c r="AE353" s="305">
        <f t="shared" si="137"/>
        <v>0.7</v>
      </c>
      <c r="AF353" s="177">
        <f t="shared" si="138"/>
        <v>0.99987031084494626</v>
      </c>
      <c r="AG353" s="176">
        <f t="shared" si="139"/>
        <v>-2</v>
      </c>
      <c r="AH353" s="176">
        <f t="shared" si="140"/>
        <v>4</v>
      </c>
      <c r="AI353" s="225">
        <f t="shared" si="141"/>
        <v>-1.0001296891550537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20">
        <v>12.106999999999999</v>
      </c>
      <c r="C354" s="390"/>
      <c r="D354" s="393">
        <f t="shared" si="123"/>
        <v>12.25695063509958</v>
      </c>
      <c r="E354" s="385">
        <f t="shared" si="121"/>
        <v>13.084363335177077</v>
      </c>
      <c r="F354" s="385">
        <f t="shared" si="124"/>
        <v>13.085909257298578</v>
      </c>
      <c r="G354" s="110">
        <f t="shared" si="122"/>
        <v>0.47404647673596834</v>
      </c>
      <c r="H354" s="414" t="b">
        <f>Wh_hp&gt;='2018'!Maxi_hp</f>
        <v>1</v>
      </c>
      <c r="I354" s="390">
        <f>IF(H354,Wh_hp,'2018'!Maxi_hp)</f>
        <v>13.085909257298578</v>
      </c>
      <c r="J354" s="85">
        <f>IF(H354,An,'2018'!An_max)</f>
        <v>2019</v>
      </c>
      <c r="K354" s="197">
        <f t="shared" si="125"/>
        <v>43805</v>
      </c>
      <c r="L354" s="147">
        <f>IF(t&lt;Tvie,1-EXP((T0-t)*PertePVj)+'2018'!Pspv,1-EXP((T0-t)*PertePVj)+Pspv)</f>
        <v>1.2233926656290417E-2</v>
      </c>
      <c r="M354" s="959"/>
      <c r="N354" s="959"/>
      <c r="O354" s="48">
        <f>IF(t&lt;Tnet,'2018'!Resal+('2018'!Salim-'2018'!Resal)*(1-EXP(('2018'!Tnet-t)/('2018'!Tau_j))),Resal+(Salim-Resal)*(1-EXP((Tnet-t)/(Tau_j))))*Salcycl</f>
        <v>6.3236756644705294E-2</v>
      </c>
      <c r="P354" s="169">
        <f>(INDEX(Models!$BJ354:$BT354,,T354)*(1-R354)+INDEX(Models!$BJ354:$BT354,,T354+1)*R354-ERP_i)*Q354*Ramure*Pc/MaxiM</f>
        <v>4.746732698564453E-4</v>
      </c>
      <c r="Q354" s="305">
        <f t="shared" si="126"/>
        <v>0.7</v>
      </c>
      <c r="R354" s="177">
        <f t="shared" si="127"/>
        <v>0.99988371263946907</v>
      </c>
      <c r="S354" s="921">
        <f t="shared" si="128"/>
        <v>-2</v>
      </c>
      <c r="T354" s="176">
        <f t="shared" si="129"/>
        <v>4</v>
      </c>
      <c r="U354" s="251">
        <f t="shared" si="130"/>
        <v>-1.0001162873605309</v>
      </c>
      <c r="V354" s="383">
        <f t="shared" si="131"/>
        <v>25.530582953300673</v>
      </c>
      <c r="W354" s="58"/>
      <c r="X354" s="157">
        <f t="shared" si="132"/>
        <v>43805</v>
      </c>
      <c r="Y354" s="385">
        <f t="shared" si="133"/>
        <v>12.106999999999999</v>
      </c>
      <c r="Z354" s="385">
        <f t="shared" si="134"/>
        <v>12.25695063509958</v>
      </c>
      <c r="AA354" s="386">
        <f t="shared" si="135"/>
        <v>13.084363335177077</v>
      </c>
      <c r="AB354" s="197">
        <f t="shared" si="136"/>
        <v>43805</v>
      </c>
      <c r="AC354" s="427">
        <f>IF(OR(t&lt;Tnet,NoTnet),'2018'!Resal_s+('2018'!Salim-'2018'!Resal_s)*(1-EXP(('2018'!Tnet_s-t)/'2018'!Tau_j)),Resal_s+(Salim-Resal_s)*(1-EXP((Tnet_s-t)/Tau_j)))*Salcycl</f>
        <v>6.3236756644705294E-2</v>
      </c>
      <c r="AD354" s="231">
        <f>(INDEX(Models!$BJ354:$BT354,,AH354)*(1-AF354)+INDEX(Models!$BJ354:$BT354,,AH354+1)*AF354-ERP_i)*AE354*Ramure*Pc/MaxiM</f>
        <v>4.746732698564453E-4</v>
      </c>
      <c r="AE354" s="305">
        <f t="shared" si="137"/>
        <v>0.7</v>
      </c>
      <c r="AF354" s="177">
        <f t="shared" si="138"/>
        <v>0.99988371263946907</v>
      </c>
      <c r="AG354" s="176">
        <f t="shared" si="139"/>
        <v>-2</v>
      </c>
      <c r="AH354" s="176">
        <f t="shared" si="140"/>
        <v>4</v>
      </c>
      <c r="AI354" s="225">
        <f t="shared" si="141"/>
        <v>-1.0001162873605309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20">
        <v>14.295</v>
      </c>
      <c r="C355" s="390"/>
      <c r="D355" s="393">
        <f t="shared" si="123"/>
        <v>14.47236698022391</v>
      </c>
      <c r="E355" s="385">
        <f t="shared" si="121"/>
        <v>15.450595900386958</v>
      </c>
      <c r="F355" s="385">
        <f t="shared" si="124"/>
        <v>15.453356006793634</v>
      </c>
      <c r="G355" s="110">
        <f t="shared" si="122"/>
        <v>0.56302267349588453</v>
      </c>
      <c r="H355" s="414" t="b">
        <f>Wh_hp&gt;='2018'!Maxi_hp</f>
        <v>0</v>
      </c>
      <c r="I355" s="390">
        <f>IF(H355,Wh_hp,'2018'!Maxi_hp)</f>
        <v>23.615013833101326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1.2255561268331383E-2</v>
      </c>
      <c r="M355" s="959"/>
      <c r="N355" s="959"/>
      <c r="O355" s="48">
        <f>IF(t&lt;Tnet,'2018'!Resal+('2018'!Salim-'2018'!Resal)*(1-EXP(('2018'!Tnet-t)/('2018'!Tau_j))),Resal+(Salim-Resal)*(1-EXP((Tnet-t)/(Tau_j))))*Salcycl</f>
        <v>6.3313345742124369E-2</v>
      </c>
      <c r="P355" s="169">
        <f>(INDEX(Models!$BJ355:$BT355,,T355)*(1-R355)+INDEX(Models!$BJ355:$BT355,,T355+1)*R355-ERP_i)*Q355*Ramure*Pc/MaxiM</f>
        <v>4.7504225991238058E-4</v>
      </c>
      <c r="Q355" s="305">
        <f t="shared" si="126"/>
        <v>0.7</v>
      </c>
      <c r="R355" s="177">
        <f t="shared" si="127"/>
        <v>0.9998965755137541</v>
      </c>
      <c r="S355" s="921">
        <f t="shared" si="128"/>
        <v>-2</v>
      </c>
      <c r="T355" s="176">
        <f t="shared" si="129"/>
        <v>4</v>
      </c>
      <c r="U355" s="251">
        <f t="shared" si="130"/>
        <v>-1.0001034244862459</v>
      </c>
      <c r="V355" s="383">
        <f t="shared" si="131"/>
        <v>25.382213541989422</v>
      </c>
      <c r="W355" s="58"/>
      <c r="X355" s="157">
        <f t="shared" si="132"/>
        <v>43806</v>
      </c>
      <c r="Y355" s="385">
        <f t="shared" si="133"/>
        <v>14.295</v>
      </c>
      <c r="Z355" s="385">
        <f t="shared" si="134"/>
        <v>14.47236698022391</v>
      </c>
      <c r="AA355" s="386">
        <f t="shared" si="135"/>
        <v>15.450595900386958</v>
      </c>
      <c r="AB355" s="197">
        <f t="shared" si="136"/>
        <v>43806</v>
      </c>
      <c r="AC355" s="427">
        <f>IF(OR(t&lt;Tnet,NoTnet),'2018'!Resal_s+('2018'!Salim-'2018'!Resal_s)*(1-EXP(('2018'!Tnet_s-t)/'2018'!Tau_j)),Resal_s+(Salim-Resal_s)*(1-EXP((Tnet_s-t)/Tau_j)))*Salcycl</f>
        <v>6.3313345742124369E-2</v>
      </c>
      <c r="AD355" s="231">
        <f>(INDEX(Models!$BJ355:$BT355,,AH355)*(1-AF355)+INDEX(Models!$BJ355:$BT355,,AH355+1)*AF355-ERP_i)*AE355*Ramure*Pc/MaxiM</f>
        <v>4.7504225991238058E-4</v>
      </c>
      <c r="AE355" s="305">
        <f t="shared" si="137"/>
        <v>0.7</v>
      </c>
      <c r="AF355" s="177">
        <f t="shared" si="138"/>
        <v>0.9998965755137541</v>
      </c>
      <c r="AG355" s="176">
        <f t="shared" si="139"/>
        <v>-2</v>
      </c>
      <c r="AH355" s="176">
        <f t="shared" si="140"/>
        <v>4</v>
      </c>
      <c r="AI355" s="225">
        <f t="shared" si="141"/>
        <v>-1.0001034244862459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20">
        <v>17.225999999999999</v>
      </c>
      <c r="C356" s="390"/>
      <c r="D356" s="393">
        <f t="shared" si="123"/>
        <v>17.440115708465125</v>
      </c>
      <c r="E356" s="385">
        <f t="shared" si="121"/>
        <v>18.620474518202784</v>
      </c>
      <c r="F356" s="385">
        <f t="shared" si="124"/>
        <v>18.625313050324355</v>
      </c>
      <c r="G356" s="110">
        <f t="shared" si="122"/>
        <v>0.68206634873032357</v>
      </c>
      <c r="H356" s="414" t="b">
        <f>Wh_hp&gt;='2018'!Maxi_hp</f>
        <v>1</v>
      </c>
      <c r="I356" s="390">
        <f>IF(H356,Wh_hp,'2018'!Maxi_hp)</f>
        <v>18.625313050324355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1.2277195406518948E-2</v>
      </c>
      <c r="M356" s="959"/>
      <c r="N356" s="959"/>
      <c r="O356" s="48">
        <f>IF(t&lt;Tnet,'2018'!Resal+('2018'!Salim-'2018'!Resal)*(1-EXP(('2018'!Tnet-t)/('2018'!Tau_j))),Resal+(Salim-Resal)*(1-EXP((Tnet-t)/(Tau_j))))*Salcycl</f>
        <v>6.3390372172512421E-2</v>
      </c>
      <c r="P356" s="169">
        <f>(INDEX(Models!$BJ356:$BT356,,T356)*(1-R356)+INDEX(Models!$BJ356:$BT356,,T356+1)*R356-ERP_i)*Q356*Ramure*Pc/MaxiM</f>
        <v>4.7577519088298575E-4</v>
      </c>
      <c r="Q356" s="305">
        <f t="shared" si="126"/>
        <v>0.7</v>
      </c>
      <c r="R356" s="177">
        <f t="shared" si="127"/>
        <v>0.99990892111308827</v>
      </c>
      <c r="S356" s="921">
        <f t="shared" si="128"/>
        <v>-2</v>
      </c>
      <c r="T356" s="176">
        <f t="shared" si="129"/>
        <v>4</v>
      </c>
      <c r="U356" s="251">
        <f t="shared" si="130"/>
        <v>-1.0000910788869117</v>
      </c>
      <c r="V356" s="383">
        <f t="shared" si="131"/>
        <v>25.250151069245533</v>
      </c>
      <c r="W356" s="58"/>
      <c r="X356" s="157">
        <f t="shared" si="132"/>
        <v>43807</v>
      </c>
      <c r="Y356" s="385">
        <f t="shared" si="133"/>
        <v>17.225999999999999</v>
      </c>
      <c r="Z356" s="385">
        <f t="shared" si="134"/>
        <v>17.440115708465125</v>
      </c>
      <c r="AA356" s="386">
        <f t="shared" si="135"/>
        <v>18.620474518202784</v>
      </c>
      <c r="AB356" s="197">
        <f t="shared" si="136"/>
        <v>43807</v>
      </c>
      <c r="AC356" s="427">
        <f>IF(OR(t&lt;Tnet,NoTnet),'2018'!Resal_s+('2018'!Salim-'2018'!Resal_s)*(1-EXP(('2018'!Tnet_s-t)/'2018'!Tau_j)),Resal_s+(Salim-Resal_s)*(1-EXP((Tnet_s-t)/Tau_j)))*Salcycl</f>
        <v>6.3390372172512421E-2</v>
      </c>
      <c r="AD356" s="231">
        <f>(INDEX(Models!$BJ356:$BT356,,AH356)*(1-AF356)+INDEX(Models!$BJ356:$BT356,,AH356+1)*AF356-ERP_i)*AE356*Ramure*Pc/MaxiM</f>
        <v>4.7577519088298575E-4</v>
      </c>
      <c r="AE356" s="305">
        <f t="shared" si="137"/>
        <v>0.7</v>
      </c>
      <c r="AF356" s="177">
        <f t="shared" si="138"/>
        <v>0.99990892111308827</v>
      </c>
      <c r="AG356" s="176">
        <f t="shared" si="139"/>
        <v>-2</v>
      </c>
      <c r="AH356" s="176">
        <f t="shared" si="140"/>
        <v>4</v>
      </c>
      <c r="AI356" s="225">
        <f t="shared" si="141"/>
        <v>-1.0000910788869117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20">
        <v>8.7639999999999993</v>
      </c>
      <c r="C357" s="390"/>
      <c r="D357" s="393">
        <f t="shared" si="123"/>
        <v>8.8731290981012503</v>
      </c>
      <c r="E357" s="385">
        <f t="shared" si="121"/>
        <v>9.4744518249867582</v>
      </c>
      <c r="F357" s="385">
        <f t="shared" si="124"/>
        <v>9.4747658981708156</v>
      </c>
      <c r="G357" s="110">
        <f t="shared" si="122"/>
        <v>0.34850739163456984</v>
      </c>
      <c r="H357" s="414" t="b">
        <f>Wh_hp&gt;='2018'!Maxi_hp</f>
        <v>1</v>
      </c>
      <c r="I357" s="390">
        <f>IF(H357,Wh_hp,'2018'!Maxi_hp)</f>
        <v>9.4747658981708156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1.2298829070863326E-2</v>
      </c>
      <c r="M357" s="959"/>
      <c r="N357" s="959"/>
      <c r="O357" s="48">
        <f>IF(t&lt;Tnet,'2018'!Resal+('2018'!Salim-'2018'!Resal)*(1-EXP(('2018'!Tnet-t)/('2018'!Tau_j))),Resal+(Salim-Resal)*(1-EXP((Tnet-t)/(Tau_j))))*Salcycl</f>
        <v>6.3467811963500945E-2</v>
      </c>
      <c r="P357" s="169">
        <f>(INDEX(Models!$BJ357:$BT357,,T357)*(1-R357)+INDEX(Models!$BJ357:$BT357,,T357+1)*R357-ERP_i)*Q357*Ramure*Pc/MaxiM</f>
        <v>4.7683663607232248E-4</v>
      </c>
      <c r="Q357" s="305">
        <f t="shared" si="126"/>
        <v>0.7</v>
      </c>
      <c r="R357" s="177">
        <f t="shared" si="127"/>
        <v>0.99992077021544823</v>
      </c>
      <c r="S357" s="921">
        <f t="shared" si="128"/>
        <v>-2</v>
      </c>
      <c r="T357" s="176">
        <f t="shared" si="129"/>
        <v>4</v>
      </c>
      <c r="U357" s="251">
        <f t="shared" si="130"/>
        <v>-1.0000792297845518</v>
      </c>
      <c r="V357" s="383">
        <f t="shared" si="131"/>
        <v>25.136084908203078</v>
      </c>
      <c r="W357" s="58"/>
      <c r="X357" s="157">
        <f t="shared" si="132"/>
        <v>43808</v>
      </c>
      <c r="Y357" s="385">
        <f t="shared" si="133"/>
        <v>8.7639999999999993</v>
      </c>
      <c r="Z357" s="385">
        <f t="shared" si="134"/>
        <v>8.8731290981012503</v>
      </c>
      <c r="AA357" s="386">
        <f t="shared" si="135"/>
        <v>9.4744518249867582</v>
      </c>
      <c r="AB357" s="197">
        <f t="shared" si="136"/>
        <v>43808</v>
      </c>
      <c r="AC357" s="427">
        <f>IF(OR(t&lt;Tnet,NoTnet),'2018'!Resal_s+('2018'!Salim-'2018'!Resal_s)*(1-EXP(('2018'!Tnet_s-t)/'2018'!Tau_j)),Resal_s+(Salim-Resal_s)*(1-EXP((Tnet_s-t)/Tau_j)))*Salcycl</f>
        <v>6.3467811963500945E-2</v>
      </c>
      <c r="AD357" s="231">
        <f>(INDEX(Models!$BJ357:$BT357,,AH357)*(1-AF357)+INDEX(Models!$BJ357:$BT357,,AH357+1)*AF357-ERP_i)*AE357*Ramure*Pc/MaxiM</f>
        <v>4.7683663607232248E-4</v>
      </c>
      <c r="AE357" s="305">
        <f t="shared" si="137"/>
        <v>0.7</v>
      </c>
      <c r="AF357" s="177">
        <f t="shared" si="138"/>
        <v>0.99992077021544823</v>
      </c>
      <c r="AG357" s="176">
        <f t="shared" si="139"/>
        <v>-2</v>
      </c>
      <c r="AH357" s="176">
        <f t="shared" si="140"/>
        <v>4</v>
      </c>
      <c r="AI357" s="225">
        <f t="shared" si="141"/>
        <v>-1.0000792297845518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20">
        <v>20.465</v>
      </c>
      <c r="C358" s="390"/>
      <c r="D358" s="393">
        <f t="shared" si="123"/>
        <v>20.720283470543823</v>
      </c>
      <c r="E358" s="385">
        <f t="shared" si="121"/>
        <v>22.12631424583898</v>
      </c>
      <c r="F358" s="385">
        <f t="shared" si="124"/>
        <v>22.134135091685113</v>
      </c>
      <c r="G358" s="110">
        <f t="shared" si="122"/>
        <v>0.81713465959151321</v>
      </c>
      <c r="H358" s="414" t="b">
        <f>Wh_hp&gt;='2018'!Maxi_hp</f>
        <v>1</v>
      </c>
      <c r="I358" s="390">
        <f>IF(H358,Wh_hp,'2018'!Maxi_hp)</f>
        <v>22.134135091685113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1.2320462261374843E-2</v>
      </c>
      <c r="M358" s="959"/>
      <c r="N358" s="959"/>
      <c r="O358" s="48">
        <f>IF(t&lt;Tnet,'2018'!Resal+('2018'!Salim-'2018'!Resal)*(1-EXP(('2018'!Tnet-t)/('2018'!Tau_j))),Resal+(Salim-Resal)*(1-EXP((Tnet-t)/(Tau_j))))*Salcycl</f>
        <v>6.3545638901859755E-2</v>
      </c>
      <c r="P358" s="169">
        <f>(INDEX(Models!$BJ358:$BT358,,T358)*(1-R358)+INDEX(Models!$BJ358:$BT358,,T358+1)*R358-ERP_i)*Q358*Ramure*Pc/MaxiM</f>
        <v>4.7818929950078725E-4</v>
      </c>
      <c r="Q358" s="305">
        <f t="shared" si="126"/>
        <v>0.7</v>
      </c>
      <c r="R358" s="177">
        <f t="shared" si="127"/>
        <v>0.99993214276609277</v>
      </c>
      <c r="S358" s="921">
        <f t="shared" si="128"/>
        <v>-2</v>
      </c>
      <c r="T358" s="176">
        <f t="shared" si="129"/>
        <v>4</v>
      </c>
      <c r="U358" s="251">
        <f t="shared" si="130"/>
        <v>-1.0000678572339072</v>
      </c>
      <c r="V358" s="383">
        <f t="shared" si="131"/>
        <v>25.041703700299383</v>
      </c>
      <c r="W358" s="58"/>
      <c r="X358" s="157">
        <f t="shared" si="132"/>
        <v>43809</v>
      </c>
      <c r="Y358" s="385">
        <f t="shared" si="133"/>
        <v>20.465</v>
      </c>
      <c r="Z358" s="385">
        <f t="shared" si="134"/>
        <v>20.720283470543823</v>
      </c>
      <c r="AA358" s="386">
        <f t="shared" si="135"/>
        <v>22.12631424583898</v>
      </c>
      <c r="AB358" s="197">
        <f t="shared" si="136"/>
        <v>43809</v>
      </c>
      <c r="AC358" s="427">
        <f>IF(OR(t&lt;Tnet,NoTnet),'2018'!Resal_s+('2018'!Salim-'2018'!Resal_s)*(1-EXP(('2018'!Tnet_s-t)/'2018'!Tau_j)),Resal_s+(Salim-Resal_s)*(1-EXP((Tnet_s-t)/Tau_j)))*Salcycl</f>
        <v>6.3545638901859755E-2</v>
      </c>
      <c r="AD358" s="231">
        <f>(INDEX(Models!$BJ358:$BT358,,AH358)*(1-AF358)+INDEX(Models!$BJ358:$BT358,,AH358+1)*AF358-ERP_i)*AE358*Ramure*Pc/MaxiM</f>
        <v>4.7818929950078725E-4</v>
      </c>
      <c r="AE358" s="305">
        <f t="shared" si="137"/>
        <v>0.7</v>
      </c>
      <c r="AF358" s="177">
        <f t="shared" si="138"/>
        <v>0.99993214276609277</v>
      </c>
      <c r="AG358" s="176">
        <f t="shared" si="139"/>
        <v>-2</v>
      </c>
      <c r="AH358" s="176">
        <f t="shared" si="140"/>
        <v>4</v>
      </c>
      <c r="AI358" s="225">
        <f t="shared" si="141"/>
        <v>-1.0000678572339072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20">
        <v>1.8049999999999999</v>
      </c>
      <c r="C359" s="390"/>
      <c r="D359" s="393">
        <f t="shared" si="123"/>
        <v>1.8275558681018311</v>
      </c>
      <c r="E359" s="385">
        <f t="shared" si="121"/>
        <v>1.9517325584151473</v>
      </c>
      <c r="F359" s="385">
        <f t="shared" si="124"/>
        <v>1.9517325584151473</v>
      </c>
      <c r="G359" s="110">
        <f t="shared" si="122"/>
        <v>7.2265086249502952E-2</v>
      </c>
      <c r="H359" s="414" t="b">
        <f>Wh_hp&gt;='2018'!Maxi_hp</f>
        <v>0</v>
      </c>
      <c r="I359" s="390">
        <f>IF(H359,Wh_hp,'2018'!Maxi_hp)</f>
        <v>23.016717284204159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1.2342094978064044E-2</v>
      </c>
      <c r="M359" s="959"/>
      <c r="N359" s="959"/>
      <c r="O359" s="48">
        <f>IF(t&lt;Tnet,'2018'!Resal+('2018'!Salim-'2018'!Resal)*(1-EXP(('2018'!Tnet-t)/('2018'!Tau_j))),Resal+(Salim-Resal)*(1-EXP((Tnet-t)/(Tau_j))))*Salcycl</f>
        <v>6.3623824779636004E-2</v>
      </c>
      <c r="P359" s="169">
        <f>(INDEX(Models!$BJ359:$BT359,,T359)*(1-R359)+INDEX(Models!$BJ359:$BT359,,T359+1)*R359-ERP_i)*Q359*Ramure*Pc/MaxiM</f>
        <v>4.7985546497244418E-4</v>
      </c>
      <c r="Q359" s="305">
        <f t="shared" si="126"/>
        <v>0.7</v>
      </c>
      <c r="R359" s="177">
        <f t="shared" si="127"/>
        <v>0.99994305791078419</v>
      </c>
      <c r="S359" s="921">
        <f t="shared" si="128"/>
        <v>-2</v>
      </c>
      <c r="T359" s="176">
        <f t="shared" si="129"/>
        <v>4</v>
      </c>
      <c r="U359" s="251">
        <f t="shared" si="130"/>
        <v>-1.0000569420892158</v>
      </c>
      <c r="V359" s="383">
        <f t="shared" si="131"/>
        <v>24.965497926021417</v>
      </c>
      <c r="W359" s="58"/>
      <c r="X359" s="157">
        <f t="shared" si="132"/>
        <v>43810</v>
      </c>
      <c r="Y359" s="385">
        <f t="shared" si="133"/>
        <v>1.8049999999999999</v>
      </c>
      <c r="Z359" s="385">
        <f t="shared" si="134"/>
        <v>1.8275558681018311</v>
      </c>
      <c r="AA359" s="386">
        <f t="shared" si="135"/>
        <v>1.9517325584151473</v>
      </c>
      <c r="AB359" s="197">
        <f t="shared" si="136"/>
        <v>43810</v>
      </c>
      <c r="AC359" s="427">
        <f>IF(OR(t&lt;Tnet,NoTnet),'2018'!Resal_s+('2018'!Salim-'2018'!Resal_s)*(1-EXP(('2018'!Tnet_s-t)/'2018'!Tau_j)),Resal_s+(Salim-Resal_s)*(1-EXP((Tnet_s-t)/Tau_j)))*Salcycl</f>
        <v>6.3623824779636004E-2</v>
      </c>
      <c r="AD359" s="231">
        <f>(INDEX(Models!$BJ359:$BT359,,AH359)*(1-AF359)+INDEX(Models!$BJ359:$BT359,,AH359+1)*AF359-ERP_i)*AE359*Ramure*Pc/MaxiM</f>
        <v>4.7985546497244418E-4</v>
      </c>
      <c r="AE359" s="305">
        <f t="shared" si="137"/>
        <v>0.7</v>
      </c>
      <c r="AF359" s="177">
        <f t="shared" si="138"/>
        <v>0.99994305791078419</v>
      </c>
      <c r="AG359" s="176">
        <f t="shared" si="139"/>
        <v>-2</v>
      </c>
      <c r="AH359" s="176">
        <f t="shared" si="140"/>
        <v>4</v>
      </c>
      <c r="AI359" s="225">
        <f t="shared" si="141"/>
        <v>-1.0000569420892158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20">
        <v>5.4020000000000001</v>
      </c>
      <c r="C360" s="390"/>
      <c r="D360" s="393">
        <f t="shared" si="123"/>
        <v>5.4696249508937038</v>
      </c>
      <c r="E360" s="385">
        <f t="shared" si="121"/>
        <v>5.8417586441817582</v>
      </c>
      <c r="F360" s="385">
        <f t="shared" si="124"/>
        <v>5.8417586441817582</v>
      </c>
      <c r="G360" s="110">
        <f t="shared" si="122"/>
        <v>0.21680396508913646</v>
      </c>
      <c r="H360" s="414" t="b">
        <f>Wh_hp&gt;='2018'!Maxi_hp</f>
        <v>1</v>
      </c>
      <c r="I360" s="390">
        <f>IF(H360,Wh_hp,'2018'!Maxi_hp)</f>
        <v>5.8417586441817582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1.2363727220941256E-2</v>
      </c>
      <c r="M360" s="959"/>
      <c r="N360" s="959"/>
      <c r="O360" s="48">
        <f>IF(t&lt;Tnet,'2018'!Resal+('2018'!Salim-'2018'!Resal)*(1-EXP(('2018'!Tnet-t)/('2018'!Tau_j))),Resal+(Salim-Resal)*(1-EXP((Tnet-t)/(Tau_j))))*Salcycl</f>
        <v>6.3702339647100953E-2</v>
      </c>
      <c r="P360" s="169">
        <f>(INDEX(Models!$BJ360:$BT360,,T360)*(1-R360)+INDEX(Models!$BJ360:$BT360,,T360+1)*R360-ERP_i)*Q360*Ramure*Pc/MaxiM</f>
        <v>4.8188515602915291E-4</v>
      </c>
      <c r="Q360" s="305">
        <f t="shared" si="126"/>
        <v>0.7</v>
      </c>
      <c r="R360" s="177">
        <f t="shared" si="127"/>
        <v>0.99995353402769882</v>
      </c>
      <c r="S360" s="921">
        <f t="shared" si="128"/>
        <v>-2</v>
      </c>
      <c r="T360" s="176">
        <f t="shared" si="129"/>
        <v>4</v>
      </c>
      <c r="U360" s="251">
        <f t="shared" si="130"/>
        <v>-1.0000464659723012</v>
      </c>
      <c r="V360" s="383">
        <f t="shared" si="131"/>
        <v>24.904511567245688</v>
      </c>
      <c r="W360" s="58"/>
      <c r="X360" s="157">
        <f t="shared" si="132"/>
        <v>43811</v>
      </c>
      <c r="Y360" s="385">
        <f t="shared" si="133"/>
        <v>5.4020000000000001</v>
      </c>
      <c r="Z360" s="385">
        <f t="shared" si="134"/>
        <v>5.4696249508937038</v>
      </c>
      <c r="AA360" s="386">
        <f t="shared" si="135"/>
        <v>5.8417586441817582</v>
      </c>
      <c r="AB360" s="197">
        <f t="shared" si="136"/>
        <v>43811</v>
      </c>
      <c r="AC360" s="427">
        <f>IF(OR(t&lt;Tnet,NoTnet),'2018'!Resal_s+('2018'!Salim-'2018'!Resal_s)*(1-EXP(('2018'!Tnet_s-t)/'2018'!Tau_j)),Resal_s+(Salim-Resal_s)*(1-EXP((Tnet_s-t)/Tau_j)))*Salcycl</f>
        <v>6.3702339647100953E-2</v>
      </c>
      <c r="AD360" s="231">
        <f>(INDEX(Models!$BJ360:$BT360,,AH360)*(1-AF360)+INDEX(Models!$BJ360:$BT360,,AH360+1)*AF360-ERP_i)*AE360*Ramure*Pc/MaxiM</f>
        <v>4.8188515602915291E-4</v>
      </c>
      <c r="AE360" s="305">
        <f t="shared" si="137"/>
        <v>0.7</v>
      </c>
      <c r="AF360" s="177">
        <f t="shared" si="138"/>
        <v>0.99995353402769882</v>
      </c>
      <c r="AG360" s="176">
        <f t="shared" si="139"/>
        <v>-2</v>
      </c>
      <c r="AH360" s="176">
        <f t="shared" si="140"/>
        <v>4</v>
      </c>
      <c r="AI360" s="225">
        <f t="shared" si="141"/>
        <v>-1.0000464659723012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20">
        <v>1.5620000000000001</v>
      </c>
      <c r="C361" s="390"/>
      <c r="D361" s="393">
        <f t="shared" si="123"/>
        <v>1.5815885418655016</v>
      </c>
      <c r="E361" s="385">
        <f t="shared" ref="E361:E379" si="145">Wh_pvt/(1-Psa)</f>
        <v>1.6893363612185102</v>
      </c>
      <c r="F361" s="385">
        <f t="shared" si="124"/>
        <v>1.6893363612185102</v>
      </c>
      <c r="G361" s="110">
        <f t="shared" ref="G361:G379" si="146">+Wh_hp/MaxiM</f>
        <v>6.280581819525799E-2</v>
      </c>
      <c r="H361" s="414" t="b">
        <f>Wh_hp&gt;='2018'!Maxi_hp</f>
        <v>0</v>
      </c>
      <c r="I361" s="390">
        <f>IF(H361,Wh_hp,'2018'!Maxi_hp)</f>
        <v>1.8676741617675858</v>
      </c>
      <c r="J361" s="85">
        <f>IF(H361,An,'2018'!An_max)</f>
        <v>2018</v>
      </c>
      <c r="K361" s="197">
        <f t="shared" si="125"/>
        <v>43812</v>
      </c>
      <c r="L361" s="147">
        <f>IF(t&lt;Tvie,1-EXP((T0-t)*PertePVj)+'2018'!Pspv,1-EXP((T0-t)*PertePVj)+Pspv)</f>
        <v>1.2385358990016804E-2</v>
      </c>
      <c r="M361" s="959"/>
      <c r="N361" s="959"/>
      <c r="O361" s="48">
        <f>IF(t&lt;Tnet,'2018'!Resal+('2018'!Salim-'2018'!Resal)*(1-EXP(('2018'!Tnet-t)/('2018'!Tau_j))),Resal+(Salim-Resal)*(1-EXP((Tnet-t)/(Tau_j))))*Salcycl</f>
        <v>6.3781152070444186E-2</v>
      </c>
      <c r="P361" s="169">
        <f>(INDEX(Models!$BJ361:$BT361,,T361)*(1-R361)+INDEX(Models!$BJ361:$BT361,,T361+1)*R361-ERP_i)*Q361*Ramure*Pc/MaxiM</f>
        <v>4.8370675949888005E-4</v>
      </c>
      <c r="Q361" s="305">
        <f t="shared" si="126"/>
        <v>0.7</v>
      </c>
      <c r="R361" s="177">
        <f t="shared" si="127"/>
        <v>0.99996358875807489</v>
      </c>
      <c r="S361" s="921">
        <f t="shared" si="128"/>
        <v>-2</v>
      </c>
      <c r="T361" s="176">
        <f t="shared" si="129"/>
        <v>4</v>
      </c>
      <c r="U361" s="251">
        <f t="shared" si="130"/>
        <v>-1.0000364112419251</v>
      </c>
      <c r="V361" s="383">
        <f t="shared" si="131"/>
        <v>24.85827738423669</v>
      </c>
      <c r="W361" s="58"/>
      <c r="X361" s="157">
        <f t="shared" si="132"/>
        <v>43812</v>
      </c>
      <c r="Y361" s="385">
        <f t="shared" si="133"/>
        <v>1.5620000000000001</v>
      </c>
      <c r="Z361" s="385">
        <f t="shared" si="134"/>
        <v>1.5815885418655016</v>
      </c>
      <c r="AA361" s="386">
        <f t="shared" si="135"/>
        <v>1.6893363612185102</v>
      </c>
      <c r="AB361" s="197">
        <f t="shared" si="136"/>
        <v>43812</v>
      </c>
      <c r="AC361" s="427">
        <f>IF(OR(t&lt;Tnet,NoTnet),'2018'!Resal_s+('2018'!Salim-'2018'!Resal_s)*(1-EXP(('2018'!Tnet_s-t)/'2018'!Tau_j)),Resal_s+(Salim-Resal_s)*(1-EXP((Tnet_s-t)/Tau_j)))*Salcycl</f>
        <v>6.3781152070444186E-2</v>
      </c>
      <c r="AD361" s="231">
        <f>(INDEX(Models!$BJ361:$BT361,,AH361)*(1-AF361)+INDEX(Models!$BJ361:$BT361,,AH361+1)*AF361-ERP_i)*AE361*Ramure*Pc/MaxiM</f>
        <v>4.8370675949888005E-4</v>
      </c>
      <c r="AE361" s="305">
        <f t="shared" si="137"/>
        <v>0.7</v>
      </c>
      <c r="AF361" s="177">
        <f t="shared" si="138"/>
        <v>0.99996358875807489</v>
      </c>
      <c r="AG361" s="176">
        <f t="shared" si="139"/>
        <v>-2</v>
      </c>
      <c r="AH361" s="176">
        <f t="shared" si="140"/>
        <v>4</v>
      </c>
      <c r="AI361" s="225">
        <f t="shared" si="141"/>
        <v>-1.0000364112419251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20">
        <v>11.53</v>
      </c>
      <c r="C362" s="390"/>
      <c r="D362" s="393">
        <f t="shared" si="123"/>
        <v>11.674849747398319</v>
      </c>
      <c r="E362" s="385">
        <f t="shared" si="145"/>
        <v>12.471267767864992</v>
      </c>
      <c r="F362" s="385">
        <f t="shared" si="124"/>
        <v>12.472689656076096</v>
      </c>
      <c r="G362" s="110">
        <f t="shared" si="146"/>
        <v>0.46425410416438956</v>
      </c>
      <c r="H362" s="414" t="b">
        <f>Wh_hp&gt;='2018'!Maxi_hp</f>
        <v>1</v>
      </c>
      <c r="I362" s="390">
        <f>IF(H362,Wh_hp,'2018'!Maxi_hp)</f>
        <v>12.472689656076096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1.2406990285301012E-2</v>
      </c>
      <c r="M362" s="959"/>
      <c r="N362" s="959"/>
      <c r="O362" s="48">
        <f>IF(t&lt;Tnet,'2018'!Resal+('2018'!Salim-'2018'!Resal)*(1-EXP(('2018'!Tnet-t)/('2018'!Tau_j))),Resal+(Salim-Resal)*(1-EXP((Tnet-t)/(Tau_j))))*Salcycl</f>
        <v>6.3860229392140935E-2</v>
      </c>
      <c r="P362" s="169">
        <f>(INDEX(Models!$BJ362:$BT362,,T362)*(1-R362)+INDEX(Models!$BJ362:$BT362,,T362+1)*R362-ERP_i)*Q362*Ramure*Pc/MaxiM</f>
        <v>4.8532354715772686E-4</v>
      </c>
      <c r="Q362" s="305">
        <f t="shared" si="126"/>
        <v>0.7</v>
      </c>
      <c r="R362" s="177">
        <f t="shared" si="127"/>
        <v>0.99997323903564417</v>
      </c>
      <c r="S362" s="921">
        <f t="shared" si="128"/>
        <v>-2</v>
      </c>
      <c r="T362" s="176">
        <f t="shared" si="129"/>
        <v>4</v>
      </c>
      <c r="U362" s="251">
        <f t="shared" si="130"/>
        <v>-1.0000267609643558</v>
      </c>
      <c r="V362" s="383">
        <f t="shared" si="131"/>
        <v>24.826313972141165</v>
      </c>
      <c r="W362" s="58"/>
      <c r="X362" s="157">
        <f t="shared" si="132"/>
        <v>43813</v>
      </c>
      <c r="Y362" s="385">
        <f t="shared" si="133"/>
        <v>11.53</v>
      </c>
      <c r="Z362" s="385">
        <f t="shared" si="134"/>
        <v>11.674849747398319</v>
      </c>
      <c r="AA362" s="386">
        <f t="shared" si="135"/>
        <v>12.471267767864992</v>
      </c>
      <c r="AB362" s="197">
        <f t="shared" si="136"/>
        <v>43813</v>
      </c>
      <c r="AC362" s="427">
        <f>IF(OR(t&lt;Tnet,NoTnet),'2018'!Resal_s+('2018'!Salim-'2018'!Resal_s)*(1-EXP(('2018'!Tnet_s-t)/'2018'!Tau_j)),Resal_s+(Salim-Resal_s)*(1-EXP((Tnet_s-t)/Tau_j)))*Salcycl</f>
        <v>6.3860229392140935E-2</v>
      </c>
      <c r="AD362" s="231">
        <f>(INDEX(Models!$BJ362:$BT362,,AH362)*(1-AF362)+INDEX(Models!$BJ362:$BT362,,AH362+1)*AF362-ERP_i)*AE362*Ramure*Pc/MaxiM</f>
        <v>4.8532354715772686E-4</v>
      </c>
      <c r="AE362" s="305">
        <f t="shared" si="137"/>
        <v>0.7</v>
      </c>
      <c r="AF362" s="177">
        <f t="shared" si="138"/>
        <v>0.99997323903564417</v>
      </c>
      <c r="AG362" s="176">
        <f t="shared" si="139"/>
        <v>-2</v>
      </c>
      <c r="AH362" s="176">
        <f t="shared" si="140"/>
        <v>4</v>
      </c>
      <c r="AI362" s="225">
        <f t="shared" si="141"/>
        <v>-1.0000267609643558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20">
        <v>25.545000000000002</v>
      </c>
      <c r="C363" s="390"/>
      <c r="D363" s="393">
        <f t="shared" si="123"/>
        <v>25.866484738175728</v>
      </c>
      <c r="E363" s="385">
        <f t="shared" si="145"/>
        <v>27.63334825902789</v>
      </c>
      <c r="F363" s="385">
        <f t="shared" si="124"/>
        <v>27.64680505166011</v>
      </c>
      <c r="G363" s="110">
        <f t="shared" si="146"/>
        <v>1.0297023424611333</v>
      </c>
      <c r="H363" s="414" t="b">
        <f>Wh_hp&gt;='2018'!Maxi_hp</f>
        <v>1</v>
      </c>
      <c r="I363" s="390">
        <f>IF(H363,Wh_hp,'2018'!Maxi_hp)</f>
        <v>27.64680505166011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1.2428621106804427E-2</v>
      </c>
      <c r="M363" s="959"/>
      <c r="N363" s="959"/>
      <c r="O363" s="48">
        <f>IF(t&lt;Tnet,'2018'!Resal+('2018'!Salim-'2018'!Resal)*(1-EXP(('2018'!Tnet-t)/('2018'!Tau_j))),Resal+(Salim-Resal)*(1-EXP((Tnet-t)/(Tau_j))))*Salcycl</f>
        <v>6.3939537991923326E-2</v>
      </c>
      <c r="P363" s="169">
        <f>(INDEX(Models!$BJ363:$BT363,,T363)*(1-R363)+INDEX(Models!$BJ363:$BT363,,T363+1)*R363-ERP_i)*Q363*Ramure*Pc/MaxiM</f>
        <v>4.86739520428315E-4</v>
      </c>
      <c r="Q363" s="305">
        <f t="shared" si="126"/>
        <v>0.7</v>
      </c>
      <c r="R363" s="177">
        <f t="shared" si="127"/>
        <v>0.99998250111490061</v>
      </c>
      <c r="S363" s="921">
        <f t="shared" si="128"/>
        <v>-2</v>
      </c>
      <c r="T363" s="176">
        <f t="shared" si="129"/>
        <v>4</v>
      </c>
      <c r="U363" s="251">
        <f t="shared" si="130"/>
        <v>-1.0000174988850994</v>
      </c>
      <c r="V363" s="383">
        <f t="shared" si="131"/>
        <v>24.808140126149329</v>
      </c>
      <c r="W363" s="58"/>
      <c r="X363" s="157">
        <f t="shared" si="132"/>
        <v>43814</v>
      </c>
      <c r="Y363" s="385">
        <f t="shared" si="133"/>
        <v>25.545000000000002</v>
      </c>
      <c r="Z363" s="385">
        <f t="shared" si="134"/>
        <v>25.866484738175728</v>
      </c>
      <c r="AA363" s="386">
        <f t="shared" si="135"/>
        <v>27.63334825902789</v>
      </c>
      <c r="AB363" s="197">
        <f t="shared" si="136"/>
        <v>43814</v>
      </c>
      <c r="AC363" s="427">
        <f>IF(OR(t&lt;Tnet,NoTnet),'2018'!Resal_s+('2018'!Salim-'2018'!Resal_s)*(1-EXP(('2018'!Tnet_s-t)/'2018'!Tau_j)),Resal_s+(Salim-Resal_s)*(1-EXP((Tnet_s-t)/Tau_j)))*Salcycl</f>
        <v>6.3939537991923326E-2</v>
      </c>
      <c r="AD363" s="231">
        <f>(INDEX(Models!$BJ363:$BT363,,AH363)*(1-AF363)+INDEX(Models!$BJ363:$BT363,,AH363+1)*AF363-ERP_i)*AE363*Ramure*Pc/MaxiM</f>
        <v>4.86739520428315E-4</v>
      </c>
      <c r="AE363" s="305">
        <f t="shared" si="137"/>
        <v>0.7</v>
      </c>
      <c r="AF363" s="177">
        <f t="shared" si="138"/>
        <v>0.99998250111490061</v>
      </c>
      <c r="AG363" s="176">
        <f t="shared" si="139"/>
        <v>-2</v>
      </c>
      <c r="AH363" s="176">
        <f t="shared" si="140"/>
        <v>4</v>
      </c>
      <c r="AI363" s="225">
        <f t="shared" si="141"/>
        <v>-1.0000174988850994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20">
        <v>14.397</v>
      </c>
      <c r="C364" s="390"/>
      <c r="D364" s="393">
        <f t="shared" si="123"/>
        <v>14.578506066357651</v>
      </c>
      <c r="E364" s="385">
        <f t="shared" si="145"/>
        <v>15.575643890869003</v>
      </c>
      <c r="F364" s="385">
        <f t="shared" si="124"/>
        <v>15.578689458119278</v>
      </c>
      <c r="G364" s="110">
        <f t="shared" si="146"/>
        <v>0.58027775257010206</v>
      </c>
      <c r="H364" s="414" t="b">
        <f>Wh_hp&gt;='2018'!Maxi_hp</f>
        <v>1</v>
      </c>
      <c r="I364" s="390">
        <f>IF(H364,Wh_hp,'2018'!Maxi_hp)</f>
        <v>15.578689458119278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1.2450251454537375E-2</v>
      </c>
      <c r="M364" s="959"/>
      <c r="N364" s="959"/>
      <c r="O364" s="48">
        <f>IF(t&lt;Tnet,'2018'!Resal+('2018'!Salim-'2018'!Resal)*(1-EXP(('2018'!Tnet-t)/('2018'!Tau_j))),Resal+(Salim-Resal)*(1-EXP((Tnet-t)/(Tau_j))))*Salcycl</f>
        <v>6.4019043546309523E-2</v>
      </c>
      <c r="P364" s="169">
        <f>(INDEX(Models!$BJ364:$BT364,,T364)*(1-R364)+INDEX(Models!$BJ364:$BT364,,T364+1)*R364-ERP_i)*Q364*Ramure*Pc/MaxiM</f>
        <v>4.8795937907700649E-4</v>
      </c>
      <c r="Q364" s="305">
        <f t="shared" si="126"/>
        <v>0.7</v>
      </c>
      <c r="R364" s="177">
        <f t="shared" si="127"/>
        <v>0.99999139059824582</v>
      </c>
      <c r="S364" s="921">
        <f t="shared" si="128"/>
        <v>-2</v>
      </c>
      <c r="T364" s="176">
        <f t="shared" si="129"/>
        <v>4</v>
      </c>
      <c r="U364" s="251">
        <f t="shared" si="130"/>
        <v>-1.0000086094017542</v>
      </c>
      <c r="V364" s="383">
        <f t="shared" si="131"/>
        <v>24.803274834793768</v>
      </c>
      <c r="W364" s="58"/>
      <c r="X364" s="157">
        <f t="shared" si="132"/>
        <v>43815</v>
      </c>
      <c r="Y364" s="385">
        <f t="shared" si="133"/>
        <v>14.397</v>
      </c>
      <c r="Z364" s="385">
        <f t="shared" si="134"/>
        <v>14.578506066357651</v>
      </c>
      <c r="AA364" s="386">
        <f t="shared" si="135"/>
        <v>15.575643890869003</v>
      </c>
      <c r="AB364" s="197">
        <f t="shared" si="136"/>
        <v>43815</v>
      </c>
      <c r="AC364" s="427">
        <f>IF(OR(t&lt;Tnet,NoTnet),'2018'!Resal_s+('2018'!Salim-'2018'!Resal_s)*(1-EXP(('2018'!Tnet_s-t)/'2018'!Tau_j)),Resal_s+(Salim-Resal_s)*(1-EXP((Tnet_s-t)/Tau_j)))*Salcycl</f>
        <v>6.4019043546309523E-2</v>
      </c>
      <c r="AD364" s="231">
        <f>(INDEX(Models!$BJ364:$BT364,,AH364)*(1-AF364)+INDEX(Models!$BJ364:$BT364,,AH364+1)*AF364-ERP_i)*AE364*Ramure*Pc/MaxiM</f>
        <v>4.8795937907700649E-4</v>
      </c>
      <c r="AE364" s="305">
        <f t="shared" si="137"/>
        <v>0.7</v>
      </c>
      <c r="AF364" s="177">
        <f t="shared" si="138"/>
        <v>0.99999139059824582</v>
      </c>
      <c r="AG364" s="176">
        <f t="shared" si="139"/>
        <v>-2</v>
      </c>
      <c r="AH364" s="176">
        <f t="shared" si="140"/>
        <v>4</v>
      </c>
      <c r="AI364" s="225">
        <f t="shared" si="141"/>
        <v>-1.0000086094017542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20">
        <v>6.718</v>
      </c>
      <c r="C365" s="390"/>
      <c r="D365" s="393">
        <f t="shared" si="123"/>
        <v>6.8028442663867104</v>
      </c>
      <c r="E365" s="385">
        <f t="shared" si="145"/>
        <v>7.2687625804263973</v>
      </c>
      <c r="F365" s="385">
        <f t="shared" si="124"/>
        <v>7.2687625804263973</v>
      </c>
      <c r="G365" s="110">
        <f t="shared" si="146"/>
        <v>0.27063200824866707</v>
      </c>
      <c r="H365" s="414" t="b">
        <f>Wh_hp&gt;='2018'!Maxi_hp</f>
        <v>0</v>
      </c>
      <c r="I365" s="390">
        <f>IF(H365,Wh_hp,'2018'!Maxi_hp)</f>
        <v>21.280225439535702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1.247188132851007E-2</v>
      </c>
      <c r="M365" s="959"/>
      <c r="N365" s="959"/>
      <c r="O365" s="48">
        <f>IF(t&lt;Tnet,'2018'!Resal+('2018'!Salim-'2018'!Resal)*(1-EXP(('2018'!Tnet-t)/('2018'!Tau_j))),Resal+(Salim-Resal)*(1-EXP((Tnet-t)/(Tau_j))))*Salcycl</f>
        <v>6.4098711284686763E-2</v>
      </c>
      <c r="P365" s="169">
        <f>(INDEX(Models!$BJ365:$BT365,,T365)*(1-R365)+INDEX(Models!$BJ365:$BT365,,T365+1)*R365-ERP_i)*Q365*Ramure*Pc/MaxiM</f>
        <v>4.8898848520131509E-4</v>
      </c>
      <c r="Q365" s="305">
        <f t="shared" si="126"/>
        <v>0.7</v>
      </c>
      <c r="R365" s="177">
        <f t="shared" si="127"/>
        <v>0.99999992246205816</v>
      </c>
      <c r="S365" s="921">
        <f t="shared" si="128"/>
        <v>-2</v>
      </c>
      <c r="T365" s="176">
        <f t="shared" si="129"/>
        <v>4</v>
      </c>
      <c r="U365" s="251">
        <f t="shared" si="130"/>
        <v>-1.0000000775379418</v>
      </c>
      <c r="V365" s="383">
        <f t="shared" si="131"/>
        <v>24.811237291587034</v>
      </c>
      <c r="W365" s="58"/>
      <c r="X365" s="157">
        <f t="shared" si="132"/>
        <v>43816</v>
      </c>
      <c r="Y365" s="385">
        <f t="shared" si="133"/>
        <v>6.718</v>
      </c>
      <c r="Z365" s="385">
        <f t="shared" si="134"/>
        <v>6.8028442663867104</v>
      </c>
      <c r="AA365" s="386">
        <f t="shared" si="135"/>
        <v>7.2687625804263973</v>
      </c>
      <c r="AB365" s="197">
        <f t="shared" si="136"/>
        <v>43816</v>
      </c>
      <c r="AC365" s="427">
        <f>IF(OR(t&lt;Tnet,NoTnet),'2018'!Resal_s+('2018'!Salim-'2018'!Resal_s)*(1-EXP(('2018'!Tnet_s-t)/'2018'!Tau_j)),Resal_s+(Salim-Resal_s)*(1-EXP((Tnet_s-t)/Tau_j)))*Salcycl</f>
        <v>6.4098711284686763E-2</v>
      </c>
      <c r="AD365" s="231">
        <f>(INDEX(Models!$BJ365:$BT365,,AH365)*(1-AF365)+INDEX(Models!$BJ365:$BT365,,AH365+1)*AF365-ERP_i)*AE365*Ramure*Pc/MaxiM</f>
        <v>4.8898848520131509E-4</v>
      </c>
      <c r="AE365" s="305">
        <f t="shared" si="137"/>
        <v>0.7</v>
      </c>
      <c r="AF365" s="177">
        <f t="shared" si="138"/>
        <v>0.99999992246205816</v>
      </c>
      <c r="AG365" s="176">
        <f t="shared" si="139"/>
        <v>-2</v>
      </c>
      <c r="AH365" s="176">
        <f t="shared" si="140"/>
        <v>4</v>
      </c>
      <c r="AI365" s="225">
        <f t="shared" si="141"/>
        <v>-1.0000000775379418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20">
        <v>16.391999999999999</v>
      </c>
      <c r="C366" s="390"/>
      <c r="D366" s="393">
        <f t="shared" si="123"/>
        <v>16.599384589458769</v>
      </c>
      <c r="E366" s="385">
        <f t="shared" si="145"/>
        <v>17.737768046729506</v>
      </c>
      <c r="F366" s="385">
        <f t="shared" si="124"/>
        <v>17.742237263715985</v>
      </c>
      <c r="G366" s="110">
        <f t="shared" si="146"/>
        <v>0.65997091707780664</v>
      </c>
      <c r="H366" s="414" t="b">
        <f>Wh_hp&gt;='2018'!Maxi_hp</f>
        <v>1</v>
      </c>
      <c r="I366" s="390">
        <f>IF(H366,Wh_hp,'2018'!Maxi_hp)</f>
        <v>17.742237263715985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1.2493510728733059E-2</v>
      </c>
      <c r="M366" s="959"/>
      <c r="N366" s="959"/>
      <c r="O366" s="48">
        <f>IF(t&lt;Tnet,'2018'!Resal+('2018'!Salim-'2018'!Resal)*(1-EXP(('2018'!Tnet-t)/('2018'!Tau_j))),Resal+(Salim-Resal)*(1-EXP((Tnet-t)/(Tau_j))))*Salcycl</f>
        <v>6.4178506240002126E-2</v>
      </c>
      <c r="P366" s="169">
        <f>(INDEX(Models!$BJ366:$BT366,,T366)*(1-R366)+INDEX(Models!$BJ366:$BT366,,T366+1)*R366-ERP_i)*Q366*Ramure*Pc/MaxiM</f>
        <v>4.8962585614803359E-4</v>
      </c>
      <c r="Q366" s="305">
        <f t="shared" si="126"/>
        <v>0.7</v>
      </c>
      <c r="R366" s="177">
        <f t="shared" si="127"/>
        <v>8.1110817276019986E-6</v>
      </c>
      <c r="S366" s="921">
        <f t="shared" si="128"/>
        <v>-1</v>
      </c>
      <c r="T366" s="176">
        <f t="shared" si="129"/>
        <v>5</v>
      </c>
      <c r="U366" s="251">
        <f t="shared" si="130"/>
        <v>-0.9999918889182724</v>
      </c>
      <c r="V366" s="383">
        <f t="shared" si="131"/>
        <v>24.831552032470437</v>
      </c>
      <c r="W366" s="58"/>
      <c r="X366" s="157">
        <f t="shared" si="132"/>
        <v>43817</v>
      </c>
      <c r="Y366" s="385">
        <f t="shared" si="133"/>
        <v>16.391999999999999</v>
      </c>
      <c r="Z366" s="385">
        <f t="shared" si="134"/>
        <v>16.599384589458769</v>
      </c>
      <c r="AA366" s="386">
        <f t="shared" si="135"/>
        <v>17.737768046729506</v>
      </c>
      <c r="AB366" s="197">
        <f t="shared" si="136"/>
        <v>43817</v>
      </c>
      <c r="AC366" s="427">
        <f>IF(OR(t&lt;Tnet,NoTnet),'2018'!Resal_s+('2018'!Salim-'2018'!Resal_s)*(1-EXP(('2018'!Tnet_s-t)/'2018'!Tau_j)),Resal_s+(Salim-Resal_s)*(1-EXP((Tnet_s-t)/Tau_j)))*Salcycl</f>
        <v>6.4178506240002126E-2</v>
      </c>
      <c r="AD366" s="231">
        <f>(INDEX(Models!$BJ366:$BT366,,AH366)*(1-AF366)+INDEX(Models!$BJ366:$BT366,,AH366+1)*AF366-ERP_i)*AE366*Ramure*Pc/MaxiM</f>
        <v>4.8962585614803359E-4</v>
      </c>
      <c r="AE366" s="305">
        <f t="shared" si="137"/>
        <v>0.7</v>
      </c>
      <c r="AF366" s="177">
        <f t="shared" si="138"/>
        <v>8.1110817276019986E-6</v>
      </c>
      <c r="AG366" s="176">
        <f t="shared" si="139"/>
        <v>-1</v>
      </c>
      <c r="AH366" s="176">
        <f t="shared" si="140"/>
        <v>5</v>
      </c>
      <c r="AI366" s="225">
        <f t="shared" si="141"/>
        <v>-0.9999918889182724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20">
        <v>11.365</v>
      </c>
      <c r="C367" s="390"/>
      <c r="D367" s="393">
        <f t="shared" si="123"/>
        <v>11.509037207954639</v>
      </c>
      <c r="E367" s="385">
        <f t="shared" si="145"/>
        <v>12.299375306080931</v>
      </c>
      <c r="F367" s="385">
        <f t="shared" si="124"/>
        <v>12.300726968881774</v>
      </c>
      <c r="G367" s="110">
        <f t="shared" si="146"/>
        <v>0.45691764435347643</v>
      </c>
      <c r="H367" s="414" t="b">
        <f>Wh_hp&gt;='2018'!Maxi_hp</f>
        <v>0</v>
      </c>
      <c r="I367" s="390">
        <f>IF(H367,Wh_hp,'2018'!Maxi_hp)</f>
        <v>24.927812947970743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1.2515139655216778E-2</v>
      </c>
      <c r="M367" s="959"/>
      <c r="N367" s="959"/>
      <c r="O367" s="48">
        <f>IF(t&lt;Tnet,'2018'!Resal+('2018'!Salim-'2018'!Resal)*(1-EXP(('2018'!Tnet-t)/('2018'!Tau_j))),Resal+(Salim-Resal)*(1-EXP((Tnet-t)/(Tau_j))))*Salcycl</f>
        <v>6.4258393492191437E-2</v>
      </c>
      <c r="P367" s="169">
        <f>(INDEX(Models!$BJ367:$BT367,,T367)*(1-R367)+INDEX(Models!$BJ367:$BT367,,T367+1)*R367-ERP_i)*Q367*Ramure*Pc/MaxiM</f>
        <v>4.8964759788760082E-4</v>
      </c>
      <c r="Q367" s="305">
        <f t="shared" si="126"/>
        <v>0.7</v>
      </c>
      <c r="R367" s="177">
        <f t="shared" si="127"/>
        <v>1.5970255693775748E-5</v>
      </c>
      <c r="S367" s="921">
        <f t="shared" si="128"/>
        <v>-1</v>
      </c>
      <c r="T367" s="176">
        <f t="shared" si="129"/>
        <v>5</v>
      </c>
      <c r="U367" s="251">
        <f t="shared" si="130"/>
        <v>-0.99998402974430622</v>
      </c>
      <c r="V367" s="383">
        <f t="shared" si="131"/>
        <v>24.863744400698184</v>
      </c>
      <c r="W367" s="58"/>
      <c r="X367" s="157">
        <f t="shared" si="132"/>
        <v>43818</v>
      </c>
      <c r="Y367" s="385">
        <f t="shared" si="133"/>
        <v>11.365</v>
      </c>
      <c r="Z367" s="385">
        <f t="shared" si="134"/>
        <v>11.509037207954639</v>
      </c>
      <c r="AA367" s="386">
        <f t="shared" si="135"/>
        <v>12.299375306080931</v>
      </c>
      <c r="AB367" s="197">
        <f t="shared" si="136"/>
        <v>43818</v>
      </c>
      <c r="AC367" s="427">
        <f>IF(OR(t&lt;Tnet,NoTnet),'2018'!Resal_s+('2018'!Salim-'2018'!Resal_s)*(1-EXP(('2018'!Tnet_s-t)/'2018'!Tau_j)),Resal_s+(Salim-Resal_s)*(1-EXP((Tnet_s-t)/Tau_j)))*Salcycl</f>
        <v>6.4258393492191437E-2</v>
      </c>
      <c r="AD367" s="231">
        <f>(INDEX(Models!$BJ367:$BT367,,AH367)*(1-AF367)+INDEX(Models!$BJ367:$BT367,,AH367+1)*AF367-ERP_i)*AE367*Ramure*Pc/MaxiM</f>
        <v>4.8964759788760082E-4</v>
      </c>
      <c r="AE367" s="305">
        <f t="shared" si="137"/>
        <v>0.7</v>
      </c>
      <c r="AF367" s="177">
        <f t="shared" si="138"/>
        <v>1.5970255693775748E-5</v>
      </c>
      <c r="AG367" s="176">
        <f t="shared" si="139"/>
        <v>-1</v>
      </c>
      <c r="AH367" s="176">
        <f t="shared" si="140"/>
        <v>5</v>
      </c>
      <c r="AI367" s="225">
        <f t="shared" si="141"/>
        <v>-0.99998402974430622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20">
        <v>7.81</v>
      </c>
      <c r="C368" s="390"/>
      <c r="D368" s="393">
        <f t="shared" si="123"/>
        <v>7.9091552452395124</v>
      </c>
      <c r="E368" s="385">
        <f t="shared" si="145"/>
        <v>8.453007716204171</v>
      </c>
      <c r="F368" s="385">
        <f t="shared" si="124"/>
        <v>8.4530878131602272</v>
      </c>
      <c r="G368" s="110">
        <f t="shared" si="146"/>
        <v>0.31341187813640753</v>
      </c>
      <c r="H368" s="414" t="b">
        <f>Wh_hp&gt;='2018'!Maxi_hp</f>
        <v>0</v>
      </c>
      <c r="I368" s="390">
        <f>IF(H368,Wh_hp,'2018'!Maxi_hp)</f>
        <v>15.88531155636926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1.253676810797133E-2</v>
      </c>
      <c r="M368" s="959"/>
      <c r="N368" s="959"/>
      <c r="O368" s="48">
        <f>IF(t&lt;Tnet,'2018'!Resal+('2018'!Salim-'2018'!Resal)*(1-EXP(('2018'!Tnet-t)/('2018'!Tau_j))),Resal+(Salim-Resal)*(1-EXP((Tnet-t)/(Tau_j))))*Salcycl</f>
        <v>6.4338338402567502E-2</v>
      </c>
      <c r="P368" s="169">
        <f>(INDEX(Models!$BJ368:$BT368,,T368)*(1-R368)+INDEX(Models!$BJ368:$BT368,,T368+1)*R368-ERP_i)*Q368*Ramure*Pc/MaxiM</f>
        <v>4.8906499783056198E-4</v>
      </c>
      <c r="Q368" s="305">
        <f t="shared" si="126"/>
        <v>0.7</v>
      </c>
      <c r="R368" s="177">
        <f t="shared" si="127"/>
        <v>2.3513228532112684E-5</v>
      </c>
      <c r="S368" s="921">
        <f t="shared" si="128"/>
        <v>-1</v>
      </c>
      <c r="T368" s="176">
        <f t="shared" si="129"/>
        <v>5</v>
      </c>
      <c r="U368" s="251">
        <f t="shared" si="130"/>
        <v>-0.99997648677146789</v>
      </c>
      <c r="V368" s="383">
        <f t="shared" si="131"/>
        <v>24.907334133891375</v>
      </c>
      <c r="W368" s="58"/>
      <c r="X368" s="157">
        <f t="shared" si="132"/>
        <v>43819</v>
      </c>
      <c r="Y368" s="385">
        <f t="shared" si="133"/>
        <v>7.81</v>
      </c>
      <c r="Z368" s="385">
        <f t="shared" si="134"/>
        <v>7.9091552452395124</v>
      </c>
      <c r="AA368" s="386">
        <f t="shared" si="135"/>
        <v>8.453007716204171</v>
      </c>
      <c r="AB368" s="197">
        <f t="shared" si="136"/>
        <v>43819</v>
      </c>
      <c r="AC368" s="427">
        <f>IF(OR(t&lt;Tnet,NoTnet),'2018'!Resal_s+('2018'!Salim-'2018'!Resal_s)*(1-EXP(('2018'!Tnet_s-t)/'2018'!Tau_j)),Resal_s+(Salim-Resal_s)*(1-EXP((Tnet_s-t)/Tau_j)))*Salcycl</f>
        <v>6.4338338402567502E-2</v>
      </c>
      <c r="AD368" s="231">
        <f>(INDEX(Models!$BJ368:$BT368,,AH368)*(1-AF368)+INDEX(Models!$BJ368:$BT368,,AH368+1)*AF368-ERP_i)*AE368*Ramure*Pc/MaxiM</f>
        <v>4.8906499783056198E-4</v>
      </c>
      <c r="AE368" s="305">
        <f t="shared" si="137"/>
        <v>0.7</v>
      </c>
      <c r="AF368" s="177">
        <f t="shared" si="138"/>
        <v>2.3513228532112684E-5</v>
      </c>
      <c r="AG368" s="176">
        <f t="shared" si="139"/>
        <v>-1</v>
      </c>
      <c r="AH368" s="176">
        <f t="shared" si="140"/>
        <v>5</v>
      </c>
      <c r="AI368" s="225">
        <f t="shared" si="141"/>
        <v>-0.99997648677146789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20">
        <v>20.875</v>
      </c>
      <c r="C369" s="390"/>
      <c r="D369" s="393">
        <f t="shared" si="123"/>
        <v>21.140490655120683</v>
      </c>
      <c r="E369" s="385">
        <f t="shared" si="145"/>
        <v>22.596092687171399</v>
      </c>
      <c r="F369" s="385">
        <f t="shared" si="124"/>
        <v>22.604541758183334</v>
      </c>
      <c r="G369" s="110">
        <f t="shared" si="146"/>
        <v>0.83618098726725931</v>
      </c>
      <c r="H369" s="414" t="b">
        <f>Wh_hp&gt;='2018'!Maxi_hp</f>
        <v>1</v>
      </c>
      <c r="I369" s="390">
        <f>IF(H369,Wh_hp,'2018'!Maxi_hp)</f>
        <v>22.604541758183334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1.2558396087007373E-2</v>
      </c>
      <c r="M369" s="959"/>
      <c r="N369" s="959"/>
      <c r="O369" s="48">
        <f>IF(t&lt;Tnet,'2018'!Resal+('2018'!Salim-'2018'!Resal)*(1-EXP(('2018'!Tnet-t)/('2018'!Tau_j))),Resal+(Salim-Resal)*(1-EXP((Tnet-t)/(Tau_j))))*Salcycl</f>
        <v>6.4418306837496372E-2</v>
      </c>
      <c r="P369" s="169">
        <f>(INDEX(Models!$BJ369:$BT369,,T369)*(1-R369)+INDEX(Models!$BJ369:$BT369,,T369+1)*R369-ERP_i)*Q369*Ramure*Pc/MaxiM</f>
        <v>4.8789072778546898E-4</v>
      </c>
      <c r="Q369" s="305">
        <f t="shared" si="126"/>
        <v>0.7</v>
      </c>
      <c r="R369" s="177">
        <f t="shared" si="127"/>
        <v>3.075271311903105E-5</v>
      </c>
      <c r="S369" s="921">
        <f t="shared" si="128"/>
        <v>-1</v>
      </c>
      <c r="T369" s="176">
        <f t="shared" si="129"/>
        <v>5</v>
      </c>
      <c r="U369" s="251">
        <f t="shared" si="130"/>
        <v>-0.99996924728688097</v>
      </c>
      <c r="V369" s="383">
        <f t="shared" si="131"/>
        <v>24.961841174636646</v>
      </c>
      <c r="W369" s="58"/>
      <c r="X369" s="157">
        <f t="shared" si="132"/>
        <v>43820</v>
      </c>
      <c r="Y369" s="385">
        <f t="shared" si="133"/>
        <v>20.875</v>
      </c>
      <c r="Z369" s="385">
        <f t="shared" si="134"/>
        <v>21.140490655120683</v>
      </c>
      <c r="AA369" s="386">
        <f t="shared" si="135"/>
        <v>22.596092687171399</v>
      </c>
      <c r="AB369" s="197">
        <f t="shared" si="136"/>
        <v>43820</v>
      </c>
      <c r="AC369" s="427">
        <f>IF(OR(t&lt;Tnet,NoTnet),'2018'!Resal_s+('2018'!Salim-'2018'!Resal_s)*(1-EXP(('2018'!Tnet_s-t)/'2018'!Tau_j)),Resal_s+(Salim-Resal_s)*(1-EXP((Tnet_s-t)/Tau_j)))*Salcycl</f>
        <v>6.4418306837496372E-2</v>
      </c>
      <c r="AD369" s="231">
        <f>(INDEX(Models!$BJ369:$BT369,,AH369)*(1-AF369)+INDEX(Models!$BJ369:$BT369,,AH369+1)*AF369-ERP_i)*AE369*Ramure*Pc/MaxiM</f>
        <v>4.8789072778546898E-4</v>
      </c>
      <c r="AE369" s="305">
        <f t="shared" si="137"/>
        <v>0.7</v>
      </c>
      <c r="AF369" s="177">
        <f t="shared" si="138"/>
        <v>3.075271311903105E-5</v>
      </c>
      <c r="AG369" s="176">
        <f t="shared" si="139"/>
        <v>-1</v>
      </c>
      <c r="AH369" s="176">
        <f t="shared" si="140"/>
        <v>5</v>
      </c>
      <c r="AI369" s="225">
        <f t="shared" si="141"/>
        <v>-0.99996924728688097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20">
        <v>6.3310000000000004</v>
      </c>
      <c r="C370" s="390"/>
      <c r="D370" s="393">
        <f t="shared" si="123"/>
        <v>6.411658819211687</v>
      </c>
      <c r="E370" s="385">
        <f t="shared" si="145"/>
        <v>6.8537113101289897</v>
      </c>
      <c r="F370" s="385">
        <f t="shared" si="124"/>
        <v>6.8537113101289897</v>
      </c>
      <c r="G370" s="110">
        <f t="shared" si="146"/>
        <v>0.25284598436861927</v>
      </c>
      <c r="H370" s="414" t="b">
        <f>Wh_hp&gt;='2018'!Maxi_hp</f>
        <v>0</v>
      </c>
      <c r="I370" s="390">
        <f>IF(H370,Wh_hp,'2018'!Maxi_hp)</f>
        <v>7.1650503790916655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1.2580023592335121E-2</v>
      </c>
      <c r="M370" s="959"/>
      <c r="N370" s="959"/>
      <c r="O370" s="48">
        <f>IF(t&lt;Tnet,'2018'!Resal+('2018'!Salim-'2018'!Resal)*(1-EXP(('2018'!Tnet-t)/('2018'!Tau_j))),Resal+(Salim-Resal)*(1-EXP((Tnet-t)/(Tau_j))))*Salcycl</f>
        <v>6.4498265379809641E-2</v>
      </c>
      <c r="P370" s="169">
        <f>(INDEX(Models!$BJ370:$BT370,,T370)*(1-R370)+INDEX(Models!$BJ370:$BT370,,T370+1)*R370-ERP_i)*Q370*Ramure*Pc/MaxiM</f>
        <v>4.8613855694627198E-4</v>
      </c>
      <c r="Q370" s="305">
        <f t="shared" si="126"/>
        <v>0.7</v>
      </c>
      <c r="R370" s="177">
        <f t="shared" si="127"/>
        <v>3.7700911916349611E-5</v>
      </c>
      <c r="S370" s="921">
        <f t="shared" si="128"/>
        <v>-1</v>
      </c>
      <c r="T370" s="176">
        <f t="shared" si="129"/>
        <v>5</v>
      </c>
      <c r="U370" s="251">
        <f t="shared" si="130"/>
        <v>-0.99996229908808365</v>
      </c>
      <c r="V370" s="383">
        <f t="shared" si="131"/>
        <v>25.02678566399781</v>
      </c>
      <c r="W370" s="58"/>
      <c r="X370" s="157">
        <f t="shared" si="132"/>
        <v>43821</v>
      </c>
      <c r="Y370" s="385">
        <f t="shared" si="133"/>
        <v>6.3310000000000004</v>
      </c>
      <c r="Z370" s="385">
        <f t="shared" si="134"/>
        <v>6.411658819211687</v>
      </c>
      <c r="AA370" s="386">
        <f t="shared" si="135"/>
        <v>6.8537113101289897</v>
      </c>
      <c r="AB370" s="197">
        <f t="shared" si="136"/>
        <v>43821</v>
      </c>
      <c r="AC370" s="427">
        <f>IF(OR(t&lt;Tnet,NoTnet),'2018'!Resal_s+('2018'!Salim-'2018'!Resal_s)*(1-EXP(('2018'!Tnet_s-t)/'2018'!Tau_j)),Resal_s+(Salim-Resal_s)*(1-EXP((Tnet_s-t)/Tau_j)))*Salcycl</f>
        <v>6.4498265379809641E-2</v>
      </c>
      <c r="AD370" s="231">
        <f>(INDEX(Models!$BJ370:$BT370,,AH370)*(1-AF370)+INDEX(Models!$BJ370:$BT370,,AH370+1)*AF370-ERP_i)*AE370*Ramure*Pc/MaxiM</f>
        <v>4.8613855694627198E-4</v>
      </c>
      <c r="AE370" s="305">
        <f t="shared" si="137"/>
        <v>0.7</v>
      </c>
      <c r="AF370" s="177">
        <f t="shared" si="138"/>
        <v>3.7700911916349611E-5</v>
      </c>
      <c r="AG370" s="176">
        <f t="shared" si="139"/>
        <v>-1</v>
      </c>
      <c r="AH370" s="176">
        <f t="shared" si="140"/>
        <v>5</v>
      </c>
      <c r="AI370" s="225">
        <f t="shared" si="141"/>
        <v>-0.99996229908808365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20">
        <v>7.008</v>
      </c>
      <c r="C371" s="390"/>
      <c r="D371" s="393">
        <f t="shared" si="123"/>
        <v>7.0974394523026634</v>
      </c>
      <c r="E371" s="385">
        <f t="shared" si="145"/>
        <v>7.5874213238741071</v>
      </c>
      <c r="F371" s="385">
        <f t="shared" si="124"/>
        <v>7.5874213238741071</v>
      </c>
      <c r="G371" s="110">
        <f t="shared" si="146"/>
        <v>0.27904933665225828</v>
      </c>
      <c r="H371" s="414" t="b">
        <f>Wh_hp&gt;='2018'!Maxi_hp</f>
        <v>1</v>
      </c>
      <c r="I371" s="390">
        <f>IF(H371,Wh_hp,'2018'!Maxi_hp)</f>
        <v>7.5874213238741071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1.2601650623965011E-2</v>
      </c>
      <c r="M371" s="959"/>
      <c r="N371" s="959"/>
      <c r="O371" s="48">
        <f>IF(t&lt;Tnet,'2018'!Resal+('2018'!Salim-'2018'!Resal)*(1-EXP(('2018'!Tnet-t)/('2018'!Tau_j))),Resal+(Salim-Resal)*(1-EXP((Tnet-t)/(Tau_j))))*Salcycl</f>
        <v>6.45781815265348E-2</v>
      </c>
      <c r="P371" s="169">
        <f>(INDEX(Models!$BJ371:$BT371,,T371)*(1-R371)+INDEX(Models!$BJ371:$BT371,,T371+1)*R371-ERP_i)*Q371*Ramure*Pc/MaxiM</f>
        <v>4.8380766976852498E-4</v>
      </c>
      <c r="Q371" s="305">
        <f t="shared" si="126"/>
        <v>0.7</v>
      </c>
      <c r="R371" s="177">
        <f t="shared" si="127"/>
        <v>3.7700911916349611E-5</v>
      </c>
      <c r="S371" s="921">
        <f t="shared" si="128"/>
        <v>-1</v>
      </c>
      <c r="T371" s="176">
        <f t="shared" si="129"/>
        <v>5</v>
      </c>
      <c r="U371" s="251">
        <f t="shared" si="130"/>
        <v>-0.99996229908808365</v>
      </c>
      <c r="V371" s="383">
        <f t="shared" si="131"/>
        <v>25.101688324667712</v>
      </c>
      <c r="W371" s="58"/>
      <c r="X371" s="157">
        <f t="shared" si="132"/>
        <v>43822</v>
      </c>
      <c r="Y371" s="385">
        <f t="shared" si="133"/>
        <v>7.008</v>
      </c>
      <c r="Z371" s="385">
        <f t="shared" si="134"/>
        <v>7.0974394523026634</v>
      </c>
      <c r="AA371" s="386">
        <f t="shared" si="135"/>
        <v>7.5874213238741071</v>
      </c>
      <c r="AB371" s="197">
        <f t="shared" si="136"/>
        <v>43822</v>
      </c>
      <c r="AC371" s="427">
        <f>IF(OR(t&lt;Tnet,NoTnet),'2018'!Resal_s+('2018'!Salim-'2018'!Resal_s)*(1-EXP(('2018'!Tnet_s-t)/'2018'!Tau_j)),Resal_s+(Salim-Resal_s)*(1-EXP((Tnet_s-t)/Tau_j)))*Salcycl</f>
        <v>6.45781815265348E-2</v>
      </c>
      <c r="AD371" s="231">
        <f>(INDEX(Models!$BJ371:$BT371,,AH371)*(1-AF371)+INDEX(Models!$BJ371:$BT371,,AH371+1)*AF371-ERP_i)*AE371*Ramure*Pc/MaxiM</f>
        <v>4.8380766976852498E-4</v>
      </c>
      <c r="AE371" s="305">
        <f t="shared" si="137"/>
        <v>0.7</v>
      </c>
      <c r="AF371" s="177">
        <f t="shared" si="138"/>
        <v>3.7700911916349611E-5</v>
      </c>
      <c r="AG371" s="176">
        <f t="shared" si="139"/>
        <v>-1</v>
      </c>
      <c r="AH371" s="176">
        <f t="shared" si="140"/>
        <v>5</v>
      </c>
      <c r="AI371" s="225">
        <f t="shared" si="141"/>
        <v>-0.99996229908808365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20">
        <v>13.968999999999999</v>
      </c>
      <c r="C372" s="390"/>
      <c r="D372" s="393">
        <f t="shared" si="123"/>
        <v>14.147588936602419</v>
      </c>
      <c r="E372" s="385">
        <f t="shared" si="145"/>
        <v>15.125578983596634</v>
      </c>
      <c r="F372" s="385">
        <f t="shared" si="124"/>
        <v>15.128225557099897</v>
      </c>
      <c r="G372" s="110">
        <f t="shared" si="146"/>
        <v>0.55446226088680373</v>
      </c>
      <c r="H372" s="414" t="b">
        <f>Wh_hp&gt;='2018'!Maxi_hp</f>
        <v>1</v>
      </c>
      <c r="I372" s="390">
        <f>IF(H372,Wh_hp,'2018'!Maxi_hp)</f>
        <v>15.128225557099897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1.2623277181907477E-2</v>
      </c>
      <c r="M372" s="959"/>
      <c r="N372" s="959"/>
      <c r="O372" s="48">
        <f>IF(t&lt;Tnet,'2018'!Resal+('2018'!Salim-'2018'!Resal)*(1-EXP(('2018'!Tnet-t)/('2018'!Tau_j))),Resal+(Salim-Resal)*(1-EXP((Tnet-t)/(Tau_j))))*Salcycl</f>
        <v>6.465802387166962E-2</v>
      </c>
      <c r="P372" s="169">
        <f>(INDEX(Models!$BJ372:$BT372,,T372)*(1-R372)+INDEX(Models!$BJ372:$BT372,,T372+1)*R372-ERP_i)*Q372*Ramure*Pc/MaxiM</f>
        <v>4.8092906801744216E-4</v>
      </c>
      <c r="Q372" s="305">
        <f t="shared" si="126"/>
        <v>0.7</v>
      </c>
      <c r="R372" s="177">
        <f t="shared" si="127"/>
        <v>3.7700911916349611E-5</v>
      </c>
      <c r="S372" s="921">
        <f t="shared" si="128"/>
        <v>-1</v>
      </c>
      <c r="T372" s="176">
        <f t="shared" si="129"/>
        <v>5</v>
      </c>
      <c r="U372" s="251">
        <f t="shared" si="130"/>
        <v>-0.99996229908808365</v>
      </c>
      <c r="V372" s="383">
        <f t="shared" si="131"/>
        <v>25.186069304353058</v>
      </c>
      <c r="W372" s="58"/>
      <c r="X372" s="157">
        <f t="shared" si="132"/>
        <v>43823</v>
      </c>
      <c r="Y372" s="385">
        <f t="shared" si="133"/>
        <v>13.968999999999999</v>
      </c>
      <c r="Z372" s="385">
        <f t="shared" si="134"/>
        <v>14.147588936602419</v>
      </c>
      <c r="AA372" s="386">
        <f t="shared" si="135"/>
        <v>15.125578983596634</v>
      </c>
      <c r="AB372" s="197">
        <f t="shared" si="136"/>
        <v>43823</v>
      </c>
      <c r="AC372" s="427">
        <f>IF(OR(t&lt;Tnet,NoTnet),'2018'!Resal_s+('2018'!Salim-'2018'!Resal_s)*(1-EXP(('2018'!Tnet_s-t)/'2018'!Tau_j)),Resal_s+(Salim-Resal_s)*(1-EXP((Tnet_s-t)/Tau_j)))*Salcycl</f>
        <v>6.465802387166962E-2</v>
      </c>
      <c r="AD372" s="231">
        <f>(INDEX(Models!$BJ372:$BT372,,AH372)*(1-AF372)+INDEX(Models!$BJ372:$BT372,,AH372+1)*AF372-ERP_i)*AE372*Ramure*Pc/MaxiM</f>
        <v>4.8092906801744216E-4</v>
      </c>
      <c r="AE372" s="305">
        <f t="shared" si="137"/>
        <v>0.7</v>
      </c>
      <c r="AF372" s="177">
        <f t="shared" si="138"/>
        <v>3.7700911916349611E-5</v>
      </c>
      <c r="AG372" s="176">
        <f t="shared" si="139"/>
        <v>-1</v>
      </c>
      <c r="AH372" s="176">
        <f t="shared" si="140"/>
        <v>5</v>
      </c>
      <c r="AI372" s="225">
        <f t="shared" si="141"/>
        <v>-0.99996229908808365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20">
        <v>17.347999999999999</v>
      </c>
      <c r="C373" s="390"/>
      <c r="D373" s="393">
        <f t="shared" si="123"/>
        <v>17.570173139721685</v>
      </c>
      <c r="E373" s="385">
        <f t="shared" si="145"/>
        <v>18.786360050653638</v>
      </c>
      <c r="F373" s="385">
        <f t="shared" si="124"/>
        <v>18.791308820692279</v>
      </c>
      <c r="G373" s="110">
        <f t="shared" si="146"/>
        <v>0.68597826745996027</v>
      </c>
      <c r="H373" s="414" t="b">
        <f>Wh_hp&gt;='2018'!Maxi_hp</f>
        <v>1</v>
      </c>
      <c r="I373" s="390">
        <f>IF(H373,Wh_hp,'2018'!Maxi_hp)</f>
        <v>18.791308820692279</v>
      </c>
      <c r="J373" s="85">
        <f>IF(H373,An,'2018'!An_max)</f>
        <v>2019</v>
      </c>
      <c r="K373" s="197">
        <f t="shared" si="125"/>
        <v>43824</v>
      </c>
      <c r="L373" s="147">
        <f>IF(t&lt;Tvie,1-EXP((T0-t)*PertePVj)+'2018'!Pspv,1-EXP((T0-t)*PertePVj)+Pspv)</f>
        <v>1.2644903266172736E-2</v>
      </c>
      <c r="M373" s="959"/>
      <c r="N373" s="959"/>
      <c r="O373" s="48">
        <f>IF(t&lt;Tnet,'2018'!Resal+('2018'!Salim-'2018'!Resal)*(1-EXP(('2018'!Tnet-t)/('2018'!Tau_j))),Resal+(Salim-Resal)*(1-EXP((Tnet-t)/(Tau_j))))*Salcycl</f>
        <v>6.4737762272880389E-2</v>
      </c>
      <c r="P373" s="169">
        <f>(INDEX(Models!$BJ373:$BT373,,T373)*(1-R373)+INDEX(Models!$BJ373:$BT373,,T373+1)*R373-ERP_i)*Q373*Ramure*Pc/MaxiM</f>
        <v>4.7743048828488295E-4</v>
      </c>
      <c r="Q373" s="305">
        <f t="shared" si="126"/>
        <v>0.7</v>
      </c>
      <c r="R373" s="177">
        <f t="shared" si="127"/>
        <v>3.7700911916349611E-5</v>
      </c>
      <c r="S373" s="921">
        <f t="shared" si="128"/>
        <v>-1</v>
      </c>
      <c r="T373" s="176">
        <f t="shared" si="129"/>
        <v>5</v>
      </c>
      <c r="U373" s="251">
        <f t="shared" si="130"/>
        <v>-0.99996229908808365</v>
      </c>
      <c r="V373" s="383">
        <f t="shared" si="131"/>
        <v>25.284015615267236</v>
      </c>
      <c r="W373" s="58"/>
      <c r="X373" s="157">
        <f t="shared" si="132"/>
        <v>43824</v>
      </c>
      <c r="Y373" s="385">
        <f t="shared" si="133"/>
        <v>17.347999999999999</v>
      </c>
      <c r="Z373" s="385">
        <f t="shared" si="134"/>
        <v>17.570173139721685</v>
      </c>
      <c r="AA373" s="386">
        <f t="shared" si="135"/>
        <v>18.786360050653638</v>
      </c>
      <c r="AB373" s="197">
        <f t="shared" si="136"/>
        <v>43824</v>
      </c>
      <c r="AC373" s="427">
        <f>IF(OR(t&lt;Tnet,NoTnet),'2018'!Resal_s+('2018'!Salim-'2018'!Resal_s)*(1-EXP(('2018'!Tnet_s-t)/'2018'!Tau_j)),Resal_s+(Salim-Resal_s)*(1-EXP((Tnet_s-t)/Tau_j)))*Salcycl</f>
        <v>6.4737762272880389E-2</v>
      </c>
      <c r="AD373" s="231">
        <f>(INDEX(Models!$BJ373:$BT373,,AH373)*(1-AF373)+INDEX(Models!$BJ373:$BT373,,AH373+1)*AF373-ERP_i)*AE373*Ramure*Pc/MaxiM</f>
        <v>4.7743048828488295E-4</v>
      </c>
      <c r="AE373" s="305">
        <f t="shared" si="137"/>
        <v>0.7</v>
      </c>
      <c r="AF373" s="177">
        <f t="shared" si="138"/>
        <v>3.7700911916349611E-5</v>
      </c>
      <c r="AG373" s="176">
        <f t="shared" si="139"/>
        <v>-1</v>
      </c>
      <c r="AH373" s="176">
        <f t="shared" si="140"/>
        <v>5</v>
      </c>
      <c r="AI373" s="225">
        <f t="shared" si="141"/>
        <v>-0.99996229908808365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20">
        <v>6.2350000000000003</v>
      </c>
      <c r="C374" s="390"/>
      <c r="D374" s="393">
        <f t="shared" si="123"/>
        <v>6.314988990403438</v>
      </c>
      <c r="E374" s="385">
        <f t="shared" si="145"/>
        <v>6.7526799304494727</v>
      </c>
      <c r="F374" s="385">
        <f t="shared" si="124"/>
        <v>6.7526799304494727</v>
      </c>
      <c r="G374" s="110">
        <f t="shared" si="146"/>
        <v>0.24536625030493048</v>
      </c>
      <c r="H374" s="414" t="b">
        <f>Wh_hp&gt;='2018'!Maxi_hp</f>
        <v>0</v>
      </c>
      <c r="I374" s="390">
        <f>IF(H374,Wh_hp,'2018'!Maxi_hp)</f>
        <v>26.329619230701343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1.2666528876771221E-2</v>
      </c>
      <c r="M374" s="959"/>
      <c r="N374" s="959"/>
      <c r="O374" s="48">
        <f>IF(t&lt;Tnet,'2018'!Resal+('2018'!Salim-'2018'!Resal)*(1-EXP(('2018'!Tnet-t)/('2018'!Tau_j))),Resal+(Salim-Resal)*(1-EXP((Tnet-t)/(Tau_j))))*Salcycl</f>
        <v>6.4817368001166442E-2</v>
      </c>
      <c r="P374" s="169">
        <f>(INDEX(Models!$BJ374:$BT374,,T374)*(1-R374)+INDEX(Models!$BJ374:$BT374,,T374+1)*R374-ERP_i)*Q374*Ramure*Pc/MaxiM</f>
        <v>4.7325675568670459E-4</v>
      </c>
      <c r="Q374" s="305">
        <f t="shared" si="126"/>
        <v>0.7</v>
      </c>
      <c r="R374" s="177">
        <f t="shared" si="127"/>
        <v>3.7700911916349611E-5</v>
      </c>
      <c r="S374" s="921">
        <f t="shared" si="128"/>
        <v>-1</v>
      </c>
      <c r="T374" s="176">
        <f t="shared" si="129"/>
        <v>5</v>
      </c>
      <c r="U374" s="251">
        <f t="shared" si="130"/>
        <v>-0.99996229908808365</v>
      </c>
      <c r="V374" s="383">
        <f t="shared" si="131"/>
        <v>25.398966795080316</v>
      </c>
      <c r="W374" s="58"/>
      <c r="X374" s="157">
        <f t="shared" si="132"/>
        <v>43825</v>
      </c>
      <c r="Y374" s="385">
        <f t="shared" si="133"/>
        <v>6.2350000000000003</v>
      </c>
      <c r="Z374" s="385">
        <f t="shared" si="134"/>
        <v>6.314988990403438</v>
      </c>
      <c r="AA374" s="386">
        <f t="shared" si="135"/>
        <v>6.7526799304494727</v>
      </c>
      <c r="AB374" s="197">
        <f t="shared" si="136"/>
        <v>43825</v>
      </c>
      <c r="AC374" s="427">
        <f>IF(OR(t&lt;Tnet,NoTnet),'2018'!Resal_s+('2018'!Salim-'2018'!Resal_s)*(1-EXP(('2018'!Tnet_s-t)/'2018'!Tau_j)),Resal_s+(Salim-Resal_s)*(1-EXP((Tnet_s-t)/Tau_j)))*Salcycl</f>
        <v>6.4817368001166442E-2</v>
      </c>
      <c r="AD374" s="231">
        <f>(INDEX(Models!$BJ374:$BT374,,AH374)*(1-AF374)+INDEX(Models!$BJ374:$BT374,,AH374+1)*AF374-ERP_i)*AE374*Ramure*Pc/MaxiM</f>
        <v>4.7325675568670459E-4</v>
      </c>
      <c r="AE374" s="305">
        <f t="shared" si="137"/>
        <v>0.7</v>
      </c>
      <c r="AF374" s="177">
        <f t="shared" si="138"/>
        <v>3.7700911916349611E-5</v>
      </c>
      <c r="AG374" s="176">
        <f t="shared" si="139"/>
        <v>-1</v>
      </c>
      <c r="AH374" s="176">
        <f t="shared" si="140"/>
        <v>5</v>
      </c>
      <c r="AI374" s="225">
        <f t="shared" si="141"/>
        <v>-0.99996229908808365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20">
        <v>22.507999999999999</v>
      </c>
      <c r="C375" s="390"/>
      <c r="D375" s="393">
        <f t="shared" si="123"/>
        <v>22.797255083590507</v>
      </c>
      <c r="E375" s="385">
        <f t="shared" si="145"/>
        <v>24.379400500178683</v>
      </c>
      <c r="F375" s="385">
        <f t="shared" si="124"/>
        <v>24.388897989478146</v>
      </c>
      <c r="G375" s="110">
        <f t="shared" si="146"/>
        <v>0.88157795825984164</v>
      </c>
      <c r="H375" s="414" t="b">
        <f>Wh_hp&gt;='2018'!Maxi_hp</f>
        <v>0</v>
      </c>
      <c r="I375" s="390">
        <f>IF(H375,Wh_hp,'2018'!Maxi_hp)</f>
        <v>27.615988001355355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1.2688154013713371E-2</v>
      </c>
      <c r="M375" s="959"/>
      <c r="N375" s="959"/>
      <c r="O375" s="48">
        <f>IF(t&lt;Tnet,'2018'!Resal+('2018'!Salim-'2018'!Resal)*(1-EXP(('2018'!Tnet-t)/('2018'!Tau_j))),Resal+(Salim-Resal)*(1-EXP((Tnet-t)/(Tau_j))))*Salcycl</f>
        <v>6.489681387270281E-2</v>
      </c>
      <c r="P375" s="169">
        <f>(INDEX(Models!$BJ375:$BT375,,T375)*(1-R375)+INDEX(Models!$BJ375:$BT375,,T375+1)*R375-ERP_i)*Q375*Ramure*Pc/MaxiM</f>
        <v>4.6865639994258959E-4</v>
      </c>
      <c r="Q375" s="305">
        <f t="shared" si="126"/>
        <v>0.7</v>
      </c>
      <c r="R375" s="177">
        <f t="shared" si="127"/>
        <v>3.7700911916349611E-5</v>
      </c>
      <c r="S375" s="921">
        <f t="shared" si="128"/>
        <v>-1</v>
      </c>
      <c r="T375" s="176">
        <f t="shared" si="129"/>
        <v>5</v>
      </c>
      <c r="U375" s="251">
        <f t="shared" si="130"/>
        <v>-0.99996229908808365</v>
      </c>
      <c r="V375" s="383">
        <f t="shared" si="131"/>
        <v>25.529467483639863</v>
      </c>
      <c r="W375" s="58"/>
      <c r="X375" s="157">
        <f t="shared" si="132"/>
        <v>43826</v>
      </c>
      <c r="Y375" s="385">
        <f t="shared" si="133"/>
        <v>22.507999999999999</v>
      </c>
      <c r="Z375" s="385">
        <f t="shared" si="134"/>
        <v>22.797255083590507</v>
      </c>
      <c r="AA375" s="386">
        <f t="shared" si="135"/>
        <v>24.379400500178683</v>
      </c>
      <c r="AB375" s="197">
        <f t="shared" si="136"/>
        <v>43826</v>
      </c>
      <c r="AC375" s="427">
        <f>IF(OR(t&lt;Tnet,NoTnet),'2018'!Resal_s+('2018'!Salim-'2018'!Resal_s)*(1-EXP(('2018'!Tnet_s-t)/'2018'!Tau_j)),Resal_s+(Salim-Resal_s)*(1-EXP((Tnet_s-t)/Tau_j)))*Salcycl</f>
        <v>6.489681387270281E-2</v>
      </c>
      <c r="AD375" s="231">
        <f>(INDEX(Models!$BJ375:$BT375,,AH375)*(1-AF375)+INDEX(Models!$BJ375:$BT375,,AH375+1)*AF375-ERP_i)*AE375*Ramure*Pc/MaxiM</f>
        <v>4.6865639994258959E-4</v>
      </c>
      <c r="AE375" s="305">
        <f t="shared" si="137"/>
        <v>0.7</v>
      </c>
      <c r="AF375" s="177">
        <f t="shared" si="138"/>
        <v>3.7700911916349611E-5</v>
      </c>
      <c r="AG375" s="176">
        <f t="shared" si="139"/>
        <v>-1</v>
      </c>
      <c r="AH375" s="176">
        <f t="shared" si="140"/>
        <v>5</v>
      </c>
      <c r="AI375" s="225">
        <f t="shared" si="141"/>
        <v>-0.99996229908808365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20">
        <v>3.6709999999999998</v>
      </c>
      <c r="C376" s="390"/>
      <c r="D376" s="393">
        <f t="shared" si="123"/>
        <v>3.7182582392852832</v>
      </c>
      <c r="E376" s="385">
        <f t="shared" si="145"/>
        <v>3.9766450219433267</v>
      </c>
      <c r="F376" s="385">
        <f t="shared" si="124"/>
        <v>3.9766450219433267</v>
      </c>
      <c r="G376" s="110">
        <f t="shared" si="146"/>
        <v>0.14291844379274957</v>
      </c>
      <c r="H376" s="414" t="b">
        <f>Wh_hp&gt;='2018'!Maxi_hp</f>
        <v>1</v>
      </c>
      <c r="I376" s="390">
        <f>IF(H376,Wh_hp,'2018'!Maxi_hp)</f>
        <v>3.9766450219433267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1.270977867700962E-2</v>
      </c>
      <c r="M376" s="959"/>
      <c r="N376" s="959"/>
      <c r="O376" s="48">
        <f>IF(t&lt;Tnet,'2018'!Resal+('2018'!Salim-'2018'!Resal)*(1-EXP(('2018'!Tnet-t)/('2018'!Tau_j))),Resal+(Salim-Resal)*(1-EXP((Tnet-t)/(Tau_j))))*Salcycl</f>
        <v>6.4976074362245576E-2</v>
      </c>
      <c r="P376" s="169">
        <f>(INDEX(Models!$BJ376:$BT376,,T376)*(1-R376)+INDEX(Models!$BJ376:$BT376,,T376+1)*R376-ERP_i)*Q376*Ramure*Pc/MaxiM</f>
        <v>4.6387986211499235E-4</v>
      </c>
      <c r="Q376" s="305">
        <f t="shared" si="126"/>
        <v>0.7</v>
      </c>
      <c r="R376" s="177">
        <f t="shared" si="127"/>
        <v>3.7700911916349611E-5</v>
      </c>
      <c r="S376" s="921">
        <f t="shared" si="128"/>
        <v>-1</v>
      </c>
      <c r="T376" s="176">
        <f t="shared" si="129"/>
        <v>5</v>
      </c>
      <c r="U376" s="251">
        <f t="shared" si="130"/>
        <v>-0.99996229908808365</v>
      </c>
      <c r="V376" s="383">
        <f t="shared" si="131"/>
        <v>25.674062770702545</v>
      </c>
      <c r="W376" s="58"/>
      <c r="X376" s="157">
        <f t="shared" si="132"/>
        <v>43827</v>
      </c>
      <c r="Y376" s="385">
        <f t="shared" si="133"/>
        <v>3.6709999999999998</v>
      </c>
      <c r="Z376" s="385">
        <f t="shared" si="134"/>
        <v>3.7182582392852832</v>
      </c>
      <c r="AA376" s="386">
        <f t="shared" si="135"/>
        <v>3.9766450219433267</v>
      </c>
      <c r="AB376" s="197">
        <f t="shared" si="136"/>
        <v>43827</v>
      </c>
      <c r="AC376" s="427">
        <f>IF(OR(t&lt;Tnet,NoTnet),'2018'!Resal_s+('2018'!Salim-'2018'!Resal_s)*(1-EXP(('2018'!Tnet_s-t)/'2018'!Tau_j)),Resal_s+(Salim-Resal_s)*(1-EXP((Tnet_s-t)/Tau_j)))*Salcycl</f>
        <v>6.4976074362245576E-2</v>
      </c>
      <c r="AD376" s="231">
        <f>(INDEX(Models!$BJ376:$BT376,,AH376)*(1-AF376)+INDEX(Models!$BJ376:$BT376,,AH376+1)*AF376-ERP_i)*AE376*Ramure*Pc/MaxiM</f>
        <v>4.6387986211499235E-4</v>
      </c>
      <c r="AE376" s="305">
        <f t="shared" si="137"/>
        <v>0.7</v>
      </c>
      <c r="AF376" s="177">
        <f t="shared" si="138"/>
        <v>3.7700911916349611E-5</v>
      </c>
      <c r="AG376" s="176">
        <f t="shared" si="139"/>
        <v>-1</v>
      </c>
      <c r="AH376" s="176">
        <f t="shared" si="140"/>
        <v>5</v>
      </c>
      <c r="AI376" s="225">
        <f t="shared" si="141"/>
        <v>-0.99996229908808365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20">
        <v>25.116</v>
      </c>
      <c r="C377" s="390"/>
      <c r="D377" s="393">
        <f t="shared" si="123"/>
        <v>25.439885430295014</v>
      </c>
      <c r="E377" s="385">
        <f t="shared" si="145"/>
        <v>27.2100378637601</v>
      </c>
      <c r="F377" s="385">
        <f t="shared" si="124"/>
        <v>27.222037432287717</v>
      </c>
      <c r="G377" s="110">
        <f t="shared" si="146"/>
        <v>0.97229098295402083</v>
      </c>
      <c r="H377" s="414" t="b">
        <f>Wh_hp&gt;='2018'!Maxi_hp</f>
        <v>1</v>
      </c>
      <c r="I377" s="390">
        <f>IF(H377,Wh_hp,'2018'!Maxi_hp)</f>
        <v>27.222037432287717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1.2731402866670072E-2</v>
      </c>
      <c r="M377" s="959"/>
      <c r="N377" s="959"/>
      <c r="O377" s="48">
        <f>IF(t&lt;Tnet,'2018'!Resal+('2018'!Salim-'2018'!Resal)*(1-EXP(('2018'!Tnet-t)/('2018'!Tau_j))),Resal+(Salim-Resal)*(1-EXP((Tnet-t)/(Tau_j))))*Salcycl</f>
        <v>6.5055125697663113E-2</v>
      </c>
      <c r="P377" s="169">
        <f>(INDEX(Models!$BJ377:$BT377,,T377)*(1-R377)+INDEX(Models!$BJ377:$BT377,,T377+1)*R377-ERP_i)*Q377*Ramure*Pc/MaxiM</f>
        <v>4.5895948372802649E-4</v>
      </c>
      <c r="Q377" s="305">
        <f t="shared" si="126"/>
        <v>0.7</v>
      </c>
      <c r="R377" s="177">
        <f t="shared" si="127"/>
        <v>3.7700911916349611E-5</v>
      </c>
      <c r="S377" s="921">
        <f t="shared" si="128"/>
        <v>-1</v>
      </c>
      <c r="T377" s="176">
        <f t="shared" si="129"/>
        <v>5</v>
      </c>
      <c r="U377" s="251">
        <f t="shared" si="130"/>
        <v>-0.99996229908808365</v>
      </c>
      <c r="V377" s="383">
        <f t="shared" si="131"/>
        <v>25.831303830592631</v>
      </c>
      <c r="W377" s="58"/>
      <c r="X377" s="157">
        <f t="shared" si="132"/>
        <v>43828</v>
      </c>
      <c r="Y377" s="385">
        <f t="shared" si="133"/>
        <v>25.116</v>
      </c>
      <c r="Z377" s="385">
        <f t="shared" si="134"/>
        <v>25.439885430295014</v>
      </c>
      <c r="AA377" s="386">
        <f t="shared" si="135"/>
        <v>27.2100378637601</v>
      </c>
      <c r="AB377" s="197">
        <f t="shared" si="136"/>
        <v>43828</v>
      </c>
      <c r="AC377" s="427">
        <f>IF(OR(t&lt;Tnet,NoTnet),'2018'!Resal_s+('2018'!Salim-'2018'!Resal_s)*(1-EXP(('2018'!Tnet_s-t)/'2018'!Tau_j)),Resal_s+(Salim-Resal_s)*(1-EXP((Tnet_s-t)/Tau_j)))*Salcycl</f>
        <v>6.5055125697663113E-2</v>
      </c>
      <c r="AD377" s="231">
        <f>(INDEX(Models!$BJ377:$BT377,,AH377)*(1-AF377)+INDEX(Models!$BJ377:$BT377,,AH377+1)*AF377-ERP_i)*AE377*Ramure*Pc/MaxiM</f>
        <v>4.5895948372802649E-4</v>
      </c>
      <c r="AE377" s="305">
        <f t="shared" si="137"/>
        <v>0.7</v>
      </c>
      <c r="AF377" s="177">
        <f t="shared" si="138"/>
        <v>3.7700911916349611E-5</v>
      </c>
      <c r="AG377" s="176">
        <f t="shared" si="139"/>
        <v>-1</v>
      </c>
      <c r="AH377" s="176">
        <f t="shared" si="140"/>
        <v>5</v>
      </c>
      <c r="AI377" s="225">
        <f t="shared" si="141"/>
        <v>-0.99996229908808365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20">
        <v>25.632000000000001</v>
      </c>
      <c r="C378" s="390"/>
      <c r="D378" s="393">
        <f t="shared" si="123"/>
        <v>25.963108209161089</v>
      </c>
      <c r="E378" s="385">
        <f t="shared" si="145"/>
        <v>27.77200872389917</v>
      </c>
      <c r="F378" s="385">
        <f t="shared" si="124"/>
        <v>27.784365944966957</v>
      </c>
      <c r="G378" s="110">
        <f t="shared" si="146"/>
        <v>0.9858468738740408</v>
      </c>
      <c r="H378" s="414" t="b">
        <f>Wh_hp&gt;='2018'!Maxi_hp</f>
        <v>1</v>
      </c>
      <c r="I378" s="390">
        <f>IF(H378,Wh_hp,'2018'!Maxi_hp)</f>
        <v>27.784365944966957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1.2753026582705385E-2</v>
      </c>
      <c r="M378" s="959"/>
      <c r="N378" s="959"/>
      <c r="O378" s="48">
        <f>IF(t&lt;Tnet,'2018'!Resal+('2018'!Salim-'2018'!Resal)*(1-EXP(('2018'!Tnet-t)/('2018'!Tau_j))),Resal+(Salim-Resal)*(1-EXP((Tnet-t)/(Tau_j))))*Salcycl</f>
        <v>6.5133945935334267E-2</v>
      </c>
      <c r="P378" s="169">
        <f>(INDEX(Models!$BJ378:$BT378,,T378)*(1-R378)+INDEX(Models!$BJ378:$BT378,,T378+1)*R378-ERP_i)*Q378*Ramure*Pc/MaxiM</f>
        <v>4.5392643385776287E-4</v>
      </c>
      <c r="Q378" s="305">
        <f t="shared" si="126"/>
        <v>0.7</v>
      </c>
      <c r="R378" s="177">
        <f t="shared" si="127"/>
        <v>3.7700911916349611E-5</v>
      </c>
      <c r="S378" s="921">
        <f t="shared" si="128"/>
        <v>-1</v>
      </c>
      <c r="T378" s="176">
        <f t="shared" si="129"/>
        <v>5</v>
      </c>
      <c r="U378" s="251">
        <f t="shared" si="130"/>
        <v>-0.99996229908808365</v>
      </c>
      <c r="V378" s="383">
        <f t="shared" si="131"/>
        <v>25.999742433630178</v>
      </c>
      <c r="W378" s="58"/>
      <c r="X378" s="157">
        <f t="shared" si="132"/>
        <v>43829</v>
      </c>
      <c r="Y378" s="385">
        <f t="shared" si="133"/>
        <v>25.632000000000001</v>
      </c>
      <c r="Z378" s="385">
        <f t="shared" si="134"/>
        <v>25.963108209161089</v>
      </c>
      <c r="AA378" s="386">
        <f t="shared" si="135"/>
        <v>27.77200872389917</v>
      </c>
      <c r="AB378" s="197">
        <f t="shared" si="136"/>
        <v>43829</v>
      </c>
      <c r="AC378" s="427">
        <f>IF(OR(t&lt;Tnet,NoTnet),'2018'!Resal_s+('2018'!Salim-'2018'!Resal_s)*(1-EXP(('2018'!Tnet_s-t)/'2018'!Tau_j)),Resal_s+(Salim-Resal_s)*(1-EXP((Tnet_s-t)/Tau_j)))*Salcycl</f>
        <v>6.5133945935334267E-2</v>
      </c>
      <c r="AD378" s="231">
        <f>(INDEX(Models!$BJ378:$BT378,,AH378)*(1-AF378)+INDEX(Models!$BJ378:$BT378,,AH378+1)*AF378-ERP_i)*AE378*Ramure*Pc/MaxiM</f>
        <v>4.5392643385776287E-4</v>
      </c>
      <c r="AE378" s="305">
        <f t="shared" si="137"/>
        <v>0.7</v>
      </c>
      <c r="AF378" s="177">
        <f t="shared" si="138"/>
        <v>3.7700911916349611E-5</v>
      </c>
      <c r="AG378" s="176">
        <f t="shared" si="139"/>
        <v>-1</v>
      </c>
      <c r="AH378" s="176">
        <f t="shared" si="140"/>
        <v>5</v>
      </c>
      <c r="AI378" s="225">
        <f t="shared" si="141"/>
        <v>-0.99996229908808365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20">
        <v>15.1</v>
      </c>
      <c r="C379" s="390"/>
      <c r="D379" s="393">
        <f t="shared" si="123"/>
        <v>15.295393293258961</v>
      </c>
      <c r="E379" s="385">
        <f t="shared" si="145"/>
        <v>16.362428401067238</v>
      </c>
      <c r="F379" s="385">
        <f t="shared" si="124"/>
        <v>16.365333025997142</v>
      </c>
      <c r="G379" s="110">
        <f t="shared" si="146"/>
        <v>0.57666521912167801</v>
      </c>
      <c r="H379" s="414" t="b">
        <f>Wh_hp&gt;='2018'!Maxi_hp</f>
        <v>1</v>
      </c>
      <c r="I379" s="390">
        <f>IF(H379,Wh_hp,'2018'!Maxi_hp)</f>
        <v>16.365333025997142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1.2774649825125772E-2</v>
      </c>
      <c r="M379" s="959"/>
      <c r="N379" s="959"/>
      <c r="O379" s="48">
        <f>IF(t&lt;Tnet,'2018'!Resal+('2018'!Salim-'2018'!Resal)*(1-EXP(('2018'!Tnet-t)/('2018'!Tau_j))),Resal+(Salim-Resal)*(1-EXP((Tnet-t)/(Tau_j))))*Salcycl</f>
        <v>6.5212515016333322E-2</v>
      </c>
      <c r="P379" s="169">
        <f>(INDEX(Models!$BJ379:$BT379,,T379)*(1-R379)+INDEX(Models!$BJ379:$BT379,,T379+1)*R379-ERP_i)*Q379*Ramure*Pc/MaxiM</f>
        <v>4.4881053159115674E-4</v>
      </c>
      <c r="Q379" s="306">
        <f t="shared" si="126"/>
        <v>0.7</v>
      </c>
      <c r="R379" s="177">
        <f t="shared" si="127"/>
        <v>3.7700911916349611E-5</v>
      </c>
      <c r="S379" s="921">
        <f t="shared" si="128"/>
        <v>-1</v>
      </c>
      <c r="T379" s="176">
        <f t="shared" si="129"/>
        <v>5</v>
      </c>
      <c r="U379" s="307">
        <f t="shared" si="130"/>
        <v>-0.99996229908808365</v>
      </c>
      <c r="V379" s="383">
        <f t="shared" si="131"/>
        <v>26.177930935618885</v>
      </c>
      <c r="W379" s="58"/>
      <c r="X379" s="157">
        <f t="shared" si="132"/>
        <v>43830</v>
      </c>
      <c r="Y379" s="385">
        <f t="shared" si="133"/>
        <v>15.100000000000001</v>
      </c>
      <c r="Z379" s="385">
        <f t="shared" si="134"/>
        <v>15.295393293258963</v>
      </c>
      <c r="AA379" s="386">
        <f t="shared" si="135"/>
        <v>16.362428401067238</v>
      </c>
      <c r="AB379" s="197">
        <f t="shared" si="136"/>
        <v>43830</v>
      </c>
      <c r="AC379" s="427">
        <f>IF(OR(t&lt;Tnet,NoTnet),'2018'!Resal_s+('2018'!Salim-'2018'!Resal_s)*(1-EXP(('2018'!Tnet_s-t)/'2018'!Tau_j)),Resal_s+(Salim-Resal_s)*(1-EXP((Tnet_s-t)/Tau_j)))*Salcycl</f>
        <v>6.5212515016333322E-2</v>
      </c>
      <c r="AD379" s="231">
        <f>(INDEX(Models!$BJ379:$BT379,,AH379)*(1-AF379)+INDEX(Models!$BJ379:$BT379,,AH379+1)*AF379-ERP_i)*AE379*Ramure*Pc/MaxiM</f>
        <v>4.4881053159115674E-4</v>
      </c>
      <c r="AE379" s="306">
        <f t="shared" si="137"/>
        <v>0.7</v>
      </c>
      <c r="AF379" s="177">
        <f t="shared" si="138"/>
        <v>3.7700911916349611E-5</v>
      </c>
      <c r="AG379" s="176">
        <f t="shared" si="139"/>
        <v>-1</v>
      </c>
      <c r="AH379" s="176">
        <f t="shared" si="140"/>
        <v>5</v>
      </c>
      <c r="AI379" s="222">
        <f t="shared" si="141"/>
        <v>-0.99996229908808365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2"/>
      <c r="C380" s="967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964"/>
      <c r="N380" s="964"/>
      <c r="O380" s="215"/>
      <c r="P380" s="322"/>
      <c r="Q380" s="229"/>
      <c r="R380" s="229"/>
      <c r="S380" s="229"/>
      <c r="T380" s="229"/>
      <c r="U380" s="323"/>
      <c r="V380" s="383">
        <f>(V379+V15)/2</f>
        <v>26.941320072459995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1.5620000000000001</v>
      </c>
      <c r="C381" s="375"/>
      <c r="D381" s="373">
        <f>MIN(D15:D380)</f>
        <v>1.5815885418655016</v>
      </c>
      <c r="E381" s="373">
        <f>MIN(E15:E380)</f>
        <v>1.6893363612185102</v>
      </c>
      <c r="F381" s="374">
        <f>MIN(F15:F380)</f>
        <v>1.6893363612185102</v>
      </c>
      <c r="G381" s="125">
        <f>+MIN(G15:G380)</f>
        <v>6.280581819525799E-2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4.8724168818709002E-3</v>
      </c>
      <c r="M381" s="961"/>
      <c r="N381" s="961"/>
      <c r="O381" s="47">
        <f t="shared" si="147"/>
        <v>2.581040486922101E-2</v>
      </c>
      <c r="P381" s="168">
        <f t="shared" si="147"/>
        <v>3.9078375966246045E-5</v>
      </c>
      <c r="Q381" s="310">
        <f t="shared" si="147"/>
        <v>0.7</v>
      </c>
      <c r="R381" s="311">
        <f t="shared" si="147"/>
        <v>8.1110817276019986E-6</v>
      </c>
      <c r="S381" s="921">
        <f t="shared" si="147"/>
        <v>-2</v>
      </c>
      <c r="T381" s="176">
        <f t="shared" si="147"/>
        <v>4</v>
      </c>
      <c r="U381" s="252">
        <f>+MIN(U15:U380)</f>
        <v>-1.4999610260519127</v>
      </c>
      <c r="V381" s="373">
        <f>MIN(V15:V380)</f>
        <v>24.803274834793768</v>
      </c>
      <c r="W381" s="58"/>
      <c r="X381" s="112" t="s">
        <v>7</v>
      </c>
      <c r="Y381" s="373">
        <f>MIN(Y15:Y380)</f>
        <v>1.5620000000000001</v>
      </c>
      <c r="Z381" s="373">
        <f>MIN(Z15:Z380)</f>
        <v>1.5815885418655016</v>
      </c>
      <c r="AA381" s="373">
        <f>MIN(AA15:AA380)</f>
        <v>1.6893363612185102</v>
      </c>
      <c r="AB381" s="200" t="s">
        <v>7</v>
      </c>
      <c r="AC381" s="47">
        <f t="shared" ref="AC381:AH381" si="148">MIN(AC15:AC380)</f>
        <v>2.581040486922101E-2</v>
      </c>
      <c r="AD381" s="168">
        <f t="shared" si="148"/>
        <v>3.9078375966246045E-5</v>
      </c>
      <c r="AE381" s="310">
        <f t="shared" si="148"/>
        <v>0.7</v>
      </c>
      <c r="AF381" s="311">
        <f t="shared" si="148"/>
        <v>8.1110817276019986E-6</v>
      </c>
      <c r="AG381" s="921">
        <f t="shared" si="148"/>
        <v>-2</v>
      </c>
      <c r="AH381" s="176">
        <f t="shared" si="148"/>
        <v>4</v>
      </c>
      <c r="AI381" s="226">
        <f>MIN(AI15:AI380)</f>
        <v>-1.4999610260519127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30.743591780821909</v>
      </c>
      <c r="C382" s="375"/>
      <c r="D382" s="375">
        <f>AVERAGE(D15:D380)</f>
        <v>31.01080853267014</v>
      </c>
      <c r="E382" s="375">
        <f>AVERAGE(E15:E380)</f>
        <v>32.464289484508797</v>
      </c>
      <c r="F382" s="376">
        <f>AVERAGE(F15:F380)</f>
        <v>32.48286372611927</v>
      </c>
      <c r="G382" s="126">
        <f>AVERAGE(G15:G380)</f>
        <v>0.66771030399886011</v>
      </c>
      <c r="H382" s="337"/>
      <c r="I382" s="376">
        <f>AVERAGE(I15:I380)</f>
        <v>35.585836764555289</v>
      </c>
      <c r="J382" s="59">
        <f>AVERAGE(J15:J380)</f>
        <v>2018.7404371584701</v>
      </c>
      <c r="K382" s="200" t="s">
        <v>8</v>
      </c>
      <c r="L382" s="147">
        <f t="shared" ref="L382:V382" si="149">AVERAGE(L15:L380)</f>
        <v>8.8287690505452002E-3</v>
      </c>
      <c r="M382" s="959"/>
      <c r="N382" s="959"/>
      <c r="O382" s="48">
        <f t="shared" si="149"/>
        <v>4.5873463121274799E-2</v>
      </c>
      <c r="P382" s="169">
        <f t="shared" si="149"/>
        <v>6.2432864241997307E-4</v>
      </c>
      <c r="Q382" s="312">
        <f t="shared" si="149"/>
        <v>0.69999999999999529</v>
      </c>
      <c r="R382" s="177">
        <f t="shared" si="149"/>
        <v>0.74156640656366912</v>
      </c>
      <c r="S382" s="921">
        <f t="shared" si="149"/>
        <v>-1.9616438356164383</v>
      </c>
      <c r="T382" s="176">
        <f t="shared" si="149"/>
        <v>4.0383561643835613</v>
      </c>
      <c r="U382" s="251">
        <f t="shared" si="149"/>
        <v>-1.2200774290527689</v>
      </c>
      <c r="V382" s="375">
        <f t="shared" si="149"/>
        <v>44.134269110013577</v>
      </c>
      <c r="X382" s="112" t="s">
        <v>8</v>
      </c>
      <c r="Y382" s="375">
        <f>AVERAGE(Y15:Y380)</f>
        <v>30.743591780821909</v>
      </c>
      <c r="Z382" s="375">
        <f>AVERAGE(Z15:Z380)</f>
        <v>31.01080853267014</v>
      </c>
      <c r="AA382" s="375">
        <f>AVERAGE(AA15:AA380)</f>
        <v>32.464289484508797</v>
      </c>
      <c r="AB382" s="200" t="s">
        <v>8</v>
      </c>
      <c r="AC382" s="48">
        <f t="shared" ref="AC382:AH382" si="150">AVERAGE(AC15:AC380)</f>
        <v>4.5873463121274799E-2</v>
      </c>
      <c r="AD382" s="169">
        <f t="shared" si="150"/>
        <v>6.2432864241997307E-4</v>
      </c>
      <c r="AE382" s="312">
        <f t="shared" si="150"/>
        <v>0.69999999999999529</v>
      </c>
      <c r="AF382" s="177">
        <f t="shared" si="150"/>
        <v>0.74156640656366912</v>
      </c>
      <c r="AG382" s="921">
        <f t="shared" si="150"/>
        <v>-1.9616438356164383</v>
      </c>
      <c r="AH382" s="176">
        <f t="shared" si="150"/>
        <v>4.0383561643835613</v>
      </c>
      <c r="AI382" s="225">
        <f>AVERAGE(AI15:AI380)</f>
        <v>-1.2200774290527689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59.043999999999997</v>
      </c>
      <c r="C383" s="377"/>
      <c r="D383" s="377">
        <f>MAX(D15:D380)</f>
        <v>59.504885885931039</v>
      </c>
      <c r="E383" s="377">
        <f>MAX(E15:E380)</f>
        <v>61.951565707666489</v>
      </c>
      <c r="F383" s="378">
        <f>MAX(F15:F380)</f>
        <v>61.987907498178245</v>
      </c>
      <c r="G383" s="127">
        <f>+MAX(G15:G380)</f>
        <v>1.0482080388886308</v>
      </c>
      <c r="H383" s="337"/>
      <c r="I383" s="378">
        <f>MAX(I15:I380)</f>
        <v>61.987907498178245</v>
      </c>
      <c r="J383" s="60">
        <f>MAX(J15:J380)</f>
        <v>2019</v>
      </c>
      <c r="K383" s="200" t="s">
        <v>9</v>
      </c>
      <c r="L383" s="148">
        <f t="shared" ref="L383:T383" si="151">MAX(L15:L380)</f>
        <v>1.2774649825125772E-2</v>
      </c>
      <c r="M383" s="962"/>
      <c r="N383" s="962"/>
      <c r="O383" s="49">
        <f t="shared" si="151"/>
        <v>6.5212515016333322E-2</v>
      </c>
      <c r="P383" s="170">
        <f t="shared" si="151"/>
        <v>2.4517244716840193E-3</v>
      </c>
      <c r="Q383" s="313">
        <f t="shared" si="151"/>
        <v>0.7</v>
      </c>
      <c r="R383" s="314">
        <f t="shared" si="151"/>
        <v>0.99999992246205816</v>
      </c>
      <c r="S383" s="922">
        <f t="shared" si="151"/>
        <v>-1</v>
      </c>
      <c r="T383" s="233">
        <f t="shared" si="151"/>
        <v>5</v>
      </c>
      <c r="U383" s="253">
        <f>+MAX(U15:U380)</f>
        <v>-0.99996229908808365</v>
      </c>
      <c r="V383" s="377">
        <f>MAX(V15:V380)</f>
        <v>56.860014657436921</v>
      </c>
      <c r="X383" s="112" t="s">
        <v>9</v>
      </c>
      <c r="Y383" s="377">
        <f>MAX(Y15:Y380)</f>
        <v>59.043999999999997</v>
      </c>
      <c r="Z383" s="377">
        <f>MAX(Z15:Z380)</f>
        <v>59.504885885931039</v>
      </c>
      <c r="AA383" s="377">
        <f>MAX(AA15:AA380)</f>
        <v>61.951565707666489</v>
      </c>
      <c r="AB383" s="200" t="s">
        <v>9</v>
      </c>
      <c r="AC383" s="49">
        <f t="shared" ref="AC383:AH383" si="152">MAX(AC15:AC380)</f>
        <v>6.5212515016333322E-2</v>
      </c>
      <c r="AD383" s="170">
        <f t="shared" si="152"/>
        <v>2.4517244716840193E-3</v>
      </c>
      <c r="AE383" s="313">
        <f t="shared" si="152"/>
        <v>0.7</v>
      </c>
      <c r="AF383" s="314">
        <f t="shared" si="152"/>
        <v>0.99999992246205816</v>
      </c>
      <c r="AG383" s="922">
        <f t="shared" si="152"/>
        <v>-1</v>
      </c>
      <c r="AH383" s="233">
        <f t="shared" si="152"/>
        <v>5</v>
      </c>
      <c r="AI383" s="227">
        <f>MAX(AI15:AI380)</f>
        <v>-0.99996229908808365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'2019'!An+1</f>
        <v>2020</v>
      </c>
      <c r="K1" s="1217"/>
      <c r="L1" s="113" t="str">
        <f>"Calcul pertes et enveloppes en "&amp;TEXT(An,0)</f>
        <v>Calcul pertes et enveloppes en 2020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2020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473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/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10520.859999999999</v>
      </c>
      <c r="AK6" s="517">
        <f>SUMIF(AK15:AK380,"FAUX",Wh)</f>
        <v>10520.859999999999</v>
      </c>
      <c r="AL6" s="517">
        <f>SUMIF(AJ15:AJ380,"FAUX",Wh_s)</f>
        <v>10520.859999999999</v>
      </c>
      <c r="AM6" s="517">
        <f>SUMIF(AK15:AK380,"FAUX",Wh_s)</f>
        <v>10520.859999999999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AND(YEAR(Tnet)=An,Resal_2020&lt;&gt;"I")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10697.844085289515</v>
      </c>
      <c r="AK8" s="517">
        <f>SUMIF(AK15:AK380,"FAUX",Wh_sa)</f>
        <v>11566.66967770169</v>
      </c>
      <c r="AL8" s="517">
        <f>SUMIF(AJ15:AJ380,"FAUX",Wh_pvt_s)</f>
        <v>10697.844085289515</v>
      </c>
      <c r="AM8" s="517">
        <f>SUMIF(AK15:AK380,"FAUX",Wh_sa_s)</f>
        <v>11566.66967770169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10697.844085289515</v>
      </c>
      <c r="E9" s="184">
        <f>SUM(E$15:E$380)</f>
        <v>11566.66967770169</v>
      </c>
      <c r="F9" s="184">
        <f>SUM(F$15:F$380)</f>
        <v>11577.224299172249</v>
      </c>
      <c r="H9" s="1218">
        <f>+SUM(Wh)</f>
        <v>10520.859999999999</v>
      </c>
      <c r="I9" s="1219"/>
      <c r="J9" s="1220"/>
      <c r="K9" s="191"/>
      <c r="L9" s="232"/>
      <c r="M9" s="232"/>
      <c r="N9" s="232"/>
      <c r="O9" s="223">
        <f>Tnet_2020</f>
        <v>43831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10520.859999999999</v>
      </c>
      <c r="Y9" s="1213"/>
      <c r="Z9" s="517">
        <f>SUM(Z$15:Z$380)</f>
        <v>10697.844085289515</v>
      </c>
      <c r="AA9" s="517">
        <f>SUM(AA$15:AA$380)</f>
        <v>11566.66967770169</v>
      </c>
      <c r="AB9" s="517">
        <f>F9</f>
        <v>11577.224299172249</v>
      </c>
      <c r="AC9" s="325">
        <f>IF(An_Tnet,Tnet,'2019'!Tnet_s)</f>
        <v>43831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6.5253471062338794E-2</v>
      </c>
      <c r="P10" s="422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IF(OR(Inflex,GainD),'2019'!Resal_s+('2019'!Salim-'2019'!Resal_s)*(1-EXP(('2019'!Tnet_s-Tnet)/('2019'!Tau_j))),IF(Acti_net,'2019'!Resal+('2019'!Salim-'2019'!Resal)*(1-EXP(('2019'!Tnet-Tnet)/'2019'!Tau_j)),'2019'!Resal_s))</f>
        <v>6.5253471062338794E-2</v>
      </c>
      <c r="AD10" s="429"/>
      <c r="AE10" s="429"/>
      <c r="AF10" s="260"/>
      <c r="AG10" s="261"/>
      <c r="AH10" s="262"/>
      <c r="AI10" s="524"/>
      <c r="AJ10" s="517">
        <f>SUMIF(AJ15:AJ380,"FAUX",Wh_sa)</f>
        <v>11566.66967770169</v>
      </c>
      <c r="AK10" s="517">
        <f>SUMIF(AK15:AK380,"FAUX",Wh_hp)</f>
        <v>11577.224299172249</v>
      </c>
      <c r="AL10" s="517">
        <f>SUMIF(AJ15:AJ380,"FAUX",Wh_sa_s)</f>
        <v>11566.66967770169</v>
      </c>
      <c r="AM10" s="517">
        <f>SUMIF(AK15:AK380,"FAUX",Wh_hp)</f>
        <v>11577.224299172249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176.98408528951586</v>
      </c>
      <c r="E11" s="51">
        <f>(E$9-D$9)*Prod_an/D$9</f>
        <v>854.45182686434498</v>
      </c>
      <c r="F11" s="186">
        <f>(F$9-E$9)*Prod_an/E$9</f>
        <v>9.6003169398723021</v>
      </c>
      <c r="G11" s="185" t="s">
        <v>6</v>
      </c>
      <c r="K11" s="194"/>
      <c r="L11" s="211">
        <f>Tvie_2020</f>
        <v>43243</v>
      </c>
      <c r="M11" s="958"/>
      <c r="N11" s="958"/>
      <c r="O11" s="202">
        <f>IF(An_Tnet,Salim_2020,'2019'!Salim)</f>
        <v>0.12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-0.49996229908808365</v>
      </c>
      <c r="V11" s="429"/>
      <c r="W11" s="520"/>
      <c r="X11" s="527" t="s">
        <v>44</v>
      </c>
      <c r="Y11" s="50">
        <f>Z$9-Prod_an_s</f>
        <v>176.98408528951586</v>
      </c>
      <c r="Z11" s="51">
        <f>(AA$9-Z$9)*Prod_an_s/Z$9</f>
        <v>854.45182686434498</v>
      </c>
      <c r="AA11" s="186">
        <f>(AB$9-AA$9)*Prod_an_s/AA$9</f>
        <v>9.6003169398723021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4.6965153328257347E-2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8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-0.99996229908808365</v>
      </c>
      <c r="V12" s="519"/>
      <c r="W12" s="506"/>
      <c r="X12" s="507"/>
      <c r="Y12" s="506"/>
      <c r="Z12" s="429"/>
      <c r="AA12" s="429"/>
      <c r="AB12" s="533" t="s">
        <v>109</v>
      </c>
      <c r="AC12" s="318" t="b">
        <f>NOT(An_Tnet)</f>
        <v>0</v>
      </c>
      <c r="AD12" s="429"/>
      <c r="AE12" s="296">
        <f>'2019'!Df_s</f>
        <v>0.7</v>
      </c>
      <c r="AF12" s="203"/>
      <c r="AG12" s="203"/>
      <c r="AH12" s="203"/>
      <c r="AI12" s="297">
        <f>'2019'!Hdf_s</f>
        <v>-0.99996229908808365</v>
      </c>
      <c r="AJ12" s="947">
        <f>IF($AJ8=0,0,($AJ10-$AJ8)*$AJ6/$AJ8)</f>
        <v>854.45182686434498</v>
      </c>
      <c r="AK12" s="948">
        <f>IF($AK8=0,0,($AK10-$AK8)*$AK6/$AK8)</f>
        <v>9.6003169398723021</v>
      </c>
      <c r="AL12" s="947">
        <f>IF($AL8=0,0,($AL10-$AL8)*$AL6/$AL8)</f>
        <v>854.45182686434498</v>
      </c>
      <c r="AM12" s="948">
        <f>IF($AM8=0,0,($AM10-$AM8)*$AM6/$AM8)</f>
        <v>9.6003169398723021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264" t="s">
        <v>42</v>
      </c>
      <c r="W13" s="966" t="s">
        <v>47</v>
      </c>
      <c r="X13" s="534"/>
      <c r="Y13" s="264" t="s">
        <v>103</v>
      </c>
      <c r="Z13" s="264" t="s">
        <v>104</v>
      </c>
      <c r="AA13" s="264" t="s">
        <v>75</v>
      </c>
      <c r="AB13" s="505"/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854.45182686434498</v>
      </c>
      <c r="AK13" s="73">
        <f>+AK11+AK12</f>
        <v>9.6003169398723021</v>
      </c>
      <c r="AL13" s="73">
        <f>+AL11+AL12</f>
        <v>854.45182686434498</v>
      </c>
      <c r="AM13" s="73">
        <f>+AM11+AM12</f>
        <v>9.6003169398723021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2020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2020</v>
      </c>
      <c r="W14" s="952"/>
      <c r="X14" s="258" t="s">
        <v>2</v>
      </c>
      <c r="Y14" s="107" t="str">
        <f>"Wh / Jour "&amp; TEXT(An,0)</f>
        <v>Wh / Jour 2020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9">
        <v>12.042</v>
      </c>
      <c r="C15" s="390"/>
      <c r="D15" s="393">
        <f t="shared" ref="D15:D78" si="0">Wh/(1-Ppv)</f>
        <v>12.198090085864175</v>
      </c>
      <c r="E15" s="385">
        <f>Wh_pvt/(1-Psa)</f>
        <v>13.050144664299843</v>
      </c>
      <c r="F15" s="385">
        <f t="shared" ref="F15:F78" si="1">Wh_sa/(1-Pvg*MEDIAN((-Sdif+Wh/Env_an)/Csdif,0,1))</f>
        <v>13.051441266807789</v>
      </c>
      <c r="G15" s="110">
        <f>+Wh_hp/MaxiM</f>
        <v>0.45659462845878868</v>
      </c>
      <c r="H15" s="414" t="b">
        <f>Wh_hp&gt;='2019'!Maxi_hp</f>
        <v>1</v>
      </c>
      <c r="I15" s="379">
        <f>IF(H15,Wh_hp,'2019'!Maxi_hp)</f>
        <v>13.051441266807789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1.2796272593941671E-2</v>
      </c>
      <c r="M15" s="961"/>
      <c r="N15" s="961"/>
      <c r="O15" s="47">
        <f>IF(t&lt;Tnet,'2019'!Resal+('2019'!Salim-'2019'!Resal)*(1-EXP(('2019'!Tnet-t)/('2019'!Tau_j))),Resal+(Salim-Resal)*(1-EXP((Tnet-t)/(Tau_j))))*Salcycl</f>
        <v>6.529081480349877E-2</v>
      </c>
      <c r="P15" s="302">
        <f>(INDEX(Models!$BJ15:$BT15,,T15)*(1-R15)+INDEX(Models!$BJ15:$BT15,,T15+1)*R15-ERP_i)*Q15*Ramure*Pc/MaxiM</f>
        <v>4.4364296909716266E-4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3.8896410145761173E-5</v>
      </c>
      <c r="S15" s="920">
        <f t="shared" ref="S15:S78" si="4">INDEX(Echel_vg,T15)</f>
        <v>-1</v>
      </c>
      <c r="T15" s="249">
        <f t="shared" ref="T15:T78" si="5">MIN(MATCH(Hp_vg,Echel_vg),10)</f>
        <v>5</v>
      </c>
      <c r="U15" s="250">
        <f>IF(OR(t&lt;Ttai,Notai),Hdd+PousH*Croivg,Hdtf+PousH*(Croivg-Croi_tai))</f>
        <v>-0.99996110358985424</v>
      </c>
      <c r="V15" s="382">
        <f t="shared" ref="V15:V78" si="6">MaxiM*(1-Ppv)*(1-Pvg)*(1-Psa)</f>
        <v>26.364422198935763</v>
      </c>
      <c r="W15" s="402"/>
      <c r="X15" s="156">
        <f t="shared" ref="X15:X78" si="7">t</f>
        <v>43831</v>
      </c>
      <c r="Y15" s="385">
        <f t="shared" ref="Y15:Y78" si="8">Wh_pvt_s*(1-Ppv)</f>
        <v>12.042</v>
      </c>
      <c r="Z15" s="385">
        <f t="shared" ref="Z15:Z78" si="9">Wh_sa_s*(1-Psa_s)</f>
        <v>12.198090085864175</v>
      </c>
      <c r="AA15" s="386">
        <f t="shared" ref="AA15:AA78" si="10">Wh_hp*(1-Pvg_s*MEDIAN((-Sdif+Wh/Env_an)/Csdif,0,1))</f>
        <v>13.050144664299843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6.529081480349877E-2</v>
      </c>
      <c r="AD15" s="231">
        <f>(INDEX(Models!$BJ15:$BT15,,AH15)*(1-AF15)+INDEX(Models!$BJ15:$BT15,,AH15+1)*AF15-ERP_i)*AE15*Ramure*Pc/MaxiM</f>
        <v>4.4364296909716266E-4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3.8896410145761173E-5</v>
      </c>
      <c r="AG15" s="920">
        <f>INDEX(Echel_vg,AH15)</f>
        <v>-1</v>
      </c>
      <c r="AH15" s="249">
        <f t="shared" ref="AH15:AH78" si="13">MIN(MATCH(Hp_vg_s,Echel_vg),10)</f>
        <v>5</v>
      </c>
      <c r="AI15" s="224">
        <f>IF(OR(t&lt;Ttai,Notai),Hdd_s+PousH*Croivg,Hdtai_s+PousH*(Croivg-Croi_tai))</f>
        <v>-0.99996110358985424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20">
        <v>23.951000000000001</v>
      </c>
      <c r="C16" s="390"/>
      <c r="D16" s="393">
        <f t="shared" si="0"/>
        <v>24.261987606948047</v>
      </c>
      <c r="E16" s="385">
        <f t="shared" ref="E16:E79" si="17">Wh_pvt/(1-Psa)</f>
        <v>25.958039297105103</v>
      </c>
      <c r="F16" s="385">
        <f t="shared" si="1"/>
        <v>25.967841110496515</v>
      </c>
      <c r="G16" s="110">
        <f t="shared" ref="G16:G79" si="18">+Wh_hp/MaxiM</f>
        <v>0.90176073452915562</v>
      </c>
      <c r="H16" s="414" t="b">
        <f>Wh_hp&gt;='2019'!Maxi_hp</f>
        <v>1</v>
      </c>
      <c r="I16" s="380">
        <f>IF(H16,Wh_hp,'2019'!Maxi_hp)</f>
        <v>25.967841110496515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1.2817894889163517E-2</v>
      </c>
      <c r="M16" s="959"/>
      <c r="N16" s="959"/>
      <c r="O16" s="48">
        <f>IF(t&lt;Tnet,'2019'!Resal+('2019'!Salim-'2019'!Resal)*(1-EXP(('2019'!Tnet-t)/('2019'!Tau_j))),Resal+(Salim-Resal)*(1-EXP((Tnet-t)/(Tau_j))))*Salcycl</f>
        <v>6.5338204890775436E-2</v>
      </c>
      <c r="P16" s="169">
        <f>(INDEX(Models!$BJ16:$BT16,,T16)*(1-R16)+INDEX(Models!$BJ16:$BT16,,T16+1)*R16-ERP_i)*Q16*Ramure*Pc/MaxiM</f>
        <v>4.3904060255740547E-4</v>
      </c>
      <c r="Q16" s="305">
        <f t="shared" si="2"/>
        <v>0.7</v>
      </c>
      <c r="R16" s="177">
        <f t="shared" si="3"/>
        <v>6.8111024139949627E-5</v>
      </c>
      <c r="S16" s="921">
        <f t="shared" si="4"/>
        <v>-1</v>
      </c>
      <c r="T16" s="176">
        <f t="shared" si="5"/>
        <v>5</v>
      </c>
      <c r="U16" s="251">
        <f t="shared" ref="U16:U78" si="20">IF(OR(t&lt;Ttai,Notai),Hdd+PousH*Croivg,Hdtf+PousH*(Croivg-Croi_tai))</f>
        <v>-0.99993188897586005</v>
      </c>
      <c r="V16" s="383">
        <f t="shared" si="6"/>
        <v>26.558624257751628</v>
      </c>
      <c r="W16" s="402"/>
      <c r="X16" s="157">
        <f t="shared" si="7"/>
        <v>43832</v>
      </c>
      <c r="Y16" s="385">
        <f t="shared" si="8"/>
        <v>23.951000000000001</v>
      </c>
      <c r="Z16" s="385">
        <f t="shared" si="9"/>
        <v>24.261987606948047</v>
      </c>
      <c r="AA16" s="386">
        <f t="shared" si="10"/>
        <v>25.958039297105103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6.5338204890775436E-2</v>
      </c>
      <c r="AD16" s="231">
        <f>(INDEX(Models!$BJ16:$BT16,,AH16)*(1-AF16)+INDEX(Models!$BJ16:$BT16,,AH16+1)*AF16-ERP_i)*AE16*Ramure*Pc/MaxiM</f>
        <v>4.3904060255740547E-4</v>
      </c>
      <c r="AE16" s="305">
        <f t="shared" si="12"/>
        <v>0.7</v>
      </c>
      <c r="AF16" s="177">
        <f t="shared" ref="AF16:AF78" si="21">(Hp_vg_s-AG16)/(INDEX(Echel_vg,AH16+1)-AG16)</f>
        <v>6.8111024139949627E-5</v>
      </c>
      <c r="AG16" s="921">
        <f t="shared" ref="AG16:AG79" si="22">INDEX(Echel_vg,AH16)</f>
        <v>-1</v>
      </c>
      <c r="AH16" s="176">
        <f t="shared" si="13"/>
        <v>5</v>
      </c>
      <c r="AI16" s="225">
        <f t="shared" ref="AI16:AI78" si="23">IF(OR(t&lt;Ttai,Notai),Hdd_s+PousH*Croivg,Hdtai_s+PousH*(Croivg-Croi_tai))</f>
        <v>-0.99993188897586005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20">
        <v>8.7759999999999998</v>
      </c>
      <c r="C17" s="390"/>
      <c r="D17" s="393">
        <f t="shared" si="0"/>
        <v>8.8901451674387815</v>
      </c>
      <c r="E17" s="385">
        <f t="shared" si="17"/>
        <v>9.5121004415165711</v>
      </c>
      <c r="F17" s="385">
        <f t="shared" si="1"/>
        <v>9.5122657823907204</v>
      </c>
      <c r="G17" s="110">
        <f t="shared" si="18"/>
        <v>0.32783697361463199</v>
      </c>
      <c r="H17" s="414" t="b">
        <f>Wh_hp&gt;='2019'!Maxi_hp</f>
        <v>0</v>
      </c>
      <c r="I17" s="380">
        <f>IF(H17,Wh_hp,'2019'!Maxi_hp)</f>
        <v>30.270872638205173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1.2839516710801524E-2</v>
      </c>
      <c r="M17" s="959"/>
      <c r="N17" s="959"/>
      <c r="O17" s="48">
        <f>IF(t&lt;Tnet,'2019'!Resal+('2019'!Salim-'2019'!Resal)*(1-EXP(('2019'!Tnet-t)/('2019'!Tau_j))),Resal+(Salim-Resal)*(1-EXP((Tnet-t)/(Tau_j))))*Salcycl</f>
        <v>6.5385692455811301E-2</v>
      </c>
      <c r="P17" s="169">
        <f>(INDEX(Models!$BJ17:$BT17,,T17)*(1-R17)+INDEX(Models!$BJ17:$BT17,,T17+1)*R17-ERP_i)*Q17*Ramure*Pc/MaxiM</f>
        <v>4.3495150807742685E-4</v>
      </c>
      <c r="Q17" s="305">
        <f t="shared" si="2"/>
        <v>0.7</v>
      </c>
      <c r="R17" s="177">
        <f t="shared" si="3"/>
        <v>9.8547619629574257E-5</v>
      </c>
      <c r="S17" s="921">
        <f t="shared" si="4"/>
        <v>-1</v>
      </c>
      <c r="T17" s="176">
        <f t="shared" si="5"/>
        <v>5</v>
      </c>
      <c r="U17" s="251">
        <f t="shared" si="20"/>
        <v>-0.99990145238037043</v>
      </c>
      <c r="V17" s="383">
        <f t="shared" si="6"/>
        <v>26.758224517359036</v>
      </c>
      <c r="W17" s="402"/>
      <c r="X17" s="157">
        <f t="shared" si="7"/>
        <v>43833</v>
      </c>
      <c r="Y17" s="385">
        <f t="shared" si="8"/>
        <v>8.7759999999999998</v>
      </c>
      <c r="Z17" s="385">
        <f t="shared" si="9"/>
        <v>8.8901451674387815</v>
      </c>
      <c r="AA17" s="386">
        <f t="shared" si="10"/>
        <v>9.5121004415165711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6.5385692455811301E-2</v>
      </c>
      <c r="AD17" s="231">
        <f>(INDEX(Models!$BJ17:$BT17,,AH17)*(1-AF17)+INDEX(Models!$BJ17:$BT17,,AH17+1)*AF17-ERP_i)*AE17*Ramure*Pc/MaxiM</f>
        <v>4.3495150807742685E-4</v>
      </c>
      <c r="AE17" s="305">
        <f t="shared" si="12"/>
        <v>0.7</v>
      </c>
      <c r="AF17" s="177">
        <f>(Hp_vg_s-AG17)/(INDEX(Echel_vg,AH17+1)-AG17)</f>
        <v>9.8547619629574257E-5</v>
      </c>
      <c r="AG17" s="921">
        <f>INDEX(Echel_vg,AH17)</f>
        <v>-1</v>
      </c>
      <c r="AH17" s="176">
        <f t="shared" si="13"/>
        <v>5</v>
      </c>
      <c r="AI17" s="225">
        <f t="shared" si="23"/>
        <v>-0.99990145238037043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20">
        <v>6.4189999999999996</v>
      </c>
      <c r="C18" s="390"/>
      <c r="D18" s="393">
        <f t="shared" si="0"/>
        <v>6.5026312380990872</v>
      </c>
      <c r="E18" s="385">
        <f t="shared" si="17"/>
        <v>6.9579099893710357</v>
      </c>
      <c r="F18" s="385">
        <f t="shared" si="1"/>
        <v>6.9579099893710357</v>
      </c>
      <c r="G18" s="110">
        <f t="shared" si="18"/>
        <v>0.23797506835281279</v>
      </c>
      <c r="H18" s="414" t="b">
        <f>Wh_hp&gt;='2019'!Maxi_hp</f>
        <v>0</v>
      </c>
      <c r="I18" s="380">
        <f>IF(H18,Wh_hp,'2019'!Maxi_hp)</f>
        <v>25.910930416910517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1.2861138058866128E-2</v>
      </c>
      <c r="M18" s="959"/>
      <c r="N18" s="959"/>
      <c r="O18" s="48">
        <f>IF(t&lt;Tnet,'2019'!Resal+('2019'!Salim-'2019'!Resal)*(1-EXP(('2019'!Tnet-t)/('2019'!Tau_j))),Resal+(Salim-Resal)*(1-EXP((Tnet-t)/(Tau_j))))*Salcycl</f>
        <v>6.5433262569857334E-2</v>
      </c>
      <c r="P18" s="169">
        <f>(INDEX(Models!$BJ18:$BT18,,T18)*(1-R18)+INDEX(Models!$BJ18:$BT18,,T18+1)*R18-ERP_i)*Q18*Ramure*Pc/MaxiM</f>
        <v>4.3138632063193964E-4</v>
      </c>
      <c r="Q18" s="305">
        <f t="shared" si="2"/>
        <v>0.7</v>
      </c>
      <c r="R18" s="177">
        <f t="shared" si="3"/>
        <v>1.3025715092462864E-4</v>
      </c>
      <c r="S18" s="921">
        <f t="shared" si="4"/>
        <v>-1</v>
      </c>
      <c r="T18" s="176">
        <f t="shared" si="5"/>
        <v>5</v>
      </c>
      <c r="U18" s="251">
        <f t="shared" si="20"/>
        <v>-0.99986974284907537</v>
      </c>
      <c r="V18" s="383">
        <f t="shared" si="6"/>
        <v>26.961777868660608</v>
      </c>
      <c r="W18" s="402"/>
      <c r="X18" s="157">
        <f t="shared" si="7"/>
        <v>43834</v>
      </c>
      <c r="Y18" s="385">
        <f t="shared" si="8"/>
        <v>6.4189999999999996</v>
      </c>
      <c r="Z18" s="385">
        <f>Wh_sa_s*(1-Psa_s)</f>
        <v>6.5026312380990872</v>
      </c>
      <c r="AA18" s="386">
        <f t="shared" si="10"/>
        <v>6.9579099893710357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6.5433262569857334E-2</v>
      </c>
      <c r="AD18" s="231">
        <f>(INDEX(Models!$BJ18:$BT18,,AH18)*(1-AF18)+INDEX(Models!$BJ18:$BT18,,AH18+1)*AF18-ERP_i)*AE18*Ramure*Pc/MaxiM</f>
        <v>4.3138632063193964E-4</v>
      </c>
      <c r="AE18" s="305">
        <f t="shared" si="12"/>
        <v>0.7</v>
      </c>
      <c r="AF18" s="177">
        <f t="shared" si="21"/>
        <v>1.3025715092462864E-4</v>
      </c>
      <c r="AG18" s="921">
        <f t="shared" si="22"/>
        <v>-1</v>
      </c>
      <c r="AH18" s="176">
        <f t="shared" si="13"/>
        <v>5</v>
      </c>
      <c r="AI18" s="225">
        <f t="shared" si="23"/>
        <v>-0.99986974284907537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20">
        <v>14.082000000000001</v>
      </c>
      <c r="C19" s="390"/>
      <c r="D19" s="393">
        <f t="shared" si="0"/>
        <v>14.26578263873059</v>
      </c>
      <c r="E19" s="385">
        <f t="shared" si="17"/>
        <v>15.265373038204913</v>
      </c>
      <c r="F19" s="385">
        <f t="shared" si="1"/>
        <v>15.267412853257643</v>
      </c>
      <c r="G19" s="110">
        <f t="shared" si="18"/>
        <v>0.51818065097548172</v>
      </c>
      <c r="H19" s="414" t="b">
        <f>Wh_hp&gt;='2019'!Maxi_hp</f>
        <v>0</v>
      </c>
      <c r="I19" s="380">
        <f>IF(H19,Wh_hp,'2019'!Maxi_hp)</f>
        <v>29.868700088933423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1.2882758933367766E-2</v>
      </c>
      <c r="M19" s="959"/>
      <c r="N19" s="959"/>
      <c r="O19" s="48">
        <f>IF(t&lt;Tnet,'2019'!Resal+('2019'!Salim-'2019'!Resal)*(1-EXP(('2019'!Tnet-t)/('2019'!Tau_j))),Resal+(Salim-Resal)*(1-EXP((Tnet-t)/(Tau_j))))*Salcycl</f>
        <v>6.5480902233612664E-2</v>
      </c>
      <c r="P19" s="169">
        <f>(INDEX(Models!$BJ19:$BT19,,T19)*(1-R19)+INDEX(Models!$BJ19:$BT19,,T19+1)*R19-ERP_i)*Q19*Ramure*Pc/MaxiM</f>
        <v>4.283542759610866E-4</v>
      </c>
      <c r="Q19" s="305">
        <f t="shared" si="2"/>
        <v>0.7</v>
      </c>
      <c r="R19" s="177">
        <f t="shared" si="3"/>
        <v>1.6329268348636017E-4</v>
      </c>
      <c r="S19" s="921">
        <f t="shared" si="4"/>
        <v>-1</v>
      </c>
      <c r="T19" s="176">
        <f t="shared" si="5"/>
        <v>5</v>
      </c>
      <c r="U19" s="251">
        <f t="shared" si="20"/>
        <v>-0.99983670731651364</v>
      </c>
      <c r="V19" s="383">
        <f t="shared" si="6"/>
        <v>27.167839576735123</v>
      </c>
      <c r="W19" s="402"/>
      <c r="X19" s="157">
        <f t="shared" si="7"/>
        <v>43835</v>
      </c>
      <c r="Y19" s="385">
        <f t="shared" si="8"/>
        <v>14.082000000000001</v>
      </c>
      <c r="Z19" s="385">
        <f t="shared" si="9"/>
        <v>14.26578263873059</v>
      </c>
      <c r="AA19" s="386">
        <f t="shared" si="10"/>
        <v>15.265373038204913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6.5480902233612664E-2</v>
      </c>
      <c r="AD19" s="231">
        <f>(INDEX(Models!$BJ19:$BT19,,AH19)*(1-AF19)+INDEX(Models!$BJ19:$BT19,,AH19+1)*AF19-ERP_i)*AE19*Ramure*Pc/MaxiM</f>
        <v>4.283542759610866E-4</v>
      </c>
      <c r="AE19" s="305">
        <f t="shared" si="12"/>
        <v>0.7</v>
      </c>
      <c r="AF19" s="177">
        <f t="shared" si="21"/>
        <v>1.6329268348636017E-4</v>
      </c>
      <c r="AG19" s="921">
        <f t="shared" si="22"/>
        <v>-1</v>
      </c>
      <c r="AH19" s="176">
        <f t="shared" si="13"/>
        <v>5</v>
      </c>
      <c r="AI19" s="225">
        <f t="shared" si="23"/>
        <v>-0.99983670731651364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20">
        <v>26.297999999999998</v>
      </c>
      <c r="C20" s="390"/>
      <c r="D20" s="393">
        <f t="shared" si="0"/>
        <v>26.641795839662421</v>
      </c>
      <c r="E20" s="385">
        <f t="shared" si="17"/>
        <v>28.510017373251447</v>
      </c>
      <c r="F20" s="385">
        <f t="shared" si="1"/>
        <v>28.521480989437787</v>
      </c>
      <c r="G20" s="110">
        <f t="shared" si="18"/>
        <v>0.96063575088370856</v>
      </c>
      <c r="H20" s="414" t="b">
        <f>Wh_hp&gt;='2019'!Maxi_hp</f>
        <v>1</v>
      </c>
      <c r="I20" s="380">
        <f>IF(H20,Wh_hp,'2019'!Maxi_hp)</f>
        <v>28.521480989437787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1.2904379334316651E-2</v>
      </c>
      <c r="M20" s="959"/>
      <c r="N20" s="959"/>
      <c r="O20" s="48">
        <f>IF(t&lt;Tnet,'2019'!Resal+('2019'!Salim-'2019'!Resal)*(1-EXP(('2019'!Tnet-t)/('2019'!Tau_j))),Resal+(Salim-Resal)*(1-EXP((Tnet-t)/(Tau_j))))*Salcycl</f>
        <v>6.552860032073575E-2</v>
      </c>
      <c r="P20" s="169">
        <f>(INDEX(Models!$BJ20:$BT20,,T20)*(1-R20)+INDEX(Models!$BJ20:$BT20,,T20+1)*R20-ERP_i)*Q20*Ramure*Pc/MaxiM</f>
        <v>4.2586349226516945E-4</v>
      </c>
      <c r="Q20" s="305">
        <f t="shared" si="2"/>
        <v>0.7</v>
      </c>
      <c r="R20" s="177">
        <f t="shared" si="3"/>
        <v>1.9770948023700718E-4</v>
      </c>
      <c r="S20" s="921">
        <f t="shared" si="4"/>
        <v>-1</v>
      </c>
      <c r="T20" s="176">
        <f t="shared" si="5"/>
        <v>5</v>
      </c>
      <c r="U20" s="251">
        <f t="shared" si="20"/>
        <v>-0.99980229051976299</v>
      </c>
      <c r="V20" s="383">
        <f t="shared" si="6"/>
        <v>27.374965275696589</v>
      </c>
      <c r="W20" s="402"/>
      <c r="X20" s="157">
        <f t="shared" si="7"/>
        <v>43836</v>
      </c>
      <c r="Y20" s="385">
        <f t="shared" si="8"/>
        <v>26.297999999999998</v>
      </c>
      <c r="Z20" s="385">
        <f t="shared" si="9"/>
        <v>26.641795839662421</v>
      </c>
      <c r="AA20" s="386">
        <f t="shared" si="10"/>
        <v>28.510017373251447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6.552860032073575E-2</v>
      </c>
      <c r="AD20" s="231">
        <f>(INDEX(Models!$BJ20:$BT20,,AH20)*(1-AF20)+INDEX(Models!$BJ20:$BT20,,AH20+1)*AF20-ERP_i)*AE20*Ramure*Pc/MaxiM</f>
        <v>4.2586349226516945E-4</v>
      </c>
      <c r="AE20" s="305">
        <f t="shared" si="12"/>
        <v>0.7</v>
      </c>
      <c r="AF20" s="177">
        <f t="shared" si="21"/>
        <v>1.9770948023700718E-4</v>
      </c>
      <c r="AG20" s="921">
        <f t="shared" si="22"/>
        <v>-1</v>
      </c>
      <c r="AH20" s="176">
        <f t="shared" si="13"/>
        <v>5</v>
      </c>
      <c r="AI20" s="225">
        <f t="shared" si="23"/>
        <v>-0.99980229051976299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20">
        <v>7.2960000000000003</v>
      </c>
      <c r="C21" s="390"/>
      <c r="D21" s="393">
        <f t="shared" si="0"/>
        <v>7.3915430804002513</v>
      </c>
      <c r="E21" s="385">
        <f t="shared" si="17"/>
        <v>7.9102696733723672</v>
      </c>
      <c r="F21" s="385">
        <f t="shared" si="1"/>
        <v>7.9102696733723672</v>
      </c>
      <c r="G21" s="110">
        <f t="shared" si="18"/>
        <v>0.26441097425760601</v>
      </c>
      <c r="H21" s="414" t="b">
        <f>Wh_hp&gt;='2019'!Maxi_hp</f>
        <v>1</v>
      </c>
      <c r="I21" s="380">
        <f>IF(H21,Wh_hp,'2019'!Maxi_hp)</f>
        <v>7.9102696733723672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1.2925999261723442E-2</v>
      </c>
      <c r="M21" s="959"/>
      <c r="N21" s="959"/>
      <c r="O21" s="48">
        <f>IF(t&lt;Tnet,'2019'!Resal+('2019'!Salim-'2019'!Resal)*(1-EXP(('2019'!Tnet-t)/('2019'!Tau_j))),Resal+(Salim-Resal)*(1-EXP((Tnet-t)/(Tau_j))))*Salcycl</f>
        <v>6.5576347506616464E-2</v>
      </c>
      <c r="P21" s="169">
        <f>(INDEX(Models!$BJ21:$BT21,,T21)*(1-R21)+INDEX(Models!$BJ21:$BT21,,T21+1)*R21-ERP_i)*Q21*Ramure*Pc/MaxiM</f>
        <v>4.2392125124824487E-4</v>
      </c>
      <c r="Q21" s="305">
        <f t="shared" si="2"/>
        <v>0.7</v>
      </c>
      <c r="R21" s="177">
        <f t="shared" si="3"/>
        <v>2.3356509130023628E-4</v>
      </c>
      <c r="S21" s="921">
        <f t="shared" si="4"/>
        <v>-1</v>
      </c>
      <c r="T21" s="176">
        <f t="shared" si="5"/>
        <v>5</v>
      </c>
      <c r="U21" s="251">
        <f t="shared" si="20"/>
        <v>-0.99976643490869976</v>
      </c>
      <c r="V21" s="383">
        <f t="shared" si="6"/>
        <v>27.581710974846597</v>
      </c>
      <c r="W21" s="402"/>
      <c r="X21" s="157">
        <f t="shared" si="7"/>
        <v>43837</v>
      </c>
      <c r="Y21" s="385">
        <f t="shared" si="8"/>
        <v>7.2960000000000003</v>
      </c>
      <c r="Z21" s="385">
        <f t="shared" si="9"/>
        <v>7.3915430804002513</v>
      </c>
      <c r="AA21" s="386">
        <f t="shared" si="10"/>
        <v>7.9102696733723672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6.5576347506616464E-2</v>
      </c>
      <c r="AD21" s="231">
        <f>(INDEX(Models!$BJ21:$BT21,,AH21)*(1-AF21)+INDEX(Models!$BJ21:$BT21,,AH21+1)*AF21-ERP_i)*AE21*Ramure*Pc/MaxiM</f>
        <v>4.2392125124824487E-4</v>
      </c>
      <c r="AE21" s="305">
        <f t="shared" si="12"/>
        <v>0.7</v>
      </c>
      <c r="AF21" s="177">
        <f t="shared" si="21"/>
        <v>2.3356509130023628E-4</v>
      </c>
      <c r="AG21" s="921">
        <f t="shared" si="22"/>
        <v>-1</v>
      </c>
      <c r="AH21" s="176">
        <f t="shared" si="13"/>
        <v>5</v>
      </c>
      <c r="AI21" s="225">
        <f t="shared" si="23"/>
        <v>-0.99976643490869976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20">
        <v>11.561999999999999</v>
      </c>
      <c r="C22" s="390"/>
      <c r="D22" s="393">
        <f t="shared" si="0"/>
        <v>11.713664055959166</v>
      </c>
      <c r="E22" s="385">
        <f t="shared" si="17"/>
        <v>12.536351279575314</v>
      </c>
      <c r="F22" s="385">
        <f t="shared" si="1"/>
        <v>12.537229887849607</v>
      </c>
      <c r="G22" s="110">
        <f t="shared" si="18"/>
        <v>0.41595268532259289</v>
      </c>
      <c r="H22" s="414" t="b">
        <f>Wh_hp&gt;='2019'!Maxi_hp</f>
        <v>1</v>
      </c>
      <c r="I22" s="380">
        <f>IF(H22,Wh_hp,'2019'!Maxi_hp)</f>
        <v>12.537229887849607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1.2947618715598241E-2</v>
      </c>
      <c r="M22" s="959"/>
      <c r="N22" s="959"/>
      <c r="O22" s="48">
        <f>IF(t&lt;Tnet,'2019'!Resal+('2019'!Salim-'2019'!Resal)*(1-EXP(('2019'!Tnet-t)/('2019'!Tau_j))),Resal+(Salim-Resal)*(1-EXP((Tnet-t)/(Tau_j))))*Salcycl</f>
        <v>6.5624136183587936E-2</v>
      </c>
      <c r="P22" s="169">
        <f>(INDEX(Models!$BJ22:$BT22,,T22)*(1-R22)+INDEX(Models!$BJ22:$BT22,,T22+1)*R22-ERP_i)*Q22*Ramure*Pc/MaxiM</f>
        <v>4.2253427651942603E-4</v>
      </c>
      <c r="Q22" s="305">
        <f t="shared" si="2"/>
        <v>0.7</v>
      </c>
      <c r="R22" s="177">
        <f t="shared" si="3"/>
        <v>2.7091944729740192E-4</v>
      </c>
      <c r="S22" s="921">
        <f t="shared" si="4"/>
        <v>-1</v>
      </c>
      <c r="T22" s="176">
        <f t="shared" si="5"/>
        <v>5</v>
      </c>
      <c r="U22" s="251">
        <f t="shared" si="20"/>
        <v>-0.9997290805527026</v>
      </c>
      <c r="V22" s="383">
        <f t="shared" si="6"/>
        <v>27.786633059853056</v>
      </c>
      <c r="W22" s="402"/>
      <c r="X22" s="157">
        <f t="shared" si="7"/>
        <v>43838</v>
      </c>
      <c r="Y22" s="385">
        <f t="shared" si="8"/>
        <v>11.561999999999999</v>
      </c>
      <c r="Z22" s="385">
        <f t="shared" si="9"/>
        <v>11.713664055959166</v>
      </c>
      <c r="AA22" s="386">
        <f t="shared" si="10"/>
        <v>12.536351279575314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6.5624136183587936E-2</v>
      </c>
      <c r="AD22" s="231">
        <f>(INDEX(Models!$BJ22:$BT22,,AH22)*(1-AF22)+INDEX(Models!$BJ22:$BT22,,AH22+1)*AF22-ERP_i)*AE22*Ramure*Pc/MaxiM</f>
        <v>4.2253427651942603E-4</v>
      </c>
      <c r="AE22" s="305">
        <f t="shared" si="12"/>
        <v>0.7</v>
      </c>
      <c r="AF22" s="177">
        <f t="shared" si="21"/>
        <v>2.7091944729740192E-4</v>
      </c>
      <c r="AG22" s="921">
        <f t="shared" si="22"/>
        <v>-1</v>
      </c>
      <c r="AH22" s="176">
        <f t="shared" si="13"/>
        <v>5</v>
      </c>
      <c r="AI22" s="225">
        <f t="shared" si="23"/>
        <v>-0.9997290805527026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20">
        <v>25.681999999999999</v>
      </c>
      <c r="C23" s="390"/>
      <c r="D23" s="393">
        <f t="shared" si="0"/>
        <v>26.019452463720501</v>
      </c>
      <c r="E23" s="385">
        <f t="shared" si="17"/>
        <v>27.848305263163589</v>
      </c>
      <c r="F23" s="385">
        <f t="shared" si="1"/>
        <v>27.858667670277544</v>
      </c>
      <c r="G23" s="110">
        <f t="shared" si="18"/>
        <v>0.91745006569480336</v>
      </c>
      <c r="H23" s="414" t="b">
        <f>Wh_hp&gt;='2019'!Maxi_hp</f>
        <v>1</v>
      </c>
      <c r="I23" s="380">
        <f>IF(H23,Wh_hp,'2019'!Maxi_hp)</f>
        <v>27.858667670277544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1.2969237695951485E-2</v>
      </c>
      <c r="M23" s="959"/>
      <c r="N23" s="959"/>
      <c r="O23" s="48">
        <f>IF(t&lt;Tnet,'2019'!Resal+('2019'!Salim-'2019'!Resal)*(1-EXP(('2019'!Tnet-t)/('2019'!Tau_j))),Resal+(Salim-Resal)*(1-EXP((Tnet-t)/(Tau_j))))*Salcycl</f>
        <v>6.5671960363857584E-2</v>
      </c>
      <c r="P23" s="169">
        <f>(INDEX(Models!$BJ23:$BT23,,T23)*(1-R23)+INDEX(Models!$BJ23:$BT23,,T23+1)*R23-ERP_i)*Q23*Ramure*Pc/MaxiM</f>
        <v>4.2166196071148106E-4</v>
      </c>
      <c r="Q23" s="305">
        <f t="shared" si="2"/>
        <v>0.7</v>
      </c>
      <c r="R23" s="177">
        <f t="shared" si="3"/>
        <v>3.09834956332522E-4</v>
      </c>
      <c r="S23" s="921">
        <f t="shared" si="4"/>
        <v>-1</v>
      </c>
      <c r="T23" s="176">
        <f t="shared" si="5"/>
        <v>5</v>
      </c>
      <c r="U23" s="251">
        <f t="shared" si="20"/>
        <v>-0.99969016504366748</v>
      </c>
      <c r="V23" s="383">
        <f t="shared" si="6"/>
        <v>27.99141242565997</v>
      </c>
      <c r="W23" s="402"/>
      <c r="X23" s="157">
        <f t="shared" si="7"/>
        <v>43839</v>
      </c>
      <c r="Y23" s="385">
        <f t="shared" si="8"/>
        <v>25.681999999999999</v>
      </c>
      <c r="Z23" s="385">
        <f t="shared" si="9"/>
        <v>26.019452463720501</v>
      </c>
      <c r="AA23" s="386">
        <f t="shared" si="10"/>
        <v>27.848305263163589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6.5671960363857584E-2</v>
      </c>
      <c r="AD23" s="231">
        <f>(INDEX(Models!$BJ23:$BT23,,AH23)*(1-AF23)+INDEX(Models!$BJ23:$BT23,,AH23+1)*AF23-ERP_i)*AE23*Ramure*Pc/MaxiM</f>
        <v>4.2166196071148106E-4</v>
      </c>
      <c r="AE23" s="305">
        <f t="shared" si="12"/>
        <v>0.7</v>
      </c>
      <c r="AF23" s="177">
        <f t="shared" si="21"/>
        <v>3.09834956332522E-4</v>
      </c>
      <c r="AG23" s="921">
        <f t="shared" si="22"/>
        <v>-1</v>
      </c>
      <c r="AH23" s="176">
        <f t="shared" si="13"/>
        <v>5</v>
      </c>
      <c r="AI23" s="225">
        <f t="shared" si="23"/>
        <v>-0.99969016504366748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20">
        <v>8.1850000000000005</v>
      </c>
      <c r="C24" s="390"/>
      <c r="D24" s="393">
        <f t="shared" si="0"/>
        <v>8.292729658522509</v>
      </c>
      <c r="E24" s="385">
        <f t="shared" si="17"/>
        <v>8.8760628735751173</v>
      </c>
      <c r="F24" s="385">
        <f t="shared" si="1"/>
        <v>8.8760628735751173</v>
      </c>
      <c r="G24" s="110">
        <f t="shared" si="18"/>
        <v>0.29013712012368625</v>
      </c>
      <c r="H24" s="414" t="b">
        <f>Wh_hp&gt;='2019'!Maxi_hp</f>
        <v>0</v>
      </c>
      <c r="I24" s="380">
        <f>IF(H24,Wh_hp,'2019'!Maxi_hp)</f>
        <v>10.822941868477683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1.299085620279361E-2</v>
      </c>
      <c r="M24" s="959"/>
      <c r="N24" s="959"/>
      <c r="O24" s="48">
        <f>IF(t&lt;Tnet,'2019'!Resal+('2019'!Salim-'2019'!Resal)*(1-EXP(('2019'!Tnet-t)/('2019'!Tau_j))),Resal+(Salim-Resal)*(1-EXP((Tnet-t)/(Tau_j))))*Salcycl</f>
        <v>6.571981557152401E-2</v>
      </c>
      <c r="P24" s="169">
        <f>(INDEX(Models!$BJ24:$BT24,,T24)*(1-R24)+INDEX(Models!$BJ24:$BT24,,T24+1)*R24-ERP_i)*Q24*Ramure*Pc/MaxiM</f>
        <v>4.20704138253755E-4</v>
      </c>
      <c r="Q24" s="305">
        <f t="shared" si="2"/>
        <v>0.7</v>
      </c>
      <c r="R24" s="177">
        <f t="shared" si="3"/>
        <v>3.5037660480208288E-4</v>
      </c>
      <c r="S24" s="921">
        <f t="shared" si="4"/>
        <v>-1</v>
      </c>
      <c r="T24" s="176">
        <f t="shared" si="5"/>
        <v>5</v>
      </c>
      <c r="U24" s="251">
        <f t="shared" si="20"/>
        <v>-0.99964962339519792</v>
      </c>
      <c r="V24" s="383">
        <f t="shared" si="6"/>
        <v>28.198930675056591</v>
      </c>
      <c r="W24" s="402"/>
      <c r="X24" s="157">
        <f t="shared" si="7"/>
        <v>43840</v>
      </c>
      <c r="Y24" s="385">
        <f t="shared" si="8"/>
        <v>8.1850000000000005</v>
      </c>
      <c r="Z24" s="385">
        <f t="shared" si="9"/>
        <v>8.292729658522509</v>
      </c>
      <c r="AA24" s="386">
        <f t="shared" si="10"/>
        <v>8.8760628735751173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6.571981557152401E-2</v>
      </c>
      <c r="AD24" s="231">
        <f>(INDEX(Models!$BJ24:$BT24,,AH24)*(1-AF24)+INDEX(Models!$BJ24:$BT24,,AH24+1)*AF24-ERP_i)*AE24*Ramure*Pc/MaxiM</f>
        <v>4.20704138253755E-4</v>
      </c>
      <c r="AE24" s="305">
        <f t="shared" si="12"/>
        <v>0.7</v>
      </c>
      <c r="AF24" s="177">
        <f t="shared" si="21"/>
        <v>3.5037660480208288E-4</v>
      </c>
      <c r="AG24" s="921">
        <f t="shared" si="22"/>
        <v>-1</v>
      </c>
      <c r="AH24" s="176">
        <f t="shared" si="13"/>
        <v>5</v>
      </c>
      <c r="AI24" s="225">
        <f t="shared" si="23"/>
        <v>-0.99964962339519792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20">
        <v>27.814</v>
      </c>
      <c r="C25" s="390"/>
      <c r="D25" s="393">
        <f t="shared" si="0"/>
        <v>28.180700641047867</v>
      </c>
      <c r="E25" s="385">
        <f t="shared" si="17"/>
        <v>30.16455393652269</v>
      </c>
      <c r="F25" s="385">
        <f t="shared" si="1"/>
        <v>30.176833140545245</v>
      </c>
      <c r="G25" s="110">
        <f t="shared" si="18"/>
        <v>0.97902544310300832</v>
      </c>
      <c r="H25" s="414" t="b">
        <f>Wh_hp&gt;='2019'!Maxi_hp</f>
        <v>1</v>
      </c>
      <c r="I25" s="380">
        <f>IF(H25,Wh_hp,'2019'!Maxi_hp)</f>
        <v>30.176833140545245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1.3012474236134941E-2</v>
      </c>
      <c r="M25" s="959"/>
      <c r="N25" s="959"/>
      <c r="O25" s="48">
        <f>IF(t&lt;Tnet,'2019'!Resal+('2019'!Salim-'2019'!Resal)*(1-EXP(('2019'!Tnet-t)/('2019'!Tau_j))),Resal+(Salim-Resal)*(1-EXP((Tnet-t)/(Tau_j))))*Salcycl</f>
        <v>6.5767698725118853E-2</v>
      </c>
      <c r="P25" s="169">
        <f>(INDEX(Models!$BJ25:$BT25,,T25)*(1-R25)+INDEX(Models!$BJ25:$BT25,,T25+1)*R25-ERP_i)*Q25*Ramure*Pc/MaxiM</f>
        <v>4.1946977917560734E-4</v>
      </c>
      <c r="Q25" s="305">
        <f t="shared" si="2"/>
        <v>0.7</v>
      </c>
      <c r="R25" s="177">
        <f t="shared" si="3"/>
        <v>3.9261206216811839E-4</v>
      </c>
      <c r="S25" s="921">
        <f t="shared" si="4"/>
        <v>-1</v>
      </c>
      <c r="T25" s="176">
        <f t="shared" si="5"/>
        <v>5</v>
      </c>
      <c r="U25" s="251">
        <f t="shared" si="20"/>
        <v>-0.99960738793783188</v>
      </c>
      <c r="V25" s="383">
        <f t="shared" si="6"/>
        <v>28.409527728693089</v>
      </c>
      <c r="W25" s="402"/>
      <c r="X25" s="157">
        <f t="shared" si="7"/>
        <v>43841</v>
      </c>
      <c r="Y25" s="385">
        <f t="shared" si="8"/>
        <v>27.814</v>
      </c>
      <c r="Z25" s="385">
        <f t="shared" si="9"/>
        <v>28.180700641047867</v>
      </c>
      <c r="AA25" s="386">
        <f t="shared" si="10"/>
        <v>30.16455393652269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6.5767698725118853E-2</v>
      </c>
      <c r="AD25" s="231">
        <f>(INDEX(Models!$BJ25:$BT25,,AH25)*(1-AF25)+INDEX(Models!$BJ25:$BT25,,AH25+1)*AF25-ERP_i)*AE25*Ramure*Pc/MaxiM</f>
        <v>4.1946977917560734E-4</v>
      </c>
      <c r="AE25" s="305">
        <f t="shared" si="12"/>
        <v>0.7</v>
      </c>
      <c r="AF25" s="177">
        <f t="shared" si="21"/>
        <v>3.9261206216811839E-4</v>
      </c>
      <c r="AG25" s="921">
        <f t="shared" si="22"/>
        <v>-1</v>
      </c>
      <c r="AH25" s="176">
        <f t="shared" si="13"/>
        <v>5</v>
      </c>
      <c r="AI25" s="225">
        <f t="shared" si="23"/>
        <v>-0.99960738793783188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20">
        <v>27.896000000000001</v>
      </c>
      <c r="C26" s="390"/>
      <c r="D26" s="393">
        <f t="shared" si="0"/>
        <v>28.264400794514238</v>
      </c>
      <c r="E26" s="385">
        <f t="shared" si="17"/>
        <v>30.255697950991298</v>
      </c>
      <c r="F26" s="385">
        <f t="shared" si="1"/>
        <v>30.267889314428743</v>
      </c>
      <c r="G26" s="110">
        <f t="shared" si="18"/>
        <v>0.97456772779860557</v>
      </c>
      <c r="H26" s="414" t="b">
        <f>Wh_hp&gt;='2019'!Maxi_hp</f>
        <v>1</v>
      </c>
      <c r="I26" s="380">
        <f>IF(H26,Wh_hp,'2019'!Maxi_hp)</f>
        <v>30.267889314428743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1.3034091795985914E-2</v>
      </c>
      <c r="M26" s="959"/>
      <c r="N26" s="959"/>
      <c r="O26" s="48">
        <f>IF(t&lt;Tnet,'2019'!Resal+('2019'!Salim-'2019'!Resal)*(1-EXP(('2019'!Tnet-t)/('2019'!Tau_j))),Resal+(Salim-Resal)*(1-EXP((Tnet-t)/(Tau_j))))*Salcycl</f>
        <v>6.581560801217004E-2</v>
      </c>
      <c r="P26" s="169">
        <f>(INDEX(Models!$BJ26:$BT26,,T26)*(1-R26)+INDEX(Models!$BJ26:$BT26,,T26+1)*R26-ERP_i)*Q26*Ramure*Pc/MaxiM</f>
        <v>4.179584355177575E-4</v>
      </c>
      <c r="Q26" s="305">
        <f t="shared" si="2"/>
        <v>0.7</v>
      </c>
      <c r="R26" s="177">
        <f t="shared" si="3"/>
        <v>4.3661178983922522E-4</v>
      </c>
      <c r="S26" s="921">
        <f t="shared" si="4"/>
        <v>-1</v>
      </c>
      <c r="T26" s="176">
        <f t="shared" si="5"/>
        <v>5</v>
      </c>
      <c r="U26" s="251">
        <f t="shared" si="20"/>
        <v>-0.99956338821016077</v>
      </c>
      <c r="V26" s="383">
        <f t="shared" si="6"/>
        <v>28.623538081676728</v>
      </c>
      <c r="W26" s="402"/>
      <c r="X26" s="157">
        <f t="shared" si="7"/>
        <v>43842</v>
      </c>
      <c r="Y26" s="385">
        <f t="shared" si="8"/>
        <v>27.896000000000001</v>
      </c>
      <c r="Z26" s="385">
        <f t="shared" si="9"/>
        <v>28.264400794514238</v>
      </c>
      <c r="AA26" s="386">
        <f t="shared" si="10"/>
        <v>30.255697950991298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6.581560801217004E-2</v>
      </c>
      <c r="AD26" s="231">
        <f>(INDEX(Models!$BJ26:$BT26,,AH26)*(1-AF26)+INDEX(Models!$BJ26:$BT26,,AH26+1)*AF26-ERP_i)*AE26*Ramure*Pc/MaxiM</f>
        <v>4.179584355177575E-4</v>
      </c>
      <c r="AE26" s="305">
        <f t="shared" si="12"/>
        <v>0.7</v>
      </c>
      <c r="AF26" s="177">
        <f t="shared" si="21"/>
        <v>4.3661178983922522E-4</v>
      </c>
      <c r="AG26" s="921">
        <f t="shared" si="22"/>
        <v>-1</v>
      </c>
      <c r="AH26" s="176">
        <f t="shared" si="13"/>
        <v>5</v>
      </c>
      <c r="AI26" s="225">
        <f t="shared" si="23"/>
        <v>-0.99956338821016077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20">
        <v>15.74</v>
      </c>
      <c r="C27" s="390"/>
      <c r="D27" s="393">
        <f t="shared" si="0"/>
        <v>15.948215255569883</v>
      </c>
      <c r="E27" s="385">
        <f t="shared" si="17"/>
        <v>17.072682617103744</v>
      </c>
      <c r="F27" s="385">
        <f t="shared" si="1"/>
        <v>17.075177344016367</v>
      </c>
      <c r="G27" s="110">
        <f t="shared" si="18"/>
        <v>0.54559782844005955</v>
      </c>
      <c r="H27" s="414" t="b">
        <f>Wh_hp&gt;='2019'!Maxi_hp</f>
        <v>1</v>
      </c>
      <c r="I27" s="380">
        <f>IF(H27,Wh_hp,'2019'!Maxi_hp)</f>
        <v>17.075177344016367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1.3055708882356853E-2</v>
      </c>
      <c r="M27" s="959"/>
      <c r="N27" s="959"/>
      <c r="O27" s="48">
        <f>IF(t&lt;Tnet,'2019'!Resal+('2019'!Salim-'2019'!Resal)*(1-EXP(('2019'!Tnet-t)/('2019'!Tau_j))),Resal+(Salim-Resal)*(1-EXP((Tnet-t)/(Tau_j))))*Salcycl</f>
        <v>6.5863542757325505E-2</v>
      </c>
      <c r="P27" s="169">
        <f>(INDEX(Models!$BJ27:$BT27,,T27)*(1-R27)+INDEX(Models!$BJ27:$BT27,,T27+1)*R27-ERP_i)*Q27*Ramure*Pc/MaxiM</f>
        <v>4.1616994999380501E-4</v>
      </c>
      <c r="Q27" s="305">
        <f t="shared" si="2"/>
        <v>0.7</v>
      </c>
      <c r="R27" s="177">
        <f t="shared" si="3"/>
        <v>4.8244915430828428E-4</v>
      </c>
      <c r="S27" s="921">
        <f t="shared" si="4"/>
        <v>-1</v>
      </c>
      <c r="T27" s="176">
        <f t="shared" si="5"/>
        <v>5</v>
      </c>
      <c r="U27" s="251">
        <f t="shared" si="20"/>
        <v>-0.99951755084569172</v>
      </c>
      <c r="V27" s="383">
        <f t="shared" si="6"/>
        <v>28.84129609336323</v>
      </c>
      <c r="W27" s="402"/>
      <c r="X27" s="157">
        <f t="shared" si="7"/>
        <v>43843</v>
      </c>
      <c r="Y27" s="385">
        <f t="shared" si="8"/>
        <v>15.74</v>
      </c>
      <c r="Z27" s="385">
        <f t="shared" si="9"/>
        <v>15.948215255569883</v>
      </c>
      <c r="AA27" s="386">
        <f t="shared" si="10"/>
        <v>17.072682617103744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6.5863542757325505E-2</v>
      </c>
      <c r="AD27" s="231">
        <f>(INDEX(Models!$BJ27:$BT27,,AH27)*(1-AF27)+INDEX(Models!$BJ27:$BT27,,AH27+1)*AF27-ERP_i)*AE27*Ramure*Pc/MaxiM</f>
        <v>4.1616994999380501E-4</v>
      </c>
      <c r="AE27" s="305">
        <f t="shared" si="12"/>
        <v>0.7</v>
      </c>
      <c r="AF27" s="177">
        <f t="shared" si="21"/>
        <v>4.8244915430828428E-4</v>
      </c>
      <c r="AG27" s="921">
        <f t="shared" si="22"/>
        <v>-1</v>
      </c>
      <c r="AH27" s="176">
        <f t="shared" si="13"/>
        <v>5</v>
      </c>
      <c r="AI27" s="225">
        <f t="shared" si="23"/>
        <v>-0.99951755084569172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20">
        <v>26.937999999999999</v>
      </c>
      <c r="C28" s="390"/>
      <c r="D28" s="393">
        <f t="shared" si="0"/>
        <v>27.294944878551949</v>
      </c>
      <c r="E28" s="385">
        <f t="shared" si="17"/>
        <v>29.220941029206919</v>
      </c>
      <c r="F28" s="385">
        <f t="shared" si="1"/>
        <v>29.231781562204368</v>
      </c>
      <c r="G28" s="110">
        <f t="shared" si="18"/>
        <v>0.92683853232836433</v>
      </c>
      <c r="H28" s="414" t="b">
        <f>Wh_hp&gt;='2019'!Maxi_hp</f>
        <v>1</v>
      </c>
      <c r="I28" s="380">
        <f>IF(H28,Wh_hp,'2019'!Maxi_hp)</f>
        <v>29.231781562204368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1.3077325495258085E-2</v>
      </c>
      <c r="M28" s="959"/>
      <c r="N28" s="959"/>
      <c r="O28" s="48">
        <f>IF(t&lt;Tnet,'2019'!Resal+('2019'!Salim-'2019'!Resal)*(1-EXP(('2019'!Tnet-t)/('2019'!Tau_j))),Resal+(Salim-Resal)*(1-EXP((Tnet-t)/(Tau_j))))*Salcycl</f>
        <v>6.5911503285602552E-2</v>
      </c>
      <c r="P28" s="169">
        <f>(INDEX(Models!$BJ28:$BT28,,T28)*(1-R28)+INDEX(Models!$BJ28:$BT28,,T28+1)*R28-ERP_i)*Q28*Ramure*Pc/MaxiM</f>
        <v>4.1410446965000123E-4</v>
      </c>
      <c r="Q28" s="305">
        <f t="shared" si="2"/>
        <v>0.7</v>
      </c>
      <c r="R28" s="177">
        <f t="shared" si="3"/>
        <v>5.3020054469776756E-4</v>
      </c>
      <c r="S28" s="921">
        <f t="shared" si="4"/>
        <v>-1</v>
      </c>
      <c r="T28" s="176">
        <f t="shared" si="5"/>
        <v>5</v>
      </c>
      <c r="U28" s="251">
        <f t="shared" si="20"/>
        <v>-0.99946979945530223</v>
      </c>
      <c r="V28" s="383">
        <f t="shared" si="6"/>
        <v>29.063135995957026</v>
      </c>
      <c r="W28" s="402"/>
      <c r="X28" s="157">
        <f t="shared" si="7"/>
        <v>43844</v>
      </c>
      <c r="Y28" s="385">
        <f t="shared" si="8"/>
        <v>26.937999999999999</v>
      </c>
      <c r="Z28" s="385">
        <f t="shared" si="9"/>
        <v>27.294944878551949</v>
      </c>
      <c r="AA28" s="386">
        <f t="shared" si="10"/>
        <v>29.220941029206919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6.5911503285602552E-2</v>
      </c>
      <c r="AD28" s="231">
        <f>(INDEX(Models!$BJ28:$BT28,,AH28)*(1-AF28)+INDEX(Models!$BJ28:$BT28,,AH28+1)*AF28-ERP_i)*AE28*Ramure*Pc/MaxiM</f>
        <v>4.1410446965000123E-4</v>
      </c>
      <c r="AE28" s="305">
        <f t="shared" si="12"/>
        <v>0.7</v>
      </c>
      <c r="AF28" s="177">
        <f t="shared" si="21"/>
        <v>5.3020054469776756E-4</v>
      </c>
      <c r="AG28" s="921">
        <f t="shared" si="22"/>
        <v>-1</v>
      </c>
      <c r="AH28" s="176">
        <f t="shared" si="13"/>
        <v>5</v>
      </c>
      <c r="AI28" s="225">
        <f t="shared" si="23"/>
        <v>-0.99946979945530223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20">
        <v>22.309000000000001</v>
      </c>
      <c r="C29" s="390"/>
      <c r="D29" s="393">
        <f t="shared" si="0"/>
        <v>22.605102923845845</v>
      </c>
      <c r="E29" s="385">
        <f t="shared" si="17"/>
        <v>24.201415999376252</v>
      </c>
      <c r="F29" s="385">
        <f t="shared" si="1"/>
        <v>24.207990213992844</v>
      </c>
      <c r="G29" s="110">
        <f t="shared" si="18"/>
        <v>0.76156827437243435</v>
      </c>
      <c r="H29" s="414" t="b">
        <f>Wh_hp&gt;='2019'!Maxi_hp</f>
        <v>0</v>
      </c>
      <c r="I29" s="380">
        <f>IF(H29,Wh_hp,'2019'!Maxi_hp)</f>
        <v>31.24384641917025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1.3098941634700045E-2</v>
      </c>
      <c r="M29" s="959"/>
      <c r="N29" s="959"/>
      <c r="O29" s="48">
        <f>IF(t&lt;Tnet,'2019'!Resal+('2019'!Salim-'2019'!Resal)*(1-EXP(('2019'!Tnet-t)/('2019'!Tau_j))),Resal+(Salim-Resal)*(1-EXP((Tnet-t)/(Tau_j))))*Salcycl</f>
        <v>6.595949078233887E-2</v>
      </c>
      <c r="P29" s="169">
        <f>(INDEX(Models!$BJ29:$BT29,,T29)*(1-R29)+INDEX(Models!$BJ29:$BT29,,T29+1)*R29-ERP_i)*Q29*Ramure*Pc/MaxiM</f>
        <v>4.1176245697986815E-4</v>
      </c>
      <c r="Q29" s="305">
        <f t="shared" si="2"/>
        <v>0.7</v>
      </c>
      <c r="R29" s="177">
        <f t="shared" si="3"/>
        <v>5.7994549487005997E-4</v>
      </c>
      <c r="S29" s="921">
        <f t="shared" si="4"/>
        <v>-1</v>
      </c>
      <c r="T29" s="176">
        <f t="shared" si="5"/>
        <v>5</v>
      </c>
      <c r="U29" s="251">
        <f t="shared" si="20"/>
        <v>-0.99942005450512994</v>
      </c>
      <c r="V29" s="383">
        <f t="shared" si="6"/>
        <v>29.289391895979229</v>
      </c>
      <c r="W29" s="402"/>
      <c r="X29" s="157">
        <f t="shared" si="7"/>
        <v>43845</v>
      </c>
      <c r="Y29" s="385">
        <f t="shared" si="8"/>
        <v>22.309000000000001</v>
      </c>
      <c r="Z29" s="385">
        <f t="shared" si="9"/>
        <v>22.605102923845845</v>
      </c>
      <c r="AA29" s="386">
        <f t="shared" si="10"/>
        <v>24.201415999376252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6.595949078233887E-2</v>
      </c>
      <c r="AD29" s="231">
        <f>(INDEX(Models!$BJ29:$BT29,,AH29)*(1-AF29)+INDEX(Models!$BJ29:$BT29,,AH29+1)*AF29-ERP_i)*AE29*Ramure*Pc/MaxiM</f>
        <v>4.1176245697986815E-4</v>
      </c>
      <c r="AE29" s="305">
        <f t="shared" si="12"/>
        <v>0.7</v>
      </c>
      <c r="AF29" s="177">
        <f t="shared" si="21"/>
        <v>5.7994549487005997E-4</v>
      </c>
      <c r="AG29" s="921">
        <f t="shared" si="22"/>
        <v>-1</v>
      </c>
      <c r="AH29" s="176">
        <f t="shared" si="13"/>
        <v>5</v>
      </c>
      <c r="AI29" s="225">
        <f t="shared" si="23"/>
        <v>-0.99942005450512994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20">
        <v>27.503</v>
      </c>
      <c r="C30" s="390"/>
      <c r="D30" s="393">
        <f t="shared" si="0"/>
        <v>27.868652248722448</v>
      </c>
      <c r="E30" s="385">
        <f t="shared" si="17"/>
        <v>29.838197268294827</v>
      </c>
      <c r="F30" s="385">
        <f t="shared" si="1"/>
        <v>29.849215507523756</v>
      </c>
      <c r="G30" s="110">
        <f t="shared" si="18"/>
        <v>0.93162359386429205</v>
      </c>
      <c r="H30" s="414" t="b">
        <f>Wh_hp&gt;='2019'!Maxi_hp</f>
        <v>0</v>
      </c>
      <c r="I30" s="380">
        <f>IF(H30,Wh_hp,'2019'!Maxi_hp)</f>
        <v>32.204114318448951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1.3120557300692948E-2</v>
      </c>
      <c r="M30" s="959"/>
      <c r="N30" s="959"/>
      <c r="O30" s="48">
        <f>IF(t&lt;Tnet,'2019'!Resal+('2019'!Salim-'2019'!Resal)*(1-EXP(('2019'!Tnet-t)/('2019'!Tau_j))),Resal+(Salim-Resal)*(1-EXP((Tnet-t)/(Tau_j))))*Salcycl</f>
        <v>6.6007507151417538E-2</v>
      </c>
      <c r="P30" s="169">
        <f>(INDEX(Models!$BJ30:$BT30,,T30)*(1-R30)+INDEX(Models!$BJ30:$BT30,,T30+1)*R30-ERP_i)*Q30*Ramure*Pc/MaxiM</f>
        <v>4.0906599621311007E-4</v>
      </c>
      <c r="Q30" s="305">
        <f t="shared" si="2"/>
        <v>0.7</v>
      </c>
      <c r="R30" s="177">
        <f t="shared" si="3"/>
        <v>6.3176681026333448E-4</v>
      </c>
      <c r="S30" s="921">
        <f t="shared" si="4"/>
        <v>-1</v>
      </c>
      <c r="T30" s="176">
        <f t="shared" si="5"/>
        <v>5</v>
      </c>
      <c r="U30" s="251">
        <f t="shared" si="20"/>
        <v>-0.99936823318973667</v>
      </c>
      <c r="V30" s="383">
        <f t="shared" si="6"/>
        <v>29.520400099652409</v>
      </c>
      <c r="W30" s="402"/>
      <c r="X30" s="157">
        <f t="shared" si="7"/>
        <v>43846</v>
      </c>
      <c r="Y30" s="385">
        <f t="shared" si="8"/>
        <v>27.503</v>
      </c>
      <c r="Z30" s="385">
        <f t="shared" si="9"/>
        <v>27.868652248722448</v>
      </c>
      <c r="AA30" s="386">
        <f t="shared" si="10"/>
        <v>29.838197268294827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6.6007507151417538E-2</v>
      </c>
      <c r="AD30" s="231">
        <f>(INDEX(Models!$BJ30:$BT30,,AH30)*(1-AF30)+INDEX(Models!$BJ30:$BT30,,AH30+1)*AF30-ERP_i)*AE30*Ramure*Pc/MaxiM</f>
        <v>4.0906599621311007E-4</v>
      </c>
      <c r="AE30" s="305">
        <f t="shared" si="12"/>
        <v>0.7</v>
      </c>
      <c r="AF30" s="177">
        <f t="shared" si="21"/>
        <v>6.3176681026333448E-4</v>
      </c>
      <c r="AG30" s="921">
        <f t="shared" si="22"/>
        <v>-1</v>
      </c>
      <c r="AH30" s="176">
        <f t="shared" si="13"/>
        <v>5</v>
      </c>
      <c r="AI30" s="225">
        <f t="shared" si="23"/>
        <v>-0.99936823318973667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20">
        <v>4.4189999999999996</v>
      </c>
      <c r="C31" s="390"/>
      <c r="D31" s="393">
        <f t="shared" si="0"/>
        <v>4.4778486594815634</v>
      </c>
      <c r="E31" s="385">
        <f t="shared" si="17"/>
        <v>4.7945556963767544</v>
      </c>
      <c r="F31" s="385">
        <f t="shared" si="1"/>
        <v>4.7945556963767544</v>
      </c>
      <c r="G31" s="110">
        <f t="shared" si="18"/>
        <v>0.14844510028850857</v>
      </c>
      <c r="H31" s="414" t="b">
        <f>Wh_hp&gt;='2019'!Maxi_hp</f>
        <v>0</v>
      </c>
      <c r="I31" s="380">
        <f>IF(H31,Wh_hp,'2019'!Maxi_hp)</f>
        <v>9.1703414610267338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1.314217249324745E-2</v>
      </c>
      <c r="M31" s="959"/>
      <c r="N31" s="959"/>
      <c r="O31" s="48">
        <f>IF(t&lt;Tnet,'2019'!Resal+('2019'!Salim-'2019'!Resal)*(1-EXP(('2019'!Tnet-t)/('2019'!Tau_j))),Resal+(Salim-Resal)*(1-EXP((Tnet-t)/(Tau_j))))*Salcycl</f>
        <v>6.6055554873317365E-2</v>
      </c>
      <c r="P31" s="169">
        <f>(INDEX(Models!$BJ31:$BT31,,T31)*(1-R31)+INDEX(Models!$BJ31:$BT31,,T31+1)*R31-ERP_i)*Q31*Ramure*Pc/MaxiM</f>
        <v>4.0573724759529136E-4</v>
      </c>
      <c r="Q31" s="305">
        <f t="shared" si="2"/>
        <v>0.7</v>
      </c>
      <c r="R31" s="177">
        <f t="shared" si="3"/>
        <v>6.8575069961751556E-4</v>
      </c>
      <c r="S31" s="921">
        <f t="shared" si="4"/>
        <v>-1</v>
      </c>
      <c r="T31" s="176">
        <f t="shared" si="5"/>
        <v>5</v>
      </c>
      <c r="U31" s="251">
        <f t="shared" si="20"/>
        <v>-0.99931424930038248</v>
      </c>
      <c r="V31" s="383">
        <f t="shared" si="6"/>
        <v>29.75650283180698</v>
      </c>
      <c r="W31" s="402"/>
      <c r="X31" s="157">
        <f t="shared" si="7"/>
        <v>43847</v>
      </c>
      <c r="Y31" s="385">
        <f t="shared" si="8"/>
        <v>4.4189999999999996</v>
      </c>
      <c r="Z31" s="385">
        <f t="shared" si="9"/>
        <v>4.4778486594815634</v>
      </c>
      <c r="AA31" s="386">
        <f t="shared" si="10"/>
        <v>4.7945556963767544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6.6055554873317365E-2</v>
      </c>
      <c r="AD31" s="231">
        <f>(INDEX(Models!$BJ31:$BT31,,AH31)*(1-AF31)+INDEX(Models!$BJ31:$BT31,,AH31+1)*AF31-ERP_i)*AE31*Ramure*Pc/MaxiM</f>
        <v>4.0573724759529136E-4</v>
      </c>
      <c r="AE31" s="305">
        <f t="shared" si="12"/>
        <v>0.7</v>
      </c>
      <c r="AF31" s="177">
        <f t="shared" si="21"/>
        <v>6.8575069961751556E-4</v>
      </c>
      <c r="AG31" s="921">
        <f t="shared" si="22"/>
        <v>-1</v>
      </c>
      <c r="AH31" s="176">
        <f t="shared" si="13"/>
        <v>5</v>
      </c>
      <c r="AI31" s="225">
        <f t="shared" si="23"/>
        <v>-0.99931424930038248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20">
        <v>20.774999999999999</v>
      </c>
      <c r="C32" s="390"/>
      <c r="D32" s="393">
        <f t="shared" si="0"/>
        <v>21.052125703124066</v>
      </c>
      <c r="E32" s="385">
        <f t="shared" si="17"/>
        <v>22.542250440341132</v>
      </c>
      <c r="F32" s="385">
        <f t="shared" si="1"/>
        <v>22.547330681543713</v>
      </c>
      <c r="G32" s="110">
        <f t="shared" si="18"/>
        <v>0.6924231461736774</v>
      </c>
      <c r="H32" s="414" t="b">
        <f>Wh_hp&gt;='2019'!Maxi_hp</f>
        <v>1</v>
      </c>
      <c r="I32" s="380">
        <f>IF(H32,Wh_hp,'2019'!Maxi_hp)</f>
        <v>22.547330681543713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1.3163787212373657E-2</v>
      </c>
      <c r="M32" s="959"/>
      <c r="N32" s="959"/>
      <c r="O32" s="48">
        <f>IF(t&lt;Tnet,'2019'!Resal+('2019'!Salim-'2019'!Resal)*(1-EXP(('2019'!Tnet-t)/('2019'!Tau_j))),Resal+(Salim-Resal)*(1-EXP((Tnet-t)/(Tau_j))))*Salcycl</f>
        <v>6.6103636864506266E-2</v>
      </c>
      <c r="P32" s="169">
        <f>(INDEX(Models!$BJ32:$BT32,,T32)*(1-R32)+INDEX(Models!$BJ32:$BT32,,T32+1)*R32-ERP_i)*Q32*Ramure*Pc/MaxiM</f>
        <v>4.0178836557708877E-4</v>
      </c>
      <c r="Q32" s="305">
        <f t="shared" si="2"/>
        <v>0.7</v>
      </c>
      <c r="R32" s="177">
        <f t="shared" si="3"/>
        <v>7.4198691175919596E-4</v>
      </c>
      <c r="S32" s="921">
        <f t="shared" si="4"/>
        <v>-1</v>
      </c>
      <c r="T32" s="176">
        <f t="shared" si="5"/>
        <v>5</v>
      </c>
      <c r="U32" s="251">
        <f t="shared" si="20"/>
        <v>-0.9992580130882408</v>
      </c>
      <c r="V32" s="383">
        <f t="shared" si="6"/>
        <v>29.998033781210459</v>
      </c>
      <c r="W32" s="402"/>
      <c r="X32" s="157">
        <f t="shared" si="7"/>
        <v>43848</v>
      </c>
      <c r="Y32" s="385">
        <f t="shared" si="8"/>
        <v>20.774999999999999</v>
      </c>
      <c r="Z32" s="385">
        <f t="shared" si="9"/>
        <v>21.052125703124066</v>
      </c>
      <c r="AA32" s="386">
        <f t="shared" si="10"/>
        <v>22.542250440341132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6.6103636864506266E-2</v>
      </c>
      <c r="AD32" s="231">
        <f>(INDEX(Models!$BJ32:$BT32,,AH32)*(1-AF32)+INDEX(Models!$BJ32:$BT32,,AH32+1)*AF32-ERP_i)*AE32*Ramure*Pc/MaxiM</f>
        <v>4.0178836557708877E-4</v>
      </c>
      <c r="AE32" s="305">
        <f t="shared" si="12"/>
        <v>0.7</v>
      </c>
      <c r="AF32" s="177">
        <f t="shared" si="21"/>
        <v>7.4198691175919596E-4</v>
      </c>
      <c r="AG32" s="921">
        <f t="shared" si="22"/>
        <v>-1</v>
      </c>
      <c r="AH32" s="176">
        <f t="shared" si="13"/>
        <v>5</v>
      </c>
      <c r="AI32" s="225">
        <f t="shared" si="23"/>
        <v>-0.9992580130882408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20">
        <v>27.963999999999999</v>
      </c>
      <c r="C33" s="390"/>
      <c r="D33" s="393">
        <f t="shared" si="0"/>
        <v>28.337643201994183</v>
      </c>
      <c r="E33" s="385">
        <f t="shared" si="17"/>
        <v>30.345019540777507</v>
      </c>
      <c r="F33" s="385">
        <f t="shared" si="1"/>
        <v>30.355778508355883</v>
      </c>
      <c r="G33" s="110">
        <f t="shared" si="18"/>
        <v>0.92453300542930072</v>
      </c>
      <c r="H33" s="414" t="b">
        <f>Wh_hp&gt;='2019'!Maxi_hp</f>
        <v>1</v>
      </c>
      <c r="I33" s="380">
        <f>IF(H33,Wh_hp,'2019'!Maxi_hp)</f>
        <v>30.355778508355883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1.3185401458082113E-2</v>
      </c>
      <c r="M33" s="959"/>
      <c r="N33" s="959"/>
      <c r="O33" s="48">
        <f>IF(t&lt;Tnet,'2019'!Resal+('2019'!Salim-'2019'!Resal)*(1-EXP(('2019'!Tnet-t)/('2019'!Tau_j))),Resal+(Salim-Resal)*(1-EXP((Tnet-t)/(Tau_j))))*Salcycl</f>
        <v>6.6151756339646442E-2</v>
      </c>
      <c r="P33" s="169">
        <f>(INDEX(Models!$BJ33:$BT33,,T33)*(1-R33)+INDEX(Models!$BJ33:$BT33,,T33+1)*R33-ERP_i)*Q33*Ramure*Pc/MaxiM</f>
        <v>3.9723210327125805E-4</v>
      </c>
      <c r="Q33" s="305">
        <f t="shared" si="2"/>
        <v>0.7</v>
      </c>
      <c r="R33" s="177">
        <f t="shared" si="3"/>
        <v>8.005688776200337E-4</v>
      </c>
      <c r="S33" s="921">
        <f t="shared" si="4"/>
        <v>-1</v>
      </c>
      <c r="T33" s="176">
        <f t="shared" si="5"/>
        <v>5</v>
      </c>
      <c r="U33" s="251">
        <f t="shared" si="20"/>
        <v>-0.99919943112237997</v>
      </c>
      <c r="V33" s="383">
        <f t="shared" si="6"/>
        <v>30.245326521426762</v>
      </c>
      <c r="W33" s="402"/>
      <c r="X33" s="157">
        <f t="shared" si="7"/>
        <v>43849</v>
      </c>
      <c r="Y33" s="385">
        <f t="shared" si="8"/>
        <v>27.963999999999999</v>
      </c>
      <c r="Z33" s="385">
        <f t="shared" si="9"/>
        <v>28.337643201994183</v>
      </c>
      <c r="AA33" s="386">
        <f t="shared" si="10"/>
        <v>30.345019540777507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6.6151756339646442E-2</v>
      </c>
      <c r="AD33" s="231">
        <f>(INDEX(Models!$BJ33:$BT33,,AH33)*(1-AF33)+INDEX(Models!$BJ33:$BT33,,AH33+1)*AF33-ERP_i)*AE33*Ramure*Pc/MaxiM</f>
        <v>3.9723210327125805E-4</v>
      </c>
      <c r="AE33" s="305">
        <f t="shared" si="12"/>
        <v>0.7</v>
      </c>
      <c r="AF33" s="177">
        <f t="shared" si="21"/>
        <v>8.005688776200337E-4</v>
      </c>
      <c r="AG33" s="921">
        <f t="shared" si="22"/>
        <v>-1</v>
      </c>
      <c r="AH33" s="176">
        <f t="shared" si="13"/>
        <v>5</v>
      </c>
      <c r="AI33" s="225">
        <f t="shared" si="23"/>
        <v>-0.99919943112237997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20">
        <v>11.042999999999999</v>
      </c>
      <c r="C34" s="390"/>
      <c r="D34" s="393">
        <f t="shared" si="0"/>
        <v>11.190797026772712</v>
      </c>
      <c r="E34" s="385">
        <f t="shared" si="17"/>
        <v>11.984146528410651</v>
      </c>
      <c r="F34" s="385">
        <f t="shared" si="1"/>
        <v>11.984563264269097</v>
      </c>
      <c r="G34" s="110">
        <f t="shared" si="18"/>
        <v>0.36195145517324456</v>
      </c>
      <c r="H34" s="414" t="b">
        <f>Wh_hp&gt;='2019'!Maxi_hp</f>
        <v>1</v>
      </c>
      <c r="I34" s="380">
        <f>IF(H34,Wh_hp,'2019'!Maxi_hp)</f>
        <v>11.984563264269097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1.3207015230383035E-2</v>
      </c>
      <c r="M34" s="959"/>
      <c r="N34" s="959"/>
      <c r="O34" s="48">
        <f>IF(t&lt;Tnet,'2019'!Resal+('2019'!Salim-'2019'!Resal)*(1-EXP(('2019'!Tnet-t)/('2019'!Tau_j))),Resal+(Salim-Resal)*(1-EXP((Tnet-t)/(Tau_j))))*Salcycl</f>
        <v>6.6199916678017598E-2</v>
      </c>
      <c r="P34" s="169">
        <f>(INDEX(Models!$BJ34:$BT34,,T34)*(1-R34)+INDEX(Models!$BJ34:$BT34,,T34+1)*R34-ERP_i)*Q34*Ramure*Pc/MaxiM</f>
        <v>3.9208402486278599E-4</v>
      </c>
      <c r="Q34" s="305">
        <f t="shared" si="2"/>
        <v>0.7</v>
      </c>
      <c r="R34" s="177">
        <f t="shared" si="3"/>
        <v>8.6159385766271246E-4</v>
      </c>
      <c r="S34" s="921">
        <f t="shared" si="4"/>
        <v>-1</v>
      </c>
      <c r="T34" s="176">
        <f t="shared" si="5"/>
        <v>5</v>
      </c>
      <c r="U34" s="251">
        <f t="shared" si="20"/>
        <v>-0.99913840614233729</v>
      </c>
      <c r="V34" s="383">
        <f t="shared" si="6"/>
        <v>30.49871444435043</v>
      </c>
      <c r="W34" s="402"/>
      <c r="X34" s="157">
        <f t="shared" si="7"/>
        <v>43850</v>
      </c>
      <c r="Y34" s="385">
        <f t="shared" si="8"/>
        <v>11.042999999999999</v>
      </c>
      <c r="Z34" s="385">
        <f t="shared" si="9"/>
        <v>11.190797026772712</v>
      </c>
      <c r="AA34" s="386">
        <f t="shared" si="10"/>
        <v>11.984146528410651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6.6199916678017598E-2</v>
      </c>
      <c r="AD34" s="231">
        <f>(INDEX(Models!$BJ34:$BT34,,AH34)*(1-AF34)+INDEX(Models!$BJ34:$BT34,,AH34+1)*AF34-ERP_i)*AE34*Ramure*Pc/MaxiM</f>
        <v>3.9208402486278599E-4</v>
      </c>
      <c r="AE34" s="305">
        <f t="shared" si="12"/>
        <v>0.7</v>
      </c>
      <c r="AF34" s="177">
        <f t="shared" si="21"/>
        <v>8.6159385766271246E-4</v>
      </c>
      <c r="AG34" s="921">
        <f t="shared" si="22"/>
        <v>-1</v>
      </c>
      <c r="AH34" s="176">
        <f t="shared" si="13"/>
        <v>5</v>
      </c>
      <c r="AI34" s="225">
        <f t="shared" si="23"/>
        <v>-0.99913840614233729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20">
        <v>4.0069999999999997</v>
      </c>
      <c r="C35" s="390"/>
      <c r="D35" s="393">
        <f t="shared" si="0"/>
        <v>4.0607177263643646</v>
      </c>
      <c r="E35" s="385">
        <f t="shared" si="17"/>
        <v>4.3488188018408209</v>
      </c>
      <c r="F35" s="385">
        <f t="shared" si="1"/>
        <v>4.3488188018408209</v>
      </c>
      <c r="G35" s="110">
        <f t="shared" si="18"/>
        <v>0.13022246986716979</v>
      </c>
      <c r="H35" s="414" t="b">
        <f>Wh_hp&gt;='2019'!Maxi_hp</f>
        <v>0</v>
      </c>
      <c r="I35" s="380">
        <f>IF(H35,Wh_hp,'2019'!Maxi_hp)</f>
        <v>9.3011669439992293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1.3228628529286968E-2</v>
      </c>
      <c r="M35" s="959"/>
      <c r="N35" s="959"/>
      <c r="O35" s="48">
        <f>IF(t&lt;Tnet,'2019'!Resal+('2019'!Salim-'2019'!Resal)*(1-EXP(('2019'!Tnet-t)/('2019'!Tau_j))),Resal+(Salim-Resal)*(1-EXP((Tnet-t)/(Tau_j))))*Salcycl</f>
        <v>6.624812129548964E-2</v>
      </c>
      <c r="P35" s="169">
        <f>(INDEX(Models!$BJ35:$BT35,,T35)*(1-R35)+INDEX(Models!$BJ35:$BT35,,T35+1)*R35-ERP_i)*Q35*Ramure*Pc/MaxiM</f>
        <v>3.8636118452899988E-4</v>
      </c>
      <c r="Q35" s="305">
        <f t="shared" si="2"/>
        <v>0.7</v>
      </c>
      <c r="R35" s="177">
        <f t="shared" si="3"/>
        <v>9.2516309489887316E-4</v>
      </c>
      <c r="S35" s="921">
        <f t="shared" si="4"/>
        <v>-1</v>
      </c>
      <c r="T35" s="176">
        <f t="shared" si="5"/>
        <v>5</v>
      </c>
      <c r="U35" s="251">
        <f t="shared" si="20"/>
        <v>-0.99907483690510113</v>
      </c>
      <c r="V35" s="383">
        <f t="shared" si="6"/>
        <v>30.758530803625927</v>
      </c>
      <c r="W35" s="402"/>
      <c r="X35" s="157">
        <f t="shared" si="7"/>
        <v>43851</v>
      </c>
      <c r="Y35" s="385">
        <f t="shared" si="8"/>
        <v>4.0069999999999997</v>
      </c>
      <c r="Z35" s="385">
        <f t="shared" si="9"/>
        <v>4.0607177263643646</v>
      </c>
      <c r="AA35" s="386">
        <f t="shared" si="10"/>
        <v>4.3488188018408209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6.624812129548964E-2</v>
      </c>
      <c r="AD35" s="231">
        <f>(INDEX(Models!$BJ35:$BT35,,AH35)*(1-AF35)+INDEX(Models!$BJ35:$BT35,,AH35+1)*AF35-ERP_i)*AE35*Ramure*Pc/MaxiM</f>
        <v>3.8636118452899988E-4</v>
      </c>
      <c r="AE35" s="305">
        <f t="shared" si="12"/>
        <v>0.7</v>
      </c>
      <c r="AF35" s="177">
        <f t="shared" si="21"/>
        <v>9.2516309489887316E-4</v>
      </c>
      <c r="AG35" s="921">
        <f t="shared" si="22"/>
        <v>-1</v>
      </c>
      <c r="AH35" s="176">
        <f t="shared" si="13"/>
        <v>5</v>
      </c>
      <c r="AI35" s="225">
        <f t="shared" si="23"/>
        <v>-0.99907483690510113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20">
        <v>1.982</v>
      </c>
      <c r="C36" s="390"/>
      <c r="D36" s="393">
        <f t="shared" si="0"/>
        <v>2.0086146286179782</v>
      </c>
      <c r="E36" s="385">
        <f t="shared" si="17"/>
        <v>2.1512336159573429</v>
      </c>
      <c r="F36" s="385">
        <f t="shared" si="1"/>
        <v>2.1512336159573429</v>
      </c>
      <c r="G36" s="110">
        <f t="shared" si="18"/>
        <v>6.3859459612742933E-2</v>
      </c>
      <c r="H36" s="414" t="b">
        <f>Wh_hp&gt;='2019'!Maxi_hp</f>
        <v>0</v>
      </c>
      <c r="I36" s="380">
        <f>IF(H36,Wh_hp,'2019'!Maxi_hp)</f>
        <v>11.949256375188444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1.3250241354804126E-2</v>
      </c>
      <c r="M36" s="959"/>
      <c r="N36" s="959"/>
      <c r="O36" s="48">
        <f>IF(t&lt;Tnet,'2019'!Resal+('2019'!Salim-'2019'!Resal)*(1-EXP(('2019'!Tnet-t)/('2019'!Tau_j))),Resal+(Salim-Resal)*(1-EXP((Tnet-t)/(Tau_j))))*Salcycl</f>
        <v>6.6296373523289542E-2</v>
      </c>
      <c r="P36" s="169">
        <f>(INDEX(Models!$BJ36:$BT36,,T36)*(1-R36)+INDEX(Models!$BJ36:$BT36,,T36+1)*R36-ERP_i)*Q36*Ramure*Pc/MaxiM</f>
        <v>3.8007943250457601E-4</v>
      </c>
      <c r="Q36" s="305">
        <f t="shared" si="2"/>
        <v>0.7</v>
      </c>
      <c r="R36" s="177">
        <f t="shared" si="3"/>
        <v>9.9138197368098258E-4</v>
      </c>
      <c r="S36" s="921">
        <f t="shared" si="4"/>
        <v>-1</v>
      </c>
      <c r="T36" s="176">
        <f t="shared" si="5"/>
        <v>5</v>
      </c>
      <c r="U36" s="251">
        <f t="shared" si="20"/>
        <v>-0.99900861802631902</v>
      </c>
      <c r="V36" s="383">
        <f t="shared" si="6"/>
        <v>31.025108802665542</v>
      </c>
      <c r="W36" s="402"/>
      <c r="X36" s="157">
        <f t="shared" si="7"/>
        <v>43852</v>
      </c>
      <c r="Y36" s="385">
        <f t="shared" si="8"/>
        <v>1.9819999999999998</v>
      </c>
      <c r="Z36" s="385">
        <f t="shared" si="9"/>
        <v>2.0086146286179782</v>
      </c>
      <c r="AA36" s="386">
        <f t="shared" si="10"/>
        <v>2.1512336159573429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6.6296373523289542E-2</v>
      </c>
      <c r="AD36" s="231">
        <f>(INDEX(Models!$BJ36:$BT36,,AH36)*(1-AF36)+INDEX(Models!$BJ36:$BT36,,AH36+1)*AF36-ERP_i)*AE36*Ramure*Pc/MaxiM</f>
        <v>3.8007943250457601E-4</v>
      </c>
      <c r="AE36" s="305">
        <f t="shared" si="12"/>
        <v>0.7</v>
      </c>
      <c r="AF36" s="177">
        <f t="shared" si="21"/>
        <v>9.9138197368098258E-4</v>
      </c>
      <c r="AG36" s="921">
        <f t="shared" si="22"/>
        <v>-1</v>
      </c>
      <c r="AH36" s="176">
        <f t="shared" si="13"/>
        <v>5</v>
      </c>
      <c r="AI36" s="225">
        <f t="shared" si="23"/>
        <v>-0.99900861802631902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20">
        <v>14.2</v>
      </c>
      <c r="C37" s="390"/>
      <c r="D37" s="393">
        <f t="shared" si="0"/>
        <v>14.390995182762978</v>
      </c>
      <c r="E37" s="385">
        <f t="shared" si="17"/>
        <v>15.413605878381127</v>
      </c>
      <c r="F37" s="385">
        <f t="shared" si="1"/>
        <v>15.414868910772679</v>
      </c>
      <c r="G37" s="110">
        <f t="shared" si="18"/>
        <v>0.45353747687294826</v>
      </c>
      <c r="H37" s="414" t="b">
        <f>Wh_hp&gt;='2019'!Maxi_hp</f>
        <v>1</v>
      </c>
      <c r="I37" s="380">
        <f>IF(H37,Wh_hp,'2019'!Maxi_hp)</f>
        <v>15.414868910772679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1.3271853706944947E-2</v>
      </c>
      <c r="M37" s="959"/>
      <c r="N37" s="959"/>
      <c r="O37" s="48">
        <f>IF(t&lt;Tnet,'2019'!Resal+('2019'!Salim-'2019'!Resal)*(1-EXP(('2019'!Tnet-t)/('2019'!Tau_j))),Resal+(Salim-Resal)*(1-EXP((Tnet-t)/(Tau_j))))*Salcycl</f>
        <v>6.6344676494709459E-2</v>
      </c>
      <c r="P37" s="169">
        <f>(INDEX(Models!$BJ37:$BT37,,T37)*(1-R37)+INDEX(Models!$BJ37:$BT37,,T37+1)*R37-ERP_i)*Q37*Ramure*Pc/MaxiM</f>
        <v>3.7323693379462251E-4</v>
      </c>
      <c r="Q37" s="305">
        <f t="shared" si="2"/>
        <v>0.7</v>
      </c>
      <c r="R37" s="177">
        <f t="shared" si="3"/>
        <v>1.0603601844583199E-3</v>
      </c>
      <c r="S37" s="921">
        <f t="shared" si="4"/>
        <v>-1</v>
      </c>
      <c r="T37" s="176">
        <f t="shared" si="5"/>
        <v>5</v>
      </c>
      <c r="U37" s="251">
        <f t="shared" si="20"/>
        <v>-0.99893963981554168</v>
      </c>
      <c r="V37" s="383">
        <f t="shared" si="6"/>
        <v>31.300309040348175</v>
      </c>
      <c r="W37" s="402"/>
      <c r="X37" s="157">
        <f t="shared" si="7"/>
        <v>43853</v>
      </c>
      <c r="Y37" s="385">
        <f t="shared" si="8"/>
        <v>14.2</v>
      </c>
      <c r="Z37" s="385">
        <f t="shared" si="9"/>
        <v>14.390995182762978</v>
      </c>
      <c r="AA37" s="386">
        <f t="shared" si="10"/>
        <v>15.413605878381127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6.6344676494709459E-2</v>
      </c>
      <c r="AD37" s="231">
        <f>(INDEX(Models!$BJ37:$BT37,,AH37)*(1-AF37)+INDEX(Models!$BJ37:$BT37,,AH37+1)*AF37-ERP_i)*AE37*Ramure*Pc/MaxiM</f>
        <v>3.7323693379462251E-4</v>
      </c>
      <c r="AE37" s="305">
        <f t="shared" si="12"/>
        <v>0.7</v>
      </c>
      <c r="AF37" s="177">
        <f t="shared" si="21"/>
        <v>1.0603601844583199E-3</v>
      </c>
      <c r="AG37" s="921">
        <f t="shared" si="22"/>
        <v>-1</v>
      </c>
      <c r="AH37" s="176">
        <f t="shared" si="13"/>
        <v>5</v>
      </c>
      <c r="AI37" s="225">
        <f t="shared" si="23"/>
        <v>-0.99893963981554168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20">
        <v>15.438000000000001</v>
      </c>
      <c r="C38" s="390"/>
      <c r="D38" s="393">
        <f t="shared" si="0"/>
        <v>15.645989421935031</v>
      </c>
      <c r="E38" s="385">
        <f t="shared" si="17"/>
        <v>16.758646813545816</v>
      </c>
      <c r="F38" s="385">
        <f t="shared" si="1"/>
        <v>16.760301939175058</v>
      </c>
      <c r="G38" s="110">
        <f t="shared" si="18"/>
        <v>0.48864512367528057</v>
      </c>
      <c r="H38" s="414" t="b">
        <f>Wh_hp&gt;='2019'!Maxi_hp</f>
        <v>1</v>
      </c>
      <c r="I38" s="380">
        <f>IF(H38,Wh_hp,'2019'!Maxi_hp)</f>
        <v>16.760301939175058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1.3293465585719866E-2</v>
      </c>
      <c r="M38" s="959"/>
      <c r="N38" s="959"/>
      <c r="O38" s="48">
        <f>IF(t&lt;Tnet,'2019'!Resal+('2019'!Salim-'2019'!Resal)*(1-EXP(('2019'!Tnet-t)/('2019'!Tau_j))),Resal+(Salim-Resal)*(1-EXP((Tnet-t)/(Tau_j))))*Salcycl</f>
        <v>6.6393033040796495E-2</v>
      </c>
      <c r="P38" s="169">
        <f>(INDEX(Models!$BJ38:$BT38,,T38)*(1-R38)+INDEX(Models!$BJ38:$BT38,,T38+1)*R38-ERP_i)*Q38*Ramure*Pc/MaxiM</f>
        <v>3.6618515019704544E-4</v>
      </c>
      <c r="Q38" s="305">
        <f t="shared" si="2"/>
        <v>0.7</v>
      </c>
      <c r="R38" s="177">
        <f t="shared" si="3"/>
        <v>1.1322118946878179E-3</v>
      </c>
      <c r="S38" s="921">
        <f t="shared" si="4"/>
        <v>-1</v>
      </c>
      <c r="T38" s="176">
        <f t="shared" si="5"/>
        <v>5</v>
      </c>
      <c r="U38" s="251">
        <f t="shared" si="20"/>
        <v>-0.99886778810531218</v>
      </c>
      <c r="V38" s="383">
        <f t="shared" si="6"/>
        <v>31.585030163634556</v>
      </c>
      <c r="W38" s="402"/>
      <c r="X38" s="157">
        <f t="shared" si="7"/>
        <v>43854</v>
      </c>
      <c r="Y38" s="385">
        <f t="shared" si="8"/>
        <v>15.438000000000001</v>
      </c>
      <c r="Z38" s="385">
        <f t="shared" si="9"/>
        <v>15.645989421935031</v>
      </c>
      <c r="AA38" s="386">
        <f t="shared" si="10"/>
        <v>16.758646813545816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6.6393033040796495E-2</v>
      </c>
      <c r="AD38" s="231">
        <f>(INDEX(Models!$BJ38:$BT38,,AH38)*(1-AF38)+INDEX(Models!$BJ38:$BT38,,AH38+1)*AF38-ERP_i)*AE38*Ramure*Pc/MaxiM</f>
        <v>3.6618515019704544E-4</v>
      </c>
      <c r="AE38" s="305">
        <f t="shared" si="12"/>
        <v>0.7</v>
      </c>
      <c r="AF38" s="177">
        <f t="shared" si="21"/>
        <v>1.1322118946878179E-3</v>
      </c>
      <c r="AG38" s="921">
        <f t="shared" si="22"/>
        <v>-1</v>
      </c>
      <c r="AH38" s="176">
        <f t="shared" si="13"/>
        <v>5</v>
      </c>
      <c r="AI38" s="225">
        <f t="shared" si="23"/>
        <v>-0.99886778810531218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20">
        <v>17.105</v>
      </c>
      <c r="C39" s="390"/>
      <c r="D39" s="393">
        <f t="shared" si="0"/>
        <v>17.335827882966839</v>
      </c>
      <c r="E39" s="385">
        <f t="shared" si="17"/>
        <v>18.569620299857231</v>
      </c>
      <c r="F39" s="385">
        <f t="shared" si="1"/>
        <v>18.571876293641711</v>
      </c>
      <c r="G39" s="110">
        <f t="shared" si="18"/>
        <v>0.53644650230255897</v>
      </c>
      <c r="H39" s="414" t="b">
        <f>Wh_hp&gt;='2019'!Maxi_hp</f>
        <v>1</v>
      </c>
      <c r="I39" s="380">
        <f>IF(H39,Wh_hp,'2019'!Maxi_hp)</f>
        <v>18.571876293641711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1.3315076991139096E-2</v>
      </c>
      <c r="M39" s="959"/>
      <c r="N39" s="959"/>
      <c r="O39" s="48">
        <f>IF(t&lt;Tnet,'2019'!Resal+('2019'!Salim-'2019'!Resal)*(1-EXP(('2019'!Tnet-t)/('2019'!Tau_j))),Resal+(Salim-Resal)*(1-EXP((Tnet-t)/(Tau_j))))*Salcycl</f>
        <v>6.6441445595948848E-2</v>
      </c>
      <c r="P39" s="169">
        <f>(INDEX(Models!$BJ39:$BT39,,T39)*(1-R39)+INDEX(Models!$BJ39:$BT39,,T39+1)*R39-ERP_i)*Q39*Ramure*Pc/MaxiM</f>
        <v>3.5942872263535803E-4</v>
      </c>
      <c r="Q39" s="305">
        <f t="shared" si="2"/>
        <v>0.7</v>
      </c>
      <c r="R39" s="177">
        <f t="shared" si="3"/>
        <v>1.2070559260960456E-3</v>
      </c>
      <c r="S39" s="921">
        <f t="shared" si="4"/>
        <v>-1</v>
      </c>
      <c r="T39" s="176">
        <f t="shared" si="5"/>
        <v>5</v>
      </c>
      <c r="U39" s="251">
        <f t="shared" si="20"/>
        <v>-0.99879294407390395</v>
      </c>
      <c r="V39" s="383">
        <f t="shared" si="6"/>
        <v>31.878163452955143</v>
      </c>
      <c r="W39" s="402"/>
      <c r="X39" s="157">
        <f t="shared" si="7"/>
        <v>43855</v>
      </c>
      <c r="Y39" s="385">
        <f t="shared" si="8"/>
        <v>17.105</v>
      </c>
      <c r="Z39" s="385">
        <f t="shared" si="9"/>
        <v>17.335827882966839</v>
      </c>
      <c r="AA39" s="386">
        <f t="shared" si="10"/>
        <v>18.569620299857231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6.6441445595948848E-2</v>
      </c>
      <c r="AD39" s="231">
        <f>(INDEX(Models!$BJ39:$BT39,,AH39)*(1-AF39)+INDEX(Models!$BJ39:$BT39,,AH39+1)*AF39-ERP_i)*AE39*Ramure*Pc/MaxiM</f>
        <v>3.5942872263535803E-4</v>
      </c>
      <c r="AE39" s="305">
        <f t="shared" si="12"/>
        <v>0.7</v>
      </c>
      <c r="AF39" s="177">
        <f t="shared" si="21"/>
        <v>1.2070559260960456E-3</v>
      </c>
      <c r="AG39" s="921">
        <f t="shared" si="22"/>
        <v>-1</v>
      </c>
      <c r="AH39" s="176">
        <f t="shared" si="13"/>
        <v>5</v>
      </c>
      <c r="AI39" s="225">
        <f t="shared" si="23"/>
        <v>-0.99879294407390395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20">
        <v>7.2969999999999997</v>
      </c>
      <c r="C40" s="390"/>
      <c r="D40" s="393">
        <f t="shared" si="0"/>
        <v>7.395633252685605</v>
      </c>
      <c r="E40" s="385">
        <f t="shared" si="17"/>
        <v>7.9223924629725877</v>
      </c>
      <c r="F40" s="385">
        <f t="shared" si="1"/>
        <v>7.9223924629725877</v>
      </c>
      <c r="G40" s="110">
        <f t="shared" si="18"/>
        <v>0.22668545977735755</v>
      </c>
      <c r="H40" s="414" t="b">
        <f>Wh_hp&gt;='2019'!Maxi_hp</f>
        <v>0</v>
      </c>
      <c r="I40" s="380">
        <f>IF(H40,Wh_hp,'2019'!Maxi_hp)</f>
        <v>17.50570115666876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1.3336687923213075E-2</v>
      </c>
      <c r="M40" s="959"/>
      <c r="N40" s="959"/>
      <c r="O40" s="48">
        <f>IF(t&lt;Tnet,'2019'!Resal+('2019'!Salim-'2019'!Resal)*(1-EXP(('2019'!Tnet-t)/('2019'!Tau_j))),Resal+(Salim-Resal)*(1-EXP((Tnet-t)/(Tau_j))))*Salcycl</f>
        <v>6.6489916114220796E-2</v>
      </c>
      <c r="P40" s="169">
        <f>(INDEX(Models!$BJ40:$BT40,,T40)*(1-R40)+INDEX(Models!$BJ40:$BT40,,T40+1)*R40-ERP_i)*Q40*Ramure*Pc/MaxiM</f>
        <v>3.5297832521839556E-4</v>
      </c>
      <c r="Q40" s="305">
        <f t="shared" si="2"/>
        <v>0.7</v>
      </c>
      <c r="R40" s="177">
        <f t="shared" si="3"/>
        <v>1.2850159384887316E-3</v>
      </c>
      <c r="S40" s="921">
        <f t="shared" si="4"/>
        <v>-1</v>
      </c>
      <c r="T40" s="176">
        <f t="shared" si="5"/>
        <v>5</v>
      </c>
      <c r="U40" s="251">
        <f t="shared" si="20"/>
        <v>-0.99871498406151127</v>
      </c>
      <c r="V40" s="383">
        <f t="shared" si="6"/>
        <v>32.178615797966081</v>
      </c>
      <c r="W40" s="402"/>
      <c r="X40" s="157">
        <f t="shared" si="7"/>
        <v>43856</v>
      </c>
      <c r="Y40" s="385">
        <f t="shared" si="8"/>
        <v>7.2969999999999997</v>
      </c>
      <c r="Z40" s="385">
        <f t="shared" si="9"/>
        <v>7.395633252685605</v>
      </c>
      <c r="AA40" s="386">
        <f t="shared" si="10"/>
        <v>7.9223924629725877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6.6489916114220796E-2</v>
      </c>
      <c r="AD40" s="231">
        <f>(INDEX(Models!$BJ40:$BT40,,AH40)*(1-AF40)+INDEX(Models!$BJ40:$BT40,,AH40+1)*AF40-ERP_i)*AE40*Ramure*Pc/MaxiM</f>
        <v>3.5297832521839556E-4</v>
      </c>
      <c r="AE40" s="305">
        <f t="shared" si="12"/>
        <v>0.7</v>
      </c>
      <c r="AF40" s="177">
        <f t="shared" si="21"/>
        <v>1.2850159384887316E-3</v>
      </c>
      <c r="AG40" s="921">
        <f t="shared" si="22"/>
        <v>-1</v>
      </c>
      <c r="AH40" s="176">
        <f t="shared" si="13"/>
        <v>5</v>
      </c>
      <c r="AI40" s="225">
        <f t="shared" si="23"/>
        <v>-0.99871498406151127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20">
        <v>10.266999999999999</v>
      </c>
      <c r="C41" s="390"/>
      <c r="D41" s="393">
        <f t="shared" si="0"/>
        <v>10.406006540330276</v>
      </c>
      <c r="E41" s="385">
        <f t="shared" si="17"/>
        <v>11.147761250268866</v>
      </c>
      <c r="F41" s="385">
        <f t="shared" si="1"/>
        <v>11.14784990867151</v>
      </c>
      <c r="G41" s="110">
        <f t="shared" si="18"/>
        <v>0.31594359145782985</v>
      </c>
      <c r="H41" s="414" t="b">
        <f>Wh_hp&gt;='2019'!Maxi_hp</f>
        <v>0</v>
      </c>
      <c r="I41" s="380">
        <f>IF(H41,Wh_hp,'2019'!Maxi_hp)</f>
        <v>15.003978997139566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1.3358298381952127E-2</v>
      </c>
      <c r="M41" s="959"/>
      <c r="N41" s="959"/>
      <c r="O41" s="48">
        <f>IF(t&lt;Tnet,'2019'!Resal+('2019'!Salim-'2019'!Resal)*(1-EXP(('2019'!Tnet-t)/('2019'!Tau_j))),Resal+(Salim-Resal)*(1-EXP((Tnet-t)/(Tau_j))))*Salcycl</f>
        <v>6.6538445997011267E-2</v>
      </c>
      <c r="P41" s="169">
        <f>(INDEX(Models!$BJ41:$BT41,,T41)*(1-R41)+INDEX(Models!$BJ41:$BT41,,T41+1)*R41-ERP_i)*Q41*Ramure*Pc/MaxiM</f>
        <v>3.4684296193490021E-4</v>
      </c>
      <c r="Q41" s="305">
        <f t="shared" si="2"/>
        <v>0.7</v>
      </c>
      <c r="R41" s="177">
        <f t="shared" si="3"/>
        <v>1.3662206203104432E-3</v>
      </c>
      <c r="S41" s="921">
        <f t="shared" si="4"/>
        <v>-1</v>
      </c>
      <c r="T41" s="176">
        <f t="shared" si="5"/>
        <v>5</v>
      </c>
      <c r="U41" s="251">
        <f t="shared" si="20"/>
        <v>-0.99863377937968956</v>
      </c>
      <c r="V41" s="383">
        <f t="shared" si="6"/>
        <v>32.485294420180693</v>
      </c>
      <c r="W41" s="402"/>
      <c r="X41" s="157">
        <f t="shared" si="7"/>
        <v>43857</v>
      </c>
      <c r="Y41" s="385">
        <f t="shared" si="8"/>
        <v>10.266999999999999</v>
      </c>
      <c r="Z41" s="385">
        <f t="shared" si="9"/>
        <v>10.406006540330276</v>
      </c>
      <c r="AA41" s="386">
        <f t="shared" si="10"/>
        <v>11.147761250268866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6.6538445997011267E-2</v>
      </c>
      <c r="AD41" s="231">
        <f>(INDEX(Models!$BJ41:$BT41,,AH41)*(1-AF41)+INDEX(Models!$BJ41:$BT41,,AH41+1)*AF41-ERP_i)*AE41*Ramure*Pc/MaxiM</f>
        <v>3.4684296193490021E-4</v>
      </c>
      <c r="AE41" s="305">
        <f t="shared" si="12"/>
        <v>0.7</v>
      </c>
      <c r="AF41" s="177">
        <f t="shared" si="21"/>
        <v>1.3662206203104432E-3</v>
      </c>
      <c r="AG41" s="921">
        <f t="shared" si="22"/>
        <v>-1</v>
      </c>
      <c r="AH41" s="176">
        <f t="shared" si="13"/>
        <v>5</v>
      </c>
      <c r="AI41" s="225">
        <f t="shared" si="23"/>
        <v>-0.99863377937968956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20">
        <v>15.191000000000001</v>
      </c>
      <c r="C42" s="390"/>
      <c r="D42" s="393">
        <f t="shared" si="0"/>
        <v>15.397010590836773</v>
      </c>
      <c r="E42" s="385">
        <f t="shared" si="17"/>
        <v>16.495389699104074</v>
      </c>
      <c r="F42" s="385">
        <f t="shared" si="1"/>
        <v>16.496701179121704</v>
      </c>
      <c r="G42" s="110">
        <f t="shared" si="18"/>
        <v>0.46305995298897962</v>
      </c>
      <c r="H42" s="414" t="b">
        <f>Wh_hp&gt;='2019'!Maxi_hp</f>
        <v>1</v>
      </c>
      <c r="I42" s="380">
        <f>IF(H42,Wh_hp,'2019'!Maxi_hp)</f>
        <v>16.496701179121704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1.33799083673668E-2</v>
      </c>
      <c r="M42" s="959"/>
      <c r="N42" s="959"/>
      <c r="O42" s="48">
        <f>IF(t&lt;Tnet,'2019'!Resal+('2019'!Salim-'2019'!Resal)*(1-EXP(('2019'!Tnet-t)/('2019'!Tau_j))),Resal+(Salim-Resal)*(1-EXP((Tnet-t)/(Tau_j))))*Salcycl</f>
        <v>6.658703603267753E-2</v>
      </c>
      <c r="P42" s="169">
        <f>(INDEX(Models!$BJ42:$BT42,,T42)*(1-R42)+INDEX(Models!$BJ42:$BT42,,T42+1)*R42-ERP_i)*Q42*Ramure*Pc/MaxiM</f>
        <v>3.4103013535034127E-4</v>
      </c>
      <c r="Q42" s="305">
        <f t="shared" si="2"/>
        <v>0.7</v>
      </c>
      <c r="R42" s="177">
        <f t="shared" si="3"/>
        <v>1.450803886156371E-3</v>
      </c>
      <c r="S42" s="921">
        <f t="shared" si="4"/>
        <v>-1</v>
      </c>
      <c r="T42" s="176">
        <f t="shared" si="5"/>
        <v>5</v>
      </c>
      <c r="U42" s="251">
        <f t="shared" si="20"/>
        <v>-0.99854919611384363</v>
      </c>
      <c r="V42" s="383">
        <f t="shared" si="6"/>
        <v>32.797106885835646</v>
      </c>
      <c r="W42" s="402"/>
      <c r="X42" s="157">
        <f t="shared" si="7"/>
        <v>43858</v>
      </c>
      <c r="Y42" s="385">
        <f t="shared" si="8"/>
        <v>15.190999999999999</v>
      </c>
      <c r="Z42" s="385">
        <f t="shared" si="9"/>
        <v>15.397010590836771</v>
      </c>
      <c r="AA42" s="386">
        <f t="shared" si="10"/>
        <v>16.495389699104074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6.658703603267753E-2</v>
      </c>
      <c r="AD42" s="231">
        <f>(INDEX(Models!$BJ42:$BT42,,AH42)*(1-AF42)+INDEX(Models!$BJ42:$BT42,,AH42+1)*AF42-ERP_i)*AE42*Ramure*Pc/MaxiM</f>
        <v>3.4103013535034127E-4</v>
      </c>
      <c r="AE42" s="305">
        <f t="shared" si="12"/>
        <v>0.7</v>
      </c>
      <c r="AF42" s="177">
        <f t="shared" si="21"/>
        <v>1.450803886156371E-3</v>
      </c>
      <c r="AG42" s="921">
        <f t="shared" si="22"/>
        <v>-1</v>
      </c>
      <c r="AH42" s="176">
        <f t="shared" si="13"/>
        <v>5</v>
      </c>
      <c r="AI42" s="225">
        <f t="shared" si="23"/>
        <v>-0.99854919611384363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20">
        <v>20.727</v>
      </c>
      <c r="C43" s="390"/>
      <c r="D43" s="393">
        <f t="shared" si="0"/>
        <v>21.008546410339786</v>
      </c>
      <c r="E43" s="385">
        <f t="shared" si="17"/>
        <v>22.508409742118715</v>
      </c>
      <c r="F43" s="385">
        <f t="shared" si="1"/>
        <v>22.511927090396647</v>
      </c>
      <c r="G43" s="110">
        <f t="shared" si="18"/>
        <v>0.62583599699806836</v>
      </c>
      <c r="H43" s="414" t="b">
        <f>Wh_hp&gt;='2019'!Maxi_hp</f>
        <v>1</v>
      </c>
      <c r="I43" s="380">
        <f>IF(H43,Wh_hp,'2019'!Maxi_hp)</f>
        <v>22.511927090396647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1.3401517879467306E-2</v>
      </c>
      <c r="M43" s="959"/>
      <c r="N43" s="959"/>
      <c r="O43" s="48">
        <f>IF(t&lt;Tnet,'2019'!Resal+('2019'!Salim-'2019'!Resal)*(1-EXP(('2019'!Tnet-t)/('2019'!Tau_j))),Resal+(Salim-Resal)*(1-EXP((Tnet-t)/(Tau_j))))*Salcycl</f>
        <v>6.6635686348481632E-2</v>
      </c>
      <c r="P43" s="169">
        <f>(INDEX(Models!$BJ43:$BT43,,T43)*(1-R43)+INDEX(Models!$BJ43:$BT43,,T43+1)*R43-ERP_i)*Q43*Ramure*Pc/MaxiM</f>
        <v>3.3554601691297849E-4</v>
      </c>
      <c r="Q43" s="305">
        <f t="shared" si="2"/>
        <v>0.7</v>
      </c>
      <c r="R43" s="177">
        <f t="shared" si="3"/>
        <v>1.5389050814416105E-3</v>
      </c>
      <c r="S43" s="921">
        <f t="shared" si="4"/>
        <v>-1</v>
      </c>
      <c r="T43" s="176">
        <f t="shared" si="5"/>
        <v>5</v>
      </c>
      <c r="U43" s="251">
        <f t="shared" si="20"/>
        <v>-0.99846109491855839</v>
      </c>
      <c r="V43" s="383">
        <f t="shared" si="6"/>
        <v>33.112961096680458</v>
      </c>
      <c r="W43" s="402"/>
      <c r="X43" s="157">
        <f t="shared" si="7"/>
        <v>43859</v>
      </c>
      <c r="Y43" s="385">
        <f t="shared" si="8"/>
        <v>20.727</v>
      </c>
      <c r="Z43" s="385">
        <f t="shared" si="9"/>
        <v>21.008546410339786</v>
      </c>
      <c r="AA43" s="386">
        <f t="shared" si="10"/>
        <v>22.508409742118715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6.6635686348481632E-2</v>
      </c>
      <c r="AD43" s="231">
        <f>(INDEX(Models!$BJ43:$BT43,,AH43)*(1-AF43)+INDEX(Models!$BJ43:$BT43,,AH43+1)*AF43-ERP_i)*AE43*Ramure*Pc/MaxiM</f>
        <v>3.3554601691297849E-4</v>
      </c>
      <c r="AE43" s="305">
        <f t="shared" si="12"/>
        <v>0.7</v>
      </c>
      <c r="AF43" s="177">
        <f t="shared" si="21"/>
        <v>1.5389050814416105E-3</v>
      </c>
      <c r="AG43" s="921">
        <f t="shared" si="22"/>
        <v>-1</v>
      </c>
      <c r="AH43" s="176">
        <f t="shared" si="13"/>
        <v>5</v>
      </c>
      <c r="AI43" s="225">
        <f t="shared" si="23"/>
        <v>-0.99846109491855839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20">
        <v>9.5980000000000008</v>
      </c>
      <c r="C44" s="390"/>
      <c r="D44" s="393">
        <f t="shared" si="0"/>
        <v>9.7285880724317622</v>
      </c>
      <c r="E44" s="385">
        <f t="shared" si="17"/>
        <v>10.423685229998675</v>
      </c>
      <c r="F44" s="385">
        <f t="shared" si="1"/>
        <v>10.423685229998675</v>
      </c>
      <c r="G44" s="110">
        <f t="shared" si="18"/>
        <v>0.28699737438815193</v>
      </c>
      <c r="H44" s="414" t="b">
        <f>Wh_hp&gt;='2019'!Maxi_hp</f>
        <v>1</v>
      </c>
      <c r="I44" s="380">
        <f>IF(H44,Wh_hp,'2019'!Maxi_hp)</f>
        <v>10.423685229998675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1.3423126918263972E-2</v>
      </c>
      <c r="M44" s="959"/>
      <c r="N44" s="959"/>
      <c r="O44" s="48">
        <f>IF(t&lt;Tnet,'2019'!Resal+('2019'!Salim-'2019'!Resal)*(1-EXP(('2019'!Tnet-t)/('2019'!Tau_j))),Resal+(Salim-Resal)*(1-EXP((Tnet-t)/(Tau_j))))*Salcycl</f>
        <v>6.6684396375138899E-2</v>
      </c>
      <c r="P44" s="169">
        <f>(INDEX(Models!$BJ44:$BT44,,T44)*(1-R44)+INDEX(Models!$BJ44:$BT44,,T44+1)*R44-ERP_i)*Q44*Ramure*Pc/MaxiM</f>
        <v>3.3049605876476156E-4</v>
      </c>
      <c r="Q44" s="305">
        <f t="shared" si="2"/>
        <v>0.7</v>
      </c>
      <c r="R44" s="177">
        <f t="shared" si="3"/>
        <v>1.6306691944351082E-3</v>
      </c>
      <c r="S44" s="921">
        <f t="shared" si="4"/>
        <v>-1</v>
      </c>
      <c r="T44" s="176">
        <f t="shared" si="5"/>
        <v>5</v>
      </c>
      <c r="U44" s="251">
        <f t="shared" si="20"/>
        <v>-0.99836933080556489</v>
      </c>
      <c r="V44" s="383">
        <f t="shared" si="6"/>
        <v>33.43176194306006</v>
      </c>
      <c r="W44" s="402"/>
      <c r="X44" s="157">
        <f t="shared" si="7"/>
        <v>43860</v>
      </c>
      <c r="Y44" s="385">
        <f t="shared" si="8"/>
        <v>9.5980000000000008</v>
      </c>
      <c r="Z44" s="385">
        <f t="shared" si="9"/>
        <v>9.7285880724317622</v>
      </c>
      <c r="AA44" s="386">
        <f t="shared" si="10"/>
        <v>10.423685229998675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6.6684396375138899E-2</v>
      </c>
      <c r="AD44" s="231">
        <f>(INDEX(Models!$BJ44:$BT44,,AH44)*(1-AF44)+INDEX(Models!$BJ44:$BT44,,AH44+1)*AF44-ERP_i)*AE44*Ramure*Pc/MaxiM</f>
        <v>3.3049605876476156E-4</v>
      </c>
      <c r="AE44" s="305">
        <f t="shared" si="12"/>
        <v>0.7</v>
      </c>
      <c r="AF44" s="177">
        <f t="shared" si="21"/>
        <v>1.6306691944351082E-3</v>
      </c>
      <c r="AG44" s="921">
        <f t="shared" si="22"/>
        <v>-1</v>
      </c>
      <c r="AH44" s="176">
        <f t="shared" si="13"/>
        <v>5</v>
      </c>
      <c r="AI44" s="225">
        <f t="shared" si="23"/>
        <v>-0.99836933080556489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20">
        <v>24.128</v>
      </c>
      <c r="C45" s="390"/>
      <c r="D45" s="393">
        <f t="shared" si="0"/>
        <v>24.456815414016777</v>
      </c>
      <c r="E45" s="385">
        <f t="shared" si="17"/>
        <v>26.205597897848026</v>
      </c>
      <c r="F45" s="385">
        <f t="shared" si="1"/>
        <v>26.210661022055326</v>
      </c>
      <c r="G45" s="110">
        <f t="shared" si="18"/>
        <v>0.71475760093097862</v>
      </c>
      <c r="H45" s="414" t="b">
        <f>Wh_hp&gt;='2019'!Maxi_hp</f>
        <v>1</v>
      </c>
      <c r="I45" s="380">
        <f>IF(H45,Wh_hp,'2019'!Maxi_hp)</f>
        <v>26.210661022055326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1.3444735483767234E-2</v>
      </c>
      <c r="M45" s="959"/>
      <c r="N45" s="959"/>
      <c r="O45" s="48">
        <f>IF(t&lt;Tnet,'2019'!Resal+('2019'!Salim-'2019'!Resal)*(1-EXP(('2019'!Tnet-t)/('2019'!Tau_j))),Resal+(Salim-Resal)*(1-EXP((Tnet-t)/(Tau_j))))*Salcycl</f>
        <v>6.6733164824102645E-2</v>
      </c>
      <c r="P45" s="169">
        <f>(INDEX(Models!$BJ45:$BT45,,T45)*(1-R45)+INDEX(Models!$BJ45:$BT45,,T45+1)*R45-ERP_i)*Q45*Ramure*Pc/MaxiM</f>
        <v>3.2594543332326042E-4</v>
      </c>
      <c r="Q45" s="305">
        <f t="shared" si="2"/>
        <v>0.7</v>
      </c>
      <c r="R45" s="177">
        <f t="shared" si="3"/>
        <v>1.7262470758652171E-3</v>
      </c>
      <c r="S45" s="921">
        <f t="shared" si="4"/>
        <v>-1</v>
      </c>
      <c r="T45" s="176">
        <f t="shared" si="5"/>
        <v>5</v>
      </c>
      <c r="U45" s="251">
        <f t="shared" si="20"/>
        <v>-0.99827375292413478</v>
      </c>
      <c r="V45" s="383">
        <f t="shared" si="6"/>
        <v>33.752415859475491</v>
      </c>
      <c r="W45" s="402"/>
      <c r="X45" s="157">
        <f t="shared" si="7"/>
        <v>43861</v>
      </c>
      <c r="Y45" s="385">
        <f t="shared" si="8"/>
        <v>24.128</v>
      </c>
      <c r="Z45" s="385">
        <f t="shared" si="9"/>
        <v>24.456815414016777</v>
      </c>
      <c r="AA45" s="386">
        <f t="shared" si="10"/>
        <v>26.205597897848026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6.6733164824102645E-2</v>
      </c>
      <c r="AD45" s="231">
        <f>(INDEX(Models!$BJ45:$BT45,,AH45)*(1-AF45)+INDEX(Models!$BJ45:$BT45,,AH45+1)*AF45-ERP_i)*AE45*Ramure*Pc/MaxiM</f>
        <v>3.2594543332326042E-4</v>
      </c>
      <c r="AE45" s="305">
        <f t="shared" si="12"/>
        <v>0.7</v>
      </c>
      <c r="AF45" s="177">
        <f t="shared" si="21"/>
        <v>1.7262470758652171E-3</v>
      </c>
      <c r="AG45" s="921">
        <f t="shared" si="22"/>
        <v>-1</v>
      </c>
      <c r="AH45" s="176">
        <f t="shared" si="13"/>
        <v>5</v>
      </c>
      <c r="AI45" s="225">
        <f t="shared" si="23"/>
        <v>-0.99827375292413478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20">
        <v>14.878</v>
      </c>
      <c r="C46" s="390"/>
      <c r="D46" s="393">
        <f t="shared" si="0"/>
        <v>15.08108710039329</v>
      </c>
      <c r="E46" s="385">
        <f t="shared" si="17"/>
        <v>16.160304380734065</v>
      </c>
      <c r="F46" s="385">
        <f t="shared" si="1"/>
        <v>16.161319848903666</v>
      </c>
      <c r="G46" s="110">
        <f t="shared" si="18"/>
        <v>0.43652693838793288</v>
      </c>
      <c r="H46" s="414" t="b">
        <f>Wh_hp&gt;='2019'!Maxi_hp</f>
        <v>0</v>
      </c>
      <c r="I46" s="380">
        <f>IF(H46,Wh_hp,'2019'!Maxi_hp)</f>
        <v>29.47119267155292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1.3466343575987527E-2</v>
      </c>
      <c r="M46" s="959"/>
      <c r="N46" s="959"/>
      <c r="O46" s="48">
        <f>IF(t&lt;Tnet,'2019'!Resal+('2019'!Salim-'2019'!Resal)*(1-EXP(('2019'!Tnet-t)/('2019'!Tau_j))),Resal+(Salim-Resal)*(1-EXP((Tnet-t)/(Tau_j))))*Salcycl</f>
        <v>6.6781989677582615E-2</v>
      </c>
      <c r="P46" s="169">
        <f>(INDEX(Models!$BJ46:$BT46,,T46)*(1-R46)+INDEX(Models!$BJ46:$BT46,,T46+1)*R46-ERP_i)*Q46*Ramure*Pc/MaxiM</f>
        <v>3.2189148098499298E-4</v>
      </c>
      <c r="Q46" s="305">
        <f t="shared" si="2"/>
        <v>0.7</v>
      </c>
      <c r="R46" s="177">
        <f t="shared" si="3"/>
        <v>1.8257956663056962E-3</v>
      </c>
      <c r="S46" s="921">
        <f t="shared" si="4"/>
        <v>-1</v>
      </c>
      <c r="T46" s="176">
        <f t="shared" si="5"/>
        <v>5</v>
      </c>
      <c r="U46" s="251">
        <f t="shared" si="20"/>
        <v>-0.9981742043336943</v>
      </c>
      <c r="V46" s="383">
        <f t="shared" si="6"/>
        <v>34.073831833386777</v>
      </c>
      <c r="W46" s="402"/>
      <c r="X46" s="157">
        <f t="shared" si="7"/>
        <v>43862</v>
      </c>
      <c r="Y46" s="385">
        <f t="shared" si="8"/>
        <v>14.877999999999998</v>
      </c>
      <c r="Z46" s="385">
        <f t="shared" si="9"/>
        <v>15.081087100393288</v>
      </c>
      <c r="AA46" s="386">
        <f t="shared" si="10"/>
        <v>16.160304380734065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6.6781989677582615E-2</v>
      </c>
      <c r="AD46" s="231">
        <f>(INDEX(Models!$BJ46:$BT46,,AH46)*(1-AF46)+INDEX(Models!$BJ46:$BT46,,AH46+1)*AF46-ERP_i)*AE46*Ramure*Pc/MaxiM</f>
        <v>3.2189148098499298E-4</v>
      </c>
      <c r="AE46" s="305">
        <f t="shared" si="12"/>
        <v>0.7</v>
      </c>
      <c r="AF46" s="177">
        <f t="shared" si="21"/>
        <v>1.8257956663056962E-3</v>
      </c>
      <c r="AG46" s="921">
        <f t="shared" si="22"/>
        <v>-1</v>
      </c>
      <c r="AH46" s="176">
        <f t="shared" si="13"/>
        <v>5</v>
      </c>
      <c r="AI46" s="225">
        <f t="shared" si="23"/>
        <v>-0.9981742043336943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20">
        <v>28.776</v>
      </c>
      <c r="C47" s="390"/>
      <c r="D47" s="393">
        <f t="shared" si="0"/>
        <v>29.16943592818312</v>
      </c>
      <c r="E47" s="385">
        <f t="shared" si="17"/>
        <v>31.258466374301989</v>
      </c>
      <c r="F47" s="385">
        <f t="shared" si="1"/>
        <v>31.26609653576114</v>
      </c>
      <c r="G47" s="110">
        <f t="shared" si="18"/>
        <v>0.83657302674169531</v>
      </c>
      <c r="H47" s="414" t="b">
        <f>Wh_hp&gt;='2019'!Maxi_hp</f>
        <v>1</v>
      </c>
      <c r="I47" s="380">
        <f>IF(H47,Wh_hp,'2019'!Maxi_hp)</f>
        <v>31.26609653576114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1.3487951194935066E-2</v>
      </c>
      <c r="M47" s="959"/>
      <c r="N47" s="959"/>
      <c r="O47" s="48">
        <f>IF(t&lt;Tnet,'2019'!Resal+('2019'!Salim-'2019'!Resal)*(1-EXP(('2019'!Tnet-t)/('2019'!Tau_j))),Resal+(Salim-Resal)*(1-EXP((Tnet-t)/(Tau_j))))*Salcycl</f>
        <v>6.6830868191162809E-2</v>
      </c>
      <c r="P47" s="169">
        <f>(INDEX(Models!$BJ47:$BT47,,T47)*(1-R47)+INDEX(Models!$BJ47:$BT47,,T47+1)*R47-ERP_i)*Q47*Ramure*Pc/MaxiM</f>
        <v>3.1833101189888675E-4</v>
      </c>
      <c r="Q47" s="305">
        <f t="shared" si="2"/>
        <v>0.7</v>
      </c>
      <c r="R47" s="177">
        <f t="shared" si="3"/>
        <v>1.929478231550541E-3</v>
      </c>
      <c r="S47" s="921">
        <f t="shared" si="4"/>
        <v>-1</v>
      </c>
      <c r="T47" s="176">
        <f t="shared" si="5"/>
        <v>5</v>
      </c>
      <c r="U47" s="251">
        <f t="shared" si="20"/>
        <v>-0.99807052176844946</v>
      </c>
      <c r="V47" s="383">
        <f t="shared" si="6"/>
        <v>34.394919205877606</v>
      </c>
      <c r="W47" s="402"/>
      <c r="X47" s="157">
        <f t="shared" si="7"/>
        <v>43863</v>
      </c>
      <c r="Y47" s="385">
        <f t="shared" si="8"/>
        <v>28.776</v>
      </c>
      <c r="Z47" s="385">
        <f t="shared" si="9"/>
        <v>29.16943592818312</v>
      </c>
      <c r="AA47" s="386">
        <f t="shared" si="10"/>
        <v>31.258466374301989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6.6830868191162809E-2</v>
      </c>
      <c r="AD47" s="231">
        <f>(INDEX(Models!$BJ47:$BT47,,AH47)*(1-AF47)+INDEX(Models!$BJ47:$BT47,,AH47+1)*AF47-ERP_i)*AE47*Ramure*Pc/MaxiM</f>
        <v>3.1833101189888675E-4</v>
      </c>
      <c r="AE47" s="305">
        <f t="shared" si="12"/>
        <v>0.7</v>
      </c>
      <c r="AF47" s="177">
        <f t="shared" si="21"/>
        <v>1.929478231550541E-3</v>
      </c>
      <c r="AG47" s="921">
        <f t="shared" si="22"/>
        <v>-1</v>
      </c>
      <c r="AH47" s="176">
        <f t="shared" si="13"/>
        <v>5</v>
      </c>
      <c r="AI47" s="225">
        <f t="shared" si="23"/>
        <v>-0.99807052176844946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20">
        <v>26.414000000000001</v>
      </c>
      <c r="C48" s="390"/>
      <c r="D48" s="393">
        <f t="shared" si="0"/>
        <v>26.775728263082712</v>
      </c>
      <c r="E48" s="385">
        <f t="shared" si="17"/>
        <v>28.694832856881632</v>
      </c>
      <c r="F48" s="385">
        <f t="shared" si="1"/>
        <v>28.70079034414249</v>
      </c>
      <c r="G48" s="110">
        <f t="shared" si="18"/>
        <v>0.76080854485174709</v>
      </c>
      <c r="H48" s="414" t="b">
        <f>Wh_hp&gt;='2019'!Maxi_hp</f>
        <v>1</v>
      </c>
      <c r="I48" s="380">
        <f>IF(H48,Wh_hp,'2019'!Maxi_hp)</f>
        <v>28.70079034414249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1.3509558340620287E-2</v>
      </c>
      <c r="M48" s="959"/>
      <c r="N48" s="959"/>
      <c r="O48" s="48">
        <f>IF(t&lt;Tnet,'2019'!Resal+('2019'!Salim-'2019'!Resal)*(1-EXP(('2019'!Tnet-t)/('2019'!Tau_j))),Resal+(Salim-Resal)*(1-EXP((Tnet-t)/(Tau_j))))*Salcycl</f>
        <v>6.6879796908755243E-2</v>
      </c>
      <c r="P48" s="169">
        <f>(INDEX(Models!$BJ48:$BT48,,T48)*(1-R48)+INDEX(Models!$BJ48:$BT48,,T48+1)*R48-ERP_i)*Q48*Ramure*Pc/MaxiM</f>
        <v>3.152604919612141E-4</v>
      </c>
      <c r="Q48" s="305">
        <f t="shared" si="2"/>
        <v>0.7</v>
      </c>
      <c r="R48" s="177">
        <f t="shared" si="3"/>
        <v>2.0374646061834811E-3</v>
      </c>
      <c r="S48" s="921">
        <f t="shared" si="4"/>
        <v>-1</v>
      </c>
      <c r="T48" s="176">
        <f t="shared" si="5"/>
        <v>5</v>
      </c>
      <c r="U48" s="251">
        <f t="shared" si="20"/>
        <v>-0.99796253539381652</v>
      </c>
      <c r="V48" s="383">
        <f t="shared" si="6"/>
        <v>34.714587672024457</v>
      </c>
      <c r="W48" s="402"/>
      <c r="X48" s="157">
        <f t="shared" si="7"/>
        <v>43864</v>
      </c>
      <c r="Y48" s="385">
        <f t="shared" si="8"/>
        <v>26.414000000000001</v>
      </c>
      <c r="Z48" s="385">
        <f t="shared" si="9"/>
        <v>26.775728263082712</v>
      </c>
      <c r="AA48" s="386">
        <f t="shared" si="10"/>
        <v>28.694832856881632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6.6879796908755243E-2</v>
      </c>
      <c r="AD48" s="231">
        <f>(INDEX(Models!$BJ48:$BT48,,AH48)*(1-AF48)+INDEX(Models!$BJ48:$BT48,,AH48+1)*AF48-ERP_i)*AE48*Ramure*Pc/MaxiM</f>
        <v>3.152604919612141E-4</v>
      </c>
      <c r="AE48" s="305">
        <f t="shared" si="12"/>
        <v>0.7</v>
      </c>
      <c r="AF48" s="177">
        <f t="shared" si="21"/>
        <v>2.0374646061834811E-3</v>
      </c>
      <c r="AG48" s="921">
        <f t="shared" si="22"/>
        <v>-1</v>
      </c>
      <c r="AH48" s="176">
        <f t="shared" si="13"/>
        <v>5</v>
      </c>
      <c r="AI48" s="225">
        <f t="shared" si="23"/>
        <v>-0.99796253539381652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20">
        <v>17.2</v>
      </c>
      <c r="C49" s="390"/>
      <c r="D49" s="393">
        <f t="shared" si="0"/>
        <v>17.435928424670003</v>
      </c>
      <c r="E49" s="385">
        <f t="shared" si="17"/>
        <v>18.686599581728686</v>
      </c>
      <c r="F49" s="385">
        <f t="shared" si="1"/>
        <v>18.688193842441812</v>
      </c>
      <c r="G49" s="110">
        <f t="shared" si="18"/>
        <v>0.4908715743463502</v>
      </c>
      <c r="H49" s="414" t="b">
        <f>Wh_hp&gt;='2019'!Maxi_hp</f>
        <v>0</v>
      </c>
      <c r="I49" s="380">
        <f>IF(H49,Wh_hp,'2019'!Maxi_hp)</f>
        <v>29.923583051666235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1.3531165013053625E-2</v>
      </c>
      <c r="M49" s="959"/>
      <c r="N49" s="959"/>
      <c r="O49" s="48">
        <f>IF(t&lt;Tnet,'2019'!Resal+('2019'!Salim-'2019'!Resal)*(1-EXP(('2019'!Tnet-t)/('2019'!Tau_j))),Resal+(Salim-Resal)*(1-EXP((Tnet-t)/(Tau_j))))*Salcycl</f>
        <v>6.6928771689503078E-2</v>
      </c>
      <c r="P49" s="169">
        <f>(INDEX(Models!$BJ49:$BT49,,T49)*(1-R49)+INDEX(Models!$BJ49:$BT49,,T49+1)*R49-ERP_i)*Q49*Ramure*Pc/MaxiM</f>
        <v>3.1267621633831891E-4</v>
      </c>
      <c r="Q49" s="305">
        <f t="shared" si="2"/>
        <v>0.7</v>
      </c>
      <c r="R49" s="177">
        <f t="shared" si="3"/>
        <v>2.1499314455495355E-3</v>
      </c>
      <c r="S49" s="921">
        <f t="shared" si="4"/>
        <v>-1</v>
      </c>
      <c r="T49" s="176">
        <f t="shared" si="5"/>
        <v>5</v>
      </c>
      <c r="U49" s="251">
        <f t="shared" si="20"/>
        <v>-0.99785006855445046</v>
      </c>
      <c r="V49" s="383">
        <f t="shared" si="6"/>
        <v>35.031747282464096</v>
      </c>
      <c r="W49" s="402"/>
      <c r="X49" s="157">
        <f t="shared" si="7"/>
        <v>43865</v>
      </c>
      <c r="Y49" s="385">
        <f t="shared" si="8"/>
        <v>17.2</v>
      </c>
      <c r="Z49" s="385">
        <f t="shared" si="9"/>
        <v>17.435928424670003</v>
      </c>
      <c r="AA49" s="386">
        <f t="shared" si="10"/>
        <v>18.686599581728686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6.6928771689503078E-2</v>
      </c>
      <c r="AD49" s="231">
        <f>(INDEX(Models!$BJ49:$BT49,,AH49)*(1-AF49)+INDEX(Models!$BJ49:$BT49,,AH49+1)*AF49-ERP_i)*AE49*Ramure*Pc/MaxiM</f>
        <v>3.1267621633831891E-4</v>
      </c>
      <c r="AE49" s="305">
        <f t="shared" si="12"/>
        <v>0.7</v>
      </c>
      <c r="AF49" s="177">
        <f t="shared" si="21"/>
        <v>2.1499314455495355E-3</v>
      </c>
      <c r="AG49" s="921">
        <f t="shared" si="22"/>
        <v>-1</v>
      </c>
      <c r="AH49" s="176">
        <f t="shared" si="13"/>
        <v>5</v>
      </c>
      <c r="AI49" s="225">
        <f t="shared" si="23"/>
        <v>-0.99785006855445046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20">
        <v>34.588000000000001</v>
      </c>
      <c r="C50" s="390"/>
      <c r="D50" s="393">
        <f t="shared" si="0"/>
        <v>35.063203576034383</v>
      </c>
      <c r="E50" s="385">
        <f t="shared" si="17"/>
        <v>37.580245266973201</v>
      </c>
      <c r="F50" s="385">
        <f t="shared" si="1"/>
        <v>37.591562892350396</v>
      </c>
      <c r="G50" s="110">
        <f t="shared" si="18"/>
        <v>0.97856469848532968</v>
      </c>
      <c r="H50" s="414" t="b">
        <f>Wh_hp&gt;='2019'!Maxi_hp</f>
        <v>1</v>
      </c>
      <c r="I50" s="380">
        <f>IF(H50,Wh_hp,'2019'!Maxi_hp)</f>
        <v>37.591562892350396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1.3552771212245407E-2</v>
      </c>
      <c r="M50" s="959"/>
      <c r="N50" s="959"/>
      <c r="O50" s="48">
        <f>IF(t&lt;Tnet,'2019'!Resal+('2019'!Salim-'2019'!Resal)*(1-EXP(('2019'!Tnet-t)/('2019'!Tau_j))),Resal+(Salim-Resal)*(1-EXP((Tnet-t)/(Tau_j))))*Salcycl</f>
        <v>6.697778774612953E-2</v>
      </c>
      <c r="P50" s="169">
        <f>(INDEX(Models!$BJ50:$BT50,,T50)*(1-R50)+INDEX(Models!$BJ50:$BT50,,T50+1)*R50-ERP_i)*Q50*Ramure*Pc/MaxiM</f>
        <v>3.105744711534738E-4</v>
      </c>
      <c r="Q50" s="305">
        <f t="shared" si="2"/>
        <v>0.7</v>
      </c>
      <c r="R50" s="177">
        <f t="shared" si="3"/>
        <v>2.2670624863303512E-3</v>
      </c>
      <c r="S50" s="921">
        <f t="shared" si="4"/>
        <v>-1</v>
      </c>
      <c r="T50" s="176">
        <f t="shared" si="5"/>
        <v>5</v>
      </c>
      <c r="U50" s="251">
        <f t="shared" si="20"/>
        <v>-0.99773293751366965</v>
      </c>
      <c r="V50" s="383">
        <f t="shared" si="6"/>
        <v>35.345308442777693</v>
      </c>
      <c r="W50" s="402"/>
      <c r="X50" s="157">
        <f t="shared" si="7"/>
        <v>43866</v>
      </c>
      <c r="Y50" s="385">
        <f t="shared" si="8"/>
        <v>34.588000000000001</v>
      </c>
      <c r="Z50" s="385">
        <f t="shared" si="9"/>
        <v>35.063203576034383</v>
      </c>
      <c r="AA50" s="386">
        <f t="shared" si="10"/>
        <v>37.580245266973201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6.697778774612953E-2</v>
      </c>
      <c r="AD50" s="231">
        <f>(INDEX(Models!$BJ50:$BT50,,AH50)*(1-AF50)+INDEX(Models!$BJ50:$BT50,,AH50+1)*AF50-ERP_i)*AE50*Ramure*Pc/MaxiM</f>
        <v>3.105744711534738E-4</v>
      </c>
      <c r="AE50" s="305">
        <f t="shared" si="12"/>
        <v>0.7</v>
      </c>
      <c r="AF50" s="177">
        <f t="shared" si="21"/>
        <v>2.2670624863303512E-3</v>
      </c>
      <c r="AG50" s="921">
        <f t="shared" si="22"/>
        <v>-1</v>
      </c>
      <c r="AH50" s="176">
        <f t="shared" si="13"/>
        <v>5</v>
      </c>
      <c r="AI50" s="225">
        <f t="shared" si="23"/>
        <v>-0.99773293751366965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20">
        <v>36.569000000000003</v>
      </c>
      <c r="C51" s="390"/>
      <c r="D51" s="393">
        <f t="shared" si="0"/>
        <v>37.07223245731641</v>
      </c>
      <c r="E51" s="385">
        <f t="shared" si="17"/>
        <v>39.735583009871448</v>
      </c>
      <c r="F51" s="385">
        <f t="shared" si="1"/>
        <v>39.747861870771352</v>
      </c>
      <c r="G51" s="110">
        <f t="shared" si="18"/>
        <v>1.0255488094496483</v>
      </c>
      <c r="H51" s="414" t="b">
        <f>Wh_hp&gt;='2019'!Maxi_hp</f>
        <v>1</v>
      </c>
      <c r="I51" s="380">
        <f>IF(H51,Wh_hp,'2019'!Maxi_hp)</f>
        <v>39.747861870771352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1.3574376938205956E-2</v>
      </c>
      <c r="M51" s="959"/>
      <c r="N51" s="959"/>
      <c r="O51" s="48">
        <f>IF(t&lt;Tnet,'2019'!Resal+('2019'!Salim-'2019'!Resal)*(1-EXP(('2019'!Tnet-t)/('2019'!Tau_j))),Resal+(Salim-Resal)*(1-EXP((Tnet-t)/(Tau_j))))*Salcycl</f>
        <v>6.7026839694119725E-2</v>
      </c>
      <c r="P51" s="169">
        <f>(INDEX(Models!$BJ51:$BT51,,T51)*(1-R51)+INDEX(Models!$BJ51:$BT51,,T51+1)*R51-ERP_i)*Q51*Ramure*Pc/MaxiM</f>
        <v>3.0891877756395066E-4</v>
      </c>
      <c r="Q51" s="305">
        <f t="shared" si="2"/>
        <v>0.7</v>
      </c>
      <c r="R51" s="177">
        <f t="shared" si="3"/>
        <v>2.3890488159244994E-3</v>
      </c>
      <c r="S51" s="921">
        <f t="shared" si="4"/>
        <v>-1</v>
      </c>
      <c r="T51" s="176">
        <f t="shared" si="5"/>
        <v>5</v>
      </c>
      <c r="U51" s="251">
        <f t="shared" si="20"/>
        <v>-0.9976109511840755</v>
      </c>
      <c r="V51" s="383">
        <f t="shared" si="6"/>
        <v>35.657981037123363</v>
      </c>
      <c r="W51" s="402"/>
      <c r="X51" s="157">
        <f t="shared" si="7"/>
        <v>43867</v>
      </c>
      <c r="Y51" s="385">
        <f t="shared" si="8"/>
        <v>36.569000000000003</v>
      </c>
      <c r="Z51" s="385">
        <f t="shared" si="9"/>
        <v>37.07223245731641</v>
      </c>
      <c r="AA51" s="386">
        <f t="shared" si="10"/>
        <v>39.735583009871448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6.7026839694119725E-2</v>
      </c>
      <c r="AD51" s="231">
        <f>(INDEX(Models!$BJ51:$BT51,,AH51)*(1-AF51)+INDEX(Models!$BJ51:$BT51,,AH51+1)*AF51-ERP_i)*AE51*Ramure*Pc/MaxiM</f>
        <v>3.0891877756395066E-4</v>
      </c>
      <c r="AE51" s="305">
        <f t="shared" si="12"/>
        <v>0.7</v>
      </c>
      <c r="AF51" s="177">
        <f t="shared" si="21"/>
        <v>2.3890488159244994E-3</v>
      </c>
      <c r="AG51" s="921">
        <f t="shared" si="22"/>
        <v>-1</v>
      </c>
      <c r="AH51" s="176">
        <f t="shared" si="13"/>
        <v>5</v>
      </c>
      <c r="AI51" s="225">
        <f t="shared" si="23"/>
        <v>-0.9976109511840755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20">
        <v>23.27</v>
      </c>
      <c r="C52" s="390"/>
      <c r="D52" s="393">
        <f t="shared" si="0"/>
        <v>23.590739270999752</v>
      </c>
      <c r="E52" s="385">
        <f t="shared" si="17"/>
        <v>25.286880055381861</v>
      </c>
      <c r="F52" s="385">
        <f t="shared" si="1"/>
        <v>25.290736794333089</v>
      </c>
      <c r="G52" s="110">
        <f t="shared" si="18"/>
        <v>0.64677597744472637</v>
      </c>
      <c r="H52" s="414" t="b">
        <f>Wh_hp&gt;='2019'!Maxi_hp</f>
        <v>1</v>
      </c>
      <c r="I52" s="380">
        <f>IF(H52,Wh_hp,'2019'!Maxi_hp)</f>
        <v>25.290736794333089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1.3595982190945599E-2</v>
      </c>
      <c r="M52" s="959"/>
      <c r="N52" s="959"/>
      <c r="O52" s="48">
        <f>IF(t&lt;Tnet,'2019'!Resal+('2019'!Salim-'2019'!Resal)*(1-EXP(('2019'!Tnet-t)/('2019'!Tau_j))),Resal+(Salim-Resal)*(1-EXP((Tnet-t)/(Tau_j))))*Salcycl</f>
        <v>6.707592161102191E-2</v>
      </c>
      <c r="P52" s="169">
        <f>(INDEX(Models!$BJ52:$BT52,,T52)*(1-R52)+INDEX(Models!$BJ52:$BT52,,T52+1)*R52-ERP_i)*Q52*Ramure*Pc/MaxiM</f>
        <v>3.0773863955906613E-4</v>
      </c>
      <c r="Q52" s="305">
        <f t="shared" si="2"/>
        <v>0.7</v>
      </c>
      <c r="R52" s="177">
        <f t="shared" si="3"/>
        <v>2.5160891508259065E-3</v>
      </c>
      <c r="S52" s="921">
        <f t="shared" si="4"/>
        <v>-1</v>
      </c>
      <c r="T52" s="176">
        <f t="shared" si="5"/>
        <v>5</v>
      </c>
      <c r="U52" s="251">
        <f t="shared" si="20"/>
        <v>-0.99748391084917409</v>
      </c>
      <c r="V52" s="383">
        <f t="shared" si="6"/>
        <v>35.972868144014562</v>
      </c>
      <c r="W52" s="402"/>
      <c r="X52" s="157">
        <f t="shared" si="7"/>
        <v>43868</v>
      </c>
      <c r="Y52" s="385">
        <f t="shared" si="8"/>
        <v>23.27</v>
      </c>
      <c r="Z52" s="385">
        <f t="shared" si="9"/>
        <v>23.590739270999752</v>
      </c>
      <c r="AA52" s="386">
        <f t="shared" si="10"/>
        <v>25.286880055381861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6.707592161102191E-2</v>
      </c>
      <c r="AD52" s="231">
        <f>(INDEX(Models!$BJ52:$BT52,,AH52)*(1-AF52)+INDEX(Models!$BJ52:$BT52,,AH52+1)*AF52-ERP_i)*AE52*Ramure*Pc/MaxiM</f>
        <v>3.0773863955906613E-4</v>
      </c>
      <c r="AE52" s="305">
        <f t="shared" si="12"/>
        <v>0.7</v>
      </c>
      <c r="AF52" s="177">
        <f t="shared" si="21"/>
        <v>2.5160891508259065E-3</v>
      </c>
      <c r="AG52" s="921">
        <f t="shared" si="22"/>
        <v>-1</v>
      </c>
      <c r="AH52" s="176">
        <f t="shared" si="13"/>
        <v>5</v>
      </c>
      <c r="AI52" s="225">
        <f t="shared" si="23"/>
        <v>-0.99748391084917409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20">
        <v>28.445</v>
      </c>
      <c r="C53" s="390"/>
      <c r="D53" s="393">
        <f t="shared" si="0"/>
        <v>28.837699886229178</v>
      </c>
      <c r="E53" s="385">
        <f t="shared" si="17"/>
        <v>30.912716842149603</v>
      </c>
      <c r="F53" s="385">
        <f t="shared" si="1"/>
        <v>30.919272047037552</v>
      </c>
      <c r="G53" s="110">
        <f t="shared" si="18"/>
        <v>0.78376161348899576</v>
      </c>
      <c r="H53" s="414" t="b">
        <f>Wh_hp&gt;='2019'!Maxi_hp</f>
        <v>0</v>
      </c>
      <c r="I53" s="380">
        <f>IF(H53,Wh_hp,'2019'!Maxi_hp)</f>
        <v>31.95917350090901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1.3617586970474771E-2</v>
      </c>
      <c r="M53" s="959"/>
      <c r="N53" s="959"/>
      <c r="O53" s="48">
        <f>IF(t&lt;Tnet,'2019'!Resal+('2019'!Salim-'2019'!Resal)*(1-EXP(('2019'!Tnet-t)/('2019'!Tau_j))),Resal+(Salim-Resal)*(1-EXP((Tnet-t)/(Tau_j))))*Salcycl</f>
        <v>6.7125027105062879E-2</v>
      </c>
      <c r="P53" s="169">
        <f>(INDEX(Models!$BJ53:$BT53,,T53)*(1-R53)+INDEX(Models!$BJ53:$BT53,,T53+1)*R53-ERP_i)*Q53*Ramure*Pc/MaxiM</f>
        <v>3.067305149434167E-4</v>
      </c>
      <c r="Q53" s="305">
        <f t="shared" si="2"/>
        <v>0.7</v>
      </c>
      <c r="R53" s="177">
        <f t="shared" si="3"/>
        <v>2.648390124192157E-3</v>
      </c>
      <c r="S53" s="921">
        <f t="shared" si="4"/>
        <v>-1</v>
      </c>
      <c r="T53" s="176">
        <f t="shared" si="5"/>
        <v>5</v>
      </c>
      <c r="U53" s="251">
        <f t="shared" si="20"/>
        <v>-0.99735160987580784</v>
      </c>
      <c r="V53" s="383">
        <f t="shared" si="6"/>
        <v>36.289484740409769</v>
      </c>
      <c r="W53" s="402"/>
      <c r="X53" s="157">
        <f t="shared" si="7"/>
        <v>43869</v>
      </c>
      <c r="Y53" s="385">
        <f t="shared" si="8"/>
        <v>28.445</v>
      </c>
      <c r="Z53" s="385">
        <f t="shared" si="9"/>
        <v>28.837699886229178</v>
      </c>
      <c r="AA53" s="386">
        <f t="shared" si="10"/>
        <v>30.912716842149603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6.7125027105062879E-2</v>
      </c>
      <c r="AD53" s="231">
        <f>(INDEX(Models!$BJ53:$BT53,,AH53)*(1-AF53)+INDEX(Models!$BJ53:$BT53,,AH53+1)*AF53-ERP_i)*AE53*Ramure*Pc/MaxiM</f>
        <v>3.067305149434167E-4</v>
      </c>
      <c r="AE53" s="305">
        <f t="shared" si="12"/>
        <v>0.7</v>
      </c>
      <c r="AF53" s="177">
        <f t="shared" si="21"/>
        <v>2.648390124192157E-3</v>
      </c>
      <c r="AG53" s="921">
        <f t="shared" si="22"/>
        <v>-1</v>
      </c>
      <c r="AH53" s="176">
        <f t="shared" si="13"/>
        <v>5</v>
      </c>
      <c r="AI53" s="225">
        <f t="shared" si="23"/>
        <v>-0.99735160987580784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20">
        <v>26.402999999999999</v>
      </c>
      <c r="C54" s="390"/>
      <c r="D54" s="393">
        <f t="shared" si="0"/>
        <v>26.768095170141248</v>
      </c>
      <c r="E54" s="385">
        <f t="shared" si="17"/>
        <v>28.695704726342822</v>
      </c>
      <c r="F54" s="385">
        <f t="shared" si="1"/>
        <v>28.700988074400918</v>
      </c>
      <c r="G54" s="110">
        <f t="shared" si="18"/>
        <v>0.72116101963705737</v>
      </c>
      <c r="H54" s="414" t="b">
        <f>Wh_hp&gt;='2019'!Maxi_hp</f>
        <v>0</v>
      </c>
      <c r="I54" s="380">
        <f>IF(H54,Wh_hp,'2019'!Maxi_hp)</f>
        <v>31.847007727333747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1.3639191276803908E-2</v>
      </c>
      <c r="M54" s="959"/>
      <c r="N54" s="959"/>
      <c r="O54" s="48">
        <f>IF(t&lt;Tnet,'2019'!Resal+('2019'!Salim-'2019'!Resal)*(1-EXP(('2019'!Tnet-t)/('2019'!Tau_j))),Resal+(Salim-Resal)*(1-EXP((Tnet-t)/(Tau_j))))*Salcycl</f>
        <v>6.7174149392191684E-2</v>
      </c>
      <c r="P54" s="169">
        <f>(INDEX(Models!$BJ54:$BT54,,T54)*(1-R54)+INDEX(Models!$BJ54:$BT54,,T54+1)*R54-ERP_i)*Q54*Ramure*Pc/MaxiM</f>
        <v>3.0589448126112131E-4</v>
      </c>
      <c r="Q54" s="305">
        <f t="shared" si="2"/>
        <v>0.7</v>
      </c>
      <c r="R54" s="177">
        <f t="shared" si="3"/>
        <v>2.7861665827833004E-3</v>
      </c>
      <c r="S54" s="921">
        <f t="shared" si="4"/>
        <v>-1</v>
      </c>
      <c r="T54" s="176">
        <f t="shared" si="5"/>
        <v>5</v>
      </c>
      <c r="U54" s="251">
        <f t="shared" si="20"/>
        <v>-0.9972138334172167</v>
      </c>
      <c r="V54" s="383">
        <f t="shared" si="6"/>
        <v>36.607335235530201</v>
      </c>
      <c r="W54" s="402"/>
      <c r="X54" s="157">
        <f t="shared" si="7"/>
        <v>43870</v>
      </c>
      <c r="Y54" s="385">
        <f t="shared" si="8"/>
        <v>26.402999999999999</v>
      </c>
      <c r="Z54" s="385">
        <f t="shared" si="9"/>
        <v>26.768095170141248</v>
      </c>
      <c r="AA54" s="386">
        <f t="shared" si="10"/>
        <v>28.695704726342822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6.7174149392191684E-2</v>
      </c>
      <c r="AD54" s="231">
        <f>(INDEX(Models!$BJ54:$BT54,,AH54)*(1-AF54)+INDEX(Models!$BJ54:$BT54,,AH54+1)*AF54-ERP_i)*AE54*Ramure*Pc/MaxiM</f>
        <v>3.0589448126112131E-4</v>
      </c>
      <c r="AE54" s="305">
        <f t="shared" si="12"/>
        <v>0.7</v>
      </c>
      <c r="AF54" s="177">
        <f t="shared" si="21"/>
        <v>2.7861665827833004E-3</v>
      </c>
      <c r="AG54" s="921">
        <f t="shared" si="22"/>
        <v>-1</v>
      </c>
      <c r="AH54" s="176">
        <f t="shared" si="13"/>
        <v>5</v>
      </c>
      <c r="AI54" s="225">
        <f t="shared" si="23"/>
        <v>-0.9972138334172167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20">
        <v>7.3179999999999996</v>
      </c>
      <c r="C55" s="390"/>
      <c r="D55" s="393">
        <f t="shared" si="0"/>
        <v>7.4193542786486999</v>
      </c>
      <c r="E55" s="385">
        <f t="shared" si="17"/>
        <v>7.9540517366578642</v>
      </c>
      <c r="F55" s="385">
        <f t="shared" si="1"/>
        <v>7.9540517366578642</v>
      </c>
      <c r="G55" s="110">
        <f t="shared" si="18"/>
        <v>0.19812006008895452</v>
      </c>
      <c r="H55" s="414" t="b">
        <f>Wh_hp&gt;='2019'!Maxi_hp</f>
        <v>0</v>
      </c>
      <c r="I55" s="380">
        <f>IF(H55,Wh_hp,'2019'!Maxi_hp)</f>
        <v>8.8332908296816939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1.3660795109943225E-2</v>
      </c>
      <c r="M55" s="959"/>
      <c r="N55" s="959"/>
      <c r="O55" s="48">
        <f>IF(t&lt;Tnet,'2019'!Resal+('2019'!Salim-'2019'!Resal)*(1-EXP(('2019'!Tnet-t)/('2019'!Tau_j))),Resal+(Salim-Resal)*(1-EXP((Tnet-t)/(Tau_j))))*Salcycl</f>
        <v>6.7223281380595301E-2</v>
      </c>
      <c r="P55" s="169">
        <f>(INDEX(Models!$BJ55:$BT55,,T55)*(1-R55)+INDEX(Models!$BJ55:$BT55,,T55+1)*R55-ERP_i)*Q55*Ramure*Pc/MaxiM</f>
        <v>3.0523053337596354E-4</v>
      </c>
      <c r="Q55" s="305">
        <f t="shared" si="2"/>
        <v>0.7</v>
      </c>
      <c r="R55" s="177">
        <f t="shared" si="3"/>
        <v>2.9296418934458002E-3</v>
      </c>
      <c r="S55" s="921">
        <f t="shared" si="4"/>
        <v>-1</v>
      </c>
      <c r="T55" s="176">
        <f t="shared" si="5"/>
        <v>5</v>
      </c>
      <c r="U55" s="251">
        <f t="shared" si="20"/>
        <v>-0.9970703581065542</v>
      </c>
      <c r="V55" s="383">
        <f t="shared" si="6"/>
        <v>36.925924208139378</v>
      </c>
      <c r="W55" s="402"/>
      <c r="X55" s="157">
        <f t="shared" si="7"/>
        <v>43871</v>
      </c>
      <c r="Y55" s="385">
        <f t="shared" si="8"/>
        <v>7.3179999999999996</v>
      </c>
      <c r="Z55" s="385">
        <f t="shared" si="9"/>
        <v>7.4193542786486999</v>
      </c>
      <c r="AA55" s="386">
        <f t="shared" si="10"/>
        <v>7.9540517366578642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6.7223281380595301E-2</v>
      </c>
      <c r="AD55" s="231">
        <f>(INDEX(Models!$BJ55:$BT55,,AH55)*(1-AF55)+INDEX(Models!$BJ55:$BT55,,AH55+1)*AF55-ERP_i)*AE55*Ramure*Pc/MaxiM</f>
        <v>3.0523053337596354E-4</v>
      </c>
      <c r="AE55" s="305">
        <f t="shared" si="12"/>
        <v>0.7</v>
      </c>
      <c r="AF55" s="177">
        <f t="shared" si="21"/>
        <v>2.9296418934458002E-3</v>
      </c>
      <c r="AG55" s="921">
        <f t="shared" si="22"/>
        <v>-1</v>
      </c>
      <c r="AH55" s="176">
        <f t="shared" si="13"/>
        <v>5</v>
      </c>
      <c r="AI55" s="225">
        <f t="shared" si="23"/>
        <v>-0.9970703581065542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20">
        <v>6.9290000000000003</v>
      </c>
      <c r="C56" s="390"/>
      <c r="D56" s="393">
        <f t="shared" si="0"/>
        <v>7.0251204979520647</v>
      </c>
      <c r="E56" s="385">
        <f t="shared" si="17"/>
        <v>7.531803086630938</v>
      </c>
      <c r="F56" s="385">
        <f t="shared" si="1"/>
        <v>7.531803086630938</v>
      </c>
      <c r="G56" s="110">
        <f t="shared" si="18"/>
        <v>0.18598291774000414</v>
      </c>
      <c r="H56" s="414" t="b">
        <f>Wh_hp&gt;='2019'!Maxi_hp</f>
        <v>0</v>
      </c>
      <c r="I56" s="380">
        <f>IF(H56,Wh_hp,'2019'!Maxi_hp)</f>
        <v>26.886921640779587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1.3682398469903156E-2</v>
      </c>
      <c r="M56" s="959"/>
      <c r="N56" s="959"/>
      <c r="O56" s="48">
        <f>IF(t&lt;Tnet,'2019'!Resal+('2019'!Salim-'2019'!Resal)*(1-EXP(('2019'!Tnet-t)/('2019'!Tau_j))),Resal+(Salim-Resal)*(1-EXP((Tnet-t)/(Tau_j))))*Salcycl</f>
        <v>6.7272415761670964E-2</v>
      </c>
      <c r="P56" s="169">
        <f>(INDEX(Models!$BJ56:$BT56,,T56)*(1-R56)+INDEX(Models!$BJ56:$BT56,,T56+1)*R56-ERP_i)*Q56*Ramure*Pc/MaxiM</f>
        <v>3.0473861550731562E-4</v>
      </c>
      <c r="Q56" s="305">
        <f t="shared" si="2"/>
        <v>0.7</v>
      </c>
      <c r="R56" s="177">
        <f t="shared" si="3"/>
        <v>3.079048259307049E-3</v>
      </c>
      <c r="S56" s="921">
        <f t="shared" si="4"/>
        <v>-1</v>
      </c>
      <c r="T56" s="176">
        <f t="shared" si="5"/>
        <v>5</v>
      </c>
      <c r="U56" s="251">
        <f t="shared" si="20"/>
        <v>-0.99692095174069295</v>
      </c>
      <c r="V56" s="383">
        <f t="shared" si="6"/>
        <v>37.244756401857465</v>
      </c>
      <c r="W56" s="402"/>
      <c r="X56" s="157">
        <f t="shared" si="7"/>
        <v>43872</v>
      </c>
      <c r="Y56" s="385">
        <f t="shared" si="8"/>
        <v>6.9290000000000003</v>
      </c>
      <c r="Z56" s="385">
        <f t="shared" si="9"/>
        <v>7.0251204979520647</v>
      </c>
      <c r="AA56" s="386">
        <f t="shared" si="10"/>
        <v>7.531803086630938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6.7272415761670964E-2</v>
      </c>
      <c r="AD56" s="231">
        <f>(INDEX(Models!$BJ56:$BT56,,AH56)*(1-AF56)+INDEX(Models!$BJ56:$BT56,,AH56+1)*AF56-ERP_i)*AE56*Ramure*Pc/MaxiM</f>
        <v>3.0473861550731562E-4</v>
      </c>
      <c r="AE56" s="305">
        <f t="shared" si="12"/>
        <v>0.7</v>
      </c>
      <c r="AF56" s="177">
        <f t="shared" si="21"/>
        <v>3.079048259307049E-3</v>
      </c>
      <c r="AG56" s="921">
        <f t="shared" si="22"/>
        <v>-1</v>
      </c>
      <c r="AH56" s="176">
        <f t="shared" si="13"/>
        <v>5</v>
      </c>
      <c r="AI56" s="225">
        <f t="shared" si="23"/>
        <v>-0.99692095174069295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20">
        <v>19.186</v>
      </c>
      <c r="C57" s="390"/>
      <c r="D57" s="393">
        <f t="shared" si="0"/>
        <v>19.452578157461044</v>
      </c>
      <c r="E57" s="385">
        <f t="shared" si="17"/>
        <v>20.856682231048271</v>
      </c>
      <c r="F57" s="385">
        <f t="shared" si="1"/>
        <v>20.858594084841538</v>
      </c>
      <c r="G57" s="110">
        <f t="shared" si="18"/>
        <v>0.51065531634081252</v>
      </c>
      <c r="H57" s="414" t="b">
        <f>Wh_hp&gt;='2019'!Maxi_hp</f>
        <v>0</v>
      </c>
      <c r="I57" s="380">
        <f>IF(H57,Wh_hp,'2019'!Maxi_hp)</f>
        <v>40.986650074876621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1.3704001356694029E-2</v>
      </c>
      <c r="M57" s="959"/>
      <c r="N57" s="959"/>
      <c r="O57" s="48">
        <f>IF(t&lt;Tnet,'2019'!Resal+('2019'!Salim-'2019'!Resal)*(1-EXP(('2019'!Tnet-t)/('2019'!Tau_j))),Resal+(Salim-Resal)*(1-EXP((Tnet-t)/(Tau_j))))*Salcycl</f>
        <v>6.7321545106393238E-2</v>
      </c>
      <c r="P57" s="169">
        <f>(INDEX(Models!$BJ57:$BT57,,T57)*(1-R57)+INDEX(Models!$BJ57:$BT57,,T57+1)*R57-ERP_i)*Q57*Ramure*Pc/MaxiM</f>
        <v>3.044186520533643E-4</v>
      </c>
      <c r="Q57" s="305">
        <f t="shared" si="2"/>
        <v>0.7</v>
      </c>
      <c r="R57" s="177">
        <f t="shared" si="3"/>
        <v>3.2346270458298854E-3</v>
      </c>
      <c r="S57" s="921">
        <f t="shared" si="4"/>
        <v>-1</v>
      </c>
      <c r="T57" s="176">
        <f t="shared" si="5"/>
        <v>5</v>
      </c>
      <c r="U57" s="251">
        <f t="shared" si="20"/>
        <v>-0.99676537295417011</v>
      </c>
      <c r="V57" s="383">
        <f t="shared" si="6"/>
        <v>37.563336722766046</v>
      </c>
      <c r="W57" s="402"/>
      <c r="X57" s="157">
        <f t="shared" si="7"/>
        <v>43873</v>
      </c>
      <c r="Y57" s="385">
        <f t="shared" si="8"/>
        <v>19.186</v>
      </c>
      <c r="Z57" s="385">
        <f t="shared" si="9"/>
        <v>19.452578157461044</v>
      </c>
      <c r="AA57" s="386">
        <f t="shared" si="10"/>
        <v>20.856682231048271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6.7321545106393238E-2</v>
      </c>
      <c r="AD57" s="231">
        <f>(INDEX(Models!$BJ57:$BT57,,AH57)*(1-AF57)+INDEX(Models!$BJ57:$BT57,,AH57+1)*AF57-ERP_i)*AE57*Ramure*Pc/MaxiM</f>
        <v>3.044186520533643E-4</v>
      </c>
      <c r="AE57" s="305">
        <f t="shared" si="12"/>
        <v>0.7</v>
      </c>
      <c r="AF57" s="177">
        <f t="shared" si="21"/>
        <v>3.2346270458298854E-3</v>
      </c>
      <c r="AG57" s="921">
        <f t="shared" si="22"/>
        <v>-1</v>
      </c>
      <c r="AH57" s="176">
        <f t="shared" si="13"/>
        <v>5</v>
      </c>
      <c r="AI57" s="225">
        <f t="shared" si="23"/>
        <v>-0.99676537295417011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20">
        <v>17.577999999999999</v>
      </c>
      <c r="C58" s="390"/>
      <c r="D58" s="393">
        <f t="shared" si="0"/>
        <v>17.822626306834199</v>
      </c>
      <c r="E58" s="385">
        <f t="shared" si="17"/>
        <v>19.110085411214087</v>
      </c>
      <c r="F58" s="385">
        <f t="shared" si="1"/>
        <v>19.111448495800783</v>
      </c>
      <c r="G58" s="110">
        <f t="shared" si="18"/>
        <v>0.46392191279065947</v>
      </c>
      <c r="H58" s="414" t="b">
        <f>Wh_hp&gt;='2019'!Maxi_hp</f>
        <v>0</v>
      </c>
      <c r="I58" s="380">
        <f>IF(H58,Wh_hp,'2019'!Maxi_hp)</f>
        <v>42.930559585857665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1.3725603770326278E-2</v>
      </c>
      <c r="M58" s="959"/>
      <c r="N58" s="959"/>
      <c r="O58" s="48">
        <f>IF(t&lt;Tnet,'2019'!Resal+('2019'!Salim-'2019'!Resal)*(1-EXP(('2019'!Tnet-t)/('2019'!Tau_j))),Resal+(Salim-Resal)*(1-EXP((Tnet-t)/(Tau_j))))*Salcycl</f>
        <v>6.7370661965978865E-2</v>
      </c>
      <c r="P58" s="169">
        <f>(INDEX(Models!$BJ58:$BT58,,T58)*(1-R58)+INDEX(Models!$BJ58:$BT58,,T58+1)*R58-ERP_i)*Q58*Ramure*Pc/MaxiM</f>
        <v>3.0437136615435348E-4</v>
      </c>
      <c r="Q58" s="305">
        <f t="shared" si="2"/>
        <v>0.7</v>
      </c>
      <c r="R58" s="177">
        <f t="shared" si="3"/>
        <v>3.3966291168691098E-3</v>
      </c>
      <c r="S58" s="921">
        <f t="shared" si="4"/>
        <v>-1</v>
      </c>
      <c r="T58" s="176">
        <f t="shared" si="5"/>
        <v>5</v>
      </c>
      <c r="U58" s="251">
        <f t="shared" si="20"/>
        <v>-0.99660337088313089</v>
      </c>
      <c r="V58" s="383">
        <f t="shared" si="6"/>
        <v>37.88116641603655</v>
      </c>
      <c r="W58" s="402"/>
      <c r="X58" s="157">
        <f t="shared" si="7"/>
        <v>43874</v>
      </c>
      <c r="Y58" s="385">
        <f t="shared" si="8"/>
        <v>17.577999999999999</v>
      </c>
      <c r="Z58" s="385">
        <f t="shared" si="9"/>
        <v>17.822626306834199</v>
      </c>
      <c r="AA58" s="386">
        <f t="shared" si="10"/>
        <v>19.110085411214087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6.7370661965978865E-2</v>
      </c>
      <c r="AD58" s="231">
        <f>(INDEX(Models!$BJ58:$BT58,,AH58)*(1-AF58)+INDEX(Models!$BJ58:$BT58,,AH58+1)*AF58-ERP_i)*AE58*Ramure*Pc/MaxiM</f>
        <v>3.0437136615435348E-4</v>
      </c>
      <c r="AE58" s="305">
        <f t="shared" si="12"/>
        <v>0.7</v>
      </c>
      <c r="AF58" s="177">
        <f t="shared" si="21"/>
        <v>3.3966291168691098E-3</v>
      </c>
      <c r="AG58" s="921">
        <f t="shared" si="22"/>
        <v>-1</v>
      </c>
      <c r="AH58" s="176">
        <f t="shared" si="13"/>
        <v>5</v>
      </c>
      <c r="AI58" s="225">
        <f t="shared" si="23"/>
        <v>-0.99660337088313089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20">
        <v>28.763000000000002</v>
      </c>
      <c r="C59" s="390"/>
      <c r="D59" s="393">
        <f t="shared" si="0"/>
        <v>29.163922441132364</v>
      </c>
      <c r="E59" s="385">
        <f t="shared" si="17"/>
        <v>31.272292890423099</v>
      </c>
      <c r="F59" s="385">
        <f t="shared" si="1"/>
        <v>31.278456619347395</v>
      </c>
      <c r="G59" s="110">
        <f t="shared" si="18"/>
        <v>0.75292146406942329</v>
      </c>
      <c r="H59" s="414" t="b">
        <f>Wh_hp&gt;='2019'!Maxi_hp</f>
        <v>0</v>
      </c>
      <c r="I59" s="380">
        <f>IF(H59,Wh_hp,'2019'!Maxi_hp)</f>
        <v>42.898613753230741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1.3747205710810229E-2</v>
      </c>
      <c r="M59" s="959"/>
      <c r="N59" s="959"/>
      <c r="O59" s="48">
        <f>IF(t&lt;Tnet,'2019'!Resal+('2019'!Salim-'2019'!Resal)*(1-EXP(('2019'!Tnet-t)/('2019'!Tau_j))),Resal+(Salim-Resal)*(1-EXP((Tnet-t)/(Tau_j))))*Salcycl</f>
        <v>6.7419758975729147E-2</v>
      </c>
      <c r="P59" s="169">
        <f>(INDEX(Models!$BJ59:$BT59,,T59)*(1-R59)+INDEX(Models!$BJ59:$BT59,,T59+1)*R59-ERP_i)*Q59*Ramure*Pc/MaxiM</f>
        <v>3.0450593700332438E-4</v>
      </c>
      <c r="Q59" s="305">
        <f t="shared" si="2"/>
        <v>0.7</v>
      </c>
      <c r="R59" s="177">
        <f t="shared" si="3"/>
        <v>3.5653151808507921E-3</v>
      </c>
      <c r="S59" s="921">
        <f t="shared" si="4"/>
        <v>-1</v>
      </c>
      <c r="T59" s="176">
        <f t="shared" si="5"/>
        <v>5</v>
      </c>
      <c r="U59" s="251">
        <f t="shared" si="20"/>
        <v>-0.99643468481914921</v>
      </c>
      <c r="V59" s="383">
        <f t="shared" si="6"/>
        <v>38.19775407186124</v>
      </c>
      <c r="W59" s="402"/>
      <c r="X59" s="157">
        <f t="shared" si="7"/>
        <v>43875</v>
      </c>
      <c r="Y59" s="385">
        <f t="shared" si="8"/>
        <v>28.763000000000002</v>
      </c>
      <c r="Z59" s="385">
        <f t="shared" si="9"/>
        <v>29.163922441132364</v>
      </c>
      <c r="AA59" s="386">
        <f t="shared" si="10"/>
        <v>31.272292890423099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6.7419758975729147E-2</v>
      </c>
      <c r="AD59" s="231">
        <f>(INDEX(Models!$BJ59:$BT59,,AH59)*(1-AF59)+INDEX(Models!$BJ59:$BT59,,AH59+1)*AF59-ERP_i)*AE59*Ramure*Pc/MaxiM</f>
        <v>3.0450593700332438E-4</v>
      </c>
      <c r="AE59" s="305">
        <f t="shared" si="12"/>
        <v>0.7</v>
      </c>
      <c r="AF59" s="177">
        <f t="shared" si="21"/>
        <v>3.5653151808507921E-3</v>
      </c>
      <c r="AG59" s="921">
        <f t="shared" si="22"/>
        <v>-1</v>
      </c>
      <c r="AH59" s="176">
        <f t="shared" si="13"/>
        <v>5</v>
      </c>
      <c r="AI59" s="225">
        <f t="shared" si="23"/>
        <v>-0.99643468481914921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20">
        <v>36.554000000000002</v>
      </c>
      <c r="C60" s="390"/>
      <c r="D60" s="393">
        <f t="shared" si="0"/>
        <v>37.064331635476108</v>
      </c>
      <c r="E60" s="385">
        <f t="shared" si="17"/>
        <v>39.745943928262378</v>
      </c>
      <c r="F60" s="385">
        <f t="shared" si="1"/>
        <v>39.757182335540072</v>
      </c>
      <c r="G60" s="110">
        <f t="shared" si="18"/>
        <v>0.94912276622311476</v>
      </c>
      <c r="H60" s="414" t="b">
        <f>Wh_hp&gt;='2019'!Maxi_hp</f>
        <v>0</v>
      </c>
      <c r="I60" s="380">
        <f>IF(H60,Wh_hp,'2019'!Maxi_hp)</f>
        <v>43.307632323541206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1.3768807178156206E-2</v>
      </c>
      <c r="M60" s="959"/>
      <c r="N60" s="959"/>
      <c r="O60" s="48">
        <f>IF(t&lt;Tnet,'2019'!Resal+('2019'!Salim-'2019'!Resal)*(1-EXP(('2019'!Tnet-t)/('2019'!Tau_j))),Resal+(Salim-Resal)*(1-EXP((Tnet-t)/(Tau_j))))*Salcycl</f>
        <v>6.7468828960920477E-2</v>
      </c>
      <c r="P60" s="169">
        <f>(INDEX(Models!$BJ60:$BT60,,T60)*(1-R60)+INDEX(Models!$BJ60:$BT60,,T60+1)*R60-ERP_i)*Q60*Ramure*Pc/MaxiM</f>
        <v>3.0482199509729269E-4</v>
      </c>
      <c r="Q60" s="305">
        <f t="shared" si="2"/>
        <v>0.7</v>
      </c>
      <c r="R60" s="177">
        <f t="shared" si="3"/>
        <v>3.7409561471811736E-3</v>
      </c>
      <c r="S60" s="921">
        <f t="shared" si="4"/>
        <v>-1</v>
      </c>
      <c r="T60" s="176">
        <f t="shared" si="5"/>
        <v>5</v>
      </c>
      <c r="U60" s="251">
        <f t="shared" si="20"/>
        <v>-0.99625904385281883</v>
      </c>
      <c r="V60" s="383">
        <f t="shared" si="6"/>
        <v>38.512605063069479</v>
      </c>
      <c r="W60" s="402"/>
      <c r="X60" s="157">
        <f t="shared" si="7"/>
        <v>43876</v>
      </c>
      <c r="Y60" s="385">
        <f t="shared" si="8"/>
        <v>36.554000000000002</v>
      </c>
      <c r="Z60" s="385">
        <f t="shared" si="9"/>
        <v>37.064331635476108</v>
      </c>
      <c r="AA60" s="386">
        <f t="shared" si="10"/>
        <v>39.745943928262378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6.7468828960920477E-2</v>
      </c>
      <c r="AD60" s="231">
        <f>(INDEX(Models!$BJ60:$BT60,,AH60)*(1-AF60)+INDEX(Models!$BJ60:$BT60,,AH60+1)*AF60-ERP_i)*AE60*Ramure*Pc/MaxiM</f>
        <v>3.0482199509729269E-4</v>
      </c>
      <c r="AE60" s="305">
        <f t="shared" si="12"/>
        <v>0.7</v>
      </c>
      <c r="AF60" s="177">
        <f t="shared" si="21"/>
        <v>3.7409561471811736E-3</v>
      </c>
      <c r="AG60" s="921">
        <f t="shared" si="22"/>
        <v>-1</v>
      </c>
      <c r="AH60" s="176">
        <f t="shared" si="13"/>
        <v>5</v>
      </c>
      <c r="AI60" s="225">
        <f t="shared" si="23"/>
        <v>-0.99625904385281883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20">
        <v>21.596</v>
      </c>
      <c r="C61" s="390"/>
      <c r="D61" s="393">
        <f t="shared" si="0"/>
        <v>21.897982111468508</v>
      </c>
      <c r="E61" s="385">
        <f t="shared" si="17"/>
        <v>23.483540639084421</v>
      </c>
      <c r="F61" s="385">
        <f t="shared" si="1"/>
        <v>23.486165516179312</v>
      </c>
      <c r="G61" s="110">
        <f t="shared" si="18"/>
        <v>0.55612863897579201</v>
      </c>
      <c r="H61" s="414" t="b">
        <f>Wh_hp&gt;='2019'!Maxi_hp</f>
        <v>0</v>
      </c>
      <c r="I61" s="380">
        <f>IF(H61,Wh_hp,'2019'!Maxi_hp)</f>
        <v>43.625435149292962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1.3790408172374646E-2</v>
      </c>
      <c r="M61" s="959"/>
      <c r="N61" s="959"/>
      <c r="O61" s="48">
        <f>IF(t&lt;Tnet,'2019'!Resal+('2019'!Salim-'2019'!Resal)*(1-EXP(('2019'!Tnet-t)/('2019'!Tau_j))),Resal+(Salim-Resal)*(1-EXP((Tnet-t)/(Tau_j))))*Salcycl</f>
        <v>6.7517865043613456E-2</v>
      </c>
      <c r="P61" s="169">
        <f>(INDEX(Models!$BJ61:$BT61,,T61)*(1-R61)+INDEX(Models!$BJ61:$BT61,,T61+1)*R61-ERP_i)*Q61*Ramure*Pc/MaxiM</f>
        <v>3.0531927139547242E-4</v>
      </c>
      <c r="Q61" s="305">
        <f t="shared" si="2"/>
        <v>0.7</v>
      </c>
      <c r="R61" s="177">
        <f t="shared" si="3"/>
        <v>3.9238334929693197E-3</v>
      </c>
      <c r="S61" s="921">
        <f t="shared" si="4"/>
        <v>-1</v>
      </c>
      <c r="T61" s="176">
        <f t="shared" si="5"/>
        <v>5</v>
      </c>
      <c r="U61" s="251">
        <f t="shared" si="20"/>
        <v>-0.99607616650703068</v>
      </c>
      <c r="V61" s="383">
        <f t="shared" si="6"/>
        <v>38.825224905989252</v>
      </c>
      <c r="W61" s="402"/>
      <c r="X61" s="157">
        <f t="shared" si="7"/>
        <v>43877</v>
      </c>
      <c r="Y61" s="385">
        <f t="shared" si="8"/>
        <v>21.596</v>
      </c>
      <c r="Z61" s="385">
        <f t="shared" si="9"/>
        <v>21.897982111468508</v>
      </c>
      <c r="AA61" s="386">
        <f t="shared" si="10"/>
        <v>23.483540639084421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6.7517865043613456E-2</v>
      </c>
      <c r="AD61" s="231">
        <f>(INDEX(Models!$BJ61:$BT61,,AH61)*(1-AF61)+INDEX(Models!$BJ61:$BT61,,AH61+1)*AF61-ERP_i)*AE61*Ramure*Pc/MaxiM</f>
        <v>3.0531927139547242E-4</v>
      </c>
      <c r="AE61" s="305">
        <f t="shared" si="12"/>
        <v>0.7</v>
      </c>
      <c r="AF61" s="177">
        <f t="shared" si="21"/>
        <v>3.9238334929693197E-3</v>
      </c>
      <c r="AG61" s="921">
        <f t="shared" si="22"/>
        <v>-1</v>
      </c>
      <c r="AH61" s="176">
        <f t="shared" si="13"/>
        <v>5</v>
      </c>
      <c r="AI61" s="225">
        <f t="shared" si="23"/>
        <v>-0.99607616650703068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20">
        <v>5.7039999999999997</v>
      </c>
      <c r="C62" s="390"/>
      <c r="D62" s="393">
        <f t="shared" si="0"/>
        <v>5.7838870988919791</v>
      </c>
      <c r="E62" s="385">
        <f t="shared" si="17"/>
        <v>6.2030046503277223</v>
      </c>
      <c r="F62" s="385">
        <f t="shared" si="1"/>
        <v>6.2030046503277223</v>
      </c>
      <c r="G62" s="110">
        <f t="shared" si="18"/>
        <v>0.14570684076772664</v>
      </c>
      <c r="H62" s="414" t="b">
        <f>Wh_hp&gt;='2019'!Maxi_hp</f>
        <v>0</v>
      </c>
      <c r="I62" s="380">
        <f>IF(H62,Wh_hp,'2019'!Maxi_hp)</f>
        <v>44.343925318135149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1.3812008693475875E-2</v>
      </c>
      <c r="M62" s="959"/>
      <c r="N62" s="959"/>
      <c r="O62" s="48">
        <f>IF(t&lt;Tnet,'2019'!Resal+('2019'!Salim-'2019'!Resal)*(1-EXP(('2019'!Tnet-t)/('2019'!Tau_j))),Resal+(Salim-Resal)*(1-EXP((Tnet-t)/(Tau_j))))*Salcycl</f>
        <v>6.7566860749266114E-2</v>
      </c>
      <c r="P62" s="169">
        <f>(INDEX(Models!$BJ62:$BT62,,T62)*(1-R62)+INDEX(Models!$BJ62:$BT62,,T62+1)*R62-ERP_i)*Q62*Ramure*Pc/MaxiM</f>
        <v>3.059976230827137E-4</v>
      </c>
      <c r="Q62" s="305">
        <f t="shared" si="2"/>
        <v>0.7</v>
      </c>
      <c r="R62" s="177">
        <f t="shared" si="3"/>
        <v>4.1142396401255832E-3</v>
      </c>
      <c r="S62" s="921">
        <f t="shared" si="4"/>
        <v>-1</v>
      </c>
      <c r="T62" s="176">
        <f t="shared" si="5"/>
        <v>5</v>
      </c>
      <c r="U62" s="251">
        <f t="shared" si="20"/>
        <v>-0.99588576035987442</v>
      </c>
      <c r="V62" s="383">
        <f t="shared" si="6"/>
        <v>39.135119253927009</v>
      </c>
      <c r="W62" s="402"/>
      <c r="X62" s="157">
        <f t="shared" si="7"/>
        <v>43878</v>
      </c>
      <c r="Y62" s="385">
        <f t="shared" si="8"/>
        <v>5.7039999999999997</v>
      </c>
      <c r="Z62" s="385">
        <f t="shared" si="9"/>
        <v>5.7838870988919791</v>
      </c>
      <c r="AA62" s="386">
        <f t="shared" si="10"/>
        <v>6.2030046503277223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6.7566860749266114E-2</v>
      </c>
      <c r="AD62" s="231">
        <f>(INDEX(Models!$BJ62:$BT62,,AH62)*(1-AF62)+INDEX(Models!$BJ62:$BT62,,AH62+1)*AF62-ERP_i)*AE62*Ramure*Pc/MaxiM</f>
        <v>3.059976230827137E-4</v>
      </c>
      <c r="AE62" s="305">
        <f t="shared" si="12"/>
        <v>0.7</v>
      </c>
      <c r="AF62" s="177">
        <f t="shared" si="21"/>
        <v>4.1142396401255832E-3</v>
      </c>
      <c r="AG62" s="921">
        <f t="shared" si="22"/>
        <v>-1</v>
      </c>
      <c r="AH62" s="176">
        <f t="shared" si="13"/>
        <v>5</v>
      </c>
      <c r="AI62" s="225">
        <f t="shared" si="23"/>
        <v>-0.99588576035987442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20">
        <v>34.369999999999997</v>
      </c>
      <c r="C63" s="390"/>
      <c r="D63" s="393">
        <f t="shared" si="0"/>
        <v>34.85213074047023</v>
      </c>
      <c r="E63" s="385">
        <f t="shared" si="17"/>
        <v>37.379581419821164</v>
      </c>
      <c r="F63" s="385">
        <f t="shared" si="1"/>
        <v>37.388946891511743</v>
      </c>
      <c r="G63" s="110">
        <f t="shared" si="18"/>
        <v>0.87136153574606146</v>
      </c>
      <c r="H63" s="414" t="b">
        <f>Wh_hp&gt;='2019'!Maxi_hp</f>
        <v>0</v>
      </c>
      <c r="I63" s="380">
        <f>IF(H63,Wh_hp,'2019'!Maxi_hp)</f>
        <v>43.682090944826165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1.3833608741470216E-2</v>
      </c>
      <c r="M63" s="959"/>
      <c r="N63" s="959"/>
      <c r="O63" s="48">
        <f>IF(t&lt;Tnet,'2019'!Resal+('2019'!Salim-'2019'!Resal)*(1-EXP(('2019'!Tnet-t)/('2019'!Tau_j))),Resal+(Salim-Resal)*(1-EXP((Tnet-t)/(Tau_j))))*Salcycl</f>
        <v>6.7615810112060484E-2</v>
      </c>
      <c r="P63" s="169">
        <f>(INDEX(Models!$BJ63:$BT63,,T63)*(1-R63)+INDEX(Models!$BJ63:$BT63,,T63+1)*R63-ERP_i)*Q63*Ramure*Pc/MaxiM</f>
        <v>3.0685705854708662E-4</v>
      </c>
      <c r="Q63" s="305">
        <f t="shared" si="2"/>
        <v>0.7</v>
      </c>
      <c r="R63" s="177">
        <f t="shared" si="3"/>
        <v>4.3124783428739599E-3</v>
      </c>
      <c r="S63" s="921">
        <f t="shared" si="4"/>
        <v>-1</v>
      </c>
      <c r="T63" s="176">
        <f t="shared" si="5"/>
        <v>5</v>
      </c>
      <c r="U63" s="251">
        <f t="shared" si="20"/>
        <v>-0.99568752165712604</v>
      </c>
      <c r="V63" s="383">
        <f t="shared" si="6"/>
        <v>39.441793894021707</v>
      </c>
      <c r="W63" s="402"/>
      <c r="X63" s="157">
        <f t="shared" si="7"/>
        <v>43879</v>
      </c>
      <c r="Y63" s="385">
        <f t="shared" si="8"/>
        <v>34.369999999999997</v>
      </c>
      <c r="Z63" s="385">
        <f t="shared" si="9"/>
        <v>34.85213074047023</v>
      </c>
      <c r="AA63" s="386">
        <f t="shared" si="10"/>
        <v>37.379581419821164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6.7615810112060484E-2</v>
      </c>
      <c r="AD63" s="231">
        <f>(INDEX(Models!$BJ63:$BT63,,AH63)*(1-AF63)+INDEX(Models!$BJ63:$BT63,,AH63+1)*AF63-ERP_i)*AE63*Ramure*Pc/MaxiM</f>
        <v>3.0685705854708662E-4</v>
      </c>
      <c r="AE63" s="305">
        <f t="shared" si="12"/>
        <v>0.7</v>
      </c>
      <c r="AF63" s="177">
        <f t="shared" si="21"/>
        <v>4.3124783428739599E-3</v>
      </c>
      <c r="AG63" s="921">
        <f t="shared" si="22"/>
        <v>-1</v>
      </c>
      <c r="AH63" s="176">
        <f t="shared" si="13"/>
        <v>5</v>
      </c>
      <c r="AI63" s="225">
        <f t="shared" si="23"/>
        <v>-0.99568752165712604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20">
        <v>30.841999999999999</v>
      </c>
      <c r="C64" s="390"/>
      <c r="D64" s="393">
        <f t="shared" si="0"/>
        <v>31.27532615909664</v>
      </c>
      <c r="E64" s="385">
        <f t="shared" si="17"/>
        <v>33.545148853644235</v>
      </c>
      <c r="F64" s="385">
        <f t="shared" si="1"/>
        <v>33.552173714406024</v>
      </c>
      <c r="G64" s="110">
        <f t="shared" si="18"/>
        <v>0.7759252966290795</v>
      </c>
      <c r="H64" s="414" t="b">
        <f>Wh_hp&gt;='2019'!Maxi_hp</f>
        <v>1</v>
      </c>
      <c r="I64" s="380">
        <f>IF(H64,Wh_hp,'2019'!Maxi_hp)</f>
        <v>33.552173714406024</v>
      </c>
      <c r="J64" s="85">
        <f>IF(H64,An,'2019'!An_max)</f>
        <v>2020</v>
      </c>
      <c r="K64" s="197">
        <f t="shared" si="19"/>
        <v>43880</v>
      </c>
      <c r="L64" s="147">
        <f>IF(t&lt;Tvie,1-EXP((T0-t)*PertePVj)+'2019'!Pspv,1-EXP((T0-t)*PertePVj)+Pspv)</f>
        <v>1.3855208316368106E-2</v>
      </c>
      <c r="M64" s="959"/>
      <c r="N64" s="959"/>
      <c r="O64" s="48">
        <f>IF(t&lt;Tnet,'2019'!Resal+('2019'!Salim-'2019'!Resal)*(1-EXP(('2019'!Tnet-t)/('2019'!Tau_j))),Resal+(Salim-Resal)*(1-EXP((Tnet-t)/(Tau_j))))*Salcycl</f>
        <v>6.7664707777887981E-2</v>
      </c>
      <c r="P64" s="169">
        <f>(INDEX(Models!$BJ64:$BT64,,T64)*(1-R64)+INDEX(Models!$BJ64:$BT64,,T64+1)*R64-ERP_i)*Q64*Ramure*Pc/MaxiM</f>
        <v>3.07897761791458E-4</v>
      </c>
      <c r="Q64" s="305">
        <f t="shared" si="2"/>
        <v>0.7</v>
      </c>
      <c r="R64" s="177">
        <f t="shared" si="3"/>
        <v>4.5188650856828882E-3</v>
      </c>
      <c r="S64" s="921">
        <f t="shared" si="4"/>
        <v>-1</v>
      </c>
      <c r="T64" s="176">
        <f t="shared" si="5"/>
        <v>5</v>
      </c>
      <c r="U64" s="251">
        <f t="shared" si="20"/>
        <v>-0.99548113491431711</v>
      </c>
      <c r="V64" s="383">
        <f t="shared" si="6"/>
        <v>39.74475473751481</v>
      </c>
      <c r="W64" s="402"/>
      <c r="X64" s="157">
        <f t="shared" si="7"/>
        <v>43880</v>
      </c>
      <c r="Y64" s="385">
        <f t="shared" si="8"/>
        <v>30.842000000000002</v>
      </c>
      <c r="Z64" s="385">
        <f t="shared" si="9"/>
        <v>31.275326159096643</v>
      </c>
      <c r="AA64" s="386">
        <f t="shared" si="10"/>
        <v>33.545148853644235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6.7664707777887981E-2</v>
      </c>
      <c r="AD64" s="231">
        <f>(INDEX(Models!$BJ64:$BT64,,AH64)*(1-AF64)+INDEX(Models!$BJ64:$BT64,,AH64+1)*AF64-ERP_i)*AE64*Ramure*Pc/MaxiM</f>
        <v>3.07897761791458E-4</v>
      </c>
      <c r="AE64" s="305">
        <f t="shared" si="12"/>
        <v>0.7</v>
      </c>
      <c r="AF64" s="177">
        <f t="shared" si="21"/>
        <v>4.5188650856828882E-3</v>
      </c>
      <c r="AG64" s="921">
        <f t="shared" si="22"/>
        <v>-1</v>
      </c>
      <c r="AH64" s="176">
        <f t="shared" si="13"/>
        <v>5</v>
      </c>
      <c r="AI64" s="225">
        <f t="shared" si="23"/>
        <v>-0.99548113491431711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20">
        <v>39.555999999999997</v>
      </c>
      <c r="C65" s="390"/>
      <c r="D65" s="393">
        <f t="shared" si="0"/>
        <v>40.112635315306179</v>
      </c>
      <c r="E65" s="385">
        <f t="shared" si="17"/>
        <v>43.026084179121312</v>
      </c>
      <c r="F65" s="385">
        <f t="shared" si="1"/>
        <v>43.039156245729039</v>
      </c>
      <c r="G65" s="110">
        <f t="shared" si="18"/>
        <v>0.98779498686593659</v>
      </c>
      <c r="H65" s="414" t="b">
        <f>Wh_hp&gt;='2019'!Maxi_hp</f>
        <v>0</v>
      </c>
      <c r="I65" s="380">
        <f>IF(H65,Wh_hp,'2019'!Maxi_hp)</f>
        <v>43.218540620250515</v>
      </c>
      <c r="J65" s="85">
        <f>IF(H65,An,'2019'!An_max)</f>
        <v>2019</v>
      </c>
      <c r="K65" s="197">
        <f t="shared" si="19"/>
        <v>43881</v>
      </c>
      <c r="L65" s="147">
        <f>IF(t&lt;Tvie,1-EXP((T0-t)*PertePVj)+'2019'!Pspv,1-EXP((T0-t)*PertePVj)+Pspv)</f>
        <v>1.3876807418179871E-2</v>
      </c>
      <c r="M65" s="959"/>
      <c r="N65" s="959"/>
      <c r="O65" s="48">
        <f>IF(t&lt;Tnet,'2019'!Resal+('2019'!Salim-'2019'!Resal)*(1-EXP(('2019'!Tnet-t)/('2019'!Tau_j))),Resal+(Salim-Resal)*(1-EXP((Tnet-t)/(Tau_j))))*Salcycl</f>
        <v>6.7713549103985207E-2</v>
      </c>
      <c r="P65" s="169">
        <f>(INDEX(Models!$BJ65:$BT65,,T65)*(1-R65)+INDEX(Models!$BJ65:$BT65,,T65+1)*R65-ERP_i)*Q65*Ramure*Pc/MaxiM</f>
        <v>3.0911222144233436E-4</v>
      </c>
      <c r="Q65" s="305">
        <f t="shared" si="2"/>
        <v>0.7</v>
      </c>
      <c r="R65" s="177">
        <f t="shared" si="3"/>
        <v>4.733727491593176E-3</v>
      </c>
      <c r="S65" s="921">
        <f t="shared" si="4"/>
        <v>-1</v>
      </c>
      <c r="T65" s="176">
        <f t="shared" si="5"/>
        <v>5</v>
      </c>
      <c r="U65" s="251">
        <f t="shared" si="20"/>
        <v>-0.99526627250840682</v>
      </c>
      <c r="V65" s="383">
        <f t="shared" si="6"/>
        <v>40.04453086241687</v>
      </c>
      <c r="W65" s="402"/>
      <c r="X65" s="157">
        <f t="shared" si="7"/>
        <v>43881</v>
      </c>
      <c r="Y65" s="385">
        <f t="shared" si="8"/>
        <v>39.555999999999997</v>
      </c>
      <c r="Z65" s="385">
        <f t="shared" si="9"/>
        <v>40.112635315306179</v>
      </c>
      <c r="AA65" s="386">
        <f t="shared" si="10"/>
        <v>43.026084179121312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6.7713549103985207E-2</v>
      </c>
      <c r="AD65" s="231">
        <f>(INDEX(Models!$BJ65:$BT65,,AH65)*(1-AF65)+INDEX(Models!$BJ65:$BT65,,AH65+1)*AF65-ERP_i)*AE65*Ramure*Pc/MaxiM</f>
        <v>3.0911222144233436E-4</v>
      </c>
      <c r="AE65" s="305">
        <f t="shared" si="12"/>
        <v>0.7</v>
      </c>
      <c r="AF65" s="177">
        <f t="shared" si="21"/>
        <v>4.733727491593176E-3</v>
      </c>
      <c r="AG65" s="921">
        <f t="shared" si="22"/>
        <v>-1</v>
      </c>
      <c r="AH65" s="176">
        <f t="shared" si="13"/>
        <v>5</v>
      </c>
      <c r="AI65" s="225">
        <f t="shared" si="23"/>
        <v>-0.99526627250840682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20">
        <v>16.716000000000001</v>
      </c>
      <c r="C66" s="390"/>
      <c r="D66" s="393">
        <f t="shared" si="0"/>
        <v>16.951600223044871</v>
      </c>
      <c r="E66" s="385">
        <f t="shared" si="17"/>
        <v>18.183775203664968</v>
      </c>
      <c r="F66" s="385">
        <f t="shared" si="1"/>
        <v>18.18469666771049</v>
      </c>
      <c r="G66" s="110">
        <f t="shared" si="18"/>
        <v>0.41424909866434245</v>
      </c>
      <c r="H66" s="414" t="b">
        <f>Wh_hp&gt;='2019'!Maxi_hp</f>
        <v>0</v>
      </c>
      <c r="I66" s="380">
        <f>IF(H66,Wh_hp,'2019'!Maxi_hp)</f>
        <v>42.441850727741603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1.3898406046915945E-2</v>
      </c>
      <c r="M66" s="959"/>
      <c r="N66" s="959"/>
      <c r="O66" s="48">
        <f>IF(t&lt;Tnet,'2019'!Resal+('2019'!Salim-'2019'!Resal)*(1-EXP(('2019'!Tnet-t)/('2019'!Tau_j))),Resal+(Salim-Resal)*(1-EXP((Tnet-t)/(Tau_j))))*Salcycl</f>
        <v>6.7762330254266992E-2</v>
      </c>
      <c r="P66" s="169">
        <f>(INDEX(Models!$BJ66:$BT66,,T66)*(1-R66)+INDEX(Models!$BJ66:$BT66,,T66+1)*R66-ERP_i)*Q66*Ramure*Pc/MaxiM</f>
        <v>3.1017659159379918E-4</v>
      </c>
      <c r="Q66" s="305">
        <f t="shared" si="2"/>
        <v>0.7</v>
      </c>
      <c r="R66" s="177">
        <f t="shared" si="3"/>
        <v>4.9574057408797723E-3</v>
      </c>
      <c r="S66" s="921">
        <f t="shared" si="4"/>
        <v>-1</v>
      </c>
      <c r="T66" s="176">
        <f t="shared" si="5"/>
        <v>5</v>
      </c>
      <c r="U66" s="251">
        <f t="shared" si="20"/>
        <v>-0.99504259425912023</v>
      </c>
      <c r="V66" s="383">
        <f t="shared" si="6"/>
        <v>40.34205979848732</v>
      </c>
      <c r="W66" s="402"/>
      <c r="X66" s="157">
        <f t="shared" si="7"/>
        <v>43882</v>
      </c>
      <c r="Y66" s="385">
        <f t="shared" si="8"/>
        <v>16.716000000000001</v>
      </c>
      <c r="Z66" s="385">
        <f t="shared" si="9"/>
        <v>16.951600223044871</v>
      </c>
      <c r="AA66" s="386">
        <f t="shared" si="10"/>
        <v>18.183775203664968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6.7762330254266992E-2</v>
      </c>
      <c r="AD66" s="231">
        <f>(INDEX(Models!$BJ66:$BT66,,AH66)*(1-AF66)+INDEX(Models!$BJ66:$BT66,,AH66+1)*AF66-ERP_i)*AE66*Ramure*Pc/MaxiM</f>
        <v>3.1017659159379918E-4</v>
      </c>
      <c r="AE66" s="305">
        <f t="shared" si="12"/>
        <v>0.7</v>
      </c>
      <c r="AF66" s="177">
        <f t="shared" si="21"/>
        <v>4.9574057408797723E-3</v>
      </c>
      <c r="AG66" s="921">
        <f t="shared" si="22"/>
        <v>-1</v>
      </c>
      <c r="AH66" s="176">
        <f t="shared" si="13"/>
        <v>5</v>
      </c>
      <c r="AI66" s="225">
        <f t="shared" si="23"/>
        <v>-0.99504259425912023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20">
        <v>37.956000000000003</v>
      </c>
      <c r="C67" s="390"/>
      <c r="D67" s="393">
        <f t="shared" si="0"/>
        <v>38.491806102714939</v>
      </c>
      <c r="E67" s="385">
        <f t="shared" si="17"/>
        <v>41.291849717896717</v>
      </c>
      <c r="F67" s="385">
        <f t="shared" si="1"/>
        <v>41.303485459339633</v>
      </c>
      <c r="G67" s="110">
        <f t="shared" si="18"/>
        <v>0.93398805122573325</v>
      </c>
      <c r="H67" s="414" t="b">
        <f>Wh_hp&gt;='2019'!Maxi_hp</f>
        <v>0</v>
      </c>
      <c r="I67" s="380">
        <f>IF(H67,Wh_hp,'2019'!Maxi_hp)</f>
        <v>42.464770609772728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1.3920004202586544E-2</v>
      </c>
      <c r="M67" s="959"/>
      <c r="N67" s="959"/>
      <c r="O67" s="48">
        <f>IF(t&lt;Tnet,'2019'!Resal+('2019'!Salim-'2019'!Resal)*(1-EXP(('2019'!Tnet-t)/('2019'!Tau_j))),Resal+(Salim-Resal)*(1-EXP((Tnet-t)/(Tau_j))))*Salcycl</f>
        <v>6.7811048289468767E-2</v>
      </c>
      <c r="P67" s="169">
        <f>(INDEX(Models!$BJ67:$BT67,,T67)*(1-R67)+INDEX(Models!$BJ67:$BT67,,T67+1)*R67-ERP_i)*Q67*Ramure*Pc/MaxiM</f>
        <v>3.110323515617755E-4</v>
      </c>
      <c r="Q67" s="305">
        <f t="shared" si="2"/>
        <v>0.7</v>
      </c>
      <c r="R67" s="177">
        <f t="shared" si="3"/>
        <v>5.1902529999490188E-3</v>
      </c>
      <c r="S67" s="921">
        <f t="shared" si="4"/>
        <v>-1</v>
      </c>
      <c r="T67" s="176">
        <f t="shared" si="5"/>
        <v>5</v>
      </c>
      <c r="U67" s="251">
        <f t="shared" si="20"/>
        <v>-0.99480974700005098</v>
      </c>
      <c r="V67" s="383">
        <f t="shared" si="6"/>
        <v>40.637443704886849</v>
      </c>
      <c r="W67" s="402"/>
      <c r="X67" s="157">
        <f t="shared" si="7"/>
        <v>43883</v>
      </c>
      <c r="Y67" s="385">
        <f t="shared" si="8"/>
        <v>37.956000000000003</v>
      </c>
      <c r="Z67" s="385">
        <f t="shared" si="9"/>
        <v>38.491806102714939</v>
      </c>
      <c r="AA67" s="386">
        <f t="shared" si="10"/>
        <v>41.291849717896717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6.7811048289468767E-2</v>
      </c>
      <c r="AD67" s="231">
        <f>(INDEX(Models!$BJ67:$BT67,,AH67)*(1-AF67)+INDEX(Models!$BJ67:$BT67,,AH67+1)*AF67-ERP_i)*AE67*Ramure*Pc/MaxiM</f>
        <v>3.110323515617755E-4</v>
      </c>
      <c r="AE67" s="305">
        <f t="shared" si="12"/>
        <v>0.7</v>
      </c>
      <c r="AF67" s="177">
        <f t="shared" si="21"/>
        <v>5.1902529999490188E-3</v>
      </c>
      <c r="AG67" s="921">
        <f t="shared" si="22"/>
        <v>-1</v>
      </c>
      <c r="AH67" s="176">
        <f t="shared" si="13"/>
        <v>5</v>
      </c>
      <c r="AI67" s="225">
        <f t="shared" si="23"/>
        <v>-0.99480974700005098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20">
        <v>39.493000000000002</v>
      </c>
      <c r="C68" s="390"/>
      <c r="D68" s="393">
        <f t="shared" si="0"/>
        <v>40.051380400496512</v>
      </c>
      <c r="E68" s="385">
        <f t="shared" si="17"/>
        <v>42.967116059954151</v>
      </c>
      <c r="F68" s="385">
        <f t="shared" si="1"/>
        <v>42.979839850717049</v>
      </c>
      <c r="G68" s="110">
        <f t="shared" si="18"/>
        <v>0.96485774133021918</v>
      </c>
      <c r="H68" s="414" t="b">
        <f>Wh_hp&gt;='2019'!Maxi_hp</f>
        <v>0</v>
      </c>
      <c r="I68" s="380">
        <f>IF(H68,Wh_hp,'2019'!Maxi_hp)</f>
        <v>43.491209699160983</v>
      </c>
      <c r="J68" s="85">
        <f>IF(H68,An,'2019'!An_max)</f>
        <v>2019</v>
      </c>
      <c r="K68" s="197">
        <f t="shared" si="19"/>
        <v>43884</v>
      </c>
      <c r="L68" s="147">
        <f>IF(t&lt;Tvie,1-EXP((T0-t)*PertePVj)+'2019'!Pspv,1-EXP((T0-t)*PertePVj)+Pspv)</f>
        <v>1.3941601885202104E-2</v>
      </c>
      <c r="M68" s="959"/>
      <c r="N68" s="959"/>
      <c r="O68" s="48">
        <f>IF(t&lt;Tnet,'2019'!Resal+('2019'!Salim-'2019'!Resal)*(1-EXP(('2019'!Tnet-t)/('2019'!Tau_j))),Resal+(Salim-Resal)*(1-EXP((Tnet-t)/(Tau_j))))*Salcycl</f>
        <v>6.7859701251281754E-2</v>
      </c>
      <c r="P68" s="169">
        <f>(INDEX(Models!$BJ68:$BT68,,T68)*(1-R68)+INDEX(Models!$BJ68:$BT68,,T68+1)*R68-ERP_i)*Q68*Ramure*Pc/MaxiM</f>
        <v>3.1168160765585707E-4</v>
      </c>
      <c r="Q68" s="305">
        <f t="shared" si="2"/>
        <v>0.7</v>
      </c>
      <c r="R68" s="177">
        <f t="shared" si="3"/>
        <v>5.4326358603269398E-3</v>
      </c>
      <c r="S68" s="921">
        <f t="shared" si="4"/>
        <v>-1</v>
      </c>
      <c r="T68" s="176">
        <f t="shared" si="5"/>
        <v>5</v>
      </c>
      <c r="U68" s="251">
        <f t="shared" si="20"/>
        <v>-0.99456736413967306</v>
      </c>
      <c r="V68" s="383">
        <f t="shared" si="6"/>
        <v>40.93078225649672</v>
      </c>
      <c r="W68" s="402"/>
      <c r="X68" s="157">
        <f t="shared" si="7"/>
        <v>43884</v>
      </c>
      <c r="Y68" s="385">
        <f t="shared" si="8"/>
        <v>39.493000000000002</v>
      </c>
      <c r="Z68" s="385">
        <f t="shared" si="9"/>
        <v>40.051380400496512</v>
      </c>
      <c r="AA68" s="386">
        <f t="shared" si="10"/>
        <v>42.967116059954151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6.7859701251281754E-2</v>
      </c>
      <c r="AD68" s="231">
        <f>(INDEX(Models!$BJ68:$BT68,,AH68)*(1-AF68)+INDEX(Models!$BJ68:$BT68,,AH68+1)*AF68-ERP_i)*AE68*Ramure*Pc/MaxiM</f>
        <v>3.1168160765585707E-4</v>
      </c>
      <c r="AE68" s="305">
        <f t="shared" si="12"/>
        <v>0.7</v>
      </c>
      <c r="AF68" s="177">
        <f t="shared" si="21"/>
        <v>5.4326358603269398E-3</v>
      </c>
      <c r="AG68" s="921">
        <f t="shared" si="22"/>
        <v>-1</v>
      </c>
      <c r="AH68" s="176">
        <f t="shared" si="13"/>
        <v>5</v>
      </c>
      <c r="AI68" s="225">
        <f t="shared" si="23"/>
        <v>-0.99456736413967306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20">
        <v>40.56</v>
      </c>
      <c r="C69" s="390"/>
      <c r="D69" s="393">
        <f t="shared" si="0"/>
        <v>41.13436736110058</v>
      </c>
      <c r="E69" s="385">
        <f t="shared" si="17"/>
        <v>44.131244642673956</v>
      </c>
      <c r="F69" s="385">
        <f t="shared" si="1"/>
        <v>44.144707241290959</v>
      </c>
      <c r="G69" s="110">
        <f t="shared" si="18"/>
        <v>0.98392938758263693</v>
      </c>
      <c r="H69" s="414" t="b">
        <f>Wh_hp&gt;='2019'!Maxi_hp</f>
        <v>1</v>
      </c>
      <c r="I69" s="380">
        <f>IF(H69,Wh_hp,'2019'!Maxi_hp)</f>
        <v>44.144707241290959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1.3963199094772949E-2</v>
      </c>
      <c r="M69" s="959"/>
      <c r="N69" s="959"/>
      <c r="O69" s="48">
        <f>IF(t&lt;Tnet,'2019'!Resal+('2019'!Salim-'2019'!Resal)*(1-EXP(('2019'!Tnet-t)/('2019'!Tau_j))),Resal+(Salim-Resal)*(1-EXP((Tnet-t)/(Tau_j))))*Salcycl</f>
        <v>6.7908288239744263E-2</v>
      </c>
      <c r="P69" s="169">
        <f>(INDEX(Models!$BJ69:$BT69,,T69)*(1-R69)+INDEX(Models!$BJ69:$BT69,,T69+1)*R69-ERP_i)*Q69*Ramure*Pc/MaxiM</f>
        <v>3.1212787441402799E-4</v>
      </c>
      <c r="Q69" s="305">
        <f t="shared" si="2"/>
        <v>0.7</v>
      </c>
      <c r="R69" s="177">
        <f t="shared" si="3"/>
        <v>5.6849347875451706E-3</v>
      </c>
      <c r="S69" s="921">
        <f t="shared" si="4"/>
        <v>-1</v>
      </c>
      <c r="T69" s="176">
        <f t="shared" si="5"/>
        <v>5</v>
      </c>
      <c r="U69" s="251">
        <f t="shared" si="20"/>
        <v>-0.99431506521245483</v>
      </c>
      <c r="V69" s="383">
        <f t="shared" si="6"/>
        <v>41.222174989775731</v>
      </c>
      <c r="W69" s="402"/>
      <c r="X69" s="157">
        <f t="shared" si="7"/>
        <v>43885</v>
      </c>
      <c r="Y69" s="385">
        <f t="shared" si="8"/>
        <v>40.56</v>
      </c>
      <c r="Z69" s="385">
        <f t="shared" si="9"/>
        <v>41.13436736110058</v>
      </c>
      <c r="AA69" s="386">
        <f t="shared" si="10"/>
        <v>44.131244642673956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6.7908288239744263E-2</v>
      </c>
      <c r="AD69" s="231">
        <f>(INDEX(Models!$BJ69:$BT69,,AH69)*(1-AF69)+INDEX(Models!$BJ69:$BT69,,AH69+1)*AF69-ERP_i)*AE69*Ramure*Pc/MaxiM</f>
        <v>3.1212787441402799E-4</v>
      </c>
      <c r="AE69" s="305">
        <f t="shared" si="12"/>
        <v>0.7</v>
      </c>
      <c r="AF69" s="177">
        <f t="shared" si="21"/>
        <v>5.6849347875451706E-3</v>
      </c>
      <c r="AG69" s="921">
        <f t="shared" si="22"/>
        <v>-1</v>
      </c>
      <c r="AH69" s="176">
        <f t="shared" si="13"/>
        <v>5</v>
      </c>
      <c r="AI69" s="225">
        <f t="shared" si="23"/>
        <v>-0.99431506521245483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20">
        <v>13.7</v>
      </c>
      <c r="C70" s="390"/>
      <c r="D70" s="393">
        <f t="shared" si="0"/>
        <v>13.894309075639935</v>
      </c>
      <c r="E70" s="385">
        <f t="shared" si="17"/>
        <v>14.907366114585706</v>
      </c>
      <c r="F70" s="385">
        <f t="shared" si="1"/>
        <v>14.907565870744872</v>
      </c>
      <c r="G70" s="110">
        <f t="shared" si="18"/>
        <v>0.32992859704505278</v>
      </c>
      <c r="H70" s="414" t="b">
        <f>Wh_hp&gt;='2019'!Maxi_hp</f>
        <v>0</v>
      </c>
      <c r="I70" s="380">
        <f>IF(H70,Wh_hp,'2019'!Maxi_hp)</f>
        <v>44.223095559004854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1.3984795831309516E-2</v>
      </c>
      <c r="M70" s="959"/>
      <c r="N70" s="959"/>
      <c r="O70" s="48">
        <f>IF(t&lt;Tnet,'2019'!Resal+('2019'!Salim-'2019'!Resal)*(1-EXP(('2019'!Tnet-t)/('2019'!Tau_j))),Resal+(Salim-Resal)*(1-EXP((Tnet-t)/(Tau_j))))*Salcycl</f>
        <v>6.7956809483237415E-2</v>
      </c>
      <c r="P70" s="169">
        <f>(INDEX(Models!$BJ70:$BT70,,T70)*(1-R70)+INDEX(Models!$BJ70:$BT70,,T70+1)*R70-ERP_i)*Q70*Ramure*Pc/MaxiM</f>
        <v>3.1237456068483165E-4</v>
      </c>
      <c r="Q70" s="305">
        <f t="shared" si="2"/>
        <v>0.7</v>
      </c>
      <c r="R70" s="177">
        <f t="shared" si="3"/>
        <v>5.9475445796812743E-3</v>
      </c>
      <c r="S70" s="921">
        <f t="shared" si="4"/>
        <v>-1</v>
      </c>
      <c r="T70" s="176">
        <f t="shared" si="5"/>
        <v>5</v>
      </c>
      <c r="U70" s="251">
        <f t="shared" si="20"/>
        <v>-0.99405245542031873</v>
      </c>
      <c r="V70" s="383">
        <f t="shared" si="6"/>
        <v>41.511721358797239</v>
      </c>
      <c r="W70" s="402"/>
      <c r="X70" s="157">
        <f t="shared" si="7"/>
        <v>43886</v>
      </c>
      <c r="Y70" s="385">
        <f t="shared" si="8"/>
        <v>13.7</v>
      </c>
      <c r="Z70" s="385">
        <f t="shared" si="9"/>
        <v>13.894309075639935</v>
      </c>
      <c r="AA70" s="386">
        <f t="shared" si="10"/>
        <v>14.907366114585706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6.7956809483237415E-2</v>
      </c>
      <c r="AD70" s="231">
        <f>(INDEX(Models!$BJ70:$BT70,,AH70)*(1-AF70)+INDEX(Models!$BJ70:$BT70,,AH70+1)*AF70-ERP_i)*AE70*Ramure*Pc/MaxiM</f>
        <v>3.1237456068483165E-4</v>
      </c>
      <c r="AE70" s="305">
        <f t="shared" si="12"/>
        <v>0.7</v>
      </c>
      <c r="AF70" s="177">
        <f t="shared" si="21"/>
        <v>5.9475445796812743E-3</v>
      </c>
      <c r="AG70" s="921">
        <f t="shared" si="22"/>
        <v>-1</v>
      </c>
      <c r="AH70" s="176">
        <f t="shared" si="13"/>
        <v>5</v>
      </c>
      <c r="AI70" s="225">
        <f t="shared" si="23"/>
        <v>-0.99405245542031873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20">
        <v>15.178000000000001</v>
      </c>
      <c r="C71" s="390"/>
      <c r="D71" s="393">
        <f t="shared" si="0"/>
        <v>15.393608922320372</v>
      </c>
      <c r="E71" s="385">
        <f t="shared" si="17"/>
        <v>16.516841101524673</v>
      </c>
      <c r="F71" s="385">
        <f t="shared" si="1"/>
        <v>16.517306381221825</v>
      </c>
      <c r="G71" s="110">
        <f t="shared" si="18"/>
        <v>0.36301099100260176</v>
      </c>
      <c r="H71" s="414" t="b">
        <f>Wh_hp&gt;='2019'!Maxi_hp</f>
        <v>0</v>
      </c>
      <c r="I71" s="380">
        <f>IF(H71,Wh_hp,'2019'!Maxi_hp)</f>
        <v>41.92251127675177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1.4006392094822129E-2</v>
      </c>
      <c r="M71" s="959"/>
      <c r="N71" s="959"/>
      <c r="O71" s="48">
        <f>IF(t&lt;Tnet,'2019'!Resal+('2019'!Salim-'2019'!Resal)*(1-EXP(('2019'!Tnet-t)/('2019'!Tau_j))),Resal+(Salim-Resal)*(1-EXP((Tnet-t)/(Tau_j))))*Salcycl</f>
        <v>6.8005266400523373E-2</v>
      </c>
      <c r="P71" s="169">
        <f>(INDEX(Models!$BJ71:$BT71,,T71)*(1-R71)+INDEX(Models!$BJ71:$BT71,,T71+1)*R71-ERP_i)*Q71*Ramure*Pc/MaxiM</f>
        <v>3.124249857195315E-4</v>
      </c>
      <c r="Q71" s="305">
        <f t="shared" si="2"/>
        <v>0.7</v>
      </c>
      <c r="R71" s="177">
        <f t="shared" si="3"/>
        <v>6.2208748352465815E-3</v>
      </c>
      <c r="S71" s="921">
        <f t="shared" si="4"/>
        <v>-1</v>
      </c>
      <c r="T71" s="176">
        <f t="shared" si="5"/>
        <v>5</v>
      </c>
      <c r="U71" s="251">
        <f t="shared" si="20"/>
        <v>-0.99377912516475342</v>
      </c>
      <c r="V71" s="383">
        <f t="shared" si="6"/>
        <v>41.799520732408119</v>
      </c>
      <c r="W71" s="402"/>
      <c r="X71" s="157">
        <f t="shared" si="7"/>
        <v>43887</v>
      </c>
      <c r="Y71" s="385">
        <f t="shared" si="8"/>
        <v>15.178000000000003</v>
      </c>
      <c r="Z71" s="385">
        <f t="shared" si="9"/>
        <v>15.393608922320373</v>
      </c>
      <c r="AA71" s="386">
        <f t="shared" si="10"/>
        <v>16.516841101524673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6.8005266400523373E-2</v>
      </c>
      <c r="AD71" s="231">
        <f>(INDEX(Models!$BJ71:$BT71,,AH71)*(1-AF71)+INDEX(Models!$BJ71:$BT71,,AH71+1)*AF71-ERP_i)*AE71*Ramure*Pc/MaxiM</f>
        <v>3.124249857195315E-4</v>
      </c>
      <c r="AE71" s="305">
        <f t="shared" si="12"/>
        <v>0.7</v>
      </c>
      <c r="AF71" s="177">
        <f t="shared" si="21"/>
        <v>6.2208748352465815E-3</v>
      </c>
      <c r="AG71" s="921">
        <f t="shared" si="22"/>
        <v>-1</v>
      </c>
      <c r="AH71" s="176">
        <f t="shared" si="13"/>
        <v>5</v>
      </c>
      <c r="AI71" s="225">
        <f t="shared" si="23"/>
        <v>-0.99377912516475342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20">
        <v>4.6109999999999998</v>
      </c>
      <c r="C72" s="390"/>
      <c r="D72" s="393">
        <f t="shared" si="0"/>
        <v>4.6766033349268055</v>
      </c>
      <c r="E72" s="385">
        <f t="shared" si="17"/>
        <v>5.0181036638102405</v>
      </c>
      <c r="F72" s="385">
        <f t="shared" si="1"/>
        <v>5.0181036638102405</v>
      </c>
      <c r="G72" s="110">
        <f t="shared" si="18"/>
        <v>0.1095280128450901</v>
      </c>
      <c r="H72" s="414" t="b">
        <f>Wh_hp&gt;='2019'!Maxi_hp</f>
        <v>0</v>
      </c>
      <c r="I72" s="380">
        <f>IF(H72,Wh_hp,'2019'!Maxi_hp)</f>
        <v>44.962572405256154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1.4027987885321114E-2</v>
      </c>
      <c r="M72" s="959"/>
      <c r="N72" s="959"/>
      <c r="O72" s="48">
        <f>IF(t&lt;Tnet,'2019'!Resal+('2019'!Salim-'2019'!Resal)*(1-EXP(('2019'!Tnet-t)/('2019'!Tau_j))),Resal+(Salim-Resal)*(1-EXP((Tnet-t)/(Tau_j))))*Salcycl</f>
        <v>6.8053661654357653E-2</v>
      </c>
      <c r="P72" s="169">
        <f>(INDEX(Models!$BJ72:$BT72,,T72)*(1-R72)+INDEX(Models!$BJ72:$BT72,,T72+1)*R72-ERP_i)*Q72*Ramure*Pc/MaxiM</f>
        <v>3.1153054133639283E-4</v>
      </c>
      <c r="Q72" s="305">
        <f t="shared" si="2"/>
        <v>0.7</v>
      </c>
      <c r="R72" s="177">
        <f t="shared" si="3"/>
        <v>6.5053504300567333E-3</v>
      </c>
      <c r="S72" s="921">
        <f t="shared" si="4"/>
        <v>-1</v>
      </c>
      <c r="T72" s="176">
        <f t="shared" si="5"/>
        <v>5</v>
      </c>
      <c r="U72" s="251">
        <f t="shared" si="20"/>
        <v>-0.99349464956994327</v>
      </c>
      <c r="V72" s="383">
        <f t="shared" si="6"/>
        <v>42.085704039873256</v>
      </c>
      <c r="W72" s="402"/>
      <c r="X72" s="157">
        <f t="shared" si="7"/>
        <v>43888</v>
      </c>
      <c r="Y72" s="385">
        <f t="shared" si="8"/>
        <v>4.6109999999999998</v>
      </c>
      <c r="Z72" s="385">
        <f t="shared" si="9"/>
        <v>4.6766033349268055</v>
      </c>
      <c r="AA72" s="386">
        <f t="shared" si="10"/>
        <v>5.0181036638102405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6.8053661654357653E-2</v>
      </c>
      <c r="AD72" s="231">
        <f>(INDEX(Models!$BJ72:$BT72,,AH72)*(1-AF72)+INDEX(Models!$BJ72:$BT72,,AH72+1)*AF72-ERP_i)*AE72*Ramure*Pc/MaxiM</f>
        <v>3.1153054133639283E-4</v>
      </c>
      <c r="AE72" s="305">
        <f t="shared" si="12"/>
        <v>0.7</v>
      </c>
      <c r="AF72" s="177">
        <f t="shared" si="21"/>
        <v>6.5053504300567333E-3</v>
      </c>
      <c r="AG72" s="921">
        <f t="shared" si="22"/>
        <v>-1</v>
      </c>
      <c r="AH72" s="176">
        <f t="shared" si="13"/>
        <v>5</v>
      </c>
      <c r="AI72" s="225">
        <f t="shared" si="23"/>
        <v>-0.99349464956994327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20">
        <v>19.128</v>
      </c>
      <c r="C73" s="390"/>
      <c r="D73" s="393">
        <f t="shared" si="0"/>
        <v>19.400569921291247</v>
      </c>
      <c r="E73" s="385">
        <f t="shared" si="17"/>
        <v>20.818340531431151</v>
      </c>
      <c r="F73" s="385">
        <f t="shared" si="1"/>
        <v>20.819735187713484</v>
      </c>
      <c r="G73" s="110">
        <f t="shared" si="18"/>
        <v>0.45133796770109946</v>
      </c>
      <c r="H73" s="414" t="b">
        <f>Wh_hp&gt;='2019'!Maxi_hp</f>
        <v>0</v>
      </c>
      <c r="I73" s="380">
        <f>IF(H73,Wh_hp,'2019'!Maxi_hp)</f>
        <v>36.538127562643616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1.4049583202816907E-2</v>
      </c>
      <c r="M73" s="959"/>
      <c r="N73" s="959"/>
      <c r="O73" s="48">
        <f>IF(t&lt;Tnet,'2019'!Resal+('2019'!Salim-'2019'!Resal)*(1-EXP(('2019'!Tnet-t)/('2019'!Tau_j))),Resal+(Salim-Resal)*(1-EXP((Tnet-t)/(Tau_j))))*Salcycl</f>
        <v>6.8101999196303775E-2</v>
      </c>
      <c r="P73" s="169">
        <f>(INDEX(Models!$BJ73:$BT73,,T73)*(1-R73)+INDEX(Models!$BJ73:$BT73,,T73+1)*R73-ERP_i)*Q73*Ramure*Pc/MaxiM</f>
        <v>3.0961920203441694E-4</v>
      </c>
      <c r="Q73" s="305">
        <f t="shared" si="2"/>
        <v>0.7</v>
      </c>
      <c r="R73" s="177">
        <f t="shared" si="3"/>
        <v>6.8014120026443914E-3</v>
      </c>
      <c r="S73" s="921">
        <f t="shared" si="4"/>
        <v>-1</v>
      </c>
      <c r="T73" s="176">
        <f t="shared" si="5"/>
        <v>5</v>
      </c>
      <c r="U73" s="251">
        <f t="shared" si="20"/>
        <v>-0.99319858799735561</v>
      </c>
      <c r="V73" s="383">
        <f t="shared" si="6"/>
        <v>42.370374294085721</v>
      </c>
      <c r="W73" s="402"/>
      <c r="X73" s="157">
        <f t="shared" si="7"/>
        <v>43889</v>
      </c>
      <c r="Y73" s="385">
        <f t="shared" si="8"/>
        <v>19.128</v>
      </c>
      <c r="Z73" s="385">
        <f t="shared" si="9"/>
        <v>19.400569921291247</v>
      </c>
      <c r="AA73" s="386">
        <f t="shared" si="10"/>
        <v>20.818340531431151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6.8101999196303775E-2</v>
      </c>
      <c r="AD73" s="231">
        <f>(INDEX(Models!$BJ73:$BT73,,AH73)*(1-AF73)+INDEX(Models!$BJ73:$BT73,,AH73+1)*AF73-ERP_i)*AE73*Ramure*Pc/MaxiM</f>
        <v>3.0961920203441694E-4</v>
      </c>
      <c r="AE73" s="305">
        <f t="shared" si="12"/>
        <v>0.7</v>
      </c>
      <c r="AF73" s="177">
        <f t="shared" si="21"/>
        <v>6.8014120026443914E-3</v>
      </c>
      <c r="AG73" s="921">
        <f t="shared" si="22"/>
        <v>-1</v>
      </c>
      <c r="AH73" s="176">
        <f t="shared" si="13"/>
        <v>5</v>
      </c>
      <c r="AI73" s="225">
        <f t="shared" si="23"/>
        <v>-0.99319858799735561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20">
        <v>15.359</v>
      </c>
      <c r="C74" s="390"/>
      <c r="D74" s="393">
        <f t="shared" si="0"/>
        <v>15.578203677604993</v>
      </c>
      <c r="E74" s="385">
        <f t="shared" si="17"/>
        <v>16.717506498292067</v>
      </c>
      <c r="F74" s="385">
        <f t="shared" si="1"/>
        <v>16.717946637654958</v>
      </c>
      <c r="G74" s="110">
        <f t="shared" si="18"/>
        <v>0.3599856160773317</v>
      </c>
      <c r="H74" s="414" t="b">
        <f>Wh_hp&gt;='2019'!Maxi_hp</f>
        <v>1</v>
      </c>
      <c r="I74" s="380">
        <f>IF(H74,Wh_hp,'2019'!Maxi_hp)</f>
        <v>16.717946637654958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1.4071178047319832E-2</v>
      </c>
      <c r="M74" s="959"/>
      <c r="N74" s="959"/>
      <c r="O74" s="48">
        <f>IF(t&lt;Tnet,'2019'!Resal+('2019'!Salim-'2019'!Resal)*(1-EXP(('2019'!Tnet-t)/('2019'!Tau_j))),Resal+(Salim-Resal)*(1-EXP((Tnet-t)/(Tau_j))))*Salcycl</f>
        <v>6.8150284302474884E-2</v>
      </c>
      <c r="P74" s="169">
        <f>(INDEX(Models!$BJ74:$BT74,,T74)*(1-R74)+INDEX(Models!$BJ74:$BT74,,T74+1)*R74-ERP_i)*Q74*Ramure*Pc/MaxiM</f>
        <v>3.0670992155385217E-4</v>
      </c>
      <c r="Q74" s="305">
        <f t="shared" si="2"/>
        <v>0.7</v>
      </c>
      <c r="R74" s="177">
        <f t="shared" si="3"/>
        <v>7.1095164477031902E-3</v>
      </c>
      <c r="S74" s="921">
        <f t="shared" si="4"/>
        <v>-1</v>
      </c>
      <c r="T74" s="176">
        <f t="shared" si="5"/>
        <v>5</v>
      </c>
      <c r="U74" s="251">
        <f t="shared" si="20"/>
        <v>-0.99289048355229681</v>
      </c>
      <c r="V74" s="383">
        <f t="shared" si="6"/>
        <v>42.653630603745817</v>
      </c>
      <c r="W74" s="402"/>
      <c r="X74" s="157">
        <f t="shared" si="7"/>
        <v>43890</v>
      </c>
      <c r="Y74" s="385">
        <f t="shared" si="8"/>
        <v>15.359</v>
      </c>
      <c r="Z74" s="385">
        <f t="shared" si="9"/>
        <v>15.578203677604993</v>
      </c>
      <c r="AA74" s="386">
        <f t="shared" si="10"/>
        <v>16.717506498292067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6.8150284302474884E-2</v>
      </c>
      <c r="AD74" s="231">
        <f>(INDEX(Models!$BJ74:$BT74,,AH74)*(1-AF74)+INDEX(Models!$BJ74:$BT74,,AH74+1)*AF74-ERP_i)*AE74*Ramure*Pc/MaxiM</f>
        <v>3.0670992155385217E-4</v>
      </c>
      <c r="AE74" s="305">
        <f t="shared" si="12"/>
        <v>0.7</v>
      </c>
      <c r="AF74" s="177">
        <f t="shared" si="21"/>
        <v>7.1095164477031902E-3</v>
      </c>
      <c r="AG74" s="921">
        <f t="shared" si="22"/>
        <v>-1</v>
      </c>
      <c r="AH74" s="176">
        <f t="shared" si="13"/>
        <v>5</v>
      </c>
      <c r="AI74" s="225">
        <f t="shared" si="23"/>
        <v>-0.99289048355229681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20">
        <v>30.271000000000001</v>
      </c>
      <c r="C75" s="390"/>
      <c r="D75" s="393">
        <f t="shared" si="0"/>
        <v>30.703700260183044</v>
      </c>
      <c r="E75" s="385">
        <f t="shared" si="17"/>
        <v>32.950903210421131</v>
      </c>
      <c r="F75" s="385">
        <f t="shared" si="1"/>
        <v>32.956677810715547</v>
      </c>
      <c r="G75" s="110">
        <f t="shared" si="18"/>
        <v>0.70494313353704074</v>
      </c>
      <c r="H75" s="414" t="b">
        <f>Wh_hp&gt;='2019'!Maxi_hp</f>
        <v>1</v>
      </c>
      <c r="I75" s="380">
        <f>IF(H75,Wh_hp,'2019'!Maxi_hp)</f>
        <v>32.956677810715547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1.4092772418840216E-2</v>
      </c>
      <c r="M75" s="959"/>
      <c r="N75" s="959"/>
      <c r="O75" s="48">
        <f>IF(t&lt;Tnet,'2019'!Resal+('2019'!Salim-'2019'!Resal)*(1-EXP(('2019'!Tnet-t)/('2019'!Tau_j))),Resal+(Salim-Resal)*(1-EXP((Tnet-t)/(Tau_j))))*Salcycl</f>
        <v>6.8198523600026331E-2</v>
      </c>
      <c r="P75" s="169">
        <f>(INDEX(Models!$BJ75:$BT75,,T75)*(1-R75)+INDEX(Models!$BJ75:$BT75,,T75+1)*R75-ERP_i)*Q75*Ramure*Pc/MaxiM</f>
        <v>3.0282101564782363E-4</v>
      </c>
      <c r="Q75" s="305">
        <f t="shared" si="2"/>
        <v>0.7</v>
      </c>
      <c r="R75" s="177">
        <f t="shared" si="3"/>
        <v>7.4301374169647438E-3</v>
      </c>
      <c r="S75" s="921">
        <f t="shared" si="4"/>
        <v>-1</v>
      </c>
      <c r="T75" s="176">
        <f t="shared" si="5"/>
        <v>5</v>
      </c>
      <c r="U75" s="251">
        <f t="shared" si="20"/>
        <v>-0.99256986258303526</v>
      </c>
      <c r="V75" s="383">
        <f t="shared" si="6"/>
        <v>42.935571976815467</v>
      </c>
      <c r="W75" s="402"/>
      <c r="X75" s="157">
        <f t="shared" si="7"/>
        <v>43891</v>
      </c>
      <c r="Y75" s="385">
        <f t="shared" si="8"/>
        <v>30.271000000000001</v>
      </c>
      <c r="Z75" s="385">
        <f t="shared" si="9"/>
        <v>30.703700260183044</v>
      </c>
      <c r="AA75" s="386">
        <f t="shared" si="10"/>
        <v>32.950903210421131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6.8198523600026331E-2</v>
      </c>
      <c r="AD75" s="231">
        <f>(INDEX(Models!$BJ75:$BT75,,AH75)*(1-AF75)+INDEX(Models!$BJ75:$BT75,,AH75+1)*AF75-ERP_i)*AE75*Ramure*Pc/MaxiM</f>
        <v>3.0282101564782363E-4</v>
      </c>
      <c r="AE75" s="305">
        <f t="shared" si="12"/>
        <v>0.7</v>
      </c>
      <c r="AF75" s="177">
        <f t="shared" si="21"/>
        <v>7.4301374169647438E-3</v>
      </c>
      <c r="AG75" s="921">
        <f t="shared" si="22"/>
        <v>-1</v>
      </c>
      <c r="AH75" s="176">
        <f t="shared" si="13"/>
        <v>5</v>
      </c>
      <c r="AI75" s="225">
        <f t="shared" si="23"/>
        <v>-0.99256986258303526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20">
        <v>21.905999999999999</v>
      </c>
      <c r="C76" s="390"/>
      <c r="D76" s="393">
        <f t="shared" si="0"/>
        <v>22.219615796787487</v>
      </c>
      <c r="E76" s="385">
        <f t="shared" si="17"/>
        <v>23.847102441145946</v>
      </c>
      <c r="F76" s="385">
        <f t="shared" si="1"/>
        <v>23.84920279554024</v>
      </c>
      <c r="G76" s="110">
        <f t="shared" si="18"/>
        <v>0.50678569980045873</v>
      </c>
      <c r="H76" s="414" t="b">
        <f>Wh_hp&gt;='2019'!Maxi_hp</f>
        <v>0</v>
      </c>
      <c r="I76" s="380">
        <f>IF(H76,Wh_hp,'2019'!Maxi_hp)</f>
        <v>39.881954773703235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1.4114366317388383E-2</v>
      </c>
      <c r="M76" s="959"/>
      <c r="N76" s="959"/>
      <c r="O76" s="48">
        <f>IF(t&lt;Tnet,'2019'!Resal+('2019'!Salim-'2019'!Resal)*(1-EXP(('2019'!Tnet-t)/('2019'!Tau_j))),Resal+(Salim-Resal)*(1-EXP((Tnet-t)/(Tau_j))))*Salcycl</f>
        <v>6.8246725084318158E-2</v>
      </c>
      <c r="P76" s="169">
        <f>(INDEX(Models!$BJ76:$BT76,,T76)*(1-R76)+INDEX(Models!$BJ76:$BT76,,T76+1)*R76-ERP_i)*Q76*Ramure*Pc/MaxiM</f>
        <v>2.9797019898910606E-4</v>
      </c>
      <c r="Q76" s="305">
        <f t="shared" si="2"/>
        <v>0.7</v>
      </c>
      <c r="R76" s="177">
        <f t="shared" si="3"/>
        <v>7.7637658268225884E-3</v>
      </c>
      <c r="S76" s="921">
        <f t="shared" si="4"/>
        <v>-1</v>
      </c>
      <c r="T76" s="176">
        <f t="shared" si="5"/>
        <v>5</v>
      </c>
      <c r="U76" s="251">
        <f t="shared" si="20"/>
        <v>-0.99223623417317741</v>
      </c>
      <c r="V76" s="383">
        <f t="shared" si="6"/>
        <v>43.216297319840578</v>
      </c>
      <c r="W76" s="402"/>
      <c r="X76" s="157">
        <f t="shared" si="7"/>
        <v>43892</v>
      </c>
      <c r="Y76" s="385">
        <f t="shared" si="8"/>
        <v>21.905999999999999</v>
      </c>
      <c r="Z76" s="385">
        <f t="shared" si="9"/>
        <v>22.219615796787487</v>
      </c>
      <c r="AA76" s="386">
        <f t="shared" si="10"/>
        <v>23.847102441145946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6.8246725084318158E-2</v>
      </c>
      <c r="AD76" s="231">
        <f>(INDEX(Models!$BJ76:$BT76,,AH76)*(1-AF76)+INDEX(Models!$BJ76:$BT76,,AH76+1)*AF76-ERP_i)*AE76*Ramure*Pc/MaxiM</f>
        <v>2.9797019898910606E-4</v>
      </c>
      <c r="AE76" s="305">
        <f t="shared" si="12"/>
        <v>0.7</v>
      </c>
      <c r="AF76" s="177">
        <f t="shared" si="21"/>
        <v>7.7637658268225884E-3</v>
      </c>
      <c r="AG76" s="921">
        <f t="shared" si="22"/>
        <v>-1</v>
      </c>
      <c r="AH76" s="176">
        <f t="shared" si="13"/>
        <v>5</v>
      </c>
      <c r="AI76" s="225">
        <f t="shared" si="23"/>
        <v>-0.99223623417317741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20">
        <v>5.0540000000000003</v>
      </c>
      <c r="C77" s="390"/>
      <c r="D77" s="393">
        <f t="shared" si="0"/>
        <v>5.1264675387514584</v>
      </c>
      <c r="E77" s="385">
        <f t="shared" si="17"/>
        <v>5.5022426392690731</v>
      </c>
      <c r="F77" s="385">
        <f t="shared" si="1"/>
        <v>5.5022426392690731</v>
      </c>
      <c r="G77" s="110">
        <f t="shared" si="18"/>
        <v>0.11616089604410421</v>
      </c>
      <c r="H77" s="414" t="b">
        <f>Wh_hp&gt;='2019'!Maxi_hp</f>
        <v>0</v>
      </c>
      <c r="I77" s="380">
        <f>IF(H77,Wh_hp,'2019'!Maxi_hp)</f>
        <v>11.224875654172628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1.413595974297488E-2</v>
      </c>
      <c r="M77" s="959"/>
      <c r="N77" s="959"/>
      <c r="O77" s="48">
        <f>IF(t&lt;Tnet,'2019'!Resal+('2019'!Salim-'2019'!Resal)*(1-EXP(('2019'!Tnet-t)/('2019'!Tau_j))),Resal+(Salim-Resal)*(1-EXP((Tnet-t)/(Tau_j))))*Salcycl</f>
        <v>6.829489812676337E-2</v>
      </c>
      <c r="P77" s="169">
        <f>(INDEX(Models!$BJ77:$BT77,,T77)*(1-R77)+INDEX(Models!$BJ77:$BT77,,T77+1)*R77-ERP_i)*Q77*Ramure*Pc/MaxiM</f>
        <v>2.9217461483555473E-4</v>
      </c>
      <c r="Q77" s="305">
        <f t="shared" si="2"/>
        <v>0.7</v>
      </c>
      <c r="R77" s="177">
        <f t="shared" si="3"/>
        <v>8.1109103719209097E-3</v>
      </c>
      <c r="S77" s="921">
        <f t="shared" si="4"/>
        <v>-1</v>
      </c>
      <c r="T77" s="176">
        <f t="shared" si="5"/>
        <v>5</v>
      </c>
      <c r="U77" s="251">
        <f t="shared" si="20"/>
        <v>-0.99188908962807909</v>
      </c>
      <c r="V77" s="383">
        <f t="shared" si="6"/>
        <v>43.495905434288908</v>
      </c>
      <c r="W77" s="402"/>
      <c r="X77" s="157">
        <f t="shared" si="7"/>
        <v>43893</v>
      </c>
      <c r="Y77" s="385">
        <f t="shared" si="8"/>
        <v>5.0540000000000003</v>
      </c>
      <c r="Z77" s="385">
        <f t="shared" si="9"/>
        <v>5.1264675387514584</v>
      </c>
      <c r="AA77" s="386">
        <f t="shared" si="10"/>
        <v>5.5022426392690731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6.829489812676337E-2</v>
      </c>
      <c r="AD77" s="231">
        <f>(INDEX(Models!$BJ77:$BT77,,AH77)*(1-AF77)+INDEX(Models!$BJ77:$BT77,,AH77+1)*AF77-ERP_i)*AE77*Ramure*Pc/MaxiM</f>
        <v>2.9217461483555473E-4</v>
      </c>
      <c r="AE77" s="305">
        <f t="shared" si="12"/>
        <v>0.7</v>
      </c>
      <c r="AF77" s="177">
        <f t="shared" si="21"/>
        <v>8.1109103719209097E-3</v>
      </c>
      <c r="AG77" s="921">
        <f t="shared" si="22"/>
        <v>-1</v>
      </c>
      <c r="AH77" s="176">
        <f t="shared" si="13"/>
        <v>5</v>
      </c>
      <c r="AI77" s="225">
        <f t="shared" si="23"/>
        <v>-0.99188908962807909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20">
        <v>7.1740000000000004</v>
      </c>
      <c r="C78" s="390"/>
      <c r="D78" s="393">
        <f t="shared" si="0"/>
        <v>7.2770248629646854</v>
      </c>
      <c r="E78" s="385">
        <f t="shared" si="17"/>
        <v>7.8108416301680492</v>
      </c>
      <c r="F78" s="385">
        <f t="shared" si="1"/>
        <v>7.8108416301680492</v>
      </c>
      <c r="G78" s="110">
        <f t="shared" si="18"/>
        <v>0.163838604485158</v>
      </c>
      <c r="H78" s="414" t="b">
        <f>Wh_hp&gt;='2019'!Maxi_hp</f>
        <v>0</v>
      </c>
      <c r="I78" s="380">
        <f>IF(H78,Wh_hp,'2019'!Maxi_hp)</f>
        <v>47.032781812856342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1.415755269560981E-2</v>
      </c>
      <c r="M78" s="959"/>
      <c r="N78" s="959"/>
      <c r="O78" s="48">
        <f>IF(t&lt;Tnet,'2019'!Resal+('2019'!Salim-'2019'!Resal)*(1-EXP(('2019'!Tnet-t)/('2019'!Tau_j))),Resal+(Salim-Resal)*(1-EXP((Tnet-t)/(Tau_j))))*Salcycl</f>
        <v>6.8343053473467807E-2</v>
      </c>
      <c r="P78" s="169">
        <f>(INDEX(Models!$BJ78:$BT78,,T78)*(1-R78)+INDEX(Models!$BJ78:$BT78,,T78+1)*R78-ERP_i)*Q78*Ramure*Pc/MaxiM</f>
        <v>2.8545085780846399E-4</v>
      </c>
      <c r="Q78" s="305">
        <f t="shared" si="2"/>
        <v>0.7</v>
      </c>
      <c r="R78" s="177">
        <f t="shared" si="3"/>
        <v>8.472098043816545E-3</v>
      </c>
      <c r="S78" s="921">
        <f t="shared" si="4"/>
        <v>-1</v>
      </c>
      <c r="T78" s="176">
        <f t="shared" si="5"/>
        <v>5</v>
      </c>
      <c r="U78" s="251">
        <f t="shared" si="20"/>
        <v>-0.99152790195618346</v>
      </c>
      <c r="V78" s="383">
        <f t="shared" si="6"/>
        <v>43.774495016501341</v>
      </c>
      <c r="W78" s="402"/>
      <c r="X78" s="157">
        <f t="shared" si="7"/>
        <v>43894</v>
      </c>
      <c r="Y78" s="385">
        <f t="shared" si="8"/>
        <v>7.1740000000000004</v>
      </c>
      <c r="Z78" s="385">
        <f t="shared" si="9"/>
        <v>7.2770248629646854</v>
      </c>
      <c r="AA78" s="386">
        <f t="shared" si="10"/>
        <v>7.8108416301680492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6.8343053473467807E-2</v>
      </c>
      <c r="AD78" s="231">
        <f>(INDEX(Models!$BJ78:$BT78,,AH78)*(1-AF78)+INDEX(Models!$BJ78:$BT78,,AH78+1)*AF78-ERP_i)*AE78*Ramure*Pc/MaxiM</f>
        <v>2.8545085780846399E-4</v>
      </c>
      <c r="AE78" s="305">
        <f t="shared" si="12"/>
        <v>0.7</v>
      </c>
      <c r="AF78" s="177">
        <f t="shared" si="21"/>
        <v>8.472098043816545E-3</v>
      </c>
      <c r="AG78" s="921">
        <f t="shared" si="22"/>
        <v>-1</v>
      </c>
      <c r="AH78" s="176">
        <f t="shared" si="13"/>
        <v>5</v>
      </c>
      <c r="AI78" s="225">
        <f t="shared" si="23"/>
        <v>-0.99152790195618346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20">
        <v>10.196</v>
      </c>
      <c r="C79" s="390"/>
      <c r="D79" s="393">
        <f t="shared" ref="D79:D142" si="24">Wh/(1-Ppv)</f>
        <v>10.342649934924642</v>
      </c>
      <c r="E79" s="385">
        <f t="shared" si="17"/>
        <v>11.101923866367274</v>
      </c>
      <c r="F79" s="385">
        <f t="shared" ref="F79:F142" si="25">Wh_sa/(1-Pvg*MEDIAN((-Sdif+Wh/Env_an)/Csdif,0,1))</f>
        <v>11.101923866367274</v>
      </c>
      <c r="G79" s="110">
        <f t="shared" si="18"/>
        <v>0.23138649290668198</v>
      </c>
      <c r="H79" s="414" t="b">
        <f>Wh_hp&gt;='2019'!Maxi_hp</f>
        <v>0</v>
      </c>
      <c r="I79" s="380">
        <f>IF(H79,Wh_hp,'2019'!Maxi_hp)</f>
        <v>24.181479709212134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1.417914517530372E-2</v>
      </c>
      <c r="M79" s="959"/>
      <c r="N79" s="959"/>
      <c r="O79" s="48">
        <f>IF(t&lt;Tnet,'2019'!Resal+('2019'!Salim-'2019'!Resal)*(1-EXP(('2019'!Tnet-t)/('2019'!Tau_j))),Resal+(Salim-Resal)*(1-EXP((Tnet-t)/(Tau_j))))*Salcycl</f>
        <v>6.8391203234856798E-2</v>
      </c>
      <c r="P79" s="169">
        <f>(INDEX(Models!$BJ79:$BT79,,T79)*(1-R79)+INDEX(Models!$BJ79:$BT79,,T79+1)*R79-ERP_i)*Q79*Ramure*Pc/MaxiM</f>
        <v>2.7781249603627163E-4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8.8478746537146158E-3</v>
      </c>
      <c r="S79" s="92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-0.99115212534628538</v>
      </c>
      <c r="V79" s="383">
        <f t="shared" ref="V79:V142" si="32">MaxiM*(1-Ppv)*(1-Pvg)*(1-Psa)</f>
        <v>44.052560267211931</v>
      </c>
      <c r="W79" s="402"/>
      <c r="X79" s="157">
        <f t="shared" ref="X79:X142" si="33">t</f>
        <v>43895</v>
      </c>
      <c r="Y79" s="385">
        <f t="shared" ref="Y79:Y142" si="34">Wh_pvt_s*(1-Ppv)</f>
        <v>10.196</v>
      </c>
      <c r="Z79" s="385">
        <f t="shared" ref="Z79:Z142" si="35">Wh_sa_s*(1-Psa_s)</f>
        <v>10.342649934924642</v>
      </c>
      <c r="AA79" s="386">
        <f t="shared" ref="AA79:AA142" si="36">Wh_hp*(1-Pvg_s*MEDIAN((-Sdif+Wh/Env_an)/Csdif,0,1))</f>
        <v>11.101923866367274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6.8391203234856798E-2</v>
      </c>
      <c r="AD79" s="231">
        <f>(INDEX(Models!$BJ79:$BT79,,AH79)*(1-AF79)+INDEX(Models!$BJ79:$BT79,,AH79+1)*AF79-ERP_i)*AE79*Ramure*Pc/MaxiM</f>
        <v>2.7781249603627163E-4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8.8478746537146158E-3</v>
      </c>
      <c r="AG79" s="921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-0.99115212534628538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20">
        <v>17.263000000000002</v>
      </c>
      <c r="C80" s="390"/>
      <c r="D80" s="393">
        <f t="shared" si="24"/>
        <v>17.511678747510182</v>
      </c>
      <c r="E80" s="385">
        <f t="shared" ref="E80:E143" si="45">Wh_pvt/(1-Psa)</f>
        <v>18.798216682705778</v>
      </c>
      <c r="F80" s="385">
        <f t="shared" si="25"/>
        <v>18.798863347465527</v>
      </c>
      <c r="G80" s="110">
        <f t="shared" ref="G80:G143" si="46">+Wh_hp/MaxiM</f>
        <v>0.38932587787994505</v>
      </c>
      <c r="H80" s="414" t="b">
        <f>Wh_hp&gt;='2019'!Maxi_hp</f>
        <v>0</v>
      </c>
      <c r="I80" s="380">
        <f>IF(H80,Wh_hp,'2019'!Maxi_hp)</f>
        <v>43.018931785268983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1.4200737182066936E-2</v>
      </c>
      <c r="M80" s="959"/>
      <c r="N80" s="959"/>
      <c r="O80" s="48">
        <f>IF(t&lt;Tnet,'2019'!Resal+('2019'!Salim-'2019'!Resal)*(1-EXP(('2019'!Tnet-t)/('2019'!Tau_j))),Resal+(Salim-Resal)*(1-EXP((Tnet-t)/(Tau_j))))*Salcycl</f>
        <v>6.843936086656574E-2</v>
      </c>
      <c r="P80" s="169">
        <f>(INDEX(Models!$BJ80:$BT80,,T80)*(1-R80)+INDEX(Models!$BJ80:$BT80,,T80+1)*R80-ERP_i)*Q80*Ramure*Pc/MaxiM</f>
        <v>2.6929223872118423E-4</v>
      </c>
      <c r="Q80" s="305">
        <f t="shared" si="27"/>
        <v>0.7</v>
      </c>
      <c r="R80" s="177">
        <f t="shared" si="28"/>
        <v>9.2388053581502483E-3</v>
      </c>
      <c r="S80" s="921">
        <f t="shared" si="29"/>
        <v>-1</v>
      </c>
      <c r="T80" s="176">
        <f t="shared" si="30"/>
        <v>5</v>
      </c>
      <c r="U80" s="251">
        <f t="shared" si="31"/>
        <v>-0.99076119464184975</v>
      </c>
      <c r="V80" s="383">
        <f t="shared" si="32"/>
        <v>44.330330660147609</v>
      </c>
      <c r="W80" s="402"/>
      <c r="X80" s="157">
        <f t="shared" si="33"/>
        <v>43896</v>
      </c>
      <c r="Y80" s="385">
        <f t="shared" si="34"/>
        <v>17.263000000000002</v>
      </c>
      <c r="Z80" s="385">
        <f t="shared" si="35"/>
        <v>17.511678747510182</v>
      </c>
      <c r="AA80" s="386">
        <f t="shared" si="36"/>
        <v>18.798216682705778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6.843936086656574E-2</v>
      </c>
      <c r="AD80" s="231">
        <f>(INDEX(Models!$BJ80:$BT80,,AH80)*(1-AF80)+INDEX(Models!$BJ80:$BT80,,AH80+1)*AF80-ERP_i)*AE80*Ramure*Pc/MaxiM</f>
        <v>2.6929223872118423E-4</v>
      </c>
      <c r="AE80" s="305">
        <f t="shared" si="38"/>
        <v>0.7</v>
      </c>
      <c r="AF80" s="177">
        <f t="shared" si="39"/>
        <v>9.2388053581502483E-3</v>
      </c>
      <c r="AG80" s="921">
        <f t="shared" ref="AG80:AG143" si="47">INDEX(Echel_vg,AH80)</f>
        <v>-1</v>
      </c>
      <c r="AH80" s="176">
        <f t="shared" si="40"/>
        <v>5</v>
      </c>
      <c r="AI80" s="225">
        <f t="shared" si="41"/>
        <v>-0.99076119464184975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20">
        <v>29.140999999999998</v>
      </c>
      <c r="C81" s="390"/>
      <c r="D81" s="393">
        <f t="shared" si="24"/>
        <v>29.561432409034435</v>
      </c>
      <c r="E81" s="385">
        <f t="shared" si="45"/>
        <v>31.734876037271739</v>
      </c>
      <c r="F81" s="385">
        <f t="shared" si="25"/>
        <v>31.739043805297161</v>
      </c>
      <c r="G81" s="110">
        <f t="shared" si="46"/>
        <v>0.65319164561043641</v>
      </c>
      <c r="H81" s="414" t="b">
        <f>Wh_hp&gt;='2019'!Maxi_hp</f>
        <v>1</v>
      </c>
      <c r="I81" s="380">
        <f>IF(H81,Wh_hp,'2019'!Maxi_hp)</f>
        <v>31.739043805297161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1.4222328715909782E-2</v>
      </c>
      <c r="M81" s="959"/>
      <c r="N81" s="959"/>
      <c r="O81" s="48">
        <f>IF(t&lt;Tnet,'2019'!Resal+('2019'!Salim-'2019'!Resal)*(1-EXP(('2019'!Tnet-t)/('2019'!Tau_j))),Resal+(Salim-Resal)*(1-EXP((Tnet-t)/(Tau_j))))*Salcycl</f>
        <v>6.848754114194909E-2</v>
      </c>
      <c r="P81" s="169">
        <f>(INDEX(Models!$BJ81:$BT81,,T81)*(1-R81)+INDEX(Models!$BJ81:$BT81,,T81+1)*R81-ERP_i)*Q81*Ramure*Pc/MaxiM</f>
        <v>2.6019191054353717E-4</v>
      </c>
      <c r="Q81" s="305">
        <f t="shared" si="27"/>
        <v>0.7</v>
      </c>
      <c r="R81" s="177">
        <f t="shared" si="28"/>
        <v>9.645475186360275E-3</v>
      </c>
      <c r="S81" s="921">
        <f t="shared" si="29"/>
        <v>-1</v>
      </c>
      <c r="T81" s="176">
        <f t="shared" si="30"/>
        <v>5</v>
      </c>
      <c r="U81" s="251">
        <f t="shared" si="31"/>
        <v>-0.99035452481363972</v>
      </c>
      <c r="V81" s="383">
        <f t="shared" si="32"/>
        <v>44.607496222061712</v>
      </c>
      <c r="W81" s="402"/>
      <c r="X81" s="157">
        <f t="shared" si="33"/>
        <v>43897</v>
      </c>
      <c r="Y81" s="385">
        <f t="shared" si="34"/>
        <v>29.140999999999998</v>
      </c>
      <c r="Z81" s="385">
        <f t="shared" si="35"/>
        <v>29.561432409034435</v>
      </c>
      <c r="AA81" s="386">
        <f t="shared" si="36"/>
        <v>31.734876037271739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6.848754114194909E-2</v>
      </c>
      <c r="AD81" s="231">
        <f>(INDEX(Models!$BJ81:$BT81,,AH81)*(1-AF81)+INDEX(Models!$BJ81:$BT81,,AH81+1)*AF81-ERP_i)*AE81*Ramure*Pc/MaxiM</f>
        <v>2.6019191054353717E-4</v>
      </c>
      <c r="AE81" s="305">
        <f t="shared" si="38"/>
        <v>0.7</v>
      </c>
      <c r="AF81" s="177">
        <f t="shared" si="39"/>
        <v>9.645475186360275E-3</v>
      </c>
      <c r="AG81" s="921">
        <f t="shared" si="47"/>
        <v>-1</v>
      </c>
      <c r="AH81" s="176">
        <f t="shared" si="40"/>
        <v>5</v>
      </c>
      <c r="AI81" s="225">
        <f t="shared" si="41"/>
        <v>-0.99035452481363972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20">
        <v>33.134999999999998</v>
      </c>
      <c r="C82" s="390"/>
      <c r="D82" s="393">
        <f t="shared" si="24"/>
        <v>33.613792158906925</v>
      </c>
      <c r="E82" s="385">
        <f t="shared" si="45"/>
        <v>36.087045234410553</v>
      </c>
      <c r="F82" s="385">
        <f t="shared" si="25"/>
        <v>36.092706072702597</v>
      </c>
      <c r="G82" s="110">
        <f t="shared" si="46"/>
        <v>0.73817112516304573</v>
      </c>
      <c r="H82" s="414" t="b">
        <f>Wh_hp&gt;='2019'!Maxi_hp</f>
        <v>1</v>
      </c>
      <c r="I82" s="380">
        <f>IF(H82,Wh_hp,'2019'!Maxi_hp)</f>
        <v>36.092706072702597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1.4243919776842584E-2</v>
      </c>
      <c r="M82" s="959"/>
      <c r="N82" s="959"/>
      <c r="O82" s="48">
        <f>IF(t&lt;Tnet,'2019'!Resal+('2019'!Salim-'2019'!Resal)*(1-EXP(('2019'!Tnet-t)/('2019'!Tau_j))),Resal+(Salim-Resal)*(1-EXP((Tnet-t)/(Tau_j))))*Salcycl</f>
        <v>6.8535760116632496E-2</v>
      </c>
      <c r="P82" s="169">
        <f>(INDEX(Models!$BJ82:$BT82,,T82)*(1-R82)+INDEX(Models!$BJ82:$BT82,,T82+1)*R82-ERP_i)*Q82*Ramure*Pc/MaxiM</f>
        <v>2.5052267298361256E-4</v>
      </c>
      <c r="Q82" s="305">
        <f t="shared" si="27"/>
        <v>0.7</v>
      </c>
      <c r="R82" s="177">
        <f t="shared" si="28"/>
        <v>1.0068489567947259E-2</v>
      </c>
      <c r="S82" s="921">
        <f t="shared" si="29"/>
        <v>-1</v>
      </c>
      <c r="T82" s="176">
        <f t="shared" si="30"/>
        <v>5</v>
      </c>
      <c r="U82" s="251">
        <f t="shared" si="31"/>
        <v>-0.98993151043205274</v>
      </c>
      <c r="V82" s="383">
        <f t="shared" si="32"/>
        <v>44.883759689024828</v>
      </c>
      <c r="W82" s="402"/>
      <c r="X82" s="157">
        <f t="shared" si="33"/>
        <v>43898</v>
      </c>
      <c r="Y82" s="385">
        <f t="shared" si="34"/>
        <v>33.134999999999998</v>
      </c>
      <c r="Z82" s="385">
        <f t="shared" si="35"/>
        <v>33.613792158906925</v>
      </c>
      <c r="AA82" s="386">
        <f t="shared" si="36"/>
        <v>36.087045234410553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6.8535760116632496E-2</v>
      </c>
      <c r="AD82" s="231">
        <f>(INDEX(Models!$BJ82:$BT82,,AH82)*(1-AF82)+INDEX(Models!$BJ82:$BT82,,AH82+1)*AF82-ERP_i)*AE82*Ramure*Pc/MaxiM</f>
        <v>2.5052267298361256E-4</v>
      </c>
      <c r="AE82" s="305">
        <f t="shared" si="38"/>
        <v>0.7</v>
      </c>
      <c r="AF82" s="177">
        <f t="shared" si="39"/>
        <v>1.0068489567947259E-2</v>
      </c>
      <c r="AG82" s="921">
        <f t="shared" si="47"/>
        <v>-1</v>
      </c>
      <c r="AH82" s="176">
        <f t="shared" si="40"/>
        <v>5</v>
      </c>
      <c r="AI82" s="225">
        <f t="shared" si="41"/>
        <v>-0.98993151043205274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20">
        <v>24.3</v>
      </c>
      <c r="C83" s="390"/>
      <c r="D83" s="393">
        <f t="shared" si="24"/>
        <v>24.651668634415742</v>
      </c>
      <c r="E83" s="385">
        <f t="shared" si="45"/>
        <v>26.466873623624451</v>
      </c>
      <c r="F83" s="385">
        <f t="shared" si="25"/>
        <v>26.46903706729881</v>
      </c>
      <c r="G83" s="110">
        <f t="shared" si="46"/>
        <v>0.53801548898239271</v>
      </c>
      <c r="H83" s="414" t="b">
        <f>Wh_hp&gt;='2019'!Maxi_hp</f>
        <v>1</v>
      </c>
      <c r="I83" s="380">
        <f>IF(H83,Wh_hp,'2019'!Maxi_hp)</f>
        <v>26.46903706729881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1.4265510364875778E-2</v>
      </c>
      <c r="M83" s="959"/>
      <c r="N83" s="959"/>
      <c r="O83" s="48">
        <f>IF(t&lt;Tnet,'2019'!Resal+('2019'!Salim-'2019'!Resal)*(1-EXP(('2019'!Tnet-t)/('2019'!Tau_j))),Resal+(Salim-Resal)*(1-EXP((Tnet-t)/(Tau_j))))*Salcycl</f>
        <v>6.8584035085596476E-2</v>
      </c>
      <c r="P83" s="169">
        <f>(INDEX(Models!$BJ83:$BT83,,T83)*(1-R83)+INDEX(Models!$BJ83:$BT83,,T83+1)*R83-ERP_i)*Q83*Ramure*Pc/MaxiM</f>
        <v>2.4029492827282552E-4</v>
      </c>
      <c r="Q83" s="305">
        <f t="shared" si="27"/>
        <v>0.7</v>
      </c>
      <c r="R83" s="177">
        <f t="shared" si="28"/>
        <v>1.0508474859283967E-2</v>
      </c>
      <c r="S83" s="921">
        <f t="shared" si="29"/>
        <v>-1</v>
      </c>
      <c r="T83" s="176">
        <f t="shared" si="30"/>
        <v>5</v>
      </c>
      <c r="U83" s="251">
        <f t="shared" si="31"/>
        <v>-0.98949152514071603</v>
      </c>
      <c r="V83" s="383">
        <f t="shared" si="32"/>
        <v>45.15882381365487</v>
      </c>
      <c r="W83" s="402"/>
      <c r="X83" s="157">
        <f t="shared" si="33"/>
        <v>43899</v>
      </c>
      <c r="Y83" s="385">
        <f t="shared" si="34"/>
        <v>24.3</v>
      </c>
      <c r="Z83" s="385">
        <f t="shared" si="35"/>
        <v>24.651668634415742</v>
      </c>
      <c r="AA83" s="386">
        <f t="shared" si="36"/>
        <v>26.466873623624451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6.8584035085596476E-2</v>
      </c>
      <c r="AD83" s="231">
        <f>(INDEX(Models!$BJ83:$BT83,,AH83)*(1-AF83)+INDEX(Models!$BJ83:$BT83,,AH83+1)*AF83-ERP_i)*AE83*Ramure*Pc/MaxiM</f>
        <v>2.4029492827282552E-4</v>
      </c>
      <c r="AE83" s="305">
        <f t="shared" si="38"/>
        <v>0.7</v>
      </c>
      <c r="AF83" s="177">
        <f t="shared" si="39"/>
        <v>1.0508474859283967E-2</v>
      </c>
      <c r="AG83" s="921">
        <f t="shared" si="47"/>
        <v>-1</v>
      </c>
      <c r="AH83" s="176">
        <f t="shared" si="40"/>
        <v>5</v>
      </c>
      <c r="AI83" s="225">
        <f t="shared" si="41"/>
        <v>-0.98949152514071603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20">
        <v>32.557000000000002</v>
      </c>
      <c r="C84" s="390"/>
      <c r="D84" s="393">
        <f t="shared" si="24"/>
        <v>33.028887027708087</v>
      </c>
      <c r="E84" s="385">
        <f t="shared" si="45"/>
        <v>35.462782342028092</v>
      </c>
      <c r="F84" s="385">
        <f t="shared" si="25"/>
        <v>35.467627121653067</v>
      </c>
      <c r="G84" s="110">
        <f t="shared" si="46"/>
        <v>0.71653666858979548</v>
      </c>
      <c r="H84" s="414" t="b">
        <f>Wh_hp&gt;='2019'!Maxi_hp</f>
        <v>1</v>
      </c>
      <c r="I84" s="380">
        <f>IF(H84,Wh_hp,'2019'!Maxi_hp)</f>
        <v>35.467627121653067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1.4287100480019688E-2</v>
      </c>
      <c r="M84" s="959"/>
      <c r="N84" s="959"/>
      <c r="O84" s="48">
        <f>IF(t&lt;Tnet,'2019'!Resal+('2019'!Salim-'2019'!Resal)*(1-EXP(('2019'!Tnet-t)/('2019'!Tau_j))),Resal+(Salim-Resal)*(1-EXP((Tnet-t)/(Tau_j))))*Salcycl</f>
        <v>6.8632384533334145E-2</v>
      </c>
      <c r="P84" s="169">
        <f>(INDEX(Models!$BJ84:$BT84,,T84)*(1-R84)+INDEX(Models!$BJ84:$BT84,,T84+1)*R84-ERP_i)*Q84*Ramure*Pc/MaxiM</f>
        <v>2.2951827096330784E-4</v>
      </c>
      <c r="Q84" s="305">
        <f t="shared" si="27"/>
        <v>0.7</v>
      </c>
      <c r="R84" s="177">
        <f t="shared" si="28"/>
        <v>1.0966078866948781E-2</v>
      </c>
      <c r="S84" s="921">
        <f t="shared" si="29"/>
        <v>-1</v>
      </c>
      <c r="T84" s="176">
        <f t="shared" si="30"/>
        <v>5</v>
      </c>
      <c r="U84" s="251">
        <f t="shared" si="31"/>
        <v>-0.98903392113305122</v>
      </c>
      <c r="V84" s="383">
        <f t="shared" si="32"/>
        <v>45.432391367281767</v>
      </c>
      <c r="W84" s="402"/>
      <c r="X84" s="157">
        <f t="shared" si="33"/>
        <v>43900</v>
      </c>
      <c r="Y84" s="385">
        <f t="shared" si="34"/>
        <v>32.557000000000002</v>
      </c>
      <c r="Z84" s="385">
        <f t="shared" si="35"/>
        <v>33.028887027708087</v>
      </c>
      <c r="AA84" s="386">
        <f t="shared" si="36"/>
        <v>35.462782342028092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6.8632384533334145E-2</v>
      </c>
      <c r="AD84" s="231">
        <f>(INDEX(Models!$BJ84:$BT84,,AH84)*(1-AF84)+INDEX(Models!$BJ84:$BT84,,AH84+1)*AF84-ERP_i)*AE84*Ramure*Pc/MaxiM</f>
        <v>2.2951827096330784E-4</v>
      </c>
      <c r="AE84" s="305">
        <f t="shared" si="38"/>
        <v>0.7</v>
      </c>
      <c r="AF84" s="177">
        <f t="shared" si="39"/>
        <v>1.0966078866948781E-2</v>
      </c>
      <c r="AG84" s="921">
        <f t="shared" si="47"/>
        <v>-1</v>
      </c>
      <c r="AH84" s="176">
        <f t="shared" si="40"/>
        <v>5</v>
      </c>
      <c r="AI84" s="225">
        <f t="shared" si="41"/>
        <v>-0.98903392113305122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20">
        <v>39.25</v>
      </c>
      <c r="C85" s="390"/>
      <c r="D85" s="393">
        <f t="shared" si="24"/>
        <v>39.819768731520362</v>
      </c>
      <c r="E85" s="385">
        <f t="shared" si="45"/>
        <v>42.75630732408181</v>
      </c>
      <c r="F85" s="385">
        <f t="shared" si="25"/>
        <v>42.763756003434501</v>
      </c>
      <c r="G85" s="110">
        <f t="shared" si="46"/>
        <v>0.85874606431187817</v>
      </c>
      <c r="H85" s="414" t="b">
        <f>Wh_hp&gt;='2019'!Maxi_hp</f>
        <v>0</v>
      </c>
      <c r="I85" s="380">
        <f>IF(H85,Wh_hp,'2019'!Maxi_hp)</f>
        <v>43.935491435363161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1.430869012228464E-2</v>
      </c>
      <c r="M85" s="959"/>
      <c r="N85" s="959"/>
      <c r="O85" s="48">
        <f>IF(t&lt;Tnet,'2019'!Resal+('2019'!Salim-'2019'!Resal)*(1-EXP(('2019'!Tnet-t)/('2019'!Tau_j))),Resal+(Salim-Resal)*(1-EXP((Tnet-t)/(Tau_j))))*Salcycl</f>
        <v>6.8680828077673756E-2</v>
      </c>
      <c r="P85" s="169">
        <f>(INDEX(Models!$BJ85:$BT85,,T85)*(1-R85)+INDEX(Models!$BJ85:$BT85,,T85+1)*R85-ERP_i)*Q85*Ramure*Pc/MaxiM</f>
        <v>2.1820143990260396E-4</v>
      </c>
      <c r="Q85" s="305">
        <f t="shared" si="27"/>
        <v>0.7</v>
      </c>
      <c r="R85" s="177">
        <f t="shared" si="28"/>
        <v>1.1441971366304093E-2</v>
      </c>
      <c r="S85" s="921">
        <f t="shared" si="29"/>
        <v>-1</v>
      </c>
      <c r="T85" s="176">
        <f t="shared" si="30"/>
        <v>5</v>
      </c>
      <c r="U85" s="251">
        <f t="shared" si="31"/>
        <v>-0.98855802863369591</v>
      </c>
      <c r="V85" s="383">
        <f t="shared" si="32"/>
        <v>45.704165142242147</v>
      </c>
      <c r="W85" s="402"/>
      <c r="X85" s="157">
        <f t="shared" si="33"/>
        <v>43901</v>
      </c>
      <c r="Y85" s="385">
        <f t="shared" si="34"/>
        <v>39.25</v>
      </c>
      <c r="Z85" s="385">
        <f t="shared" si="35"/>
        <v>39.819768731520362</v>
      </c>
      <c r="AA85" s="386">
        <f t="shared" si="36"/>
        <v>42.75630732408181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6.8680828077673756E-2</v>
      </c>
      <c r="AD85" s="231">
        <f>(INDEX(Models!$BJ85:$BT85,,AH85)*(1-AF85)+INDEX(Models!$BJ85:$BT85,,AH85+1)*AF85-ERP_i)*AE85*Ramure*Pc/MaxiM</f>
        <v>2.1820143990260396E-4</v>
      </c>
      <c r="AE85" s="305">
        <f t="shared" si="38"/>
        <v>0.7</v>
      </c>
      <c r="AF85" s="177">
        <f t="shared" si="39"/>
        <v>1.1441971366304093E-2</v>
      </c>
      <c r="AG85" s="921">
        <f t="shared" si="47"/>
        <v>-1</v>
      </c>
      <c r="AH85" s="176">
        <f t="shared" si="40"/>
        <v>5</v>
      </c>
      <c r="AI85" s="225">
        <f t="shared" si="41"/>
        <v>-0.98855802863369591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20">
        <v>15.474</v>
      </c>
      <c r="C86" s="390"/>
      <c r="D86" s="393">
        <f t="shared" si="24"/>
        <v>15.698970633773877</v>
      </c>
      <c r="E86" s="385">
        <f t="shared" si="45"/>
        <v>16.857581893644912</v>
      </c>
      <c r="F86" s="385">
        <f t="shared" si="25"/>
        <v>16.857764068495605</v>
      </c>
      <c r="G86" s="110">
        <f t="shared" si="46"/>
        <v>0.33651684122561393</v>
      </c>
      <c r="H86" s="414" t="b">
        <f>Wh_hp&gt;='2019'!Maxi_hp</f>
        <v>0</v>
      </c>
      <c r="I86" s="380">
        <f>IF(H86,Wh_hp,'2019'!Maxi_hp)</f>
        <v>26.245426921658471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1.4330279291680958E-2</v>
      </c>
      <c r="M86" s="959"/>
      <c r="N86" s="959"/>
      <c r="O86" s="48">
        <f>IF(t&lt;Tnet,'2019'!Resal+('2019'!Salim-'2019'!Resal)*(1-EXP(('2019'!Tnet-t)/('2019'!Tau_j))),Resal+(Salim-Resal)*(1-EXP((Tnet-t)/(Tau_j))))*Salcycl</f>
        <v>6.8729386407893792E-2</v>
      </c>
      <c r="P86" s="169">
        <f>(INDEX(Models!$BJ86:$BT86,,T86)*(1-R86)+INDEX(Models!$BJ86:$BT86,,T86+1)*R86-ERP_i)*Q86*Ramure*Pc/MaxiM</f>
        <v>2.067804651974915E-4</v>
      </c>
      <c r="Q86" s="305">
        <f t="shared" si="27"/>
        <v>0.7</v>
      </c>
      <c r="R86" s="177">
        <f t="shared" si="28"/>
        <v>1.1936844613149811E-2</v>
      </c>
      <c r="S86" s="921">
        <f t="shared" si="29"/>
        <v>-1</v>
      </c>
      <c r="T86" s="176">
        <f t="shared" si="30"/>
        <v>5</v>
      </c>
      <c r="U86" s="251">
        <f t="shared" si="31"/>
        <v>-0.98806315538685019</v>
      </c>
      <c r="V86" s="383">
        <f t="shared" si="32"/>
        <v>45.97382826681573</v>
      </c>
      <c r="W86" s="402"/>
      <c r="X86" s="157">
        <f t="shared" si="33"/>
        <v>43902</v>
      </c>
      <c r="Y86" s="385">
        <f t="shared" si="34"/>
        <v>15.474</v>
      </c>
      <c r="Z86" s="385">
        <f t="shared" si="35"/>
        <v>15.698970633773877</v>
      </c>
      <c r="AA86" s="386">
        <f t="shared" si="36"/>
        <v>16.857581893644912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6.8729386407893792E-2</v>
      </c>
      <c r="AD86" s="231">
        <f>(INDEX(Models!$BJ86:$BT86,,AH86)*(1-AF86)+INDEX(Models!$BJ86:$BT86,,AH86+1)*AF86-ERP_i)*AE86*Ramure*Pc/MaxiM</f>
        <v>2.067804651974915E-4</v>
      </c>
      <c r="AE86" s="305">
        <f t="shared" si="38"/>
        <v>0.7</v>
      </c>
      <c r="AF86" s="177">
        <f t="shared" si="39"/>
        <v>1.1936844613149811E-2</v>
      </c>
      <c r="AG86" s="921">
        <f t="shared" si="47"/>
        <v>-1</v>
      </c>
      <c r="AH86" s="176">
        <f t="shared" si="40"/>
        <v>5</v>
      </c>
      <c r="AI86" s="225">
        <f t="shared" si="41"/>
        <v>-0.98806315538685019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20">
        <v>33.856999999999999</v>
      </c>
      <c r="C87" s="390"/>
      <c r="D87" s="393">
        <f t="shared" si="24"/>
        <v>34.349986471232242</v>
      </c>
      <c r="E87" s="385">
        <f t="shared" si="45"/>
        <v>36.887003815538193</v>
      </c>
      <c r="F87" s="385">
        <f t="shared" si="25"/>
        <v>36.891466840324576</v>
      </c>
      <c r="G87" s="110">
        <f t="shared" si="46"/>
        <v>0.73213000752321511</v>
      </c>
      <c r="H87" s="414" t="b">
        <f>Wh_hp&gt;='2019'!Maxi_hp</f>
        <v>1</v>
      </c>
      <c r="I87" s="380">
        <f>IF(H87,Wh_hp,'2019'!Maxi_hp)</f>
        <v>36.891466840324576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1.4351867988219191E-2</v>
      </c>
      <c r="M87" s="959"/>
      <c r="N87" s="959"/>
      <c r="O87" s="48">
        <f>IF(t&lt;Tnet,'2019'!Resal+('2019'!Salim-'2019'!Resal)*(1-EXP(('2019'!Tnet-t)/('2019'!Tau_j))),Resal+(Salim-Resal)*(1-EXP((Tnet-t)/(Tau_j))))*Salcycl</f>
        <v>6.8778081217788306E-2</v>
      </c>
      <c r="P87" s="169">
        <f>(INDEX(Models!$BJ87:$BT87,,T87)*(1-R87)+INDEX(Models!$BJ87:$BT87,,T87+1)*R87-ERP_i)*Q87*Ramure*Pc/MaxiM</f>
        <v>1.9594393365579934E-4</v>
      </c>
      <c r="Q87" s="305">
        <f t="shared" si="27"/>
        <v>0.7</v>
      </c>
      <c r="R87" s="177">
        <f t="shared" si="28"/>
        <v>1.2451413846187531E-2</v>
      </c>
      <c r="S87" s="921">
        <f t="shared" si="29"/>
        <v>-1</v>
      </c>
      <c r="T87" s="176">
        <f t="shared" si="30"/>
        <v>5</v>
      </c>
      <c r="U87" s="251">
        <f t="shared" si="31"/>
        <v>-0.98754858615381247</v>
      </c>
      <c r="V87" s="383">
        <f t="shared" si="32"/>
        <v>46.24105171878719</v>
      </c>
      <c r="W87" s="402"/>
      <c r="X87" s="157">
        <f t="shared" si="33"/>
        <v>43903</v>
      </c>
      <c r="Y87" s="385">
        <f t="shared" si="34"/>
        <v>33.856999999999999</v>
      </c>
      <c r="Z87" s="385">
        <f t="shared" si="35"/>
        <v>34.349986471232242</v>
      </c>
      <c r="AA87" s="386">
        <f t="shared" si="36"/>
        <v>36.887003815538193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6.8778081217788306E-2</v>
      </c>
      <c r="AD87" s="231">
        <f>(INDEX(Models!$BJ87:$BT87,,AH87)*(1-AF87)+INDEX(Models!$BJ87:$BT87,,AH87+1)*AF87-ERP_i)*AE87*Ramure*Pc/MaxiM</f>
        <v>1.9594393365579934E-4</v>
      </c>
      <c r="AE87" s="305">
        <f t="shared" si="38"/>
        <v>0.7</v>
      </c>
      <c r="AF87" s="177">
        <f t="shared" si="39"/>
        <v>1.2451413846187531E-2</v>
      </c>
      <c r="AG87" s="921">
        <f t="shared" si="47"/>
        <v>-1</v>
      </c>
      <c r="AH87" s="176">
        <f t="shared" si="40"/>
        <v>5</v>
      </c>
      <c r="AI87" s="225">
        <f t="shared" si="41"/>
        <v>-0.98754858615381247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20">
        <v>32.075000000000003</v>
      </c>
      <c r="C88" s="390"/>
      <c r="D88" s="393">
        <f t="shared" si="24"/>
        <v>32.542751818275015</v>
      </c>
      <c r="E88" s="385">
        <f t="shared" si="45"/>
        <v>34.948124087943434</v>
      </c>
      <c r="F88" s="385">
        <f t="shared" si="25"/>
        <v>34.951737117929945</v>
      </c>
      <c r="G88" s="110">
        <f t="shared" si="46"/>
        <v>0.68964602600959257</v>
      </c>
      <c r="H88" s="414" t="b">
        <f>Wh_hp&gt;='2019'!Maxi_hp</f>
        <v>1</v>
      </c>
      <c r="I88" s="380">
        <f>IF(H88,Wh_hp,'2019'!Maxi_hp)</f>
        <v>34.951737117929945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1.4373456211909441E-2</v>
      </c>
      <c r="M88" s="959"/>
      <c r="N88" s="959"/>
      <c r="O88" s="48">
        <f>IF(t&lt;Tnet,'2019'!Resal+('2019'!Salim-'2019'!Resal)*(1-EXP(('2019'!Tnet-t)/('2019'!Tau_j))),Resal+(Salim-Resal)*(1-EXP((Tnet-t)/(Tau_j))))*Salcycl</f>
        <v>6.8826935134359224E-2</v>
      </c>
      <c r="P88" s="169">
        <f>(INDEX(Models!$BJ88:$BT88,,T88)*(1-R88)+INDEX(Models!$BJ88:$BT88,,T88+1)*R88-ERP_i)*Q88*Ramure*Pc/MaxiM</f>
        <v>1.8568093481625256E-4</v>
      </c>
      <c r="Q88" s="305">
        <f t="shared" si="27"/>
        <v>0.7</v>
      </c>
      <c r="R88" s="177">
        <f t="shared" si="28"/>
        <v>1.2986417777819059E-2</v>
      </c>
      <c r="S88" s="921">
        <f t="shared" si="29"/>
        <v>-1</v>
      </c>
      <c r="T88" s="176">
        <f t="shared" si="30"/>
        <v>5</v>
      </c>
      <c r="U88" s="251">
        <f t="shared" si="31"/>
        <v>-0.98701358222218094</v>
      </c>
      <c r="V88" s="383">
        <f t="shared" si="32"/>
        <v>46.505538287015789</v>
      </c>
      <c r="W88" s="402"/>
      <c r="X88" s="157">
        <f t="shared" si="33"/>
        <v>43904</v>
      </c>
      <c r="Y88" s="385">
        <f t="shared" si="34"/>
        <v>32.075000000000003</v>
      </c>
      <c r="Z88" s="385">
        <f t="shared" si="35"/>
        <v>32.542751818275015</v>
      </c>
      <c r="AA88" s="386">
        <f t="shared" si="36"/>
        <v>34.948124087943434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6.8826935134359224E-2</v>
      </c>
      <c r="AD88" s="231">
        <f>(INDEX(Models!$BJ88:$BT88,,AH88)*(1-AF88)+INDEX(Models!$BJ88:$BT88,,AH88+1)*AF88-ERP_i)*AE88*Ramure*Pc/MaxiM</f>
        <v>1.8568093481625256E-4</v>
      </c>
      <c r="AE88" s="305">
        <f t="shared" si="38"/>
        <v>0.7</v>
      </c>
      <c r="AF88" s="177">
        <f t="shared" si="39"/>
        <v>1.2986417777819059E-2</v>
      </c>
      <c r="AG88" s="921">
        <f t="shared" si="47"/>
        <v>-1</v>
      </c>
      <c r="AH88" s="176">
        <f t="shared" si="40"/>
        <v>5</v>
      </c>
      <c r="AI88" s="225">
        <f t="shared" si="41"/>
        <v>-0.98701358222218094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20">
        <v>47.966000000000001</v>
      </c>
      <c r="C89" s="390"/>
      <c r="D89" s="393">
        <f t="shared" si="24"/>
        <v>48.666557230854437</v>
      </c>
      <c r="E89" s="385">
        <f t="shared" si="45"/>
        <v>52.266460480800895</v>
      </c>
      <c r="F89" s="385">
        <f t="shared" si="25"/>
        <v>52.275659986289419</v>
      </c>
      <c r="G89" s="110">
        <f t="shared" si="46"/>
        <v>1.0256379381101215</v>
      </c>
      <c r="H89" s="414" t="b">
        <f>Wh_hp&gt;='2019'!Maxi_hp</f>
        <v>1</v>
      </c>
      <c r="I89" s="380">
        <f>IF(H89,Wh_hp,'2019'!Maxi_hp)</f>
        <v>52.275659986289419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1.4395043962762255E-2</v>
      </c>
      <c r="M89" s="959"/>
      <c r="N89" s="959"/>
      <c r="O89" s="48">
        <f>IF(t&lt;Tnet,'2019'!Resal+('2019'!Salim-'2019'!Resal)*(1-EXP(('2019'!Tnet-t)/('2019'!Tau_j))),Resal+(Salim-Resal)*(1-EXP((Tnet-t)/(Tau_j))))*Salcycl</f>
        <v>6.8875971642824649E-2</v>
      </c>
      <c r="P89" s="169">
        <f>(INDEX(Models!$BJ89:$BT89,,T89)*(1-R89)+INDEX(Models!$BJ89:$BT89,,T89+1)*R89-ERP_i)*Q89*Ramure*Pc/MaxiM</f>
        <v>1.7598066654613012E-4</v>
      </c>
      <c r="Q89" s="305">
        <f t="shared" si="27"/>
        <v>0.7</v>
      </c>
      <c r="R89" s="177">
        <f t="shared" si="28"/>
        <v>1.3542619070590955E-2</v>
      </c>
      <c r="S89" s="921">
        <f t="shared" si="29"/>
        <v>-1</v>
      </c>
      <c r="T89" s="176">
        <f t="shared" si="30"/>
        <v>5</v>
      </c>
      <c r="U89" s="251">
        <f t="shared" si="31"/>
        <v>-0.98645738092940904</v>
      </c>
      <c r="V89" s="383">
        <f t="shared" si="32"/>
        <v>46.766990784666106</v>
      </c>
      <c r="W89" s="402"/>
      <c r="X89" s="157">
        <f t="shared" si="33"/>
        <v>43905</v>
      </c>
      <c r="Y89" s="385">
        <f t="shared" si="34"/>
        <v>47.966000000000001</v>
      </c>
      <c r="Z89" s="385">
        <f t="shared" si="35"/>
        <v>48.666557230854437</v>
      </c>
      <c r="AA89" s="386">
        <f t="shared" si="36"/>
        <v>52.266460480800895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6.8875971642824649E-2</v>
      </c>
      <c r="AD89" s="231">
        <f>(INDEX(Models!$BJ89:$BT89,,AH89)*(1-AF89)+INDEX(Models!$BJ89:$BT89,,AH89+1)*AF89-ERP_i)*AE89*Ramure*Pc/MaxiM</f>
        <v>1.7598066654613012E-4</v>
      </c>
      <c r="AE89" s="305">
        <f t="shared" si="38"/>
        <v>0.7</v>
      </c>
      <c r="AF89" s="177">
        <f t="shared" si="39"/>
        <v>1.3542619070590955E-2</v>
      </c>
      <c r="AG89" s="921">
        <f t="shared" si="47"/>
        <v>-1</v>
      </c>
      <c r="AH89" s="176">
        <f t="shared" si="40"/>
        <v>5</v>
      </c>
      <c r="AI89" s="225">
        <f t="shared" si="41"/>
        <v>-0.98645738092940904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20">
        <v>7.3940000000000001</v>
      </c>
      <c r="C90" s="390"/>
      <c r="D90" s="393">
        <f t="shared" si="24"/>
        <v>7.5021558138796367</v>
      </c>
      <c r="E90" s="385">
        <f t="shared" si="45"/>
        <v>8.0575222686856343</v>
      </c>
      <c r="F90" s="385">
        <f t="shared" si="25"/>
        <v>8.0575222686856343</v>
      </c>
      <c r="G90" s="110">
        <f t="shared" si="46"/>
        <v>0.15720890641996804</v>
      </c>
      <c r="H90" s="414" t="b">
        <f>Wh_hp&gt;='2019'!Maxi_hp</f>
        <v>0</v>
      </c>
      <c r="I90" s="380">
        <f>IF(H90,Wh_hp,'2019'!Maxi_hp)</f>
        <v>16.09757856579601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1.4416631240787958E-2</v>
      </c>
      <c r="M90" s="959"/>
      <c r="N90" s="959"/>
      <c r="O90" s="48">
        <f>IF(t&lt;Tnet,'2019'!Resal+('2019'!Salim-'2019'!Resal)*(1-EXP(('2019'!Tnet-t)/('2019'!Tau_j))),Resal+(Salim-Resal)*(1-EXP((Tnet-t)/(Tau_j))))*Salcycl</f>
        <v>6.8925215008631982E-2</v>
      </c>
      <c r="P90" s="169">
        <f>(INDEX(Models!$BJ90:$BT90,,T90)*(1-R90)+INDEX(Models!$BJ90:$BT90,,T90+1)*R90-ERP_i)*Q90*Ramure*Pc/MaxiM</f>
        <v>1.6683246671395625E-4</v>
      </c>
      <c r="Q90" s="305">
        <f t="shared" si="27"/>
        <v>0.7</v>
      </c>
      <c r="R90" s="177">
        <f t="shared" si="28"/>
        <v>1.4120804796355246E-2</v>
      </c>
      <c r="S90" s="921">
        <f t="shared" si="29"/>
        <v>-1</v>
      </c>
      <c r="T90" s="176">
        <f t="shared" si="30"/>
        <v>5</v>
      </c>
      <c r="U90" s="251">
        <f t="shared" si="31"/>
        <v>-0.98587919520364475</v>
      </c>
      <c r="V90" s="383">
        <f t="shared" si="32"/>
        <v>47.025112056896262</v>
      </c>
      <c r="W90" s="402"/>
      <c r="X90" s="157">
        <f t="shared" si="33"/>
        <v>43906</v>
      </c>
      <c r="Y90" s="385">
        <f t="shared" si="34"/>
        <v>7.3940000000000001</v>
      </c>
      <c r="Z90" s="385">
        <f t="shared" si="35"/>
        <v>7.5021558138796367</v>
      </c>
      <c r="AA90" s="386">
        <f t="shared" si="36"/>
        <v>8.0575222686856343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6.8925215008631982E-2</v>
      </c>
      <c r="AD90" s="231">
        <f>(INDEX(Models!$BJ90:$BT90,,AH90)*(1-AF90)+INDEX(Models!$BJ90:$BT90,,AH90+1)*AF90-ERP_i)*AE90*Ramure*Pc/MaxiM</f>
        <v>1.6683246671395625E-4</v>
      </c>
      <c r="AE90" s="305">
        <f t="shared" si="38"/>
        <v>0.7</v>
      </c>
      <c r="AF90" s="177">
        <f t="shared" si="39"/>
        <v>1.4120804796355246E-2</v>
      </c>
      <c r="AG90" s="921">
        <f t="shared" si="47"/>
        <v>-1</v>
      </c>
      <c r="AH90" s="176">
        <f t="shared" si="40"/>
        <v>5</v>
      </c>
      <c r="AI90" s="225">
        <f t="shared" si="41"/>
        <v>-0.98587919520364475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20">
        <v>11.38</v>
      </c>
      <c r="C91" s="390"/>
      <c r="D91" s="393">
        <f t="shared" si="24"/>
        <v>11.546713974072416</v>
      </c>
      <c r="E91" s="385">
        <f t="shared" si="45"/>
        <v>12.40214831164753</v>
      </c>
      <c r="F91" s="385">
        <f t="shared" si="25"/>
        <v>12.40214831164753</v>
      </c>
      <c r="G91" s="110">
        <f t="shared" si="46"/>
        <v>0.24065766614005221</v>
      </c>
      <c r="H91" s="414" t="b">
        <f>Wh_hp&gt;='2019'!Maxi_hp</f>
        <v>0</v>
      </c>
      <c r="I91" s="380">
        <f>IF(H91,Wh_hp,'2019'!Maxi_hp)</f>
        <v>38.270489516966428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1.4438218045996765E-2</v>
      </c>
      <c r="M91" s="959"/>
      <c r="N91" s="959"/>
      <c r="O91" s="48">
        <f>IF(t&lt;Tnet,'2019'!Resal+('2019'!Salim-'2019'!Resal)*(1-EXP(('2019'!Tnet-t)/('2019'!Tau_j))),Resal+(Salim-Resal)*(1-EXP((Tnet-t)/(Tau_j))))*Salcycl</f>
        <v>6.8974690197159488E-2</v>
      </c>
      <c r="P91" s="169">
        <f>(INDEX(Models!$BJ91:$BT91,,T91)*(1-R91)+INDEX(Models!$BJ91:$BT91,,T91+1)*R91-ERP_i)*Q91*Ramure*Pc/MaxiM</f>
        <v>1.5822584409894806E-4</v>
      </c>
      <c r="Q91" s="305">
        <f t="shared" si="27"/>
        <v>0.7</v>
      </c>
      <c r="R91" s="177">
        <f t="shared" si="28"/>
        <v>1.4721786874980713E-2</v>
      </c>
      <c r="S91" s="921">
        <f t="shared" si="29"/>
        <v>-1</v>
      </c>
      <c r="T91" s="176">
        <f t="shared" si="30"/>
        <v>5</v>
      </c>
      <c r="U91" s="251">
        <f t="shared" si="31"/>
        <v>-0.98527821312501929</v>
      </c>
      <c r="V91" s="383">
        <f t="shared" si="32"/>
        <v>47.279604977439377</v>
      </c>
      <c r="W91" s="402"/>
      <c r="X91" s="157">
        <f t="shared" si="33"/>
        <v>43907</v>
      </c>
      <c r="Y91" s="385">
        <f t="shared" si="34"/>
        <v>11.38</v>
      </c>
      <c r="Z91" s="385">
        <f t="shared" si="35"/>
        <v>11.546713974072416</v>
      </c>
      <c r="AA91" s="386">
        <f t="shared" si="36"/>
        <v>12.40214831164753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6.8974690197159488E-2</v>
      </c>
      <c r="AD91" s="231">
        <f>(INDEX(Models!$BJ91:$BT91,,AH91)*(1-AF91)+INDEX(Models!$BJ91:$BT91,,AH91+1)*AF91-ERP_i)*AE91*Ramure*Pc/MaxiM</f>
        <v>1.5822584409894806E-4</v>
      </c>
      <c r="AE91" s="305">
        <f t="shared" si="38"/>
        <v>0.7</v>
      </c>
      <c r="AF91" s="177">
        <f t="shared" si="39"/>
        <v>1.4721786874980713E-2</v>
      </c>
      <c r="AG91" s="921">
        <f t="shared" si="47"/>
        <v>-1</v>
      </c>
      <c r="AH91" s="176">
        <f t="shared" si="40"/>
        <v>5</v>
      </c>
      <c r="AI91" s="225">
        <f t="shared" si="41"/>
        <v>-0.98527821312501929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20">
        <v>42.963000000000001</v>
      </c>
      <c r="C92" s="390"/>
      <c r="D92" s="393">
        <f t="shared" si="24"/>
        <v>43.593351332466291</v>
      </c>
      <c r="E92" s="385">
        <f t="shared" si="45"/>
        <v>46.825451064132423</v>
      </c>
      <c r="F92" s="385">
        <f t="shared" si="25"/>
        <v>46.831517578729603</v>
      </c>
      <c r="G92" s="110">
        <f t="shared" si="46"/>
        <v>0.9038914048840353</v>
      </c>
      <c r="H92" s="414" t="b">
        <f>Wh_hp&gt;='2019'!Maxi_hp</f>
        <v>1</v>
      </c>
      <c r="I92" s="380">
        <f>IF(H92,Wh_hp,'2019'!Maxi_hp)</f>
        <v>46.831517578729603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1.4459804378399221E-2</v>
      </c>
      <c r="M92" s="959"/>
      <c r="N92" s="959"/>
      <c r="O92" s="48">
        <f>IF(t&lt;Tnet,'2019'!Resal+('2019'!Salim-'2019'!Resal)*(1-EXP(('2019'!Tnet-t)/('2019'!Tau_j))),Resal+(Salim-Resal)*(1-EXP((Tnet-t)/(Tau_j))))*Salcycl</f>
        <v>6.9024422791772594E-2</v>
      </c>
      <c r="P92" s="169">
        <f>(INDEX(Models!$BJ92:$BT92,,T92)*(1-R92)+INDEX(Models!$BJ92:$BT92,,T92+1)*R92-ERP_i)*Q92*Ramure*Pc/MaxiM</f>
        <v>1.5015050843491447E-4</v>
      </c>
      <c r="Q92" s="305">
        <f t="shared" si="27"/>
        <v>0.7</v>
      </c>
      <c r="R92" s="177">
        <f t="shared" si="28"/>
        <v>1.5346402489187283E-2</v>
      </c>
      <c r="S92" s="921">
        <f t="shared" si="29"/>
        <v>-1</v>
      </c>
      <c r="T92" s="176">
        <f t="shared" si="30"/>
        <v>5</v>
      </c>
      <c r="U92" s="251">
        <f t="shared" si="31"/>
        <v>-0.98465359751081272</v>
      </c>
      <c r="V92" s="383">
        <f t="shared" si="32"/>
        <v>47.530172459868332</v>
      </c>
      <c r="W92" s="402"/>
      <c r="X92" s="157">
        <f t="shared" si="33"/>
        <v>43908</v>
      </c>
      <c r="Y92" s="385">
        <f t="shared" si="34"/>
        <v>42.963000000000001</v>
      </c>
      <c r="Z92" s="385">
        <f t="shared" si="35"/>
        <v>43.593351332466291</v>
      </c>
      <c r="AA92" s="386">
        <f t="shared" si="36"/>
        <v>46.825451064132423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6.9024422791772594E-2</v>
      </c>
      <c r="AD92" s="231">
        <f>(INDEX(Models!$BJ92:$BT92,,AH92)*(1-AF92)+INDEX(Models!$BJ92:$BT92,,AH92+1)*AF92-ERP_i)*AE92*Ramure*Pc/MaxiM</f>
        <v>1.5015050843491447E-4</v>
      </c>
      <c r="AE92" s="305">
        <f t="shared" si="38"/>
        <v>0.7</v>
      </c>
      <c r="AF92" s="177">
        <f t="shared" si="39"/>
        <v>1.5346402489187283E-2</v>
      </c>
      <c r="AG92" s="921">
        <f t="shared" si="47"/>
        <v>-1</v>
      </c>
      <c r="AH92" s="176">
        <f t="shared" si="40"/>
        <v>5</v>
      </c>
      <c r="AI92" s="225">
        <f t="shared" si="41"/>
        <v>-0.98465359751081272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20">
        <v>43.72</v>
      </c>
      <c r="C93" s="390"/>
      <c r="D93" s="393">
        <f t="shared" si="24"/>
        <v>44.362429655751001</v>
      </c>
      <c r="E93" s="385">
        <f t="shared" si="45"/>
        <v>47.65411060778036</v>
      </c>
      <c r="F93" s="385">
        <f t="shared" si="25"/>
        <v>47.660081731966379</v>
      </c>
      <c r="G93" s="110">
        <f t="shared" si="46"/>
        <v>0.91503517885263463</v>
      </c>
      <c r="H93" s="414" t="b">
        <f>Wh_hp&gt;='2019'!Maxi_hp</f>
        <v>0</v>
      </c>
      <c r="I93" s="380">
        <f>IF(H93,Wh_hp,'2019'!Maxi_hp)</f>
        <v>53.139538604347429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1.4481390238005543E-2</v>
      </c>
      <c r="M93" s="959"/>
      <c r="N93" s="959"/>
      <c r="O93" s="48">
        <f>IF(t&lt;Tnet,'2019'!Resal+('2019'!Salim-'2019'!Resal)*(1-EXP(('2019'!Tnet-t)/('2019'!Tau_j))),Resal+(Salim-Resal)*(1-EXP((Tnet-t)/(Tau_j))))*Salcycl</f>
        <v>6.9074438910878305E-2</v>
      </c>
      <c r="P93" s="169">
        <f>(INDEX(Models!$BJ93:$BT93,,T93)*(1-R93)+INDEX(Models!$BJ93:$BT93,,T93+1)*R93-ERP_i)*Q93*Ramure*Pc/MaxiM</f>
        <v>1.4258972169427047E-4</v>
      </c>
      <c r="Q93" s="305">
        <f t="shared" si="27"/>
        <v>0.7</v>
      </c>
      <c r="R93" s="177">
        <f t="shared" si="28"/>
        <v>1.5995514471808692E-2</v>
      </c>
      <c r="S93" s="921">
        <f t="shared" si="29"/>
        <v>-1</v>
      </c>
      <c r="T93" s="176">
        <f t="shared" si="30"/>
        <v>5</v>
      </c>
      <c r="U93" s="251">
        <f t="shared" si="31"/>
        <v>-0.98400448552819131</v>
      </c>
      <c r="V93" s="383">
        <f t="shared" si="32"/>
        <v>47.778756906252092</v>
      </c>
      <c r="W93" s="402"/>
      <c r="X93" s="157">
        <f t="shared" si="33"/>
        <v>43909</v>
      </c>
      <c r="Y93" s="385">
        <f t="shared" si="34"/>
        <v>43.72</v>
      </c>
      <c r="Z93" s="385">
        <f t="shared" si="35"/>
        <v>44.362429655751001</v>
      </c>
      <c r="AA93" s="386">
        <f t="shared" si="36"/>
        <v>47.65411060778036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6.9074438910878305E-2</v>
      </c>
      <c r="AD93" s="231">
        <f>(INDEX(Models!$BJ93:$BT93,,AH93)*(1-AF93)+INDEX(Models!$BJ93:$BT93,,AH93+1)*AF93-ERP_i)*AE93*Ramure*Pc/MaxiM</f>
        <v>1.4258972169427047E-4</v>
      </c>
      <c r="AE93" s="305">
        <f t="shared" si="38"/>
        <v>0.7</v>
      </c>
      <c r="AF93" s="177">
        <f t="shared" si="39"/>
        <v>1.5995514471808692E-2</v>
      </c>
      <c r="AG93" s="921">
        <f t="shared" si="47"/>
        <v>-1</v>
      </c>
      <c r="AH93" s="176">
        <f t="shared" si="40"/>
        <v>5</v>
      </c>
      <c r="AI93" s="225">
        <f t="shared" si="41"/>
        <v>-0.98400448552819131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20">
        <v>47.05</v>
      </c>
      <c r="C94" s="390"/>
      <c r="D94" s="393">
        <f t="shared" si="24"/>
        <v>47.742406964476331</v>
      </c>
      <c r="E94" s="385">
        <f t="shared" si="45"/>
        <v>51.287654001093074</v>
      </c>
      <c r="F94" s="385">
        <f t="shared" si="25"/>
        <v>51.294406485906379</v>
      </c>
      <c r="G94" s="110">
        <f t="shared" si="46"/>
        <v>0.97965271984014901</v>
      </c>
      <c r="H94" s="414" t="b">
        <f>Wh_hp&gt;='2019'!Maxi_hp</f>
        <v>0</v>
      </c>
      <c r="I94" s="380">
        <f>IF(H94,Wh_hp,'2019'!Maxi_hp)</f>
        <v>53.219933275475654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1.4502975624826164E-2</v>
      </c>
      <c r="M94" s="959"/>
      <c r="N94" s="959"/>
      <c r="O94" s="48">
        <f>IF(t&lt;Tnet,'2019'!Resal+('2019'!Salim-'2019'!Resal)*(1-EXP(('2019'!Tnet-t)/('2019'!Tau_j))),Resal+(Salim-Resal)*(1-EXP((Tnet-t)/(Tau_j))))*Salcycl</f>
        <v>6.9124765124588997E-2</v>
      </c>
      <c r="P94" s="169">
        <f>(INDEX(Models!$BJ94:$BT94,,T94)*(1-R94)+INDEX(Models!$BJ94:$BT94,,T94+1)*R94-ERP_i)*Q94*Ramure*Pc/MaxiM</f>
        <v>1.3558202651525541E-4</v>
      </c>
      <c r="Q94" s="305">
        <f t="shared" si="27"/>
        <v>0.7</v>
      </c>
      <c r="R94" s="177">
        <f t="shared" si="28"/>
        <v>1.6670011661508943E-2</v>
      </c>
      <c r="S94" s="921">
        <f t="shared" si="29"/>
        <v>-1</v>
      </c>
      <c r="T94" s="176">
        <f t="shared" si="30"/>
        <v>5</v>
      </c>
      <c r="U94" s="251">
        <f t="shared" si="31"/>
        <v>-0.98332998833849106</v>
      </c>
      <c r="V94" s="383">
        <f t="shared" si="32"/>
        <v>48.027034103154953</v>
      </c>
      <c r="W94" s="402"/>
      <c r="X94" s="157">
        <f t="shared" si="33"/>
        <v>43910</v>
      </c>
      <c r="Y94" s="385">
        <f t="shared" si="34"/>
        <v>47.05</v>
      </c>
      <c r="Z94" s="385">
        <f t="shared" si="35"/>
        <v>47.742406964476331</v>
      </c>
      <c r="AA94" s="386">
        <f t="shared" si="36"/>
        <v>51.287654001093074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6.9124765124588997E-2</v>
      </c>
      <c r="AD94" s="231">
        <f>(INDEX(Models!$BJ94:$BT94,,AH94)*(1-AF94)+INDEX(Models!$BJ94:$BT94,,AH94+1)*AF94-ERP_i)*AE94*Ramure*Pc/MaxiM</f>
        <v>1.3558202651525541E-4</v>
      </c>
      <c r="AE94" s="305">
        <f t="shared" si="38"/>
        <v>0.7</v>
      </c>
      <c r="AF94" s="177">
        <f t="shared" si="39"/>
        <v>1.6670011661508943E-2</v>
      </c>
      <c r="AG94" s="921">
        <f t="shared" si="47"/>
        <v>-1</v>
      </c>
      <c r="AH94" s="176">
        <f t="shared" si="40"/>
        <v>5</v>
      </c>
      <c r="AI94" s="225">
        <f t="shared" si="41"/>
        <v>-0.98332998833849106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20">
        <v>45.137</v>
      </c>
      <c r="C95" s="390"/>
      <c r="D95" s="393">
        <f t="shared" si="24"/>
        <v>45.802257664261553</v>
      </c>
      <c r="E95" s="385">
        <f t="shared" si="45"/>
        <v>49.206111506202269</v>
      </c>
      <c r="F95" s="385">
        <f t="shared" si="25"/>
        <v>49.211875232179629</v>
      </c>
      <c r="G95" s="110">
        <f t="shared" si="46"/>
        <v>0.93499953468531849</v>
      </c>
      <c r="H95" s="414" t="b">
        <f>Wh_hp&gt;='2019'!Maxi_hp</f>
        <v>0</v>
      </c>
      <c r="I95" s="380">
        <f>IF(H95,Wh_hp,'2019'!Maxi_hp)</f>
        <v>52.117627843898426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1.4524560538871412E-2</v>
      </c>
      <c r="M95" s="959"/>
      <c r="N95" s="959"/>
      <c r="O95" s="48">
        <f>IF(t&lt;Tnet,'2019'!Resal+('2019'!Salim-'2019'!Resal)*(1-EXP(('2019'!Tnet-t)/('2019'!Tau_j))),Resal+(Salim-Resal)*(1-EXP((Tnet-t)/(Tau_j))))*Salcycl</f>
        <v>6.9175428371568662E-2</v>
      </c>
      <c r="P95" s="169">
        <f>(INDEX(Models!$BJ95:$BT95,,T95)*(1-R95)+INDEX(Models!$BJ95:$BT95,,T95+1)*R95-ERP_i)*Q95*Ramure*Pc/MaxiM</f>
        <v>1.2910717483128088E-4</v>
      </c>
      <c r="Q95" s="305">
        <f t="shared" si="27"/>
        <v>0.7</v>
      </c>
      <c r="R95" s="177">
        <f t="shared" si="28"/>
        <v>1.7370809222683636E-2</v>
      </c>
      <c r="S95" s="921">
        <f t="shared" si="29"/>
        <v>-1</v>
      </c>
      <c r="T95" s="176">
        <f t="shared" si="30"/>
        <v>5</v>
      </c>
      <c r="U95" s="251">
        <f t="shared" si="31"/>
        <v>-0.98262919077731636</v>
      </c>
      <c r="V95" s="383">
        <f t="shared" si="32"/>
        <v>48.274311618002635</v>
      </c>
      <c r="W95" s="402"/>
      <c r="X95" s="157">
        <f t="shared" si="33"/>
        <v>43911</v>
      </c>
      <c r="Y95" s="385">
        <f t="shared" si="34"/>
        <v>45.137</v>
      </c>
      <c r="Z95" s="385">
        <f t="shared" si="35"/>
        <v>45.802257664261553</v>
      </c>
      <c r="AA95" s="386">
        <f t="shared" si="36"/>
        <v>49.206111506202269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6.9175428371568662E-2</v>
      </c>
      <c r="AD95" s="231">
        <f>(INDEX(Models!$BJ95:$BT95,,AH95)*(1-AF95)+INDEX(Models!$BJ95:$BT95,,AH95+1)*AF95-ERP_i)*AE95*Ramure*Pc/MaxiM</f>
        <v>1.2910717483128088E-4</v>
      </c>
      <c r="AE95" s="305">
        <f t="shared" si="38"/>
        <v>0.7</v>
      </c>
      <c r="AF95" s="177">
        <f t="shared" si="39"/>
        <v>1.7370809222683636E-2</v>
      </c>
      <c r="AG95" s="921">
        <f t="shared" si="47"/>
        <v>-1</v>
      </c>
      <c r="AH95" s="176">
        <f t="shared" si="40"/>
        <v>5</v>
      </c>
      <c r="AI95" s="225">
        <f t="shared" si="41"/>
        <v>-0.98262919077731636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20">
        <v>34.767000000000003</v>
      </c>
      <c r="C96" s="390"/>
      <c r="D96" s="393">
        <f t="shared" si="24"/>
        <v>35.280190769865882</v>
      </c>
      <c r="E96" s="385">
        <f t="shared" si="45"/>
        <v>37.90416153597517</v>
      </c>
      <c r="F96" s="385">
        <f t="shared" si="25"/>
        <v>37.906939683691569</v>
      </c>
      <c r="G96" s="110">
        <f t="shared" si="46"/>
        <v>0.71651566740493455</v>
      </c>
      <c r="H96" s="414" t="b">
        <f>Wh_hp&gt;='2019'!Maxi_hp</f>
        <v>0</v>
      </c>
      <c r="I96" s="380">
        <f>IF(H96,Wh_hp,'2019'!Maxi_hp)</f>
        <v>48.866978588273319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1.4546144980151721E-2</v>
      </c>
      <c r="M96" s="959"/>
      <c r="N96" s="959"/>
      <c r="O96" s="48">
        <f>IF(t&lt;Tnet,'2019'!Resal+('2019'!Salim-'2019'!Resal)*(1-EXP(('2019'!Tnet-t)/('2019'!Tau_j))),Resal+(Salim-Resal)*(1-EXP((Tnet-t)/(Tau_j))))*Salcycl</f>
        <v>6.9226455876589071E-2</v>
      </c>
      <c r="P96" s="169">
        <f>(INDEX(Models!$BJ96:$BT96,,T96)*(1-R96)+INDEX(Models!$BJ96:$BT96,,T96+1)*R96-ERP_i)*Q96*Ramure*Pc/MaxiM</f>
        <v>1.2315896946254399E-4</v>
      </c>
      <c r="Q96" s="305">
        <f t="shared" si="27"/>
        <v>0.7</v>
      </c>
      <c r="R96" s="177">
        <f t="shared" si="28"/>
        <v>1.8098848924978261E-2</v>
      </c>
      <c r="S96" s="921">
        <f t="shared" si="29"/>
        <v>-1</v>
      </c>
      <c r="T96" s="176">
        <f t="shared" si="30"/>
        <v>5</v>
      </c>
      <c r="U96" s="251">
        <f t="shared" si="31"/>
        <v>-0.98190115107502174</v>
      </c>
      <c r="V96" s="383">
        <f t="shared" si="32"/>
        <v>48.51989651081351</v>
      </c>
      <c r="W96" s="402"/>
      <c r="X96" s="157">
        <f t="shared" si="33"/>
        <v>43912</v>
      </c>
      <c r="Y96" s="385">
        <f t="shared" si="34"/>
        <v>34.767000000000003</v>
      </c>
      <c r="Z96" s="385">
        <f t="shared" si="35"/>
        <v>35.280190769865882</v>
      </c>
      <c r="AA96" s="386">
        <f t="shared" si="36"/>
        <v>37.90416153597517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6.9226455876589071E-2</v>
      </c>
      <c r="AD96" s="231">
        <f>(INDEX(Models!$BJ96:$BT96,,AH96)*(1-AF96)+INDEX(Models!$BJ96:$BT96,,AH96+1)*AF96-ERP_i)*AE96*Ramure*Pc/MaxiM</f>
        <v>1.2315896946254399E-4</v>
      </c>
      <c r="AE96" s="305">
        <f t="shared" si="38"/>
        <v>0.7</v>
      </c>
      <c r="AF96" s="177">
        <f t="shared" si="39"/>
        <v>1.8098848924978261E-2</v>
      </c>
      <c r="AG96" s="921">
        <f t="shared" si="47"/>
        <v>-1</v>
      </c>
      <c r="AH96" s="176">
        <f t="shared" si="40"/>
        <v>5</v>
      </c>
      <c r="AI96" s="225">
        <f t="shared" si="41"/>
        <v>-0.98190115107502174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20">
        <v>36.328000000000003</v>
      </c>
      <c r="C97" s="390"/>
      <c r="D97" s="393">
        <f t="shared" si="24"/>
        <v>36.865039909077616</v>
      </c>
      <c r="E97" s="385">
        <f t="shared" si="45"/>
        <v>39.609072269364468</v>
      </c>
      <c r="F97" s="385">
        <f t="shared" si="25"/>
        <v>39.612036900750056</v>
      </c>
      <c r="G97" s="110">
        <f t="shared" si="46"/>
        <v>0.7449576578275382</v>
      </c>
      <c r="H97" s="414" t="b">
        <f>Wh_hp&gt;='2019'!Maxi_hp</f>
        <v>0</v>
      </c>
      <c r="I97" s="380">
        <f>IF(H97,Wh_hp,'2019'!Maxi_hp)</f>
        <v>52.635831121779191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1.4567728948677305E-2</v>
      </c>
      <c r="M97" s="959"/>
      <c r="N97" s="959"/>
      <c r="O97" s="48">
        <f>IF(t&lt;Tnet,'2019'!Resal+('2019'!Salim-'2019'!Resal)*(1-EXP(('2019'!Tnet-t)/('2019'!Tau_j))),Resal+(Salim-Resal)*(1-EXP((Tnet-t)/(Tau_j))))*Salcycl</f>
        <v>6.9277875069273381E-2</v>
      </c>
      <c r="P97" s="169">
        <f>(INDEX(Models!$BJ97:$BT97,,T97)*(1-R97)+INDEX(Models!$BJ97:$BT97,,T97+1)*R97-ERP_i)*Q97*Ramure*Pc/MaxiM</f>
        <v>1.177312333898486E-4</v>
      </c>
      <c r="Q97" s="305">
        <f t="shared" si="27"/>
        <v>0.7</v>
      </c>
      <c r="R97" s="177">
        <f t="shared" si="28"/>
        <v>1.8855099377538154E-2</v>
      </c>
      <c r="S97" s="921">
        <f t="shared" si="29"/>
        <v>-1</v>
      </c>
      <c r="T97" s="176">
        <f t="shared" si="30"/>
        <v>5</v>
      </c>
      <c r="U97" s="251">
        <f t="shared" si="31"/>
        <v>-0.98114490062246185</v>
      </c>
      <c r="V97" s="383">
        <f t="shared" si="32"/>
        <v>48.763096009533683</v>
      </c>
      <c r="W97" s="402"/>
      <c r="X97" s="157">
        <f t="shared" si="33"/>
        <v>43913</v>
      </c>
      <c r="Y97" s="385">
        <f t="shared" si="34"/>
        <v>36.328000000000003</v>
      </c>
      <c r="Z97" s="385">
        <f t="shared" si="35"/>
        <v>36.865039909077616</v>
      </c>
      <c r="AA97" s="386">
        <f t="shared" si="36"/>
        <v>39.609072269364468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6.9277875069273381E-2</v>
      </c>
      <c r="AD97" s="231">
        <f>(INDEX(Models!$BJ97:$BT97,,AH97)*(1-AF97)+INDEX(Models!$BJ97:$BT97,,AH97+1)*AF97-ERP_i)*AE97*Ramure*Pc/MaxiM</f>
        <v>1.177312333898486E-4</v>
      </c>
      <c r="AE97" s="305">
        <f t="shared" si="38"/>
        <v>0.7</v>
      </c>
      <c r="AF97" s="177">
        <f t="shared" si="39"/>
        <v>1.8855099377538154E-2</v>
      </c>
      <c r="AG97" s="921">
        <f t="shared" si="47"/>
        <v>-1</v>
      </c>
      <c r="AH97" s="176">
        <f t="shared" si="40"/>
        <v>5</v>
      </c>
      <c r="AI97" s="225">
        <f t="shared" si="41"/>
        <v>-0.98114490062246185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20">
        <v>43.63</v>
      </c>
      <c r="C98" s="390"/>
      <c r="D98" s="393">
        <f t="shared" si="24"/>
        <v>44.275955752246546</v>
      </c>
      <c r="E98" s="385">
        <f t="shared" si="45"/>
        <v>47.574265983034785</v>
      </c>
      <c r="F98" s="385">
        <f t="shared" si="25"/>
        <v>47.578792902284313</v>
      </c>
      <c r="G98" s="110">
        <f t="shared" si="46"/>
        <v>0.89033396378666718</v>
      </c>
      <c r="H98" s="414" t="b">
        <f>Wh_hp&gt;='2019'!Maxi_hp</f>
        <v>1</v>
      </c>
      <c r="I98" s="380">
        <f>IF(H98,Wh_hp,'2019'!Maxi_hp)</f>
        <v>47.578792902284313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1.4589312444458491E-2</v>
      </c>
      <c r="M98" s="959"/>
      <c r="N98" s="959"/>
      <c r="O98" s="48">
        <f>IF(t&lt;Tnet,'2019'!Resal+('2019'!Salim-'2019'!Resal)*(1-EXP(('2019'!Tnet-t)/('2019'!Tau_j))),Resal+(Salim-Resal)*(1-EXP((Tnet-t)/(Tau_j))))*Salcycl</f>
        <v>6.932971350444872E-2</v>
      </c>
      <c r="P98" s="169">
        <f>(INDEX(Models!$BJ98:$BT98,,T98)*(1-R98)+INDEX(Models!$BJ98:$BT98,,T98+1)*R98-ERP_i)*Q98*Ramure*Pc/MaxiM</f>
        <v>1.1281790259725855E-4</v>
      </c>
      <c r="Q98" s="305">
        <f t="shared" si="27"/>
        <v>0.7</v>
      </c>
      <c r="R98" s="177">
        <f t="shared" si="28"/>
        <v>1.9640556212785376E-2</v>
      </c>
      <c r="S98" s="921">
        <f t="shared" si="29"/>
        <v>-1</v>
      </c>
      <c r="T98" s="176">
        <f t="shared" si="30"/>
        <v>5</v>
      </c>
      <c r="U98" s="251">
        <f t="shared" si="31"/>
        <v>-0.98035944378721462</v>
      </c>
      <c r="V98" s="383">
        <f t="shared" si="32"/>
        <v>49.003217516747419</v>
      </c>
      <c r="W98" s="402"/>
      <c r="X98" s="157">
        <f t="shared" si="33"/>
        <v>43914</v>
      </c>
      <c r="Y98" s="385">
        <f t="shared" si="34"/>
        <v>43.63</v>
      </c>
      <c r="Z98" s="385">
        <f t="shared" si="35"/>
        <v>44.275955752246546</v>
      </c>
      <c r="AA98" s="386">
        <f t="shared" si="36"/>
        <v>47.574265983034785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6.932971350444872E-2</v>
      </c>
      <c r="AD98" s="231">
        <f>(INDEX(Models!$BJ98:$BT98,,AH98)*(1-AF98)+INDEX(Models!$BJ98:$BT98,,AH98+1)*AF98-ERP_i)*AE98*Ramure*Pc/MaxiM</f>
        <v>1.1281790259725855E-4</v>
      </c>
      <c r="AE98" s="305">
        <f t="shared" si="38"/>
        <v>0.7</v>
      </c>
      <c r="AF98" s="177">
        <f t="shared" si="39"/>
        <v>1.9640556212785376E-2</v>
      </c>
      <c r="AG98" s="921">
        <f t="shared" si="47"/>
        <v>-1</v>
      </c>
      <c r="AH98" s="176">
        <f t="shared" si="40"/>
        <v>5</v>
      </c>
      <c r="AI98" s="225">
        <f t="shared" si="41"/>
        <v>-0.98035944378721462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20">
        <v>49.701999999999998</v>
      </c>
      <c r="C99" s="390"/>
      <c r="D99" s="393">
        <f t="shared" si="24"/>
        <v>50.43895834791121</v>
      </c>
      <c r="E99" s="385">
        <f t="shared" si="45"/>
        <v>54.199422622418872</v>
      </c>
      <c r="F99" s="385">
        <f t="shared" si="25"/>
        <v>54.205299187768553</v>
      </c>
      <c r="G99" s="110">
        <f t="shared" si="46"/>
        <v>1.0093914588239334</v>
      </c>
      <c r="H99" s="414" t="b">
        <f>Wh_hp&gt;='2019'!Maxi_hp</f>
        <v>0</v>
      </c>
      <c r="I99" s="380">
        <f>IF(H99,Wh_hp,'2019'!Maxi_hp)</f>
        <v>56.081839676566283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1.4610895467505824E-2</v>
      </c>
      <c r="M99" s="959"/>
      <c r="N99" s="959"/>
      <c r="O99" s="48">
        <f>IF(t&lt;Tnet,'2019'!Resal+('2019'!Salim-'2019'!Resal)*(1-EXP(('2019'!Tnet-t)/('2019'!Tau_j))),Resal+(Salim-Resal)*(1-EXP((Tnet-t)/(Tau_j))))*Salcycl</f>
        <v>6.9381998784470419E-2</v>
      </c>
      <c r="P99" s="169">
        <f>(INDEX(Models!$BJ99:$BT99,,T99)*(1-R99)+INDEX(Models!$BJ99:$BT99,,T99+1)*R99-ERP_i)*Q99*Ramure*Pc/MaxiM</f>
        <v>1.0841311528091001E-4</v>
      </c>
      <c r="Q99" s="305">
        <f t="shared" si="27"/>
        <v>0.7</v>
      </c>
      <c r="R99" s="177">
        <f t="shared" si="28"/>
        <v>2.0456242214188958E-2</v>
      </c>
      <c r="S99" s="921">
        <f t="shared" si="29"/>
        <v>-1</v>
      </c>
      <c r="T99" s="176">
        <f t="shared" si="30"/>
        <v>5</v>
      </c>
      <c r="U99" s="251">
        <f t="shared" si="31"/>
        <v>-0.97954375778581104</v>
      </c>
      <c r="V99" s="383">
        <f t="shared" si="32"/>
        <v>49.239568618808214</v>
      </c>
      <c r="W99" s="402"/>
      <c r="X99" s="157">
        <f t="shared" si="33"/>
        <v>43915</v>
      </c>
      <c r="Y99" s="385">
        <f t="shared" si="34"/>
        <v>49.701999999999998</v>
      </c>
      <c r="Z99" s="385">
        <f t="shared" si="35"/>
        <v>50.43895834791121</v>
      </c>
      <c r="AA99" s="386">
        <f t="shared" si="36"/>
        <v>54.199422622418872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6.9381998784470419E-2</v>
      </c>
      <c r="AD99" s="231">
        <f>(INDEX(Models!$BJ99:$BT99,,AH99)*(1-AF99)+INDEX(Models!$BJ99:$BT99,,AH99+1)*AF99-ERP_i)*AE99*Ramure*Pc/MaxiM</f>
        <v>1.0841311528091001E-4</v>
      </c>
      <c r="AE99" s="305">
        <f t="shared" si="38"/>
        <v>0.7</v>
      </c>
      <c r="AF99" s="177">
        <f t="shared" si="39"/>
        <v>2.0456242214188958E-2</v>
      </c>
      <c r="AG99" s="921">
        <f t="shared" si="47"/>
        <v>-1</v>
      </c>
      <c r="AH99" s="176">
        <f t="shared" si="40"/>
        <v>5</v>
      </c>
      <c r="AI99" s="225">
        <f t="shared" si="41"/>
        <v>-0.97954375778581104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20">
        <v>31.452000000000002</v>
      </c>
      <c r="C100" s="390"/>
      <c r="D100" s="393">
        <f t="shared" si="24"/>
        <v>31.919054868716394</v>
      </c>
      <c r="E100" s="385">
        <f t="shared" si="45"/>
        <v>34.300716859690837</v>
      </c>
      <c r="F100" s="385">
        <f t="shared" si="25"/>
        <v>34.30243831389474</v>
      </c>
      <c r="G100" s="110">
        <f t="shared" si="46"/>
        <v>0.63572599398035434</v>
      </c>
      <c r="H100" s="414" t="b">
        <f>Wh_hp&gt;='2019'!Maxi_hp</f>
        <v>0</v>
      </c>
      <c r="I100" s="380">
        <f>IF(H100,Wh_hp,'2019'!Maxi_hp)</f>
        <v>55.275486537639232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1.4632478017829631E-2</v>
      </c>
      <c r="M100" s="959"/>
      <c r="N100" s="959"/>
      <c r="O100" s="48">
        <f>IF(t&lt;Tnet,'2019'!Resal+('2019'!Salim-'2019'!Resal)*(1-EXP(('2019'!Tnet-t)/('2019'!Tau_j))),Resal+(Salim-Resal)*(1-EXP((Tnet-t)/(Tau_j))))*Salcycl</f>
        <v>6.9434758483817624E-2</v>
      </c>
      <c r="P100" s="169">
        <f>(INDEX(Models!$BJ100:$BT100,,T100)*(1-R100)+INDEX(Models!$BJ100:$BT100,,T100+1)*R100-ERP_i)*Q100*Ramure*Pc/MaxiM</f>
        <v>1.0462579714053314E-4</v>
      </c>
      <c r="Q100" s="305">
        <f t="shared" si="27"/>
        <v>0.7</v>
      </c>
      <c r="R100" s="177">
        <f t="shared" si="28"/>
        <v>2.1303207382153522E-2</v>
      </c>
      <c r="S100" s="921">
        <f t="shared" si="29"/>
        <v>-1</v>
      </c>
      <c r="T100" s="176">
        <f t="shared" si="30"/>
        <v>5</v>
      </c>
      <c r="U100" s="251">
        <f t="shared" si="31"/>
        <v>-0.97869679261784648</v>
      </c>
      <c r="V100" s="383">
        <f t="shared" si="32"/>
        <v>49.471451423076587</v>
      </c>
      <c r="W100" s="402"/>
      <c r="X100" s="157">
        <f t="shared" si="33"/>
        <v>43916</v>
      </c>
      <c r="Y100" s="385">
        <f t="shared" si="34"/>
        <v>31.452000000000002</v>
      </c>
      <c r="Z100" s="385">
        <f t="shared" si="35"/>
        <v>31.91905486871639</v>
      </c>
      <c r="AA100" s="386">
        <f t="shared" si="36"/>
        <v>34.300716859690837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6.9434758483817624E-2</v>
      </c>
      <c r="AD100" s="231">
        <f>(INDEX(Models!$BJ100:$BT100,,AH100)*(1-AF100)+INDEX(Models!$BJ100:$BT100,,AH100+1)*AF100-ERP_i)*AE100*Ramure*Pc/MaxiM</f>
        <v>1.0462579714053314E-4</v>
      </c>
      <c r="AE100" s="305">
        <f t="shared" si="38"/>
        <v>0.7</v>
      </c>
      <c r="AF100" s="177">
        <f t="shared" si="39"/>
        <v>2.1303207382153522E-2</v>
      </c>
      <c r="AG100" s="921">
        <f t="shared" si="47"/>
        <v>-1</v>
      </c>
      <c r="AH100" s="176">
        <f t="shared" si="40"/>
        <v>5</v>
      </c>
      <c r="AI100" s="225">
        <f t="shared" si="41"/>
        <v>-0.97869679261784648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20">
        <v>46.645000000000003</v>
      </c>
      <c r="C101" s="390"/>
      <c r="D101" s="393">
        <f t="shared" si="24"/>
        <v>47.3387042164278</v>
      </c>
      <c r="E101" s="385">
        <f t="shared" si="45"/>
        <v>50.873825633394006</v>
      </c>
      <c r="F101" s="385">
        <f t="shared" si="25"/>
        <v>50.878515616816593</v>
      </c>
      <c r="G101" s="110">
        <f t="shared" si="46"/>
        <v>0.93855697184333653</v>
      </c>
      <c r="H101" s="414" t="b">
        <f>Wh_hp&gt;='2019'!Maxi_hp</f>
        <v>0</v>
      </c>
      <c r="I101" s="380">
        <f>IF(H101,Wh_hp,'2019'!Maxi_hp)</f>
        <v>54.062253279945516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1.4654060095440125E-2</v>
      </c>
      <c r="M101" s="959"/>
      <c r="N101" s="959"/>
      <c r="O101" s="48">
        <f>IF(t&lt;Tnet,'2019'!Resal+('2019'!Salim-'2019'!Resal)*(1-EXP(('2019'!Tnet-t)/('2019'!Tau_j))),Resal+(Salim-Resal)*(1-EXP((Tnet-t)/(Tau_j))))*Salcycl</f>
        <v>6.9488020076196602E-2</v>
      </c>
      <c r="P101" s="169">
        <f>(INDEX(Models!$BJ101:$BT101,,T101)*(1-R101)+INDEX(Models!$BJ101:$BT101,,T101+1)*R101-ERP_i)*Q101*Ramure*Pc/MaxiM</f>
        <v>1.010484376147496E-4</v>
      </c>
      <c r="Q101" s="305">
        <f t="shared" si="27"/>
        <v>0.7</v>
      </c>
      <c r="R101" s="177">
        <f t="shared" si="28"/>
        <v>2.2182528931817824E-2</v>
      </c>
      <c r="S101" s="921">
        <f t="shared" si="29"/>
        <v>-1</v>
      </c>
      <c r="T101" s="176">
        <f t="shared" si="30"/>
        <v>5</v>
      </c>
      <c r="U101" s="251">
        <f t="shared" si="31"/>
        <v>-0.97781747106818218</v>
      </c>
      <c r="V101" s="383">
        <f t="shared" si="32"/>
        <v>49.698193817345462</v>
      </c>
      <c r="W101" s="402"/>
      <c r="X101" s="157">
        <f t="shared" si="33"/>
        <v>43917</v>
      </c>
      <c r="Y101" s="385">
        <f t="shared" si="34"/>
        <v>46.645000000000003</v>
      </c>
      <c r="Z101" s="385">
        <f t="shared" si="35"/>
        <v>47.3387042164278</v>
      </c>
      <c r="AA101" s="386">
        <f t="shared" si="36"/>
        <v>50.873825633394006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6.9488020076196602E-2</v>
      </c>
      <c r="AD101" s="231">
        <f>(INDEX(Models!$BJ101:$BT101,,AH101)*(1-AF101)+INDEX(Models!$BJ101:$BT101,,AH101+1)*AF101-ERP_i)*AE101*Ramure*Pc/MaxiM</f>
        <v>1.010484376147496E-4</v>
      </c>
      <c r="AE101" s="305">
        <f t="shared" si="38"/>
        <v>0.7</v>
      </c>
      <c r="AF101" s="177">
        <f t="shared" si="39"/>
        <v>2.2182528931817824E-2</v>
      </c>
      <c r="AG101" s="921">
        <f t="shared" si="47"/>
        <v>-1</v>
      </c>
      <c r="AH101" s="176">
        <f t="shared" si="40"/>
        <v>5</v>
      </c>
      <c r="AI101" s="225">
        <f t="shared" si="41"/>
        <v>-0.97781747106818218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20">
        <v>45.598999999999997</v>
      </c>
      <c r="C102" s="390"/>
      <c r="D102" s="393">
        <f t="shared" si="24"/>
        <v>46.27816171995277</v>
      </c>
      <c r="E102" s="385">
        <f t="shared" si="45"/>
        <v>49.736959984135865</v>
      </c>
      <c r="F102" s="385">
        <f t="shared" si="25"/>
        <v>49.741217980536938</v>
      </c>
      <c r="G102" s="110">
        <f t="shared" si="46"/>
        <v>0.91344686934845654</v>
      </c>
      <c r="H102" s="414" t="b">
        <f>Wh_hp&gt;='2019'!Maxi_hp</f>
        <v>0</v>
      </c>
      <c r="I102" s="380">
        <f>IF(H102,Wh_hp,'2019'!Maxi_hp)</f>
        <v>54.775024406883986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1.4675641700347741E-2</v>
      </c>
      <c r="M102" s="959"/>
      <c r="N102" s="959"/>
      <c r="O102" s="48">
        <f>IF(t&lt;Tnet,'2019'!Resal+('2019'!Salim-'2019'!Resal)*(1-EXP(('2019'!Tnet-t)/('2019'!Tau_j))),Resal+(Salim-Resal)*(1-EXP((Tnet-t)/(Tau_j))))*Salcycl</f>
        <v>6.9541810864321277E-2</v>
      </c>
      <c r="P102" s="169">
        <f>(INDEX(Models!$BJ102:$BT102,,T102)*(1-R102)+INDEX(Models!$BJ102:$BT102,,T102+1)*R102-ERP_i)*Q102*Ramure*Pc/MaxiM</f>
        <v>9.767921260456107E-5</v>
      </c>
      <c r="Q102" s="305">
        <f t="shared" si="27"/>
        <v>0.7</v>
      </c>
      <c r="R102" s="177">
        <f t="shared" si="28"/>
        <v>2.3095311216204228E-2</v>
      </c>
      <c r="S102" s="921">
        <f t="shared" si="29"/>
        <v>-1</v>
      </c>
      <c r="T102" s="176">
        <f t="shared" si="30"/>
        <v>5</v>
      </c>
      <c r="U102" s="251">
        <f t="shared" si="31"/>
        <v>-0.97690468878379577</v>
      </c>
      <c r="V102" s="383">
        <f t="shared" si="32"/>
        <v>49.919104020983454</v>
      </c>
      <c r="W102" s="402"/>
      <c r="X102" s="157">
        <f t="shared" si="33"/>
        <v>43918</v>
      </c>
      <c r="Y102" s="385">
        <f t="shared" si="34"/>
        <v>45.598999999999997</v>
      </c>
      <c r="Z102" s="385">
        <f t="shared" si="35"/>
        <v>46.27816171995277</v>
      </c>
      <c r="AA102" s="386">
        <f t="shared" si="36"/>
        <v>49.736959984135865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6.9541810864321277E-2</v>
      </c>
      <c r="AD102" s="231">
        <f>(INDEX(Models!$BJ102:$BT102,,AH102)*(1-AF102)+INDEX(Models!$BJ102:$BT102,,AH102+1)*AF102-ERP_i)*AE102*Ramure*Pc/MaxiM</f>
        <v>9.767921260456107E-5</v>
      </c>
      <c r="AE102" s="305">
        <f t="shared" si="38"/>
        <v>0.7</v>
      </c>
      <c r="AF102" s="177">
        <f t="shared" si="39"/>
        <v>2.3095311216204228E-2</v>
      </c>
      <c r="AG102" s="921">
        <f t="shared" si="47"/>
        <v>-1</v>
      </c>
      <c r="AH102" s="176">
        <f t="shared" si="40"/>
        <v>5</v>
      </c>
      <c r="AI102" s="225">
        <f t="shared" si="41"/>
        <v>-0.97690468878379577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20">
        <v>32.200000000000003</v>
      </c>
      <c r="C103" s="390"/>
      <c r="D103" s="393">
        <f t="shared" si="24"/>
        <v>32.68030979529869</v>
      </c>
      <c r="E103" s="385">
        <f t="shared" si="45"/>
        <v>35.124865479891731</v>
      </c>
      <c r="F103" s="385">
        <f t="shared" si="25"/>
        <v>35.126488903874247</v>
      </c>
      <c r="G103" s="110">
        <f t="shared" si="46"/>
        <v>0.64225419708908726</v>
      </c>
      <c r="H103" s="414" t="b">
        <f>Wh_hp&gt;='2019'!Maxi_hp</f>
        <v>0</v>
      </c>
      <c r="I103" s="380">
        <f>IF(H103,Wh_hp,'2019'!Maxi_hp)</f>
        <v>56.1503147173473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1.4697222832562806E-2</v>
      </c>
      <c r="M103" s="959"/>
      <c r="N103" s="959"/>
      <c r="O103" s="48">
        <f>IF(t&lt;Tnet,'2019'!Resal+('2019'!Salim-'2019'!Resal)*(1-EXP(('2019'!Tnet-t)/('2019'!Tau_j))),Resal+(Salim-Resal)*(1-EXP((Tnet-t)/(Tau_j))))*Salcycl</f>
        <v>6.9596157912476544E-2</v>
      </c>
      <c r="P103" s="169">
        <f>(INDEX(Models!$BJ103:$BT103,,T103)*(1-R103)+INDEX(Models!$BJ103:$BT103,,T103+1)*R103-ERP_i)*Q103*Ramure*Pc/MaxiM</f>
        <v>9.4516386191119273E-5</v>
      </c>
      <c r="Q103" s="305">
        <f t="shared" si="27"/>
        <v>0.7</v>
      </c>
      <c r="R103" s="177">
        <f t="shared" si="28"/>
        <v>2.4042685567822519E-2</v>
      </c>
      <c r="S103" s="921">
        <f t="shared" si="29"/>
        <v>-1</v>
      </c>
      <c r="T103" s="176">
        <f t="shared" si="30"/>
        <v>5</v>
      </c>
      <c r="U103" s="251">
        <f t="shared" si="31"/>
        <v>-0.97595731443217748</v>
      </c>
      <c r="V103" s="383">
        <f t="shared" si="32"/>
        <v>50.133490475071184</v>
      </c>
      <c r="W103" s="402"/>
      <c r="X103" s="157">
        <f t="shared" si="33"/>
        <v>43919</v>
      </c>
      <c r="Y103" s="385">
        <f t="shared" si="34"/>
        <v>32.200000000000003</v>
      </c>
      <c r="Z103" s="385">
        <f t="shared" si="35"/>
        <v>32.68030979529869</v>
      </c>
      <c r="AA103" s="386">
        <f t="shared" si="36"/>
        <v>35.124865479891731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6.9596157912476544E-2</v>
      </c>
      <c r="AD103" s="231">
        <f>(INDEX(Models!$BJ103:$BT103,,AH103)*(1-AF103)+INDEX(Models!$BJ103:$BT103,,AH103+1)*AF103-ERP_i)*AE103*Ramure*Pc/MaxiM</f>
        <v>9.4516386191119273E-5</v>
      </c>
      <c r="AE103" s="305">
        <f t="shared" si="38"/>
        <v>0.7</v>
      </c>
      <c r="AF103" s="177">
        <f t="shared" si="39"/>
        <v>2.4042685567822519E-2</v>
      </c>
      <c r="AG103" s="921">
        <f t="shared" si="47"/>
        <v>-1</v>
      </c>
      <c r="AH103" s="176">
        <f t="shared" si="40"/>
        <v>5</v>
      </c>
      <c r="AI103" s="225">
        <f t="shared" si="41"/>
        <v>-0.97595731443217748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20">
        <v>18.411000000000001</v>
      </c>
      <c r="C104" s="390"/>
      <c r="D104" s="393">
        <f t="shared" si="24"/>
        <v>18.686036093303542</v>
      </c>
      <c r="E104" s="385">
        <f t="shared" si="45"/>
        <v>20.084976563008095</v>
      </c>
      <c r="F104" s="385">
        <f t="shared" si="25"/>
        <v>20.085149236930061</v>
      </c>
      <c r="G104" s="110">
        <f t="shared" si="46"/>
        <v>0.36569786553956291</v>
      </c>
      <c r="H104" s="414" t="b">
        <f>Wh_hp&gt;='2019'!Maxi_hp</f>
        <v>0</v>
      </c>
      <c r="I104" s="380">
        <f>IF(H104,Wh_hp,'2019'!Maxi_hp)</f>
        <v>47.803163330450126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1.4718803492095645E-2</v>
      </c>
      <c r="M104" s="959"/>
      <c r="N104" s="959"/>
      <c r="O104" s="48">
        <f>IF(t&lt;Tnet,'2019'!Resal+('2019'!Salim-'2019'!Resal)*(1-EXP(('2019'!Tnet-t)/('2019'!Tau_j))),Resal+(Salim-Resal)*(1-EXP((Tnet-t)/(Tau_j))))*Salcycl</f>
        <v>6.9651087981903767E-2</v>
      </c>
      <c r="P104" s="169">
        <f>(INDEX(Models!$BJ104:$BT104,,T104)*(1-R104)+INDEX(Models!$BJ104:$BT104,,T104+1)*R104-ERP_i)*Q104*Ramure*Pc/MaxiM</f>
        <v>9.155834726528175E-5</v>
      </c>
      <c r="Q104" s="305">
        <f t="shared" si="27"/>
        <v>0.7</v>
      </c>
      <c r="R104" s="177">
        <f t="shared" si="28"/>
        <v>2.5025810051486741E-2</v>
      </c>
      <c r="S104" s="921">
        <f t="shared" si="29"/>
        <v>-1</v>
      </c>
      <c r="T104" s="176">
        <f t="shared" si="30"/>
        <v>5</v>
      </c>
      <c r="U104" s="251">
        <f t="shared" si="31"/>
        <v>-0.97497418994851326</v>
      </c>
      <c r="V104" s="383">
        <f t="shared" si="32"/>
        <v>50.340661846845464</v>
      </c>
      <c r="W104" s="402"/>
      <c r="X104" s="157">
        <f t="shared" si="33"/>
        <v>43920</v>
      </c>
      <c r="Y104" s="385">
        <f t="shared" si="34"/>
        <v>18.411000000000001</v>
      </c>
      <c r="Z104" s="385">
        <f t="shared" si="35"/>
        <v>18.686036093303542</v>
      </c>
      <c r="AA104" s="386">
        <f t="shared" si="36"/>
        <v>20.084976563008095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6.9651087981903767E-2</v>
      </c>
      <c r="AD104" s="231">
        <f>(INDEX(Models!$BJ104:$BT104,,AH104)*(1-AF104)+INDEX(Models!$BJ104:$BT104,,AH104+1)*AF104-ERP_i)*AE104*Ramure*Pc/MaxiM</f>
        <v>9.155834726528175E-5</v>
      </c>
      <c r="AE104" s="305">
        <f t="shared" si="38"/>
        <v>0.7</v>
      </c>
      <c r="AF104" s="177">
        <f t="shared" si="39"/>
        <v>2.5025810051486741E-2</v>
      </c>
      <c r="AG104" s="921">
        <f t="shared" si="47"/>
        <v>-1</v>
      </c>
      <c r="AH104" s="176">
        <f t="shared" si="40"/>
        <v>5</v>
      </c>
      <c r="AI104" s="225">
        <f t="shared" si="41"/>
        <v>-0.97497418994851326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20">
        <v>42.649000000000001</v>
      </c>
      <c r="C105" s="390"/>
      <c r="D105" s="393">
        <f t="shared" si="24"/>
        <v>43.287067990517308</v>
      </c>
      <c r="E105" s="385">
        <f t="shared" si="45"/>
        <v>46.530556132790473</v>
      </c>
      <c r="F105" s="385">
        <f t="shared" si="25"/>
        <v>46.533766790743918</v>
      </c>
      <c r="G105" s="110">
        <f t="shared" si="46"/>
        <v>0.84385074673509641</v>
      </c>
      <c r="H105" s="414" t="b">
        <f>Wh_hp&gt;='2019'!Maxi_hp</f>
        <v>1</v>
      </c>
      <c r="I105" s="380">
        <f>IF(H105,Wh_hp,'2019'!Maxi_hp)</f>
        <v>46.533766790743918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1.4740383678956692E-2</v>
      </c>
      <c r="M105" s="959"/>
      <c r="N105" s="959"/>
      <c r="O105" s="48">
        <f>IF(t&lt;Tnet,'2019'!Resal+('2019'!Salim-'2019'!Resal)*(1-EXP(('2019'!Tnet-t)/('2019'!Tau_j))),Resal+(Salim-Resal)*(1-EXP((Tnet-t)/(Tau_j))))*Salcycl</f>
        <v>6.9706627468985968E-2</v>
      </c>
      <c r="P105" s="169">
        <f>(INDEX(Models!$BJ105:$BT105,,T105)*(1-R105)+INDEX(Models!$BJ105:$BT105,,T105+1)*R105-ERP_i)*Q105*Ramure*Pc/MaxiM</f>
        <v>8.8803645415009547E-5</v>
      </c>
      <c r="Q105" s="305">
        <f t="shared" si="27"/>
        <v>0.7</v>
      </c>
      <c r="R105" s="177">
        <f t="shared" si="28"/>
        <v>2.6045869120772003E-2</v>
      </c>
      <c r="S105" s="921">
        <f t="shared" si="29"/>
        <v>-1</v>
      </c>
      <c r="T105" s="176">
        <f t="shared" si="30"/>
        <v>5</v>
      </c>
      <c r="U105" s="251">
        <f t="shared" si="31"/>
        <v>-0.973954130879228</v>
      </c>
      <c r="V105" s="383">
        <f t="shared" si="32"/>
        <v>50.539927046868527</v>
      </c>
      <c r="W105" s="402"/>
      <c r="X105" s="157">
        <f t="shared" si="33"/>
        <v>43921</v>
      </c>
      <c r="Y105" s="385">
        <f t="shared" si="34"/>
        <v>42.649000000000001</v>
      </c>
      <c r="Z105" s="385">
        <f t="shared" si="35"/>
        <v>43.287067990517308</v>
      </c>
      <c r="AA105" s="386">
        <f t="shared" si="36"/>
        <v>46.530556132790473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6.9706627468985968E-2</v>
      </c>
      <c r="AD105" s="231">
        <f>(INDEX(Models!$BJ105:$BT105,,AH105)*(1-AF105)+INDEX(Models!$BJ105:$BT105,,AH105+1)*AF105-ERP_i)*AE105*Ramure*Pc/MaxiM</f>
        <v>8.8803645415009547E-5</v>
      </c>
      <c r="AE105" s="305">
        <f t="shared" si="38"/>
        <v>0.7</v>
      </c>
      <c r="AF105" s="177">
        <f t="shared" si="39"/>
        <v>2.6045869120772003E-2</v>
      </c>
      <c r="AG105" s="921">
        <f t="shared" si="47"/>
        <v>-1</v>
      </c>
      <c r="AH105" s="176">
        <f t="shared" si="40"/>
        <v>5</v>
      </c>
      <c r="AI105" s="225">
        <f t="shared" si="41"/>
        <v>-0.973954130879228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20">
        <v>40.764000000000003</v>
      </c>
      <c r="C106" s="390"/>
      <c r="D106" s="393">
        <f t="shared" si="24"/>
        <v>41.374772882694494</v>
      </c>
      <c r="E106" s="385">
        <f t="shared" si="45"/>
        <v>44.477659017555681</v>
      </c>
      <c r="F106" s="385">
        <f t="shared" si="25"/>
        <v>44.480418756560418</v>
      </c>
      <c r="G106" s="110">
        <f t="shared" si="46"/>
        <v>0.80351931563016654</v>
      </c>
      <c r="H106" s="414" t="b">
        <f>Wh_hp&gt;='2019'!Maxi_hp</f>
        <v>1</v>
      </c>
      <c r="I106" s="380">
        <f>IF(H106,Wh_hp,'2019'!Maxi_hp)</f>
        <v>44.480418756560418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1.4761963393156274E-2</v>
      </c>
      <c r="M106" s="959"/>
      <c r="N106" s="959"/>
      <c r="O106" s="48">
        <f>IF(t&lt;Tnet,'2019'!Resal+('2019'!Salim-'2019'!Resal)*(1-EXP(('2019'!Tnet-t)/('2019'!Tau_j))),Resal+(Salim-Resal)*(1-EXP((Tnet-t)/(Tau_j))))*Salcycl</f>
        <v>6.9762802346149802E-2</v>
      </c>
      <c r="P106" s="169">
        <f>(INDEX(Models!$BJ106:$BT106,,T106)*(1-R106)+INDEX(Models!$BJ106:$BT106,,T106+1)*R106-ERP_i)*Q106*Ramure*Pc/MaxiM</f>
        <v>8.6251026284440117E-5</v>
      </c>
      <c r="Q106" s="305">
        <f t="shared" si="27"/>
        <v>0.7</v>
      </c>
      <c r="R106" s="177">
        <f t="shared" si="28"/>
        <v>2.7104073170211351E-2</v>
      </c>
      <c r="S106" s="921">
        <f t="shared" si="29"/>
        <v>-1</v>
      </c>
      <c r="T106" s="176">
        <f t="shared" si="30"/>
        <v>5</v>
      </c>
      <c r="U106" s="251">
        <f t="shared" si="31"/>
        <v>-0.97289592682978865</v>
      </c>
      <c r="V106" s="383">
        <f t="shared" si="32"/>
        <v>50.730595228852806</v>
      </c>
      <c r="W106" s="402"/>
      <c r="X106" s="157">
        <f t="shared" si="33"/>
        <v>43922</v>
      </c>
      <c r="Y106" s="385">
        <f t="shared" si="34"/>
        <v>40.764000000000003</v>
      </c>
      <c r="Z106" s="385">
        <f t="shared" si="35"/>
        <v>41.374772882694494</v>
      </c>
      <c r="AA106" s="386">
        <f t="shared" si="36"/>
        <v>44.477659017555681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6.9762802346149802E-2</v>
      </c>
      <c r="AD106" s="231">
        <f>(INDEX(Models!$BJ106:$BT106,,AH106)*(1-AF106)+INDEX(Models!$BJ106:$BT106,,AH106+1)*AF106-ERP_i)*AE106*Ramure*Pc/MaxiM</f>
        <v>8.6251026284440117E-5</v>
      </c>
      <c r="AE106" s="305">
        <f t="shared" si="38"/>
        <v>0.7</v>
      </c>
      <c r="AF106" s="177">
        <f t="shared" si="39"/>
        <v>2.7104073170211351E-2</v>
      </c>
      <c r="AG106" s="921">
        <f t="shared" si="47"/>
        <v>-1</v>
      </c>
      <c r="AH106" s="176">
        <f t="shared" si="40"/>
        <v>5</v>
      </c>
      <c r="AI106" s="225">
        <f t="shared" si="41"/>
        <v>-0.97289592682978865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20">
        <v>23.545999999999999</v>
      </c>
      <c r="C107" s="390"/>
      <c r="D107" s="393">
        <f t="shared" si="24"/>
        <v>23.89931656538467</v>
      </c>
      <c r="E107" s="385">
        <f t="shared" si="45"/>
        <v>25.69320697838095</v>
      </c>
      <c r="F107" s="385">
        <f t="shared" si="25"/>
        <v>25.693707333446767</v>
      </c>
      <c r="G107" s="110">
        <f t="shared" si="46"/>
        <v>0.46244873426724953</v>
      </c>
      <c r="H107" s="414" t="b">
        <f>Wh_hp&gt;='2019'!Maxi_hp</f>
        <v>1</v>
      </c>
      <c r="I107" s="380">
        <f>IF(H107,Wh_hp,'2019'!Maxi_hp)</f>
        <v>25.693707333446767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1.4783542634704716E-2</v>
      </c>
      <c r="M107" s="959"/>
      <c r="N107" s="959"/>
      <c r="O107" s="48">
        <f>IF(t&lt;Tnet,'2019'!Resal+('2019'!Salim-'2019'!Resal)*(1-EXP(('2019'!Tnet-t)/('2019'!Tau_j))),Resal+(Salim-Resal)*(1-EXP((Tnet-t)/(Tau_j))))*Salcycl</f>
        <v>6.9819638105344861E-2</v>
      </c>
      <c r="P107" s="169">
        <f>(INDEX(Models!$BJ107:$BT107,,T107)*(1-R107)+INDEX(Models!$BJ107:$BT107,,T107+1)*R107-ERP_i)*Q107*Ramure*Pc/MaxiM</f>
        <v>8.3898382397588843E-5</v>
      </c>
      <c r="Q107" s="305">
        <f t="shared" si="27"/>
        <v>0.7</v>
      </c>
      <c r="R107" s="177">
        <f t="shared" si="28"/>
        <v>2.8201657975024941E-2</v>
      </c>
      <c r="S107" s="921">
        <f t="shared" si="29"/>
        <v>-1</v>
      </c>
      <c r="T107" s="176">
        <f t="shared" si="30"/>
        <v>5</v>
      </c>
      <c r="U107" s="251">
        <f t="shared" si="31"/>
        <v>-0.97179834202497506</v>
      </c>
      <c r="V107" s="383">
        <f t="shared" si="32"/>
        <v>50.912633737481428</v>
      </c>
      <c r="W107" s="402"/>
      <c r="X107" s="157">
        <f t="shared" si="33"/>
        <v>43923</v>
      </c>
      <c r="Y107" s="385">
        <f t="shared" si="34"/>
        <v>23.545999999999999</v>
      </c>
      <c r="Z107" s="385">
        <f t="shared" si="35"/>
        <v>23.89931656538467</v>
      </c>
      <c r="AA107" s="386">
        <f t="shared" si="36"/>
        <v>25.69320697838095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6.9819638105344861E-2</v>
      </c>
      <c r="AD107" s="231">
        <f>(INDEX(Models!$BJ107:$BT107,,AH107)*(1-AF107)+INDEX(Models!$BJ107:$BT107,,AH107+1)*AF107-ERP_i)*AE107*Ramure*Pc/MaxiM</f>
        <v>8.3898382397588843E-5</v>
      </c>
      <c r="AE107" s="305">
        <f t="shared" si="38"/>
        <v>0.7</v>
      </c>
      <c r="AF107" s="177">
        <f t="shared" si="39"/>
        <v>2.8201657975024941E-2</v>
      </c>
      <c r="AG107" s="921">
        <f t="shared" si="47"/>
        <v>-1</v>
      </c>
      <c r="AH107" s="176">
        <f t="shared" si="40"/>
        <v>5</v>
      </c>
      <c r="AI107" s="225">
        <f t="shared" si="41"/>
        <v>-0.97179834202497506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20">
        <v>51.075000000000003</v>
      </c>
      <c r="C108" s="390"/>
      <c r="D108" s="393">
        <f t="shared" si="24"/>
        <v>51.842535024914902</v>
      </c>
      <c r="E108" s="385">
        <f t="shared" si="45"/>
        <v>55.73729918126898</v>
      </c>
      <c r="F108" s="385">
        <f t="shared" si="25"/>
        <v>55.741875297523443</v>
      </c>
      <c r="G108" s="110">
        <f t="shared" si="46"/>
        <v>0.99976938390177916</v>
      </c>
      <c r="H108" s="414" t="b">
        <f>Wh_hp&gt;='2019'!Maxi_hp</f>
        <v>1</v>
      </c>
      <c r="I108" s="380">
        <f>IF(H108,Wh_hp,'2019'!Maxi_hp)</f>
        <v>55.741875297523443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1.4805121403612453E-2</v>
      </c>
      <c r="M108" s="959"/>
      <c r="N108" s="959"/>
      <c r="O108" s="48">
        <f>IF(t&lt;Tnet,'2019'!Resal+('2019'!Salim-'2019'!Resal)*(1-EXP(('2019'!Tnet-t)/('2019'!Tau_j))),Resal+(Salim-Resal)*(1-EXP((Tnet-t)/(Tau_j))))*Salcycl</f>
        <v>6.9877159703908856E-2</v>
      </c>
      <c r="P108" s="169">
        <f>(INDEX(Models!$BJ108:$BT108,,T108)*(1-R108)+INDEX(Models!$BJ108:$BT108,,T108+1)*R108-ERP_i)*Q108*Ramure*Pc/MaxiM</f>
        <v>8.2121818805267277E-5</v>
      </c>
      <c r="Q108" s="305">
        <f t="shared" si="27"/>
        <v>0.7</v>
      </c>
      <c r="R108" s="177">
        <f t="shared" si="28"/>
        <v>2.9339884009877637E-2</v>
      </c>
      <c r="S108" s="921">
        <f t="shared" si="29"/>
        <v>-1</v>
      </c>
      <c r="T108" s="176">
        <f t="shared" si="30"/>
        <v>5</v>
      </c>
      <c r="U108" s="251">
        <f t="shared" si="31"/>
        <v>-0.97066011599012236</v>
      </c>
      <c r="V108" s="383">
        <f t="shared" si="32"/>
        <v>51.086780052092514</v>
      </c>
      <c r="W108" s="402"/>
      <c r="X108" s="157">
        <f t="shared" si="33"/>
        <v>43924</v>
      </c>
      <c r="Y108" s="385">
        <f t="shared" si="34"/>
        <v>51.075000000000003</v>
      </c>
      <c r="Z108" s="385">
        <f t="shared" si="35"/>
        <v>51.842535024914902</v>
      </c>
      <c r="AA108" s="386">
        <f t="shared" si="36"/>
        <v>55.73729918126898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6.9877159703908856E-2</v>
      </c>
      <c r="AD108" s="231">
        <f>(INDEX(Models!$BJ108:$BT108,,AH108)*(1-AF108)+INDEX(Models!$BJ108:$BT108,,AH108+1)*AF108-ERP_i)*AE108*Ramure*Pc/MaxiM</f>
        <v>8.2121818805267277E-5</v>
      </c>
      <c r="AE108" s="305">
        <f t="shared" si="38"/>
        <v>0.7</v>
      </c>
      <c r="AF108" s="177">
        <f t="shared" si="39"/>
        <v>2.9339884009877637E-2</v>
      </c>
      <c r="AG108" s="921">
        <f t="shared" si="47"/>
        <v>-1</v>
      </c>
      <c r="AH108" s="176">
        <f t="shared" si="40"/>
        <v>5</v>
      </c>
      <c r="AI108" s="225">
        <f t="shared" si="41"/>
        <v>-0.97066011599012236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20">
        <v>53.375</v>
      </c>
      <c r="C109" s="390"/>
      <c r="D109" s="393">
        <f t="shared" si="24"/>
        <v>54.178285164387361</v>
      </c>
      <c r="E109" s="385">
        <f t="shared" si="45"/>
        <v>58.252173741454882</v>
      </c>
      <c r="F109" s="385">
        <f t="shared" si="25"/>
        <v>58.256884739736201</v>
      </c>
      <c r="G109" s="110">
        <f t="shared" si="46"/>
        <v>1.0413916811314192</v>
      </c>
      <c r="H109" s="414" t="b">
        <f>Wh_hp&gt;='2019'!Maxi_hp</f>
        <v>1</v>
      </c>
      <c r="I109" s="380">
        <f>IF(H109,Wh_hp,'2019'!Maxi_hp)</f>
        <v>58.256884739736201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1.48266996998897E-2</v>
      </c>
      <c r="M109" s="959"/>
      <c r="N109" s="959"/>
      <c r="O109" s="48">
        <f>IF(t&lt;Tnet,'2019'!Resal+('2019'!Salim-'2019'!Resal)*(1-EXP(('2019'!Tnet-t)/('2019'!Tau_j))),Resal+(Salim-Resal)*(1-EXP((Tnet-t)/(Tau_j))))*Salcycl</f>
        <v>6.9935391512580755E-2</v>
      </c>
      <c r="P109" s="169">
        <f>(INDEX(Models!$BJ109:$BT109,,T109)*(1-R109)+INDEX(Models!$BJ109:$BT109,,T109+1)*R109-ERP_i)*Q109*Ramure*Pc/MaxiM</f>
        <v>8.0865949189769663E-5</v>
      </c>
      <c r="Q109" s="305">
        <f t="shared" si="27"/>
        <v>0.7</v>
      </c>
      <c r="R109" s="177">
        <f t="shared" si="28"/>
        <v>3.0520035637896292E-2</v>
      </c>
      <c r="S109" s="921">
        <f t="shared" si="29"/>
        <v>-1</v>
      </c>
      <c r="T109" s="176">
        <f t="shared" si="30"/>
        <v>5</v>
      </c>
      <c r="U109" s="251">
        <f t="shared" si="31"/>
        <v>-0.96947996436210371</v>
      </c>
      <c r="V109" s="383">
        <f t="shared" si="32"/>
        <v>51.253530220263293</v>
      </c>
      <c r="W109" s="402"/>
      <c r="X109" s="157">
        <f t="shared" si="33"/>
        <v>43925</v>
      </c>
      <c r="Y109" s="385">
        <f t="shared" si="34"/>
        <v>53.375</v>
      </c>
      <c r="Z109" s="385">
        <f t="shared" si="35"/>
        <v>54.178285164387361</v>
      </c>
      <c r="AA109" s="386">
        <f t="shared" si="36"/>
        <v>58.252173741454882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6.9935391512580755E-2</v>
      </c>
      <c r="AD109" s="231">
        <f>(INDEX(Models!$BJ109:$BT109,,AH109)*(1-AF109)+INDEX(Models!$BJ109:$BT109,,AH109+1)*AF109-ERP_i)*AE109*Ramure*Pc/MaxiM</f>
        <v>8.0865949189769663E-5</v>
      </c>
      <c r="AE109" s="305">
        <f t="shared" si="38"/>
        <v>0.7</v>
      </c>
      <c r="AF109" s="177">
        <f t="shared" si="39"/>
        <v>3.0520035637896292E-2</v>
      </c>
      <c r="AG109" s="921">
        <f t="shared" si="47"/>
        <v>-1</v>
      </c>
      <c r="AH109" s="176">
        <f t="shared" si="40"/>
        <v>5</v>
      </c>
      <c r="AI109" s="225">
        <f t="shared" si="41"/>
        <v>-0.96947996436210371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20">
        <v>52.847000000000001</v>
      </c>
      <c r="C110" s="390"/>
      <c r="D110" s="393">
        <f t="shared" si="24"/>
        <v>53.643513779942801</v>
      </c>
      <c r="E110" s="385">
        <f t="shared" si="45"/>
        <v>57.680847636803307</v>
      </c>
      <c r="F110" s="385">
        <f t="shared" si="25"/>
        <v>57.685469912803519</v>
      </c>
      <c r="G110" s="110">
        <f t="shared" si="46"/>
        <v>1.0278842314667778</v>
      </c>
      <c r="H110" s="414" t="b">
        <f>Wh_hp&gt;='2019'!Maxi_hp</f>
        <v>1</v>
      </c>
      <c r="I110" s="380">
        <f>IF(H110,Wh_hp,'2019'!Maxi_hp)</f>
        <v>57.685469912803519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1.4848277523546893E-2</v>
      </c>
      <c r="M110" s="959"/>
      <c r="N110" s="959"/>
      <c r="O110" s="48">
        <f>IF(t&lt;Tnet,'2019'!Resal+('2019'!Salim-'2019'!Resal)*(1-EXP(('2019'!Tnet-t)/('2019'!Tau_j))),Resal+(Salim-Resal)*(1-EXP((Tnet-t)/(Tau_j))))*Salcycl</f>
        <v>6.9994357265382515E-2</v>
      </c>
      <c r="P110" s="169">
        <f>(INDEX(Models!$BJ110:$BT110,,T110)*(1-R110)+INDEX(Models!$BJ110:$BT110,,T110+1)*R110-ERP_i)*Q110*Ramure*Pc/MaxiM</f>
        <v>8.0128947674238443E-5</v>
      </c>
      <c r="Q110" s="305">
        <f t="shared" si="27"/>
        <v>0.7</v>
      </c>
      <c r="R110" s="177">
        <f t="shared" si="28"/>
        <v>3.1743420160936564E-2</v>
      </c>
      <c r="S110" s="921">
        <f t="shared" si="29"/>
        <v>-1</v>
      </c>
      <c r="T110" s="176">
        <f t="shared" si="30"/>
        <v>5</v>
      </c>
      <c r="U110" s="251">
        <f t="shared" si="31"/>
        <v>-0.96825657983906344</v>
      </c>
      <c r="V110" s="383">
        <f t="shared" si="32"/>
        <v>51.413377481808439</v>
      </c>
      <c r="W110" s="402"/>
      <c r="X110" s="157">
        <f t="shared" si="33"/>
        <v>43926</v>
      </c>
      <c r="Y110" s="385">
        <f t="shared" si="34"/>
        <v>52.847000000000001</v>
      </c>
      <c r="Z110" s="385">
        <f t="shared" si="35"/>
        <v>53.643513779942801</v>
      </c>
      <c r="AA110" s="386">
        <f t="shared" si="36"/>
        <v>57.680847636803307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6.9994357265382515E-2</v>
      </c>
      <c r="AD110" s="231">
        <f>(INDEX(Models!$BJ110:$BT110,,AH110)*(1-AF110)+INDEX(Models!$BJ110:$BT110,,AH110+1)*AF110-ERP_i)*AE110*Ramure*Pc/MaxiM</f>
        <v>8.0128947674238443E-5</v>
      </c>
      <c r="AE110" s="305">
        <f t="shared" si="38"/>
        <v>0.7</v>
      </c>
      <c r="AF110" s="177">
        <f t="shared" si="39"/>
        <v>3.1743420160936564E-2</v>
      </c>
      <c r="AG110" s="921">
        <f t="shared" si="47"/>
        <v>-1</v>
      </c>
      <c r="AH110" s="176">
        <f t="shared" si="40"/>
        <v>5</v>
      </c>
      <c r="AI110" s="225">
        <f t="shared" si="41"/>
        <v>-0.96825657983906344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20">
        <v>25.571000000000002</v>
      </c>
      <c r="C111" s="390"/>
      <c r="D111" s="393">
        <f t="shared" si="24"/>
        <v>25.956976473138837</v>
      </c>
      <c r="E111" s="385">
        <f t="shared" si="45"/>
        <v>27.912350508992443</v>
      </c>
      <c r="F111" s="385">
        <f t="shared" si="25"/>
        <v>27.912974676539108</v>
      </c>
      <c r="G111" s="110">
        <f t="shared" si="46"/>
        <v>0.49585238914962471</v>
      </c>
      <c r="H111" s="414" t="b">
        <f>Wh_hp&gt;='2019'!Maxi_hp</f>
        <v>0</v>
      </c>
      <c r="I111" s="380">
        <f>IF(H111,Wh_hp,'2019'!Maxi_hp)</f>
        <v>37.464794877296306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1.4869854874594357E-2</v>
      </c>
      <c r="M111" s="959"/>
      <c r="N111" s="959"/>
      <c r="O111" s="48">
        <f>IF(t&lt;Tnet,'2019'!Resal+('2019'!Salim-'2019'!Resal)*(1-EXP(('2019'!Tnet-t)/('2019'!Tau_j))),Resal+(Salim-Resal)*(1-EXP((Tnet-t)/(Tau_j))))*Salcycl</f>
        <v>7.0054080011056272E-2</v>
      </c>
      <c r="P111" s="169">
        <f>(INDEX(Models!$BJ111:$BT111,,T111)*(1-R111)+INDEX(Models!$BJ111:$BT111,,T111+1)*R111-ERP_i)*Q111*Ramure*Pc/MaxiM</f>
        <v>7.9909967029876528E-5</v>
      </c>
      <c r="Q111" s="305">
        <f t="shared" si="27"/>
        <v>0.7</v>
      </c>
      <c r="R111" s="177">
        <f t="shared" si="28"/>
        <v>3.3011366721885538E-2</v>
      </c>
      <c r="S111" s="921">
        <f t="shared" si="29"/>
        <v>-1</v>
      </c>
      <c r="T111" s="176">
        <f t="shared" si="30"/>
        <v>5</v>
      </c>
      <c r="U111" s="251">
        <f t="shared" si="31"/>
        <v>-0.96698863327811446</v>
      </c>
      <c r="V111" s="383">
        <f t="shared" si="32"/>
        <v>51.56681493733447</v>
      </c>
      <c r="W111" s="402"/>
      <c r="X111" s="157">
        <f t="shared" si="33"/>
        <v>43927</v>
      </c>
      <c r="Y111" s="385">
        <f t="shared" si="34"/>
        <v>25.571000000000002</v>
      </c>
      <c r="Z111" s="385">
        <f t="shared" si="35"/>
        <v>25.956976473138837</v>
      </c>
      <c r="AA111" s="386">
        <f t="shared" si="36"/>
        <v>27.912350508992443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7.0054080011056272E-2</v>
      </c>
      <c r="AD111" s="231">
        <f>(INDEX(Models!$BJ111:$BT111,,AH111)*(1-AF111)+INDEX(Models!$BJ111:$BT111,,AH111+1)*AF111-ERP_i)*AE111*Ramure*Pc/MaxiM</f>
        <v>7.9909967029876528E-5</v>
      </c>
      <c r="AE111" s="305">
        <f t="shared" si="38"/>
        <v>0.7</v>
      </c>
      <c r="AF111" s="177">
        <f t="shared" si="39"/>
        <v>3.3011366721885538E-2</v>
      </c>
      <c r="AG111" s="921">
        <f t="shared" si="47"/>
        <v>-1</v>
      </c>
      <c r="AH111" s="176">
        <f t="shared" si="40"/>
        <v>5</v>
      </c>
      <c r="AI111" s="225">
        <f t="shared" si="41"/>
        <v>-0.96698863327811446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20">
        <v>33.348999999999997</v>
      </c>
      <c r="C112" s="390"/>
      <c r="D112" s="393">
        <f t="shared" si="24"/>
        <v>33.853121447665366</v>
      </c>
      <c r="E112" s="385">
        <f t="shared" si="45"/>
        <v>36.405691276317881</v>
      </c>
      <c r="F112" s="385">
        <f t="shared" si="25"/>
        <v>36.407129965205129</v>
      </c>
      <c r="G112" s="110">
        <f t="shared" si="46"/>
        <v>0.64484330196392359</v>
      </c>
      <c r="H112" s="414" t="b">
        <f>Wh_hp&gt;='2019'!Maxi_hp</f>
        <v>1</v>
      </c>
      <c r="I112" s="380">
        <f>IF(H112,Wh_hp,'2019'!Maxi_hp)</f>
        <v>36.407129965205129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1.4891431753042528E-2</v>
      </c>
      <c r="M112" s="959"/>
      <c r="N112" s="959"/>
      <c r="O112" s="48">
        <f>IF(t&lt;Tnet,'2019'!Resal+('2019'!Salim-'2019'!Resal)*(1-EXP(('2019'!Tnet-t)/('2019'!Tau_j))),Resal+(Salim-Resal)*(1-EXP((Tnet-t)/(Tau_j))))*Salcycl</f>
        <v>7.0114582065716094E-2</v>
      </c>
      <c r="P112" s="169">
        <f>(INDEX(Models!$BJ112:$BT112,,T112)*(1-R112)+INDEX(Models!$BJ112:$BT112,,T112+1)*R112-ERP_i)*Q112*Ramure*Pc/MaxiM</f>
        <v>8.0209099713927711E-5</v>
      </c>
      <c r="Q112" s="305">
        <f t="shared" si="27"/>
        <v>0.7</v>
      </c>
      <c r="R112" s="177">
        <f t="shared" si="28"/>
        <v>3.4325225049629093E-2</v>
      </c>
      <c r="S112" s="921">
        <f t="shared" si="29"/>
        <v>-1</v>
      </c>
      <c r="T112" s="176">
        <f t="shared" si="30"/>
        <v>5</v>
      </c>
      <c r="U112" s="251">
        <f t="shared" si="31"/>
        <v>-0.96567477495037091</v>
      </c>
      <c r="V112" s="383">
        <f t="shared" si="32"/>
        <v>51.714335549873617</v>
      </c>
      <c r="W112" s="402"/>
      <c r="X112" s="157">
        <f t="shared" si="33"/>
        <v>43928</v>
      </c>
      <c r="Y112" s="385">
        <f t="shared" si="34"/>
        <v>33.348999999999997</v>
      </c>
      <c r="Z112" s="385">
        <f t="shared" si="35"/>
        <v>33.853121447665366</v>
      </c>
      <c r="AA112" s="386">
        <f t="shared" si="36"/>
        <v>36.405691276317881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7.0114582065716094E-2</v>
      </c>
      <c r="AD112" s="231">
        <f>(INDEX(Models!$BJ112:$BT112,,AH112)*(1-AF112)+INDEX(Models!$BJ112:$BT112,,AH112+1)*AF112-ERP_i)*AE112*Ramure*Pc/MaxiM</f>
        <v>8.0209099713927711E-5</v>
      </c>
      <c r="AE112" s="305">
        <f t="shared" si="38"/>
        <v>0.7</v>
      </c>
      <c r="AF112" s="177">
        <f t="shared" si="39"/>
        <v>3.4325225049629093E-2</v>
      </c>
      <c r="AG112" s="921">
        <f t="shared" si="47"/>
        <v>-1</v>
      </c>
      <c r="AH112" s="176">
        <f t="shared" si="40"/>
        <v>5</v>
      </c>
      <c r="AI112" s="225">
        <f t="shared" si="41"/>
        <v>-0.96567477495037091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20">
        <v>39.085999999999999</v>
      </c>
      <c r="C113" s="390"/>
      <c r="D113" s="393">
        <f t="shared" si="24"/>
        <v>39.677714073707769</v>
      </c>
      <c r="E113" s="385">
        <f t="shared" si="45"/>
        <v>42.672279017276324</v>
      </c>
      <c r="F113" s="385">
        <f t="shared" si="25"/>
        <v>42.674520339673073</v>
      </c>
      <c r="G113" s="110">
        <f t="shared" si="46"/>
        <v>0.75371336098785113</v>
      </c>
      <c r="H113" s="414" t="b">
        <f>Wh_hp&gt;='2019'!Maxi_hp</f>
        <v>0</v>
      </c>
      <c r="I113" s="380">
        <f>IF(H113,Wh_hp,'2019'!Maxi_hp)</f>
        <v>45.992596170964376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1.4913008158901619E-2</v>
      </c>
      <c r="M113" s="959"/>
      <c r="N113" s="959"/>
      <c r="O113" s="48">
        <f>IF(t&lt;Tnet,'2019'!Resal+('2019'!Salim-'2019'!Resal)*(1-EXP(('2019'!Tnet-t)/('2019'!Tau_j))),Resal+(Salim-Resal)*(1-EXP((Tnet-t)/(Tau_j))))*Salcycl</f>
        <v>7.0175884966354213E-2</v>
      </c>
      <c r="P113" s="169">
        <f>(INDEX(Models!$BJ113:$BT113,,T113)*(1-R113)+INDEX(Models!$BJ113:$BT113,,T113+1)*R113-ERP_i)*Q113*Ramure*Pc/MaxiM</f>
        <v>8.1027340943516714E-5</v>
      </c>
      <c r="Q113" s="305">
        <f t="shared" si="27"/>
        <v>0.7</v>
      </c>
      <c r="R113" s="177">
        <f t="shared" si="28"/>
        <v>3.5686364037195162E-2</v>
      </c>
      <c r="S113" s="921">
        <f t="shared" si="29"/>
        <v>-1</v>
      </c>
      <c r="T113" s="176">
        <f t="shared" si="30"/>
        <v>5</v>
      </c>
      <c r="U113" s="251">
        <f t="shared" si="31"/>
        <v>-0.96431363596280484</v>
      </c>
      <c r="V113" s="383">
        <f t="shared" si="32"/>
        <v>51.856432137747703</v>
      </c>
      <c r="W113" s="402"/>
      <c r="X113" s="157">
        <f t="shared" si="33"/>
        <v>43929</v>
      </c>
      <c r="Y113" s="385">
        <f t="shared" si="34"/>
        <v>39.085999999999999</v>
      </c>
      <c r="Z113" s="385">
        <f t="shared" si="35"/>
        <v>39.677714073707769</v>
      </c>
      <c r="AA113" s="386">
        <f t="shared" si="36"/>
        <v>42.672279017276324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7.0175884966354213E-2</v>
      </c>
      <c r="AD113" s="231">
        <f>(INDEX(Models!$BJ113:$BT113,,AH113)*(1-AF113)+INDEX(Models!$BJ113:$BT113,,AH113+1)*AF113-ERP_i)*AE113*Ramure*Pc/MaxiM</f>
        <v>8.1027340943516714E-5</v>
      </c>
      <c r="AE113" s="305">
        <f t="shared" si="38"/>
        <v>0.7</v>
      </c>
      <c r="AF113" s="177">
        <f t="shared" si="39"/>
        <v>3.5686364037195162E-2</v>
      </c>
      <c r="AG113" s="921">
        <f t="shared" si="47"/>
        <v>-1</v>
      </c>
      <c r="AH113" s="176">
        <f t="shared" si="40"/>
        <v>5</v>
      </c>
      <c r="AI113" s="225">
        <f t="shared" si="41"/>
        <v>-0.96431363596280484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20">
        <v>51.713999999999999</v>
      </c>
      <c r="C114" s="390"/>
      <c r="D114" s="393">
        <f t="shared" si="24"/>
        <v>52.498036338369815</v>
      </c>
      <c r="E114" s="385">
        <f t="shared" si="45"/>
        <v>56.463951925904595</v>
      </c>
      <c r="F114" s="385">
        <f t="shared" si="25"/>
        <v>56.468611933419304</v>
      </c>
      <c r="G114" s="110">
        <f t="shared" si="46"/>
        <v>0.99462262171705762</v>
      </c>
      <c r="H114" s="414" t="b">
        <f>Wh_hp&gt;='2019'!Maxi_hp</f>
        <v>1</v>
      </c>
      <c r="I114" s="380">
        <f>IF(H114,Wh_hp,'2019'!Maxi_hp)</f>
        <v>56.468611933419304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1.4934584092182068E-2</v>
      </c>
      <c r="M114" s="959"/>
      <c r="N114" s="959"/>
      <c r="O114" s="48">
        <f>IF(t&lt;Tnet,'2019'!Resal+('2019'!Salim-'2019'!Resal)*(1-EXP(('2019'!Tnet-t)/('2019'!Tau_j))),Resal+(Salim-Resal)*(1-EXP((Tnet-t)/(Tau_j))))*Salcycl</f>
        <v>7.0238009424829093E-2</v>
      </c>
      <c r="P114" s="169">
        <f>(INDEX(Models!$BJ114:$BT114,,T114)*(1-R114)+INDEX(Models!$BJ114:$BT114,,T114+1)*R114-ERP_i)*Q114*Ramure*Pc/MaxiM</f>
        <v>8.3162631764465423E-5</v>
      </c>
      <c r="Q114" s="305">
        <f t="shared" si="27"/>
        <v>0.7</v>
      </c>
      <c r="R114" s="177">
        <f t="shared" si="28"/>
        <v>3.7096170143537721E-2</v>
      </c>
      <c r="S114" s="921">
        <f t="shared" si="29"/>
        <v>-1</v>
      </c>
      <c r="T114" s="176">
        <f t="shared" si="30"/>
        <v>5</v>
      </c>
      <c r="U114" s="251">
        <f t="shared" si="31"/>
        <v>-0.96290382985646228</v>
      </c>
      <c r="V114" s="383">
        <f t="shared" si="32"/>
        <v>51.99355598233835</v>
      </c>
      <c r="W114" s="402"/>
      <c r="X114" s="157">
        <f t="shared" si="33"/>
        <v>43930</v>
      </c>
      <c r="Y114" s="385">
        <f t="shared" si="34"/>
        <v>51.713999999999999</v>
      </c>
      <c r="Z114" s="385">
        <f t="shared" si="35"/>
        <v>52.498036338369815</v>
      </c>
      <c r="AA114" s="386">
        <f t="shared" si="36"/>
        <v>56.463951925904595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7.0238009424829093E-2</v>
      </c>
      <c r="AD114" s="231">
        <f>(INDEX(Models!$BJ114:$BT114,,AH114)*(1-AF114)+INDEX(Models!$BJ114:$BT114,,AH114+1)*AF114-ERP_i)*AE114*Ramure*Pc/MaxiM</f>
        <v>8.3162631764465423E-5</v>
      </c>
      <c r="AE114" s="305">
        <f t="shared" si="38"/>
        <v>0.7</v>
      </c>
      <c r="AF114" s="177">
        <f t="shared" si="39"/>
        <v>3.7096170143537721E-2</v>
      </c>
      <c r="AG114" s="921">
        <f t="shared" si="47"/>
        <v>-1</v>
      </c>
      <c r="AH114" s="176">
        <f t="shared" si="40"/>
        <v>5</v>
      </c>
      <c r="AI114" s="225">
        <f t="shared" si="41"/>
        <v>-0.96290382985646228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20">
        <v>52.128</v>
      </c>
      <c r="C115" s="390"/>
      <c r="D115" s="393">
        <f t="shared" si="24"/>
        <v>52.919472067699438</v>
      </c>
      <c r="E115" s="385">
        <f t="shared" si="45"/>
        <v>56.921079468432104</v>
      </c>
      <c r="F115" s="385">
        <f t="shared" si="25"/>
        <v>56.926003902955259</v>
      </c>
      <c r="G115" s="110">
        <f t="shared" si="46"/>
        <v>1.0000344332543809</v>
      </c>
      <c r="H115" s="414" t="b">
        <f>Wh_hp&gt;='2019'!Maxi_hp</f>
        <v>1</v>
      </c>
      <c r="I115" s="380">
        <f>IF(H115,Wh_hp,'2019'!Maxi_hp)</f>
        <v>56.926003902955259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1.4956159552894199E-2</v>
      </c>
      <c r="M115" s="959"/>
      <c r="N115" s="959"/>
      <c r="O115" s="48">
        <f>IF(t&lt;Tnet,'2019'!Resal+('2019'!Salim-'2019'!Resal)*(1-EXP(('2019'!Tnet-t)/('2019'!Tau_j))),Resal+(Salim-Resal)*(1-EXP((Tnet-t)/(Tau_j))))*Salcycl</f>
        <v>7.0300975281958986E-2</v>
      </c>
      <c r="P115" s="169">
        <f>(INDEX(Models!$BJ115:$BT115,,T115)*(1-R115)+INDEX(Models!$BJ115:$BT115,,T115+1)*R115-ERP_i)*Q115*Ramure*Pc/MaxiM</f>
        <v>8.6505888091957788E-5</v>
      </c>
      <c r="Q115" s="305">
        <f t="shared" si="27"/>
        <v>0.7</v>
      </c>
      <c r="R115" s="177">
        <f t="shared" si="28"/>
        <v>3.8556045609434819E-2</v>
      </c>
      <c r="S115" s="921">
        <f t="shared" si="29"/>
        <v>-1</v>
      </c>
      <c r="T115" s="176">
        <f t="shared" si="30"/>
        <v>5</v>
      </c>
      <c r="U115" s="251">
        <f t="shared" si="31"/>
        <v>-0.96144395439056518</v>
      </c>
      <c r="V115" s="383">
        <f t="shared" si="32"/>
        <v>52.126205125119014</v>
      </c>
      <c r="W115" s="402"/>
      <c r="X115" s="157">
        <f t="shared" si="33"/>
        <v>43931</v>
      </c>
      <c r="Y115" s="385">
        <f t="shared" si="34"/>
        <v>52.128</v>
      </c>
      <c r="Z115" s="385">
        <f t="shared" si="35"/>
        <v>52.919472067699438</v>
      </c>
      <c r="AA115" s="386">
        <f t="shared" si="36"/>
        <v>56.921079468432104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7.0300975281958986E-2</v>
      </c>
      <c r="AD115" s="231">
        <f>(INDEX(Models!$BJ115:$BT115,,AH115)*(1-AF115)+INDEX(Models!$BJ115:$BT115,,AH115+1)*AF115-ERP_i)*AE115*Ramure*Pc/MaxiM</f>
        <v>8.6505888091957788E-5</v>
      </c>
      <c r="AE115" s="305">
        <f t="shared" si="38"/>
        <v>0.7</v>
      </c>
      <c r="AF115" s="177">
        <f t="shared" si="39"/>
        <v>3.8556045609434819E-2</v>
      </c>
      <c r="AG115" s="921">
        <f t="shared" si="47"/>
        <v>-1</v>
      </c>
      <c r="AH115" s="176">
        <f t="shared" si="40"/>
        <v>5</v>
      </c>
      <c r="AI115" s="225">
        <f t="shared" si="41"/>
        <v>-0.96144395439056518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20">
        <v>51.448</v>
      </c>
      <c r="C116" s="390"/>
      <c r="D116" s="393">
        <f t="shared" si="24"/>
        <v>52.230291440192801</v>
      </c>
      <c r="E116" s="385">
        <f t="shared" si="45"/>
        <v>56.183642274191783</v>
      </c>
      <c r="F116" s="385">
        <f t="shared" si="25"/>
        <v>56.188646193151911</v>
      </c>
      <c r="G116" s="110">
        <f t="shared" si="46"/>
        <v>0.9845569449875845</v>
      </c>
      <c r="H116" s="414" t="b">
        <f>Wh_hp&gt;='2019'!Maxi_hp</f>
        <v>0</v>
      </c>
      <c r="I116" s="380">
        <f>IF(H116,Wh_hp,'2019'!Maxi_hp)</f>
        <v>56.893751444283453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1.4977734541048338E-2</v>
      </c>
      <c r="M116" s="959"/>
      <c r="N116" s="959"/>
      <c r="O116" s="48">
        <f>IF(t&lt;Tnet,'2019'!Resal+('2019'!Salim-'2019'!Resal)*(1-EXP(('2019'!Tnet-t)/('2019'!Tau_j))),Resal+(Salim-Resal)*(1-EXP((Tnet-t)/(Tau_j))))*Salcycl</f>
        <v>7.0364801461349366E-2</v>
      </c>
      <c r="P116" s="169">
        <f>(INDEX(Models!$BJ116:$BT116,,T116)*(1-R116)+INDEX(Models!$BJ116:$BT116,,T116+1)*R116-ERP_i)*Q116*Ramure*Pc/MaxiM</f>
        <v>9.1064457260752517E-5</v>
      </c>
      <c r="Q116" s="305">
        <f t="shared" si="27"/>
        <v>0.7</v>
      </c>
      <c r="R116" s="177">
        <f t="shared" si="28"/>
        <v>4.0067406478063172E-2</v>
      </c>
      <c r="S116" s="921">
        <f t="shared" si="29"/>
        <v>-1</v>
      </c>
      <c r="T116" s="176">
        <f t="shared" si="30"/>
        <v>5</v>
      </c>
      <c r="U116" s="251">
        <f t="shared" si="31"/>
        <v>-0.95993259352193683</v>
      </c>
      <c r="V116" s="383">
        <f t="shared" si="32"/>
        <v>52.254871499244722</v>
      </c>
      <c r="W116" s="402"/>
      <c r="X116" s="157">
        <f t="shared" si="33"/>
        <v>43932</v>
      </c>
      <c r="Y116" s="385">
        <f t="shared" si="34"/>
        <v>51.448</v>
      </c>
      <c r="Z116" s="385">
        <f t="shared" si="35"/>
        <v>52.230291440192801</v>
      </c>
      <c r="AA116" s="386">
        <f t="shared" si="36"/>
        <v>56.183642274191783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7.0364801461349366E-2</v>
      </c>
      <c r="AD116" s="231">
        <f>(INDEX(Models!$BJ116:$BT116,,AH116)*(1-AF116)+INDEX(Models!$BJ116:$BT116,,AH116+1)*AF116-ERP_i)*AE116*Ramure*Pc/MaxiM</f>
        <v>9.1064457260752517E-5</v>
      </c>
      <c r="AE116" s="305">
        <f t="shared" si="38"/>
        <v>0.7</v>
      </c>
      <c r="AF116" s="177">
        <f t="shared" si="39"/>
        <v>4.0067406478063172E-2</v>
      </c>
      <c r="AG116" s="921">
        <f t="shared" si="47"/>
        <v>-1</v>
      </c>
      <c r="AH116" s="176">
        <f t="shared" si="40"/>
        <v>5</v>
      </c>
      <c r="AI116" s="225">
        <f t="shared" si="41"/>
        <v>-0.95993259352193683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20">
        <v>40.603999999999999</v>
      </c>
      <c r="C117" s="390"/>
      <c r="D117" s="393">
        <f t="shared" si="24"/>
        <v>41.222306109362357</v>
      </c>
      <c r="E117" s="385">
        <f t="shared" si="45"/>
        <v>44.345540625485633</v>
      </c>
      <c r="F117" s="385">
        <f t="shared" si="25"/>
        <v>44.348456222261383</v>
      </c>
      <c r="G117" s="110">
        <f t="shared" si="46"/>
        <v>0.77515656044145709</v>
      </c>
      <c r="H117" s="414" t="b">
        <f>Wh_hp&gt;='2019'!Maxi_hp</f>
        <v>0</v>
      </c>
      <c r="I117" s="380">
        <f>IF(H117,Wh_hp,'2019'!Maxi_hp)</f>
        <v>58.336070770675065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1.4999309056654919E-2</v>
      </c>
      <c r="M117" s="959"/>
      <c r="N117" s="959"/>
      <c r="O117" s="48">
        <f>IF(t&lt;Tnet,'2019'!Resal+('2019'!Salim-'2019'!Resal)*(1-EXP(('2019'!Tnet-t)/('2019'!Tau_j))),Resal+(Salim-Resal)*(1-EXP((Tnet-t)/(Tau_j))))*Salcycl</f>
        <v>7.0429505922594102E-2</v>
      </c>
      <c r="P117" s="169">
        <f>(INDEX(Models!$BJ117:$BT117,,T117)*(1-R117)+INDEX(Models!$BJ117:$BT117,,T117+1)*R117-ERP_i)*Q117*Ramure*Pc/MaxiM</f>
        <v>9.6847457946092793E-5</v>
      </c>
      <c r="Q117" s="305">
        <f t="shared" si="27"/>
        <v>0.7</v>
      </c>
      <c r="R117" s="177">
        <f t="shared" si="28"/>
        <v>4.1631680410984639E-2</v>
      </c>
      <c r="S117" s="921">
        <f t="shared" si="29"/>
        <v>-1</v>
      </c>
      <c r="T117" s="176">
        <f t="shared" si="30"/>
        <v>5</v>
      </c>
      <c r="U117" s="251">
        <f t="shared" si="31"/>
        <v>-0.95836831958901536</v>
      </c>
      <c r="V117" s="383">
        <f t="shared" si="32"/>
        <v>52.380046844945653</v>
      </c>
      <c r="W117" s="402"/>
      <c r="X117" s="157">
        <f t="shared" si="33"/>
        <v>43933</v>
      </c>
      <c r="Y117" s="385">
        <f t="shared" si="34"/>
        <v>40.603999999999999</v>
      </c>
      <c r="Z117" s="385">
        <f t="shared" si="35"/>
        <v>41.222306109362357</v>
      </c>
      <c r="AA117" s="386">
        <f t="shared" si="36"/>
        <v>44.345540625485633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7.0429505922594102E-2</v>
      </c>
      <c r="AD117" s="231">
        <f>(INDEX(Models!$BJ117:$BT117,,AH117)*(1-AF117)+INDEX(Models!$BJ117:$BT117,,AH117+1)*AF117-ERP_i)*AE117*Ramure*Pc/MaxiM</f>
        <v>9.6847457946092793E-5</v>
      </c>
      <c r="AE117" s="305">
        <f t="shared" si="38"/>
        <v>0.7</v>
      </c>
      <c r="AF117" s="177">
        <f t="shared" si="39"/>
        <v>4.1631680410984639E-2</v>
      </c>
      <c r="AG117" s="921">
        <f t="shared" si="47"/>
        <v>-1</v>
      </c>
      <c r="AH117" s="176">
        <f t="shared" si="40"/>
        <v>5</v>
      </c>
      <c r="AI117" s="225">
        <f t="shared" si="41"/>
        <v>-0.95836831958901536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20">
        <v>16.279</v>
      </c>
      <c r="C118" s="390"/>
      <c r="D118" s="393">
        <f t="shared" si="24"/>
        <v>16.527253949535424</v>
      </c>
      <c r="E118" s="385">
        <f t="shared" si="45"/>
        <v>17.780706749741313</v>
      </c>
      <c r="F118" s="385">
        <f t="shared" si="25"/>
        <v>17.780733299096404</v>
      </c>
      <c r="G118" s="110">
        <f t="shared" si="46"/>
        <v>0.31003132122699106</v>
      </c>
      <c r="H118" s="414" t="b">
        <f>Wh_hp&gt;='2019'!Maxi_hp</f>
        <v>0</v>
      </c>
      <c r="I118" s="380">
        <f>IF(H118,Wh_hp,'2019'!Maxi_hp)</f>
        <v>27.807110867726973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1.5020883099724158E-2</v>
      </c>
      <c r="M118" s="959"/>
      <c r="N118" s="959"/>
      <c r="O118" s="48">
        <f>IF(t&lt;Tnet,'2019'!Resal+('2019'!Salim-'2019'!Resal)*(1-EXP(('2019'!Tnet-t)/('2019'!Tau_j))),Resal+(Salim-Resal)*(1-EXP((Tnet-t)/(Tau_j))))*Salcycl</f>
        <v>7.0495105613511327E-2</v>
      </c>
      <c r="P118" s="169">
        <f>(INDEX(Models!$BJ118:$BT118,,T118)*(1-R118)+INDEX(Models!$BJ118:$BT118,,T118+1)*R118-ERP_i)*Q118*Ramure*Pc/MaxiM</f>
        <v>1.0386569877160384E-4</v>
      </c>
      <c r="Q118" s="305">
        <f t="shared" si="27"/>
        <v>0.7</v>
      </c>
      <c r="R118" s="177">
        <f t="shared" si="28"/>
        <v>4.3250304290548214E-2</v>
      </c>
      <c r="S118" s="921">
        <f t="shared" si="29"/>
        <v>-1</v>
      </c>
      <c r="T118" s="176">
        <f t="shared" si="30"/>
        <v>5</v>
      </c>
      <c r="U118" s="251">
        <f t="shared" si="31"/>
        <v>-0.95674969570945179</v>
      </c>
      <c r="V118" s="383">
        <f t="shared" si="32"/>
        <v>52.502222712270118</v>
      </c>
      <c r="W118" s="402"/>
      <c r="X118" s="157">
        <f t="shared" si="33"/>
        <v>43934</v>
      </c>
      <c r="Y118" s="385">
        <f t="shared" si="34"/>
        <v>16.279</v>
      </c>
      <c r="Z118" s="385">
        <f t="shared" si="35"/>
        <v>16.527253949535424</v>
      </c>
      <c r="AA118" s="386">
        <f t="shared" si="36"/>
        <v>17.780706749741313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7.0495105613511327E-2</v>
      </c>
      <c r="AD118" s="231">
        <f>(INDEX(Models!$BJ118:$BT118,,AH118)*(1-AF118)+INDEX(Models!$BJ118:$BT118,,AH118+1)*AF118-ERP_i)*AE118*Ramure*Pc/MaxiM</f>
        <v>1.0386569877160384E-4</v>
      </c>
      <c r="AE118" s="305">
        <f t="shared" si="38"/>
        <v>0.7</v>
      </c>
      <c r="AF118" s="177">
        <f t="shared" si="39"/>
        <v>4.3250304290548214E-2</v>
      </c>
      <c r="AG118" s="921">
        <f t="shared" si="47"/>
        <v>-1</v>
      </c>
      <c r="AH118" s="176">
        <f t="shared" si="40"/>
        <v>5</v>
      </c>
      <c r="AI118" s="225">
        <f t="shared" si="41"/>
        <v>-0.95674969570945179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20">
        <v>49.320999999999998</v>
      </c>
      <c r="C119" s="390"/>
      <c r="D119" s="393">
        <f t="shared" si="24"/>
        <v>50.074239579166154</v>
      </c>
      <c r="E119" s="385">
        <f t="shared" si="45"/>
        <v>53.875803349491797</v>
      </c>
      <c r="F119" s="385">
        <f t="shared" si="25"/>
        <v>53.881303727994826</v>
      </c>
      <c r="G119" s="110">
        <f t="shared" si="46"/>
        <v>0.93726211518257463</v>
      </c>
      <c r="H119" s="414" t="b">
        <f>Wh_hp&gt;='2019'!Maxi_hp</f>
        <v>1</v>
      </c>
      <c r="I119" s="380">
        <f>IF(H119,Wh_hp,'2019'!Maxi_hp)</f>
        <v>53.881303727994826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1.5042456670266602E-2</v>
      </c>
      <c r="M119" s="959"/>
      <c r="N119" s="959"/>
      <c r="O119" s="48">
        <f>IF(t&lt;Tnet,'2019'!Resal+('2019'!Salim-'2019'!Resal)*(1-EXP(('2019'!Tnet-t)/('2019'!Tau_j))),Resal+(Salim-Resal)*(1-EXP((Tnet-t)/(Tau_j))))*Salcycl</f>
        <v>7.0561616421103437E-2</v>
      </c>
      <c r="P119" s="169">
        <f>(INDEX(Models!$BJ119:$BT119,,T119)*(1-R119)+INDEX(Models!$BJ119:$BT119,,T119+1)*R119-ERP_i)*Q119*Ramure*Pc/MaxiM</f>
        <v>1.1213159528381337E-4</v>
      </c>
      <c r="Q119" s="305">
        <f t="shared" si="27"/>
        <v>0.7</v>
      </c>
      <c r="R119" s="177">
        <f t="shared" si="28"/>
        <v>4.4924721600079764E-2</v>
      </c>
      <c r="S119" s="921">
        <f t="shared" si="29"/>
        <v>-1</v>
      </c>
      <c r="T119" s="176">
        <f t="shared" si="30"/>
        <v>5</v>
      </c>
      <c r="U119" s="251">
        <f t="shared" si="31"/>
        <v>-0.95507527839992024</v>
      </c>
      <c r="V119" s="383">
        <f t="shared" si="32"/>
        <v>52.621890457260307</v>
      </c>
      <c r="W119" s="402"/>
      <c r="X119" s="157">
        <f t="shared" si="33"/>
        <v>43935</v>
      </c>
      <c r="Y119" s="385">
        <f t="shared" si="34"/>
        <v>49.320999999999998</v>
      </c>
      <c r="Z119" s="385">
        <f t="shared" si="35"/>
        <v>50.074239579166154</v>
      </c>
      <c r="AA119" s="386">
        <f t="shared" si="36"/>
        <v>53.875803349491797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7.0561616421103437E-2</v>
      </c>
      <c r="AD119" s="231">
        <f>(INDEX(Models!$BJ119:$BT119,,AH119)*(1-AF119)+INDEX(Models!$BJ119:$BT119,,AH119+1)*AF119-ERP_i)*AE119*Ramure*Pc/MaxiM</f>
        <v>1.1213159528381337E-4</v>
      </c>
      <c r="AE119" s="305">
        <f t="shared" si="38"/>
        <v>0.7</v>
      </c>
      <c r="AF119" s="177">
        <f t="shared" si="39"/>
        <v>4.4924721600079764E-2</v>
      </c>
      <c r="AG119" s="921">
        <f t="shared" si="47"/>
        <v>-1</v>
      </c>
      <c r="AH119" s="176">
        <f t="shared" si="40"/>
        <v>5</v>
      </c>
      <c r="AI119" s="225">
        <f t="shared" si="41"/>
        <v>-0.95507527839992024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20">
        <v>48.87</v>
      </c>
      <c r="C120" s="390"/>
      <c r="D120" s="393">
        <f t="shared" si="24"/>
        <v>49.61743857167005</v>
      </c>
      <c r="E120" s="385">
        <f t="shared" si="45"/>
        <v>53.388196326012519</v>
      </c>
      <c r="F120" s="385">
        <f t="shared" si="25"/>
        <v>53.394011325702145</v>
      </c>
      <c r="G120" s="110">
        <f t="shared" si="46"/>
        <v>0.92661740336785225</v>
      </c>
      <c r="H120" s="414" t="b">
        <f>Wh_hp&gt;='2019'!Maxi_hp</f>
        <v>1</v>
      </c>
      <c r="I120" s="380">
        <f>IF(H120,Wh_hp,'2019'!Maxi_hp)</f>
        <v>53.394011325702145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1.5064029768292353E-2</v>
      </c>
      <c r="M120" s="959"/>
      <c r="N120" s="959"/>
      <c r="O120" s="48">
        <f>IF(t&lt;Tnet,'2019'!Resal+('2019'!Salim-'2019'!Resal)*(1-EXP(('2019'!Tnet-t)/('2019'!Tau_j))),Resal+(Salim-Resal)*(1-EXP((Tnet-t)/(Tau_j))))*Salcycl</f>
        <v>7.0629053120965513E-2</v>
      </c>
      <c r="P120" s="169">
        <f>(INDEX(Models!$BJ120:$BT120,,T120)*(1-R120)+INDEX(Models!$BJ120:$BT120,,T120+1)*R120-ERP_i)*Q120*Ramure*Pc/MaxiM</f>
        <v>1.2165908441348747E-4</v>
      </c>
      <c r="Q120" s="305">
        <f t="shared" si="27"/>
        <v>0.7</v>
      </c>
      <c r="R120" s="177">
        <f t="shared" si="28"/>
        <v>4.6656379573722151E-2</v>
      </c>
      <c r="S120" s="921">
        <f t="shared" si="29"/>
        <v>-1</v>
      </c>
      <c r="T120" s="176">
        <f t="shared" si="30"/>
        <v>5</v>
      </c>
      <c r="U120" s="251">
        <f t="shared" si="31"/>
        <v>-0.95334362042627785</v>
      </c>
      <c r="V120" s="383">
        <f t="shared" si="32"/>
        <v>52.739541235362545</v>
      </c>
      <c r="W120" s="402"/>
      <c r="X120" s="157">
        <f t="shared" si="33"/>
        <v>43936</v>
      </c>
      <c r="Y120" s="385">
        <f t="shared" si="34"/>
        <v>48.87</v>
      </c>
      <c r="Z120" s="385">
        <f t="shared" si="35"/>
        <v>49.61743857167005</v>
      </c>
      <c r="AA120" s="386">
        <f t="shared" si="36"/>
        <v>53.388196326012519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7.0629053120965513E-2</v>
      </c>
      <c r="AD120" s="231">
        <f>(INDEX(Models!$BJ120:$BT120,,AH120)*(1-AF120)+INDEX(Models!$BJ120:$BT120,,AH120+1)*AF120-ERP_i)*AE120*Ramure*Pc/MaxiM</f>
        <v>1.2165908441348747E-4</v>
      </c>
      <c r="AE120" s="305">
        <f t="shared" si="38"/>
        <v>0.7</v>
      </c>
      <c r="AF120" s="177">
        <f t="shared" si="39"/>
        <v>4.6656379573722151E-2</v>
      </c>
      <c r="AG120" s="921">
        <f t="shared" si="47"/>
        <v>-1</v>
      </c>
      <c r="AH120" s="176">
        <f t="shared" si="40"/>
        <v>5</v>
      </c>
      <c r="AI120" s="225">
        <f t="shared" si="41"/>
        <v>-0.95334362042627785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20">
        <v>41.332000000000001</v>
      </c>
      <c r="C121" s="390"/>
      <c r="D121" s="393">
        <f t="shared" si="24"/>
        <v>41.965068335336028</v>
      </c>
      <c r="E121" s="385">
        <f t="shared" si="45"/>
        <v>45.157594156713266</v>
      </c>
      <c r="F121" s="385">
        <f t="shared" si="25"/>
        <v>45.161713409265793</v>
      </c>
      <c r="G121" s="110">
        <f t="shared" si="46"/>
        <v>0.78196141045710787</v>
      </c>
      <c r="H121" s="414" t="b">
        <f>Wh_hp&gt;='2019'!Maxi_hp</f>
        <v>1</v>
      </c>
      <c r="I121" s="380">
        <f>IF(H121,Wh_hp,'2019'!Maxi_hp)</f>
        <v>45.161713409265793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1.5085602393811959E-2</v>
      </c>
      <c r="M121" s="959"/>
      <c r="N121" s="959"/>
      <c r="O121" s="48">
        <f>IF(t&lt;Tnet,'2019'!Resal+('2019'!Salim-'2019'!Resal)*(1-EXP(('2019'!Tnet-t)/('2019'!Tau_j))),Resal+(Salim-Resal)*(1-EXP((Tnet-t)/(Tau_j))))*Salcycl</f>
        <v>7.0697429324910743E-2</v>
      </c>
      <c r="P121" s="169">
        <f>(INDEX(Models!$BJ121:$BT121,,T121)*(1-R121)+INDEX(Models!$BJ121:$BT121,,T121+1)*R121-ERP_i)*Q121*Ramure*Pc/MaxiM</f>
        <v>1.324660878247414E-4</v>
      </c>
      <c r="Q121" s="305">
        <f t="shared" si="27"/>
        <v>0.7</v>
      </c>
      <c r="R121" s="177">
        <f t="shared" si="28"/>
        <v>4.8446726108398952E-2</v>
      </c>
      <c r="S121" s="921">
        <f t="shared" si="29"/>
        <v>-1</v>
      </c>
      <c r="T121" s="176">
        <f t="shared" si="30"/>
        <v>5</v>
      </c>
      <c r="U121" s="251">
        <f t="shared" si="31"/>
        <v>-0.95155327389160105</v>
      </c>
      <c r="V121" s="383">
        <f t="shared" si="32"/>
        <v>52.854647484305943</v>
      </c>
      <c r="W121" s="402"/>
      <c r="X121" s="157">
        <f t="shared" si="33"/>
        <v>43937</v>
      </c>
      <c r="Y121" s="385">
        <f t="shared" si="34"/>
        <v>41.332000000000001</v>
      </c>
      <c r="Z121" s="385">
        <f t="shared" si="35"/>
        <v>41.965068335336028</v>
      </c>
      <c r="AA121" s="386">
        <f t="shared" si="36"/>
        <v>45.157594156713266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7.0697429324910743E-2</v>
      </c>
      <c r="AD121" s="231">
        <f>(INDEX(Models!$BJ121:$BT121,,AH121)*(1-AF121)+INDEX(Models!$BJ121:$BT121,,AH121+1)*AF121-ERP_i)*AE121*Ramure*Pc/MaxiM</f>
        <v>1.324660878247414E-4</v>
      </c>
      <c r="AE121" s="305">
        <f t="shared" si="38"/>
        <v>0.7</v>
      </c>
      <c r="AF121" s="177">
        <f t="shared" si="39"/>
        <v>4.8446726108398952E-2</v>
      </c>
      <c r="AG121" s="921">
        <f t="shared" si="47"/>
        <v>-1</v>
      </c>
      <c r="AH121" s="176">
        <f t="shared" si="40"/>
        <v>5</v>
      </c>
      <c r="AI121" s="225">
        <f t="shared" si="41"/>
        <v>-0.95155327389160105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20">
        <v>29.709</v>
      </c>
      <c r="C122" s="390"/>
      <c r="D122" s="393">
        <f t="shared" si="24"/>
        <v>30.164703440021949</v>
      </c>
      <c r="E122" s="385">
        <f t="shared" si="45"/>
        <v>32.461928887181621</v>
      </c>
      <c r="F122" s="385">
        <f t="shared" si="25"/>
        <v>32.463687935602941</v>
      </c>
      <c r="G122" s="110">
        <f t="shared" si="46"/>
        <v>0.56085324911914658</v>
      </c>
      <c r="H122" s="414" t="b">
        <f>Wh_hp&gt;='2019'!Maxi_hp</f>
        <v>1</v>
      </c>
      <c r="I122" s="380">
        <f>IF(H122,Wh_hp,'2019'!Maxi_hp)</f>
        <v>32.463687935602941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1.5107174546835744E-2</v>
      </c>
      <c r="M122" s="959"/>
      <c r="N122" s="959"/>
      <c r="O122" s="48">
        <f>IF(t&lt;Tnet,'2019'!Resal+('2019'!Salim-'2019'!Resal)*(1-EXP(('2019'!Tnet-t)/('2019'!Tau_j))),Resal+(Salim-Resal)*(1-EXP((Tnet-t)/(Tau_j))))*Salcycl</f>
        <v>7.0766757426629273E-2</v>
      </c>
      <c r="P122" s="169">
        <f>(INDEX(Models!$BJ122:$BT122,,T122)*(1-R122)+INDEX(Models!$BJ122:$BT122,,T122+1)*R122-ERP_i)*Q122*Ramure*Pc/MaxiM</f>
        <v>1.4537729135888415E-4</v>
      </c>
      <c r="Q122" s="305">
        <f t="shared" si="27"/>
        <v>0.7</v>
      </c>
      <c r="R122" s="177">
        <f t="shared" si="28"/>
        <v>5.0297206431121788E-2</v>
      </c>
      <c r="S122" s="921">
        <f t="shared" si="29"/>
        <v>-1</v>
      </c>
      <c r="T122" s="176">
        <f t="shared" si="30"/>
        <v>5</v>
      </c>
      <c r="U122" s="251">
        <f t="shared" si="31"/>
        <v>-0.94970279356887821</v>
      </c>
      <c r="V122" s="383">
        <f t="shared" si="32"/>
        <v>52.966245040495103</v>
      </c>
      <c r="W122" s="402"/>
      <c r="X122" s="157">
        <f t="shared" si="33"/>
        <v>43938</v>
      </c>
      <c r="Y122" s="385">
        <f t="shared" si="34"/>
        <v>29.709</v>
      </c>
      <c r="Z122" s="385">
        <f t="shared" si="35"/>
        <v>30.164703440021949</v>
      </c>
      <c r="AA122" s="386">
        <f t="shared" si="36"/>
        <v>32.461928887181621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7.0766757426629273E-2</v>
      </c>
      <c r="AD122" s="231">
        <f>(INDEX(Models!$BJ122:$BT122,,AH122)*(1-AF122)+INDEX(Models!$BJ122:$BT122,,AH122+1)*AF122-ERP_i)*AE122*Ramure*Pc/MaxiM</f>
        <v>1.4537729135888415E-4</v>
      </c>
      <c r="AE122" s="305">
        <f t="shared" si="38"/>
        <v>0.7</v>
      </c>
      <c r="AF122" s="177">
        <f t="shared" si="39"/>
        <v>5.0297206431121788E-2</v>
      </c>
      <c r="AG122" s="921">
        <f t="shared" si="47"/>
        <v>-1</v>
      </c>
      <c r="AH122" s="176">
        <f t="shared" si="40"/>
        <v>5</v>
      </c>
      <c r="AI122" s="225">
        <f t="shared" si="41"/>
        <v>-0.94970279356887821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20">
        <v>40.918999999999997</v>
      </c>
      <c r="C123" s="390"/>
      <c r="D123" s="393">
        <f t="shared" si="24"/>
        <v>41.547562529880508</v>
      </c>
      <c r="E123" s="385">
        <f t="shared" si="45"/>
        <v>44.715044293179645</v>
      </c>
      <c r="F123" s="385">
        <f t="shared" si="25"/>
        <v>44.719859491040559</v>
      </c>
      <c r="G123" s="110">
        <f t="shared" si="46"/>
        <v>0.77093608190913676</v>
      </c>
      <c r="H123" s="414" t="b">
        <f>Wh_hp&gt;='2019'!Maxi_hp</f>
        <v>0</v>
      </c>
      <c r="I123" s="380">
        <f>IF(H123,Wh_hp,'2019'!Maxi_hp)</f>
        <v>52.563032573540127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1.5128746227373924E-2</v>
      </c>
      <c r="M123" s="959"/>
      <c r="N123" s="959"/>
      <c r="O123" s="48">
        <f>IF(t&lt;Tnet,'2019'!Resal+('2019'!Salim-'2019'!Resal)*(1-EXP(('2019'!Tnet-t)/('2019'!Tau_j))),Resal+(Salim-Resal)*(1-EXP((Tnet-t)/(Tau_j))))*Salcycl</f>
        <v>7.0837048545253731E-2</v>
      </c>
      <c r="P123" s="169">
        <f>(INDEX(Models!$BJ123:$BT123,,T123)*(1-R123)+INDEX(Models!$BJ123:$BT123,,T123+1)*R123-ERP_i)*Q123*Ramure*Pc/MaxiM</f>
        <v>1.600341072225668E-4</v>
      </c>
      <c r="Q123" s="305">
        <f t="shared" si="27"/>
        <v>0.7</v>
      </c>
      <c r="R123" s="177">
        <f t="shared" si="28"/>
        <v>5.2209259515758721E-2</v>
      </c>
      <c r="S123" s="921">
        <f t="shared" si="29"/>
        <v>-1</v>
      </c>
      <c r="T123" s="176">
        <f t="shared" si="30"/>
        <v>5</v>
      </c>
      <c r="U123" s="251">
        <f t="shared" si="31"/>
        <v>-0.94779074048424128</v>
      </c>
      <c r="V123" s="383">
        <f t="shared" si="32"/>
        <v>53.074253800320534</v>
      </c>
      <c r="W123" s="402"/>
      <c r="X123" s="157">
        <f t="shared" si="33"/>
        <v>43939</v>
      </c>
      <c r="Y123" s="385">
        <f t="shared" si="34"/>
        <v>40.918999999999997</v>
      </c>
      <c r="Z123" s="385">
        <f t="shared" si="35"/>
        <v>41.547562529880508</v>
      </c>
      <c r="AA123" s="386">
        <f t="shared" si="36"/>
        <v>44.715044293179645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7.0837048545253731E-2</v>
      </c>
      <c r="AD123" s="231">
        <f>(INDEX(Models!$BJ123:$BT123,,AH123)*(1-AF123)+INDEX(Models!$BJ123:$BT123,,AH123+1)*AF123-ERP_i)*AE123*Ramure*Pc/MaxiM</f>
        <v>1.600341072225668E-4</v>
      </c>
      <c r="AE123" s="305">
        <f t="shared" si="38"/>
        <v>0.7</v>
      </c>
      <c r="AF123" s="177">
        <f t="shared" si="39"/>
        <v>5.2209259515758721E-2</v>
      </c>
      <c r="AG123" s="921">
        <f t="shared" si="47"/>
        <v>-1</v>
      </c>
      <c r="AH123" s="176">
        <f t="shared" si="40"/>
        <v>5</v>
      </c>
      <c r="AI123" s="225">
        <f t="shared" si="41"/>
        <v>-0.94779074048424128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20">
        <v>16.091999999999999</v>
      </c>
      <c r="C124" s="390"/>
      <c r="D124" s="393">
        <f t="shared" si="24"/>
        <v>16.33954935954916</v>
      </c>
      <c r="E124" s="385">
        <f t="shared" si="45"/>
        <v>17.586584379988505</v>
      </c>
      <c r="F124" s="385">
        <f t="shared" si="25"/>
        <v>17.586595920675144</v>
      </c>
      <c r="G124" s="110">
        <f t="shared" si="46"/>
        <v>0.30254987777675169</v>
      </c>
      <c r="H124" s="414" t="b">
        <f>Wh_hp&gt;='2019'!Maxi_hp</f>
        <v>0</v>
      </c>
      <c r="I124" s="380">
        <f>IF(H124,Wh_hp,'2019'!Maxi_hp)</f>
        <v>54.638540839726012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1.5150317435437044E-2</v>
      </c>
      <c r="M124" s="959"/>
      <c r="N124" s="959"/>
      <c r="O124" s="48">
        <f>IF(t&lt;Tnet,'2019'!Resal+('2019'!Salim-'2019'!Resal)*(1-EXP(('2019'!Tnet-t)/('2019'!Tau_j))),Resal+(Salim-Resal)*(1-EXP((Tnet-t)/(Tau_j))))*Salcycl</f>
        <v>7.0908312466764392E-2</v>
      </c>
      <c r="P124" s="169">
        <f>(INDEX(Models!$BJ124:$BT124,,T124)*(1-R124)+INDEX(Models!$BJ124:$BT124,,T124+1)*R124-ERP_i)*Q124*Ramure*Pc/MaxiM</f>
        <v>1.7646584675163325E-4</v>
      </c>
      <c r="Q124" s="305">
        <f t="shared" si="27"/>
        <v>0.7</v>
      </c>
      <c r="R124" s="177">
        <f t="shared" si="28"/>
        <v>5.4184314244427934E-2</v>
      </c>
      <c r="S124" s="921">
        <f t="shared" si="29"/>
        <v>-1</v>
      </c>
      <c r="T124" s="176">
        <f t="shared" si="30"/>
        <v>5</v>
      </c>
      <c r="U124" s="251">
        <f t="shared" si="31"/>
        <v>-0.94581568575557207</v>
      </c>
      <c r="V124" s="383">
        <f t="shared" si="32"/>
        <v>53.178573357453359</v>
      </c>
      <c r="W124" s="402"/>
      <c r="X124" s="157">
        <f t="shared" si="33"/>
        <v>43940</v>
      </c>
      <c r="Y124" s="385">
        <f t="shared" si="34"/>
        <v>16.091999999999999</v>
      </c>
      <c r="Z124" s="385">
        <f t="shared" si="35"/>
        <v>16.33954935954916</v>
      </c>
      <c r="AA124" s="386">
        <f t="shared" si="36"/>
        <v>17.586584379988505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7.0908312466764392E-2</v>
      </c>
      <c r="AD124" s="231">
        <f>(INDEX(Models!$BJ124:$BT124,,AH124)*(1-AF124)+INDEX(Models!$BJ124:$BT124,,AH124+1)*AF124-ERP_i)*AE124*Ramure*Pc/MaxiM</f>
        <v>1.7646584675163325E-4</v>
      </c>
      <c r="AE124" s="305">
        <f t="shared" si="38"/>
        <v>0.7</v>
      </c>
      <c r="AF124" s="177">
        <f t="shared" si="39"/>
        <v>5.4184314244427934E-2</v>
      </c>
      <c r="AG124" s="921">
        <f t="shared" si="47"/>
        <v>-1</v>
      </c>
      <c r="AH124" s="176">
        <f t="shared" si="40"/>
        <v>5</v>
      </c>
      <c r="AI124" s="225">
        <f t="shared" si="41"/>
        <v>-0.94581568575557207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20">
        <v>11.981</v>
      </c>
      <c r="C125" s="390"/>
      <c r="D125" s="393">
        <f t="shared" si="24"/>
        <v>12.165574739483819</v>
      </c>
      <c r="E125" s="385">
        <f t="shared" si="45"/>
        <v>13.095070118054874</v>
      </c>
      <c r="F125" s="385">
        <f t="shared" si="25"/>
        <v>13.095070118054874</v>
      </c>
      <c r="G125" s="110">
        <f t="shared" si="46"/>
        <v>0.2248286194089773</v>
      </c>
      <c r="H125" s="414" t="b">
        <f>Wh_hp&gt;='2019'!Maxi_hp</f>
        <v>0</v>
      </c>
      <c r="I125" s="380">
        <f>IF(H125,Wh_hp,'2019'!Maxi_hp)</f>
        <v>19.40004708078034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1.5171888171035208E-2</v>
      </c>
      <c r="M125" s="959"/>
      <c r="N125" s="959"/>
      <c r="O125" s="48">
        <f>IF(t&lt;Tnet,'2019'!Resal+('2019'!Salim-'2019'!Resal)*(1-EXP(('2019'!Tnet-t)/('2019'!Tau_j))),Resal+(Salim-Resal)*(1-EXP((Tnet-t)/(Tau_j))))*Salcycl</f>
        <v>7.0980557583232004E-2</v>
      </c>
      <c r="P125" s="169">
        <f>(INDEX(Models!$BJ125:$BT125,,T125)*(1-R125)+INDEX(Models!$BJ125:$BT125,,T125+1)*R125-ERP_i)*Q125*Ramure*Pc/MaxiM</f>
        <v>1.9470527456476653E-4</v>
      </c>
      <c r="Q125" s="305">
        <f t="shared" si="27"/>
        <v>0.7</v>
      </c>
      <c r="R125" s="177">
        <f t="shared" si="28"/>
        <v>5.622378530990102E-2</v>
      </c>
      <c r="S125" s="921">
        <f t="shared" si="29"/>
        <v>-1</v>
      </c>
      <c r="T125" s="176">
        <f t="shared" si="30"/>
        <v>5</v>
      </c>
      <c r="U125" s="251">
        <f t="shared" si="31"/>
        <v>-0.94377621469009898</v>
      </c>
      <c r="V125" s="383">
        <f t="shared" si="32"/>
        <v>53.27910329029551</v>
      </c>
      <c r="W125" s="402"/>
      <c r="X125" s="157">
        <f t="shared" si="33"/>
        <v>43941</v>
      </c>
      <c r="Y125" s="385">
        <f t="shared" si="34"/>
        <v>11.981</v>
      </c>
      <c r="Z125" s="385">
        <f t="shared" si="35"/>
        <v>12.165574739483819</v>
      </c>
      <c r="AA125" s="386">
        <f t="shared" si="36"/>
        <v>13.095070118054874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7.0980557583232004E-2</v>
      </c>
      <c r="AD125" s="231">
        <f>(INDEX(Models!$BJ125:$BT125,,AH125)*(1-AF125)+INDEX(Models!$BJ125:$BT125,,AH125+1)*AF125-ERP_i)*AE125*Ramure*Pc/MaxiM</f>
        <v>1.9470527456476653E-4</v>
      </c>
      <c r="AE125" s="305">
        <f t="shared" si="38"/>
        <v>0.7</v>
      </c>
      <c r="AF125" s="177">
        <f t="shared" si="39"/>
        <v>5.622378530990102E-2</v>
      </c>
      <c r="AG125" s="921">
        <f t="shared" si="47"/>
        <v>-1</v>
      </c>
      <c r="AH125" s="176">
        <f t="shared" si="40"/>
        <v>5</v>
      </c>
      <c r="AI125" s="225">
        <f t="shared" si="41"/>
        <v>-0.94377621469009898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20">
        <v>16.161999999999999</v>
      </c>
      <c r="C126" s="390"/>
      <c r="D126" s="393">
        <f t="shared" si="24"/>
        <v>16.411345089465765</v>
      </c>
      <c r="E126" s="385">
        <f t="shared" si="45"/>
        <v>17.666625825545328</v>
      </c>
      <c r="F126" s="385">
        <f t="shared" si="25"/>
        <v>17.66664098612365</v>
      </c>
      <c r="G126" s="110">
        <f t="shared" si="46"/>
        <v>0.30273194326349223</v>
      </c>
      <c r="H126" s="414" t="b">
        <f>Wh_hp&gt;='2019'!Maxi_hp</f>
        <v>0</v>
      </c>
      <c r="I126" s="380">
        <f>IF(H126,Wh_hp,'2019'!Maxi_hp)</f>
        <v>33.768493292618629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1.5193458434179075E-2</v>
      </c>
      <c r="M126" s="959"/>
      <c r="N126" s="959"/>
      <c r="O126" s="48">
        <f>IF(t&lt;Tnet,'2019'!Resal+('2019'!Salim-'2019'!Resal)*(1-EXP(('2019'!Tnet-t)/('2019'!Tau_j))),Resal+(Salim-Resal)*(1-EXP((Tnet-t)/(Tau_j))))*Salcycl</f>
        <v>7.105379082996531E-2</v>
      </c>
      <c r="P126" s="169">
        <f>(INDEX(Models!$BJ126:$BT126,,T126)*(1-R126)+INDEX(Models!$BJ126:$BT126,,T126+1)*R126-ERP_i)*Q126*Ramure*Pc/MaxiM</f>
        <v>2.1478835426887898E-4</v>
      </c>
      <c r="Q126" s="305">
        <f t="shared" si="27"/>
        <v>0.7</v>
      </c>
      <c r="R126" s="177">
        <f t="shared" si="28"/>
        <v>5.8329068856783461E-2</v>
      </c>
      <c r="S126" s="921">
        <f t="shared" si="29"/>
        <v>-1</v>
      </c>
      <c r="T126" s="176">
        <f t="shared" si="30"/>
        <v>5</v>
      </c>
      <c r="U126" s="251">
        <f t="shared" si="31"/>
        <v>-0.94167093114321654</v>
      </c>
      <c r="V126" s="383">
        <f t="shared" si="32"/>
        <v>53.375743183341626</v>
      </c>
      <c r="W126" s="402"/>
      <c r="X126" s="157">
        <f t="shared" si="33"/>
        <v>43942</v>
      </c>
      <c r="Y126" s="385">
        <f t="shared" si="34"/>
        <v>16.161999999999999</v>
      </c>
      <c r="Z126" s="385">
        <f t="shared" si="35"/>
        <v>16.411345089465765</v>
      </c>
      <c r="AA126" s="386">
        <f t="shared" si="36"/>
        <v>17.666625825545328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7.105379082996531E-2</v>
      </c>
      <c r="AD126" s="231">
        <f>(INDEX(Models!$BJ126:$BT126,,AH126)*(1-AF126)+INDEX(Models!$BJ126:$BT126,,AH126+1)*AF126-ERP_i)*AE126*Ramure*Pc/MaxiM</f>
        <v>2.1478835426887898E-4</v>
      </c>
      <c r="AE126" s="305">
        <f t="shared" si="38"/>
        <v>0.7</v>
      </c>
      <c r="AF126" s="177">
        <f t="shared" si="39"/>
        <v>5.8329068856783461E-2</v>
      </c>
      <c r="AG126" s="921">
        <f t="shared" si="47"/>
        <v>-1</v>
      </c>
      <c r="AH126" s="176">
        <f t="shared" si="40"/>
        <v>5</v>
      </c>
      <c r="AI126" s="225">
        <f t="shared" si="41"/>
        <v>-0.94167093114321654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20">
        <v>8.4570000000000007</v>
      </c>
      <c r="C127" s="390"/>
      <c r="D127" s="393">
        <f t="shared" si="24"/>
        <v>8.5876615122952789</v>
      </c>
      <c r="E127" s="385">
        <f t="shared" si="45"/>
        <v>9.2452584158024127</v>
      </c>
      <c r="F127" s="385">
        <f t="shared" si="25"/>
        <v>9.2452584158024127</v>
      </c>
      <c r="G127" s="110">
        <f t="shared" si="46"/>
        <v>0.15813076387107247</v>
      </c>
      <c r="H127" s="414" t="b">
        <f>Wh_hp&gt;='2019'!Maxi_hp</f>
        <v>0</v>
      </c>
      <c r="I127" s="380">
        <f>IF(H127,Wh_hp,'2019'!Maxi_hp)</f>
        <v>38.699906006079381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1.5215028224878746E-2</v>
      </c>
      <c r="M127" s="959"/>
      <c r="N127" s="959"/>
      <c r="O127" s="48">
        <f>IF(t&lt;Tnet,'2019'!Resal+('2019'!Salim-'2019'!Resal)*(1-EXP(('2019'!Tnet-t)/('2019'!Tau_j))),Resal+(Salim-Resal)*(1-EXP((Tnet-t)/(Tau_j))))*Salcycl</f>
        <v>7.1128017620701506E-2</v>
      </c>
      <c r="P127" s="169">
        <f>(INDEX(Models!$BJ127:$BT127,,T127)*(1-R127)+INDEX(Models!$BJ127:$BT127,,T127+1)*R127-ERP_i)*Q127*Ramure*Pc/MaxiM</f>
        <v>2.3675368018861791E-4</v>
      </c>
      <c r="Q127" s="305">
        <f t="shared" si="27"/>
        <v>0.7</v>
      </c>
      <c r="R127" s="177">
        <f t="shared" si="28"/>
        <v>6.0501537860816801E-2</v>
      </c>
      <c r="S127" s="921">
        <f t="shared" si="29"/>
        <v>-1</v>
      </c>
      <c r="T127" s="176">
        <f t="shared" si="30"/>
        <v>5</v>
      </c>
      <c r="U127" s="251">
        <f t="shared" si="31"/>
        <v>-0.9394984621391832</v>
      </c>
      <c r="V127" s="383">
        <f t="shared" si="32"/>
        <v>53.468392659003364</v>
      </c>
      <c r="W127" s="402"/>
      <c r="X127" s="157">
        <f t="shared" si="33"/>
        <v>43943</v>
      </c>
      <c r="Y127" s="385">
        <f t="shared" si="34"/>
        <v>8.4570000000000007</v>
      </c>
      <c r="Z127" s="385">
        <f t="shared" si="35"/>
        <v>8.5876615122952789</v>
      </c>
      <c r="AA127" s="386">
        <f t="shared" si="36"/>
        <v>9.2452584158024127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7.1128017620701506E-2</v>
      </c>
      <c r="AD127" s="231">
        <f>(INDEX(Models!$BJ127:$BT127,,AH127)*(1-AF127)+INDEX(Models!$BJ127:$BT127,,AH127+1)*AF127-ERP_i)*AE127*Ramure*Pc/MaxiM</f>
        <v>2.3675368018861791E-4</v>
      </c>
      <c r="AE127" s="305">
        <f t="shared" si="38"/>
        <v>0.7</v>
      </c>
      <c r="AF127" s="177">
        <f t="shared" si="39"/>
        <v>6.0501537860816801E-2</v>
      </c>
      <c r="AG127" s="921">
        <f t="shared" si="47"/>
        <v>-1</v>
      </c>
      <c r="AH127" s="176">
        <f t="shared" si="40"/>
        <v>5</v>
      </c>
      <c r="AI127" s="225">
        <f t="shared" si="41"/>
        <v>-0.9394984621391832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20">
        <v>14.967000000000001</v>
      </c>
      <c r="C128" s="390"/>
      <c r="D128" s="393">
        <f t="shared" si="24"/>
        <v>15.198574563858994</v>
      </c>
      <c r="E128" s="385">
        <f t="shared" si="45"/>
        <v>16.363724818552992</v>
      </c>
      <c r="F128" s="385">
        <f t="shared" si="25"/>
        <v>16.363724818552992</v>
      </c>
      <c r="G128" s="110">
        <f t="shared" si="46"/>
        <v>0.27938668230438596</v>
      </c>
      <c r="H128" s="414" t="b">
        <f>Wh_hp&gt;='2019'!Maxi_hp</f>
        <v>0</v>
      </c>
      <c r="I128" s="380">
        <f>IF(H128,Wh_hp,'2019'!Maxi_hp)</f>
        <v>53.112907470199339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1.5236597543144548E-2</v>
      </c>
      <c r="M128" s="959"/>
      <c r="N128" s="959"/>
      <c r="O128" s="48">
        <f>IF(t&lt;Tnet,'2019'!Resal+('2019'!Salim-'2019'!Resal)*(1-EXP(('2019'!Tnet-t)/('2019'!Tau_j))),Resal+(Salim-Resal)*(1-EXP((Tnet-t)/(Tau_j))))*Salcycl</f>
        <v>7.1203241781050058E-2</v>
      </c>
      <c r="P128" s="169">
        <f>(INDEX(Models!$BJ128:$BT128,,T128)*(1-R128)+INDEX(Models!$BJ128:$BT128,,T128+1)*R128-ERP_i)*Q128*Ramure*Pc/MaxiM</f>
        <v>2.610891355901874E-4</v>
      </c>
      <c r="Q128" s="305">
        <f t="shared" si="27"/>
        <v>0.7</v>
      </c>
      <c r="R128" s="177">
        <f t="shared" si="28"/>
        <v>6.2742537247398311E-2</v>
      </c>
      <c r="S128" s="921">
        <f t="shared" si="29"/>
        <v>-1</v>
      </c>
      <c r="T128" s="176">
        <f t="shared" si="30"/>
        <v>5</v>
      </c>
      <c r="U128" s="251">
        <f t="shared" si="31"/>
        <v>-0.93725746275260169</v>
      </c>
      <c r="V128" s="383">
        <f t="shared" si="32"/>
        <v>53.556927465159717</v>
      </c>
      <c r="W128" s="402"/>
      <c r="X128" s="157">
        <f t="shared" si="33"/>
        <v>43944</v>
      </c>
      <c r="Y128" s="385">
        <f t="shared" si="34"/>
        <v>14.967000000000001</v>
      </c>
      <c r="Z128" s="385">
        <f t="shared" si="35"/>
        <v>15.198574563858994</v>
      </c>
      <c r="AA128" s="386">
        <f t="shared" si="36"/>
        <v>16.363724818552992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7.1203241781050058E-2</v>
      </c>
      <c r="AD128" s="231">
        <f>(INDEX(Models!$BJ128:$BT128,,AH128)*(1-AF128)+INDEX(Models!$BJ128:$BT128,,AH128+1)*AF128-ERP_i)*AE128*Ramure*Pc/MaxiM</f>
        <v>2.610891355901874E-4</v>
      </c>
      <c r="AE128" s="305">
        <f t="shared" si="38"/>
        <v>0.7</v>
      </c>
      <c r="AF128" s="177">
        <f t="shared" si="39"/>
        <v>6.2742537247398311E-2</v>
      </c>
      <c r="AG128" s="921">
        <f t="shared" si="47"/>
        <v>-1</v>
      </c>
      <c r="AH128" s="176">
        <f t="shared" si="40"/>
        <v>5</v>
      </c>
      <c r="AI128" s="225">
        <f t="shared" si="41"/>
        <v>-0.93725746275260169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20">
        <v>50.667000000000002</v>
      </c>
      <c r="C129" s="390"/>
      <c r="D129" s="393">
        <f t="shared" si="24"/>
        <v>51.452064155948293</v>
      </c>
      <c r="E129" s="385">
        <f t="shared" si="45"/>
        <v>55.401019190952958</v>
      </c>
      <c r="F129" s="385">
        <f t="shared" si="25"/>
        <v>55.415664195239167</v>
      </c>
      <c r="G129" s="110">
        <f t="shared" si="46"/>
        <v>0.94453071920592968</v>
      </c>
      <c r="H129" s="414" t="b">
        <f>Wh_hp&gt;='2019'!Maxi_hp</f>
        <v>1</v>
      </c>
      <c r="I129" s="380">
        <f>IF(H129,Wh_hp,'2019'!Maxi_hp)</f>
        <v>55.415664195239167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1.5258166388987027E-2</v>
      </c>
      <c r="M129" s="959"/>
      <c r="N129" s="959"/>
      <c r="O129" s="48">
        <f>IF(t&lt;Tnet,'2019'!Resal+('2019'!Salim-'2019'!Resal)*(1-EXP(('2019'!Tnet-t)/('2019'!Tau_j))),Resal+(Salim-Resal)*(1-EXP((Tnet-t)/(Tau_j))))*Salcycl</f>
        <v>7.1279465480475007E-2</v>
      </c>
      <c r="P129" s="169">
        <f>(INDEX(Models!$BJ129:$BT129,,T129)*(1-R129)+INDEX(Models!$BJ129:$BT129,,T129+1)*R129-ERP_i)*Q129*Ramure*Pc/MaxiM</f>
        <v>2.8700991892939337E-4</v>
      </c>
      <c r="Q129" s="305">
        <f t="shared" si="27"/>
        <v>0.7</v>
      </c>
      <c r="R129" s="177">
        <f t="shared" si="28"/>
        <v>6.5053378752364166E-2</v>
      </c>
      <c r="S129" s="921">
        <f t="shared" si="29"/>
        <v>-1</v>
      </c>
      <c r="T129" s="176">
        <f t="shared" si="30"/>
        <v>5</v>
      </c>
      <c r="U129" s="251">
        <f t="shared" si="31"/>
        <v>-0.93494662124763583</v>
      </c>
      <c r="V129" s="383">
        <f t="shared" si="32"/>
        <v>53.641291682979315</v>
      </c>
      <c r="W129" s="402"/>
      <c r="X129" s="157">
        <f t="shared" si="33"/>
        <v>43945</v>
      </c>
      <c r="Y129" s="385">
        <f t="shared" si="34"/>
        <v>50.667000000000002</v>
      </c>
      <c r="Z129" s="385">
        <f t="shared" si="35"/>
        <v>51.452064155948293</v>
      </c>
      <c r="AA129" s="386">
        <f t="shared" si="36"/>
        <v>55.401019190952958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7.1279465480475007E-2</v>
      </c>
      <c r="AD129" s="231">
        <f>(INDEX(Models!$BJ129:$BT129,,AH129)*(1-AF129)+INDEX(Models!$BJ129:$BT129,,AH129+1)*AF129-ERP_i)*AE129*Ramure*Pc/MaxiM</f>
        <v>2.8700991892939337E-4</v>
      </c>
      <c r="AE129" s="305">
        <f t="shared" si="38"/>
        <v>0.7</v>
      </c>
      <c r="AF129" s="177">
        <f t="shared" si="39"/>
        <v>6.5053378752364166E-2</v>
      </c>
      <c r="AG129" s="921">
        <f t="shared" si="47"/>
        <v>-1</v>
      </c>
      <c r="AH129" s="176">
        <f t="shared" si="40"/>
        <v>5</v>
      </c>
      <c r="AI129" s="225">
        <f t="shared" si="41"/>
        <v>-0.93494662124763583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20">
        <v>42.76</v>
      </c>
      <c r="C130" s="390"/>
      <c r="D130" s="393">
        <f t="shared" si="24"/>
        <v>43.423499555666488</v>
      </c>
      <c r="E130" s="385">
        <f t="shared" si="45"/>
        <v>46.760148971014885</v>
      </c>
      <c r="F130" s="385">
        <f t="shared" si="25"/>
        <v>46.770572657066566</v>
      </c>
      <c r="G130" s="110">
        <f t="shared" si="46"/>
        <v>0.79588562581800193</v>
      </c>
      <c r="H130" s="414" t="b">
        <f>Wh_hp&gt;='2019'!Maxi_hp</f>
        <v>1</v>
      </c>
      <c r="I130" s="380">
        <f>IF(H130,Wh_hp,'2019'!Maxi_hp)</f>
        <v>46.770572657066566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1.5279734762416397E-2</v>
      </c>
      <c r="M130" s="959"/>
      <c r="N130" s="959"/>
      <c r="O130" s="48">
        <f>IF(t&lt;Tnet,'2019'!Resal+('2019'!Salim-'2019'!Resal)*(1-EXP(('2019'!Tnet-t)/('2019'!Tau_j))),Resal+(Salim-Resal)*(1-EXP((Tnet-t)/(Tau_j))))*Salcycl</f>
        <v>7.1356689163173503E-2</v>
      </c>
      <c r="P130" s="169">
        <f>(INDEX(Models!$BJ130:$BT130,,T130)*(1-R130)+INDEX(Models!$BJ130:$BT130,,T130+1)*R130-ERP_i)*Q130*Ramure*Pc/MaxiM</f>
        <v>3.145583580199063E-4</v>
      </c>
      <c r="Q130" s="305">
        <f t="shared" si="27"/>
        <v>0.7</v>
      </c>
      <c r="R130" s="177">
        <f t="shared" si="28"/>
        <v>6.7435335530223073E-2</v>
      </c>
      <c r="S130" s="921">
        <f t="shared" si="29"/>
        <v>-1</v>
      </c>
      <c r="T130" s="176">
        <f t="shared" si="30"/>
        <v>5</v>
      </c>
      <c r="U130" s="251">
        <f t="shared" si="31"/>
        <v>-0.93256466446977693</v>
      </c>
      <c r="V130" s="383">
        <f t="shared" si="32"/>
        <v>53.721385434663915</v>
      </c>
      <c r="W130" s="402"/>
      <c r="X130" s="157">
        <f t="shared" si="33"/>
        <v>43946</v>
      </c>
      <c r="Y130" s="385">
        <f t="shared" si="34"/>
        <v>42.76</v>
      </c>
      <c r="Z130" s="385">
        <f t="shared" si="35"/>
        <v>43.423499555666488</v>
      </c>
      <c r="AA130" s="386">
        <f t="shared" si="36"/>
        <v>46.760148971014885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7.1356689163173503E-2</v>
      </c>
      <c r="AD130" s="231">
        <f>(INDEX(Models!$BJ130:$BT130,,AH130)*(1-AF130)+INDEX(Models!$BJ130:$BT130,,AH130+1)*AF130-ERP_i)*AE130*Ramure*Pc/MaxiM</f>
        <v>3.145583580199063E-4</v>
      </c>
      <c r="AE130" s="305">
        <f t="shared" si="38"/>
        <v>0.7</v>
      </c>
      <c r="AF130" s="177">
        <f t="shared" si="39"/>
        <v>6.7435335530223073E-2</v>
      </c>
      <c r="AG130" s="921">
        <f t="shared" si="47"/>
        <v>-1</v>
      </c>
      <c r="AH130" s="176">
        <f t="shared" si="40"/>
        <v>5</v>
      </c>
      <c r="AI130" s="225">
        <f t="shared" si="41"/>
        <v>-0.93256466446977693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20">
        <v>21.02</v>
      </c>
      <c r="C131" s="390"/>
      <c r="D131" s="393">
        <f t="shared" si="24"/>
        <v>21.346631265843591</v>
      </c>
      <c r="E131" s="385">
        <f t="shared" si="45"/>
        <v>22.988836786689387</v>
      </c>
      <c r="F131" s="385">
        <f t="shared" si="25"/>
        <v>22.989861155116017</v>
      </c>
      <c r="G131" s="110">
        <f t="shared" si="46"/>
        <v>0.3906103970828404</v>
      </c>
      <c r="H131" s="414" t="b">
        <f>Wh_hp&gt;='2019'!Maxi_hp</f>
        <v>0</v>
      </c>
      <c r="I131" s="380">
        <f>IF(H131,Wh_hp,'2019'!Maxi_hp)</f>
        <v>28.874547316848894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1.5301302663443095E-2</v>
      </c>
      <c r="M131" s="959"/>
      <c r="N131" s="959"/>
      <c r="O131" s="48">
        <f>IF(t&lt;Tnet,'2019'!Resal+('2019'!Salim-'2019'!Resal)*(1-EXP(('2019'!Tnet-t)/('2019'!Tau_j))),Resal+(Salim-Resal)*(1-EXP((Tnet-t)/(Tau_j))))*Salcycl</f>
        <v>7.1434911478280488E-2</v>
      </c>
      <c r="P131" s="169">
        <f>(INDEX(Models!$BJ131:$BT131,,T131)*(1-R131)+INDEX(Models!$BJ131:$BT131,,T131+1)*R131-ERP_i)*Q131*Ramure*Pc/MaxiM</f>
        <v>3.437793689595741E-4</v>
      </c>
      <c r="Q131" s="305">
        <f t="shared" si="27"/>
        <v>0.7</v>
      </c>
      <c r="R131" s="177">
        <f t="shared" si="28"/>
        <v>6.9889636517358023E-2</v>
      </c>
      <c r="S131" s="921">
        <f t="shared" si="29"/>
        <v>-1</v>
      </c>
      <c r="T131" s="176">
        <f t="shared" si="30"/>
        <v>5</v>
      </c>
      <c r="U131" s="251">
        <f t="shared" si="31"/>
        <v>-0.93011036348264198</v>
      </c>
      <c r="V131" s="383">
        <f t="shared" si="32"/>
        <v>53.797108911776981</v>
      </c>
      <c r="W131" s="402"/>
      <c r="X131" s="157">
        <f t="shared" si="33"/>
        <v>43947</v>
      </c>
      <c r="Y131" s="385">
        <f t="shared" si="34"/>
        <v>21.02</v>
      </c>
      <c r="Z131" s="385">
        <f t="shared" si="35"/>
        <v>21.346631265843591</v>
      </c>
      <c r="AA131" s="386">
        <f t="shared" si="36"/>
        <v>22.988836786689387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7.1434911478280488E-2</v>
      </c>
      <c r="AD131" s="231">
        <f>(INDEX(Models!$BJ131:$BT131,,AH131)*(1-AF131)+INDEX(Models!$BJ131:$BT131,,AH131+1)*AF131-ERP_i)*AE131*Ramure*Pc/MaxiM</f>
        <v>3.437793689595741E-4</v>
      </c>
      <c r="AE131" s="305">
        <f t="shared" si="38"/>
        <v>0.7</v>
      </c>
      <c r="AF131" s="177">
        <f t="shared" si="39"/>
        <v>6.9889636517358023E-2</v>
      </c>
      <c r="AG131" s="921">
        <f t="shared" si="47"/>
        <v>-1</v>
      </c>
      <c r="AH131" s="176">
        <f t="shared" si="40"/>
        <v>5</v>
      </c>
      <c r="AI131" s="225">
        <f t="shared" si="41"/>
        <v>-0.93011036348264198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20">
        <v>19.497</v>
      </c>
      <c r="C132" s="390"/>
      <c r="D132" s="393">
        <f t="shared" si="24"/>
        <v>19.800398940740269</v>
      </c>
      <c r="E132" s="385">
        <f t="shared" si="45"/>
        <v>21.325471462361609</v>
      </c>
      <c r="F132" s="385">
        <f t="shared" si="25"/>
        <v>21.326178558806134</v>
      </c>
      <c r="G132" s="110">
        <f t="shared" si="46"/>
        <v>0.36181423455963074</v>
      </c>
      <c r="H132" s="414" t="b">
        <f>Wh_hp&gt;='2019'!Maxi_hp</f>
        <v>0</v>
      </c>
      <c r="I132" s="380">
        <f>IF(H132,Wh_hp,'2019'!Maxi_hp)</f>
        <v>44.927139058198264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1.5322870092077334E-2</v>
      </c>
      <c r="M132" s="959"/>
      <c r="N132" s="959"/>
      <c r="O132" s="48">
        <f>IF(t&lt;Tnet,'2019'!Resal+('2019'!Salim-'2019'!Resal)*(1-EXP(('2019'!Tnet-t)/('2019'!Tau_j))),Resal+(Salim-Resal)*(1-EXP((Tnet-t)/(Tau_j))))*Salcycl</f>
        <v>7.1514129209898927E-2</v>
      </c>
      <c r="P132" s="169">
        <f>(INDEX(Models!$BJ132:$BT132,,T132)*(1-R132)+INDEX(Models!$BJ132:$BT132,,T132+1)*R132-ERP_i)*Q132*Ramure*Pc/MaxiM</f>
        <v>3.7472048068498004E-4</v>
      </c>
      <c r="Q132" s="305">
        <f t="shared" si="27"/>
        <v>0.7</v>
      </c>
      <c r="R132" s="177">
        <f t="shared" si="28"/>
        <v>7.2417460560235347E-2</v>
      </c>
      <c r="S132" s="921">
        <f t="shared" si="29"/>
        <v>-1</v>
      </c>
      <c r="T132" s="176">
        <f t="shared" si="30"/>
        <v>5</v>
      </c>
      <c r="U132" s="251">
        <f t="shared" si="31"/>
        <v>-0.92758253943976465</v>
      </c>
      <c r="V132" s="383">
        <f t="shared" si="32"/>
        <v>53.868362380527628</v>
      </c>
      <c r="W132" s="402"/>
      <c r="X132" s="157">
        <f t="shared" si="33"/>
        <v>43948</v>
      </c>
      <c r="Y132" s="385">
        <f t="shared" si="34"/>
        <v>19.497</v>
      </c>
      <c r="Z132" s="385">
        <f t="shared" si="35"/>
        <v>19.800398940740269</v>
      </c>
      <c r="AA132" s="386">
        <f t="shared" si="36"/>
        <v>21.325471462361609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7.1514129209898927E-2</v>
      </c>
      <c r="AD132" s="231">
        <f>(INDEX(Models!$BJ132:$BT132,,AH132)*(1-AF132)+INDEX(Models!$BJ132:$BT132,,AH132+1)*AF132-ERP_i)*AE132*Ramure*Pc/MaxiM</f>
        <v>3.7472048068498004E-4</v>
      </c>
      <c r="AE132" s="305">
        <f t="shared" si="38"/>
        <v>0.7</v>
      </c>
      <c r="AF132" s="177">
        <f t="shared" si="39"/>
        <v>7.2417460560235347E-2</v>
      </c>
      <c r="AG132" s="921">
        <f t="shared" si="47"/>
        <v>-1</v>
      </c>
      <c r="AH132" s="176">
        <f t="shared" si="40"/>
        <v>5</v>
      </c>
      <c r="AI132" s="225">
        <f t="shared" si="41"/>
        <v>-0.92758253943976465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20">
        <v>31.262</v>
      </c>
      <c r="C133" s="390"/>
      <c r="D133" s="393">
        <f t="shared" si="24"/>
        <v>31.749173189340347</v>
      </c>
      <c r="E133" s="385">
        <f t="shared" si="45"/>
        <v>34.197522119635146</v>
      </c>
      <c r="F133" s="385">
        <f t="shared" si="25"/>
        <v>34.203088788059816</v>
      </c>
      <c r="G133" s="110">
        <f t="shared" si="46"/>
        <v>0.57948128022752898</v>
      </c>
      <c r="H133" s="414" t="b">
        <f>Wh_hp&gt;='2019'!Maxi_hp</f>
        <v>0</v>
      </c>
      <c r="I133" s="380">
        <f>IF(H133,Wh_hp,'2019'!Maxi_hp)</f>
        <v>53.012856919854819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1.5344437048329551E-2</v>
      </c>
      <c r="M133" s="959"/>
      <c r="N133" s="959"/>
      <c r="O133" s="48">
        <f>IF(t&lt;Tnet,'2019'!Resal+('2019'!Salim-'2019'!Resal)*(1-EXP(('2019'!Tnet-t)/('2019'!Tau_j))),Resal+(Salim-Resal)*(1-EXP((Tnet-t)/(Tau_j))))*Salcycl</f>
        <v>7.1594337207520536E-2</v>
      </c>
      <c r="P133" s="169">
        <f>(INDEX(Models!$BJ133:$BT133,,T133)*(1-R133)+INDEX(Models!$BJ133:$BT133,,T133+1)*R133-ERP_i)*Q133*Ramure*Pc/MaxiM</f>
        <v>4.0743185518693481E-4</v>
      </c>
      <c r="Q133" s="305">
        <f t="shared" si="27"/>
        <v>0.7</v>
      </c>
      <c r="R133" s="177">
        <f t="shared" si="28"/>
        <v>7.5019930321367445E-2</v>
      </c>
      <c r="S133" s="921">
        <f t="shared" si="29"/>
        <v>-1</v>
      </c>
      <c r="T133" s="176">
        <f t="shared" si="30"/>
        <v>5</v>
      </c>
      <c r="U133" s="251">
        <f t="shared" si="31"/>
        <v>-0.92498006967863255</v>
      </c>
      <c r="V133" s="383">
        <f t="shared" si="32"/>
        <v>53.93504619203393</v>
      </c>
      <c r="W133" s="402"/>
      <c r="X133" s="157">
        <f t="shared" si="33"/>
        <v>43949</v>
      </c>
      <c r="Y133" s="385">
        <f t="shared" si="34"/>
        <v>31.262</v>
      </c>
      <c r="Z133" s="385">
        <f t="shared" si="35"/>
        <v>31.749173189340347</v>
      </c>
      <c r="AA133" s="386">
        <f t="shared" si="36"/>
        <v>34.197522119635146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7.1594337207520536E-2</v>
      </c>
      <c r="AD133" s="231">
        <f>(INDEX(Models!$BJ133:$BT133,,AH133)*(1-AF133)+INDEX(Models!$BJ133:$BT133,,AH133+1)*AF133-ERP_i)*AE133*Ramure*Pc/MaxiM</f>
        <v>4.0743185518693481E-4</v>
      </c>
      <c r="AE133" s="305">
        <f t="shared" si="38"/>
        <v>0.7</v>
      </c>
      <c r="AF133" s="177">
        <f t="shared" si="39"/>
        <v>7.5019930321367445E-2</v>
      </c>
      <c r="AG133" s="921">
        <f t="shared" si="47"/>
        <v>-1</v>
      </c>
      <c r="AH133" s="176">
        <f t="shared" si="40"/>
        <v>5</v>
      </c>
      <c r="AI133" s="225">
        <f t="shared" si="41"/>
        <v>-0.92498006967863255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20">
        <v>50.244999999999997</v>
      </c>
      <c r="C134" s="390"/>
      <c r="D134" s="393">
        <f t="shared" si="24"/>
        <v>51.02911353888404</v>
      </c>
      <c r="E134" s="385">
        <f t="shared" si="45"/>
        <v>54.969049179966895</v>
      </c>
      <c r="F134" s="385">
        <f t="shared" si="25"/>
        <v>54.990940741137251</v>
      </c>
      <c r="G134" s="110">
        <f t="shared" si="46"/>
        <v>0.93047277057761846</v>
      </c>
      <c r="H134" s="414" t="b">
        <f>Wh_hp&gt;='2019'!Maxi_hp</f>
        <v>0</v>
      </c>
      <c r="I134" s="380">
        <f>IF(H134,Wh_hp,'2019'!Maxi_hp)</f>
        <v>59.629748537925202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1.5366003532210071E-2</v>
      </c>
      <c r="M134" s="959"/>
      <c r="N134" s="959"/>
      <c r="O134" s="48">
        <f>IF(t&lt;Tnet,'2019'!Resal+('2019'!Salim-'2019'!Resal)*(1-EXP(('2019'!Tnet-t)/('2019'!Tau_j))),Resal+(Salim-Resal)*(1-EXP((Tnet-t)/(Tau_j))))*Salcycl</f>
        <v>7.1675528317465126E-2</v>
      </c>
      <c r="P134" s="169">
        <f>(INDEX(Models!$BJ134:$BT134,,T134)*(1-R134)+INDEX(Models!$BJ134:$BT134,,T134+1)*R134-ERP_i)*Q134*Ramure*Pc/MaxiM</f>
        <v>4.4196630307491772E-4</v>
      </c>
      <c r="Q134" s="305">
        <f t="shared" si="27"/>
        <v>0.7</v>
      </c>
      <c r="R134" s="177">
        <f t="shared" si="28"/>
        <v>7.769810597864657E-2</v>
      </c>
      <c r="S134" s="921">
        <f t="shared" si="29"/>
        <v>-1</v>
      </c>
      <c r="T134" s="176">
        <f t="shared" si="30"/>
        <v>5</v>
      </c>
      <c r="U134" s="251">
        <f t="shared" si="31"/>
        <v>-0.92230189402135343</v>
      </c>
      <c r="V134" s="383">
        <f t="shared" si="32"/>
        <v>53.997060789711767</v>
      </c>
      <c r="W134" s="402"/>
      <c r="X134" s="157">
        <f t="shared" si="33"/>
        <v>43950</v>
      </c>
      <c r="Y134" s="385">
        <f t="shared" si="34"/>
        <v>50.244999999999997</v>
      </c>
      <c r="Z134" s="385">
        <f t="shared" si="35"/>
        <v>51.02911353888404</v>
      </c>
      <c r="AA134" s="386">
        <f t="shared" si="36"/>
        <v>54.969049179966895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7.1675528317465126E-2</v>
      </c>
      <c r="AD134" s="231">
        <f>(INDEX(Models!$BJ134:$BT134,,AH134)*(1-AF134)+INDEX(Models!$BJ134:$BT134,,AH134+1)*AF134-ERP_i)*AE134*Ramure*Pc/MaxiM</f>
        <v>4.4196630307491772E-4</v>
      </c>
      <c r="AE134" s="305">
        <f t="shared" si="38"/>
        <v>0.7</v>
      </c>
      <c r="AF134" s="177">
        <f t="shared" si="39"/>
        <v>7.769810597864657E-2</v>
      </c>
      <c r="AG134" s="921">
        <f t="shared" si="47"/>
        <v>-1</v>
      </c>
      <c r="AH134" s="176">
        <f t="shared" si="40"/>
        <v>5</v>
      </c>
      <c r="AI134" s="225">
        <f t="shared" si="41"/>
        <v>-0.92230189402135343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20">
        <v>39.390999999999998</v>
      </c>
      <c r="C135" s="390"/>
      <c r="D135" s="393">
        <f t="shared" si="24"/>
        <v>40.006604407529316</v>
      </c>
      <c r="E135" s="385">
        <f t="shared" si="45"/>
        <v>43.099311590793064</v>
      </c>
      <c r="F135" s="385">
        <f t="shared" si="25"/>
        <v>43.111943367520247</v>
      </c>
      <c r="G135" s="110">
        <f t="shared" si="46"/>
        <v>0.72860026638505881</v>
      </c>
      <c r="H135" s="414" t="b">
        <f>Wh_hp&gt;='2019'!Maxi_hp</f>
        <v>0</v>
      </c>
      <c r="I135" s="380">
        <f>IF(H135,Wh_hp,'2019'!Maxi_hp)</f>
        <v>57.486763345827086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1.5387569543729218E-2</v>
      </c>
      <c r="M135" s="959"/>
      <c r="N135" s="959"/>
      <c r="O135" s="48">
        <f>IF(t&lt;Tnet,'2019'!Resal+('2019'!Salim-'2019'!Resal)*(1-EXP(('2019'!Tnet-t)/('2019'!Tau_j))),Resal+(Salim-Resal)*(1-EXP((Tnet-t)/(Tau_j))))*Salcycl</f>
        <v>7.1757693316020735E-2</v>
      </c>
      <c r="P135" s="169">
        <f>(INDEX(Models!$BJ135:$BT135,,T135)*(1-R135)+INDEX(Models!$BJ135:$BT135,,T135+1)*R135-ERP_i)*Q135*Ramure*Pc/MaxiM</f>
        <v>4.78382776671268E-4</v>
      </c>
      <c r="Q135" s="305">
        <f t="shared" si="27"/>
        <v>0.7</v>
      </c>
      <c r="R135" s="177">
        <f t="shared" si="28"/>
        <v>8.0452978736706537E-2</v>
      </c>
      <c r="S135" s="921">
        <f t="shared" si="29"/>
        <v>-1</v>
      </c>
      <c r="T135" s="176">
        <f t="shared" si="30"/>
        <v>5</v>
      </c>
      <c r="U135" s="251">
        <f t="shared" si="31"/>
        <v>-0.91954702126329346</v>
      </c>
      <c r="V135" s="383">
        <f t="shared" si="32"/>
        <v>54.053913020767176</v>
      </c>
      <c r="W135" s="402"/>
      <c r="X135" s="157">
        <f t="shared" si="33"/>
        <v>43951</v>
      </c>
      <c r="Y135" s="385">
        <f t="shared" si="34"/>
        <v>39.390999999999998</v>
      </c>
      <c r="Z135" s="385">
        <f t="shared" si="35"/>
        <v>40.006604407529316</v>
      </c>
      <c r="AA135" s="386">
        <f t="shared" si="36"/>
        <v>43.099311590793064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7.1757693316020735E-2</v>
      </c>
      <c r="AD135" s="231">
        <f>(INDEX(Models!$BJ135:$BT135,,AH135)*(1-AF135)+INDEX(Models!$BJ135:$BT135,,AH135+1)*AF135-ERP_i)*AE135*Ramure*Pc/MaxiM</f>
        <v>4.78382776671268E-4</v>
      </c>
      <c r="AE135" s="305">
        <f t="shared" si="38"/>
        <v>0.7</v>
      </c>
      <c r="AF135" s="177">
        <f t="shared" si="39"/>
        <v>8.0452978736706537E-2</v>
      </c>
      <c r="AG135" s="921">
        <f t="shared" si="47"/>
        <v>-1</v>
      </c>
      <c r="AH135" s="176">
        <f t="shared" si="40"/>
        <v>5</v>
      </c>
      <c r="AI135" s="225">
        <f t="shared" si="41"/>
        <v>-0.91954702126329346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20">
        <v>18.920000000000002</v>
      </c>
      <c r="C136" s="390"/>
      <c r="D136" s="393">
        <f t="shared" si="24"/>
        <v>19.216103535139915</v>
      </c>
      <c r="E136" s="385">
        <f t="shared" si="45"/>
        <v>20.703456871088338</v>
      </c>
      <c r="F136" s="385">
        <f t="shared" si="25"/>
        <v>20.704216938929225</v>
      </c>
      <c r="G136" s="110">
        <f t="shared" si="46"/>
        <v>0.34952014246921481</v>
      </c>
      <c r="H136" s="414" t="b">
        <f>Wh_hp&gt;='2019'!Maxi_hp</f>
        <v>0</v>
      </c>
      <c r="I136" s="380">
        <f>IF(H136,Wh_hp,'2019'!Maxi_hp)</f>
        <v>39.324532227972377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1.5409135082897429E-2</v>
      </c>
      <c r="M136" s="959"/>
      <c r="N136" s="959"/>
      <c r="O136" s="48">
        <f>IF(t&lt;Tnet,'2019'!Resal+('2019'!Salim-'2019'!Resal)*(1-EXP(('2019'!Tnet-t)/('2019'!Tau_j))),Resal+(Salim-Resal)*(1-EXP((Tnet-t)/(Tau_j))))*Salcycl</f>
        <v>7.1840820845018374E-2</v>
      </c>
      <c r="P136" s="169">
        <f>(INDEX(Models!$BJ136:$BT136,,T136)*(1-R136)+INDEX(Models!$BJ136:$BT136,,T136+1)*R136-ERP_i)*Q136*Ramure*Pc/MaxiM</f>
        <v>5.1717635135704963E-4</v>
      </c>
      <c r="Q136" s="305">
        <f t="shared" si="27"/>
        <v>0.7</v>
      </c>
      <c r="R136" s="177">
        <f t="shared" si="28"/>
        <v>8.3285464172141666E-2</v>
      </c>
      <c r="S136" s="921">
        <f t="shared" si="29"/>
        <v>-1</v>
      </c>
      <c r="T136" s="176">
        <f t="shared" si="30"/>
        <v>5</v>
      </c>
      <c r="U136" s="251">
        <f t="shared" si="31"/>
        <v>-0.91671453582785833</v>
      </c>
      <c r="V136" s="383">
        <f t="shared" si="32"/>
        <v>54.105348904819735</v>
      </c>
      <c r="W136" s="402"/>
      <c r="X136" s="157">
        <f t="shared" si="33"/>
        <v>43952</v>
      </c>
      <c r="Y136" s="385">
        <f t="shared" si="34"/>
        <v>18.920000000000002</v>
      </c>
      <c r="Z136" s="385">
        <f t="shared" si="35"/>
        <v>19.216103535139915</v>
      </c>
      <c r="AA136" s="386">
        <f t="shared" si="36"/>
        <v>20.703456871088338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7.1840820845018374E-2</v>
      </c>
      <c r="AD136" s="231">
        <f>(INDEX(Models!$BJ136:$BT136,,AH136)*(1-AF136)+INDEX(Models!$BJ136:$BT136,,AH136+1)*AF136-ERP_i)*AE136*Ramure*Pc/MaxiM</f>
        <v>5.1717635135704963E-4</v>
      </c>
      <c r="AE136" s="305">
        <f t="shared" si="38"/>
        <v>0.7</v>
      </c>
      <c r="AF136" s="177">
        <f t="shared" si="39"/>
        <v>8.3285464172141666E-2</v>
      </c>
      <c r="AG136" s="921">
        <f t="shared" si="47"/>
        <v>-1</v>
      </c>
      <c r="AH136" s="176">
        <f t="shared" si="40"/>
        <v>5</v>
      </c>
      <c r="AI136" s="225">
        <f t="shared" si="41"/>
        <v>-0.91671453582785833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20">
        <v>31.760999999999999</v>
      </c>
      <c r="C137" s="390"/>
      <c r="D137" s="393">
        <f t="shared" si="24"/>
        <v>32.258775491811434</v>
      </c>
      <c r="E137" s="385">
        <f t="shared" si="45"/>
        <v>34.758798506416205</v>
      </c>
      <c r="F137" s="385">
        <f t="shared" si="25"/>
        <v>34.766732601646204</v>
      </c>
      <c r="G137" s="110">
        <f t="shared" si="46"/>
        <v>0.58632567396301372</v>
      </c>
      <c r="H137" s="414" t="b">
        <f>Wh_hp&gt;='2019'!Maxi_hp</f>
        <v>1</v>
      </c>
      <c r="I137" s="380">
        <f>IF(H137,Wh_hp,'2019'!Maxi_hp)</f>
        <v>34.766732601646204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1.5430700149724919E-2</v>
      </c>
      <c r="M137" s="959"/>
      <c r="N137" s="959"/>
      <c r="O137" s="48">
        <f>IF(t&lt;Tnet,'2019'!Resal+('2019'!Salim-'2019'!Resal)*(1-EXP(('2019'!Tnet-t)/('2019'!Tau_j))),Resal+(Salim-Resal)*(1-EXP((Tnet-t)/(Tau_j))))*Salcycl</f>
        <v>7.1924897350617245E-2</v>
      </c>
      <c r="P137" s="169">
        <f>(INDEX(Models!$BJ137:$BT137,,T137)*(1-R137)+INDEX(Models!$BJ137:$BT137,,T137+1)*R137-ERP_i)*Q137*Ramure*Pc/MaxiM</f>
        <v>5.5754295060519781E-4</v>
      </c>
      <c r="Q137" s="305">
        <f t="shared" si="27"/>
        <v>0.7</v>
      </c>
      <c r="R137" s="177">
        <f t="shared" si="28"/>
        <v>8.6196395437705409E-2</v>
      </c>
      <c r="S137" s="921">
        <f t="shared" si="29"/>
        <v>-1</v>
      </c>
      <c r="T137" s="176">
        <f t="shared" si="30"/>
        <v>5</v>
      </c>
      <c r="U137" s="251">
        <f t="shared" si="31"/>
        <v>-0.91380360456229459</v>
      </c>
      <c r="V137" s="383">
        <f t="shared" si="32"/>
        <v>54.151709637628201</v>
      </c>
      <c r="W137" s="402"/>
      <c r="X137" s="157">
        <f t="shared" si="33"/>
        <v>43953</v>
      </c>
      <c r="Y137" s="385">
        <f t="shared" si="34"/>
        <v>31.760999999999996</v>
      </c>
      <c r="Z137" s="385">
        <f t="shared" si="35"/>
        <v>32.258775491811434</v>
      </c>
      <c r="AA137" s="386">
        <f t="shared" si="36"/>
        <v>34.758798506416205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7.1924897350617245E-2</v>
      </c>
      <c r="AD137" s="231">
        <f>(INDEX(Models!$BJ137:$BT137,,AH137)*(1-AF137)+INDEX(Models!$BJ137:$BT137,,AH137+1)*AF137-ERP_i)*AE137*Ramure*Pc/MaxiM</f>
        <v>5.5754295060519781E-4</v>
      </c>
      <c r="AE137" s="305">
        <f t="shared" si="38"/>
        <v>0.7</v>
      </c>
      <c r="AF137" s="177">
        <f t="shared" si="39"/>
        <v>8.6196395437705409E-2</v>
      </c>
      <c r="AG137" s="921">
        <f t="shared" si="47"/>
        <v>-1</v>
      </c>
      <c r="AH137" s="176">
        <f t="shared" si="40"/>
        <v>5</v>
      </c>
      <c r="AI137" s="225">
        <f t="shared" si="41"/>
        <v>-0.91380360456229459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20">
        <v>51.161000000000001</v>
      </c>
      <c r="C138" s="390"/>
      <c r="D138" s="393">
        <f t="shared" si="24"/>
        <v>51.963960880686777</v>
      </c>
      <c r="E138" s="385">
        <f t="shared" si="45"/>
        <v>55.996245298438652</v>
      </c>
      <c r="F138" s="385">
        <f t="shared" si="25"/>
        <v>56.02715044671482</v>
      </c>
      <c r="G138" s="110">
        <f t="shared" si="46"/>
        <v>0.94400149190421068</v>
      </c>
      <c r="H138" s="414" t="b">
        <f>Wh_hp&gt;='2019'!Maxi_hp</f>
        <v>1</v>
      </c>
      <c r="I138" s="380">
        <f>IF(H138,Wh_hp,'2019'!Maxi_hp)</f>
        <v>56.02715044671482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1.5452264744222122E-2</v>
      </c>
      <c r="M138" s="959"/>
      <c r="N138" s="959"/>
      <c r="O138" s="48">
        <f>IF(t&lt;Tnet,'2019'!Resal+('2019'!Salim-'2019'!Resal)*(1-EXP(('2019'!Tnet-t)/('2019'!Tau_j))),Resal+(Salim-Resal)*(1-EXP((Tnet-t)/(Tau_j))))*Salcycl</f>
        <v>7.2009907026110959E-2</v>
      </c>
      <c r="P138" s="169">
        <f>(INDEX(Models!$BJ138:$BT138,,T138)*(1-R138)+INDEX(Models!$BJ138:$BT138,,T138+1)*R138-ERP_i)*Q138*Ramure*Pc/MaxiM</f>
        <v>5.9953278678117413E-4</v>
      </c>
      <c r="Q138" s="305">
        <f t="shared" si="27"/>
        <v>0.7</v>
      </c>
      <c r="R138" s="177">
        <f t="shared" si="28"/>
        <v>8.9186516353995882E-2</v>
      </c>
      <c r="S138" s="921">
        <f t="shared" si="29"/>
        <v>-1</v>
      </c>
      <c r="T138" s="176">
        <f t="shared" si="30"/>
        <v>5</v>
      </c>
      <c r="U138" s="251">
        <f t="shared" si="31"/>
        <v>-0.91081348364600412</v>
      </c>
      <c r="V138" s="383">
        <f t="shared" si="32"/>
        <v>54.193290284675058</v>
      </c>
      <c r="W138" s="402"/>
      <c r="X138" s="157">
        <f t="shared" si="33"/>
        <v>43954</v>
      </c>
      <c r="Y138" s="385">
        <f t="shared" si="34"/>
        <v>51.161000000000001</v>
      </c>
      <c r="Z138" s="385">
        <f t="shared" si="35"/>
        <v>51.963960880686777</v>
      </c>
      <c r="AA138" s="386">
        <f t="shared" si="36"/>
        <v>55.996245298438652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7.2009907026110959E-2</v>
      </c>
      <c r="AD138" s="231">
        <f>(INDEX(Models!$BJ138:$BT138,,AH138)*(1-AF138)+INDEX(Models!$BJ138:$BT138,,AH138+1)*AF138-ERP_i)*AE138*Ramure*Pc/MaxiM</f>
        <v>5.9953278678117413E-4</v>
      </c>
      <c r="AE138" s="305">
        <f t="shared" si="38"/>
        <v>0.7</v>
      </c>
      <c r="AF138" s="177">
        <f t="shared" si="39"/>
        <v>8.9186516353995882E-2</v>
      </c>
      <c r="AG138" s="921">
        <f t="shared" si="47"/>
        <v>-1</v>
      </c>
      <c r="AH138" s="176">
        <f t="shared" si="40"/>
        <v>5</v>
      </c>
      <c r="AI138" s="225">
        <f t="shared" si="41"/>
        <v>-0.91081348364600412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20">
        <v>53.405999999999999</v>
      </c>
      <c r="C139" s="390"/>
      <c r="D139" s="393">
        <f t="shared" si="24"/>
        <v>54.245383785488812</v>
      </c>
      <c r="E139" s="385">
        <f t="shared" si="45"/>
        <v>58.46011435464802</v>
      </c>
      <c r="F139" s="385">
        <f t="shared" si="25"/>
        <v>58.496922298592779</v>
      </c>
      <c r="G139" s="110">
        <f t="shared" si="46"/>
        <v>0.98478468614724479</v>
      </c>
      <c r="H139" s="414" t="b">
        <f>Wh_hp&gt;='2019'!Maxi_hp</f>
        <v>1</v>
      </c>
      <c r="I139" s="380">
        <f>IF(H139,Wh_hp,'2019'!Maxi_hp)</f>
        <v>58.496922298592779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1.5473828866399475E-2</v>
      </c>
      <c r="M139" s="959"/>
      <c r="N139" s="959"/>
      <c r="O139" s="48">
        <f>IF(t&lt;Tnet,'2019'!Resal+('2019'!Salim-'2019'!Resal)*(1-EXP(('2019'!Tnet-t)/('2019'!Tau_j))),Resal+(Salim-Resal)*(1-EXP((Tnet-t)/(Tau_j))))*Salcycl</f>
        <v>7.2095831759591944E-2</v>
      </c>
      <c r="P139" s="169">
        <f>(INDEX(Models!$BJ139:$BT139,,T139)*(1-R139)+INDEX(Models!$BJ139:$BT139,,T139+1)*R139-ERP_i)*Q139*Ramure*Pc/MaxiM</f>
        <v>6.4319670777418568E-4</v>
      </c>
      <c r="Q139" s="305">
        <f t="shared" si="27"/>
        <v>0.7</v>
      </c>
      <c r="R139" s="177">
        <f t="shared" si="28"/>
        <v>9.2256474420572276E-2</v>
      </c>
      <c r="S139" s="921">
        <f t="shared" si="29"/>
        <v>-1</v>
      </c>
      <c r="T139" s="176">
        <f t="shared" si="30"/>
        <v>5</v>
      </c>
      <c r="U139" s="251">
        <f t="shared" si="31"/>
        <v>-0.90774352557942772</v>
      </c>
      <c r="V139" s="383">
        <f t="shared" si="32"/>
        <v>54.230385898124943</v>
      </c>
      <c r="W139" s="402"/>
      <c r="X139" s="157">
        <f t="shared" si="33"/>
        <v>43955</v>
      </c>
      <c r="Y139" s="385">
        <f t="shared" si="34"/>
        <v>53.405999999999999</v>
      </c>
      <c r="Z139" s="385">
        <f t="shared" si="35"/>
        <v>54.245383785488812</v>
      </c>
      <c r="AA139" s="386">
        <f t="shared" si="36"/>
        <v>58.46011435464802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7.2095831759591944E-2</v>
      </c>
      <c r="AD139" s="231">
        <f>(INDEX(Models!$BJ139:$BT139,,AH139)*(1-AF139)+INDEX(Models!$BJ139:$BT139,,AH139+1)*AF139-ERP_i)*AE139*Ramure*Pc/MaxiM</f>
        <v>6.4319670777418568E-4</v>
      </c>
      <c r="AE139" s="305">
        <f t="shared" si="38"/>
        <v>0.7</v>
      </c>
      <c r="AF139" s="177">
        <f t="shared" si="39"/>
        <v>9.2256474420572276E-2</v>
      </c>
      <c r="AG139" s="921">
        <f t="shared" si="47"/>
        <v>-1</v>
      </c>
      <c r="AH139" s="176">
        <f t="shared" si="40"/>
        <v>5</v>
      </c>
      <c r="AI139" s="225">
        <f t="shared" si="41"/>
        <v>-0.90774352557942772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20">
        <v>47.170999999999999</v>
      </c>
      <c r="C140" s="390"/>
      <c r="D140" s="393">
        <f t="shared" si="24"/>
        <v>47.913437521194545</v>
      </c>
      <c r="E140" s="385">
        <f t="shared" si="45"/>
        <v>51.64102350246548</v>
      </c>
      <c r="F140" s="385">
        <f t="shared" si="25"/>
        <v>51.669959493949307</v>
      </c>
      <c r="G140" s="110">
        <f t="shared" si="46"/>
        <v>0.86918670967637379</v>
      </c>
      <c r="H140" s="414" t="b">
        <f>Wh_hp&gt;='2019'!Maxi_hp</f>
        <v>0</v>
      </c>
      <c r="I140" s="380">
        <f>IF(H140,Wh_hp,'2019'!Maxi_hp)</f>
        <v>61.787025291973102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1.5495392516267081E-2</v>
      </c>
      <c r="M140" s="959"/>
      <c r="N140" s="959"/>
      <c r="O140" s="48">
        <f>IF(t&lt;Tnet,'2019'!Resal+('2019'!Salim-'2019'!Resal)*(1-EXP(('2019'!Tnet-t)/('2019'!Tau_j))),Resal+(Salim-Resal)*(1-EXP((Tnet-t)/(Tau_j))))*Salcycl</f>
        <v>7.218265108732734E-2</v>
      </c>
      <c r="P140" s="169">
        <f>(INDEX(Models!$BJ140:$BT140,,T140)*(1-R140)+INDEX(Models!$BJ140:$BT140,,T140+1)*R140-ERP_i)*Q140*Ramure*Pc/MaxiM</f>
        <v>6.8858604686187184E-4</v>
      </c>
      <c r="Q140" s="305">
        <f t="shared" si="27"/>
        <v>0.7</v>
      </c>
      <c r="R140" s="177">
        <f t="shared" si="28"/>
        <v>9.5406813781913624E-2</v>
      </c>
      <c r="S140" s="921">
        <f t="shared" si="29"/>
        <v>-1</v>
      </c>
      <c r="T140" s="176">
        <f t="shared" si="30"/>
        <v>5</v>
      </c>
      <c r="U140" s="251">
        <f t="shared" si="31"/>
        <v>-0.90459318621808638</v>
      </c>
      <c r="V140" s="383">
        <f t="shared" si="32"/>
        <v>54.263291520116219</v>
      </c>
      <c r="W140" s="402"/>
      <c r="X140" s="157">
        <f t="shared" si="33"/>
        <v>43956</v>
      </c>
      <c r="Y140" s="385">
        <f t="shared" si="34"/>
        <v>47.170999999999999</v>
      </c>
      <c r="Z140" s="385">
        <f t="shared" si="35"/>
        <v>47.913437521194545</v>
      </c>
      <c r="AA140" s="386">
        <f t="shared" si="36"/>
        <v>51.64102350246548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7.218265108732734E-2</v>
      </c>
      <c r="AD140" s="231">
        <f>(INDEX(Models!$BJ140:$BT140,,AH140)*(1-AF140)+INDEX(Models!$BJ140:$BT140,,AH140+1)*AF140-ERP_i)*AE140*Ramure*Pc/MaxiM</f>
        <v>6.8858604686187184E-4</v>
      </c>
      <c r="AE140" s="305">
        <f t="shared" si="38"/>
        <v>0.7</v>
      </c>
      <c r="AF140" s="177">
        <f t="shared" si="39"/>
        <v>9.5406813781913624E-2</v>
      </c>
      <c r="AG140" s="921">
        <f t="shared" si="47"/>
        <v>-1</v>
      </c>
      <c r="AH140" s="176">
        <f t="shared" si="40"/>
        <v>5</v>
      </c>
      <c r="AI140" s="225">
        <f t="shared" si="41"/>
        <v>-0.90459318621808638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20">
        <v>52.268999999999998</v>
      </c>
      <c r="C141" s="390"/>
      <c r="D141" s="393">
        <f t="shared" si="24"/>
        <v>53.09283923405475</v>
      </c>
      <c r="E141" s="385">
        <f t="shared" si="45"/>
        <v>57.228782959584173</v>
      </c>
      <c r="F141" s="385">
        <f t="shared" si="25"/>
        <v>57.268675300754929</v>
      </c>
      <c r="G141" s="110">
        <f t="shared" si="46"/>
        <v>0.96269542968892607</v>
      </c>
      <c r="H141" s="414" t="b">
        <f>Wh_hp&gt;='2019'!Maxi_hp</f>
        <v>1</v>
      </c>
      <c r="I141" s="380">
        <f>IF(H141,Wh_hp,'2019'!Maxi_hp)</f>
        <v>57.268675300754929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1.5516955693835377E-2</v>
      </c>
      <c r="M141" s="959"/>
      <c r="N141" s="959"/>
      <c r="O141" s="48">
        <f>IF(t&lt;Tnet,'2019'!Resal+('2019'!Salim-'2019'!Resal)*(1-EXP(('2019'!Tnet-t)/('2019'!Tau_j))),Resal+(Salim-Resal)*(1-EXP((Tnet-t)/(Tau_j))))*Salcycl</f>
        <v>7.2270342153707659E-2</v>
      </c>
      <c r="P141" s="169">
        <f>(INDEX(Models!$BJ141:$BT141,,T141)*(1-R141)+INDEX(Models!$BJ141:$BT141,,T141+1)*R141-ERP_i)*Q141*Ramure*Pc/MaxiM</f>
        <v>7.3575245821371502E-4</v>
      </c>
      <c r="Q141" s="305">
        <f t="shared" si="27"/>
        <v>0.7</v>
      </c>
      <c r="R141" s="177">
        <f t="shared" si="28"/>
        <v>9.8637968187065939E-2</v>
      </c>
      <c r="S141" s="921">
        <f t="shared" si="29"/>
        <v>-1</v>
      </c>
      <c r="T141" s="176">
        <f t="shared" si="30"/>
        <v>5</v>
      </c>
      <c r="U141" s="251">
        <f t="shared" si="31"/>
        <v>-0.90136203181293406</v>
      </c>
      <c r="V141" s="383">
        <f t="shared" si="32"/>
        <v>54.29230218815438</v>
      </c>
      <c r="W141" s="402"/>
      <c r="X141" s="157">
        <f t="shared" si="33"/>
        <v>43957</v>
      </c>
      <c r="Y141" s="385">
        <f t="shared" si="34"/>
        <v>52.268999999999998</v>
      </c>
      <c r="Z141" s="385">
        <f t="shared" si="35"/>
        <v>53.09283923405475</v>
      </c>
      <c r="AA141" s="386">
        <f t="shared" si="36"/>
        <v>57.228782959584173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7.2270342153707659E-2</v>
      </c>
      <c r="AD141" s="231">
        <f>(INDEX(Models!$BJ141:$BT141,,AH141)*(1-AF141)+INDEX(Models!$BJ141:$BT141,,AH141+1)*AF141-ERP_i)*AE141*Ramure*Pc/MaxiM</f>
        <v>7.3575245821371502E-4</v>
      </c>
      <c r="AE141" s="305">
        <f t="shared" si="38"/>
        <v>0.7</v>
      </c>
      <c r="AF141" s="177">
        <f t="shared" si="39"/>
        <v>9.8637968187065939E-2</v>
      </c>
      <c r="AG141" s="921">
        <f t="shared" si="47"/>
        <v>-1</v>
      </c>
      <c r="AH141" s="176">
        <f t="shared" si="40"/>
        <v>5</v>
      </c>
      <c r="AI141" s="225">
        <f t="shared" si="41"/>
        <v>-0.90136203181293406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20">
        <v>46.887</v>
      </c>
      <c r="C142" s="390"/>
      <c r="D142" s="393">
        <f t="shared" si="24"/>
        <v>47.627053852584012</v>
      </c>
      <c r="E142" s="385">
        <f t="shared" si="45"/>
        <v>51.342111522701778</v>
      </c>
      <c r="F142" s="385">
        <f t="shared" si="25"/>
        <v>51.374550954494154</v>
      </c>
      <c r="G142" s="110">
        <f t="shared" si="46"/>
        <v>0.8630666556209603</v>
      </c>
      <c r="H142" s="414" t="b">
        <f>Wh_hp&gt;='2019'!Maxi_hp</f>
        <v>1</v>
      </c>
      <c r="I142" s="380">
        <f>IF(H142,Wh_hp,'2019'!Maxi_hp)</f>
        <v>51.374550954494154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1.5538518399114909E-2</v>
      </c>
      <c r="M142" s="959"/>
      <c r="N142" s="959"/>
      <c r="O142" s="48">
        <f>IF(t&lt;Tnet,'2019'!Resal+('2019'!Salim-'2019'!Resal)*(1-EXP(('2019'!Tnet-t)/('2019'!Tau_j))),Resal+(Salim-Resal)*(1-EXP((Tnet-t)/(Tau_j))))*Salcycl</f>
        <v>7.2358879678625879E-2</v>
      </c>
      <c r="P142" s="169">
        <f>(INDEX(Models!$BJ142:$BT142,,T142)*(1-R142)+INDEX(Models!$BJ142:$BT142,,T142+1)*R142-ERP_i)*Q142*Ramure*Pc/MaxiM</f>
        <v>7.848040997384528E-4</v>
      </c>
      <c r="Q142" s="305">
        <f t="shared" si="27"/>
        <v>0.7</v>
      </c>
      <c r="R142" s="177">
        <f t="shared" si="28"/>
        <v>0.10195025398519886</v>
      </c>
      <c r="S142" s="921">
        <f t="shared" si="29"/>
        <v>-1</v>
      </c>
      <c r="T142" s="176">
        <f t="shared" si="30"/>
        <v>5</v>
      </c>
      <c r="U142" s="251">
        <f t="shared" si="31"/>
        <v>-0.89804974601480114</v>
      </c>
      <c r="V142" s="383">
        <f t="shared" si="32"/>
        <v>54.317709876508218</v>
      </c>
      <c r="W142" s="402"/>
      <c r="X142" s="157">
        <f t="shared" si="33"/>
        <v>43958</v>
      </c>
      <c r="Y142" s="385">
        <f t="shared" si="34"/>
        <v>46.887</v>
      </c>
      <c r="Z142" s="385">
        <f t="shared" si="35"/>
        <v>47.627053852584012</v>
      </c>
      <c r="AA142" s="386">
        <f t="shared" si="36"/>
        <v>51.342111522701778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7.2358879678625879E-2</v>
      </c>
      <c r="AD142" s="231">
        <f>(INDEX(Models!$BJ142:$BT142,,AH142)*(1-AF142)+INDEX(Models!$BJ142:$BT142,,AH142+1)*AF142-ERP_i)*AE142*Ramure*Pc/MaxiM</f>
        <v>7.848040997384528E-4</v>
      </c>
      <c r="AE142" s="305">
        <f t="shared" si="38"/>
        <v>0.7</v>
      </c>
      <c r="AF142" s="177">
        <f t="shared" si="39"/>
        <v>0.10195025398519886</v>
      </c>
      <c r="AG142" s="921">
        <f t="shared" si="47"/>
        <v>-1</v>
      </c>
      <c r="AH142" s="176">
        <f t="shared" si="40"/>
        <v>5</v>
      </c>
      <c r="AI142" s="225">
        <f t="shared" si="41"/>
        <v>-0.89804974601480114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20">
        <v>46.526000000000003</v>
      </c>
      <c r="C143" s="390"/>
      <c r="D143" s="393">
        <f t="shared" ref="D143:D206" si="48">Wh/(1-Ppv)</f>
        <v>47.261391055611263</v>
      </c>
      <c r="E143" s="385">
        <f t="shared" si="45"/>
        <v>50.952833994291346</v>
      </c>
      <c r="F143" s="385">
        <f t="shared" ref="F143:F206" si="49">Wh_sa/(1-Pvg*MEDIAN((-Sdif+Wh/Env_an)/Csdif,0,1))</f>
        <v>50.986674295665459</v>
      </c>
      <c r="G143" s="110">
        <f t="shared" si="46"/>
        <v>0.85605725570488822</v>
      </c>
      <c r="H143" s="414" t="b">
        <f>Wh_hp&gt;='2019'!Maxi_hp</f>
        <v>0</v>
      </c>
      <c r="I143" s="380">
        <f>IF(H143,Wh_hp,'2019'!Maxi_hp)</f>
        <v>51.928840969153235</v>
      </c>
      <c r="J143" s="85">
        <f>IF(H143,An,'2019'!An_max)</f>
        <v>2019</v>
      </c>
      <c r="K143" s="197">
        <f t="shared" ref="K143:K206" si="50">t</f>
        <v>43959</v>
      </c>
      <c r="L143" s="147">
        <f>IF(t&lt;Tvie,1-EXP((T0-t)*PertePVj)+'2019'!Pspv,1-EXP((T0-t)*PertePVj)+Pspv)</f>
        <v>1.5560080632115669E-2</v>
      </c>
      <c r="M143" s="959"/>
      <c r="N143" s="959"/>
      <c r="O143" s="48">
        <f>IF(t&lt;Tnet,'2019'!Resal+('2019'!Salim-'2019'!Resal)*(1-EXP(('2019'!Tnet-t)/('2019'!Tau_j))),Resal+(Salim-Resal)*(1-EXP((Tnet-t)/(Tau_j))))*Salcycl</f>
        <v>7.2448235933131114E-2</v>
      </c>
      <c r="P143" s="169">
        <f>(INDEX(Models!$BJ143:$BT143,,T143)*(1-R143)+INDEX(Models!$BJ143:$BT143,,T143+1)*R143-ERP_i)*Q143*Ramure*Pc/MaxiM</f>
        <v>8.3529764988877749E-4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0.1053438632025443</v>
      </c>
      <c r="S143" s="92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-0.8946561367974557</v>
      </c>
      <c r="V143" s="383">
        <f t="shared" ref="V143:V206" si="56">MaxiM*(1-Ppv)*(1-Pvg)*(1-Psa)</f>
        <v>54.339836549785943</v>
      </c>
      <c r="W143" s="402"/>
      <c r="X143" s="157">
        <f t="shared" ref="X143:X206" si="57">t</f>
        <v>43959</v>
      </c>
      <c r="Y143" s="385">
        <f t="shared" ref="Y143:Y206" si="58">Wh_pvt_s*(1-Ppv)</f>
        <v>46.526000000000003</v>
      </c>
      <c r="Z143" s="385">
        <f t="shared" ref="Z143:Z206" si="59">Wh_sa_s*(1-Psa_s)</f>
        <v>47.261391055611263</v>
      </c>
      <c r="AA143" s="386">
        <f t="shared" ref="AA143:AA206" si="60">Wh_hp*(1-Pvg_s*MEDIAN((-Sdif+Wh/Env_an)/Csdif,0,1))</f>
        <v>50.952833994291346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7.2448235933131114E-2</v>
      </c>
      <c r="AD143" s="231">
        <f>(INDEX(Models!$BJ143:$BT143,,AH143)*(1-AF143)+INDEX(Models!$BJ143:$BT143,,AH143+1)*AF143-ERP_i)*AE143*Ramure*Pc/MaxiM</f>
        <v>8.3529764988877749E-4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0.1053438632025443</v>
      </c>
      <c r="AG143" s="92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-0.8946561367974557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20">
        <v>44.570999999999998</v>
      </c>
      <c r="C144" s="390"/>
      <c r="D144" s="393">
        <f t="shared" si="48"/>
        <v>45.276481950559877</v>
      </c>
      <c r="E144" s="385">
        <f t="shared" ref="E144:E169" si="69">Wh_pvt/(1-Psa)</f>
        <v>48.817634077313649</v>
      </c>
      <c r="F144" s="385">
        <f t="shared" si="49"/>
        <v>48.84982797740755</v>
      </c>
      <c r="G144" s="110">
        <f t="shared" ref="G144:G169" si="70">+Wh_hp/MaxiM</f>
        <v>0.81975089188085259</v>
      </c>
      <c r="H144" s="414" t="b">
        <f>Wh_hp&gt;='2019'!Maxi_hp</f>
        <v>1</v>
      </c>
      <c r="I144" s="380">
        <f>IF(H144,Wh_hp,'2019'!Maxi_hp)</f>
        <v>48.84982797740755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1.5581642392848316E-2</v>
      </c>
      <c r="M144" s="959"/>
      <c r="N144" s="959"/>
      <c r="O144" s="48">
        <f>IF(t&lt;Tnet,'2019'!Resal+('2019'!Salim-'2019'!Resal)*(1-EXP(('2019'!Tnet-t)/('2019'!Tau_j))),Resal+(Salim-Resal)*(1-EXP((Tnet-t)/(Tau_j))))*Salcycl</f>
        <v>7.253838072417769E-2</v>
      </c>
      <c r="P144" s="169">
        <f>(INDEX(Models!$BJ144:$BT144,,T144)*(1-R144)+INDEX(Models!$BJ144:$BT144,,T144+1)*R144-ERP_i)*Q144*Ramure*Pc/MaxiM</f>
        <v>8.8727226468964806E-4</v>
      </c>
      <c r="Q144" s="305">
        <f t="shared" si="51"/>
        <v>0.7</v>
      </c>
      <c r="R144" s="177">
        <f t="shared" si="52"/>
        <v>0.1088188567492625</v>
      </c>
      <c r="S144" s="921">
        <f t="shared" si="53"/>
        <v>-1</v>
      </c>
      <c r="T144" s="176">
        <f t="shared" si="54"/>
        <v>5</v>
      </c>
      <c r="U144" s="251">
        <f t="shared" si="55"/>
        <v>-0.8911811432507375</v>
      </c>
      <c r="V144" s="383">
        <f t="shared" si="56"/>
        <v>54.358977965019896</v>
      </c>
      <c r="W144" s="402"/>
      <c r="X144" s="157">
        <f t="shared" si="57"/>
        <v>43960</v>
      </c>
      <c r="Y144" s="385">
        <f t="shared" si="58"/>
        <v>44.570999999999998</v>
      </c>
      <c r="Z144" s="385">
        <f t="shared" si="59"/>
        <v>45.276481950559877</v>
      </c>
      <c r="AA144" s="386">
        <f t="shared" si="60"/>
        <v>48.817634077313649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7.253838072417769E-2</v>
      </c>
      <c r="AD144" s="231">
        <f>(INDEX(Models!$BJ144:$BT144,,AH144)*(1-AF144)+INDEX(Models!$BJ144:$BT144,,AH144+1)*AF144-ERP_i)*AE144*Ramure*Pc/MaxiM</f>
        <v>8.8727226468964806E-4</v>
      </c>
      <c r="AE144" s="305">
        <f t="shared" si="62"/>
        <v>0.7</v>
      </c>
      <c r="AF144" s="177">
        <f t="shared" si="63"/>
        <v>0.1088188567492625</v>
      </c>
      <c r="AG144" s="921">
        <f t="shared" ref="AG144:AG207" si="71">INDEX(Echel_vg,AH144)</f>
        <v>-1</v>
      </c>
      <c r="AH144" s="176">
        <f t="shared" si="64"/>
        <v>5</v>
      </c>
      <c r="AI144" s="225">
        <f t="shared" si="65"/>
        <v>-0.8911811432507375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20">
        <v>11.074999999999999</v>
      </c>
      <c r="C145" s="390"/>
      <c r="D145" s="393">
        <f t="shared" si="48"/>
        <v>11.250544537951452</v>
      </c>
      <c r="E145" s="385">
        <f t="shared" si="69"/>
        <v>12.131658151559293</v>
      </c>
      <c r="F145" s="385">
        <f t="shared" si="49"/>
        <v>12.131658151559293</v>
      </c>
      <c r="G145" s="110">
        <f t="shared" si="70"/>
        <v>0.20348493856174271</v>
      </c>
      <c r="H145" s="414" t="b">
        <f>Wh_hp&gt;='2019'!Maxi_hp</f>
        <v>0</v>
      </c>
      <c r="I145" s="380">
        <f>IF(H145,Wh_hp,'2019'!Maxi_hp)</f>
        <v>38.038773139907207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1.5603203681323063E-2</v>
      </c>
      <c r="M145" s="959"/>
      <c r="N145" s="959"/>
      <c r="O145" s="48">
        <f>IF(t&lt;Tnet,'2019'!Resal+('2019'!Salim-'2019'!Resal)*(1-EXP(('2019'!Tnet-t)/('2019'!Tau_j))),Resal+(Salim-Resal)*(1-EXP((Tnet-t)/(Tau_j))))*Salcycl</f>
        <v>7.2629281389254438E-2</v>
      </c>
      <c r="P145" s="169">
        <f>(INDEX(Models!$BJ145:$BT145,,T145)*(1-R145)+INDEX(Models!$BJ145:$BT145,,T145+1)*R145-ERP_i)*Q145*Ramure*Pc/MaxiM</f>
        <v>9.4076592406037887E-4</v>
      </c>
      <c r="Q145" s="305">
        <f t="shared" si="51"/>
        <v>0.7</v>
      </c>
      <c r="R145" s="177">
        <f t="shared" si="52"/>
        <v>0.11237515780762675</v>
      </c>
      <c r="S145" s="921">
        <f t="shared" si="53"/>
        <v>-1</v>
      </c>
      <c r="T145" s="176">
        <f t="shared" si="54"/>
        <v>5</v>
      </c>
      <c r="U145" s="251">
        <f t="shared" si="55"/>
        <v>-0.88762484219237325</v>
      </c>
      <c r="V145" s="383">
        <f t="shared" si="56"/>
        <v>54.375429924184495</v>
      </c>
      <c r="W145" s="402"/>
      <c r="X145" s="157">
        <f t="shared" si="57"/>
        <v>43961</v>
      </c>
      <c r="Y145" s="385">
        <f t="shared" si="58"/>
        <v>11.074999999999999</v>
      </c>
      <c r="Z145" s="385">
        <f t="shared" si="59"/>
        <v>11.250544537951452</v>
      </c>
      <c r="AA145" s="386">
        <f t="shared" si="60"/>
        <v>12.131658151559293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7.2629281389254438E-2</v>
      </c>
      <c r="AD145" s="231">
        <f>(INDEX(Models!$BJ145:$BT145,,AH145)*(1-AF145)+INDEX(Models!$BJ145:$BT145,,AH145+1)*AF145-ERP_i)*AE145*Ramure*Pc/MaxiM</f>
        <v>9.4076592406037887E-4</v>
      </c>
      <c r="AE145" s="305">
        <f t="shared" si="62"/>
        <v>0.7</v>
      </c>
      <c r="AF145" s="177">
        <f t="shared" si="63"/>
        <v>0.11237515780762675</v>
      </c>
      <c r="AG145" s="921">
        <f t="shared" si="71"/>
        <v>-1</v>
      </c>
      <c r="AH145" s="176">
        <f t="shared" si="64"/>
        <v>5</v>
      </c>
      <c r="AI145" s="225">
        <f t="shared" si="65"/>
        <v>-0.88762484219237325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20">
        <v>5.359</v>
      </c>
      <c r="C146" s="390"/>
      <c r="D146" s="393">
        <f t="shared" si="48"/>
        <v>5.4440621896228754</v>
      </c>
      <c r="E146" s="385">
        <f t="shared" si="69"/>
        <v>5.871007128351426</v>
      </c>
      <c r="F146" s="385">
        <f t="shared" si="49"/>
        <v>5.871007128351426</v>
      </c>
      <c r="G146" s="110">
        <f t="shared" si="70"/>
        <v>9.8431950639539023E-2</v>
      </c>
      <c r="H146" s="414" t="b">
        <f>Wh_hp&gt;='2019'!Maxi_hp</f>
        <v>0</v>
      </c>
      <c r="I146" s="380">
        <f>IF(H146,Wh_hp,'2019'!Maxi_hp)</f>
        <v>54.342875304504368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1.5624764497550236E-2</v>
      </c>
      <c r="M146" s="959"/>
      <c r="N146" s="959"/>
      <c r="O146" s="48">
        <f>IF(t&lt;Tnet,'2019'!Resal+('2019'!Salim-'2019'!Resal)*(1-EXP(('2019'!Tnet-t)/('2019'!Tau_j))),Resal+(Salim-Resal)*(1-EXP((Tnet-t)/(Tau_j))))*Salcycl</f>
        <v>7.2720902801635026E-2</v>
      </c>
      <c r="P146" s="169">
        <f>(INDEX(Models!$BJ146:$BT146,,T146)*(1-R146)+INDEX(Models!$BJ146:$BT146,,T146+1)*R146-ERP_i)*Q146*Ramure*Pc/MaxiM</f>
        <v>9.9581522818043542E-4</v>
      </c>
      <c r="Q146" s="305">
        <f t="shared" si="51"/>
        <v>0.7</v>
      </c>
      <c r="R146" s="177">
        <f t="shared" si="52"/>
        <v>0.11601254545545547</v>
      </c>
      <c r="S146" s="921">
        <f t="shared" si="53"/>
        <v>-1</v>
      </c>
      <c r="T146" s="176">
        <f t="shared" si="54"/>
        <v>5</v>
      </c>
      <c r="U146" s="251">
        <f t="shared" si="55"/>
        <v>-0.88398745454454453</v>
      </c>
      <c r="V146" s="383">
        <f t="shared" si="56"/>
        <v>54.389488285134874</v>
      </c>
      <c r="W146" s="402"/>
      <c r="X146" s="157">
        <f t="shared" si="57"/>
        <v>43962</v>
      </c>
      <c r="Y146" s="385">
        <f t="shared" si="58"/>
        <v>5.359</v>
      </c>
      <c r="Z146" s="385">
        <f t="shared" si="59"/>
        <v>5.4440621896228754</v>
      </c>
      <c r="AA146" s="386">
        <f t="shared" si="60"/>
        <v>5.871007128351426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7.2720902801635026E-2</v>
      </c>
      <c r="AD146" s="231">
        <f>(INDEX(Models!$BJ146:$BT146,,AH146)*(1-AF146)+INDEX(Models!$BJ146:$BT146,,AH146+1)*AF146-ERP_i)*AE146*Ramure*Pc/MaxiM</f>
        <v>9.9581522818043542E-4</v>
      </c>
      <c r="AE146" s="305">
        <f t="shared" si="62"/>
        <v>0.7</v>
      </c>
      <c r="AF146" s="177">
        <f t="shared" si="63"/>
        <v>0.11601254545545547</v>
      </c>
      <c r="AG146" s="921">
        <f t="shared" si="71"/>
        <v>-1</v>
      </c>
      <c r="AH146" s="176">
        <f t="shared" si="64"/>
        <v>5</v>
      </c>
      <c r="AI146" s="225">
        <f t="shared" si="65"/>
        <v>-0.88398745454454453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20">
        <v>18.669</v>
      </c>
      <c r="C147" s="390"/>
      <c r="D147" s="393">
        <f t="shared" si="48"/>
        <v>18.965744194529158</v>
      </c>
      <c r="E147" s="385">
        <f t="shared" si="69"/>
        <v>20.455149216565619</v>
      </c>
      <c r="F147" s="385">
        <f t="shared" si="49"/>
        <v>20.456477004103952</v>
      </c>
      <c r="G147" s="110">
        <f t="shared" si="70"/>
        <v>0.34283208700650331</v>
      </c>
      <c r="H147" s="414" t="b">
        <f>Wh_hp&gt;='2019'!Maxi_hp</f>
        <v>0</v>
      </c>
      <c r="I147" s="380">
        <f>IF(H147,Wh_hp,'2019'!Maxi_hp)</f>
        <v>61.987907498178245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1.564632484154016E-2</v>
      </c>
      <c r="M147" s="959"/>
      <c r="N147" s="959"/>
      <c r="O147" s="48">
        <f>IF(t&lt;Tnet,'2019'!Resal+('2019'!Salim-'2019'!Resal)*(1-EXP(('2019'!Tnet-t)/('2019'!Tau_j))),Resal+(Salim-Resal)*(1-EXP((Tnet-t)/(Tau_j))))*Salcycl</f>
        <v>7.2813207386933379E-2</v>
      </c>
      <c r="P147" s="169">
        <f>(INDEX(Models!$BJ147:$BT147,,T147)*(1-R147)+INDEX(Models!$BJ147:$BT147,,T147+1)*R147-ERP_i)*Q147*Ramure*Pc/MaxiM</f>
        <v>1.0524551834720354E-3</v>
      </c>
      <c r="Q147" s="305">
        <f t="shared" si="51"/>
        <v>0.7</v>
      </c>
      <c r="R147" s="177">
        <f t="shared" si="52"/>
        <v>0.11973064858090765</v>
      </c>
      <c r="S147" s="921">
        <f t="shared" si="53"/>
        <v>-1</v>
      </c>
      <c r="T147" s="176">
        <f t="shared" si="54"/>
        <v>5</v>
      </c>
      <c r="U147" s="251">
        <f t="shared" si="55"/>
        <v>-0.88026935141909235</v>
      </c>
      <c r="V147" s="383">
        <f t="shared" si="56"/>
        <v>54.401448961168811</v>
      </c>
      <c r="W147" s="402"/>
      <c r="X147" s="157">
        <f t="shared" si="57"/>
        <v>43963</v>
      </c>
      <c r="Y147" s="385">
        <f t="shared" si="58"/>
        <v>18.669</v>
      </c>
      <c r="Z147" s="385">
        <f t="shared" si="59"/>
        <v>18.965744194529158</v>
      </c>
      <c r="AA147" s="386">
        <f t="shared" si="60"/>
        <v>20.455149216565619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7.2813207386933379E-2</v>
      </c>
      <c r="AD147" s="231">
        <f>(INDEX(Models!$BJ147:$BT147,,AH147)*(1-AF147)+INDEX(Models!$BJ147:$BT147,,AH147+1)*AF147-ERP_i)*AE147*Ramure*Pc/MaxiM</f>
        <v>1.0524551834720354E-3</v>
      </c>
      <c r="AE147" s="305">
        <f t="shared" si="62"/>
        <v>0.7</v>
      </c>
      <c r="AF147" s="177">
        <f t="shared" si="63"/>
        <v>0.11973064858090765</v>
      </c>
      <c r="AG147" s="921">
        <f t="shared" si="71"/>
        <v>-1</v>
      </c>
      <c r="AH147" s="176">
        <f t="shared" si="64"/>
        <v>5</v>
      </c>
      <c r="AI147" s="225">
        <f t="shared" si="65"/>
        <v>-0.88026935141909235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20">
        <v>29.655999999999999</v>
      </c>
      <c r="C148" s="390"/>
      <c r="D148" s="393">
        <f t="shared" si="48"/>
        <v>30.128042699655683</v>
      </c>
      <c r="E148" s="385">
        <f t="shared" si="69"/>
        <v>32.497295572684699</v>
      </c>
      <c r="F148" s="385">
        <f t="shared" si="49"/>
        <v>32.509935450218613</v>
      </c>
      <c r="G148" s="110">
        <f t="shared" si="70"/>
        <v>0.54463713876476527</v>
      </c>
      <c r="H148" s="414" t="b">
        <f>Wh_hp&gt;='2019'!Maxi_hp</f>
        <v>0</v>
      </c>
      <c r="I148" s="380">
        <f>IF(H148,Wh_hp,'2019'!Maxi_hp)</f>
        <v>60.924968033525275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1.5667884713303271E-2</v>
      </c>
      <c r="M148" s="959"/>
      <c r="N148" s="959"/>
      <c r="O148" s="48">
        <f>IF(t&lt;Tnet,'2019'!Resal+('2019'!Salim-'2019'!Resal)*(1-EXP(('2019'!Tnet-t)/('2019'!Tau_j))),Resal+(Salim-Resal)*(1-EXP((Tnet-t)/(Tau_j))))*Salcycl</f>
        <v>7.2906155151583496E-2</v>
      </c>
      <c r="P148" s="169">
        <f>(INDEX(Models!$BJ148:$BT148,,T148)*(1-R148)+INDEX(Models!$BJ148:$BT148,,T148+1)*R148-ERP_i)*Q148*Ramure*Pc/MaxiM</f>
        <v>1.1107189785671298E-3</v>
      </c>
      <c r="Q148" s="305">
        <f t="shared" si="51"/>
        <v>0.7</v>
      </c>
      <c r="R148" s="177">
        <f t="shared" si="52"/>
        <v>0.12352894014651006</v>
      </c>
      <c r="S148" s="921">
        <f t="shared" si="53"/>
        <v>-1</v>
      </c>
      <c r="T148" s="176">
        <f t="shared" si="54"/>
        <v>5</v>
      </c>
      <c r="U148" s="251">
        <f t="shared" si="55"/>
        <v>-0.87647105985348994</v>
      </c>
      <c r="V148" s="383">
        <f t="shared" si="56"/>
        <v>54.41160792702977</v>
      </c>
      <c r="W148" s="402"/>
      <c r="X148" s="157">
        <f t="shared" si="57"/>
        <v>43964</v>
      </c>
      <c r="Y148" s="385">
        <f t="shared" si="58"/>
        <v>29.655999999999995</v>
      </c>
      <c r="Z148" s="385">
        <f t="shared" si="59"/>
        <v>30.12804269965568</v>
      </c>
      <c r="AA148" s="386">
        <f t="shared" si="60"/>
        <v>32.497295572684699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7.2906155151583496E-2</v>
      </c>
      <c r="AD148" s="231">
        <f>(INDEX(Models!$BJ148:$BT148,,AH148)*(1-AF148)+INDEX(Models!$BJ148:$BT148,,AH148+1)*AF148-ERP_i)*AE148*Ramure*Pc/MaxiM</f>
        <v>1.1107189785671298E-3</v>
      </c>
      <c r="AE148" s="305">
        <f t="shared" si="62"/>
        <v>0.7</v>
      </c>
      <c r="AF148" s="177">
        <f t="shared" si="63"/>
        <v>0.12352894014651006</v>
      </c>
      <c r="AG148" s="921">
        <f t="shared" si="71"/>
        <v>-1</v>
      </c>
      <c r="AH148" s="176">
        <f t="shared" si="64"/>
        <v>5</v>
      </c>
      <c r="AI148" s="225">
        <f t="shared" si="65"/>
        <v>-0.87647105985348994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20">
        <v>17.96</v>
      </c>
      <c r="C149" s="390"/>
      <c r="D149" s="393">
        <f t="shared" si="48"/>
        <v>18.246273894536074</v>
      </c>
      <c r="E149" s="385">
        <f t="shared" si="69"/>
        <v>19.683137068922065</v>
      </c>
      <c r="F149" s="385">
        <f t="shared" si="49"/>
        <v>19.684125626800341</v>
      </c>
      <c r="G149" s="110">
        <f t="shared" si="70"/>
        <v>0.32966010580644206</v>
      </c>
      <c r="H149" s="414" t="b">
        <f>Wh_hp&gt;='2019'!Maxi_hp</f>
        <v>0</v>
      </c>
      <c r="I149" s="380">
        <f>IF(H149,Wh_hp,'2019'!Maxi_hp)</f>
        <v>61.115724809852011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1.5689444112849782E-2</v>
      </c>
      <c r="M149" s="959"/>
      <c r="N149" s="959"/>
      <c r="O149" s="48">
        <f>IF(t&lt;Tnet,'2019'!Resal+('2019'!Salim-'2019'!Resal)*(1-EXP(('2019'!Tnet-t)/('2019'!Tau_j))),Resal+(Salim-Resal)*(1-EXP((Tnet-t)/(Tau_j))))*Salcycl</f>
        <v>7.2999703723786474E-2</v>
      </c>
      <c r="P149" s="169">
        <f>(INDEX(Models!$BJ149:$BT149,,T149)*(1-R149)+INDEX(Models!$BJ149:$BT149,,T149+1)*R149-ERP_i)*Q149*Ramure*Pc/MaxiM</f>
        <v>1.1706581602854065E-3</v>
      </c>
      <c r="Q149" s="305">
        <f t="shared" si="51"/>
        <v>0.7</v>
      </c>
      <c r="R149" s="177">
        <f t="shared" si="52"/>
        <v>0.1274067318615496</v>
      </c>
      <c r="S149" s="921">
        <f t="shared" si="53"/>
        <v>-1</v>
      </c>
      <c r="T149" s="176">
        <f t="shared" si="54"/>
        <v>5</v>
      </c>
      <c r="U149" s="251">
        <f t="shared" si="55"/>
        <v>-0.8725932681384504</v>
      </c>
      <c r="V149" s="383">
        <f t="shared" si="56"/>
        <v>54.419311355086343</v>
      </c>
      <c r="W149" s="402"/>
      <c r="X149" s="157">
        <f t="shared" si="57"/>
        <v>43965</v>
      </c>
      <c r="Y149" s="385">
        <f t="shared" si="58"/>
        <v>17.96</v>
      </c>
      <c r="Z149" s="385">
        <f t="shared" si="59"/>
        <v>18.246273894536074</v>
      </c>
      <c r="AA149" s="386">
        <f t="shared" si="60"/>
        <v>19.683137068922065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7.2999703723786474E-2</v>
      </c>
      <c r="AD149" s="231">
        <f>(INDEX(Models!$BJ149:$BT149,,AH149)*(1-AF149)+INDEX(Models!$BJ149:$BT149,,AH149+1)*AF149-ERP_i)*AE149*Ramure*Pc/MaxiM</f>
        <v>1.1706581602854065E-3</v>
      </c>
      <c r="AE149" s="305">
        <f t="shared" si="62"/>
        <v>0.7</v>
      </c>
      <c r="AF149" s="177">
        <f t="shared" si="63"/>
        <v>0.1274067318615496</v>
      </c>
      <c r="AG149" s="921">
        <f t="shared" si="71"/>
        <v>-1</v>
      </c>
      <c r="AH149" s="176">
        <f t="shared" si="64"/>
        <v>5</v>
      </c>
      <c r="AI149" s="225">
        <f t="shared" si="65"/>
        <v>-0.8725932681384504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20">
        <v>15.401</v>
      </c>
      <c r="C150" s="390"/>
      <c r="D150" s="393">
        <f t="shared" si="48"/>
        <v>15.646827352098144</v>
      </c>
      <c r="E150" s="385">
        <f t="shared" si="69"/>
        <v>16.880702161686589</v>
      </c>
      <c r="F150" s="385">
        <f t="shared" si="49"/>
        <v>16.880702161686589</v>
      </c>
      <c r="G150" s="110">
        <f t="shared" si="70"/>
        <v>0.28263421472823025</v>
      </c>
      <c r="H150" s="414" t="b">
        <f>Wh_hp&gt;='2019'!Maxi_hp</f>
        <v>0</v>
      </c>
      <c r="I150" s="380">
        <f>IF(H150,Wh_hp,'2019'!Maxi_hp)</f>
        <v>53.059049152756259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1.571100304019013E-2</v>
      </c>
      <c r="M150" s="959"/>
      <c r="N150" s="959"/>
      <c r="O150" s="48">
        <f>IF(t&lt;Tnet,'2019'!Resal+('2019'!Salim-'2019'!Resal)*(1-EXP(('2019'!Tnet-t)/('2019'!Tau_j))),Resal+(Salim-Resal)*(1-EXP((Tnet-t)/(Tau_j))))*Salcycl</f>
        <v>7.3093808407384692E-2</v>
      </c>
      <c r="P150" s="169">
        <f>(INDEX(Models!$BJ150:$BT150,,T150)*(1-R150)+INDEX(Models!$BJ150:$BT150,,T150+1)*R150-ERP_i)*Q150*Ramure*Pc/MaxiM</f>
        <v>1.2322789533264252E-3</v>
      </c>
      <c r="Q150" s="305">
        <f t="shared" si="51"/>
        <v>0.7</v>
      </c>
      <c r="R150" s="177">
        <f t="shared" si="52"/>
        <v>0.13136316932267578</v>
      </c>
      <c r="S150" s="921">
        <f t="shared" si="53"/>
        <v>-1</v>
      </c>
      <c r="T150" s="176">
        <f t="shared" si="54"/>
        <v>5</v>
      </c>
      <c r="U150" s="251">
        <f t="shared" si="55"/>
        <v>-0.86863683067732422</v>
      </c>
      <c r="V150" s="383">
        <f t="shared" si="56"/>
        <v>54.423777696661951</v>
      </c>
      <c r="W150" s="402"/>
      <c r="X150" s="157">
        <f t="shared" si="57"/>
        <v>43966</v>
      </c>
      <c r="Y150" s="385">
        <f t="shared" si="58"/>
        <v>15.401</v>
      </c>
      <c r="Z150" s="385">
        <f t="shared" si="59"/>
        <v>15.646827352098144</v>
      </c>
      <c r="AA150" s="386">
        <f t="shared" si="60"/>
        <v>16.880702161686589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7.3093808407384692E-2</v>
      </c>
      <c r="AD150" s="231">
        <f>(INDEX(Models!$BJ150:$BT150,,AH150)*(1-AF150)+INDEX(Models!$BJ150:$BT150,,AH150+1)*AF150-ERP_i)*AE150*Ramure*Pc/MaxiM</f>
        <v>1.2322789533264252E-3</v>
      </c>
      <c r="AE150" s="305">
        <f t="shared" si="62"/>
        <v>0.7</v>
      </c>
      <c r="AF150" s="177">
        <f t="shared" si="63"/>
        <v>0.13136316932267578</v>
      </c>
      <c r="AG150" s="921">
        <f t="shared" si="71"/>
        <v>-1</v>
      </c>
      <c r="AH150" s="176">
        <f t="shared" si="64"/>
        <v>5</v>
      </c>
      <c r="AI150" s="225">
        <f t="shared" si="65"/>
        <v>-0.86863683067732422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20">
        <v>31.707000000000001</v>
      </c>
      <c r="C151" s="390"/>
      <c r="D151" s="393">
        <f t="shared" si="48"/>
        <v>32.213805678841126</v>
      </c>
      <c r="E151" s="385">
        <f t="shared" si="69"/>
        <v>34.757664289231379</v>
      </c>
      <c r="F151" s="385">
        <f t="shared" si="49"/>
        <v>34.775845846166014</v>
      </c>
      <c r="G151" s="110">
        <f t="shared" si="70"/>
        <v>0.58212993198592977</v>
      </c>
      <c r="H151" s="414" t="b">
        <f>Wh_hp&gt;='2019'!Maxi_hp</f>
        <v>1</v>
      </c>
      <c r="I151" s="380">
        <f>IF(H151,Wh_hp,'2019'!Maxi_hp)</f>
        <v>34.775845846166014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1.573256149533464E-2</v>
      </c>
      <c r="M151" s="959"/>
      <c r="N151" s="959"/>
      <c r="O151" s="48">
        <f>IF(t&lt;Tnet,'2019'!Resal+('2019'!Salim-'2019'!Resal)*(1-EXP(('2019'!Tnet-t)/('2019'!Tau_j))),Resal+(Salim-Resal)*(1-EXP((Tnet-t)/(Tau_j))))*Salcycl</f>
        <v>7.3188422249028759E-2</v>
      </c>
      <c r="P151" s="169">
        <f>(INDEX(Models!$BJ151:$BT151,,T151)*(1-R151)+INDEX(Models!$BJ151:$BT151,,T151+1)*R151-ERP_i)*Q151*Ramure*Pc/MaxiM</f>
        <v>1.2951195070411232E-3</v>
      </c>
      <c r="Q151" s="305">
        <f t="shared" si="51"/>
        <v>0.7</v>
      </c>
      <c r="R151" s="177">
        <f t="shared" si="52"/>
        <v>0.13539722768264961</v>
      </c>
      <c r="S151" s="921">
        <f t="shared" si="53"/>
        <v>-1</v>
      </c>
      <c r="T151" s="176">
        <f t="shared" si="54"/>
        <v>5</v>
      </c>
      <c r="U151" s="251">
        <f t="shared" si="55"/>
        <v>-0.86460277231735039</v>
      </c>
      <c r="V151" s="383">
        <f t="shared" si="56"/>
        <v>54.425134655340621</v>
      </c>
      <c r="W151" s="402"/>
      <c r="X151" s="157">
        <f t="shared" si="57"/>
        <v>43967</v>
      </c>
      <c r="Y151" s="385">
        <f t="shared" si="58"/>
        <v>31.706999999999997</v>
      </c>
      <c r="Z151" s="385">
        <f t="shared" si="59"/>
        <v>32.213805678841126</v>
      </c>
      <c r="AA151" s="386">
        <f t="shared" si="60"/>
        <v>34.757664289231379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7.3188422249028759E-2</v>
      </c>
      <c r="AD151" s="231">
        <f>(INDEX(Models!$BJ151:$BT151,,AH151)*(1-AF151)+INDEX(Models!$BJ151:$BT151,,AH151+1)*AF151-ERP_i)*AE151*Ramure*Pc/MaxiM</f>
        <v>1.2951195070411232E-3</v>
      </c>
      <c r="AE151" s="305">
        <f t="shared" si="62"/>
        <v>0.7</v>
      </c>
      <c r="AF151" s="177">
        <f t="shared" si="63"/>
        <v>0.13539722768264961</v>
      </c>
      <c r="AG151" s="921">
        <f t="shared" si="71"/>
        <v>-1</v>
      </c>
      <c r="AH151" s="176">
        <f t="shared" si="64"/>
        <v>5</v>
      </c>
      <c r="AI151" s="225">
        <f t="shared" si="65"/>
        <v>-0.86460277231735039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20">
        <v>54.311</v>
      </c>
      <c r="C152" s="390"/>
      <c r="D152" s="393">
        <f t="shared" si="48"/>
        <v>55.180317311779945</v>
      </c>
      <c r="E152" s="385">
        <f t="shared" si="69"/>
        <v>59.543902672159554</v>
      </c>
      <c r="F152" s="385">
        <f t="shared" si="49"/>
        <v>59.62470514235855</v>
      </c>
      <c r="G152" s="110">
        <f t="shared" si="70"/>
        <v>0.99792916314288138</v>
      </c>
      <c r="H152" s="414" t="b">
        <f>Wh_hp&gt;='2019'!Maxi_hp</f>
        <v>1</v>
      </c>
      <c r="I152" s="380">
        <f>IF(H152,Wh_hp,'2019'!Maxi_hp)</f>
        <v>59.62470514235855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1.5754119478293749E-2</v>
      </c>
      <c r="M152" s="959"/>
      <c r="N152" s="959"/>
      <c r="O152" s="48">
        <f>IF(t&lt;Tnet,'2019'!Resal+('2019'!Salim-'2019'!Resal)*(1-EXP(('2019'!Tnet-t)/('2019'!Tau_j))),Resal+(Salim-Resal)*(1-EXP((Tnet-t)/(Tau_j))))*Salcycl</f>
        <v>7.3283496118904168E-2</v>
      </c>
      <c r="P152" s="169">
        <f>(INDEX(Models!$BJ152:$BT152,,T152)*(1-R152)+INDEX(Models!$BJ152:$BT152,,T152+1)*R152-ERP_i)*Q152*Ramure*Pc/MaxiM</f>
        <v>1.3591975783816233E-3</v>
      </c>
      <c r="Q152" s="305">
        <f t="shared" si="51"/>
        <v>0.7</v>
      </c>
      <c r="R152" s="177">
        <f t="shared" si="52"/>
        <v>0.13950770790660671</v>
      </c>
      <c r="S152" s="921">
        <f t="shared" si="53"/>
        <v>-1</v>
      </c>
      <c r="T152" s="176">
        <f t="shared" si="54"/>
        <v>5</v>
      </c>
      <c r="U152" s="251">
        <f t="shared" si="55"/>
        <v>-0.86049229209339329</v>
      </c>
      <c r="V152" s="383">
        <f t="shared" si="56"/>
        <v>54.423483900788156</v>
      </c>
      <c r="W152" s="402"/>
      <c r="X152" s="157">
        <f t="shared" si="57"/>
        <v>43968</v>
      </c>
      <c r="Y152" s="385">
        <f t="shared" si="58"/>
        <v>54.311</v>
      </c>
      <c r="Z152" s="385">
        <f t="shared" si="59"/>
        <v>55.180317311779945</v>
      </c>
      <c r="AA152" s="386">
        <f t="shared" si="60"/>
        <v>59.543902672159554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7.3283496118904168E-2</v>
      </c>
      <c r="AD152" s="231">
        <f>(INDEX(Models!$BJ152:$BT152,,AH152)*(1-AF152)+INDEX(Models!$BJ152:$BT152,,AH152+1)*AF152-ERP_i)*AE152*Ramure*Pc/MaxiM</f>
        <v>1.3591975783816233E-3</v>
      </c>
      <c r="AE152" s="305">
        <f t="shared" si="62"/>
        <v>0.7</v>
      </c>
      <c r="AF152" s="177">
        <f t="shared" si="63"/>
        <v>0.13950770790660671</v>
      </c>
      <c r="AG152" s="921">
        <f t="shared" si="71"/>
        <v>-1</v>
      </c>
      <c r="AH152" s="176">
        <f t="shared" si="64"/>
        <v>5</v>
      </c>
      <c r="AI152" s="225">
        <f t="shared" si="65"/>
        <v>-0.86049229209339329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20">
        <v>54.438000000000002</v>
      </c>
      <c r="C153" s="390"/>
      <c r="D153" s="393">
        <f t="shared" si="48"/>
        <v>55.310561553146947</v>
      </c>
      <c r="E153" s="385">
        <f t="shared" si="69"/>
        <v>59.690596574020326</v>
      </c>
      <c r="F153" s="385">
        <f t="shared" si="49"/>
        <v>59.775748831066402</v>
      </c>
      <c r="G153" s="110">
        <f t="shared" si="70"/>
        <v>1.0003504789062494</v>
      </c>
      <c r="H153" s="414" t="b">
        <f>Wh_hp&gt;='2019'!Maxi_hp</f>
        <v>1</v>
      </c>
      <c r="I153" s="380">
        <f>IF(H153,Wh_hp,'2019'!Maxi_hp)</f>
        <v>59.775748831066402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1.5775676989077669E-2</v>
      </c>
      <c r="M153" s="959"/>
      <c r="N153" s="959"/>
      <c r="O153" s="48">
        <f>IF(t&lt;Tnet,'2019'!Resal+('2019'!Salim-'2019'!Resal)*(1-EXP(('2019'!Tnet-t)/('2019'!Tau_j))),Resal+(Salim-Resal)*(1-EXP((Tnet-t)/(Tau_j))))*Salcycl</f>
        <v>7.337897880517652E-2</v>
      </c>
      <c r="P153" s="169">
        <f>(INDEX(Models!$BJ153:$BT153,,T153)*(1-R153)+INDEX(Models!$BJ153:$BT153,,T153+1)*R153-ERP_i)*Q153*Ramure*Pc/MaxiM</f>
        <v>1.4245284870746688E-3</v>
      </c>
      <c r="Q153" s="305">
        <f t="shared" si="51"/>
        <v>0.7</v>
      </c>
      <c r="R153" s="177">
        <f t="shared" si="52"/>
        <v>0.14369323367390319</v>
      </c>
      <c r="S153" s="921">
        <f t="shared" si="53"/>
        <v>-1</v>
      </c>
      <c r="T153" s="176">
        <f t="shared" si="54"/>
        <v>5</v>
      </c>
      <c r="U153" s="251">
        <f t="shared" si="55"/>
        <v>-0.85630676632609681</v>
      </c>
      <c r="V153" s="383">
        <f t="shared" si="56"/>
        <v>54.418927313875777</v>
      </c>
      <c r="W153" s="402"/>
      <c r="X153" s="157">
        <f t="shared" si="57"/>
        <v>43969</v>
      </c>
      <c r="Y153" s="385">
        <f t="shared" si="58"/>
        <v>54.438000000000002</v>
      </c>
      <c r="Z153" s="385">
        <f t="shared" si="59"/>
        <v>55.310561553146947</v>
      </c>
      <c r="AA153" s="386">
        <f t="shared" si="60"/>
        <v>59.690596574020326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7.337897880517652E-2</v>
      </c>
      <c r="AD153" s="231">
        <f>(INDEX(Models!$BJ153:$BT153,,AH153)*(1-AF153)+INDEX(Models!$BJ153:$BT153,,AH153+1)*AF153-ERP_i)*AE153*Ramure*Pc/MaxiM</f>
        <v>1.4245284870746688E-3</v>
      </c>
      <c r="AE153" s="305">
        <f t="shared" si="62"/>
        <v>0.7</v>
      </c>
      <c r="AF153" s="177">
        <f t="shared" si="63"/>
        <v>0.14369323367390319</v>
      </c>
      <c r="AG153" s="921">
        <f t="shared" si="71"/>
        <v>-1</v>
      </c>
      <c r="AH153" s="176">
        <f t="shared" si="64"/>
        <v>5</v>
      </c>
      <c r="AI153" s="225">
        <f t="shared" si="65"/>
        <v>-0.85630676632609681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20">
        <v>51.847000000000001</v>
      </c>
      <c r="C154" s="390"/>
      <c r="D154" s="393">
        <f t="shared" si="48"/>
        <v>52.679185420475683</v>
      </c>
      <c r="E154" s="385">
        <f t="shared" si="69"/>
        <v>56.856722724851949</v>
      </c>
      <c r="F154" s="385">
        <f t="shared" si="49"/>
        <v>56.935904842427306</v>
      </c>
      <c r="G154" s="110">
        <f t="shared" si="70"/>
        <v>0.95277144406682701</v>
      </c>
      <c r="H154" s="414" t="b">
        <f>Wh_hp&gt;='2019'!Maxi_hp</f>
        <v>1</v>
      </c>
      <c r="I154" s="380">
        <f>IF(H154,Wh_hp,'2019'!Maxi_hp)</f>
        <v>56.935904842427306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1.5797234027696727E-2</v>
      </c>
      <c r="M154" s="959"/>
      <c r="N154" s="959"/>
      <c r="O154" s="48">
        <f>IF(t&lt;Tnet,'2019'!Resal+('2019'!Salim-'2019'!Resal)*(1-EXP(('2019'!Tnet-t)/('2019'!Tau_j))),Resal+(Salim-Resal)*(1-EXP((Tnet-t)/(Tau_j))))*Salcycl</f>
        <v>7.347481712220244E-2</v>
      </c>
      <c r="P154" s="169">
        <f>(INDEX(Models!$BJ154:$BT154,,T154)*(1-R154)+INDEX(Models!$BJ154:$BT154,,T154+1)*R154-ERP_i)*Q154*Ramure*Pc/MaxiM</f>
        <v>1.4911249738006102E-3</v>
      </c>
      <c r="Q154" s="305">
        <f t="shared" si="51"/>
        <v>0.7</v>
      </c>
      <c r="R154" s="177">
        <f t="shared" si="52"/>
        <v>0.14795224898156378</v>
      </c>
      <c r="S154" s="921">
        <f t="shared" si="53"/>
        <v>-1</v>
      </c>
      <c r="T154" s="176">
        <f t="shared" si="54"/>
        <v>5</v>
      </c>
      <c r="U154" s="251">
        <f t="shared" si="55"/>
        <v>-0.85204775101843622</v>
      </c>
      <c r="V154" s="383">
        <f t="shared" si="56"/>
        <v>54.411566985292652</v>
      </c>
      <c r="W154" s="402"/>
      <c r="X154" s="157">
        <f t="shared" si="57"/>
        <v>43970</v>
      </c>
      <c r="Y154" s="385">
        <f t="shared" si="58"/>
        <v>51.847000000000001</v>
      </c>
      <c r="Z154" s="385">
        <f t="shared" si="59"/>
        <v>52.679185420475683</v>
      </c>
      <c r="AA154" s="386">
        <f t="shared" si="60"/>
        <v>56.856722724851949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7.347481712220244E-2</v>
      </c>
      <c r="AD154" s="231">
        <f>(INDEX(Models!$BJ154:$BT154,,AH154)*(1-AF154)+INDEX(Models!$BJ154:$BT154,,AH154+1)*AF154-ERP_i)*AE154*Ramure*Pc/MaxiM</f>
        <v>1.4911249738006102E-3</v>
      </c>
      <c r="AE154" s="305">
        <f t="shared" si="62"/>
        <v>0.7</v>
      </c>
      <c r="AF154" s="177">
        <f t="shared" si="63"/>
        <v>0.14795224898156378</v>
      </c>
      <c r="AG154" s="921">
        <f t="shared" si="71"/>
        <v>-1</v>
      </c>
      <c r="AH154" s="176">
        <f t="shared" si="64"/>
        <v>5</v>
      </c>
      <c r="AI154" s="225">
        <f t="shared" si="65"/>
        <v>-0.85204775101843622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20">
        <v>53.027999999999999</v>
      </c>
      <c r="C155" s="390"/>
      <c r="D155" s="393">
        <f t="shared" si="48"/>
        <v>53.880321523323538</v>
      </c>
      <c r="E155" s="385">
        <f t="shared" si="69"/>
        <v>58.159145456594679</v>
      </c>
      <c r="F155" s="385">
        <f t="shared" si="49"/>
        <v>58.246676654523853</v>
      </c>
      <c r="G155" s="110">
        <f t="shared" si="70"/>
        <v>0.97469754828194655</v>
      </c>
      <c r="H155" s="414" t="b">
        <f>Wh_hp&gt;='2019'!Maxi_hp</f>
        <v>1</v>
      </c>
      <c r="I155" s="380">
        <f>IF(H155,Wh_hp,'2019'!Maxi_hp)</f>
        <v>58.246676654523853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1.5818790594161358E-2</v>
      </c>
      <c r="M155" s="959"/>
      <c r="N155" s="959"/>
      <c r="O155" s="48">
        <f>IF(t&lt;Tnet,'2019'!Resal+('2019'!Salim-'2019'!Resal)*(1-EXP(('2019'!Tnet-t)/('2019'!Tau_j))),Resal+(Salim-Resal)*(1-EXP((Tnet-t)/(Tau_j))))*Salcycl</f>
        <v>7.3570956032435297E-2</v>
      </c>
      <c r="P155" s="169">
        <f>(INDEX(Models!$BJ155:$BT155,,T155)*(1-R155)+INDEX(Models!$BJ155:$BT155,,T155+1)*R155-ERP_i)*Q155*Ramure*Pc/MaxiM</f>
        <v>1.5589970619986052E-3</v>
      </c>
      <c r="Q155" s="305">
        <f t="shared" si="51"/>
        <v>0.7</v>
      </c>
      <c r="R155" s="177">
        <f t="shared" si="52"/>
        <v>0.15228301650250664</v>
      </c>
      <c r="S155" s="921">
        <f t="shared" si="53"/>
        <v>-1</v>
      </c>
      <c r="T155" s="176">
        <f t="shared" si="54"/>
        <v>5</v>
      </c>
      <c r="U155" s="251">
        <f t="shared" si="55"/>
        <v>-0.84771698349749336</v>
      </c>
      <c r="V155" s="383">
        <f t="shared" si="56"/>
        <v>54.401505216888566</v>
      </c>
      <c r="W155" s="402"/>
      <c r="X155" s="157">
        <f t="shared" si="57"/>
        <v>43971</v>
      </c>
      <c r="Y155" s="385">
        <f t="shared" si="58"/>
        <v>53.027999999999999</v>
      </c>
      <c r="Z155" s="385">
        <f t="shared" si="59"/>
        <v>53.880321523323538</v>
      </c>
      <c r="AA155" s="386">
        <f t="shared" si="60"/>
        <v>58.159145456594679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7.3570956032435297E-2</v>
      </c>
      <c r="AD155" s="231">
        <f>(INDEX(Models!$BJ155:$BT155,,AH155)*(1-AF155)+INDEX(Models!$BJ155:$BT155,,AH155+1)*AF155-ERP_i)*AE155*Ramure*Pc/MaxiM</f>
        <v>1.5589970619986052E-3</v>
      </c>
      <c r="AE155" s="305">
        <f t="shared" si="62"/>
        <v>0.7</v>
      </c>
      <c r="AF155" s="177">
        <f t="shared" si="63"/>
        <v>0.15228301650250664</v>
      </c>
      <c r="AG155" s="921">
        <f t="shared" si="71"/>
        <v>-1</v>
      </c>
      <c r="AH155" s="176">
        <f t="shared" si="64"/>
        <v>5</v>
      </c>
      <c r="AI155" s="225">
        <f t="shared" si="65"/>
        <v>-0.84771698349749336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20">
        <v>49.594000000000001</v>
      </c>
      <c r="C156" s="390"/>
      <c r="D156" s="393">
        <f t="shared" si="48"/>
        <v>50.392230399940914</v>
      </c>
      <c r="E156" s="385">
        <f t="shared" si="69"/>
        <v>54.399712446361441</v>
      </c>
      <c r="F156" s="385">
        <f t="shared" si="49"/>
        <v>54.477243213747045</v>
      </c>
      <c r="G156" s="110">
        <f t="shared" si="70"/>
        <v>0.91165422682930752</v>
      </c>
      <c r="H156" s="414" t="b">
        <f>Wh_hp&gt;='2019'!Maxi_hp</f>
        <v>0</v>
      </c>
      <c r="I156" s="380">
        <f>IF(H156,Wh_hp,'2019'!Maxi_hp)</f>
        <v>58.677512490213942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1.5840346688481777E-2</v>
      </c>
      <c r="M156" s="959"/>
      <c r="N156" s="959"/>
      <c r="O156" s="48">
        <f>IF(t&lt;Tnet,'2019'!Resal+('2019'!Salim-'2019'!Resal)*(1-EXP(('2019'!Tnet-t)/('2019'!Tau_j))),Resal+(Salim-Resal)*(1-EXP((Tnet-t)/(Tau_j))))*Salcycl</f>
        <v>7.3667338781835304E-2</v>
      </c>
      <c r="P156" s="169">
        <f>(INDEX(Models!$BJ156:$BT156,,T156)*(1-R156)+INDEX(Models!$BJ156:$BT156,,T156+1)*R156-ERP_i)*Q156*Ramure*Pc/MaxiM</f>
        <v>1.6282387480151968E-3</v>
      </c>
      <c r="Q156" s="305">
        <f t="shared" si="51"/>
        <v>0.7</v>
      </c>
      <c r="R156" s="177">
        <f t="shared" si="52"/>
        <v>0.1566836167480623</v>
      </c>
      <c r="S156" s="921">
        <f t="shared" si="53"/>
        <v>-1</v>
      </c>
      <c r="T156" s="176">
        <f t="shared" si="54"/>
        <v>5</v>
      </c>
      <c r="U156" s="251">
        <f t="shared" si="55"/>
        <v>-0.8433163832519377</v>
      </c>
      <c r="V156" s="383">
        <f t="shared" si="56"/>
        <v>54.388839783201739</v>
      </c>
      <c r="W156" s="402"/>
      <c r="X156" s="157">
        <f t="shared" si="57"/>
        <v>43972</v>
      </c>
      <c r="Y156" s="385">
        <f t="shared" si="58"/>
        <v>49.594000000000001</v>
      </c>
      <c r="Z156" s="385">
        <f t="shared" si="59"/>
        <v>50.392230399940914</v>
      </c>
      <c r="AA156" s="386">
        <f t="shared" si="60"/>
        <v>54.399712446361441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7.3667338781835304E-2</v>
      </c>
      <c r="AD156" s="231">
        <f>(INDEX(Models!$BJ156:$BT156,,AH156)*(1-AF156)+INDEX(Models!$BJ156:$BT156,,AH156+1)*AF156-ERP_i)*AE156*Ramure*Pc/MaxiM</f>
        <v>1.6282387480151968E-3</v>
      </c>
      <c r="AE156" s="305">
        <f t="shared" si="62"/>
        <v>0.7</v>
      </c>
      <c r="AF156" s="177">
        <f t="shared" si="63"/>
        <v>0.1566836167480623</v>
      </c>
      <c r="AG156" s="921">
        <f t="shared" si="71"/>
        <v>-1</v>
      </c>
      <c r="AH156" s="176">
        <f t="shared" si="64"/>
        <v>5</v>
      </c>
      <c r="AI156" s="225">
        <f t="shared" si="65"/>
        <v>-0.8433163832519377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20">
        <v>49.110999999999997</v>
      </c>
      <c r="C157" s="390"/>
      <c r="D157" s="393">
        <f t="shared" si="48"/>
        <v>49.902549363050014</v>
      </c>
      <c r="E157" s="385">
        <f t="shared" si="69"/>
        <v>53.876705672342418</v>
      </c>
      <c r="F157" s="385">
        <f t="shared" si="49"/>
        <v>53.955691624579302</v>
      </c>
      <c r="G157" s="110">
        <f t="shared" si="70"/>
        <v>0.90300031943322123</v>
      </c>
      <c r="H157" s="414" t="b">
        <f>Wh_hp&gt;='2019'!Maxi_hp</f>
        <v>1</v>
      </c>
      <c r="I157" s="380">
        <f>IF(H157,Wh_hp,'2019'!Maxi_hp)</f>
        <v>53.955691624579302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1.586190231066853E-2</v>
      </c>
      <c r="M157" s="959"/>
      <c r="N157" s="959"/>
      <c r="O157" s="48">
        <f>IF(t&lt;Tnet,'2019'!Resal+('2019'!Salim-'2019'!Resal)*(1-EXP(('2019'!Tnet-t)/('2019'!Tau_j))),Resal+(Salim-Resal)*(1-EXP((Tnet-t)/(Tau_j))))*Salcycl</f>
        <v>7.376390704846926E-2</v>
      </c>
      <c r="P157" s="169">
        <f>(INDEX(Models!$BJ157:$BT157,,T157)*(1-R157)+INDEX(Models!$BJ157:$BT157,,T157+1)*R157-ERP_i)*Q157*Ramure*Pc/MaxiM</f>
        <v>1.6987915709066833E-3</v>
      </c>
      <c r="Q157" s="305">
        <f t="shared" si="51"/>
        <v>0.7</v>
      </c>
      <c r="R157" s="177">
        <f t="shared" si="52"/>
        <v>0.16115194807983457</v>
      </c>
      <c r="S157" s="921">
        <f t="shared" si="53"/>
        <v>-1</v>
      </c>
      <c r="T157" s="176">
        <f t="shared" si="54"/>
        <v>5</v>
      </c>
      <c r="U157" s="251">
        <f t="shared" si="55"/>
        <v>-0.83884805192016543</v>
      </c>
      <c r="V157" s="383">
        <f t="shared" si="56"/>
        <v>54.373676805676546</v>
      </c>
      <c r="W157" s="402"/>
      <c r="X157" s="157">
        <f t="shared" si="57"/>
        <v>43973</v>
      </c>
      <c r="Y157" s="385">
        <f t="shared" si="58"/>
        <v>49.110999999999997</v>
      </c>
      <c r="Z157" s="385">
        <f t="shared" si="59"/>
        <v>49.902549363050014</v>
      </c>
      <c r="AA157" s="386">
        <f t="shared" si="60"/>
        <v>53.876705672342418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7.376390704846926E-2</v>
      </c>
      <c r="AD157" s="231">
        <f>(INDEX(Models!$BJ157:$BT157,,AH157)*(1-AF157)+INDEX(Models!$BJ157:$BT157,,AH157+1)*AF157-ERP_i)*AE157*Ramure*Pc/MaxiM</f>
        <v>1.6987915709066833E-3</v>
      </c>
      <c r="AE157" s="305">
        <f t="shared" si="62"/>
        <v>0.7</v>
      </c>
      <c r="AF157" s="177">
        <f t="shared" si="63"/>
        <v>0.16115194807983457</v>
      </c>
      <c r="AG157" s="921">
        <f t="shared" si="71"/>
        <v>-1</v>
      </c>
      <c r="AH157" s="176">
        <f t="shared" si="64"/>
        <v>5</v>
      </c>
      <c r="AI157" s="225">
        <f t="shared" si="65"/>
        <v>-0.83884805192016543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20">
        <v>16.334</v>
      </c>
      <c r="C158" s="390"/>
      <c r="D158" s="393">
        <f t="shared" si="48"/>
        <v>16.597627713740255</v>
      </c>
      <c r="E158" s="385">
        <f t="shared" si="69"/>
        <v>17.921306159227122</v>
      </c>
      <c r="F158" s="385">
        <f t="shared" si="49"/>
        <v>17.921328813741351</v>
      </c>
      <c r="G158" s="110">
        <f t="shared" si="70"/>
        <v>0.29996804316942305</v>
      </c>
      <c r="H158" s="414" t="b">
        <f>Wh_hp&gt;='2019'!Maxi_hp</f>
        <v>1</v>
      </c>
      <c r="I158" s="380">
        <f>IF(H158,Wh_hp,'2019'!Maxi_hp)</f>
        <v>17.921328813741351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1.588345746073172E-2</v>
      </c>
      <c r="M158" s="959"/>
      <c r="N158" s="959"/>
      <c r="O158" s="48">
        <f>IF(t&lt;Tnet,'2019'!Resal+('2019'!Salim-'2019'!Resal)*(1-EXP(('2019'!Tnet-t)/('2019'!Tau_j))),Resal+(Salim-Resal)*(1-EXP((Tnet-t)/(Tau_j))))*Salcycl</f>
        <v>7.3860601103862333E-2</v>
      </c>
      <c r="P158" s="169">
        <f>(INDEX(Models!$BJ158:$BT158,,T158)*(1-R158)+INDEX(Models!$BJ158:$BT158,,T158+1)*R158-ERP_i)*Q158*Ramure*Pc/MaxiM</f>
        <v>1.77065474525546E-3</v>
      </c>
      <c r="Q158" s="305">
        <f t="shared" si="51"/>
        <v>0.7</v>
      </c>
      <c r="R158" s="177">
        <f t="shared" si="52"/>
        <v>0.16568572761066414</v>
      </c>
      <c r="S158" s="921">
        <f t="shared" si="53"/>
        <v>-1</v>
      </c>
      <c r="T158" s="176">
        <f t="shared" si="54"/>
        <v>5</v>
      </c>
      <c r="U158" s="251">
        <f t="shared" si="55"/>
        <v>-0.83431427238933586</v>
      </c>
      <c r="V158" s="383">
        <f t="shared" si="56"/>
        <v>54.356119287030033</v>
      </c>
      <c r="W158" s="402"/>
      <c r="X158" s="157">
        <f t="shared" si="57"/>
        <v>43974</v>
      </c>
      <c r="Y158" s="385">
        <f t="shared" si="58"/>
        <v>16.334</v>
      </c>
      <c r="Z158" s="385">
        <f t="shared" si="59"/>
        <v>16.597627713740255</v>
      </c>
      <c r="AA158" s="386">
        <f t="shared" si="60"/>
        <v>17.921306159227122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7.3860601103862333E-2</v>
      </c>
      <c r="AD158" s="231">
        <f>(INDEX(Models!$BJ158:$BT158,,AH158)*(1-AF158)+INDEX(Models!$BJ158:$BT158,,AH158+1)*AF158-ERP_i)*AE158*Ramure*Pc/MaxiM</f>
        <v>1.77065474525546E-3</v>
      </c>
      <c r="AE158" s="305">
        <f t="shared" si="62"/>
        <v>0.7</v>
      </c>
      <c r="AF158" s="177">
        <f t="shared" si="63"/>
        <v>0.16568572761066414</v>
      </c>
      <c r="AG158" s="921">
        <f t="shared" si="71"/>
        <v>-1</v>
      </c>
      <c r="AH158" s="176">
        <f t="shared" si="64"/>
        <v>5</v>
      </c>
      <c r="AI158" s="225">
        <f t="shared" si="65"/>
        <v>-0.83431427238933586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20">
        <v>49.579000000000001</v>
      </c>
      <c r="C159" s="390"/>
      <c r="D159" s="393">
        <f t="shared" si="48"/>
        <v>50.380299271463045</v>
      </c>
      <c r="E159" s="385">
        <f t="shared" si="69"/>
        <v>54.403865539853292</v>
      </c>
      <c r="F159" s="385">
        <f t="shared" si="49"/>
        <v>54.491772599953713</v>
      </c>
      <c r="G159" s="110">
        <f t="shared" si="70"/>
        <v>0.91223685158876455</v>
      </c>
      <c r="H159" s="414" t="b">
        <f>Wh_hp&gt;='2019'!Maxi_hp</f>
        <v>1</v>
      </c>
      <c r="I159" s="380">
        <f>IF(H159,Wh_hp,'2019'!Maxi_hp)</f>
        <v>54.491772599953713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1.5905012138681895E-2</v>
      </c>
      <c r="M159" s="959"/>
      <c r="N159" s="959"/>
      <c r="O159" s="48">
        <f>IF(t&lt;Tnet,'2019'!Resal+('2019'!Salim-'2019'!Resal)*(1-EXP(('2019'!Tnet-t)/('2019'!Tau_j))),Resal+(Salim-Resal)*(1-EXP((Tnet-t)/(Tau_j))))*Salcycl</f>
        <v>7.3957359986539961E-2</v>
      </c>
      <c r="P159" s="169">
        <f>(INDEX(Models!$BJ159:$BT159,,T159)*(1-R159)+INDEX(Models!$BJ159:$BT159,,T159+1)*R159-ERP_i)*Q159*Ramure*Pc/MaxiM</f>
        <v>1.8438343894606377E-3</v>
      </c>
      <c r="Q159" s="305">
        <f t="shared" si="51"/>
        <v>0.7</v>
      </c>
      <c r="R159" s="177">
        <f t="shared" si="52"/>
        <v>0.17028249302838117</v>
      </c>
      <c r="S159" s="921">
        <f t="shared" si="53"/>
        <v>-1</v>
      </c>
      <c r="T159" s="176">
        <f t="shared" si="54"/>
        <v>5</v>
      </c>
      <c r="U159" s="251">
        <f t="shared" si="55"/>
        <v>-0.82971750697161883</v>
      </c>
      <c r="V159" s="383">
        <f t="shared" si="56"/>
        <v>54.336269867612984</v>
      </c>
      <c r="W159" s="402"/>
      <c r="X159" s="157">
        <f t="shared" si="57"/>
        <v>43975</v>
      </c>
      <c r="Y159" s="385">
        <f t="shared" si="58"/>
        <v>49.579000000000001</v>
      </c>
      <c r="Z159" s="385">
        <f t="shared" si="59"/>
        <v>50.380299271463045</v>
      </c>
      <c r="AA159" s="386">
        <f t="shared" si="60"/>
        <v>54.403865539853292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7.3957359986539961E-2</v>
      </c>
      <c r="AD159" s="231">
        <f>(INDEX(Models!$BJ159:$BT159,,AH159)*(1-AF159)+INDEX(Models!$BJ159:$BT159,,AH159+1)*AF159-ERP_i)*AE159*Ramure*Pc/MaxiM</f>
        <v>1.8438343894606377E-3</v>
      </c>
      <c r="AE159" s="305">
        <f t="shared" si="62"/>
        <v>0.7</v>
      </c>
      <c r="AF159" s="177">
        <f t="shared" si="63"/>
        <v>0.17028249302838117</v>
      </c>
      <c r="AG159" s="921">
        <f t="shared" si="71"/>
        <v>-1</v>
      </c>
      <c r="AH159" s="176">
        <f t="shared" si="64"/>
        <v>5</v>
      </c>
      <c r="AI159" s="225">
        <f t="shared" si="65"/>
        <v>-0.82971750697161883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20">
        <v>53.499000000000002</v>
      </c>
      <c r="C160" s="390"/>
      <c r="D160" s="393">
        <f t="shared" si="48"/>
        <v>54.364845315731067</v>
      </c>
      <c r="E160" s="385">
        <f t="shared" si="69"/>
        <v>58.712767764336249</v>
      </c>
      <c r="F160" s="385">
        <f t="shared" si="49"/>
        <v>58.823190702914935</v>
      </c>
      <c r="G160" s="110">
        <f t="shared" si="70"/>
        <v>0.98494987349442176</v>
      </c>
      <c r="H160" s="414" t="b">
        <f>Wh_hp&gt;='2019'!Maxi_hp</f>
        <v>1</v>
      </c>
      <c r="I160" s="380">
        <f>IF(H160,Wh_hp,'2019'!Maxi_hp)</f>
        <v>58.823190702914935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1.5926566344529269E-2</v>
      </c>
      <c r="M160" s="959"/>
      <c r="N160" s="959"/>
      <c r="O160" s="48">
        <f>IF(t&lt;Tnet,'2019'!Resal+('2019'!Salim-'2019'!Resal)*(1-EXP(('2019'!Tnet-t)/('2019'!Tau_j))),Resal+(Salim-Resal)*(1-EXP((Tnet-t)/(Tau_j))))*Salcycl</f>
        <v>7.4054121687075786E-2</v>
      </c>
      <c r="P160" s="169">
        <f>(INDEX(Models!$BJ160:$BT160,,T160)*(1-R160)+INDEX(Models!$BJ160:$BT160,,T160+1)*R160-ERP_i)*Q160*Ramure*Pc/MaxiM</f>
        <v>1.9183340519450369E-3</v>
      </c>
      <c r="Q160" s="305">
        <f t="shared" si="51"/>
        <v>0.7</v>
      </c>
      <c r="R160" s="177">
        <f t="shared" si="52"/>
        <v>0.17493960536921349</v>
      </c>
      <c r="S160" s="921">
        <f t="shared" si="53"/>
        <v>-1</v>
      </c>
      <c r="T160" s="176">
        <f t="shared" si="54"/>
        <v>5</v>
      </c>
      <c r="U160" s="251">
        <f t="shared" si="55"/>
        <v>-0.82506039463078651</v>
      </c>
      <c r="V160" s="383">
        <f t="shared" si="56"/>
        <v>54.314231324036008</v>
      </c>
      <c r="W160" s="402"/>
      <c r="X160" s="157">
        <f t="shared" si="57"/>
        <v>43976</v>
      </c>
      <c r="Y160" s="385">
        <f t="shared" si="58"/>
        <v>53.499000000000002</v>
      </c>
      <c r="Z160" s="385">
        <f t="shared" si="59"/>
        <v>54.364845315731067</v>
      </c>
      <c r="AA160" s="386">
        <f t="shared" si="60"/>
        <v>58.712767764336249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7.4054121687075786E-2</v>
      </c>
      <c r="AD160" s="231">
        <f>(INDEX(Models!$BJ160:$BT160,,AH160)*(1-AF160)+INDEX(Models!$BJ160:$BT160,,AH160+1)*AF160-ERP_i)*AE160*Ramure*Pc/MaxiM</f>
        <v>1.9183340519450369E-3</v>
      </c>
      <c r="AE160" s="305">
        <f t="shared" si="62"/>
        <v>0.7</v>
      </c>
      <c r="AF160" s="177">
        <f t="shared" si="63"/>
        <v>0.17493960536921349</v>
      </c>
      <c r="AG160" s="921">
        <f t="shared" si="71"/>
        <v>-1</v>
      </c>
      <c r="AH160" s="176">
        <f t="shared" si="64"/>
        <v>5</v>
      </c>
      <c r="AI160" s="225">
        <f t="shared" si="65"/>
        <v>-0.82506039463078651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20">
        <v>53.119</v>
      </c>
      <c r="C161" s="390"/>
      <c r="D161" s="393">
        <f t="shared" si="48"/>
        <v>53.979877569286053</v>
      </c>
      <c r="E161" s="385">
        <f t="shared" si="69"/>
        <v>58.303100472846339</v>
      </c>
      <c r="F161" s="385">
        <f t="shared" si="49"/>
        <v>58.416001228197835</v>
      </c>
      <c r="G161" s="110">
        <f t="shared" si="70"/>
        <v>0.97836848679580912</v>
      </c>
      <c r="H161" s="414" t="b">
        <f>Wh_hp&gt;='2019'!Maxi_hp</f>
        <v>1</v>
      </c>
      <c r="I161" s="380">
        <f>IF(H161,Wh_hp,'2019'!Maxi_hp)</f>
        <v>58.416001228197835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1.5948120078284167E-2</v>
      </c>
      <c r="M161" s="959"/>
      <c r="N161" s="959"/>
      <c r="O161" s="48">
        <f>IF(t&lt;Tnet,'2019'!Resal+('2019'!Salim-'2019'!Resal)*(1-EXP(('2019'!Tnet-t)/('2019'!Tau_j))),Resal+(Salim-Resal)*(1-EXP((Tnet-t)/(Tau_j))))*Salcycl</f>
        <v>7.4150823343841737E-2</v>
      </c>
      <c r="P161" s="169">
        <f>(INDEX(Models!$BJ161:$BT161,,T161)*(1-R161)+INDEX(Models!$BJ161:$BT161,,T161+1)*R161-ERP_i)*Q161*Ramure*Pc/MaxiM</f>
        <v>1.9941546334461386E-3</v>
      </c>
      <c r="Q161" s="305">
        <f t="shared" si="51"/>
        <v>0.7</v>
      </c>
      <c r="R161" s="177">
        <f t="shared" si="52"/>
        <v>0.17965425276018943</v>
      </c>
      <c r="S161" s="921">
        <f t="shared" si="53"/>
        <v>-1</v>
      </c>
      <c r="T161" s="176">
        <f t="shared" si="54"/>
        <v>5</v>
      </c>
      <c r="U161" s="251">
        <f t="shared" si="55"/>
        <v>-0.82034574723981057</v>
      </c>
      <c r="V161" s="383">
        <f t="shared" si="56"/>
        <v>54.290106563421318</v>
      </c>
      <c r="W161" s="402"/>
      <c r="X161" s="157">
        <f t="shared" si="57"/>
        <v>43977</v>
      </c>
      <c r="Y161" s="385">
        <f t="shared" si="58"/>
        <v>53.119</v>
      </c>
      <c r="Z161" s="385">
        <f t="shared" si="59"/>
        <v>53.979877569286053</v>
      </c>
      <c r="AA161" s="386">
        <f t="shared" si="60"/>
        <v>58.303100472846339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7.4150823343841737E-2</v>
      </c>
      <c r="AD161" s="231">
        <f>(INDEX(Models!$BJ161:$BT161,,AH161)*(1-AF161)+INDEX(Models!$BJ161:$BT161,,AH161+1)*AF161-ERP_i)*AE161*Ramure*Pc/MaxiM</f>
        <v>1.9941546334461386E-3</v>
      </c>
      <c r="AE161" s="305">
        <f t="shared" si="62"/>
        <v>0.7</v>
      </c>
      <c r="AF161" s="177">
        <f t="shared" si="63"/>
        <v>0.17965425276018943</v>
      </c>
      <c r="AG161" s="921">
        <f t="shared" si="71"/>
        <v>-1</v>
      </c>
      <c r="AH161" s="176">
        <f t="shared" si="64"/>
        <v>5</v>
      </c>
      <c r="AI161" s="225">
        <f t="shared" si="65"/>
        <v>-0.82034574723981057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20">
        <v>52.438000000000002</v>
      </c>
      <c r="C162" s="390"/>
      <c r="D162" s="393">
        <f t="shared" si="48"/>
        <v>53.289008051187814</v>
      </c>
      <c r="E162" s="385">
        <f t="shared" si="69"/>
        <v>57.562904100480083</v>
      </c>
      <c r="F162" s="385">
        <f t="shared" si="49"/>
        <v>57.676626455771242</v>
      </c>
      <c r="G162" s="110">
        <f t="shared" si="70"/>
        <v>0.96625331214750776</v>
      </c>
      <c r="H162" s="414" t="b">
        <f>Wh_hp&gt;='2019'!Maxi_hp</f>
        <v>1</v>
      </c>
      <c r="I162" s="380">
        <f>IF(H162,Wh_hp,'2019'!Maxi_hp)</f>
        <v>57.676626455771242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1.5969673339957025E-2</v>
      </c>
      <c r="M162" s="959"/>
      <c r="N162" s="959"/>
      <c r="O162" s="48">
        <f>IF(t&lt;Tnet,'2019'!Resal+('2019'!Salim-'2019'!Resal)*(1-EXP(('2019'!Tnet-t)/('2019'!Tau_j))),Resal+(Salim-Resal)*(1-EXP((Tnet-t)/(Tau_j))))*Salcycl</f>
        <v>7.4247401448542055E-2</v>
      </c>
      <c r="P162" s="169">
        <f>(INDEX(Models!$BJ162:$BT162,,T162)*(1-R162)+INDEX(Models!$BJ162:$BT162,,T162+1)*R162-ERP_i)*Q162*Ramure*Pc/MaxiM</f>
        <v>2.0712943200335622E-3</v>
      </c>
      <c r="Q162" s="305">
        <f t="shared" si="51"/>
        <v>0.7</v>
      </c>
      <c r="R162" s="177">
        <f t="shared" si="52"/>
        <v>0.18442345514173175</v>
      </c>
      <c r="S162" s="921">
        <f t="shared" si="53"/>
        <v>-1</v>
      </c>
      <c r="T162" s="176">
        <f t="shared" si="54"/>
        <v>5</v>
      </c>
      <c r="U162" s="251">
        <f t="shared" si="55"/>
        <v>-0.81557654485826825</v>
      </c>
      <c r="V162" s="383">
        <f t="shared" si="56"/>
        <v>54.263998608632363</v>
      </c>
      <c r="W162" s="402"/>
      <c r="X162" s="157">
        <f t="shared" si="57"/>
        <v>43978</v>
      </c>
      <c r="Y162" s="385">
        <f t="shared" si="58"/>
        <v>52.438000000000002</v>
      </c>
      <c r="Z162" s="385">
        <f t="shared" si="59"/>
        <v>53.289008051187814</v>
      </c>
      <c r="AA162" s="386">
        <f t="shared" si="60"/>
        <v>57.562904100480083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7.4247401448542055E-2</v>
      </c>
      <c r="AD162" s="231">
        <f>(INDEX(Models!$BJ162:$BT162,,AH162)*(1-AF162)+INDEX(Models!$BJ162:$BT162,,AH162+1)*AF162-ERP_i)*AE162*Ramure*Pc/MaxiM</f>
        <v>2.0712943200335622E-3</v>
      </c>
      <c r="AE162" s="305">
        <f t="shared" si="62"/>
        <v>0.7</v>
      </c>
      <c r="AF162" s="177">
        <f t="shared" si="63"/>
        <v>0.18442345514173175</v>
      </c>
      <c r="AG162" s="921">
        <f t="shared" si="71"/>
        <v>-1</v>
      </c>
      <c r="AH162" s="176">
        <f t="shared" si="64"/>
        <v>5</v>
      </c>
      <c r="AI162" s="225">
        <f t="shared" si="65"/>
        <v>-0.81557654485826825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20">
        <v>52.661000000000001</v>
      </c>
      <c r="C163" s="390"/>
      <c r="D163" s="393">
        <f t="shared" si="48"/>
        <v>53.516799238350636</v>
      </c>
      <c r="E163" s="385">
        <f t="shared" si="69"/>
        <v>57.814984417895836</v>
      </c>
      <c r="F163" s="385">
        <f t="shared" si="49"/>
        <v>57.93436210419744</v>
      </c>
      <c r="G163" s="110">
        <f t="shared" si="70"/>
        <v>0.97087387268680969</v>
      </c>
      <c r="H163" s="414" t="b">
        <f>Wh_hp&gt;='2019'!Maxi_hp</f>
        <v>1</v>
      </c>
      <c r="I163" s="380">
        <f>IF(H163,Wh_hp,'2019'!Maxi_hp)</f>
        <v>57.93436210419744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1.5991226129558167E-2</v>
      </c>
      <c r="M163" s="959"/>
      <c r="N163" s="959"/>
      <c r="O163" s="48">
        <f>IF(t&lt;Tnet,'2019'!Resal+('2019'!Salim-'2019'!Resal)*(1-EXP(('2019'!Tnet-t)/('2019'!Tau_j))),Resal+(Salim-Resal)*(1-EXP((Tnet-t)/(Tau_j))))*Salcycl</f>
        <v>7.4343792060501748E-2</v>
      </c>
      <c r="P163" s="169">
        <f>(INDEX(Models!$BJ163:$BT163,,T163)*(1-R163)+INDEX(Models!$BJ163:$BT163,,T163+1)*R163-ERP_i)*Q163*Ramure*Pc/MaxiM</f>
        <v>2.1497498205945158E-3</v>
      </c>
      <c r="Q163" s="305">
        <f t="shared" si="51"/>
        <v>0.7</v>
      </c>
      <c r="R163" s="177">
        <f t="shared" si="52"/>
        <v>0.18924406997295373</v>
      </c>
      <c r="S163" s="921">
        <f t="shared" si="53"/>
        <v>-1</v>
      </c>
      <c r="T163" s="176">
        <f t="shared" si="54"/>
        <v>5</v>
      </c>
      <c r="U163" s="251">
        <f t="shared" si="55"/>
        <v>-0.81075593002704627</v>
      </c>
      <c r="V163" s="383">
        <f t="shared" si="56"/>
        <v>54.235977890102809</v>
      </c>
      <c r="W163" s="402"/>
      <c r="X163" s="157">
        <f t="shared" si="57"/>
        <v>43979</v>
      </c>
      <c r="Y163" s="385">
        <f t="shared" si="58"/>
        <v>52.661000000000001</v>
      </c>
      <c r="Z163" s="385">
        <f t="shared" si="59"/>
        <v>53.516799238350636</v>
      </c>
      <c r="AA163" s="386">
        <f t="shared" si="60"/>
        <v>57.814984417895836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7.4343792060501748E-2</v>
      </c>
      <c r="AD163" s="231">
        <f>(INDEX(Models!$BJ163:$BT163,,AH163)*(1-AF163)+INDEX(Models!$BJ163:$BT163,,AH163+1)*AF163-ERP_i)*AE163*Ramure*Pc/MaxiM</f>
        <v>2.1497498205945158E-3</v>
      </c>
      <c r="AE163" s="305">
        <f t="shared" si="62"/>
        <v>0.7</v>
      </c>
      <c r="AF163" s="177">
        <f t="shared" si="63"/>
        <v>0.18924406997295373</v>
      </c>
      <c r="AG163" s="921">
        <f t="shared" si="71"/>
        <v>-1</v>
      </c>
      <c r="AH163" s="176">
        <f t="shared" si="64"/>
        <v>5</v>
      </c>
      <c r="AI163" s="225">
        <f t="shared" si="65"/>
        <v>-0.81075593002704627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20">
        <v>51.375</v>
      </c>
      <c r="C164" s="390"/>
      <c r="D164" s="393">
        <f t="shared" si="48"/>
        <v>52.211043878111909</v>
      </c>
      <c r="E164" s="385">
        <f t="shared" si="69"/>
        <v>56.410216503974922</v>
      </c>
      <c r="F164" s="385">
        <f t="shared" si="49"/>
        <v>56.526793526416789</v>
      </c>
      <c r="G164" s="110">
        <f t="shared" si="70"/>
        <v>0.94761480162619582</v>
      </c>
      <c r="H164" s="414" t="b">
        <f>Wh_hp&gt;='2019'!Maxi_hp</f>
        <v>0</v>
      </c>
      <c r="I164" s="380">
        <f>IF(H164,Wh_hp,'2019'!Maxi_hp)</f>
        <v>58.524365554999449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1.6012778447097809E-2</v>
      </c>
      <c r="M164" s="959"/>
      <c r="N164" s="959"/>
      <c r="O164" s="48">
        <f>IF(t&lt;Tnet,'2019'!Resal+('2019'!Salim-'2019'!Resal)*(1-EXP(('2019'!Tnet-t)/('2019'!Tau_j))),Resal+(Salim-Resal)*(1-EXP((Tnet-t)/(Tau_j))))*Salcycl</f>
        <v>7.4439931028577544E-2</v>
      </c>
      <c r="P164" s="169">
        <f>(INDEX(Models!$BJ164:$BT164,,T164)*(1-R164)+INDEX(Models!$BJ164:$BT164,,T164+1)*R164-ERP_i)*Q164*Ramure*Pc/MaxiM</f>
        <v>2.2286095795075742E-3</v>
      </c>
      <c r="Q164" s="305">
        <f t="shared" si="51"/>
        <v>0.7</v>
      </c>
      <c r="R164" s="177">
        <f t="shared" si="52"/>
        <v>0.19411279891304134</v>
      </c>
      <c r="S164" s="921">
        <f t="shared" si="53"/>
        <v>-1</v>
      </c>
      <c r="T164" s="176">
        <f t="shared" si="54"/>
        <v>5</v>
      </c>
      <c r="U164" s="251">
        <f t="shared" si="55"/>
        <v>-0.80588720108695866</v>
      </c>
      <c r="V164" s="383">
        <f t="shared" si="56"/>
        <v>54.206033668896453</v>
      </c>
      <c r="W164" s="402"/>
      <c r="X164" s="157">
        <f t="shared" si="57"/>
        <v>43980</v>
      </c>
      <c r="Y164" s="385">
        <f t="shared" si="58"/>
        <v>51.375</v>
      </c>
      <c r="Z164" s="385">
        <f t="shared" si="59"/>
        <v>52.211043878111909</v>
      </c>
      <c r="AA164" s="386">
        <f t="shared" si="60"/>
        <v>56.410216503974922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7.4439931028577544E-2</v>
      </c>
      <c r="AD164" s="231">
        <f>(INDEX(Models!$BJ164:$BT164,,AH164)*(1-AF164)+INDEX(Models!$BJ164:$BT164,,AH164+1)*AF164-ERP_i)*AE164*Ramure*Pc/MaxiM</f>
        <v>2.2286095795075742E-3</v>
      </c>
      <c r="AE164" s="305">
        <f t="shared" si="62"/>
        <v>0.7</v>
      </c>
      <c r="AF164" s="177">
        <f t="shared" si="63"/>
        <v>0.19411279891304134</v>
      </c>
      <c r="AG164" s="921">
        <f t="shared" si="71"/>
        <v>-1</v>
      </c>
      <c r="AH164" s="176">
        <f t="shared" si="64"/>
        <v>5</v>
      </c>
      <c r="AI164" s="225">
        <f t="shared" si="65"/>
        <v>-0.80588720108695866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20">
        <v>53.113</v>
      </c>
      <c r="C165" s="390"/>
      <c r="D165" s="393">
        <f t="shared" si="48"/>
        <v>53.97850924595101</v>
      </c>
      <c r="E165" s="385">
        <f t="shared" si="69"/>
        <v>58.325872114514311</v>
      </c>
      <c r="F165" s="385">
        <f t="shared" si="49"/>
        <v>58.45701123497691</v>
      </c>
      <c r="G165" s="110">
        <f t="shared" si="70"/>
        <v>0.98035022807797478</v>
      </c>
      <c r="H165" s="414" t="b">
        <f>Wh_hp&gt;='2019'!Maxi_hp</f>
        <v>0</v>
      </c>
      <c r="I165" s="380">
        <f>IF(H165,Wh_hp,'2019'!Maxi_hp)</f>
        <v>59.313017833892296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1.6034330292586496E-2</v>
      </c>
      <c r="M165" s="959"/>
      <c r="N165" s="959"/>
      <c r="O165" s="48">
        <f>IF(t&lt;Tnet,'2019'!Resal+('2019'!Salim-'2019'!Resal)*(1-EXP(('2019'!Tnet-t)/('2019'!Tau_j))),Resal+(Salim-Resal)*(1-EXP((Tnet-t)/(Tau_j))))*Salcycl</f>
        <v>7.4535754219463624E-2</v>
      </c>
      <c r="P165" s="169">
        <f>(INDEX(Models!$BJ165:$BT165,,T165)*(1-R165)+INDEX(Models!$BJ165:$BT165,,T165+1)*R165-ERP_i)*Q165*Ramure*Pc/MaxiM</f>
        <v>2.3079195248927663E-3</v>
      </c>
      <c r="Q165" s="305">
        <f t="shared" si="51"/>
        <v>0.7</v>
      </c>
      <c r="R165" s="177">
        <f t="shared" si="52"/>
        <v>0.19902619546266798</v>
      </c>
      <c r="S165" s="921">
        <f t="shared" si="53"/>
        <v>-1</v>
      </c>
      <c r="T165" s="176">
        <f t="shared" si="54"/>
        <v>5</v>
      </c>
      <c r="U165" s="251">
        <f t="shared" si="55"/>
        <v>-0.80097380453733202</v>
      </c>
      <c r="V165" s="383">
        <f t="shared" si="56"/>
        <v>54.174070560078441</v>
      </c>
      <c r="W165" s="402"/>
      <c r="X165" s="157">
        <f t="shared" si="57"/>
        <v>43981</v>
      </c>
      <c r="Y165" s="385">
        <f t="shared" si="58"/>
        <v>53.113</v>
      </c>
      <c r="Z165" s="385">
        <f t="shared" si="59"/>
        <v>53.97850924595101</v>
      </c>
      <c r="AA165" s="386">
        <f t="shared" si="60"/>
        <v>58.325872114514311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7.4535754219463624E-2</v>
      </c>
      <c r="AD165" s="231">
        <f>(INDEX(Models!$BJ165:$BT165,,AH165)*(1-AF165)+INDEX(Models!$BJ165:$BT165,,AH165+1)*AF165-ERP_i)*AE165*Ramure*Pc/MaxiM</f>
        <v>2.3079195248927663E-3</v>
      </c>
      <c r="AE165" s="305">
        <f t="shared" si="62"/>
        <v>0.7</v>
      </c>
      <c r="AF165" s="177">
        <f t="shared" si="63"/>
        <v>0.19902619546266798</v>
      </c>
      <c r="AG165" s="921">
        <f t="shared" si="71"/>
        <v>-1</v>
      </c>
      <c r="AH165" s="176">
        <f t="shared" si="64"/>
        <v>5</v>
      </c>
      <c r="AI165" s="225">
        <f t="shared" si="65"/>
        <v>-0.80097380453733202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20">
        <v>54.371000000000002</v>
      </c>
      <c r="C166" s="390"/>
      <c r="D166" s="393">
        <f t="shared" si="48"/>
        <v>55.258219432280463</v>
      </c>
      <c r="E166" s="385">
        <f t="shared" si="69"/>
        <v>59.714807002339484</v>
      </c>
      <c r="F166" s="385">
        <f t="shared" si="49"/>
        <v>59.85772667252207</v>
      </c>
      <c r="G166" s="110">
        <f t="shared" si="70"/>
        <v>1.004266771399726</v>
      </c>
      <c r="H166" s="414" t="b">
        <f>Wh_hp&gt;='2019'!Maxi_hp</f>
        <v>0</v>
      </c>
      <c r="I166" s="380">
        <f>IF(H166,Wh_hp,'2019'!Maxi_hp)</f>
        <v>60.331915443766647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1.6055881666034444E-2</v>
      </c>
      <c r="M166" s="959"/>
      <c r="N166" s="959"/>
      <c r="O166" s="48">
        <f>IF(t&lt;Tnet,'2019'!Resal+('2019'!Salim-'2019'!Resal)*(1-EXP(('2019'!Tnet-t)/('2019'!Tau_j))),Resal+(Salim-Resal)*(1-EXP((Tnet-t)/(Tau_j))))*Salcycl</f>
        <v>7.463119775107746E-2</v>
      </c>
      <c r="P166" s="169">
        <f>(INDEX(Models!$BJ166:$BT166,,T166)*(1-R166)+INDEX(Models!$BJ166:$BT166,,T166+1)*R166-ERP_i)*Q166*Ramure*Pc/MaxiM</f>
        <v>2.3876561661703272E-3</v>
      </c>
      <c r="Q166" s="305">
        <f t="shared" si="51"/>
        <v>0.7</v>
      </c>
      <c r="R166" s="177">
        <f t="shared" si="52"/>
        <v>0.20398067353975025</v>
      </c>
      <c r="S166" s="921">
        <f t="shared" si="53"/>
        <v>-1</v>
      </c>
      <c r="T166" s="176">
        <f t="shared" si="54"/>
        <v>5</v>
      </c>
      <c r="U166" s="251">
        <f t="shared" si="55"/>
        <v>-0.79601932646024975</v>
      </c>
      <c r="V166" s="383">
        <f t="shared" si="56"/>
        <v>54.139997009179986</v>
      </c>
      <c r="W166" s="402"/>
      <c r="X166" s="157">
        <f t="shared" si="57"/>
        <v>43982</v>
      </c>
      <c r="Y166" s="385">
        <f t="shared" si="58"/>
        <v>54.371000000000002</v>
      </c>
      <c r="Z166" s="385">
        <f t="shared" si="59"/>
        <v>55.258219432280463</v>
      </c>
      <c r="AA166" s="386">
        <f t="shared" si="60"/>
        <v>59.714807002339484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7.463119775107746E-2</v>
      </c>
      <c r="AD166" s="231">
        <f>(INDEX(Models!$BJ166:$BT166,,AH166)*(1-AF166)+INDEX(Models!$BJ166:$BT166,,AH166+1)*AF166-ERP_i)*AE166*Ramure*Pc/MaxiM</f>
        <v>2.3876561661703272E-3</v>
      </c>
      <c r="AE166" s="305">
        <f t="shared" si="62"/>
        <v>0.7</v>
      </c>
      <c r="AF166" s="177">
        <f t="shared" si="63"/>
        <v>0.20398067353975025</v>
      </c>
      <c r="AG166" s="921">
        <f t="shared" si="71"/>
        <v>-1</v>
      </c>
      <c r="AH166" s="176">
        <f t="shared" si="64"/>
        <v>5</v>
      </c>
      <c r="AI166" s="225">
        <f t="shared" si="65"/>
        <v>-0.79601932646024975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20">
        <v>25.518999999999998</v>
      </c>
      <c r="C167" s="390"/>
      <c r="D167" s="393">
        <f t="shared" si="48"/>
        <v>25.935984034383306</v>
      </c>
      <c r="E167" s="385">
        <f t="shared" si="69"/>
        <v>28.030604546199083</v>
      </c>
      <c r="F167" s="385">
        <f t="shared" si="49"/>
        <v>28.047579005190382</v>
      </c>
      <c r="G167" s="110">
        <f t="shared" si="70"/>
        <v>0.47078905071983834</v>
      </c>
      <c r="H167" s="414" t="b">
        <f>Wh_hp&gt;='2019'!Maxi_hp</f>
        <v>0</v>
      </c>
      <c r="I167" s="380">
        <f>IF(H167,Wh_hp,'2019'!Maxi_hp)</f>
        <v>59.300139796564821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1.6077432567451977E-2</v>
      </c>
      <c r="M167" s="959"/>
      <c r="N167" s="959"/>
      <c r="O167" s="48">
        <f>IF(t&lt;Tnet,'2019'!Resal+('2019'!Salim-'2019'!Resal)*(1-EXP(('2019'!Tnet-t)/('2019'!Tau_j))),Resal+(Salim-Resal)*(1-EXP((Tnet-t)/(Tau_j))))*Salcycl</f>
        <v>7.4726198229634846E-2</v>
      </c>
      <c r="P167" s="169">
        <f>(INDEX(Models!$BJ167:$BT167,,T167)*(1-R167)+INDEX(Models!$BJ167:$BT167,,T167+1)*R167-ERP_i)*Q167*Ramure*Pc/MaxiM</f>
        <v>2.4677944351209099E-3</v>
      </c>
      <c r="Q167" s="305">
        <f t="shared" si="51"/>
        <v>0.7</v>
      </c>
      <c r="R167" s="177">
        <f t="shared" si="52"/>
        <v>0.20897251695416286</v>
      </c>
      <c r="S167" s="921">
        <f t="shared" si="53"/>
        <v>-1</v>
      </c>
      <c r="T167" s="176">
        <f t="shared" si="54"/>
        <v>5</v>
      </c>
      <c r="U167" s="251">
        <f t="shared" si="55"/>
        <v>-0.79102748304583714</v>
      </c>
      <c r="V167" s="383">
        <f t="shared" si="56"/>
        <v>54.103721589255279</v>
      </c>
      <c r="W167" s="402"/>
      <c r="X167" s="157">
        <f t="shared" si="57"/>
        <v>43983</v>
      </c>
      <c r="Y167" s="385">
        <f t="shared" si="58"/>
        <v>25.518999999999998</v>
      </c>
      <c r="Z167" s="385">
        <f t="shared" si="59"/>
        <v>25.935984034383306</v>
      </c>
      <c r="AA167" s="386">
        <f t="shared" si="60"/>
        <v>28.030604546199083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7.4726198229634846E-2</v>
      </c>
      <c r="AD167" s="231">
        <f>(INDEX(Models!$BJ167:$BT167,,AH167)*(1-AF167)+INDEX(Models!$BJ167:$BT167,,AH167+1)*AF167-ERP_i)*AE167*Ramure*Pc/MaxiM</f>
        <v>2.4677944351209099E-3</v>
      </c>
      <c r="AE167" s="305">
        <f t="shared" si="62"/>
        <v>0.7</v>
      </c>
      <c r="AF167" s="177">
        <f t="shared" si="63"/>
        <v>0.20897251695416286</v>
      </c>
      <c r="AG167" s="921">
        <f t="shared" si="71"/>
        <v>-1</v>
      </c>
      <c r="AH167" s="176">
        <f t="shared" si="64"/>
        <v>5</v>
      </c>
      <c r="AI167" s="225">
        <f t="shared" si="65"/>
        <v>-0.79102748304583714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20">
        <v>48.021000000000001</v>
      </c>
      <c r="C168" s="390"/>
      <c r="D168" s="393">
        <f t="shared" si="48"/>
        <v>48.806738859023085</v>
      </c>
      <c r="E168" s="385">
        <f t="shared" si="69"/>
        <v>52.753815924290365</v>
      </c>
      <c r="F168" s="385">
        <f t="shared" si="49"/>
        <v>52.867021607372699</v>
      </c>
      <c r="G168" s="110">
        <f t="shared" si="70"/>
        <v>0.88784386773591084</v>
      </c>
      <c r="H168" s="414" t="b">
        <f>Wh_hp&gt;='2019'!Maxi_hp</f>
        <v>1</v>
      </c>
      <c r="I168" s="380">
        <f>IF(H168,Wh_hp,'2019'!Maxi_hp)</f>
        <v>52.867021607372699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1.609898299684942E-2</v>
      </c>
      <c r="M168" s="959"/>
      <c r="N168" s="959"/>
      <c r="O168" s="48">
        <f>IF(t&lt;Tnet,'2019'!Resal+('2019'!Salim-'2019'!Resal)*(1-EXP(('2019'!Tnet-t)/('2019'!Tau_j))),Resal+(Salim-Resal)*(1-EXP((Tnet-t)/(Tau_j))))*Salcycl</f>
        <v>7.4820692988956938E-2</v>
      </c>
      <c r="P168" s="169">
        <f>(INDEX(Models!$BJ168:$BT168,,T168)*(1-R168)+INDEX(Models!$BJ168:$BT168,,T168+1)*R168-ERP_i)*Q168*Ramure*Pc/MaxiM</f>
        <v>2.5483077989038715E-3</v>
      </c>
      <c r="Q168" s="305">
        <f t="shared" si="51"/>
        <v>0.7</v>
      </c>
      <c r="R168" s="177">
        <f t="shared" si="52"/>
        <v>0.21399788973643474</v>
      </c>
      <c r="S168" s="921">
        <f t="shared" si="53"/>
        <v>-1</v>
      </c>
      <c r="T168" s="176">
        <f t="shared" si="54"/>
        <v>5</v>
      </c>
      <c r="U168" s="251">
        <f t="shared" si="55"/>
        <v>-0.78600211026356526</v>
      </c>
      <c r="V168" s="383">
        <f t="shared" si="56"/>
        <v>54.065152977241013</v>
      </c>
      <c r="W168" s="402"/>
      <c r="X168" s="157">
        <f t="shared" si="57"/>
        <v>43984</v>
      </c>
      <c r="Y168" s="385">
        <f t="shared" si="58"/>
        <v>48.021000000000001</v>
      </c>
      <c r="Z168" s="385">
        <f t="shared" si="59"/>
        <v>48.806738859023085</v>
      </c>
      <c r="AA168" s="386">
        <f t="shared" si="60"/>
        <v>52.753815924290365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7.4820692988956938E-2</v>
      </c>
      <c r="AD168" s="231">
        <f>(INDEX(Models!$BJ168:$BT168,,AH168)*(1-AF168)+INDEX(Models!$BJ168:$BT168,,AH168+1)*AF168-ERP_i)*AE168*Ramure*Pc/MaxiM</f>
        <v>2.5483077989038715E-3</v>
      </c>
      <c r="AE168" s="305">
        <f t="shared" si="62"/>
        <v>0.7</v>
      </c>
      <c r="AF168" s="177">
        <f t="shared" si="63"/>
        <v>0.21399788973643474</v>
      </c>
      <c r="AG168" s="921">
        <f t="shared" si="71"/>
        <v>-1</v>
      </c>
      <c r="AH168" s="176">
        <f t="shared" si="64"/>
        <v>5</v>
      </c>
      <c r="AI168" s="225">
        <f t="shared" si="65"/>
        <v>-0.78600211026356526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20">
        <v>24.585999999999999</v>
      </c>
      <c r="C169" s="390"/>
      <c r="D169" s="393">
        <f t="shared" si="48"/>
        <v>24.988833310875915</v>
      </c>
      <c r="E169" s="385">
        <f t="shared" si="69"/>
        <v>27.012461617114191</v>
      </c>
      <c r="F169" s="385">
        <f t="shared" si="49"/>
        <v>27.028206083808534</v>
      </c>
      <c r="G169" s="110">
        <f t="shared" si="70"/>
        <v>0.45416039111485196</v>
      </c>
      <c r="H169" s="414" t="b">
        <f>Wh_hp&gt;='2019'!Maxi_hp</f>
        <v>0</v>
      </c>
      <c r="I169" s="380">
        <f>IF(H169,Wh_hp,'2019'!Maxi_hp)</f>
        <v>57.111684044434135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1.612053295423721E-2</v>
      </c>
      <c r="M169" s="959"/>
      <c r="N169" s="959"/>
      <c r="O169" s="48">
        <f>IF(t&lt;Tnet,'2019'!Resal+('2019'!Salim-'2019'!Resal)*(1-EXP(('2019'!Tnet-t)/('2019'!Tau_j))),Resal+(Salim-Resal)*(1-EXP((Tnet-t)/(Tau_j))))*Salcycl</f>
        <v>7.4914620330498588E-2</v>
      </c>
      <c r="P169" s="169">
        <f>(INDEX(Models!$BJ169:$BT169,,T169)*(1-R169)+INDEX(Models!$BJ169:$BT169,,T169+1)*R169-ERP_i)*Q169*Ramure*Pc/MaxiM</f>
        <v>2.6291683869578554E-3</v>
      </c>
      <c r="Q169" s="305">
        <f t="shared" si="51"/>
        <v>0.7</v>
      </c>
      <c r="R169" s="177">
        <f t="shared" si="52"/>
        <v>0.21905284726609453</v>
      </c>
      <c r="S169" s="921">
        <f t="shared" si="53"/>
        <v>-1</v>
      </c>
      <c r="T169" s="176">
        <f t="shared" si="54"/>
        <v>5</v>
      </c>
      <c r="U169" s="251">
        <f t="shared" si="55"/>
        <v>-0.78094715273390547</v>
      </c>
      <c r="V169" s="383">
        <f t="shared" si="56"/>
        <v>54.024199931054874</v>
      </c>
      <c r="W169" s="402"/>
      <c r="X169" s="157">
        <f t="shared" si="57"/>
        <v>43985</v>
      </c>
      <c r="Y169" s="385">
        <f t="shared" si="58"/>
        <v>24.585999999999999</v>
      </c>
      <c r="Z169" s="385">
        <f t="shared" si="59"/>
        <v>24.988833310875915</v>
      </c>
      <c r="AA169" s="386">
        <f t="shared" si="60"/>
        <v>27.012461617114191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7.4914620330498588E-2</v>
      </c>
      <c r="AD169" s="231">
        <f>(INDEX(Models!$BJ169:$BT169,,AH169)*(1-AF169)+INDEX(Models!$BJ169:$BT169,,AH169+1)*AF169-ERP_i)*AE169*Ramure*Pc/MaxiM</f>
        <v>2.6291683869578554E-3</v>
      </c>
      <c r="AE169" s="305">
        <f t="shared" si="62"/>
        <v>0.7</v>
      </c>
      <c r="AF169" s="177">
        <f t="shared" si="63"/>
        <v>0.21905284726609453</v>
      </c>
      <c r="AG169" s="921">
        <f t="shared" si="71"/>
        <v>-1</v>
      </c>
      <c r="AH169" s="176">
        <f t="shared" si="64"/>
        <v>5</v>
      </c>
      <c r="AI169" s="225">
        <f t="shared" si="65"/>
        <v>-0.78094715273390547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20">
        <v>32.959000000000003</v>
      </c>
      <c r="C170" s="390"/>
      <c r="D170" s="393">
        <f t="shared" si="48"/>
        <v>33.499755820156295</v>
      </c>
      <c r="E170" s="385">
        <f t="shared" ref="E170:E232" si="72">Wh_pvt/(1-Psa)</f>
        <v>36.216262318220679</v>
      </c>
      <c r="F170" s="385">
        <f t="shared" si="49"/>
        <v>36.259832581231564</v>
      </c>
      <c r="G170" s="110">
        <f t="shared" ref="G170:G232" si="73">+Wh_hp/MaxiM</f>
        <v>0.60964697270177226</v>
      </c>
      <c r="H170" s="414" t="b">
        <f>Wh_hp&gt;='2019'!Maxi_hp</f>
        <v>1</v>
      </c>
      <c r="I170" s="380">
        <f>IF(H170,Wh_hp,'2019'!Maxi_hp)</f>
        <v>36.259832581231564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1.614208243962556E-2</v>
      </c>
      <c r="M170" s="959"/>
      <c r="N170" s="959"/>
      <c r="O170" s="48">
        <f>IF(t&lt;Tnet,'2019'!Resal+('2019'!Salim-'2019'!Resal)*(1-EXP(('2019'!Tnet-t)/('2019'!Tau_j))),Resal+(Salim-Resal)*(1-EXP((Tnet-t)/(Tau_j))))*Salcycl</f>
        <v>7.5007919762545186E-2</v>
      </c>
      <c r="P170" s="169">
        <f>(INDEX(Models!$BJ170:$BT170,,T170)*(1-R170)+INDEX(Models!$BJ170:$BT170,,T170+1)*R170-ERP_i)*Q170*Ramure*Pc/MaxiM</f>
        <v>2.708355401916929E-3</v>
      </c>
      <c r="Q170" s="305">
        <f t="shared" si="51"/>
        <v>0.7</v>
      </c>
      <c r="R170" s="177">
        <f t="shared" si="52"/>
        <v>0.22413334813636654</v>
      </c>
      <c r="S170" s="921">
        <f t="shared" si="53"/>
        <v>-1</v>
      </c>
      <c r="T170" s="176">
        <f t="shared" si="54"/>
        <v>5</v>
      </c>
      <c r="U170" s="251">
        <f t="shared" si="55"/>
        <v>-0.77586665186363346</v>
      </c>
      <c r="V170" s="383">
        <f t="shared" si="56"/>
        <v>53.98087907415097</v>
      </c>
      <c r="W170" s="402"/>
      <c r="X170" s="157">
        <f t="shared" si="57"/>
        <v>43986</v>
      </c>
      <c r="Y170" s="385">
        <f t="shared" si="58"/>
        <v>32.959000000000003</v>
      </c>
      <c r="Z170" s="385">
        <f t="shared" si="59"/>
        <v>33.499755820156295</v>
      </c>
      <c r="AA170" s="386">
        <f t="shared" si="60"/>
        <v>36.216262318220679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7.5007919762545186E-2</v>
      </c>
      <c r="AD170" s="231">
        <f>(INDEX(Models!$BJ170:$BT170,,AH170)*(1-AF170)+INDEX(Models!$BJ170:$BT170,,AH170+1)*AF170-ERP_i)*AE170*Ramure*Pc/MaxiM</f>
        <v>2.708355401916929E-3</v>
      </c>
      <c r="AE170" s="305">
        <f t="shared" si="62"/>
        <v>0.7</v>
      </c>
      <c r="AF170" s="177">
        <f t="shared" si="63"/>
        <v>0.22413334813636654</v>
      </c>
      <c r="AG170" s="921">
        <f t="shared" si="71"/>
        <v>-1</v>
      </c>
      <c r="AH170" s="176">
        <f t="shared" si="64"/>
        <v>5</v>
      </c>
      <c r="AI170" s="225">
        <f t="shared" si="65"/>
        <v>-0.77586665186363346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20">
        <v>19.620999999999999</v>
      </c>
      <c r="C171" s="390"/>
      <c r="D171" s="393">
        <f t="shared" si="48"/>
        <v>19.943357073674957</v>
      </c>
      <c r="E171" s="385">
        <f t="shared" si="72"/>
        <v>21.562729538498626</v>
      </c>
      <c r="F171" s="385">
        <f t="shared" si="49"/>
        <v>21.56820455859074</v>
      </c>
      <c r="G171" s="110">
        <f t="shared" si="73"/>
        <v>0.36286773425073193</v>
      </c>
      <c r="H171" s="414" t="b">
        <f>Wh_hp&gt;='2019'!Maxi_hp</f>
        <v>0</v>
      </c>
      <c r="I171" s="380">
        <f>IF(H171,Wh_hp,'2019'!Maxi_hp)</f>
        <v>56.000265625104696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1.6163631453024907E-2</v>
      </c>
      <c r="M171" s="959"/>
      <c r="N171" s="959"/>
      <c r="O171" s="48">
        <f>IF(t&lt;Tnet,'2019'!Resal+('2019'!Salim-'2019'!Resal)*(1-EXP(('2019'!Tnet-t)/('2019'!Tau_j))),Resal+(Salim-Resal)*(1-EXP((Tnet-t)/(Tau_j))))*Salcycl</f>
        <v>7.5100532236997267E-2</v>
      </c>
      <c r="P171" s="169">
        <f>(INDEX(Models!$BJ171:$BT171,,T171)*(1-R171)+INDEX(Models!$BJ171:$BT171,,T171+1)*R171-ERP_i)*Q171*Ramure*Pc/MaxiM</f>
        <v>2.7856332718444975E-3</v>
      </c>
      <c r="Q171" s="305">
        <f t="shared" si="51"/>
        <v>0.7</v>
      </c>
      <c r="R171" s="177">
        <f t="shared" si="52"/>
        <v>0.22923526668350647</v>
      </c>
      <c r="S171" s="921">
        <f t="shared" si="53"/>
        <v>-1</v>
      </c>
      <c r="T171" s="176">
        <f t="shared" si="54"/>
        <v>5</v>
      </c>
      <c r="U171" s="251">
        <f t="shared" si="55"/>
        <v>-0.77076473331649353</v>
      </c>
      <c r="V171" s="383">
        <f t="shared" si="56"/>
        <v>53.935110116786184</v>
      </c>
      <c r="W171" s="402"/>
      <c r="X171" s="157">
        <f t="shared" si="57"/>
        <v>43987</v>
      </c>
      <c r="Y171" s="385">
        <f t="shared" si="58"/>
        <v>19.620999999999999</v>
      </c>
      <c r="Z171" s="385">
        <f t="shared" si="59"/>
        <v>19.943357073674957</v>
      </c>
      <c r="AA171" s="386">
        <f t="shared" si="60"/>
        <v>21.562729538498626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7.5100532236997267E-2</v>
      </c>
      <c r="AD171" s="231">
        <f>(INDEX(Models!$BJ171:$BT171,,AH171)*(1-AF171)+INDEX(Models!$BJ171:$BT171,,AH171+1)*AF171-ERP_i)*AE171*Ramure*Pc/MaxiM</f>
        <v>2.7856332718444975E-3</v>
      </c>
      <c r="AE171" s="305">
        <f t="shared" si="62"/>
        <v>0.7</v>
      </c>
      <c r="AF171" s="177">
        <f t="shared" si="63"/>
        <v>0.22923526668350647</v>
      </c>
      <c r="AG171" s="921">
        <f t="shared" si="71"/>
        <v>-1</v>
      </c>
      <c r="AH171" s="176">
        <f t="shared" si="64"/>
        <v>5</v>
      </c>
      <c r="AI171" s="225">
        <f t="shared" si="65"/>
        <v>-0.77076473331649353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20">
        <v>23.69</v>
      </c>
      <c r="C172" s="390"/>
      <c r="D172" s="393">
        <f t="shared" si="48"/>
        <v>24.079734842646761</v>
      </c>
      <c r="E172" s="385">
        <f t="shared" si="72"/>
        <v>26.037561599403965</v>
      </c>
      <c r="F172" s="385">
        <f t="shared" si="49"/>
        <v>26.052428305840689</v>
      </c>
      <c r="G172" s="110">
        <f t="shared" si="73"/>
        <v>0.43861781566987063</v>
      </c>
      <c r="H172" s="414" t="b">
        <f>Wh_hp&gt;='2019'!Maxi_hp</f>
        <v>1</v>
      </c>
      <c r="I172" s="380">
        <f>IF(H172,Wh_hp,'2019'!Maxi_hp)</f>
        <v>26.052428305840689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1.6185179994445575E-2</v>
      </c>
      <c r="M172" s="959"/>
      <c r="N172" s="959"/>
      <c r="O172" s="48">
        <f>IF(t&lt;Tnet,'2019'!Resal+('2019'!Salim-'2019'!Resal)*(1-EXP(('2019'!Tnet-t)/('2019'!Tau_j))),Resal+(Salim-Resal)*(1-EXP((Tnet-t)/(Tau_j))))*Salcycl</f>
        <v>7.519240038214714E-2</v>
      </c>
      <c r="P172" s="169">
        <f>(INDEX(Models!$BJ172:$BT172,,T172)*(1-R172)+INDEX(Models!$BJ172:$BT172,,T172+1)*R172-ERP_i)*Q172*Ramure*Pc/MaxiM</f>
        <v>2.8608867673377233E-3</v>
      </c>
      <c r="Q172" s="305">
        <f t="shared" si="51"/>
        <v>0.7</v>
      </c>
      <c r="R172" s="177">
        <f t="shared" si="52"/>
        <v>0.23435440610133251</v>
      </c>
      <c r="S172" s="921">
        <f t="shared" si="53"/>
        <v>-1</v>
      </c>
      <c r="T172" s="176">
        <f t="shared" si="54"/>
        <v>5</v>
      </c>
      <c r="U172" s="251">
        <f t="shared" si="55"/>
        <v>-0.76564559389866749</v>
      </c>
      <c r="V172" s="383">
        <f t="shared" si="56"/>
        <v>53.886806158844841</v>
      </c>
      <c r="W172" s="402"/>
      <c r="X172" s="157">
        <f t="shared" si="57"/>
        <v>43988</v>
      </c>
      <c r="Y172" s="385">
        <f t="shared" si="58"/>
        <v>23.69</v>
      </c>
      <c r="Z172" s="385">
        <f t="shared" si="59"/>
        <v>24.079734842646761</v>
      </c>
      <c r="AA172" s="386">
        <f t="shared" si="60"/>
        <v>26.037561599403965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7.519240038214714E-2</v>
      </c>
      <c r="AD172" s="231">
        <f>(INDEX(Models!$BJ172:$BT172,,AH172)*(1-AF172)+INDEX(Models!$BJ172:$BT172,,AH172+1)*AF172-ERP_i)*AE172*Ramure*Pc/MaxiM</f>
        <v>2.8608867673377233E-3</v>
      </c>
      <c r="AE172" s="305">
        <f t="shared" si="62"/>
        <v>0.7</v>
      </c>
      <c r="AF172" s="177">
        <f t="shared" si="63"/>
        <v>0.23435440610133251</v>
      </c>
      <c r="AG172" s="921">
        <f t="shared" si="71"/>
        <v>-1</v>
      </c>
      <c r="AH172" s="176">
        <f t="shared" si="64"/>
        <v>5</v>
      </c>
      <c r="AI172" s="225">
        <f t="shared" si="65"/>
        <v>-0.76564559389866749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20">
        <v>33.296999999999997</v>
      </c>
      <c r="C173" s="390"/>
      <c r="D173" s="393">
        <f t="shared" si="48"/>
        <v>33.845525223476677</v>
      </c>
      <c r="E173" s="385">
        <f t="shared" si="72"/>
        <v>36.600973464795736</v>
      </c>
      <c r="F173" s="385">
        <f t="shared" si="49"/>
        <v>36.649898565477457</v>
      </c>
      <c r="G173" s="110">
        <f t="shared" si="73"/>
        <v>0.61750053128677673</v>
      </c>
      <c r="H173" s="414" t="b">
        <f>Wh_hp&gt;='2019'!Maxi_hp</f>
        <v>0</v>
      </c>
      <c r="I173" s="380">
        <f>IF(H173,Wh_hp,'2019'!Maxi_hp)</f>
        <v>61.487890344452325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1.6206728063897891E-2</v>
      </c>
      <c r="M173" s="959"/>
      <c r="N173" s="959"/>
      <c r="O173" s="48">
        <f>IF(t&lt;Tnet,'2019'!Resal+('2019'!Salim-'2019'!Resal)*(1-EXP(('2019'!Tnet-t)/('2019'!Tau_j))),Resal+(Salim-Resal)*(1-EXP((Tnet-t)/(Tau_j))))*Salcycl</f>
        <v>7.5283468729851172E-2</v>
      </c>
      <c r="P173" s="169">
        <f>(INDEX(Models!$BJ173:$BT173,,T173)*(1-R173)+INDEX(Models!$BJ173:$BT173,,T173+1)*R173-ERP_i)*Q173*Ramure*Pc/MaxiM</f>
        <v>2.9339993581404206E-3</v>
      </c>
      <c r="Q173" s="305">
        <f t="shared" si="51"/>
        <v>0.7</v>
      </c>
      <c r="R173" s="177">
        <f t="shared" si="52"/>
        <v>0.23948651205459892</v>
      </c>
      <c r="S173" s="921">
        <f t="shared" si="53"/>
        <v>-1</v>
      </c>
      <c r="T173" s="176">
        <f t="shared" si="54"/>
        <v>5</v>
      </c>
      <c r="U173" s="251">
        <f t="shared" si="55"/>
        <v>-0.76051348794540108</v>
      </c>
      <c r="V173" s="383">
        <f t="shared" si="56"/>
        <v>53.835880258852981</v>
      </c>
      <c r="W173" s="402"/>
      <c r="X173" s="157">
        <f t="shared" si="57"/>
        <v>43989</v>
      </c>
      <c r="Y173" s="385">
        <f t="shared" si="58"/>
        <v>33.296999999999997</v>
      </c>
      <c r="Z173" s="385">
        <f t="shared" si="59"/>
        <v>33.845525223476677</v>
      </c>
      <c r="AA173" s="386">
        <f t="shared" si="60"/>
        <v>36.600973464795736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7.5283468729851172E-2</v>
      </c>
      <c r="AD173" s="231">
        <f>(INDEX(Models!$BJ173:$BT173,,AH173)*(1-AF173)+INDEX(Models!$BJ173:$BT173,,AH173+1)*AF173-ERP_i)*AE173*Ramure*Pc/MaxiM</f>
        <v>2.9339993581404206E-3</v>
      </c>
      <c r="AE173" s="305">
        <f t="shared" si="62"/>
        <v>0.7</v>
      </c>
      <c r="AF173" s="177">
        <f t="shared" si="63"/>
        <v>0.23948651205459892</v>
      </c>
      <c r="AG173" s="921">
        <f t="shared" si="71"/>
        <v>-1</v>
      </c>
      <c r="AH173" s="176">
        <f t="shared" si="64"/>
        <v>5</v>
      </c>
      <c r="AI173" s="225">
        <f t="shared" si="65"/>
        <v>-0.76051348794540108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20">
        <v>40.067999999999998</v>
      </c>
      <c r="C174" s="390"/>
      <c r="D174" s="393">
        <f t="shared" si="48"/>
        <v>40.728960803318287</v>
      </c>
      <c r="E174" s="385">
        <f t="shared" si="72"/>
        <v>44.049104049595059</v>
      </c>
      <c r="F174" s="385">
        <f t="shared" si="49"/>
        <v>44.133409740584895</v>
      </c>
      <c r="G174" s="110">
        <f t="shared" si="73"/>
        <v>0.7441871763697494</v>
      </c>
      <c r="H174" s="414" t="b">
        <f>Wh_hp&gt;='2019'!Maxi_hp</f>
        <v>0</v>
      </c>
      <c r="I174" s="380">
        <f>IF(H174,Wh_hp,'2019'!Maxi_hp)</f>
        <v>46.409454246232372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1.6228275661392177E-2</v>
      </c>
      <c r="M174" s="959"/>
      <c r="N174" s="959"/>
      <c r="O174" s="48">
        <f>IF(t&lt;Tnet,'2019'!Resal+('2019'!Salim-'2019'!Resal)*(1-EXP(('2019'!Tnet-t)/('2019'!Tau_j))),Resal+(Salim-Resal)*(1-EXP((Tnet-t)/(Tau_j))))*Salcycl</f>
        <v>7.5373683935514635E-2</v>
      </c>
      <c r="P174" s="169">
        <f>(INDEX(Models!$BJ174:$BT174,,T174)*(1-R174)+INDEX(Models!$BJ174:$BT174,,T174+1)*R174-ERP_i)*Q174*Ramure*Pc/MaxiM</f>
        <v>3.0048535941937897E-3</v>
      </c>
      <c r="Q174" s="305">
        <f t="shared" si="51"/>
        <v>0.7</v>
      </c>
      <c r="R174" s="177">
        <f t="shared" si="52"/>
        <v>0.24462728669890477</v>
      </c>
      <c r="S174" s="921">
        <f t="shared" si="53"/>
        <v>-1</v>
      </c>
      <c r="T174" s="176">
        <f t="shared" si="54"/>
        <v>5</v>
      </c>
      <c r="U174" s="251">
        <f t="shared" si="55"/>
        <v>-0.75537271330109523</v>
      </c>
      <c r="V174" s="383">
        <f t="shared" si="56"/>
        <v>53.78224539749403</v>
      </c>
      <c r="W174" s="402"/>
      <c r="X174" s="157">
        <f t="shared" si="57"/>
        <v>43990</v>
      </c>
      <c r="Y174" s="385">
        <f t="shared" si="58"/>
        <v>40.067999999999998</v>
      </c>
      <c r="Z174" s="385">
        <f t="shared" si="59"/>
        <v>40.728960803318287</v>
      </c>
      <c r="AA174" s="386">
        <f t="shared" si="60"/>
        <v>44.049104049595059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7.5373683935514635E-2</v>
      </c>
      <c r="AD174" s="231">
        <f>(INDEX(Models!$BJ174:$BT174,,AH174)*(1-AF174)+INDEX(Models!$BJ174:$BT174,,AH174+1)*AF174-ERP_i)*AE174*Ramure*Pc/MaxiM</f>
        <v>3.0048535941937897E-3</v>
      </c>
      <c r="AE174" s="305">
        <f t="shared" si="62"/>
        <v>0.7</v>
      </c>
      <c r="AF174" s="177">
        <f t="shared" si="63"/>
        <v>0.24462728669890477</v>
      </c>
      <c r="AG174" s="921">
        <f t="shared" si="71"/>
        <v>-1</v>
      </c>
      <c r="AH174" s="176">
        <f t="shared" si="64"/>
        <v>5</v>
      </c>
      <c r="AI174" s="225">
        <f t="shared" si="65"/>
        <v>-0.75537271330109523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20">
        <v>27.266999999999999</v>
      </c>
      <c r="C175" s="390"/>
      <c r="D175" s="393">
        <f t="shared" si="48"/>
        <v>27.717402884995359</v>
      </c>
      <c r="E175" s="385">
        <f t="shared" si="72"/>
        <v>29.979765801451713</v>
      </c>
      <c r="F175" s="385">
        <f t="shared" si="49"/>
        <v>30.007105790884598</v>
      </c>
      <c r="G175" s="110">
        <f t="shared" si="73"/>
        <v>0.50642301886244412</v>
      </c>
      <c r="H175" s="414" t="b">
        <f>Wh_hp&gt;='2019'!Maxi_hp</f>
        <v>1</v>
      </c>
      <c r="I175" s="380">
        <f>IF(H175,Wh_hp,'2019'!Maxi_hp)</f>
        <v>30.007105790884598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1.6249822786938761E-2</v>
      </c>
      <c r="M175" s="959"/>
      <c r="N175" s="959"/>
      <c r="O175" s="48">
        <f>IF(t&lt;Tnet,'2019'!Resal+('2019'!Salim-'2019'!Resal)*(1-EXP(('2019'!Tnet-t)/('2019'!Tau_j))),Resal+(Salim-Resal)*(1-EXP((Tnet-t)/(Tau_j))))*Salcycl</f>
        <v>7.5462994989333856E-2</v>
      </c>
      <c r="P175" s="169">
        <f>(INDEX(Models!$BJ175:$BT175,,T175)*(1-R175)+INDEX(Models!$BJ175:$BT175,,T175+1)*R175-ERP_i)*Q175*Ramure*Pc/MaxiM</f>
        <v>3.0733314916271373E-3</v>
      </c>
      <c r="Q175" s="305">
        <f t="shared" si="51"/>
        <v>0.7</v>
      </c>
      <c r="R175" s="177">
        <f t="shared" si="52"/>
        <v>0.24977240300991632</v>
      </c>
      <c r="S175" s="921">
        <f t="shared" si="53"/>
        <v>-1</v>
      </c>
      <c r="T175" s="176">
        <f t="shared" si="54"/>
        <v>5</v>
      </c>
      <c r="U175" s="251">
        <f t="shared" si="55"/>
        <v>-0.75022759699008368</v>
      </c>
      <c r="V175" s="383">
        <f t="shared" si="56"/>
        <v>53.72581443377203</v>
      </c>
      <c r="W175" s="402"/>
      <c r="X175" s="157">
        <f t="shared" si="57"/>
        <v>43991</v>
      </c>
      <c r="Y175" s="385">
        <f t="shared" si="58"/>
        <v>27.266999999999999</v>
      </c>
      <c r="Z175" s="385">
        <f t="shared" si="59"/>
        <v>27.717402884995359</v>
      </c>
      <c r="AA175" s="386">
        <f t="shared" si="60"/>
        <v>29.979765801451713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7.5462994989333856E-2</v>
      </c>
      <c r="AD175" s="231">
        <f>(INDEX(Models!$BJ175:$BT175,,AH175)*(1-AF175)+INDEX(Models!$BJ175:$BT175,,AH175+1)*AF175-ERP_i)*AE175*Ramure*Pc/MaxiM</f>
        <v>3.0733314916271373E-3</v>
      </c>
      <c r="AE175" s="305">
        <f t="shared" si="62"/>
        <v>0.7</v>
      </c>
      <c r="AF175" s="177">
        <f t="shared" si="63"/>
        <v>0.24977240300991632</v>
      </c>
      <c r="AG175" s="921">
        <f t="shared" si="71"/>
        <v>-1</v>
      </c>
      <c r="AH175" s="176">
        <f t="shared" si="64"/>
        <v>5</v>
      </c>
      <c r="AI175" s="225">
        <f t="shared" si="65"/>
        <v>-0.75022759699008368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20">
        <v>39.584000000000003</v>
      </c>
      <c r="C176" s="390"/>
      <c r="D176" s="393">
        <f t="shared" si="48"/>
        <v>40.238739394510006</v>
      </c>
      <c r="E176" s="385">
        <f t="shared" si="72"/>
        <v>43.527284661246512</v>
      </c>
      <c r="F176" s="385">
        <f t="shared" si="49"/>
        <v>43.612874316425476</v>
      </c>
      <c r="G176" s="110">
        <f t="shared" si="73"/>
        <v>0.73672262499760099</v>
      </c>
      <c r="H176" s="414" t="b">
        <f>Wh_hp&gt;='2019'!Maxi_hp</f>
        <v>1</v>
      </c>
      <c r="I176" s="380">
        <f>IF(H176,Wh_hp,'2019'!Maxi_hp)</f>
        <v>43.612874316425476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1.6271369440547967E-2</v>
      </c>
      <c r="M176" s="959"/>
      <c r="N176" s="959"/>
      <c r="O176" s="48">
        <f>IF(t&lt;Tnet,'2019'!Resal+('2019'!Salim-'2019'!Resal)*(1-EXP(('2019'!Tnet-t)/('2019'!Tau_j))),Resal+(Salim-Resal)*(1-EXP((Tnet-t)/(Tau_j))))*Salcycl</f>
        <v>7.5551353417282696E-2</v>
      </c>
      <c r="P176" s="169">
        <f>(INDEX(Models!$BJ176:$BT176,,T176)*(1-R176)+INDEX(Models!$BJ176:$BT176,,T176+1)*R176-ERP_i)*Q176*Ramure*Pc/MaxiM</f>
        <v>3.1393149191100999E-3</v>
      </c>
      <c r="Q176" s="305">
        <f t="shared" si="51"/>
        <v>0.7</v>
      </c>
      <c r="R176" s="177">
        <f t="shared" si="52"/>
        <v>0.25491751932092788</v>
      </c>
      <c r="S176" s="921">
        <f t="shared" si="53"/>
        <v>-1</v>
      </c>
      <c r="T176" s="176">
        <f t="shared" si="54"/>
        <v>5</v>
      </c>
      <c r="U176" s="251">
        <f t="shared" si="55"/>
        <v>-0.74508248067907212</v>
      </c>
      <c r="V176" s="383">
        <f t="shared" si="56"/>
        <v>53.66650006805267</v>
      </c>
      <c r="W176" s="402"/>
      <c r="X176" s="157">
        <f t="shared" si="57"/>
        <v>43992</v>
      </c>
      <c r="Y176" s="385">
        <f t="shared" si="58"/>
        <v>39.584000000000003</v>
      </c>
      <c r="Z176" s="385">
        <f t="shared" si="59"/>
        <v>40.238739394510006</v>
      </c>
      <c r="AA176" s="386">
        <f t="shared" si="60"/>
        <v>43.527284661246512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7.5551353417282696E-2</v>
      </c>
      <c r="AD176" s="231">
        <f>(INDEX(Models!$BJ176:$BT176,,AH176)*(1-AF176)+INDEX(Models!$BJ176:$BT176,,AH176+1)*AF176-ERP_i)*AE176*Ramure*Pc/MaxiM</f>
        <v>3.1393149191100999E-3</v>
      </c>
      <c r="AE176" s="305">
        <f t="shared" si="62"/>
        <v>0.7</v>
      </c>
      <c r="AF176" s="177">
        <f t="shared" si="63"/>
        <v>0.25491751932092788</v>
      </c>
      <c r="AG176" s="921">
        <f t="shared" si="71"/>
        <v>-1</v>
      </c>
      <c r="AH176" s="176">
        <f t="shared" si="64"/>
        <v>5</v>
      </c>
      <c r="AI176" s="225">
        <f t="shared" si="65"/>
        <v>-0.74508248067907212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20">
        <v>23.728999999999999</v>
      </c>
      <c r="C177" s="390"/>
      <c r="D177" s="393">
        <f t="shared" si="48"/>
        <v>24.122018003976709</v>
      </c>
      <c r="E177" s="385">
        <f t="shared" si="72"/>
        <v>26.095876531717881</v>
      </c>
      <c r="F177" s="385">
        <f t="shared" si="49"/>
        <v>26.11292266114415</v>
      </c>
      <c r="G177" s="110">
        <f t="shared" si="73"/>
        <v>0.44154586995288919</v>
      </c>
      <c r="H177" s="414" t="b">
        <f>Wh_hp&gt;='2019'!Maxi_hp</f>
        <v>0</v>
      </c>
      <c r="I177" s="380">
        <f>IF(H177,Wh_hp,'2019'!Maxi_hp)</f>
        <v>53.061432092137871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1.6292915622230231E-2</v>
      </c>
      <c r="M177" s="959"/>
      <c r="N177" s="959"/>
      <c r="O177" s="48">
        <f>IF(t&lt;Tnet,'2019'!Resal+('2019'!Salim-'2019'!Resal)*(1-EXP(('2019'!Tnet-t)/('2019'!Tau_j))),Resal+(Salim-Resal)*(1-EXP((Tnet-t)/(Tau_j))))*Salcycl</f>
        <v>7.5638713470385741E-2</v>
      </c>
      <c r="P177" s="169">
        <f>(INDEX(Models!$BJ177:$BT177,,T177)*(1-R177)+INDEX(Models!$BJ177:$BT177,,T177+1)*R177-ERP_i)*Q177*Ramure*Pc/MaxiM</f>
        <v>3.2027219447838466E-3</v>
      </c>
      <c r="Q177" s="305">
        <f t="shared" si="51"/>
        <v>0.7</v>
      </c>
      <c r="R177" s="177">
        <f t="shared" si="52"/>
        <v>0.26005829396523383</v>
      </c>
      <c r="S177" s="921">
        <f t="shared" si="53"/>
        <v>-1</v>
      </c>
      <c r="T177" s="176">
        <f t="shared" si="54"/>
        <v>5</v>
      </c>
      <c r="U177" s="251">
        <f t="shared" si="55"/>
        <v>-0.73994170603476617</v>
      </c>
      <c r="V177" s="383">
        <f t="shared" si="56"/>
        <v>53.603610943810025</v>
      </c>
      <c r="W177" s="402"/>
      <c r="X177" s="157">
        <f t="shared" si="57"/>
        <v>43993</v>
      </c>
      <c r="Y177" s="385">
        <f t="shared" si="58"/>
        <v>23.728999999999999</v>
      </c>
      <c r="Z177" s="385">
        <f t="shared" si="59"/>
        <v>24.122018003976709</v>
      </c>
      <c r="AA177" s="386">
        <f t="shared" si="60"/>
        <v>26.095876531717881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7.5638713470385741E-2</v>
      </c>
      <c r="AD177" s="231">
        <f>(INDEX(Models!$BJ177:$BT177,,AH177)*(1-AF177)+INDEX(Models!$BJ177:$BT177,,AH177+1)*AF177-ERP_i)*AE177*Ramure*Pc/MaxiM</f>
        <v>3.2027219447838466E-3</v>
      </c>
      <c r="AE177" s="305">
        <f t="shared" si="62"/>
        <v>0.7</v>
      </c>
      <c r="AF177" s="177">
        <f t="shared" si="63"/>
        <v>0.26005829396523383</v>
      </c>
      <c r="AG177" s="921">
        <f t="shared" si="71"/>
        <v>-1</v>
      </c>
      <c r="AH177" s="176">
        <f t="shared" si="64"/>
        <v>5</v>
      </c>
      <c r="AI177" s="225">
        <f t="shared" si="65"/>
        <v>-0.73994170603476617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20">
        <v>47.293999999999997</v>
      </c>
      <c r="C178" s="390"/>
      <c r="D178" s="393">
        <f t="shared" si="48"/>
        <v>48.078372753187146</v>
      </c>
      <c r="E178" s="385">
        <f t="shared" si="72"/>
        <v>52.017391396927593</v>
      </c>
      <c r="F178" s="385">
        <f t="shared" si="49"/>
        <v>52.159201000992717</v>
      </c>
      <c r="G178" s="110">
        <f t="shared" si="73"/>
        <v>0.88291018379756403</v>
      </c>
      <c r="H178" s="414" t="b">
        <f>Wh_hp&gt;='2019'!Maxi_hp</f>
        <v>0</v>
      </c>
      <c r="I178" s="380">
        <f>IF(H178,Wh_hp,'2019'!Maxi_hp)</f>
        <v>61.924411785677407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1.6314461331995767E-2</v>
      </c>
      <c r="M178" s="959"/>
      <c r="N178" s="959"/>
      <c r="O178" s="48">
        <f>IF(t&lt;Tnet,'2019'!Resal+('2019'!Salim-'2019'!Resal)*(1-EXP(('2019'!Tnet-t)/('2019'!Tau_j))),Resal+(Salim-Resal)*(1-EXP((Tnet-t)/(Tau_j))))*Salcycl</f>
        <v>7.572503230089124E-2</v>
      </c>
      <c r="P178" s="169">
        <f>(INDEX(Models!$BJ178:$BT178,,T178)*(1-R178)+INDEX(Models!$BJ178:$BT178,,T178+1)*R178-ERP_i)*Q178*Ramure*Pc/MaxiM</f>
        <v>3.2622152698954408E-3</v>
      </c>
      <c r="Q178" s="305">
        <f t="shared" si="51"/>
        <v>0.7</v>
      </c>
      <c r="R178" s="177">
        <f t="shared" si="52"/>
        <v>0.26519039991850035</v>
      </c>
      <c r="S178" s="921">
        <f t="shared" si="53"/>
        <v>-1</v>
      </c>
      <c r="T178" s="176">
        <f t="shared" si="54"/>
        <v>5</v>
      </c>
      <c r="U178" s="251">
        <f t="shared" si="55"/>
        <v>-0.73480960008149965</v>
      </c>
      <c r="V178" s="383">
        <f t="shared" si="56"/>
        <v>53.536848668806272</v>
      </c>
      <c r="W178" s="402"/>
      <c r="X178" s="157">
        <f t="shared" si="57"/>
        <v>43994</v>
      </c>
      <c r="Y178" s="385">
        <f t="shared" si="58"/>
        <v>47.293999999999997</v>
      </c>
      <c r="Z178" s="385">
        <f t="shared" si="59"/>
        <v>48.078372753187146</v>
      </c>
      <c r="AA178" s="386">
        <f t="shared" si="60"/>
        <v>52.017391396927593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7.572503230089124E-2</v>
      </c>
      <c r="AD178" s="231">
        <f>(INDEX(Models!$BJ178:$BT178,,AH178)*(1-AF178)+INDEX(Models!$BJ178:$BT178,,AH178+1)*AF178-ERP_i)*AE178*Ramure*Pc/MaxiM</f>
        <v>3.2622152698954408E-3</v>
      </c>
      <c r="AE178" s="305">
        <f t="shared" si="62"/>
        <v>0.7</v>
      </c>
      <c r="AF178" s="177">
        <f t="shared" si="63"/>
        <v>0.26519039991850035</v>
      </c>
      <c r="AG178" s="921">
        <f t="shared" si="71"/>
        <v>-1</v>
      </c>
      <c r="AH178" s="176">
        <f t="shared" si="64"/>
        <v>5</v>
      </c>
      <c r="AI178" s="225">
        <f t="shared" si="65"/>
        <v>-0.73480960008149965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20">
        <v>39.32</v>
      </c>
      <c r="C179" s="390"/>
      <c r="D179" s="393">
        <f t="shared" si="48"/>
        <v>39.97299917717514</v>
      </c>
      <c r="E179" s="385">
        <f t="shared" si="72"/>
        <v>43.251940467397375</v>
      </c>
      <c r="F179" s="385">
        <f t="shared" si="49"/>
        <v>43.341409101653419</v>
      </c>
      <c r="G179" s="110">
        <f t="shared" si="73"/>
        <v>0.73448853102812106</v>
      </c>
      <c r="H179" s="414" t="b">
        <f>Wh_hp&gt;='2019'!Maxi_hp</f>
        <v>1</v>
      </c>
      <c r="I179" s="380">
        <f>IF(H179,Wh_hp,'2019'!Maxi_hp)</f>
        <v>43.341409101653419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1.6336006569855011E-2</v>
      </c>
      <c r="M179" s="959"/>
      <c r="N179" s="959"/>
      <c r="O179" s="48">
        <f>IF(t&lt;Tnet,'2019'!Resal+('2019'!Salim-'2019'!Resal)*(1-EXP(('2019'!Tnet-t)/('2019'!Tau_j))),Resal+(Salim-Resal)*(1-EXP((Tnet-t)/(Tau_j))))*Salcycl</f>
        <v>7.5810270124038723E-2</v>
      </c>
      <c r="P179" s="169">
        <f>(INDEX(Models!$BJ179:$BT179,,T179)*(1-R179)+INDEX(Models!$BJ179:$BT179,,T179+1)*R179-ERP_i)*Q179*Ramure*Pc/MaxiM</f>
        <v>3.3186732154871445E-3</v>
      </c>
      <c r="Q179" s="305">
        <f t="shared" si="51"/>
        <v>0.7</v>
      </c>
      <c r="R179" s="177">
        <f t="shared" si="52"/>
        <v>0.27030953933632618</v>
      </c>
      <c r="S179" s="921">
        <f t="shared" si="53"/>
        <v>-1</v>
      </c>
      <c r="T179" s="176">
        <f t="shared" si="54"/>
        <v>5</v>
      </c>
      <c r="U179" s="251">
        <f t="shared" si="55"/>
        <v>-0.72969046066367382</v>
      </c>
      <c r="V179" s="383">
        <f t="shared" si="56"/>
        <v>53.466559951775132</v>
      </c>
      <c r="W179" s="402"/>
      <c r="X179" s="157">
        <f t="shared" si="57"/>
        <v>43995</v>
      </c>
      <c r="Y179" s="385">
        <f t="shared" si="58"/>
        <v>39.32</v>
      </c>
      <c r="Z179" s="385">
        <f t="shared" si="59"/>
        <v>39.97299917717514</v>
      </c>
      <c r="AA179" s="386">
        <f t="shared" si="60"/>
        <v>43.251940467397375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7.5810270124038723E-2</v>
      </c>
      <c r="AD179" s="231">
        <f>(INDEX(Models!$BJ179:$BT179,,AH179)*(1-AF179)+INDEX(Models!$BJ179:$BT179,,AH179+1)*AF179-ERP_i)*AE179*Ramure*Pc/MaxiM</f>
        <v>3.3186732154871445E-3</v>
      </c>
      <c r="AE179" s="305">
        <f t="shared" si="62"/>
        <v>0.7</v>
      </c>
      <c r="AF179" s="177">
        <f t="shared" si="63"/>
        <v>0.27030953933632618</v>
      </c>
      <c r="AG179" s="921">
        <f t="shared" si="71"/>
        <v>-1</v>
      </c>
      <c r="AH179" s="176">
        <f t="shared" si="64"/>
        <v>5</v>
      </c>
      <c r="AI179" s="225">
        <f t="shared" si="65"/>
        <v>-0.72969046066367382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20">
        <v>42.286000000000001</v>
      </c>
      <c r="C180" s="390"/>
      <c r="D180" s="393">
        <f t="shared" si="48"/>
        <v>42.989198013389675</v>
      </c>
      <c r="E180" s="385">
        <f t="shared" si="72"/>
        <v>46.519789042653656</v>
      </c>
      <c r="F180" s="385">
        <f t="shared" si="49"/>
        <v>46.630297293944871</v>
      </c>
      <c r="G180" s="110">
        <f t="shared" si="73"/>
        <v>0.7911788119411115</v>
      </c>
      <c r="H180" s="414" t="b">
        <f>Wh_hp&gt;='2019'!Maxi_hp</f>
        <v>1</v>
      </c>
      <c r="I180" s="380">
        <f>IF(H180,Wh_hp,'2019'!Maxi_hp)</f>
        <v>46.630297293944871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1.6357551335818177E-2</v>
      </c>
      <c r="M180" s="959"/>
      <c r="N180" s="959"/>
      <c r="O180" s="48">
        <f>IF(t&lt;Tnet,'2019'!Resal+('2019'!Salim-'2019'!Resal)*(1-EXP(('2019'!Tnet-t)/('2019'!Tau_j))),Resal+(Salim-Resal)*(1-EXP((Tnet-t)/(Tau_j))))*Salcycl</f>
        <v>7.5894390364212694E-2</v>
      </c>
      <c r="P180" s="169">
        <f>(INDEX(Models!$BJ180:$BT180,,T180)*(1-R180)+INDEX(Models!$BJ180:$BT180,,T180+1)*R180-ERP_i)*Q180*Ramure*Pc/MaxiM</f>
        <v>3.3719578043903734E-3</v>
      </c>
      <c r="Q180" s="305">
        <f t="shared" si="51"/>
        <v>0.7</v>
      </c>
      <c r="R180" s="177">
        <f t="shared" si="52"/>
        <v>0.27541145788346633</v>
      </c>
      <c r="S180" s="921">
        <f t="shared" si="53"/>
        <v>-1</v>
      </c>
      <c r="T180" s="176">
        <f t="shared" si="54"/>
        <v>5</v>
      </c>
      <c r="U180" s="251">
        <f t="shared" si="55"/>
        <v>-0.72458854211653367</v>
      </c>
      <c r="V180" s="383">
        <f t="shared" si="56"/>
        <v>53.393145619320286</v>
      </c>
      <c r="W180" s="402"/>
      <c r="X180" s="157">
        <f t="shared" si="57"/>
        <v>43996</v>
      </c>
      <c r="Y180" s="385">
        <f t="shared" si="58"/>
        <v>42.286000000000001</v>
      </c>
      <c r="Z180" s="385">
        <f t="shared" si="59"/>
        <v>42.989198013389675</v>
      </c>
      <c r="AA180" s="386">
        <f t="shared" si="60"/>
        <v>46.519789042653656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7.5894390364212694E-2</v>
      </c>
      <c r="AD180" s="231">
        <f>(INDEX(Models!$BJ180:$BT180,,AH180)*(1-AF180)+INDEX(Models!$BJ180:$BT180,,AH180+1)*AF180-ERP_i)*AE180*Ramure*Pc/MaxiM</f>
        <v>3.3719578043903734E-3</v>
      </c>
      <c r="AE180" s="305">
        <f t="shared" si="62"/>
        <v>0.7</v>
      </c>
      <c r="AF180" s="177">
        <f t="shared" si="63"/>
        <v>0.27541145788346633</v>
      </c>
      <c r="AG180" s="921">
        <f t="shared" si="71"/>
        <v>-1</v>
      </c>
      <c r="AH180" s="176">
        <f t="shared" si="64"/>
        <v>5</v>
      </c>
      <c r="AI180" s="225">
        <f t="shared" si="65"/>
        <v>-0.72458854211653367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20">
        <v>43.646999999999998</v>
      </c>
      <c r="C181" s="390"/>
      <c r="D181" s="393">
        <f t="shared" si="48"/>
        <v>44.373802758849322</v>
      </c>
      <c r="E181" s="385">
        <f t="shared" si="72"/>
        <v>48.022419394934666</v>
      </c>
      <c r="F181" s="385">
        <f t="shared" si="49"/>
        <v>48.144480946151901</v>
      </c>
      <c r="G181" s="110">
        <f t="shared" si="73"/>
        <v>0.81790421056677243</v>
      </c>
      <c r="H181" s="414" t="b">
        <f>Wh_hp&gt;='2019'!Maxi_hp</f>
        <v>0</v>
      </c>
      <c r="I181" s="380">
        <f>IF(H181,Wh_hp,'2019'!Maxi_hp)</f>
        <v>59.636866753529013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1.6379095629895701E-2</v>
      </c>
      <c r="M181" s="959"/>
      <c r="N181" s="959"/>
      <c r="O181" s="48">
        <f>IF(t&lt;Tnet,'2019'!Resal+('2019'!Salim-'2019'!Resal)*(1-EXP(('2019'!Tnet-t)/('2019'!Tau_j))),Resal+(Salim-Resal)*(1-EXP((Tnet-t)/(Tau_j))))*Salcycl</f>
        <v>7.5977359784380166E-2</v>
      </c>
      <c r="P181" s="169">
        <f>(INDEX(Models!$BJ181:$BT181,,T181)*(1-R181)+INDEX(Models!$BJ181:$BT181,,T181+1)*R181-ERP_i)*Q181*Ramure*Pc/MaxiM</f>
        <v>3.4219307731138716E-3</v>
      </c>
      <c r="Q181" s="305">
        <f t="shared" si="51"/>
        <v>0.7</v>
      </c>
      <c r="R181" s="177">
        <f t="shared" si="52"/>
        <v>0.28049195875373822</v>
      </c>
      <c r="S181" s="921">
        <f t="shared" si="53"/>
        <v>-1</v>
      </c>
      <c r="T181" s="176">
        <f t="shared" si="54"/>
        <v>5</v>
      </c>
      <c r="U181" s="251">
        <f t="shared" si="55"/>
        <v>-0.71950804124626178</v>
      </c>
      <c r="V181" s="383">
        <f t="shared" si="56"/>
        <v>53.317005917738747</v>
      </c>
      <c r="W181" s="402"/>
      <c r="X181" s="157">
        <f t="shared" si="57"/>
        <v>43997</v>
      </c>
      <c r="Y181" s="385">
        <f t="shared" si="58"/>
        <v>43.646999999999998</v>
      </c>
      <c r="Z181" s="385">
        <f t="shared" si="59"/>
        <v>44.373802758849322</v>
      </c>
      <c r="AA181" s="386">
        <f t="shared" si="60"/>
        <v>48.022419394934666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7.5977359784380166E-2</v>
      </c>
      <c r="AD181" s="231">
        <f>(INDEX(Models!$BJ181:$BT181,,AH181)*(1-AF181)+INDEX(Models!$BJ181:$BT181,,AH181+1)*AF181-ERP_i)*AE181*Ramure*Pc/MaxiM</f>
        <v>3.4219307731138716E-3</v>
      </c>
      <c r="AE181" s="305">
        <f t="shared" si="62"/>
        <v>0.7</v>
      </c>
      <c r="AF181" s="177">
        <f t="shared" si="63"/>
        <v>0.28049195875373822</v>
      </c>
      <c r="AG181" s="921">
        <f t="shared" si="71"/>
        <v>-1</v>
      </c>
      <c r="AH181" s="176">
        <f t="shared" si="64"/>
        <v>5</v>
      </c>
      <c r="AI181" s="225">
        <f t="shared" si="65"/>
        <v>-0.71950804124626178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20">
        <v>28.311</v>
      </c>
      <c r="C182" s="390"/>
      <c r="D182" s="393">
        <f t="shared" si="48"/>
        <v>28.78306059921562</v>
      </c>
      <c r="E182" s="385">
        <f t="shared" si="72"/>
        <v>31.152492668263864</v>
      </c>
      <c r="F182" s="385">
        <f t="shared" si="49"/>
        <v>31.18831047558507</v>
      </c>
      <c r="G182" s="110">
        <f t="shared" si="73"/>
        <v>0.53054126222634534</v>
      </c>
      <c r="H182" s="414" t="b">
        <f>Wh_hp&gt;='2019'!Maxi_hp</f>
        <v>0</v>
      </c>
      <c r="I182" s="380">
        <f>IF(H182,Wh_hp,'2019'!Maxi_hp)</f>
        <v>58.647204437041879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1.6400639452097909E-2</v>
      </c>
      <c r="M182" s="959"/>
      <c r="N182" s="959"/>
      <c r="O182" s="48">
        <f>IF(t&lt;Tnet,'2019'!Resal+('2019'!Salim-'2019'!Resal)*(1-EXP(('2019'!Tnet-t)/('2019'!Tau_j))),Resal+(Salim-Resal)*(1-EXP((Tnet-t)/(Tau_j))))*Salcycl</f>
        <v>7.6059148597828516E-2</v>
      </c>
      <c r="P182" s="169">
        <f>(INDEX(Models!$BJ182:$BT182,,T182)*(1-R182)+INDEX(Models!$BJ182:$BT182,,T182+1)*R182-ERP_i)*Q182*Ramure*Pc/MaxiM</f>
        <v>3.4684541118297544E-3</v>
      </c>
      <c r="Q182" s="305">
        <f t="shared" si="51"/>
        <v>0.7</v>
      </c>
      <c r="R182" s="177">
        <f t="shared" si="52"/>
        <v>0.2855469162833979</v>
      </c>
      <c r="S182" s="921">
        <f t="shared" si="53"/>
        <v>-1</v>
      </c>
      <c r="T182" s="176">
        <f t="shared" si="54"/>
        <v>5</v>
      </c>
      <c r="U182" s="251">
        <f t="shared" si="55"/>
        <v>-0.7144530837166021</v>
      </c>
      <c r="V182" s="383">
        <f t="shared" si="56"/>
        <v>53.238540498197196</v>
      </c>
      <c r="W182" s="402"/>
      <c r="X182" s="157">
        <f t="shared" si="57"/>
        <v>43998</v>
      </c>
      <c r="Y182" s="385">
        <f t="shared" si="58"/>
        <v>28.311</v>
      </c>
      <c r="Z182" s="385">
        <f t="shared" si="59"/>
        <v>28.78306059921562</v>
      </c>
      <c r="AA182" s="386">
        <f t="shared" si="60"/>
        <v>31.152492668263864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7.6059148597828516E-2</v>
      </c>
      <c r="AD182" s="231">
        <f>(INDEX(Models!$BJ182:$BT182,,AH182)*(1-AF182)+INDEX(Models!$BJ182:$BT182,,AH182+1)*AF182-ERP_i)*AE182*Ramure*Pc/MaxiM</f>
        <v>3.4684541118297544E-3</v>
      </c>
      <c r="AE182" s="305">
        <f t="shared" si="62"/>
        <v>0.7</v>
      </c>
      <c r="AF182" s="177">
        <f t="shared" si="63"/>
        <v>0.2855469162833979</v>
      </c>
      <c r="AG182" s="921">
        <f t="shared" si="71"/>
        <v>-1</v>
      </c>
      <c r="AH182" s="176">
        <f t="shared" si="64"/>
        <v>5</v>
      </c>
      <c r="AI182" s="225">
        <f t="shared" si="65"/>
        <v>-0.7144530837166021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20">
        <v>47.500999999999998</v>
      </c>
      <c r="C183" s="390"/>
      <c r="D183" s="393">
        <f t="shared" si="48"/>
        <v>48.294094447291485</v>
      </c>
      <c r="E183" s="385">
        <f t="shared" si="72"/>
        <v>52.274241078291553</v>
      </c>
      <c r="F183" s="385">
        <f t="shared" si="49"/>
        <v>52.430355261343962</v>
      </c>
      <c r="G183" s="110">
        <f t="shared" si="73"/>
        <v>0.89310045415227979</v>
      </c>
      <c r="H183" s="414" t="b">
        <f>Wh_hp&gt;='2019'!Maxi_hp</f>
        <v>0</v>
      </c>
      <c r="I183" s="380">
        <f>IF(H183,Wh_hp,'2019'!Maxi_hp)</f>
        <v>56.677985927992459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1.6422182802435126E-2</v>
      </c>
      <c r="M183" s="959"/>
      <c r="N183" s="959"/>
      <c r="O183" s="48">
        <f>IF(t&lt;Tnet,'2019'!Resal+('2019'!Salim-'2019'!Resal)*(1-EXP(('2019'!Tnet-t)/('2019'!Tau_j))),Resal+(Salim-Resal)*(1-EXP((Tnet-t)/(Tau_j))))*Salcycl</f>
        <v>7.6139730561347915E-2</v>
      </c>
      <c r="P183" s="169">
        <f>(INDEX(Models!$BJ183:$BT183,,T183)*(1-R183)+INDEX(Models!$BJ183:$BT183,,T183+1)*R183-ERP_i)*Q183*Ramure*Pc/MaxiM</f>
        <v>3.5113906018362038E-3</v>
      </c>
      <c r="Q183" s="305">
        <f t="shared" si="51"/>
        <v>0.7</v>
      </c>
      <c r="R183" s="177">
        <f t="shared" si="52"/>
        <v>0.2905722890656699</v>
      </c>
      <c r="S183" s="921">
        <f t="shared" si="53"/>
        <v>-1</v>
      </c>
      <c r="T183" s="176">
        <f t="shared" si="54"/>
        <v>5</v>
      </c>
      <c r="U183" s="251">
        <f t="shared" si="55"/>
        <v>-0.7094277109343301</v>
      </c>
      <c r="V183" s="383">
        <f t="shared" si="56"/>
        <v>53.158148390910732</v>
      </c>
      <c r="W183" s="402"/>
      <c r="X183" s="157">
        <f t="shared" si="57"/>
        <v>43999</v>
      </c>
      <c r="Y183" s="385">
        <f t="shared" si="58"/>
        <v>47.500999999999998</v>
      </c>
      <c r="Z183" s="385">
        <f t="shared" si="59"/>
        <v>48.294094447291485</v>
      </c>
      <c r="AA183" s="386">
        <f t="shared" si="60"/>
        <v>52.274241078291553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7.6139730561347915E-2</v>
      </c>
      <c r="AD183" s="231">
        <f>(INDEX(Models!$BJ183:$BT183,,AH183)*(1-AF183)+INDEX(Models!$BJ183:$BT183,,AH183+1)*AF183-ERP_i)*AE183*Ramure*Pc/MaxiM</f>
        <v>3.5113906018362038E-3</v>
      </c>
      <c r="AE183" s="305">
        <f t="shared" si="62"/>
        <v>0.7</v>
      </c>
      <c r="AF183" s="177">
        <f t="shared" si="63"/>
        <v>0.2905722890656699</v>
      </c>
      <c r="AG183" s="921">
        <f t="shared" si="71"/>
        <v>-1</v>
      </c>
      <c r="AH183" s="176">
        <f t="shared" si="64"/>
        <v>5</v>
      </c>
      <c r="AI183" s="225">
        <f t="shared" si="65"/>
        <v>-0.7094277109343301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20">
        <v>35.881</v>
      </c>
      <c r="C184" s="390"/>
      <c r="D184" s="393">
        <f t="shared" si="48"/>
        <v>36.480881609789414</v>
      </c>
      <c r="E184" s="385">
        <f t="shared" si="72"/>
        <v>39.490836994341137</v>
      </c>
      <c r="F184" s="385">
        <f t="shared" si="49"/>
        <v>39.5662753214582</v>
      </c>
      <c r="G184" s="110">
        <f t="shared" si="73"/>
        <v>0.67491419982758138</v>
      </c>
      <c r="H184" s="414" t="b">
        <f>Wh_hp&gt;='2019'!Maxi_hp</f>
        <v>0</v>
      </c>
      <c r="I184" s="380">
        <f>IF(H184,Wh_hp,'2019'!Maxi_hp)</f>
        <v>49.581737815799464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1.6443725680917676E-2</v>
      </c>
      <c r="M184" s="959"/>
      <c r="N184" s="959"/>
      <c r="O184" s="48">
        <f>IF(t&lt;Tnet,'2019'!Resal+('2019'!Salim-'2019'!Resal)*(1-EXP(('2019'!Tnet-t)/('2019'!Tau_j))),Resal+(Salim-Resal)*(1-EXP((Tnet-t)/(Tau_j))))*Salcycl</f>
        <v>7.6219083049139602E-2</v>
      </c>
      <c r="P184" s="169">
        <f>(INDEX(Models!$BJ184:$BT184,,T184)*(1-R184)+INDEX(Models!$BJ184:$BT184,,T184+1)*R184-ERP_i)*Q184*Ramure*Pc/MaxiM</f>
        <v>3.5493276294617762E-3</v>
      </c>
      <c r="Q184" s="305">
        <f t="shared" si="51"/>
        <v>0.7</v>
      </c>
      <c r="R184" s="177">
        <f t="shared" si="52"/>
        <v>0.2955641324800824</v>
      </c>
      <c r="S184" s="921">
        <f t="shared" si="53"/>
        <v>-1</v>
      </c>
      <c r="T184" s="176">
        <f t="shared" si="54"/>
        <v>5</v>
      </c>
      <c r="U184" s="251">
        <f t="shared" si="55"/>
        <v>-0.7044358675199176</v>
      </c>
      <c r="V184" s="383">
        <f t="shared" si="56"/>
        <v>53.076295999033803</v>
      </c>
      <c r="W184" s="402"/>
      <c r="X184" s="157">
        <f t="shared" si="57"/>
        <v>44000</v>
      </c>
      <c r="Y184" s="385">
        <f t="shared" si="58"/>
        <v>35.881</v>
      </c>
      <c r="Z184" s="385">
        <f t="shared" si="59"/>
        <v>36.480881609789414</v>
      </c>
      <c r="AA184" s="386">
        <f t="shared" si="60"/>
        <v>39.490836994341137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7.6219083049139602E-2</v>
      </c>
      <c r="AD184" s="231">
        <f>(INDEX(Models!$BJ184:$BT184,,AH184)*(1-AF184)+INDEX(Models!$BJ184:$BT184,,AH184+1)*AF184-ERP_i)*AE184*Ramure*Pc/MaxiM</f>
        <v>3.5493276294617762E-3</v>
      </c>
      <c r="AE184" s="305">
        <f t="shared" si="62"/>
        <v>0.7</v>
      </c>
      <c r="AF184" s="177">
        <f t="shared" si="63"/>
        <v>0.2955641324800824</v>
      </c>
      <c r="AG184" s="921">
        <f t="shared" si="71"/>
        <v>-1</v>
      </c>
      <c r="AH184" s="176">
        <f t="shared" si="64"/>
        <v>5</v>
      </c>
      <c r="AI184" s="225">
        <f t="shared" si="65"/>
        <v>-0.7044358675199176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20">
        <v>45.969000000000001</v>
      </c>
      <c r="C185" s="390"/>
      <c r="D185" s="393">
        <f t="shared" si="48"/>
        <v>46.738562969316924</v>
      </c>
      <c r="E185" s="385">
        <f t="shared" si="72"/>
        <v>50.599134610110475</v>
      </c>
      <c r="F185" s="385">
        <f t="shared" si="49"/>
        <v>50.746590499850917</v>
      </c>
      <c r="G185" s="110">
        <f t="shared" si="73"/>
        <v>0.86685950664329636</v>
      </c>
      <c r="H185" s="414" t="b">
        <f>Wh_hp&gt;='2019'!Maxi_hp</f>
        <v>1</v>
      </c>
      <c r="I185" s="380">
        <f>IF(H185,Wh_hp,'2019'!Maxi_hp)</f>
        <v>50.746590499850917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1.6465268087555995E-2</v>
      </c>
      <c r="M185" s="959"/>
      <c r="N185" s="959"/>
      <c r="O185" s="48">
        <f>IF(t&lt;Tnet,'2019'!Resal+('2019'!Salim-'2019'!Resal)*(1-EXP(('2019'!Tnet-t)/('2019'!Tau_j))),Resal+(Salim-Resal)*(1-EXP((Tnet-t)/(Tau_j))))*Salcycl</f>
        <v>7.62971871068749E-2</v>
      </c>
      <c r="P185" s="169">
        <f>(INDEX(Models!$BJ185:$BT185,,T185)*(1-R185)+INDEX(Models!$BJ185:$BT185,,T185+1)*R185-ERP_i)*Q185*Ramure*Pc/MaxiM</f>
        <v>3.5844761438040794E-3</v>
      </c>
      <c r="Q185" s="305">
        <f t="shared" si="51"/>
        <v>0.7</v>
      </c>
      <c r="R185" s="177">
        <f t="shared" si="52"/>
        <v>0.30051861055716467</v>
      </c>
      <c r="S185" s="921">
        <f t="shared" si="53"/>
        <v>-1</v>
      </c>
      <c r="T185" s="176">
        <f t="shared" si="54"/>
        <v>5</v>
      </c>
      <c r="U185" s="251">
        <f t="shared" si="55"/>
        <v>-0.69948138944283533</v>
      </c>
      <c r="V185" s="383">
        <f t="shared" si="56"/>
        <v>52.993256045699141</v>
      </c>
      <c r="W185" s="402"/>
      <c r="X185" s="157">
        <f t="shared" si="57"/>
        <v>44001</v>
      </c>
      <c r="Y185" s="385">
        <f t="shared" si="58"/>
        <v>45.969000000000001</v>
      </c>
      <c r="Z185" s="385">
        <f t="shared" si="59"/>
        <v>46.738562969316924</v>
      </c>
      <c r="AA185" s="386">
        <f t="shared" si="60"/>
        <v>50.599134610110475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7.62971871068749E-2</v>
      </c>
      <c r="AD185" s="231">
        <f>(INDEX(Models!$BJ185:$BT185,,AH185)*(1-AF185)+INDEX(Models!$BJ185:$BT185,,AH185+1)*AF185-ERP_i)*AE185*Ramure*Pc/MaxiM</f>
        <v>3.5844761438040794E-3</v>
      </c>
      <c r="AE185" s="305">
        <f t="shared" si="62"/>
        <v>0.7</v>
      </c>
      <c r="AF185" s="177">
        <f t="shared" si="63"/>
        <v>0.30051861055716467</v>
      </c>
      <c r="AG185" s="921">
        <f t="shared" si="71"/>
        <v>-1</v>
      </c>
      <c r="AH185" s="176">
        <f t="shared" si="64"/>
        <v>5</v>
      </c>
      <c r="AI185" s="225">
        <f t="shared" si="65"/>
        <v>-0.69948138944283533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20">
        <v>45.533999999999999</v>
      </c>
      <c r="C186" s="390"/>
      <c r="D186" s="393">
        <f t="shared" si="48"/>
        <v>46.297294702306147</v>
      </c>
      <c r="E186" s="385">
        <f t="shared" si="72"/>
        <v>50.125587716274836</v>
      </c>
      <c r="F186" s="385">
        <f t="shared" si="49"/>
        <v>50.271199376554243</v>
      </c>
      <c r="G186" s="110">
        <f t="shared" si="73"/>
        <v>0.85998120772133302</v>
      </c>
      <c r="H186" s="414" t="b">
        <f>Wh_hp&gt;='2019'!Maxi_hp</f>
        <v>1</v>
      </c>
      <c r="I186" s="380">
        <f>IF(H186,Wh_hp,'2019'!Maxi_hp)</f>
        <v>50.271199376554243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1.6486810022360188E-2</v>
      </c>
      <c r="M186" s="959"/>
      <c r="N186" s="959"/>
      <c r="O186" s="48">
        <f>IF(t&lt;Tnet,'2019'!Resal+('2019'!Salim-'2019'!Resal)*(1-EXP(('2019'!Tnet-t)/('2019'!Tau_j))),Resal+(Salim-Resal)*(1-EXP((Tnet-t)/(Tau_j))))*Salcycl</f>
        <v>7.6374027485481513E-2</v>
      </c>
      <c r="P186" s="169">
        <f>(INDEX(Models!$BJ186:$BT186,,T186)*(1-R186)+INDEX(Models!$BJ186:$BT186,,T186+1)*R186-ERP_i)*Q186*Ramure*Pc/MaxiM</f>
        <v>3.6167596461598559E-3</v>
      </c>
      <c r="Q186" s="305">
        <f t="shared" si="51"/>
        <v>0.7</v>
      </c>
      <c r="R186" s="177">
        <f t="shared" si="52"/>
        <v>0.30543200710679141</v>
      </c>
      <c r="S186" s="921">
        <f t="shared" si="53"/>
        <v>-1</v>
      </c>
      <c r="T186" s="176">
        <f t="shared" si="54"/>
        <v>5</v>
      </c>
      <c r="U186" s="251">
        <f t="shared" si="55"/>
        <v>-0.69456799289320859</v>
      </c>
      <c r="V186" s="383">
        <f t="shared" si="56"/>
        <v>52.909422956239126</v>
      </c>
      <c r="W186" s="402"/>
      <c r="X186" s="157">
        <f t="shared" si="57"/>
        <v>44002</v>
      </c>
      <c r="Y186" s="385">
        <f t="shared" si="58"/>
        <v>45.533999999999999</v>
      </c>
      <c r="Z186" s="385">
        <f t="shared" si="59"/>
        <v>46.297294702306147</v>
      </c>
      <c r="AA186" s="386">
        <f t="shared" si="60"/>
        <v>50.125587716274836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7.6374027485481513E-2</v>
      </c>
      <c r="AD186" s="231">
        <f>(INDEX(Models!$BJ186:$BT186,,AH186)*(1-AF186)+INDEX(Models!$BJ186:$BT186,,AH186+1)*AF186-ERP_i)*AE186*Ramure*Pc/MaxiM</f>
        <v>3.6167596461598559E-3</v>
      </c>
      <c r="AE186" s="305">
        <f t="shared" si="62"/>
        <v>0.7</v>
      </c>
      <c r="AF186" s="177">
        <f t="shared" si="63"/>
        <v>0.30543200710679141</v>
      </c>
      <c r="AG186" s="921">
        <f t="shared" si="71"/>
        <v>-1</v>
      </c>
      <c r="AH186" s="176">
        <f t="shared" si="64"/>
        <v>5</v>
      </c>
      <c r="AI186" s="225">
        <f t="shared" si="65"/>
        <v>-0.69456799289320859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20">
        <v>53.079000000000001</v>
      </c>
      <c r="C187" s="390"/>
      <c r="D187" s="393">
        <f t="shared" si="48"/>
        <v>53.969954986566258</v>
      </c>
      <c r="E187" s="385">
        <f t="shared" si="72"/>
        <v>58.437476240936299</v>
      </c>
      <c r="F187" s="385">
        <f t="shared" si="49"/>
        <v>58.651325061036623</v>
      </c>
      <c r="G187" s="110">
        <f t="shared" si="73"/>
        <v>1.0048047047680615</v>
      </c>
      <c r="H187" s="414" t="b">
        <f>Wh_hp&gt;='2019'!Maxi_hp</f>
        <v>1</v>
      </c>
      <c r="I187" s="380">
        <f>IF(H187,Wh_hp,'2019'!Maxi_hp)</f>
        <v>58.651325061036623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1.65083514853408E-2</v>
      </c>
      <c r="M187" s="959"/>
      <c r="N187" s="959"/>
      <c r="O187" s="48">
        <f>IF(t&lt;Tnet,'2019'!Resal+('2019'!Salim-'2019'!Resal)*(1-EXP(('2019'!Tnet-t)/('2019'!Tau_j))),Resal+(Salim-Resal)*(1-EXP((Tnet-t)/(Tau_j))))*Salcycl</f>
        <v>7.6449592654387735E-2</v>
      </c>
      <c r="P187" s="169">
        <f>(INDEX(Models!$BJ187:$BT187,,T187)*(1-R187)+INDEX(Models!$BJ187:$BT187,,T187+1)*R187-ERP_i)*Q187*Ramure*Pc/MaxiM</f>
        <v>3.6461038156901074E-3</v>
      </c>
      <c r="Q187" s="305">
        <f t="shared" si="51"/>
        <v>0.7</v>
      </c>
      <c r="R187" s="177">
        <f t="shared" si="52"/>
        <v>0.31030073604687902</v>
      </c>
      <c r="S187" s="921">
        <f t="shared" si="53"/>
        <v>-1</v>
      </c>
      <c r="T187" s="176">
        <f t="shared" si="54"/>
        <v>5</v>
      </c>
      <c r="U187" s="251">
        <f t="shared" si="55"/>
        <v>-0.68969926395312098</v>
      </c>
      <c r="V187" s="383">
        <f t="shared" si="56"/>
        <v>52.825190555066314</v>
      </c>
      <c r="W187" s="402"/>
      <c r="X187" s="157">
        <f t="shared" si="57"/>
        <v>44003</v>
      </c>
      <c r="Y187" s="385">
        <f t="shared" si="58"/>
        <v>53.079000000000001</v>
      </c>
      <c r="Z187" s="385">
        <f t="shared" si="59"/>
        <v>53.969954986566258</v>
      </c>
      <c r="AA187" s="386">
        <f t="shared" si="60"/>
        <v>58.437476240936299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7.6449592654387735E-2</v>
      </c>
      <c r="AD187" s="231">
        <f>(INDEX(Models!$BJ187:$BT187,,AH187)*(1-AF187)+INDEX(Models!$BJ187:$BT187,,AH187+1)*AF187-ERP_i)*AE187*Ramure*Pc/MaxiM</f>
        <v>3.6461038156901074E-3</v>
      </c>
      <c r="AE187" s="305">
        <f t="shared" si="62"/>
        <v>0.7</v>
      </c>
      <c r="AF187" s="177">
        <f t="shared" si="63"/>
        <v>0.31030073604687902</v>
      </c>
      <c r="AG187" s="921">
        <f t="shared" si="71"/>
        <v>-1</v>
      </c>
      <c r="AH187" s="176">
        <f t="shared" si="64"/>
        <v>5</v>
      </c>
      <c r="AI187" s="225">
        <f t="shared" si="65"/>
        <v>-0.68969926395312098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20">
        <v>44.581000000000003</v>
      </c>
      <c r="C188" s="390"/>
      <c r="D188" s="393">
        <f t="shared" si="48"/>
        <v>45.330305068713137</v>
      </c>
      <c r="E188" s="385">
        <f t="shared" si="72"/>
        <v>49.08660205872345</v>
      </c>
      <c r="F188" s="385">
        <f t="shared" si="49"/>
        <v>49.227427285992064</v>
      </c>
      <c r="G188" s="110">
        <f t="shared" si="73"/>
        <v>0.84459431787523254</v>
      </c>
      <c r="H188" s="414" t="b">
        <f>Wh_hp&gt;='2019'!Maxi_hp</f>
        <v>0</v>
      </c>
      <c r="I188" s="380">
        <f>IF(H188,Wh_hp,'2019'!Maxi_hp)</f>
        <v>52.717054573900171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1.6529892476508046E-2</v>
      </c>
      <c r="M188" s="959"/>
      <c r="N188" s="959"/>
      <c r="O188" s="48">
        <f>IF(t&lt;Tnet,'2019'!Resal+('2019'!Salim-'2019'!Resal)*(1-EXP(('2019'!Tnet-t)/('2019'!Tau_j))),Resal+(Salim-Resal)*(1-EXP((Tnet-t)/(Tau_j))))*Salcycl</f>
        <v>7.6523874794115238E-2</v>
      </c>
      <c r="P188" s="169">
        <f>(INDEX(Models!$BJ188:$BT188,,T188)*(1-R188)+INDEX(Models!$BJ188:$BT188,,T188+1)*R188-ERP_i)*Q188*Ramure*Pc/MaxiM</f>
        <v>3.6723992041870425E-3</v>
      </c>
      <c r="Q188" s="305">
        <f t="shared" si="51"/>
        <v>0.7</v>
      </c>
      <c r="R188" s="177">
        <f t="shared" si="52"/>
        <v>0.315121350878101</v>
      </c>
      <c r="S188" s="921">
        <f t="shared" si="53"/>
        <v>-1</v>
      </c>
      <c r="T188" s="176">
        <f t="shared" si="54"/>
        <v>5</v>
      </c>
      <c r="U188" s="251">
        <f t="shared" si="55"/>
        <v>-0.684878649121899</v>
      </c>
      <c r="V188" s="383">
        <f t="shared" si="56"/>
        <v>52.7409540599255</v>
      </c>
      <c r="W188" s="402"/>
      <c r="X188" s="157">
        <f t="shared" si="57"/>
        <v>44004</v>
      </c>
      <c r="Y188" s="385">
        <f t="shared" si="58"/>
        <v>44.581000000000003</v>
      </c>
      <c r="Z188" s="385">
        <f t="shared" si="59"/>
        <v>45.330305068713137</v>
      </c>
      <c r="AA188" s="386">
        <f t="shared" si="60"/>
        <v>49.08660205872345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7.6523874794115238E-2</v>
      </c>
      <c r="AD188" s="231">
        <f>(INDEX(Models!$BJ188:$BT188,,AH188)*(1-AF188)+INDEX(Models!$BJ188:$BT188,,AH188+1)*AF188-ERP_i)*AE188*Ramure*Pc/MaxiM</f>
        <v>3.6723992041870425E-3</v>
      </c>
      <c r="AE188" s="305">
        <f t="shared" si="62"/>
        <v>0.7</v>
      </c>
      <c r="AF188" s="177">
        <f t="shared" si="63"/>
        <v>0.315121350878101</v>
      </c>
      <c r="AG188" s="921">
        <f t="shared" si="71"/>
        <v>-1</v>
      </c>
      <c r="AH188" s="176">
        <f t="shared" si="64"/>
        <v>5</v>
      </c>
      <c r="AI188" s="225">
        <f t="shared" si="65"/>
        <v>-0.684878649121899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20">
        <v>52.369</v>
      </c>
      <c r="C189" s="390"/>
      <c r="D189" s="393">
        <f t="shared" si="48"/>
        <v>53.250369929900152</v>
      </c>
      <c r="E189" s="385">
        <f t="shared" si="72"/>
        <v>57.667521569411299</v>
      </c>
      <c r="F189" s="385">
        <f t="shared" si="49"/>
        <v>57.879746381610467</v>
      </c>
      <c r="G189" s="110">
        <f t="shared" si="73"/>
        <v>0.99449976423691944</v>
      </c>
      <c r="H189" s="414" t="b">
        <f>Wh_hp&gt;='2019'!Maxi_hp</f>
        <v>1</v>
      </c>
      <c r="I189" s="380">
        <f>IF(H189,Wh_hp,'2019'!Maxi_hp)</f>
        <v>57.879746381610467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1.6551432995872251E-2</v>
      </c>
      <c r="M189" s="959"/>
      <c r="N189" s="959"/>
      <c r="O189" s="48">
        <f>IF(t&lt;Tnet,'2019'!Resal+('2019'!Salim-'2019'!Resal)*(1-EXP(('2019'!Tnet-t)/('2019'!Tau_j))),Resal+(Salim-Resal)*(1-EXP((Tnet-t)/(Tau_j))))*Salcycl</f>
        <v>7.659686976827082E-2</v>
      </c>
      <c r="P189" s="169">
        <f>(INDEX(Models!$BJ189:$BT189,,T189)*(1-R189)+INDEX(Models!$BJ189:$BT189,,T189+1)*R189-ERP_i)*Q189*Ramure*Pc/MaxiM</f>
        <v>3.695536073419394E-3</v>
      </c>
      <c r="Q189" s="305">
        <f t="shared" si="51"/>
        <v>0.7</v>
      </c>
      <c r="R189" s="177">
        <f t="shared" si="52"/>
        <v>0.31989055325964333</v>
      </c>
      <c r="S189" s="921">
        <f t="shared" si="53"/>
        <v>-1</v>
      </c>
      <c r="T189" s="176">
        <f t="shared" si="54"/>
        <v>5</v>
      </c>
      <c r="U189" s="251">
        <f t="shared" si="55"/>
        <v>-0.68010944674035667</v>
      </c>
      <c r="V189" s="383">
        <f t="shared" si="56"/>
        <v>52.657108244527436</v>
      </c>
      <c r="W189" s="402"/>
      <c r="X189" s="157">
        <f t="shared" si="57"/>
        <v>44005</v>
      </c>
      <c r="Y189" s="385">
        <f t="shared" si="58"/>
        <v>52.369</v>
      </c>
      <c r="Z189" s="385">
        <f t="shared" si="59"/>
        <v>53.250369929900152</v>
      </c>
      <c r="AA189" s="386">
        <f t="shared" si="60"/>
        <v>57.667521569411299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7.659686976827082E-2</v>
      </c>
      <c r="AD189" s="231">
        <f>(INDEX(Models!$BJ189:$BT189,,AH189)*(1-AF189)+INDEX(Models!$BJ189:$BT189,,AH189+1)*AF189-ERP_i)*AE189*Ramure*Pc/MaxiM</f>
        <v>3.695536073419394E-3</v>
      </c>
      <c r="AE189" s="305">
        <f t="shared" si="62"/>
        <v>0.7</v>
      </c>
      <c r="AF189" s="177">
        <f t="shared" si="63"/>
        <v>0.31989055325964333</v>
      </c>
      <c r="AG189" s="921">
        <f t="shared" si="71"/>
        <v>-1</v>
      </c>
      <c r="AH189" s="176">
        <f t="shared" si="64"/>
        <v>5</v>
      </c>
      <c r="AI189" s="225">
        <f t="shared" si="65"/>
        <v>-0.68010944674035667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20">
        <v>50.929000000000002</v>
      </c>
      <c r="C190" s="390"/>
      <c r="D190" s="393">
        <f t="shared" si="48"/>
        <v>51.78726901335186</v>
      </c>
      <c r="E190" s="385">
        <f t="shared" si="72"/>
        <v>56.087411007094879</v>
      </c>
      <c r="F190" s="385">
        <f t="shared" si="49"/>
        <v>56.287194704165557</v>
      </c>
      <c r="G190" s="110">
        <f t="shared" si="73"/>
        <v>0.9685484763711586</v>
      </c>
      <c r="H190" s="414" t="b">
        <f>Wh_hp&gt;='2019'!Maxi_hp</f>
        <v>1</v>
      </c>
      <c r="I190" s="380">
        <f>IF(H190,Wh_hp,'2019'!Maxi_hp)</f>
        <v>56.287194704165557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1.657297304344385E-2</v>
      </c>
      <c r="M190" s="959"/>
      <c r="N190" s="959"/>
      <c r="O190" s="48">
        <f>IF(t&lt;Tnet,'2019'!Resal+('2019'!Salim-'2019'!Resal)*(1-EXP(('2019'!Tnet-t)/('2019'!Tau_j))),Resal+(Salim-Resal)*(1-EXP((Tnet-t)/(Tau_j))))*Salcycl</f>
        <v>7.6668577075149041E-2</v>
      </c>
      <c r="P190" s="169">
        <f>(INDEX(Models!$BJ190:$BT190,,T190)*(1-R190)+INDEX(Models!$BJ190:$BT190,,T190+1)*R190-ERP_i)*Q190*Ramure*Pc/MaxiM</f>
        <v>3.7154438870514038E-3</v>
      </c>
      <c r="Q190" s="305">
        <f t="shared" si="51"/>
        <v>0.7</v>
      </c>
      <c r="R190" s="177">
        <f t="shared" si="52"/>
        <v>0.32460520065061926</v>
      </c>
      <c r="S190" s="921">
        <f t="shared" si="53"/>
        <v>-1</v>
      </c>
      <c r="T190" s="176">
        <f t="shared" si="54"/>
        <v>5</v>
      </c>
      <c r="U190" s="251">
        <f t="shared" si="55"/>
        <v>-0.67539479934938074</v>
      </c>
      <c r="V190" s="383">
        <f t="shared" si="56"/>
        <v>52.574045378162729</v>
      </c>
      <c r="W190" s="402"/>
      <c r="X190" s="157">
        <f t="shared" si="57"/>
        <v>44006</v>
      </c>
      <c r="Y190" s="385">
        <f t="shared" si="58"/>
        <v>50.929000000000002</v>
      </c>
      <c r="Z190" s="385">
        <f t="shared" si="59"/>
        <v>51.78726901335186</v>
      </c>
      <c r="AA190" s="386">
        <f t="shared" si="60"/>
        <v>56.087411007094879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7.6668577075149041E-2</v>
      </c>
      <c r="AD190" s="231">
        <f>(INDEX(Models!$BJ190:$BT190,,AH190)*(1-AF190)+INDEX(Models!$BJ190:$BT190,,AH190+1)*AF190-ERP_i)*AE190*Ramure*Pc/MaxiM</f>
        <v>3.7154438870514038E-3</v>
      </c>
      <c r="AE190" s="305">
        <f t="shared" si="62"/>
        <v>0.7</v>
      </c>
      <c r="AF190" s="177">
        <f t="shared" si="63"/>
        <v>0.32460520065061926</v>
      </c>
      <c r="AG190" s="921">
        <f t="shared" si="71"/>
        <v>-1</v>
      </c>
      <c r="AH190" s="176">
        <f t="shared" si="64"/>
        <v>5</v>
      </c>
      <c r="AI190" s="225">
        <f t="shared" si="65"/>
        <v>-0.67539479934938074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20">
        <v>44.982999999999997</v>
      </c>
      <c r="C191" s="390"/>
      <c r="D191" s="393">
        <f t="shared" si="48"/>
        <v>45.742067313259696</v>
      </c>
      <c r="E191" s="385">
        <f t="shared" si="72"/>
        <v>49.54402633960084</v>
      </c>
      <c r="F191" s="385">
        <f t="shared" si="49"/>
        <v>49.691585896486579</v>
      </c>
      <c r="G191" s="110">
        <f t="shared" si="73"/>
        <v>0.85630754637736228</v>
      </c>
      <c r="H191" s="414" t="b">
        <f>Wh_hp&gt;='2019'!Maxi_hp</f>
        <v>0</v>
      </c>
      <c r="I191" s="380">
        <f>IF(H191,Wh_hp,'2019'!Maxi_hp)</f>
        <v>57.789981596859789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1.659451261923317E-2</v>
      </c>
      <c r="M191" s="959"/>
      <c r="N191" s="959"/>
      <c r="O191" s="48">
        <f>IF(t&lt;Tnet,'2019'!Resal+('2019'!Salim-'2019'!Resal)*(1-EXP(('2019'!Tnet-t)/('2019'!Tau_j))),Resal+(Salim-Resal)*(1-EXP((Tnet-t)/(Tau_j))))*Salcycl</f>
        <v>7.6738999779317807E-2</v>
      </c>
      <c r="P191" s="169">
        <f>(INDEX(Models!$BJ191:$BT191,,T191)*(1-R191)+INDEX(Models!$BJ191:$BT191,,T191+1)*R191-ERP_i)*Q191*Ramure*Pc/MaxiM</f>
        <v>3.732124805517541E-3</v>
      </c>
      <c r="Q191" s="305">
        <f t="shared" si="51"/>
        <v>0.7</v>
      </c>
      <c r="R191" s="177">
        <f t="shared" si="52"/>
        <v>0.32926231299145148</v>
      </c>
      <c r="S191" s="921">
        <f t="shared" si="53"/>
        <v>-1</v>
      </c>
      <c r="T191" s="176">
        <f t="shared" si="54"/>
        <v>5</v>
      </c>
      <c r="U191" s="251">
        <f t="shared" si="55"/>
        <v>-0.67073768700854852</v>
      </c>
      <c r="V191" s="383">
        <f t="shared" si="56"/>
        <v>52.491179392421124</v>
      </c>
      <c r="W191" s="402"/>
      <c r="X191" s="157">
        <f t="shared" si="57"/>
        <v>44007</v>
      </c>
      <c r="Y191" s="385">
        <f t="shared" si="58"/>
        <v>44.982999999999997</v>
      </c>
      <c r="Z191" s="385">
        <f t="shared" si="59"/>
        <v>45.742067313259696</v>
      </c>
      <c r="AA191" s="386">
        <f t="shared" si="60"/>
        <v>49.54402633960084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7.6738999779317807E-2</v>
      </c>
      <c r="AD191" s="231">
        <f>(INDEX(Models!$BJ191:$BT191,,AH191)*(1-AF191)+INDEX(Models!$BJ191:$BT191,,AH191+1)*AF191-ERP_i)*AE191*Ramure*Pc/MaxiM</f>
        <v>3.732124805517541E-3</v>
      </c>
      <c r="AE191" s="305">
        <f t="shared" si="62"/>
        <v>0.7</v>
      </c>
      <c r="AF191" s="177">
        <f t="shared" si="63"/>
        <v>0.32926231299145148</v>
      </c>
      <c r="AG191" s="921">
        <f t="shared" si="71"/>
        <v>-1</v>
      </c>
      <c r="AH191" s="176">
        <f t="shared" si="64"/>
        <v>5</v>
      </c>
      <c r="AI191" s="225">
        <f t="shared" si="65"/>
        <v>-0.67073768700854852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20">
        <v>45.64</v>
      </c>
      <c r="C192" s="390"/>
      <c r="D192" s="393">
        <f t="shared" si="48"/>
        <v>46.411170408036526</v>
      </c>
      <c r="E192" s="385">
        <f t="shared" si="72"/>
        <v>50.272508501567408</v>
      </c>
      <c r="F192" s="385">
        <f t="shared" si="49"/>
        <v>50.426437745583883</v>
      </c>
      <c r="G192" s="110">
        <f t="shared" si="73"/>
        <v>0.87025960070473574</v>
      </c>
      <c r="H192" s="414" t="b">
        <f>Wh_hp&gt;='2019'!Maxi_hp</f>
        <v>0</v>
      </c>
      <c r="I192" s="380">
        <f>IF(H192,Wh_hp,'2019'!Maxi_hp)</f>
        <v>57.199547222334189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1.6616051723250425E-2</v>
      </c>
      <c r="M192" s="959"/>
      <c r="N192" s="959"/>
      <c r="O192" s="48">
        <f>IF(t&lt;Tnet,'2019'!Resal+('2019'!Salim-'2019'!Resal)*(1-EXP(('2019'!Tnet-t)/('2019'!Tau_j))),Resal+(Salim-Resal)*(1-EXP((Tnet-t)/(Tau_j))))*Salcycl</f>
        <v>7.6808144423716029E-2</v>
      </c>
      <c r="P192" s="169">
        <f>(INDEX(Models!$BJ192:$BT192,,T192)*(1-R192)+INDEX(Models!$BJ192:$BT192,,T192+1)*R192-ERP_i)*Q192*Ramure*Pc/MaxiM</f>
        <v>3.7430803035226356E-3</v>
      </c>
      <c r="Q192" s="305">
        <f t="shared" si="51"/>
        <v>0.7</v>
      </c>
      <c r="R192" s="177">
        <f t="shared" si="52"/>
        <v>0.33385907840916862</v>
      </c>
      <c r="S192" s="921">
        <f t="shared" si="53"/>
        <v>-1</v>
      </c>
      <c r="T192" s="176">
        <f t="shared" si="54"/>
        <v>5</v>
      </c>
      <c r="U192" s="251">
        <f t="shared" si="55"/>
        <v>-0.66614092159083138</v>
      </c>
      <c r="V192" s="383">
        <f t="shared" si="56"/>
        <v>52.407796112065071</v>
      </c>
      <c r="W192" s="402"/>
      <c r="X192" s="157">
        <f t="shared" si="57"/>
        <v>44008</v>
      </c>
      <c r="Y192" s="385">
        <f t="shared" si="58"/>
        <v>45.64</v>
      </c>
      <c r="Z192" s="385">
        <f t="shared" si="59"/>
        <v>46.411170408036526</v>
      </c>
      <c r="AA192" s="386">
        <f t="shared" si="60"/>
        <v>50.272508501567408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7.6808144423716029E-2</v>
      </c>
      <c r="AD192" s="231">
        <f>(INDEX(Models!$BJ192:$BT192,,AH192)*(1-AF192)+INDEX(Models!$BJ192:$BT192,,AH192+1)*AF192-ERP_i)*AE192*Ramure*Pc/MaxiM</f>
        <v>3.7430803035226356E-3</v>
      </c>
      <c r="AE192" s="305">
        <f t="shared" si="62"/>
        <v>0.7</v>
      </c>
      <c r="AF192" s="177">
        <f t="shared" si="63"/>
        <v>0.33385907840916862</v>
      </c>
      <c r="AG192" s="921">
        <f t="shared" si="71"/>
        <v>-1</v>
      </c>
      <c r="AH192" s="176">
        <f t="shared" si="64"/>
        <v>5</v>
      </c>
      <c r="AI192" s="225">
        <f t="shared" si="65"/>
        <v>-0.66614092159083138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20">
        <v>34.853999999999999</v>
      </c>
      <c r="C193" s="390"/>
      <c r="D193" s="393">
        <f t="shared" si="48"/>
        <v>35.443697723406416</v>
      </c>
      <c r="E193" s="385">
        <f t="shared" si="72"/>
        <v>38.395381906169604</v>
      </c>
      <c r="F193" s="385">
        <f t="shared" si="49"/>
        <v>38.470827886485161</v>
      </c>
      <c r="G193" s="110">
        <f t="shared" si="73"/>
        <v>0.66492733235671653</v>
      </c>
      <c r="H193" s="414" t="b">
        <f>Wh_hp&gt;='2019'!Maxi_hp</f>
        <v>0</v>
      </c>
      <c r="I193" s="380">
        <f>IF(H193,Wh_hp,'2019'!Maxi_hp)</f>
        <v>52.776466913247475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1.6637590355506049E-2</v>
      </c>
      <c r="M193" s="959"/>
      <c r="N193" s="959"/>
      <c r="O193" s="48">
        <f>IF(t&lt;Tnet,'2019'!Resal+('2019'!Salim-'2019'!Resal)*(1-EXP(('2019'!Tnet-t)/('2019'!Tau_j))),Resal+(Salim-Resal)*(1-EXP((Tnet-t)/(Tau_j))))*Salcycl</f>
        <v>7.6876020922945709E-2</v>
      </c>
      <c r="P193" s="169">
        <f>(INDEX(Models!$BJ193:$BT193,,T193)*(1-R193)+INDEX(Models!$BJ193:$BT193,,T193+1)*R193-ERP_i)*Q193*Ramure*Pc/MaxiM</f>
        <v>3.7495400949508336E-3</v>
      </c>
      <c r="Q193" s="305">
        <f t="shared" si="51"/>
        <v>0.7</v>
      </c>
      <c r="R193" s="177">
        <f t="shared" si="52"/>
        <v>0.33839285793999818</v>
      </c>
      <c r="S193" s="921">
        <f t="shared" si="53"/>
        <v>-1</v>
      </c>
      <c r="T193" s="176">
        <f t="shared" si="54"/>
        <v>5</v>
      </c>
      <c r="U193" s="251">
        <f t="shared" si="55"/>
        <v>-0.66160714206000182</v>
      </c>
      <c r="V193" s="383">
        <f t="shared" si="56"/>
        <v>52.323828925131153</v>
      </c>
      <c r="W193" s="402"/>
      <c r="X193" s="157">
        <f t="shared" si="57"/>
        <v>44009</v>
      </c>
      <c r="Y193" s="385">
        <f t="shared" si="58"/>
        <v>34.853999999999999</v>
      </c>
      <c r="Z193" s="385">
        <f t="shared" si="59"/>
        <v>35.443697723406416</v>
      </c>
      <c r="AA193" s="386">
        <f t="shared" si="60"/>
        <v>38.395381906169604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7.6876020922945709E-2</v>
      </c>
      <c r="AD193" s="231">
        <f>(INDEX(Models!$BJ193:$BT193,,AH193)*(1-AF193)+INDEX(Models!$BJ193:$BT193,,AH193+1)*AF193-ERP_i)*AE193*Ramure*Pc/MaxiM</f>
        <v>3.7495400949508336E-3</v>
      </c>
      <c r="AE193" s="305">
        <f t="shared" si="62"/>
        <v>0.7</v>
      </c>
      <c r="AF193" s="177">
        <f t="shared" si="63"/>
        <v>0.33839285793999818</v>
      </c>
      <c r="AG193" s="921">
        <f t="shared" si="71"/>
        <v>-1</v>
      </c>
      <c r="AH193" s="176">
        <f t="shared" si="64"/>
        <v>5</v>
      </c>
      <c r="AI193" s="225">
        <f t="shared" si="65"/>
        <v>-0.66160714206000182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20">
        <v>48.006</v>
      </c>
      <c r="C194" s="390"/>
      <c r="D194" s="393">
        <f t="shared" si="48"/>
        <v>48.819286772401398</v>
      </c>
      <c r="E194" s="385">
        <f t="shared" si="72"/>
        <v>52.888681697283843</v>
      </c>
      <c r="F194" s="385">
        <f t="shared" si="49"/>
        <v>53.064704761429915</v>
      </c>
      <c r="G194" s="110">
        <f t="shared" si="73"/>
        <v>0.91856323992366462</v>
      </c>
      <c r="H194" s="414" t="b">
        <f>Wh_hp&gt;='2019'!Maxi_hp</f>
        <v>0</v>
      </c>
      <c r="I194" s="380">
        <f>IF(H194,Wh_hp,'2019'!Maxi_hp)</f>
        <v>54.714006796227508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1.6659128516010369E-2</v>
      </c>
      <c r="M194" s="959"/>
      <c r="N194" s="959"/>
      <c r="O194" s="48">
        <f>IF(t&lt;Tnet,'2019'!Resal+('2019'!Salim-'2019'!Resal)*(1-EXP(('2019'!Tnet-t)/('2019'!Tau_j))),Resal+(Salim-Resal)*(1-EXP((Tnet-t)/(Tau_j))))*Salcycl</f>
        <v>7.6942642438588699E-2</v>
      </c>
      <c r="P194" s="169">
        <f>(INDEX(Models!$BJ194:$BT194,,T194)*(1-R194)+INDEX(Models!$BJ194:$BT194,,T194+1)*R194-ERP_i)*Q194*Ramure*Pc/MaxiM</f>
        <v>3.7514288159848524E-3</v>
      </c>
      <c r="Q194" s="305">
        <f t="shared" si="51"/>
        <v>0.7</v>
      </c>
      <c r="R194" s="177">
        <f t="shared" si="52"/>
        <v>0.34286118927177045</v>
      </c>
      <c r="S194" s="921">
        <f t="shared" si="53"/>
        <v>-1</v>
      </c>
      <c r="T194" s="176">
        <f t="shared" si="54"/>
        <v>5</v>
      </c>
      <c r="U194" s="251">
        <f t="shared" si="55"/>
        <v>-0.65713881072822955</v>
      </c>
      <c r="V194" s="383">
        <f t="shared" si="56"/>
        <v>52.239279852035331</v>
      </c>
      <c r="W194" s="402"/>
      <c r="X194" s="157">
        <f t="shared" si="57"/>
        <v>44010</v>
      </c>
      <c r="Y194" s="385">
        <f t="shared" si="58"/>
        <v>48.006</v>
      </c>
      <c r="Z194" s="385">
        <f t="shared" si="59"/>
        <v>48.819286772401398</v>
      </c>
      <c r="AA194" s="386">
        <f t="shared" si="60"/>
        <v>52.888681697283843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7.6942642438588699E-2</v>
      </c>
      <c r="AD194" s="231">
        <f>(INDEX(Models!$BJ194:$BT194,,AH194)*(1-AF194)+INDEX(Models!$BJ194:$BT194,,AH194+1)*AF194-ERP_i)*AE194*Ramure*Pc/MaxiM</f>
        <v>3.7514288159848524E-3</v>
      </c>
      <c r="AE194" s="305">
        <f t="shared" si="62"/>
        <v>0.7</v>
      </c>
      <c r="AF194" s="177">
        <f t="shared" si="63"/>
        <v>0.34286118927177045</v>
      </c>
      <c r="AG194" s="921">
        <f t="shared" si="71"/>
        <v>-1</v>
      </c>
      <c r="AH194" s="176">
        <f t="shared" si="64"/>
        <v>5</v>
      </c>
      <c r="AI194" s="225">
        <f t="shared" si="65"/>
        <v>-0.65713881072822955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20">
        <v>13.175000000000001</v>
      </c>
      <c r="C195" s="390"/>
      <c r="D195" s="393">
        <f t="shared" si="48"/>
        <v>13.398495836698011</v>
      </c>
      <c r="E195" s="385">
        <f t="shared" si="72"/>
        <v>14.516373059631331</v>
      </c>
      <c r="F195" s="385">
        <f t="shared" si="49"/>
        <v>14.516373059631331</v>
      </c>
      <c r="G195" s="110">
        <f t="shared" si="73"/>
        <v>0.25166954278804343</v>
      </c>
      <c r="H195" s="414" t="b">
        <f>Wh_hp&gt;='2019'!Maxi_hp</f>
        <v>0</v>
      </c>
      <c r="I195" s="380">
        <f>IF(H195,Wh_hp,'2019'!Maxi_hp)</f>
        <v>50.628885436696059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1.6680666204773709E-2</v>
      </c>
      <c r="M195" s="959"/>
      <c r="N195" s="959"/>
      <c r="O195" s="48">
        <f>IF(t&lt;Tnet,'2019'!Resal+('2019'!Salim-'2019'!Resal)*(1-EXP(('2019'!Tnet-t)/('2019'!Tau_j))),Resal+(Salim-Resal)*(1-EXP((Tnet-t)/(Tau_j))))*Salcycl</f>
        <v>7.7008025237518207E-2</v>
      </c>
      <c r="P195" s="169">
        <f>(INDEX(Models!$BJ195:$BT195,,T195)*(1-R195)+INDEX(Models!$BJ195:$BT195,,T195+1)*R195-ERP_i)*Q195*Ramure*Pc/MaxiM</f>
        <v>3.7486760107679389E-3</v>
      </c>
      <c r="Q195" s="305">
        <f t="shared" si="51"/>
        <v>0.7</v>
      </c>
      <c r="R195" s="177">
        <f t="shared" si="52"/>
        <v>0.347261789517326</v>
      </c>
      <c r="S195" s="921">
        <f t="shared" si="53"/>
        <v>-1</v>
      </c>
      <c r="T195" s="176">
        <f t="shared" si="54"/>
        <v>5</v>
      </c>
      <c r="U195" s="251">
        <f t="shared" si="55"/>
        <v>-0.652738210482674</v>
      </c>
      <c r="V195" s="383">
        <f t="shared" si="56"/>
        <v>52.154150431355731</v>
      </c>
      <c r="W195" s="402"/>
      <c r="X195" s="157">
        <f t="shared" si="57"/>
        <v>44011</v>
      </c>
      <c r="Y195" s="385">
        <f t="shared" si="58"/>
        <v>13.175000000000001</v>
      </c>
      <c r="Z195" s="385">
        <f t="shared" si="59"/>
        <v>13.398495836698011</v>
      </c>
      <c r="AA195" s="386">
        <f t="shared" si="60"/>
        <v>14.516373059631331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7.7008025237518207E-2</v>
      </c>
      <c r="AD195" s="231">
        <f>(INDEX(Models!$BJ195:$BT195,,AH195)*(1-AF195)+INDEX(Models!$BJ195:$BT195,,AH195+1)*AF195-ERP_i)*AE195*Ramure*Pc/MaxiM</f>
        <v>3.7486760107679389E-3</v>
      </c>
      <c r="AE195" s="305">
        <f t="shared" si="62"/>
        <v>0.7</v>
      </c>
      <c r="AF195" s="177">
        <f t="shared" si="63"/>
        <v>0.347261789517326</v>
      </c>
      <c r="AG195" s="921">
        <f t="shared" si="71"/>
        <v>-1</v>
      </c>
      <c r="AH195" s="176">
        <f t="shared" si="64"/>
        <v>5</v>
      </c>
      <c r="AI195" s="225">
        <f t="shared" si="65"/>
        <v>-0.652738210482674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20">
        <v>1.2999999999999999E-2</v>
      </c>
      <c r="C196" s="390"/>
      <c r="D196" s="393">
        <f t="shared" si="48"/>
        <v>1.3220816771113569E-2</v>
      </c>
      <c r="E196" s="385">
        <f t="shared" si="72"/>
        <v>1.4324865506130676E-2</v>
      </c>
      <c r="F196" s="385">
        <f t="shared" si="49"/>
        <v>1.4324865506130676E-2</v>
      </c>
      <c r="G196" s="110">
        <f t="shared" si="73"/>
        <v>2.4873731112463817E-4</v>
      </c>
      <c r="H196" s="414" t="b">
        <f>Wh_hp&gt;='2019'!Maxi_hp</f>
        <v>0</v>
      </c>
      <c r="I196" s="380">
        <f>IF(H196,Wh_hp,'2019'!Maxi_hp)</f>
        <v>20.320779461884474</v>
      </c>
      <c r="J196" s="85">
        <f>IF(H196,An,'2019'!An_max)</f>
        <v>2019</v>
      </c>
      <c r="K196" s="197">
        <f t="shared" si="50"/>
        <v>44012</v>
      </c>
      <c r="L196" s="147">
        <f>IF(t&lt;Tvie,1-EXP((T0-t)*PertePVj)+'2019'!Pspv,1-EXP((T0-t)*PertePVj)+Pspv)</f>
        <v>1.6702203421806394E-2</v>
      </c>
      <c r="M196" s="959"/>
      <c r="N196" s="959"/>
      <c r="O196" s="48">
        <f>IF(t&lt;Tnet,'2019'!Resal+('2019'!Salim-'2019'!Resal)*(1-EXP(('2019'!Tnet-t)/('2019'!Tau_j))),Resal+(Salim-Resal)*(1-EXP((Tnet-t)/(Tau_j))))*Salcycl</f>
        <v>7.7072188534308028E-2</v>
      </c>
      <c r="P196" s="169">
        <f>(INDEX(Models!$BJ196:$BT196,,T196)*(1-R196)+INDEX(Models!$BJ196:$BT196,,T196+1)*R196-ERP_i)*Q196*Ramure*Pc/MaxiM</f>
        <v>3.7412160746000209E-3</v>
      </c>
      <c r="Q196" s="305">
        <f t="shared" si="51"/>
        <v>0.7</v>
      </c>
      <c r="R196" s="177">
        <f t="shared" si="52"/>
        <v>0.35159255703826897</v>
      </c>
      <c r="S196" s="921">
        <f t="shared" si="53"/>
        <v>-1</v>
      </c>
      <c r="T196" s="176">
        <f t="shared" si="54"/>
        <v>5</v>
      </c>
      <c r="U196" s="251">
        <f t="shared" si="55"/>
        <v>-0.64840744296173103</v>
      </c>
      <c r="V196" s="383">
        <f t="shared" si="56"/>
        <v>52.068441732653781</v>
      </c>
      <c r="W196" s="402"/>
      <c r="X196" s="157">
        <f t="shared" si="57"/>
        <v>44012</v>
      </c>
      <c r="Y196" s="385">
        <f t="shared" si="58"/>
        <v>1.2999999999999999E-2</v>
      </c>
      <c r="Z196" s="385">
        <f t="shared" si="59"/>
        <v>1.3220816771113569E-2</v>
      </c>
      <c r="AA196" s="386">
        <f t="shared" si="60"/>
        <v>1.4324865506130676E-2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7.7072188534308028E-2</v>
      </c>
      <c r="AD196" s="231">
        <f>(INDEX(Models!$BJ196:$BT196,,AH196)*(1-AF196)+INDEX(Models!$BJ196:$BT196,,AH196+1)*AF196-ERP_i)*AE196*Ramure*Pc/MaxiM</f>
        <v>3.7412160746000209E-3</v>
      </c>
      <c r="AE196" s="305">
        <f t="shared" si="62"/>
        <v>0.7</v>
      </c>
      <c r="AF196" s="177">
        <f t="shared" si="63"/>
        <v>0.35159255703826897</v>
      </c>
      <c r="AG196" s="921">
        <f t="shared" si="71"/>
        <v>-1</v>
      </c>
      <c r="AH196" s="176">
        <f t="shared" si="64"/>
        <v>5</v>
      </c>
      <c r="AI196" s="225">
        <f t="shared" si="65"/>
        <v>-0.64840744296173103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20">
        <v>39.552</v>
      </c>
      <c r="C197" s="390"/>
      <c r="D197" s="393">
        <f t="shared" si="48"/>
        <v>40.224707557489793</v>
      </c>
      <c r="E197" s="385">
        <f t="shared" si="72"/>
        <v>43.586780605783758</v>
      </c>
      <c r="F197" s="385">
        <f t="shared" si="49"/>
        <v>43.694055944513167</v>
      </c>
      <c r="G197" s="110">
        <f t="shared" si="73"/>
        <v>0.75990488495841269</v>
      </c>
      <c r="H197" s="414" t="b">
        <f>Wh_hp&gt;='2019'!Maxi_hp</f>
        <v>1</v>
      </c>
      <c r="I197" s="380">
        <f>IF(H197,Wh_hp,'2019'!Maxi_hp)</f>
        <v>43.694055944513167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1.672374016711875E-2</v>
      </c>
      <c r="M197" s="959"/>
      <c r="N197" s="959"/>
      <c r="O197" s="48">
        <f>IF(t&lt;Tnet,'2019'!Resal+('2019'!Salim-'2019'!Resal)*(1-EXP(('2019'!Tnet-t)/('2019'!Tau_j))),Resal+(Salim-Resal)*(1-EXP((Tnet-t)/(Tau_j))))*Salcycl</f>
        <v>7.7135154318964116E-2</v>
      </c>
      <c r="P197" s="169">
        <f>(INDEX(Models!$BJ197:$BT197,,T197)*(1-R197)+INDEX(Models!$BJ197:$BT197,,T197+1)*R197-ERP_i)*Q197*Ramure*Pc/MaxiM</f>
        <v>3.7289881588444831E-3</v>
      </c>
      <c r="Q197" s="305">
        <f t="shared" si="51"/>
        <v>0.7</v>
      </c>
      <c r="R197" s="177">
        <f t="shared" si="52"/>
        <v>0.35585157234592957</v>
      </c>
      <c r="S197" s="921">
        <f t="shared" si="53"/>
        <v>-1</v>
      </c>
      <c r="T197" s="176">
        <f t="shared" si="54"/>
        <v>5</v>
      </c>
      <c r="U197" s="251">
        <f t="shared" si="55"/>
        <v>-0.64414842765407043</v>
      </c>
      <c r="V197" s="383">
        <f t="shared" si="56"/>
        <v>51.982154374745512</v>
      </c>
      <c r="W197" s="402"/>
      <c r="X197" s="157">
        <f t="shared" si="57"/>
        <v>44013</v>
      </c>
      <c r="Y197" s="385">
        <f t="shared" si="58"/>
        <v>39.552</v>
      </c>
      <c r="Z197" s="385">
        <f t="shared" si="59"/>
        <v>40.224707557489793</v>
      </c>
      <c r="AA197" s="386">
        <f t="shared" si="60"/>
        <v>43.586780605783758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7.7135154318964116E-2</v>
      </c>
      <c r="AD197" s="231">
        <f>(INDEX(Models!$BJ197:$BT197,,AH197)*(1-AF197)+INDEX(Models!$BJ197:$BT197,,AH197+1)*AF197-ERP_i)*AE197*Ramure*Pc/MaxiM</f>
        <v>3.7289881588444831E-3</v>
      </c>
      <c r="AE197" s="305">
        <f t="shared" si="62"/>
        <v>0.7</v>
      </c>
      <c r="AF197" s="177">
        <f t="shared" si="63"/>
        <v>0.35585157234592957</v>
      </c>
      <c r="AG197" s="921">
        <f t="shared" si="71"/>
        <v>-1</v>
      </c>
      <c r="AH197" s="176">
        <f t="shared" si="64"/>
        <v>5</v>
      </c>
      <c r="AI197" s="225">
        <f t="shared" si="65"/>
        <v>-0.64414842765407043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20">
        <v>15.797000000000001</v>
      </c>
      <c r="C198" s="390"/>
      <c r="D198" s="393">
        <f t="shared" si="48"/>
        <v>16.066030115590511</v>
      </c>
      <c r="E198" s="385">
        <f t="shared" si="72"/>
        <v>17.410031388976243</v>
      </c>
      <c r="F198" s="385">
        <f t="shared" si="49"/>
        <v>17.410437580863551</v>
      </c>
      <c r="G198" s="110">
        <f t="shared" si="73"/>
        <v>0.30327858612510467</v>
      </c>
      <c r="H198" s="414" t="b">
        <f>Wh_hp&gt;='2019'!Maxi_hp</f>
        <v>0</v>
      </c>
      <c r="I198" s="380">
        <f>IF(H198,Wh_hp,'2019'!Maxi_hp)</f>
        <v>49.441031489628365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1.6745276440720991E-2</v>
      </c>
      <c r="M198" s="959"/>
      <c r="N198" s="959"/>
      <c r="O198" s="48">
        <f>IF(t&lt;Tnet,'2019'!Resal+('2019'!Salim-'2019'!Resal)*(1-EXP(('2019'!Tnet-t)/('2019'!Tau_j))),Resal+(Salim-Resal)*(1-EXP((Tnet-t)/(Tau_j))))*Salcycl</f>
        <v>7.7196947171314811E-2</v>
      </c>
      <c r="P198" s="169">
        <f>(INDEX(Models!$BJ198:$BT198,,T198)*(1-R198)+INDEX(Models!$BJ198:$BT198,,T198+1)*R198-ERP_i)*Q198*Ramure*Pc/MaxiM</f>
        <v>3.7107496185560672E-3</v>
      </c>
      <c r="Q198" s="305">
        <f t="shared" si="51"/>
        <v>0.7</v>
      </c>
      <c r="R198" s="177">
        <f t="shared" si="52"/>
        <v>0.36003709811322604</v>
      </c>
      <c r="S198" s="921">
        <f t="shared" si="53"/>
        <v>-1</v>
      </c>
      <c r="T198" s="176">
        <f t="shared" si="54"/>
        <v>5</v>
      </c>
      <c r="U198" s="251">
        <f t="shared" si="55"/>
        <v>-0.63996290188677396</v>
      </c>
      <c r="V198" s="383">
        <f t="shared" si="56"/>
        <v>51.895350344819391</v>
      </c>
      <c r="W198" s="402"/>
      <c r="X198" s="157">
        <f t="shared" si="57"/>
        <v>44014</v>
      </c>
      <c r="Y198" s="385">
        <f t="shared" si="58"/>
        <v>15.796999999999999</v>
      </c>
      <c r="Z198" s="385">
        <f t="shared" si="59"/>
        <v>16.066030115590511</v>
      </c>
      <c r="AA198" s="386">
        <f t="shared" si="60"/>
        <v>17.410031388976243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7.7196947171314811E-2</v>
      </c>
      <c r="AD198" s="231">
        <f>(INDEX(Models!$BJ198:$BT198,,AH198)*(1-AF198)+INDEX(Models!$BJ198:$BT198,,AH198+1)*AF198-ERP_i)*AE198*Ramure*Pc/MaxiM</f>
        <v>3.7107496185560672E-3</v>
      </c>
      <c r="AE198" s="305">
        <f t="shared" si="62"/>
        <v>0.7</v>
      </c>
      <c r="AF198" s="177">
        <f t="shared" si="63"/>
        <v>0.36003709811322604</v>
      </c>
      <c r="AG198" s="921">
        <f t="shared" si="71"/>
        <v>-1</v>
      </c>
      <c r="AH198" s="176">
        <f t="shared" si="64"/>
        <v>5</v>
      </c>
      <c r="AI198" s="225">
        <f t="shared" si="65"/>
        <v>-0.63996290188677396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20">
        <v>40.162999999999997</v>
      </c>
      <c r="C199" s="390"/>
      <c r="D199" s="393">
        <f t="shared" si="48"/>
        <v>40.847888883415784</v>
      </c>
      <c r="E199" s="385">
        <f t="shared" si="72"/>
        <v>44.267922033949105</v>
      </c>
      <c r="F199" s="385">
        <f t="shared" si="49"/>
        <v>44.379030476754444</v>
      </c>
      <c r="G199" s="110">
        <f t="shared" si="73"/>
        <v>0.77430806965974552</v>
      </c>
      <c r="H199" s="414" t="b">
        <f>Wh_hp&gt;='2019'!Maxi_hp</f>
        <v>0</v>
      </c>
      <c r="I199" s="380">
        <f>IF(H199,Wh_hp,'2019'!Maxi_hp)</f>
        <v>55.745011407918014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1.6766812242623663E-2</v>
      </c>
      <c r="M199" s="959"/>
      <c r="N199" s="959"/>
      <c r="O199" s="48">
        <f>IF(t&lt;Tnet,'2019'!Resal+('2019'!Salim-'2019'!Resal)*(1-EXP(('2019'!Tnet-t)/('2019'!Tau_j))),Resal+(Salim-Resal)*(1-EXP((Tnet-t)/(Tau_j))))*Salcycl</f>
        <v>7.7257594063495708E-2</v>
      </c>
      <c r="P199" s="169">
        <f>(INDEX(Models!$BJ199:$BT199,,T199)*(1-R199)+INDEX(Models!$BJ199:$BT199,,T199+1)*R199-ERP_i)*Q199*Ramure*Pc/MaxiM</f>
        <v>3.6877794269654708E-3</v>
      </c>
      <c r="Q199" s="305">
        <f t="shared" si="51"/>
        <v>0.7</v>
      </c>
      <c r="R199" s="177">
        <f t="shared" si="52"/>
        <v>0.36414757833718314</v>
      </c>
      <c r="S199" s="921">
        <f t="shared" si="53"/>
        <v>-1</v>
      </c>
      <c r="T199" s="176">
        <f t="shared" si="54"/>
        <v>5</v>
      </c>
      <c r="U199" s="251">
        <f t="shared" si="55"/>
        <v>-0.63585242166281686</v>
      </c>
      <c r="V199" s="383">
        <f t="shared" si="56"/>
        <v>51.807959908584792</v>
      </c>
      <c r="W199" s="402"/>
      <c r="X199" s="157">
        <f t="shared" si="57"/>
        <v>44015</v>
      </c>
      <c r="Y199" s="385">
        <f t="shared" si="58"/>
        <v>40.162999999999997</v>
      </c>
      <c r="Z199" s="385">
        <f t="shared" si="59"/>
        <v>40.847888883415784</v>
      </c>
      <c r="AA199" s="386">
        <f t="shared" si="60"/>
        <v>44.267922033949105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7.7257594063495708E-2</v>
      </c>
      <c r="AD199" s="231">
        <f>(INDEX(Models!$BJ199:$BT199,,AH199)*(1-AF199)+INDEX(Models!$BJ199:$BT199,,AH199+1)*AF199-ERP_i)*AE199*Ramure*Pc/MaxiM</f>
        <v>3.6877794269654708E-3</v>
      </c>
      <c r="AE199" s="305">
        <f t="shared" si="62"/>
        <v>0.7</v>
      </c>
      <c r="AF199" s="177">
        <f t="shared" si="63"/>
        <v>0.36414757833718314</v>
      </c>
      <c r="AG199" s="921">
        <f t="shared" si="71"/>
        <v>-1</v>
      </c>
      <c r="AH199" s="176">
        <f t="shared" si="64"/>
        <v>5</v>
      </c>
      <c r="AI199" s="225">
        <f t="shared" si="65"/>
        <v>-0.63585242166281686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20">
        <v>51.14</v>
      </c>
      <c r="C200" s="390"/>
      <c r="D200" s="393">
        <f t="shared" si="48"/>
        <v>52.01321594771121</v>
      </c>
      <c r="E200" s="385">
        <f t="shared" si="72"/>
        <v>56.371714821206439</v>
      </c>
      <c r="F200" s="385">
        <f t="shared" si="49"/>
        <v>56.575465157822379</v>
      </c>
      <c r="G200" s="110">
        <f t="shared" si="73"/>
        <v>0.98872791244270219</v>
      </c>
      <c r="H200" s="414" t="b">
        <f>Wh_hp&gt;='2019'!Maxi_hp</f>
        <v>1</v>
      </c>
      <c r="I200" s="380">
        <f>IF(H200,Wh_hp,'2019'!Maxi_hp)</f>
        <v>56.575465157822379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1.6788347572837092E-2</v>
      </c>
      <c r="M200" s="959"/>
      <c r="N200" s="959"/>
      <c r="O200" s="48">
        <f>IF(t&lt;Tnet,'2019'!Resal+('2019'!Salim-'2019'!Resal)*(1-EXP(('2019'!Tnet-t)/('2019'!Tau_j))),Resal+(Salim-Resal)*(1-EXP((Tnet-t)/(Tau_j))))*Salcycl</f>
        <v>7.7317124152050956E-2</v>
      </c>
      <c r="P200" s="169">
        <f>(INDEX(Models!$BJ200:$BT200,,T200)*(1-R200)+INDEX(Models!$BJ200:$BT200,,T200+1)*R200-ERP_i)*Q200*Ramure*Pc/MaxiM</f>
        <v>3.660023457267533E-3</v>
      </c>
      <c r="Q200" s="305">
        <f t="shared" si="51"/>
        <v>0.7</v>
      </c>
      <c r="R200" s="177">
        <f t="shared" si="52"/>
        <v>0.36818163669715698</v>
      </c>
      <c r="S200" s="921">
        <f t="shared" si="53"/>
        <v>-1</v>
      </c>
      <c r="T200" s="176">
        <f t="shared" si="54"/>
        <v>5</v>
      </c>
      <c r="U200" s="251">
        <f t="shared" si="55"/>
        <v>-0.63181836330284302</v>
      </c>
      <c r="V200" s="383">
        <f t="shared" si="56"/>
        <v>51.719982842296588</v>
      </c>
      <c r="W200" s="402"/>
      <c r="X200" s="157">
        <f t="shared" si="57"/>
        <v>44016</v>
      </c>
      <c r="Y200" s="385">
        <f t="shared" si="58"/>
        <v>51.14</v>
      </c>
      <c r="Z200" s="385">
        <f t="shared" si="59"/>
        <v>52.01321594771121</v>
      </c>
      <c r="AA200" s="386">
        <f t="shared" si="60"/>
        <v>56.371714821206439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7.7317124152050956E-2</v>
      </c>
      <c r="AD200" s="231">
        <f>(INDEX(Models!$BJ200:$BT200,,AH200)*(1-AF200)+INDEX(Models!$BJ200:$BT200,,AH200+1)*AF200-ERP_i)*AE200*Ramure*Pc/MaxiM</f>
        <v>3.660023457267533E-3</v>
      </c>
      <c r="AE200" s="305">
        <f t="shared" si="62"/>
        <v>0.7</v>
      </c>
      <c r="AF200" s="177">
        <f t="shared" si="63"/>
        <v>0.36818163669715698</v>
      </c>
      <c r="AG200" s="921">
        <f t="shared" si="71"/>
        <v>-1</v>
      </c>
      <c r="AH200" s="176">
        <f t="shared" si="64"/>
        <v>5</v>
      </c>
      <c r="AI200" s="225">
        <f t="shared" si="65"/>
        <v>-0.63181836330284302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20">
        <v>50.902999999999999</v>
      </c>
      <c r="C201" s="390"/>
      <c r="D201" s="393">
        <f t="shared" si="48"/>
        <v>51.77330313884778</v>
      </c>
      <c r="E201" s="385">
        <f t="shared" si="72"/>
        <v>56.115252723268718</v>
      </c>
      <c r="F201" s="385">
        <f t="shared" si="49"/>
        <v>56.315415913154332</v>
      </c>
      <c r="G201" s="110">
        <f t="shared" si="73"/>
        <v>0.98581961727519885</v>
      </c>
      <c r="H201" s="414" t="b">
        <f>Wh_hp&gt;='2019'!Maxi_hp</f>
        <v>1</v>
      </c>
      <c r="I201" s="380">
        <f>IF(H201,Wh_hp,'2019'!Maxi_hp)</f>
        <v>56.315415913154332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1.6809882431371381E-2</v>
      </c>
      <c r="M201" s="959"/>
      <c r="N201" s="959"/>
      <c r="O201" s="48">
        <f>IF(t&lt;Tnet,'2019'!Resal+('2019'!Salim-'2019'!Resal)*(1-EXP(('2019'!Tnet-t)/('2019'!Tau_j))),Resal+(Salim-Resal)*(1-EXP((Tnet-t)/(Tau_j))))*Salcycl</f>
        <v>7.7375568561246263E-2</v>
      </c>
      <c r="P201" s="169">
        <f>(INDEX(Models!$BJ201:$BT201,,T201)*(1-R201)+INDEX(Models!$BJ201:$BT201,,T201+1)*R201-ERP_i)*Q201*Ramure*Pc/MaxiM</f>
        <v>3.6274317578086864E-3</v>
      </c>
      <c r="Q201" s="305">
        <f t="shared" si="51"/>
        <v>0.7</v>
      </c>
      <c r="R201" s="177">
        <f t="shared" si="52"/>
        <v>0.37213807415828315</v>
      </c>
      <c r="S201" s="921">
        <f t="shared" si="53"/>
        <v>-1</v>
      </c>
      <c r="T201" s="176">
        <f t="shared" si="54"/>
        <v>5</v>
      </c>
      <c r="U201" s="251">
        <f t="shared" si="55"/>
        <v>-0.62786192584171685</v>
      </c>
      <c r="V201" s="383">
        <f t="shared" si="56"/>
        <v>51.631418556977891</v>
      </c>
      <c r="W201" s="402"/>
      <c r="X201" s="157">
        <f t="shared" si="57"/>
        <v>44017</v>
      </c>
      <c r="Y201" s="385">
        <f t="shared" si="58"/>
        <v>50.902999999999999</v>
      </c>
      <c r="Z201" s="385">
        <f t="shared" si="59"/>
        <v>51.77330313884778</v>
      </c>
      <c r="AA201" s="386">
        <f t="shared" si="60"/>
        <v>56.115252723268718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7.7375568561246263E-2</v>
      </c>
      <c r="AD201" s="231">
        <f>(INDEX(Models!$BJ201:$BT201,,AH201)*(1-AF201)+INDEX(Models!$BJ201:$BT201,,AH201+1)*AF201-ERP_i)*AE201*Ramure*Pc/MaxiM</f>
        <v>3.6274317578086864E-3</v>
      </c>
      <c r="AE201" s="305">
        <f t="shared" si="62"/>
        <v>0.7</v>
      </c>
      <c r="AF201" s="177">
        <f t="shared" si="63"/>
        <v>0.37213807415828315</v>
      </c>
      <c r="AG201" s="921">
        <f t="shared" si="71"/>
        <v>-1</v>
      </c>
      <c r="AH201" s="176">
        <f t="shared" si="64"/>
        <v>5</v>
      </c>
      <c r="AI201" s="225">
        <f t="shared" si="65"/>
        <v>-0.62786192584171685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20">
        <v>28.934000000000001</v>
      </c>
      <c r="C202" s="390"/>
      <c r="D202" s="393">
        <f t="shared" si="48"/>
        <v>29.429337445225137</v>
      </c>
      <c r="E202" s="385">
        <f t="shared" si="72"/>
        <v>31.899402617185402</v>
      </c>
      <c r="F202" s="385">
        <f t="shared" si="49"/>
        <v>31.942218321186189</v>
      </c>
      <c r="G202" s="110">
        <f t="shared" si="73"/>
        <v>0.56010001905038165</v>
      </c>
      <c r="H202" s="414" t="b">
        <f>Wh_hp&gt;='2019'!Maxi_hp</f>
        <v>0</v>
      </c>
      <c r="I202" s="380">
        <f>IF(H202,Wh_hp,'2019'!Maxi_hp)</f>
        <v>56.989181729783134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1.6831416818237077E-2</v>
      </c>
      <c r="M202" s="959"/>
      <c r="N202" s="959"/>
      <c r="O202" s="48">
        <f>IF(t&lt;Tnet,'2019'!Resal+('2019'!Salim-'2019'!Resal)*(1-EXP(('2019'!Tnet-t)/('2019'!Tau_j))),Resal+(Salim-Resal)*(1-EXP((Tnet-t)/(Tau_j))))*Salcycl</f>
        <v>7.7432960159245945E-2</v>
      </c>
      <c r="P202" s="169">
        <f>(INDEX(Models!$BJ202:$BT202,,T202)*(1-R202)+INDEX(Models!$BJ202:$BT202,,T202+1)*R202-ERP_i)*Q202*Ramure*Pc/MaxiM</f>
        <v>3.5899583236193278E-3</v>
      </c>
      <c r="Q202" s="305">
        <f t="shared" si="51"/>
        <v>0.7</v>
      </c>
      <c r="R202" s="177">
        <f t="shared" si="52"/>
        <v>0.3760158658733227</v>
      </c>
      <c r="S202" s="921">
        <f t="shared" si="53"/>
        <v>-1</v>
      </c>
      <c r="T202" s="176">
        <f t="shared" si="54"/>
        <v>5</v>
      </c>
      <c r="U202" s="251">
        <f t="shared" si="55"/>
        <v>-0.6239841341266773</v>
      </c>
      <c r="V202" s="383">
        <f t="shared" si="56"/>
        <v>51.542266124659122</v>
      </c>
      <c r="W202" s="402"/>
      <c r="X202" s="157">
        <f t="shared" si="57"/>
        <v>44018</v>
      </c>
      <c r="Y202" s="385">
        <f t="shared" si="58"/>
        <v>28.934000000000001</v>
      </c>
      <c r="Z202" s="385">
        <f t="shared" si="59"/>
        <v>29.429337445225137</v>
      </c>
      <c r="AA202" s="386">
        <f t="shared" si="60"/>
        <v>31.899402617185402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7.7432960159245945E-2</v>
      </c>
      <c r="AD202" s="231">
        <f>(INDEX(Models!$BJ202:$BT202,,AH202)*(1-AF202)+INDEX(Models!$BJ202:$BT202,,AH202+1)*AF202-ERP_i)*AE202*Ramure*Pc/MaxiM</f>
        <v>3.5899583236193278E-3</v>
      </c>
      <c r="AE202" s="305">
        <f t="shared" si="62"/>
        <v>0.7</v>
      </c>
      <c r="AF202" s="177">
        <f t="shared" si="63"/>
        <v>0.3760158658733227</v>
      </c>
      <c r="AG202" s="921">
        <f t="shared" si="71"/>
        <v>-1</v>
      </c>
      <c r="AH202" s="176">
        <f t="shared" si="64"/>
        <v>5</v>
      </c>
      <c r="AI202" s="225">
        <f t="shared" si="65"/>
        <v>-0.6239841341266773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20">
        <v>53.869</v>
      </c>
      <c r="C203" s="390"/>
      <c r="D203" s="393">
        <f t="shared" si="48"/>
        <v>54.792413851200784</v>
      </c>
      <c r="E203" s="385">
        <f t="shared" si="72"/>
        <v>59.394883800007925</v>
      </c>
      <c r="F203" s="385">
        <f t="shared" si="49"/>
        <v>59.606340921073496</v>
      </c>
      <c r="G203" s="110">
        <f t="shared" si="73"/>
        <v>1.0469651533282573</v>
      </c>
      <c r="H203" s="414" t="b">
        <f>Wh_hp&gt;='2019'!Maxi_hp</f>
        <v>1</v>
      </c>
      <c r="I203" s="380">
        <f>IF(H203,Wh_hp,'2019'!Maxi_hp)</f>
        <v>59.606340921073496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1.6852950733444394E-2</v>
      </c>
      <c r="M203" s="959"/>
      <c r="N203" s="959"/>
      <c r="O203" s="48">
        <f>IF(t&lt;Tnet,'2019'!Resal+('2019'!Salim-'2019'!Resal)*(1-EXP(('2019'!Tnet-t)/('2019'!Tau_j))),Resal+(Salim-Resal)*(1-EXP((Tnet-t)/(Tau_j))))*Salcycl</f>
        <v>7.7489333328850232E-2</v>
      </c>
      <c r="P203" s="169">
        <f>(INDEX(Models!$BJ203:$BT203,,T203)*(1-R203)+INDEX(Models!$BJ203:$BT203,,T203+1)*R203-ERP_i)*Q203*Ramure*Pc/MaxiM</f>
        <v>3.5475608433265166E-3</v>
      </c>
      <c r="Q203" s="305">
        <f t="shared" si="51"/>
        <v>0.7</v>
      </c>
      <c r="R203" s="177">
        <f t="shared" si="52"/>
        <v>0.3798141574389251</v>
      </c>
      <c r="S203" s="921">
        <f t="shared" si="53"/>
        <v>-1</v>
      </c>
      <c r="T203" s="176">
        <f t="shared" si="54"/>
        <v>5</v>
      </c>
      <c r="U203" s="251">
        <f t="shared" si="55"/>
        <v>-0.6201858425610749</v>
      </c>
      <c r="V203" s="383">
        <f t="shared" si="56"/>
        <v>51.452524306805017</v>
      </c>
      <c r="W203" s="402"/>
      <c r="X203" s="157">
        <f t="shared" si="57"/>
        <v>44019</v>
      </c>
      <c r="Y203" s="385">
        <f t="shared" si="58"/>
        <v>53.869</v>
      </c>
      <c r="Z203" s="385">
        <f t="shared" si="59"/>
        <v>54.792413851200784</v>
      </c>
      <c r="AA203" s="386">
        <f t="shared" si="60"/>
        <v>59.394883800007925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7.7489333328850232E-2</v>
      </c>
      <c r="AD203" s="231">
        <f>(INDEX(Models!$BJ203:$BT203,,AH203)*(1-AF203)+INDEX(Models!$BJ203:$BT203,,AH203+1)*AF203-ERP_i)*AE203*Ramure*Pc/MaxiM</f>
        <v>3.5475608433265166E-3</v>
      </c>
      <c r="AE203" s="305">
        <f t="shared" si="62"/>
        <v>0.7</v>
      </c>
      <c r="AF203" s="177">
        <f t="shared" si="63"/>
        <v>0.3798141574389251</v>
      </c>
      <c r="AG203" s="921">
        <f t="shared" si="71"/>
        <v>-1</v>
      </c>
      <c r="AH203" s="176">
        <f t="shared" si="64"/>
        <v>5</v>
      </c>
      <c r="AI203" s="225">
        <f t="shared" si="65"/>
        <v>-0.6201858425610749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20">
        <v>51.737000000000002</v>
      </c>
      <c r="C204" s="390"/>
      <c r="D204" s="393">
        <f t="shared" si="48"/>
        <v>52.625020068459733</v>
      </c>
      <c r="E204" s="385">
        <f t="shared" si="72"/>
        <v>57.048858001560362</v>
      </c>
      <c r="F204" s="385">
        <f t="shared" si="49"/>
        <v>57.249241822105077</v>
      </c>
      <c r="G204" s="110">
        <f t="shared" si="73"/>
        <v>1.0072973602659923</v>
      </c>
      <c r="H204" s="414" t="b">
        <f>Wh_hp&gt;='2019'!Maxi_hp</f>
        <v>1</v>
      </c>
      <c r="I204" s="380">
        <f>IF(H204,Wh_hp,'2019'!Maxi_hp)</f>
        <v>57.249241822105077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1.6874484177003768E-2</v>
      </c>
      <c r="M204" s="959"/>
      <c r="N204" s="959"/>
      <c r="O204" s="48">
        <f>IF(t&lt;Tnet,'2019'!Resal+('2019'!Salim-'2019'!Resal)*(1-EXP(('2019'!Tnet-t)/('2019'!Tau_j))),Resal+(Salim-Resal)*(1-EXP((Tnet-t)/(Tau_j))))*Salcycl</f>
        <v>7.7544723734515916E-2</v>
      </c>
      <c r="P204" s="169">
        <f>(INDEX(Models!$BJ204:$BT204,,T204)*(1-R204)+INDEX(Models!$BJ204:$BT204,,T204+1)*R204-ERP_i)*Q204*Ramure*Pc/MaxiM</f>
        <v>3.5002004247914088E-3</v>
      </c>
      <c r="Q204" s="305">
        <f t="shared" si="51"/>
        <v>0.7</v>
      </c>
      <c r="R204" s="177">
        <f t="shared" si="52"/>
        <v>0.38353226056437717</v>
      </c>
      <c r="S204" s="921">
        <f t="shared" si="53"/>
        <v>-1</v>
      </c>
      <c r="T204" s="176">
        <f t="shared" si="54"/>
        <v>5</v>
      </c>
      <c r="U204" s="251">
        <f t="shared" si="55"/>
        <v>-0.61646773943562283</v>
      </c>
      <c r="V204" s="383">
        <f t="shared" si="56"/>
        <v>51.362191583960929</v>
      </c>
      <c r="W204" s="402"/>
      <c r="X204" s="157">
        <f t="shared" si="57"/>
        <v>44020</v>
      </c>
      <c r="Y204" s="385">
        <f t="shared" si="58"/>
        <v>51.737000000000002</v>
      </c>
      <c r="Z204" s="385">
        <f t="shared" si="59"/>
        <v>52.625020068459733</v>
      </c>
      <c r="AA204" s="386">
        <f t="shared" si="60"/>
        <v>57.048858001560362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7.7544723734515916E-2</v>
      </c>
      <c r="AD204" s="231">
        <f>(INDEX(Models!$BJ204:$BT204,,AH204)*(1-AF204)+INDEX(Models!$BJ204:$BT204,,AH204+1)*AF204-ERP_i)*AE204*Ramure*Pc/MaxiM</f>
        <v>3.5002004247914088E-3</v>
      </c>
      <c r="AE204" s="305">
        <f t="shared" si="62"/>
        <v>0.7</v>
      </c>
      <c r="AF204" s="177">
        <f t="shared" si="63"/>
        <v>0.38353226056437717</v>
      </c>
      <c r="AG204" s="921">
        <f t="shared" si="71"/>
        <v>-1</v>
      </c>
      <c r="AH204" s="176">
        <f t="shared" si="64"/>
        <v>5</v>
      </c>
      <c r="AI204" s="225">
        <f t="shared" si="65"/>
        <v>-0.61646773943562283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20">
        <v>48.845999999999997</v>
      </c>
      <c r="C205" s="390"/>
      <c r="D205" s="393">
        <f t="shared" si="48"/>
        <v>49.685486837661841</v>
      </c>
      <c r="E205" s="385">
        <f t="shared" si="72"/>
        <v>53.865396819556871</v>
      </c>
      <c r="F205" s="385">
        <f t="shared" si="49"/>
        <v>54.03912818094409</v>
      </c>
      <c r="G205" s="110">
        <f t="shared" si="73"/>
        <v>0.95248257423882221</v>
      </c>
      <c r="H205" s="414" t="b">
        <f>Wh_hp&gt;='2019'!Maxi_hp</f>
        <v>0</v>
      </c>
      <c r="I205" s="380">
        <f>IF(H205,Wh_hp,'2019'!Maxi_hp)</f>
        <v>57.125082544615957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1.6896017148925413E-2</v>
      </c>
      <c r="M205" s="959"/>
      <c r="N205" s="959"/>
      <c r="O205" s="48">
        <f>IF(t&lt;Tnet,'2019'!Resal+('2019'!Salim-'2019'!Resal)*(1-EXP(('2019'!Tnet-t)/('2019'!Tau_j))),Resal+(Salim-Resal)*(1-EXP((Tnet-t)/(Tau_j))))*Salcycl</f>
        <v>7.7599168087395073E-2</v>
      </c>
      <c r="P205" s="169">
        <f>(INDEX(Models!$BJ205:$BT205,,T205)*(1-R205)+INDEX(Models!$BJ205:$BT205,,T205+1)*R205-ERP_i)*Q205*Ramure*Pc/MaxiM</f>
        <v>3.4478696623704511E-3</v>
      </c>
      <c r="Q205" s="305">
        <f t="shared" si="51"/>
        <v>0.7</v>
      </c>
      <c r="R205" s="177">
        <f t="shared" si="52"/>
        <v>0.3871696482122059</v>
      </c>
      <c r="S205" s="921">
        <f t="shared" si="53"/>
        <v>-1</v>
      </c>
      <c r="T205" s="176">
        <f t="shared" si="54"/>
        <v>5</v>
      </c>
      <c r="U205" s="251">
        <f t="shared" si="55"/>
        <v>-0.6128303517877941</v>
      </c>
      <c r="V205" s="383">
        <f t="shared" si="56"/>
        <v>51.270843015982557</v>
      </c>
      <c r="W205" s="402"/>
      <c r="X205" s="157">
        <f t="shared" si="57"/>
        <v>44021</v>
      </c>
      <c r="Y205" s="385">
        <f t="shared" si="58"/>
        <v>48.845999999999997</v>
      </c>
      <c r="Z205" s="385">
        <f t="shared" si="59"/>
        <v>49.685486837661841</v>
      </c>
      <c r="AA205" s="386">
        <f t="shared" si="60"/>
        <v>53.865396819556871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7.7599168087395073E-2</v>
      </c>
      <c r="AD205" s="231">
        <f>(INDEX(Models!$BJ205:$BT205,,AH205)*(1-AF205)+INDEX(Models!$BJ205:$BT205,,AH205+1)*AF205-ERP_i)*AE205*Ramure*Pc/MaxiM</f>
        <v>3.4478696623704511E-3</v>
      </c>
      <c r="AE205" s="305">
        <f t="shared" si="62"/>
        <v>0.7</v>
      </c>
      <c r="AF205" s="177">
        <f t="shared" si="63"/>
        <v>0.3871696482122059</v>
      </c>
      <c r="AG205" s="921">
        <f t="shared" si="71"/>
        <v>-1</v>
      </c>
      <c r="AH205" s="176">
        <f t="shared" si="64"/>
        <v>5</v>
      </c>
      <c r="AI205" s="225">
        <f t="shared" si="65"/>
        <v>-0.6128303517877941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20">
        <v>42.402999999999999</v>
      </c>
      <c r="C206" s="390"/>
      <c r="D206" s="393">
        <f t="shared" si="48"/>
        <v>43.132699586763955</v>
      </c>
      <c r="E206" s="385">
        <f t="shared" si="72"/>
        <v>46.764054895175761</v>
      </c>
      <c r="F206" s="385">
        <f t="shared" si="49"/>
        <v>46.884089041524106</v>
      </c>
      <c r="G206" s="110">
        <f t="shared" si="73"/>
        <v>0.82784691395786825</v>
      </c>
      <c r="H206" s="414" t="b">
        <f>Wh_hp&gt;='2019'!Maxi_hp</f>
        <v>0</v>
      </c>
      <c r="I206" s="380">
        <f>IF(H206,Wh_hp,'2019'!Maxi_hp)</f>
        <v>56.244702289420005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1.6917549649219654E-2</v>
      </c>
      <c r="M206" s="959"/>
      <c r="N206" s="959"/>
      <c r="O206" s="48">
        <f>IF(t&lt;Tnet,'2019'!Resal+('2019'!Salim-'2019'!Resal)*(1-EXP(('2019'!Tnet-t)/('2019'!Tau_j))),Resal+(Salim-Resal)*(1-EXP((Tnet-t)/(Tau_j))))*Salcycl</f>
        <v>7.7652703910122675E-2</v>
      </c>
      <c r="P206" s="169">
        <f>(INDEX(Models!$BJ206:$BT206,,T206)*(1-R206)+INDEX(Models!$BJ206:$BT206,,T206+1)*R206-ERP_i)*Q206*Ramure*Pc/MaxiM</f>
        <v>3.390799462082881E-3</v>
      </c>
      <c r="Q206" s="305">
        <f t="shared" si="51"/>
        <v>0.7</v>
      </c>
      <c r="R206" s="177">
        <f t="shared" si="52"/>
        <v>0.39072594927057014</v>
      </c>
      <c r="S206" s="921">
        <f t="shared" si="53"/>
        <v>-1</v>
      </c>
      <c r="T206" s="176">
        <f t="shared" si="54"/>
        <v>5</v>
      </c>
      <c r="U206" s="251">
        <f t="shared" si="55"/>
        <v>-0.60927405072942986</v>
      </c>
      <c r="V206" s="383">
        <f t="shared" si="56"/>
        <v>51.178171151733693</v>
      </c>
      <c r="W206" s="402"/>
      <c r="X206" s="157">
        <f t="shared" si="57"/>
        <v>44022</v>
      </c>
      <c r="Y206" s="385">
        <f t="shared" si="58"/>
        <v>42.402999999999999</v>
      </c>
      <c r="Z206" s="385">
        <f t="shared" si="59"/>
        <v>43.132699586763955</v>
      </c>
      <c r="AA206" s="386">
        <f t="shared" si="60"/>
        <v>46.764054895175761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7.7652703910122675E-2</v>
      </c>
      <c r="AD206" s="231">
        <f>(INDEX(Models!$BJ206:$BT206,,AH206)*(1-AF206)+INDEX(Models!$BJ206:$BT206,,AH206+1)*AF206-ERP_i)*AE206*Ramure*Pc/MaxiM</f>
        <v>3.390799462082881E-3</v>
      </c>
      <c r="AE206" s="305">
        <f t="shared" si="62"/>
        <v>0.7</v>
      </c>
      <c r="AF206" s="177">
        <f t="shared" si="63"/>
        <v>0.39072594927057014</v>
      </c>
      <c r="AG206" s="921">
        <f t="shared" si="71"/>
        <v>-1</v>
      </c>
      <c r="AH206" s="176">
        <f t="shared" si="64"/>
        <v>5</v>
      </c>
      <c r="AI206" s="225">
        <f t="shared" si="65"/>
        <v>-0.60927405072942986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20">
        <v>36.786999999999999</v>
      </c>
      <c r="C207" s="390"/>
      <c r="D207" s="393">
        <f t="shared" ref="D207:D270" si="74">Wh/(1-Ppv)</f>
        <v>37.420875262530394</v>
      </c>
      <c r="E207" s="385">
        <f t="shared" si="72"/>
        <v>40.57366704417776</v>
      </c>
      <c r="F207" s="385">
        <f t="shared" ref="F207:F270" si="75">Wh_sa/(1-Pvg*MEDIAN((-Sdif+Wh/Env_an)/Csdif,0,1))</f>
        <v>40.654962696087715</v>
      </c>
      <c r="G207" s="110">
        <f t="shared" si="73"/>
        <v>0.71916325317034435</v>
      </c>
      <c r="H207" s="414" t="b">
        <f>Wh_hp&gt;='2019'!Maxi_hp</f>
        <v>0</v>
      </c>
      <c r="I207" s="380">
        <f>IF(H207,Wh_hp,'2019'!Maxi_hp)</f>
        <v>57.631675116560842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1.6939081677896928E-2</v>
      </c>
      <c r="M207" s="959"/>
      <c r="N207" s="959"/>
      <c r="O207" s="48">
        <f>IF(t&lt;Tnet,'2019'!Resal+('2019'!Salim-'2019'!Resal)*(1-EXP(('2019'!Tnet-t)/('2019'!Tau_j))),Resal+(Salim-Resal)*(1-EXP((Tnet-t)/(Tau_j))))*Salcycl</f>
        <v>7.7705369303063404E-2</v>
      </c>
      <c r="P207" s="169">
        <f>(INDEX(Models!$BJ207:$BT207,,T207)*(1-R207)+INDEX(Models!$BJ207:$BT207,,T207+1)*R207-ERP_i)*Q207*Ramure*Pc/MaxiM</f>
        <v>3.3317608612529583E-3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0.39420094281728835</v>
      </c>
      <c r="S207" s="92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-0.60579905718271165</v>
      </c>
      <c r="V207" s="383">
        <f t="shared" ref="V207:V270" si="82">MaxiM*(1-Ppv)*(1-Pvg)*(1-Psa)</f>
        <v>51.084224962573742</v>
      </c>
      <c r="W207" s="402"/>
      <c r="X207" s="157">
        <f t="shared" ref="X207:X270" si="83">t</f>
        <v>44023</v>
      </c>
      <c r="Y207" s="385">
        <f t="shared" ref="Y207:Y270" si="84">Wh_pvt_s*(1-Ppv)</f>
        <v>36.786999999999999</v>
      </c>
      <c r="Z207" s="385">
        <f t="shared" ref="Z207:Z270" si="85">Wh_sa_s*(1-Psa_s)</f>
        <v>37.420875262530394</v>
      </c>
      <c r="AA207" s="386">
        <f t="shared" ref="AA207:AA270" si="86">Wh_hp*(1-Pvg_s*MEDIAN((-Sdif+Wh/Env_an)/Csdif,0,1))</f>
        <v>40.57366704417776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7.7705369303063404E-2</v>
      </c>
      <c r="AD207" s="231">
        <f>(INDEX(Models!$BJ207:$BT207,,AH207)*(1-AF207)+INDEX(Models!$BJ207:$BT207,,AH207+1)*AF207-ERP_i)*AE207*Ramure*Pc/MaxiM</f>
        <v>3.3317608612529583E-3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0.39420094281728835</v>
      </c>
      <c r="AG207" s="92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-0.60579905718271165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20">
        <v>33.01</v>
      </c>
      <c r="C208" s="390"/>
      <c r="D208" s="393">
        <f t="shared" si="74"/>
        <v>33.579529410951359</v>
      </c>
      <c r="E208" s="385">
        <f t="shared" si="72"/>
        <v>36.410725580897861</v>
      </c>
      <c r="F208" s="385">
        <f t="shared" si="75"/>
        <v>36.469923478777488</v>
      </c>
      <c r="G208" s="110">
        <f t="shared" si="73"/>
        <v>0.64632369611139051</v>
      </c>
      <c r="H208" s="414" t="b">
        <f>Wh_hp&gt;='2019'!Maxi_hp</f>
        <v>0</v>
      </c>
      <c r="I208" s="380">
        <f>IF(H208,Wh_hp,'2019'!Maxi_hp)</f>
        <v>54.575416488787674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1.6960613234967559E-2</v>
      </c>
      <c r="M208" s="959"/>
      <c r="N208" s="959"/>
      <c r="O208" s="48">
        <f>IF(t&lt;Tnet,'2019'!Resal+('2019'!Salim-'2019'!Resal)*(1-EXP(('2019'!Tnet-t)/('2019'!Tau_j))),Resal+(Salim-Resal)*(1-EXP((Tnet-t)/(Tau_j))))*Salcycl</f>
        <v>7.7757202713692491E-2</v>
      </c>
      <c r="P208" s="169">
        <f>(INDEX(Models!$BJ208:$BT208,,T208)*(1-R208)+INDEX(Models!$BJ208:$BT208,,T208+1)*R208-ERP_i)*Q208*Ramure*Pc/MaxiM</f>
        <v>3.270766894547558E-3</v>
      </c>
      <c r="Q208" s="305">
        <f t="shared" si="77"/>
        <v>0.7</v>
      </c>
      <c r="R208" s="177">
        <f t="shared" si="78"/>
        <v>0.39759455203463379</v>
      </c>
      <c r="S208" s="921">
        <f t="shared" si="79"/>
        <v>-1</v>
      </c>
      <c r="T208" s="176">
        <f t="shared" si="80"/>
        <v>5</v>
      </c>
      <c r="U208" s="251">
        <f t="shared" si="81"/>
        <v>-0.60240544796536621</v>
      </c>
      <c r="V208" s="383">
        <f t="shared" si="82"/>
        <v>50.989195534325653</v>
      </c>
      <c r="W208" s="402"/>
      <c r="X208" s="157">
        <f t="shared" si="83"/>
        <v>44024</v>
      </c>
      <c r="Y208" s="385">
        <f t="shared" si="84"/>
        <v>33.01</v>
      </c>
      <c r="Z208" s="385">
        <f t="shared" si="85"/>
        <v>33.579529410951359</v>
      </c>
      <c r="AA208" s="386">
        <f t="shared" si="86"/>
        <v>36.410725580897861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7.7757202713692491E-2</v>
      </c>
      <c r="AD208" s="231">
        <f>(INDEX(Models!$BJ208:$BT208,,AH208)*(1-AF208)+INDEX(Models!$BJ208:$BT208,,AH208+1)*AF208-ERP_i)*AE208*Ramure*Pc/MaxiM</f>
        <v>3.270766894547558E-3</v>
      </c>
      <c r="AE208" s="305">
        <f t="shared" si="88"/>
        <v>0.7</v>
      </c>
      <c r="AF208" s="177">
        <f t="shared" si="89"/>
        <v>0.39759455203463379</v>
      </c>
      <c r="AG208" s="921">
        <f t="shared" ref="AG208:AG271" si="95">INDEX(Echel_vg,AH208)</f>
        <v>-1</v>
      </c>
      <c r="AH208" s="176">
        <f t="shared" si="90"/>
        <v>5</v>
      </c>
      <c r="AI208" s="225">
        <f t="shared" si="91"/>
        <v>-0.60240544796536621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20">
        <v>50.264000000000003</v>
      </c>
      <c r="C209" s="390"/>
      <c r="D209" s="393">
        <f t="shared" si="74"/>
        <v>51.132336721648464</v>
      </c>
      <c r="E209" s="385">
        <f t="shared" si="72"/>
        <v>55.446534104739015</v>
      </c>
      <c r="F209" s="385">
        <f t="shared" si="75"/>
        <v>55.621807813947854</v>
      </c>
      <c r="G209" s="110">
        <f t="shared" si="73"/>
        <v>0.98757928246206339</v>
      </c>
      <c r="H209" s="414" t="b">
        <f>Wh_hp&gt;='2019'!Maxi_hp</f>
        <v>0</v>
      </c>
      <c r="I209" s="380">
        <f>IF(H209,Wh_hp,'2019'!Maxi_hp)</f>
        <v>56.367501147703905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1.6982144320441761E-2</v>
      </c>
      <c r="M209" s="959"/>
      <c r="N209" s="959"/>
      <c r="O209" s="48">
        <f>IF(t&lt;Tnet,'2019'!Resal+('2019'!Salim-'2019'!Resal)*(1-EXP(('2019'!Tnet-t)/('2019'!Tau_j))),Resal+(Salim-Resal)*(1-EXP((Tnet-t)/(Tau_j))))*Salcycl</f>
        <v>7.7808242710734526E-2</v>
      </c>
      <c r="P209" s="169">
        <f>(INDEX(Models!$BJ209:$BT209,,T209)*(1-R209)+INDEX(Models!$BJ209:$BT209,,T209+1)*R209-ERP_i)*Q209*Ramure*Pc/MaxiM</f>
        <v>3.2078309830857426E-3</v>
      </c>
      <c r="Q209" s="305">
        <f t="shared" si="77"/>
        <v>0.7</v>
      </c>
      <c r="R209" s="177">
        <f t="shared" si="78"/>
        <v>0.4009068378327667</v>
      </c>
      <c r="S209" s="921">
        <f t="shared" si="79"/>
        <v>-1</v>
      </c>
      <c r="T209" s="176">
        <f t="shared" si="80"/>
        <v>5</v>
      </c>
      <c r="U209" s="251">
        <f t="shared" si="81"/>
        <v>-0.5990931621672333</v>
      </c>
      <c r="V209" s="383">
        <f t="shared" si="82"/>
        <v>50.893273912228878</v>
      </c>
      <c r="W209" s="402"/>
      <c r="X209" s="157">
        <f t="shared" si="83"/>
        <v>44025</v>
      </c>
      <c r="Y209" s="385">
        <f t="shared" si="84"/>
        <v>50.264000000000003</v>
      </c>
      <c r="Z209" s="385">
        <f t="shared" si="85"/>
        <v>51.132336721648464</v>
      </c>
      <c r="AA209" s="386">
        <f t="shared" si="86"/>
        <v>55.446534104739015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7.7808242710734526E-2</v>
      </c>
      <c r="AD209" s="231">
        <f>(INDEX(Models!$BJ209:$BT209,,AH209)*(1-AF209)+INDEX(Models!$BJ209:$BT209,,AH209+1)*AF209-ERP_i)*AE209*Ramure*Pc/MaxiM</f>
        <v>3.2078309830857426E-3</v>
      </c>
      <c r="AE209" s="305">
        <f t="shared" si="88"/>
        <v>0.7</v>
      </c>
      <c r="AF209" s="177">
        <f t="shared" si="89"/>
        <v>0.4009068378327667</v>
      </c>
      <c r="AG209" s="921">
        <f t="shared" si="95"/>
        <v>-1</v>
      </c>
      <c r="AH209" s="176">
        <f t="shared" si="90"/>
        <v>5</v>
      </c>
      <c r="AI209" s="225">
        <f t="shared" si="91"/>
        <v>-0.5990931621672333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20">
        <v>42.417000000000002</v>
      </c>
      <c r="C210" s="390"/>
      <c r="D210" s="393">
        <f t="shared" si="74"/>
        <v>43.150720830178379</v>
      </c>
      <c r="E210" s="385">
        <f t="shared" si="72"/>
        <v>46.794035545951353</v>
      </c>
      <c r="F210" s="385">
        <f t="shared" si="75"/>
        <v>46.906718778458689</v>
      </c>
      <c r="G210" s="110">
        <f t="shared" si="73"/>
        <v>0.83441537656667286</v>
      </c>
      <c r="H210" s="414" t="b">
        <f>Wh_hp&gt;='2019'!Maxi_hp</f>
        <v>0</v>
      </c>
      <c r="I210" s="380">
        <f>IF(H210,Wh_hp,'2019'!Maxi_hp)</f>
        <v>57.830639820469678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1.7003674934329971E-2</v>
      </c>
      <c r="M210" s="959"/>
      <c r="N210" s="959"/>
      <c r="O210" s="48">
        <f>IF(t&lt;Tnet,'2019'!Resal+('2019'!Salim-'2019'!Resal)*(1-EXP(('2019'!Tnet-t)/('2019'!Tau_j))),Resal+(Salim-Resal)*(1-EXP((Tnet-t)/(Tau_j))))*Salcycl</f>
        <v>7.7858527764618032E-2</v>
      </c>
      <c r="P210" s="169">
        <f>(INDEX(Models!$BJ210:$BT210,,T210)*(1-R210)+INDEX(Models!$BJ210:$BT210,,T210+1)*R210-ERP_i)*Q210*Ramure*Pc/MaxiM</f>
        <v>3.1429668139513513E-3</v>
      </c>
      <c r="Q210" s="305">
        <f t="shared" si="77"/>
        <v>0.7</v>
      </c>
      <c r="R210" s="177">
        <f t="shared" si="78"/>
        <v>0.40413799223791913</v>
      </c>
      <c r="S210" s="921">
        <f t="shared" si="79"/>
        <v>-1</v>
      </c>
      <c r="T210" s="176">
        <f t="shared" si="80"/>
        <v>5</v>
      </c>
      <c r="U210" s="251">
        <f t="shared" si="81"/>
        <v>-0.59586200776208087</v>
      </c>
      <c r="V210" s="383">
        <f t="shared" si="82"/>
        <v>50.796651124719205</v>
      </c>
      <c r="W210" s="402"/>
      <c r="X210" s="157">
        <f t="shared" si="83"/>
        <v>44026</v>
      </c>
      <c r="Y210" s="385">
        <f t="shared" si="84"/>
        <v>42.417000000000002</v>
      </c>
      <c r="Z210" s="385">
        <f t="shared" si="85"/>
        <v>43.150720830178379</v>
      </c>
      <c r="AA210" s="386">
        <f t="shared" si="86"/>
        <v>46.794035545951353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7.7858527764618032E-2</v>
      </c>
      <c r="AD210" s="231">
        <f>(INDEX(Models!$BJ210:$BT210,,AH210)*(1-AF210)+INDEX(Models!$BJ210:$BT210,,AH210+1)*AF210-ERP_i)*AE210*Ramure*Pc/MaxiM</f>
        <v>3.1429668139513513E-3</v>
      </c>
      <c r="AE210" s="305">
        <f t="shared" si="88"/>
        <v>0.7</v>
      </c>
      <c r="AF210" s="177">
        <f t="shared" si="89"/>
        <v>0.40413799223791913</v>
      </c>
      <c r="AG210" s="921">
        <f t="shared" si="95"/>
        <v>-1</v>
      </c>
      <c r="AH210" s="176">
        <f t="shared" si="90"/>
        <v>5</v>
      </c>
      <c r="AI210" s="225">
        <f t="shared" si="91"/>
        <v>-0.59586200776208087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20">
        <v>18.670999999999999</v>
      </c>
      <c r="C211" s="390"/>
      <c r="D211" s="393">
        <f t="shared" si="74"/>
        <v>18.994383270484342</v>
      </c>
      <c r="E211" s="385">
        <f t="shared" si="72"/>
        <v>20.599230064620805</v>
      </c>
      <c r="F211" s="385">
        <f t="shared" si="75"/>
        <v>20.605411823608687</v>
      </c>
      <c r="G211" s="110">
        <f t="shared" si="73"/>
        <v>0.36724511425760525</v>
      </c>
      <c r="H211" s="414" t="b">
        <f>Wh_hp&gt;='2019'!Maxi_hp</f>
        <v>0</v>
      </c>
      <c r="I211" s="380">
        <f>IF(H211,Wh_hp,'2019'!Maxi_hp)</f>
        <v>57.203978991704709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1.7025205076642513E-2</v>
      </c>
      <c r="M211" s="959"/>
      <c r="N211" s="959"/>
      <c r="O211" s="48">
        <f>IF(t&lt;Tnet,'2019'!Resal+('2019'!Salim-'2019'!Resal)*(1-EXP(('2019'!Tnet-t)/('2019'!Tau_j))),Resal+(Salim-Resal)*(1-EXP((Tnet-t)/(Tau_j))))*Salcycl</f>
        <v>7.7908096035724642E-2</v>
      </c>
      <c r="P211" s="169">
        <f>(INDEX(Models!$BJ211:$BT211,,T211)*(1-R211)+INDEX(Models!$BJ211:$BT211,,T211+1)*R211-ERP_i)*Q211*Ramure*Pc/MaxiM</f>
        <v>3.076188233022525E-3</v>
      </c>
      <c r="Q211" s="305">
        <f t="shared" si="77"/>
        <v>0.7</v>
      </c>
      <c r="R211" s="177">
        <f t="shared" si="78"/>
        <v>0.40728833159926059</v>
      </c>
      <c r="S211" s="921">
        <f t="shared" si="79"/>
        <v>-1</v>
      </c>
      <c r="T211" s="176">
        <f t="shared" si="80"/>
        <v>5</v>
      </c>
      <c r="U211" s="251">
        <f t="shared" si="81"/>
        <v>-0.59271166840073941</v>
      </c>
      <c r="V211" s="383">
        <f t="shared" si="82"/>
        <v>50.699518207702653</v>
      </c>
      <c r="W211" s="402"/>
      <c r="X211" s="157">
        <f t="shared" si="83"/>
        <v>44027</v>
      </c>
      <c r="Y211" s="385">
        <f t="shared" si="84"/>
        <v>18.670999999999999</v>
      </c>
      <c r="Z211" s="385">
        <f t="shared" si="85"/>
        <v>18.994383270484342</v>
      </c>
      <c r="AA211" s="386">
        <f t="shared" si="86"/>
        <v>20.599230064620805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7.7908096035724642E-2</v>
      </c>
      <c r="AD211" s="231">
        <f>(INDEX(Models!$BJ211:$BT211,,AH211)*(1-AF211)+INDEX(Models!$BJ211:$BT211,,AH211+1)*AF211-ERP_i)*AE211*Ramure*Pc/MaxiM</f>
        <v>3.076188233022525E-3</v>
      </c>
      <c r="AE211" s="305">
        <f t="shared" si="88"/>
        <v>0.7</v>
      </c>
      <c r="AF211" s="177">
        <f t="shared" si="89"/>
        <v>0.40728833159926059</v>
      </c>
      <c r="AG211" s="921">
        <f t="shared" si="95"/>
        <v>-1</v>
      </c>
      <c r="AH211" s="176">
        <f t="shared" si="90"/>
        <v>5</v>
      </c>
      <c r="AI211" s="225">
        <f t="shared" si="91"/>
        <v>-0.59271166840073941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20">
        <v>23.024000000000001</v>
      </c>
      <c r="C212" s="390"/>
      <c r="D212" s="393">
        <f t="shared" si="74"/>
        <v>23.423290622146755</v>
      </c>
      <c r="E212" s="385">
        <f t="shared" si="72"/>
        <v>25.403685343803154</v>
      </c>
      <c r="F212" s="385">
        <f t="shared" si="75"/>
        <v>25.420613416099968</v>
      </c>
      <c r="G212" s="110">
        <f t="shared" si="73"/>
        <v>0.45393504690934244</v>
      </c>
      <c r="H212" s="414" t="b">
        <f>Wh_hp&gt;='2019'!Maxi_hp</f>
        <v>0</v>
      </c>
      <c r="I212" s="380">
        <f>IF(H212,Wh_hp,'2019'!Maxi_hp)</f>
        <v>50.0231298336127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1.7046734747389602E-2</v>
      </c>
      <c r="M212" s="959"/>
      <c r="N212" s="959"/>
      <c r="O212" s="48">
        <f>IF(t&lt;Tnet,'2019'!Resal+('2019'!Salim-'2019'!Resal)*(1-EXP(('2019'!Tnet-t)/('2019'!Tau_j))),Resal+(Salim-Resal)*(1-EXP((Tnet-t)/(Tau_j))))*Salcycl</f>
        <v>7.7956985171818205E-2</v>
      </c>
      <c r="P212" s="169">
        <f>(INDEX(Models!$BJ212:$BT212,,T212)*(1-R212)+INDEX(Models!$BJ212:$BT212,,T212+1)*R212-ERP_i)*Q212*Ramure*Pc/MaxiM</f>
        <v>3.0073550416263328E-3</v>
      </c>
      <c r="Q212" s="305">
        <f t="shared" si="77"/>
        <v>0.7</v>
      </c>
      <c r="R212" s="177">
        <f t="shared" si="78"/>
        <v>0.41035828966583687</v>
      </c>
      <c r="S212" s="921">
        <f t="shared" si="79"/>
        <v>-1</v>
      </c>
      <c r="T212" s="176">
        <f t="shared" si="80"/>
        <v>5</v>
      </c>
      <c r="U212" s="251">
        <f t="shared" si="81"/>
        <v>-0.58964171033416313</v>
      </c>
      <c r="V212" s="383">
        <f t="shared" si="82"/>
        <v>50.602074046569854</v>
      </c>
      <c r="W212" s="402"/>
      <c r="X212" s="157">
        <f t="shared" si="83"/>
        <v>44028</v>
      </c>
      <c r="Y212" s="385">
        <f t="shared" si="84"/>
        <v>23.024000000000001</v>
      </c>
      <c r="Z212" s="385">
        <f t="shared" si="85"/>
        <v>23.423290622146755</v>
      </c>
      <c r="AA212" s="386">
        <f t="shared" si="86"/>
        <v>25.403685343803154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7.7956985171818205E-2</v>
      </c>
      <c r="AD212" s="231">
        <f>(INDEX(Models!$BJ212:$BT212,,AH212)*(1-AF212)+INDEX(Models!$BJ212:$BT212,,AH212+1)*AF212-ERP_i)*AE212*Ramure*Pc/MaxiM</f>
        <v>3.0073550416263328E-3</v>
      </c>
      <c r="AE212" s="305">
        <f t="shared" si="88"/>
        <v>0.7</v>
      </c>
      <c r="AF212" s="177">
        <f t="shared" si="89"/>
        <v>0.41035828966583687</v>
      </c>
      <c r="AG212" s="921">
        <f t="shared" si="95"/>
        <v>-1</v>
      </c>
      <c r="AH212" s="176">
        <f t="shared" si="90"/>
        <v>5</v>
      </c>
      <c r="AI212" s="225">
        <f t="shared" si="91"/>
        <v>-0.58964171033416313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20">
        <v>24.11</v>
      </c>
      <c r="C213" s="390"/>
      <c r="D213" s="393">
        <f t="shared" si="74"/>
        <v>24.528661671668438</v>
      </c>
      <c r="E213" s="385">
        <f t="shared" si="72"/>
        <v>26.603905494995981</v>
      </c>
      <c r="F213" s="385">
        <f t="shared" si="75"/>
        <v>26.623725260897761</v>
      </c>
      <c r="G213" s="110">
        <f t="shared" si="73"/>
        <v>0.47633588871147498</v>
      </c>
      <c r="H213" s="414" t="b">
        <f>Wh_hp&gt;='2019'!Maxi_hp</f>
        <v>0</v>
      </c>
      <c r="I213" s="380">
        <f>IF(H213,Wh_hp,'2019'!Maxi_hp)</f>
        <v>43.68377735688307</v>
      </c>
      <c r="J213" s="85">
        <f>IF(H213,An,'2019'!An_max)</f>
        <v>2018</v>
      </c>
      <c r="K213" s="197">
        <f t="shared" si="76"/>
        <v>44029</v>
      </c>
      <c r="L213" s="147">
        <f>IF(t&lt;Tvie,1-EXP((T0-t)*PertePVj)+'2019'!Pspv,1-EXP((T0-t)*PertePVj)+Pspv)</f>
        <v>1.7068263946581674E-2</v>
      </c>
      <c r="M213" s="959"/>
      <c r="N213" s="959"/>
      <c r="O213" s="48">
        <f>IF(t&lt;Tnet,'2019'!Resal+('2019'!Salim-'2019'!Resal)*(1-EXP(('2019'!Tnet-t)/('2019'!Tau_j))),Resal+(Salim-Resal)*(1-EXP((Tnet-t)/(Tau_j))))*Salcycl</f>
        <v>7.8005232115934381E-2</v>
      </c>
      <c r="P213" s="169">
        <f>(INDEX(Models!$BJ213:$BT213,,T213)*(1-R213)+INDEX(Models!$BJ213:$BT213,,T213+1)*R213-ERP_i)*Q213*Ramure*Pc/MaxiM</f>
        <v>2.9377442688659819E-3</v>
      </c>
      <c r="Q213" s="305">
        <f t="shared" si="77"/>
        <v>0.7</v>
      </c>
      <c r="R213" s="177">
        <f t="shared" si="78"/>
        <v>0.41334841058212723</v>
      </c>
      <c r="S213" s="921">
        <f t="shared" si="79"/>
        <v>-1</v>
      </c>
      <c r="T213" s="176">
        <f t="shared" si="80"/>
        <v>5</v>
      </c>
      <c r="U213" s="251">
        <f t="shared" si="81"/>
        <v>-0.58665158941787277</v>
      </c>
      <c r="V213" s="383">
        <f t="shared" si="82"/>
        <v>50.50444572484087</v>
      </c>
      <c r="W213" s="402"/>
      <c r="X213" s="157">
        <f t="shared" si="83"/>
        <v>44029</v>
      </c>
      <c r="Y213" s="385">
        <f t="shared" si="84"/>
        <v>24.11</v>
      </c>
      <c r="Z213" s="385">
        <f t="shared" si="85"/>
        <v>24.528661671668438</v>
      </c>
      <c r="AA213" s="386">
        <f t="shared" si="86"/>
        <v>26.603905494995981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7.8005232115934381E-2</v>
      </c>
      <c r="AD213" s="231">
        <f>(INDEX(Models!$BJ213:$BT213,,AH213)*(1-AF213)+INDEX(Models!$BJ213:$BT213,,AH213+1)*AF213-ERP_i)*AE213*Ramure*Pc/MaxiM</f>
        <v>2.9377442688659819E-3</v>
      </c>
      <c r="AE213" s="305">
        <f t="shared" si="88"/>
        <v>0.7</v>
      </c>
      <c r="AF213" s="177">
        <f t="shared" si="89"/>
        <v>0.41334841058212723</v>
      </c>
      <c r="AG213" s="921">
        <f t="shared" si="95"/>
        <v>-1</v>
      </c>
      <c r="AH213" s="176">
        <f t="shared" si="90"/>
        <v>5</v>
      </c>
      <c r="AI213" s="225">
        <f t="shared" si="91"/>
        <v>-0.58665158941787277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20">
        <v>51.207999999999998</v>
      </c>
      <c r="C214" s="390"/>
      <c r="D214" s="393">
        <f t="shared" si="74"/>
        <v>52.098350000172367</v>
      </c>
      <c r="E214" s="385">
        <f t="shared" si="72"/>
        <v>56.509043165535843</v>
      </c>
      <c r="F214" s="385">
        <f t="shared" si="75"/>
        <v>56.671542000850792</v>
      </c>
      <c r="G214" s="110">
        <f t="shared" si="73"/>
        <v>1.0158941921774756</v>
      </c>
      <c r="H214" s="414" t="b">
        <f>Wh_hp&gt;='2019'!Maxi_hp</f>
        <v>1</v>
      </c>
      <c r="I214" s="380">
        <f>IF(H214,Wh_hp,'2019'!Maxi_hp)</f>
        <v>56.671542000850792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1.7089792674229054E-2</v>
      </c>
      <c r="M214" s="959"/>
      <c r="N214" s="959"/>
      <c r="O214" s="48">
        <f>IF(t&lt;Tnet,'2019'!Resal+('2019'!Salim-'2019'!Resal)*(1-EXP(('2019'!Tnet-t)/('2019'!Tau_j))),Resal+(Salim-Resal)*(1-EXP((Tnet-t)/(Tau_j))))*Salcycl</f>
        <v>7.8052872925894787E-2</v>
      </c>
      <c r="P214" s="169">
        <f>(INDEX(Models!$BJ214:$BT214,,T214)*(1-R214)+INDEX(Models!$BJ214:$BT214,,T214+1)*R214-ERP_i)*Q214*Ramure*Pc/MaxiM</f>
        <v>2.8673798096496002E-3</v>
      </c>
      <c r="Q214" s="305">
        <f t="shared" si="77"/>
        <v>0.7</v>
      </c>
      <c r="R214" s="177">
        <f t="shared" si="78"/>
        <v>0.41625934184769098</v>
      </c>
      <c r="S214" s="921">
        <f t="shared" si="79"/>
        <v>-1</v>
      </c>
      <c r="T214" s="176">
        <f t="shared" si="80"/>
        <v>5</v>
      </c>
      <c r="U214" s="251">
        <f t="shared" si="81"/>
        <v>-0.58374065815230902</v>
      </c>
      <c r="V214" s="383">
        <f t="shared" si="82"/>
        <v>50.406824248340641</v>
      </c>
      <c r="W214" s="402"/>
      <c r="X214" s="157">
        <f t="shared" si="83"/>
        <v>44030</v>
      </c>
      <c r="Y214" s="385">
        <f t="shared" si="84"/>
        <v>51.207999999999998</v>
      </c>
      <c r="Z214" s="385">
        <f t="shared" si="85"/>
        <v>52.098350000172367</v>
      </c>
      <c r="AA214" s="386">
        <f t="shared" si="86"/>
        <v>56.509043165535843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7.8052872925894787E-2</v>
      </c>
      <c r="AD214" s="231">
        <f>(INDEX(Models!$BJ214:$BT214,,AH214)*(1-AF214)+INDEX(Models!$BJ214:$BT214,,AH214+1)*AF214-ERP_i)*AE214*Ramure*Pc/MaxiM</f>
        <v>2.8673798096496002E-3</v>
      </c>
      <c r="AE214" s="305">
        <f t="shared" si="88"/>
        <v>0.7</v>
      </c>
      <c r="AF214" s="177">
        <f t="shared" si="89"/>
        <v>0.41625934184769098</v>
      </c>
      <c r="AG214" s="921">
        <f t="shared" si="95"/>
        <v>-1</v>
      </c>
      <c r="AH214" s="176">
        <f t="shared" si="90"/>
        <v>5</v>
      </c>
      <c r="AI214" s="225">
        <f t="shared" si="91"/>
        <v>-0.58374065815230902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20">
        <v>50.314</v>
      </c>
      <c r="C215" s="390"/>
      <c r="D215" s="393">
        <f t="shared" si="74"/>
        <v>51.189927273986044</v>
      </c>
      <c r="E215" s="385">
        <f t="shared" si="72"/>
        <v>55.526547442371459</v>
      </c>
      <c r="F215" s="385">
        <f t="shared" si="75"/>
        <v>55.682250887635263</v>
      </c>
      <c r="G215" s="110">
        <f t="shared" si="73"/>
        <v>1.0000914197315955</v>
      </c>
      <c r="H215" s="414" t="b">
        <f>Wh_hp&gt;='2019'!Maxi_hp</f>
        <v>1</v>
      </c>
      <c r="I215" s="380">
        <f>IF(H215,Wh_hp,'2019'!Maxi_hp)</f>
        <v>55.682250887635263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1.7111320930342067E-2</v>
      </c>
      <c r="M215" s="959"/>
      <c r="N215" s="959"/>
      <c r="O215" s="48">
        <f>IF(t&lt;Tnet,'2019'!Resal+('2019'!Salim-'2019'!Resal)*(1-EXP(('2019'!Tnet-t)/('2019'!Tau_j))),Resal+(Salim-Resal)*(1-EXP((Tnet-t)/(Tau_j))))*Salcycl</f>
        <v>7.8099942606483883E-2</v>
      </c>
      <c r="P215" s="169">
        <f>(INDEX(Models!$BJ215:$BT215,,T215)*(1-R215)+INDEX(Models!$BJ215:$BT215,,T215+1)*R215-ERP_i)*Q215*Ramure*Pc/MaxiM</f>
        <v>2.7962850420327123E-3</v>
      </c>
      <c r="Q215" s="305">
        <f t="shared" si="77"/>
        <v>0.7</v>
      </c>
      <c r="R215" s="177">
        <f t="shared" si="78"/>
        <v>0.41909182728312611</v>
      </c>
      <c r="S215" s="921">
        <f t="shared" si="79"/>
        <v>-1</v>
      </c>
      <c r="T215" s="176">
        <f t="shared" si="80"/>
        <v>5</v>
      </c>
      <c r="U215" s="251">
        <f t="shared" si="81"/>
        <v>-0.58090817271687389</v>
      </c>
      <c r="V215" s="383">
        <f t="shared" si="82"/>
        <v>50.309400728088697</v>
      </c>
      <c r="W215" s="402"/>
      <c r="X215" s="157">
        <f t="shared" si="83"/>
        <v>44031</v>
      </c>
      <c r="Y215" s="385">
        <f t="shared" si="84"/>
        <v>50.314</v>
      </c>
      <c r="Z215" s="385">
        <f t="shared" si="85"/>
        <v>51.189927273986044</v>
      </c>
      <c r="AA215" s="386">
        <f t="shared" si="86"/>
        <v>55.526547442371459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7.8099942606483883E-2</v>
      </c>
      <c r="AD215" s="231">
        <f>(INDEX(Models!$BJ215:$BT215,,AH215)*(1-AF215)+INDEX(Models!$BJ215:$BT215,,AH215+1)*AF215-ERP_i)*AE215*Ramure*Pc/MaxiM</f>
        <v>2.7962850420327123E-3</v>
      </c>
      <c r="AE215" s="305">
        <f t="shared" si="88"/>
        <v>0.7</v>
      </c>
      <c r="AF215" s="177">
        <f t="shared" si="89"/>
        <v>0.41909182728312611</v>
      </c>
      <c r="AG215" s="921">
        <f t="shared" si="95"/>
        <v>-1</v>
      </c>
      <c r="AH215" s="176">
        <f t="shared" si="90"/>
        <v>5</v>
      </c>
      <c r="AI215" s="225">
        <f t="shared" si="91"/>
        <v>-0.58090817271687389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20">
        <v>45.688000000000002</v>
      </c>
      <c r="C216" s="390"/>
      <c r="D216" s="393">
        <f t="shared" si="74"/>
        <v>46.484410370480212</v>
      </c>
      <c r="E216" s="385">
        <f t="shared" si="72"/>
        <v>50.424941823833407</v>
      </c>
      <c r="F216" s="385">
        <f t="shared" si="75"/>
        <v>50.544924605053268</v>
      </c>
      <c r="G216" s="110">
        <f t="shared" si="73"/>
        <v>0.90957551842010054</v>
      </c>
      <c r="H216" s="414" t="b">
        <f>Wh_hp&gt;='2019'!Maxi_hp</f>
        <v>1</v>
      </c>
      <c r="I216" s="380">
        <f>IF(H216,Wh_hp,'2019'!Maxi_hp)</f>
        <v>50.544924605053268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1.7132848714931037E-2</v>
      </c>
      <c r="M216" s="959"/>
      <c r="N216" s="959"/>
      <c r="O216" s="48">
        <f>IF(t&lt;Tnet,'2019'!Resal+('2019'!Salim-'2019'!Resal)*(1-EXP(('2019'!Tnet-t)/('2019'!Tau_j))),Resal+(Salim-Resal)*(1-EXP((Tnet-t)/(Tau_j))))*Salcycl</f>
        <v>7.8146474955191655E-2</v>
      </c>
      <c r="P216" s="169">
        <f>(INDEX(Models!$BJ216:$BT216,,T216)*(1-R216)+INDEX(Models!$BJ216:$BT216,,T216+1)*R216-ERP_i)*Q216*Ramure*Pc/MaxiM</f>
        <v>2.724482802750808E-3</v>
      </c>
      <c r="Q216" s="305">
        <f t="shared" si="77"/>
        <v>0.7</v>
      </c>
      <c r="R216" s="177">
        <f t="shared" si="78"/>
        <v>0.42184670004118607</v>
      </c>
      <c r="S216" s="921">
        <f t="shared" si="79"/>
        <v>-1</v>
      </c>
      <c r="T216" s="176">
        <f t="shared" si="80"/>
        <v>5</v>
      </c>
      <c r="U216" s="251">
        <f t="shared" si="81"/>
        <v>-0.57815329995881393</v>
      </c>
      <c r="V216" s="383">
        <f t="shared" si="82"/>
        <v>50.212366391338549</v>
      </c>
      <c r="W216" s="402"/>
      <c r="X216" s="157">
        <f t="shared" si="83"/>
        <v>44032</v>
      </c>
      <c r="Y216" s="385">
        <f t="shared" si="84"/>
        <v>45.688000000000002</v>
      </c>
      <c r="Z216" s="385">
        <f t="shared" si="85"/>
        <v>46.484410370480212</v>
      </c>
      <c r="AA216" s="386">
        <f t="shared" si="86"/>
        <v>50.424941823833407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7.8146474955191655E-2</v>
      </c>
      <c r="AD216" s="231">
        <f>(INDEX(Models!$BJ216:$BT216,,AH216)*(1-AF216)+INDEX(Models!$BJ216:$BT216,,AH216+1)*AF216-ERP_i)*AE216*Ramure*Pc/MaxiM</f>
        <v>2.724482802750808E-3</v>
      </c>
      <c r="AE216" s="305">
        <f t="shared" si="88"/>
        <v>0.7</v>
      </c>
      <c r="AF216" s="177">
        <f t="shared" si="89"/>
        <v>0.42184670004118607</v>
      </c>
      <c r="AG216" s="921">
        <f t="shared" si="95"/>
        <v>-1</v>
      </c>
      <c r="AH216" s="176">
        <f t="shared" si="90"/>
        <v>5</v>
      </c>
      <c r="AI216" s="225">
        <f t="shared" si="91"/>
        <v>-0.57815329995881393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20">
        <v>47.591999999999999</v>
      </c>
      <c r="C217" s="390"/>
      <c r="D217" s="393">
        <f t="shared" si="74"/>
        <v>48.422660526955895</v>
      </c>
      <c r="E217" s="385">
        <f t="shared" si="72"/>
        <v>52.530122237233627</v>
      </c>
      <c r="F217" s="385">
        <f t="shared" si="75"/>
        <v>52.659728232140381</v>
      </c>
      <c r="G217" s="110">
        <f t="shared" si="73"/>
        <v>0.94945686282855069</v>
      </c>
      <c r="H217" s="414" t="b">
        <f>Wh_hp&gt;='2019'!Maxi_hp</f>
        <v>1</v>
      </c>
      <c r="I217" s="380">
        <f>IF(H217,Wh_hp,'2019'!Maxi_hp)</f>
        <v>52.659728232140381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1.715437602800618E-2</v>
      </c>
      <c r="M217" s="959"/>
      <c r="N217" s="959"/>
      <c r="O217" s="48">
        <f>IF(t&lt;Tnet,'2019'!Resal+('2019'!Salim-'2019'!Resal)*(1-EXP(('2019'!Tnet-t)/('2019'!Tau_j))),Resal+(Salim-Resal)*(1-EXP((Tnet-t)/(Tau_j))))*Salcycl</f>
        <v>7.8192502422283414E-2</v>
      </c>
      <c r="P217" s="169">
        <f>(INDEX(Models!$BJ217:$BT217,,T217)*(1-R217)+INDEX(Models!$BJ217:$BT217,,T217+1)*R217-ERP_i)*Q217*Ramure*Pc/MaxiM</f>
        <v>2.6519953770344864E-3</v>
      </c>
      <c r="Q217" s="305">
        <f t="shared" si="77"/>
        <v>0.7</v>
      </c>
      <c r="R217" s="177">
        <f t="shared" si="78"/>
        <v>0.4245248756984652</v>
      </c>
      <c r="S217" s="921">
        <f t="shared" si="79"/>
        <v>-1</v>
      </c>
      <c r="T217" s="176">
        <f t="shared" si="80"/>
        <v>5</v>
      </c>
      <c r="U217" s="251">
        <f t="shared" si="81"/>
        <v>-0.5754751243015348</v>
      </c>
      <c r="V217" s="383">
        <f t="shared" si="82"/>
        <v>50.115912591185165</v>
      </c>
      <c r="W217" s="402"/>
      <c r="X217" s="157">
        <f t="shared" si="83"/>
        <v>44033</v>
      </c>
      <c r="Y217" s="385">
        <f t="shared" si="84"/>
        <v>47.591999999999999</v>
      </c>
      <c r="Z217" s="385">
        <f t="shared" si="85"/>
        <v>48.422660526955895</v>
      </c>
      <c r="AA217" s="386">
        <f t="shared" si="86"/>
        <v>52.530122237233627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7.8192502422283414E-2</v>
      </c>
      <c r="AD217" s="231">
        <f>(INDEX(Models!$BJ217:$BT217,,AH217)*(1-AF217)+INDEX(Models!$BJ217:$BT217,,AH217+1)*AF217-ERP_i)*AE217*Ramure*Pc/MaxiM</f>
        <v>2.6519953770344864E-3</v>
      </c>
      <c r="AE217" s="305">
        <f t="shared" si="88"/>
        <v>0.7</v>
      </c>
      <c r="AF217" s="177">
        <f t="shared" si="89"/>
        <v>0.4245248756984652</v>
      </c>
      <c r="AG217" s="921">
        <f t="shared" si="95"/>
        <v>-1</v>
      </c>
      <c r="AH217" s="176">
        <f t="shared" si="90"/>
        <v>5</v>
      </c>
      <c r="AI217" s="225">
        <f t="shared" si="91"/>
        <v>-0.5754751243015348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20">
        <v>45.164999999999999</v>
      </c>
      <c r="C218" s="390"/>
      <c r="D218" s="393">
        <f t="shared" si="74"/>
        <v>45.954306708463356</v>
      </c>
      <c r="E218" s="385">
        <f t="shared" si="72"/>
        <v>49.854853530116998</v>
      </c>
      <c r="F218" s="385">
        <f t="shared" si="75"/>
        <v>49.965840133085216</v>
      </c>
      <c r="G218" s="110">
        <f t="shared" si="73"/>
        <v>0.90261105430361543</v>
      </c>
      <c r="H218" s="414" t="b">
        <f>Wh_hp&gt;='2019'!Maxi_hp</f>
        <v>0</v>
      </c>
      <c r="I218" s="380">
        <f>IF(H218,Wh_hp,'2019'!Maxi_hp)</f>
        <v>56.297408043792899</v>
      </c>
      <c r="J218" s="85">
        <f>IF(H218,An,'2019'!An_max)</f>
        <v>2018</v>
      </c>
      <c r="K218" s="197">
        <f t="shared" si="76"/>
        <v>44034</v>
      </c>
      <c r="L218" s="147">
        <f>IF(t&lt;Tvie,1-EXP((T0-t)*PertePVj)+'2019'!Pspv,1-EXP((T0-t)*PertePVj)+Pspv)</f>
        <v>1.717590286957793E-2</v>
      </c>
      <c r="M218" s="959"/>
      <c r="N218" s="959"/>
      <c r="O218" s="48">
        <f>IF(t&lt;Tnet,'2019'!Resal+('2019'!Salim-'2019'!Resal)*(1-EXP(('2019'!Tnet-t)/('2019'!Tau_j))),Resal+(Salim-Resal)*(1-EXP((Tnet-t)/(Tau_j))))*Salcycl</f>
        <v>7.8238055985809768E-2</v>
      </c>
      <c r="P218" s="169">
        <f>(INDEX(Models!$BJ218:$BT218,,T218)*(1-R218)+INDEX(Models!$BJ218:$BT218,,T218+1)*R218-ERP_i)*Q218*Ramure*Pc/MaxiM</f>
        <v>2.5788445022749871E-3</v>
      </c>
      <c r="Q218" s="305">
        <f t="shared" si="77"/>
        <v>0.7</v>
      </c>
      <c r="R218" s="177">
        <f t="shared" si="78"/>
        <v>0.42712734545959741</v>
      </c>
      <c r="S218" s="921">
        <f t="shared" si="79"/>
        <v>-1</v>
      </c>
      <c r="T218" s="176">
        <f t="shared" si="80"/>
        <v>5</v>
      </c>
      <c r="U218" s="251">
        <f t="shared" si="81"/>
        <v>-0.57287265454040259</v>
      </c>
      <c r="V218" s="383">
        <f t="shared" si="82"/>
        <v>50.020230814494049</v>
      </c>
      <c r="W218" s="402"/>
      <c r="X218" s="157">
        <f t="shared" si="83"/>
        <v>44034</v>
      </c>
      <c r="Y218" s="385">
        <f t="shared" si="84"/>
        <v>45.164999999999999</v>
      </c>
      <c r="Z218" s="385">
        <f t="shared" si="85"/>
        <v>45.954306708463356</v>
      </c>
      <c r="AA218" s="386">
        <f t="shared" si="86"/>
        <v>49.854853530116998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7.8238055985809768E-2</v>
      </c>
      <c r="AD218" s="231">
        <f>(INDEX(Models!$BJ218:$BT218,,AH218)*(1-AF218)+INDEX(Models!$BJ218:$BT218,,AH218+1)*AF218-ERP_i)*AE218*Ramure*Pc/MaxiM</f>
        <v>2.5788445022749871E-3</v>
      </c>
      <c r="AE218" s="305">
        <f t="shared" si="88"/>
        <v>0.7</v>
      </c>
      <c r="AF218" s="177">
        <f t="shared" si="89"/>
        <v>0.42712734545959741</v>
      </c>
      <c r="AG218" s="921">
        <f t="shared" si="95"/>
        <v>-1</v>
      </c>
      <c r="AH218" s="176">
        <f t="shared" si="90"/>
        <v>5</v>
      </c>
      <c r="AI218" s="225">
        <f t="shared" si="91"/>
        <v>-0.57287265454040259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20">
        <v>44.866999999999997</v>
      </c>
      <c r="C219" s="390"/>
      <c r="D219" s="393">
        <f t="shared" si="74"/>
        <v>45.652098737683126</v>
      </c>
      <c r="E219" s="385">
        <f t="shared" si="72"/>
        <v>49.529418370409033</v>
      </c>
      <c r="F219" s="385">
        <f t="shared" si="75"/>
        <v>49.635762245059325</v>
      </c>
      <c r="G219" s="110">
        <f t="shared" si="73"/>
        <v>0.89835723406645163</v>
      </c>
      <c r="H219" s="414" t="b">
        <f>Wh_hp&gt;='2019'!Maxi_hp</f>
        <v>0</v>
      </c>
      <c r="I219" s="380">
        <f>IF(H219,Wh_hp,'2019'!Maxi_hp)</f>
        <v>53.622135078221874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1.7197429239656725E-2</v>
      </c>
      <c r="M219" s="959"/>
      <c r="N219" s="959"/>
      <c r="O219" s="48">
        <f>IF(t&lt;Tnet,'2019'!Resal+('2019'!Salim-'2019'!Resal)*(1-EXP(('2019'!Tnet-t)/('2019'!Tau_j))),Resal+(Salim-Resal)*(1-EXP((Tnet-t)/(Tau_j))))*Salcycl</f>
        <v>7.8283165042018391E-2</v>
      </c>
      <c r="P219" s="169">
        <f>(INDEX(Models!$BJ219:$BT219,,T219)*(1-R219)+INDEX(Models!$BJ219:$BT219,,T219+1)*R219-ERP_i)*Q219*Ramure*Pc/MaxiM</f>
        <v>2.5050611733439259E-3</v>
      </c>
      <c r="Q219" s="305">
        <f t="shared" si="77"/>
        <v>0.7</v>
      </c>
      <c r="R219" s="177">
        <f t="shared" si="78"/>
        <v>0.42965516950247462</v>
      </c>
      <c r="S219" s="921">
        <f t="shared" si="79"/>
        <v>-1</v>
      </c>
      <c r="T219" s="176">
        <f t="shared" si="80"/>
        <v>5</v>
      </c>
      <c r="U219" s="251">
        <f t="shared" si="81"/>
        <v>-0.57034483049752538</v>
      </c>
      <c r="V219" s="383">
        <f t="shared" si="82"/>
        <v>49.925236492364853</v>
      </c>
      <c r="W219" s="402"/>
      <c r="X219" s="157">
        <f t="shared" si="83"/>
        <v>44035</v>
      </c>
      <c r="Y219" s="385">
        <f t="shared" si="84"/>
        <v>44.866999999999997</v>
      </c>
      <c r="Z219" s="385">
        <f t="shared" si="85"/>
        <v>45.652098737683126</v>
      </c>
      <c r="AA219" s="386">
        <f t="shared" si="86"/>
        <v>49.529418370409033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7.8283165042018391E-2</v>
      </c>
      <c r="AD219" s="231">
        <f>(INDEX(Models!$BJ219:$BT219,,AH219)*(1-AF219)+INDEX(Models!$BJ219:$BT219,,AH219+1)*AF219-ERP_i)*AE219*Ramure*Pc/MaxiM</f>
        <v>2.5050611733439259E-3</v>
      </c>
      <c r="AE219" s="305">
        <f t="shared" si="88"/>
        <v>0.7</v>
      </c>
      <c r="AF219" s="177">
        <f t="shared" si="89"/>
        <v>0.42965516950247462</v>
      </c>
      <c r="AG219" s="921">
        <f t="shared" si="95"/>
        <v>-1</v>
      </c>
      <c r="AH219" s="176">
        <f t="shared" si="90"/>
        <v>5</v>
      </c>
      <c r="AI219" s="225">
        <f t="shared" si="91"/>
        <v>-0.57034483049752538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20">
        <v>49.183</v>
      </c>
      <c r="C220" s="390"/>
      <c r="D220" s="393">
        <f t="shared" si="74"/>
        <v>50.044717749841027</v>
      </c>
      <c r="E220" s="385">
        <f t="shared" si="72"/>
        <v>54.297743668220392</v>
      </c>
      <c r="F220" s="385">
        <f t="shared" si="75"/>
        <v>54.427587484557968</v>
      </c>
      <c r="G220" s="110">
        <f t="shared" si="73"/>
        <v>0.98695839591464574</v>
      </c>
      <c r="H220" s="414" t="b">
        <f>Wh_hp&gt;='2019'!Maxi_hp</f>
        <v>0</v>
      </c>
      <c r="I220" s="380">
        <f>IF(H220,Wh_hp,'2019'!Maxi_hp)</f>
        <v>54.530894378058939</v>
      </c>
      <c r="J220" s="85">
        <f>IF(H220,An,'2019'!An_max)</f>
        <v>2018</v>
      </c>
      <c r="K220" s="197">
        <f t="shared" si="76"/>
        <v>44036</v>
      </c>
      <c r="L220" s="147">
        <f>IF(t&lt;Tvie,1-EXP((T0-t)*PertePVj)+'2019'!Pspv,1-EXP((T0-t)*PertePVj)+Pspv)</f>
        <v>1.7218955138252667E-2</v>
      </c>
      <c r="M220" s="959"/>
      <c r="N220" s="959"/>
      <c r="O220" s="48">
        <f>IF(t&lt;Tnet,'2019'!Resal+('2019'!Salim-'2019'!Resal)*(1-EXP(('2019'!Tnet-t)/('2019'!Tau_j))),Resal+(Salim-Resal)*(1-EXP((Tnet-t)/(Tau_j))))*Salcycl</f>
        <v>7.8327857311474181E-2</v>
      </c>
      <c r="P220" s="169">
        <f>(INDEX(Models!$BJ220:$BT220,,T220)*(1-R220)+INDEX(Models!$BJ220:$BT220,,T220+1)*R220-ERP_i)*Q220*Ramure*Pc/MaxiM</f>
        <v>2.4307571021136704E-3</v>
      </c>
      <c r="Q220" s="305">
        <f t="shared" si="77"/>
        <v>0.7</v>
      </c>
      <c r="R220" s="177">
        <f t="shared" si="78"/>
        <v>0.43210947048960957</v>
      </c>
      <c r="S220" s="921">
        <f t="shared" si="79"/>
        <v>-1</v>
      </c>
      <c r="T220" s="176">
        <f t="shared" si="80"/>
        <v>5</v>
      </c>
      <c r="U220" s="251">
        <f t="shared" si="81"/>
        <v>-0.56789052951039043</v>
      </c>
      <c r="V220" s="383">
        <f t="shared" si="82"/>
        <v>49.830646525682397</v>
      </c>
      <c r="W220" s="402"/>
      <c r="X220" s="157">
        <f t="shared" si="83"/>
        <v>44036</v>
      </c>
      <c r="Y220" s="385">
        <f t="shared" si="84"/>
        <v>49.183</v>
      </c>
      <c r="Z220" s="385">
        <f t="shared" si="85"/>
        <v>50.044717749841027</v>
      </c>
      <c r="AA220" s="386">
        <f t="shared" si="86"/>
        <v>54.297743668220392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7.8327857311474181E-2</v>
      </c>
      <c r="AD220" s="231">
        <f>(INDEX(Models!$BJ220:$BT220,,AH220)*(1-AF220)+INDEX(Models!$BJ220:$BT220,,AH220+1)*AF220-ERP_i)*AE220*Ramure*Pc/MaxiM</f>
        <v>2.4307571021136704E-3</v>
      </c>
      <c r="AE220" s="305">
        <f t="shared" si="88"/>
        <v>0.7</v>
      </c>
      <c r="AF220" s="177">
        <f t="shared" si="89"/>
        <v>0.43210947048960957</v>
      </c>
      <c r="AG220" s="921">
        <f t="shared" si="95"/>
        <v>-1</v>
      </c>
      <c r="AH220" s="176">
        <f t="shared" si="90"/>
        <v>5</v>
      </c>
      <c r="AI220" s="225">
        <f t="shared" si="91"/>
        <v>-0.56789052951039043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20">
        <v>49.463999999999999</v>
      </c>
      <c r="C221" s="390"/>
      <c r="D221" s="393">
        <f t="shared" si="74"/>
        <v>50.331743444679496</v>
      </c>
      <c r="E221" s="385">
        <f t="shared" si="72"/>
        <v>54.611787092952405</v>
      </c>
      <c r="F221" s="385">
        <f t="shared" si="75"/>
        <v>54.739727703954557</v>
      </c>
      <c r="G221" s="110">
        <f t="shared" si="73"/>
        <v>0.99450526693500252</v>
      </c>
      <c r="H221" s="414" t="b">
        <f>Wh_hp&gt;='2019'!Maxi_hp</f>
        <v>1</v>
      </c>
      <c r="I221" s="380">
        <f>IF(H221,Wh_hp,'2019'!Maxi_hp)</f>
        <v>54.739727703954557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1.7240480565376193E-2</v>
      </c>
      <c r="M221" s="959"/>
      <c r="N221" s="959"/>
      <c r="O221" s="48">
        <f>IF(t&lt;Tnet,'2019'!Resal+('2019'!Salim-'2019'!Resal)*(1-EXP(('2019'!Tnet-t)/('2019'!Tau_j))),Resal+(Salim-Resal)*(1-EXP((Tnet-t)/(Tau_j))))*Salcycl</f>
        <v>7.8372158761038591E-2</v>
      </c>
      <c r="P221" s="169">
        <f>(INDEX(Models!$BJ221:$BT221,,T221)*(1-R221)+INDEX(Models!$BJ221:$BT221,,T221+1)*R221-ERP_i)*Q221*Ramure*Pc/MaxiM</f>
        <v>2.3556827190940803E-3</v>
      </c>
      <c r="Q221" s="305">
        <f t="shared" si="77"/>
        <v>0.7</v>
      </c>
      <c r="R221" s="177">
        <f t="shared" si="78"/>
        <v>0.43449142726746848</v>
      </c>
      <c r="S221" s="921">
        <f t="shared" si="79"/>
        <v>-1</v>
      </c>
      <c r="T221" s="176">
        <f t="shared" si="80"/>
        <v>5</v>
      </c>
      <c r="U221" s="251">
        <f t="shared" si="81"/>
        <v>-0.56550857273253152</v>
      </c>
      <c r="V221" s="383">
        <f t="shared" si="82"/>
        <v>49.736374374021942</v>
      </c>
      <c r="W221" s="402"/>
      <c r="X221" s="157">
        <f t="shared" si="83"/>
        <v>44037</v>
      </c>
      <c r="Y221" s="385">
        <f t="shared" si="84"/>
        <v>49.463999999999999</v>
      </c>
      <c r="Z221" s="385">
        <f t="shared" si="85"/>
        <v>50.331743444679496</v>
      </c>
      <c r="AA221" s="386">
        <f t="shared" si="86"/>
        <v>54.611787092952405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7.8372158761038591E-2</v>
      </c>
      <c r="AD221" s="231">
        <f>(INDEX(Models!$BJ221:$BT221,,AH221)*(1-AF221)+INDEX(Models!$BJ221:$BT221,,AH221+1)*AF221-ERP_i)*AE221*Ramure*Pc/MaxiM</f>
        <v>2.3556827190940803E-3</v>
      </c>
      <c r="AE221" s="305">
        <f t="shared" si="88"/>
        <v>0.7</v>
      </c>
      <c r="AF221" s="177">
        <f t="shared" si="89"/>
        <v>0.43449142726746848</v>
      </c>
      <c r="AG221" s="921">
        <f t="shared" si="95"/>
        <v>-1</v>
      </c>
      <c r="AH221" s="176">
        <f t="shared" si="90"/>
        <v>5</v>
      </c>
      <c r="AI221" s="225">
        <f t="shared" si="91"/>
        <v>-0.56550857273253152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20">
        <v>39.548000000000002</v>
      </c>
      <c r="C222" s="390"/>
      <c r="D222" s="393">
        <f t="shared" si="74"/>
        <v>40.242669177523709</v>
      </c>
      <c r="E222" s="385">
        <f t="shared" si="72"/>
        <v>43.666853224660564</v>
      </c>
      <c r="F222" s="385">
        <f t="shared" si="75"/>
        <v>43.737602742818794</v>
      </c>
      <c r="G222" s="110">
        <f t="shared" si="73"/>
        <v>0.7961305217392336</v>
      </c>
      <c r="H222" s="414" t="b">
        <f>Wh_hp&gt;='2019'!Maxi_hp</f>
        <v>0</v>
      </c>
      <c r="I222" s="380">
        <f>IF(H222,Wh_hp,'2019'!Maxi_hp)</f>
        <v>50.176872336007754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1.7262005521037627E-2</v>
      </c>
      <c r="M222" s="959"/>
      <c r="N222" s="959"/>
      <c r="O222" s="48">
        <f>IF(t&lt;Tnet,'2019'!Resal+('2019'!Salim-'2019'!Resal)*(1-EXP(('2019'!Tnet-t)/('2019'!Tau_j))),Resal+(Salim-Resal)*(1-EXP((Tnet-t)/(Tau_j))))*Salcycl</f>
        <v>7.8416093541704285E-2</v>
      </c>
      <c r="P222" s="169">
        <f>(INDEX(Models!$BJ222:$BT222,,T222)*(1-R222)+INDEX(Models!$BJ222:$BT222,,T222+1)*R222-ERP_i)*Q222*Ramure*Pc/MaxiM</f>
        <v>2.2798604170513165E-3</v>
      </c>
      <c r="Q222" s="305">
        <f t="shared" si="77"/>
        <v>0.7</v>
      </c>
      <c r="R222" s="177">
        <f t="shared" si="78"/>
        <v>0.43680226877243444</v>
      </c>
      <c r="S222" s="921">
        <f t="shared" si="79"/>
        <v>-1</v>
      </c>
      <c r="T222" s="176">
        <f t="shared" si="80"/>
        <v>5</v>
      </c>
      <c r="U222" s="251">
        <f t="shared" si="81"/>
        <v>-0.56319773122756556</v>
      </c>
      <c r="V222" s="383">
        <f t="shared" si="82"/>
        <v>49.642319975314756</v>
      </c>
      <c r="W222" s="402"/>
      <c r="X222" s="157">
        <f t="shared" si="83"/>
        <v>44038</v>
      </c>
      <c r="Y222" s="385">
        <f t="shared" si="84"/>
        <v>39.548000000000002</v>
      </c>
      <c r="Z222" s="385">
        <f t="shared" si="85"/>
        <v>40.242669177523709</v>
      </c>
      <c r="AA222" s="386">
        <f t="shared" si="86"/>
        <v>43.666853224660564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7.8416093541704285E-2</v>
      </c>
      <c r="AD222" s="231">
        <f>(INDEX(Models!$BJ222:$BT222,,AH222)*(1-AF222)+INDEX(Models!$BJ222:$BT222,,AH222+1)*AF222-ERP_i)*AE222*Ramure*Pc/MaxiM</f>
        <v>2.2798604170513165E-3</v>
      </c>
      <c r="AE222" s="305">
        <f t="shared" si="88"/>
        <v>0.7</v>
      </c>
      <c r="AF222" s="177">
        <f t="shared" si="89"/>
        <v>0.43680226877243444</v>
      </c>
      <c r="AG222" s="921">
        <f t="shared" si="95"/>
        <v>-1</v>
      </c>
      <c r="AH222" s="176">
        <f t="shared" si="90"/>
        <v>5</v>
      </c>
      <c r="AI222" s="225">
        <f t="shared" si="91"/>
        <v>-0.56319773122756556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20">
        <v>47.476999999999997</v>
      </c>
      <c r="C223" s="390"/>
      <c r="D223" s="393">
        <f t="shared" si="74"/>
        <v>48.312001935058142</v>
      </c>
      <c r="E223" s="385">
        <f t="shared" si="72"/>
        <v>52.425272224361549</v>
      </c>
      <c r="F223" s="385">
        <f t="shared" si="75"/>
        <v>52.534108463708804</v>
      </c>
      <c r="G223" s="110">
        <f t="shared" si="73"/>
        <v>0.95806838518998405</v>
      </c>
      <c r="H223" s="414" t="b">
        <f>Wh_hp&gt;='2019'!Maxi_hp</f>
        <v>1</v>
      </c>
      <c r="I223" s="380">
        <f>IF(H223,Wh_hp,'2019'!Maxi_hp)</f>
        <v>52.534108463708804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1.7283530005247294E-2</v>
      </c>
      <c r="M223" s="959"/>
      <c r="N223" s="959"/>
      <c r="O223" s="48">
        <f>IF(t&lt;Tnet,'2019'!Resal+('2019'!Salim-'2019'!Resal)*(1-EXP(('2019'!Tnet-t)/('2019'!Tau_j))),Resal+(Salim-Resal)*(1-EXP((Tnet-t)/(Tau_j))))*Salcycl</f>
        <v>7.8459683942127559E-2</v>
      </c>
      <c r="P223" s="169">
        <f>(INDEX(Models!$BJ223:$BT223,,T223)*(1-R223)+INDEX(Models!$BJ223:$BT223,,T223+1)*R223-ERP_i)*Q223*Ramure*Pc/MaxiM</f>
        <v>2.2033109806640829E-3</v>
      </c>
      <c r="Q223" s="305">
        <f t="shared" si="77"/>
        <v>0.7</v>
      </c>
      <c r="R223" s="177">
        <f t="shared" si="78"/>
        <v>0.43904326815901595</v>
      </c>
      <c r="S223" s="921">
        <f t="shared" si="79"/>
        <v>-1</v>
      </c>
      <c r="T223" s="176">
        <f t="shared" si="80"/>
        <v>5</v>
      </c>
      <c r="U223" s="251">
        <f t="shared" si="81"/>
        <v>-0.56095673184098405</v>
      </c>
      <c r="V223" s="383">
        <f t="shared" si="82"/>
        <v>49.548383464949879</v>
      </c>
      <c r="W223" s="402"/>
      <c r="X223" s="157">
        <f t="shared" si="83"/>
        <v>44039</v>
      </c>
      <c r="Y223" s="385">
        <f t="shared" si="84"/>
        <v>47.476999999999997</v>
      </c>
      <c r="Z223" s="385">
        <f t="shared" si="85"/>
        <v>48.312001935058142</v>
      </c>
      <c r="AA223" s="386">
        <f t="shared" si="86"/>
        <v>52.425272224361549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7.8459683942127559E-2</v>
      </c>
      <c r="AD223" s="231">
        <f>(INDEX(Models!$BJ223:$BT223,,AH223)*(1-AF223)+INDEX(Models!$BJ223:$BT223,,AH223+1)*AF223-ERP_i)*AE223*Ramure*Pc/MaxiM</f>
        <v>2.2033109806640829E-3</v>
      </c>
      <c r="AE223" s="305">
        <f t="shared" si="88"/>
        <v>0.7</v>
      </c>
      <c r="AF223" s="177">
        <f t="shared" si="89"/>
        <v>0.43904326815901595</v>
      </c>
      <c r="AG223" s="921">
        <f t="shared" si="95"/>
        <v>-1</v>
      </c>
      <c r="AH223" s="176">
        <f t="shared" si="90"/>
        <v>5</v>
      </c>
      <c r="AI223" s="225">
        <f t="shared" si="91"/>
        <v>-0.56095673184098405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20">
        <v>30.087</v>
      </c>
      <c r="C224" s="390"/>
      <c r="D224" s="393">
        <f t="shared" si="74"/>
        <v>30.616825824757601</v>
      </c>
      <c r="E224" s="385">
        <f t="shared" si="72"/>
        <v>33.225093706634567</v>
      </c>
      <c r="F224" s="385">
        <f t="shared" si="75"/>
        <v>33.256241872744368</v>
      </c>
      <c r="G224" s="110">
        <f t="shared" si="73"/>
        <v>0.60765351700764902</v>
      </c>
      <c r="H224" s="414" t="b">
        <f>Wh_hp&gt;='2019'!Maxi_hp</f>
        <v>0</v>
      </c>
      <c r="I224" s="380">
        <f>IF(H224,Wh_hp,'2019'!Maxi_hp)</f>
        <v>55.721551124095164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1.730505401801552E-2</v>
      </c>
      <c r="M224" s="959"/>
      <c r="N224" s="959"/>
      <c r="O224" s="48">
        <f>IF(t&lt;Tnet,'2019'!Resal+('2019'!Salim-'2019'!Resal)*(1-EXP(('2019'!Tnet-t)/('2019'!Tau_j))),Resal+(Salim-Resal)*(1-EXP((Tnet-t)/(Tau_j))))*Salcycl</f>
        <v>7.8502950357552601E-2</v>
      </c>
      <c r="P224" s="169">
        <f>(INDEX(Models!$BJ224:$BT224,,T224)*(1-R224)+INDEX(Models!$BJ224:$BT224,,T224+1)*R224-ERP_i)*Q224*Ramure*Pc/MaxiM</f>
        <v>2.1260536021029557E-3</v>
      </c>
      <c r="Q224" s="305">
        <f t="shared" si="77"/>
        <v>0.7</v>
      </c>
      <c r="R224" s="177">
        <f t="shared" si="78"/>
        <v>0.44121573716304929</v>
      </c>
      <c r="S224" s="921">
        <f t="shared" si="79"/>
        <v>-1</v>
      </c>
      <c r="T224" s="176">
        <f t="shared" si="80"/>
        <v>5</v>
      </c>
      <c r="U224" s="251">
        <f t="shared" si="81"/>
        <v>-0.55878426283695071</v>
      </c>
      <c r="V224" s="383">
        <f t="shared" si="82"/>
        <v>49.454465173634389</v>
      </c>
      <c r="W224" s="402"/>
      <c r="X224" s="157">
        <f t="shared" si="83"/>
        <v>44040</v>
      </c>
      <c r="Y224" s="385">
        <f t="shared" si="84"/>
        <v>30.087</v>
      </c>
      <c r="Z224" s="385">
        <f t="shared" si="85"/>
        <v>30.616825824757601</v>
      </c>
      <c r="AA224" s="386">
        <f t="shared" si="86"/>
        <v>33.225093706634567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7.8502950357552601E-2</v>
      </c>
      <c r="AD224" s="231">
        <f>(INDEX(Models!$BJ224:$BT224,,AH224)*(1-AF224)+INDEX(Models!$BJ224:$BT224,,AH224+1)*AF224-ERP_i)*AE224*Ramure*Pc/MaxiM</f>
        <v>2.1260536021029557E-3</v>
      </c>
      <c r="AE224" s="305">
        <f t="shared" si="88"/>
        <v>0.7</v>
      </c>
      <c r="AF224" s="177">
        <f t="shared" si="89"/>
        <v>0.44121573716304929</v>
      </c>
      <c r="AG224" s="921">
        <f t="shared" si="95"/>
        <v>-1</v>
      </c>
      <c r="AH224" s="176">
        <f t="shared" si="90"/>
        <v>5</v>
      </c>
      <c r="AI224" s="225">
        <f t="shared" si="91"/>
        <v>-0.55878426283695071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20">
        <v>43.015000000000001</v>
      </c>
      <c r="C225" s="390"/>
      <c r="D225" s="393">
        <f t="shared" si="74"/>
        <v>43.773443972021205</v>
      </c>
      <c r="E225" s="385">
        <f t="shared" si="72"/>
        <v>47.504747667381793</v>
      </c>
      <c r="F225" s="385">
        <f t="shared" si="75"/>
        <v>47.584307456397582</v>
      </c>
      <c r="G225" s="110">
        <f t="shared" si="73"/>
        <v>0.87111807199692859</v>
      </c>
      <c r="H225" s="414" t="b">
        <f>Wh_hp&gt;='2019'!Maxi_hp</f>
        <v>0</v>
      </c>
      <c r="I225" s="380">
        <f>IF(H225,Wh_hp,'2019'!Maxi_hp)</f>
        <v>53.533900381500366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1.7326577559352629E-2</v>
      </c>
      <c r="M225" s="959"/>
      <c r="N225" s="959"/>
      <c r="O225" s="48">
        <f>IF(t&lt;Tnet,'2019'!Resal+('2019'!Salim-'2019'!Resal)*(1-EXP(('2019'!Tnet-t)/('2019'!Tau_j))),Resal+(Salim-Resal)*(1-EXP((Tnet-t)/(Tau_j))))*Salcycl</f>
        <v>7.8545911273676994E-2</v>
      </c>
      <c r="P225" s="169">
        <f>(INDEX(Models!$BJ225:$BT225,,T225)*(1-R225)+INDEX(Models!$BJ225:$BT225,,T225+1)*R225-ERP_i)*Q225*Ramure*Pc/MaxiM</f>
        <v>2.0481059054428975E-3</v>
      </c>
      <c r="Q225" s="305">
        <f t="shared" si="77"/>
        <v>0.7</v>
      </c>
      <c r="R225" s="177">
        <f t="shared" si="78"/>
        <v>0.44332102070993173</v>
      </c>
      <c r="S225" s="921">
        <f t="shared" si="79"/>
        <v>-1</v>
      </c>
      <c r="T225" s="176">
        <f t="shared" si="80"/>
        <v>5</v>
      </c>
      <c r="U225" s="251">
        <f t="shared" si="81"/>
        <v>-0.55667897929006827</v>
      </c>
      <c r="V225" s="383">
        <f t="shared" si="82"/>
        <v>49.360465624226627</v>
      </c>
      <c r="W225" s="402"/>
      <c r="X225" s="157">
        <f t="shared" si="83"/>
        <v>44041</v>
      </c>
      <c r="Y225" s="385">
        <f t="shared" si="84"/>
        <v>43.015000000000001</v>
      </c>
      <c r="Z225" s="385">
        <f t="shared" si="85"/>
        <v>43.773443972021205</v>
      </c>
      <c r="AA225" s="386">
        <f t="shared" si="86"/>
        <v>47.504747667381793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7.8545911273676994E-2</v>
      </c>
      <c r="AD225" s="231">
        <f>(INDEX(Models!$BJ225:$BT225,,AH225)*(1-AF225)+INDEX(Models!$BJ225:$BT225,,AH225+1)*AF225-ERP_i)*AE225*Ramure*Pc/MaxiM</f>
        <v>2.0481059054428975E-3</v>
      </c>
      <c r="AE225" s="305">
        <f t="shared" si="88"/>
        <v>0.7</v>
      </c>
      <c r="AF225" s="177">
        <f t="shared" si="89"/>
        <v>0.44332102070993173</v>
      </c>
      <c r="AG225" s="921">
        <f t="shared" si="95"/>
        <v>-1</v>
      </c>
      <c r="AH225" s="176">
        <f t="shared" si="90"/>
        <v>5</v>
      </c>
      <c r="AI225" s="225">
        <f t="shared" si="91"/>
        <v>-0.55667897929006827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20">
        <v>47.421999999999997</v>
      </c>
      <c r="C226" s="390"/>
      <c r="D226" s="393">
        <f t="shared" si="74"/>
        <v>48.259205554243593</v>
      </c>
      <c r="E226" s="385">
        <f t="shared" si="72"/>
        <v>52.375306706359517</v>
      </c>
      <c r="F226" s="385">
        <f t="shared" si="75"/>
        <v>52.473167307668568</v>
      </c>
      <c r="G226" s="110">
        <f t="shared" si="73"/>
        <v>0.96246416214515074</v>
      </c>
      <c r="H226" s="414" t="b">
        <f>Wh_hp&gt;='2019'!Maxi_hp</f>
        <v>0</v>
      </c>
      <c r="I226" s="380">
        <f>IF(H226,Wh_hp,'2019'!Maxi_hp)</f>
        <v>54.478591093372515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1.7348100629268948E-2</v>
      </c>
      <c r="M226" s="959"/>
      <c r="N226" s="959"/>
      <c r="O226" s="48">
        <f>IF(t&lt;Tnet,'2019'!Resal+('2019'!Salim-'2019'!Resal)*(1-EXP(('2019'!Tnet-t)/('2019'!Tau_j))),Resal+(Salim-Resal)*(1-EXP((Tnet-t)/(Tau_j))))*Salcycl</f>
        <v>7.8588583264871559E-2</v>
      </c>
      <c r="P226" s="169">
        <f>(INDEX(Models!$BJ226:$BT226,,T226)*(1-R226)+INDEX(Models!$BJ226:$BT226,,T226+1)*R226-ERP_i)*Q226*Ramure*Pc/MaxiM</f>
        <v>1.9703330481853822E-3</v>
      </c>
      <c r="Q226" s="305">
        <f t="shared" si="77"/>
        <v>0.7</v>
      </c>
      <c r="R226" s="177">
        <f t="shared" si="78"/>
        <v>0.44536049177540482</v>
      </c>
      <c r="S226" s="921">
        <f t="shared" si="79"/>
        <v>-1</v>
      </c>
      <c r="T226" s="176">
        <f t="shared" si="80"/>
        <v>5</v>
      </c>
      <c r="U226" s="251">
        <f t="shared" si="81"/>
        <v>-0.55463950822459518</v>
      </c>
      <c r="V226" s="383">
        <f t="shared" si="82"/>
        <v>49.266243614920072</v>
      </c>
      <c r="W226" s="402"/>
      <c r="X226" s="157">
        <f t="shared" si="83"/>
        <v>44042</v>
      </c>
      <c r="Y226" s="385">
        <f t="shared" si="84"/>
        <v>47.421999999999997</v>
      </c>
      <c r="Z226" s="385">
        <f t="shared" si="85"/>
        <v>48.259205554243593</v>
      </c>
      <c r="AA226" s="386">
        <f t="shared" si="86"/>
        <v>52.375306706359517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7.8588583264871559E-2</v>
      </c>
      <c r="AD226" s="231">
        <f>(INDEX(Models!$BJ226:$BT226,,AH226)*(1-AF226)+INDEX(Models!$BJ226:$BT226,,AH226+1)*AF226-ERP_i)*AE226*Ramure*Pc/MaxiM</f>
        <v>1.9703330481853822E-3</v>
      </c>
      <c r="AE226" s="305">
        <f t="shared" si="88"/>
        <v>0.7</v>
      </c>
      <c r="AF226" s="177">
        <f t="shared" si="89"/>
        <v>0.44536049177540482</v>
      </c>
      <c r="AG226" s="921">
        <f t="shared" si="95"/>
        <v>-1</v>
      </c>
      <c r="AH226" s="176">
        <f t="shared" si="90"/>
        <v>5</v>
      </c>
      <c r="AI226" s="225">
        <f t="shared" si="91"/>
        <v>-0.55463950822459518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20">
        <v>46.23</v>
      </c>
      <c r="C227" s="390"/>
      <c r="D227" s="393">
        <f t="shared" si="74"/>
        <v>47.047191998946481</v>
      </c>
      <c r="E227" s="385">
        <f t="shared" si="72"/>
        <v>51.062268243311522</v>
      </c>
      <c r="F227" s="385">
        <f t="shared" si="75"/>
        <v>51.150817979647158</v>
      </c>
      <c r="G227" s="110">
        <f t="shared" si="73"/>
        <v>0.940022737039513</v>
      </c>
      <c r="H227" s="414" t="b">
        <f>Wh_hp&gt;='2019'!Maxi_hp</f>
        <v>0</v>
      </c>
      <c r="I227" s="380">
        <f>IF(H227,Wh_hp,'2019'!Maxi_hp)</f>
        <v>52.564784252265206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1.73696232277748E-2</v>
      </c>
      <c r="M227" s="959"/>
      <c r="N227" s="959"/>
      <c r="O227" s="48">
        <f>IF(t&lt;Tnet,'2019'!Resal+('2019'!Salim-'2019'!Resal)*(1-EXP(('2019'!Tnet-t)/('2019'!Tau_j))),Resal+(Salim-Resal)*(1-EXP((Tnet-t)/(Tau_j))))*Salcycl</f>
        <v>7.8630981006037937E-2</v>
      </c>
      <c r="P227" s="169">
        <f>(INDEX(Models!$BJ227:$BT227,,T227)*(1-R227)+INDEX(Models!$BJ227:$BT227,,T227+1)*R227-ERP_i)*Q227*Ramure*Pc/MaxiM</f>
        <v>1.8929273724438483E-3</v>
      </c>
      <c r="Q227" s="305">
        <f t="shared" si="77"/>
        <v>0.7</v>
      </c>
      <c r="R227" s="177">
        <f t="shared" si="78"/>
        <v>0.44733554650407403</v>
      </c>
      <c r="S227" s="921">
        <f t="shared" si="79"/>
        <v>-1</v>
      </c>
      <c r="T227" s="176">
        <f t="shared" si="80"/>
        <v>5</v>
      </c>
      <c r="U227" s="251">
        <f t="shared" si="81"/>
        <v>-0.55266445349592597</v>
      </c>
      <c r="V227" s="383">
        <f t="shared" si="82"/>
        <v>49.171691533734524</v>
      </c>
      <c r="W227" s="402"/>
      <c r="X227" s="157">
        <f t="shared" si="83"/>
        <v>44043</v>
      </c>
      <c r="Y227" s="385">
        <f t="shared" si="84"/>
        <v>46.23</v>
      </c>
      <c r="Z227" s="385">
        <f t="shared" si="85"/>
        <v>47.047191998946481</v>
      </c>
      <c r="AA227" s="386">
        <f t="shared" si="86"/>
        <v>51.062268243311522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7.8630981006037937E-2</v>
      </c>
      <c r="AD227" s="231">
        <f>(INDEX(Models!$BJ227:$BT227,,AH227)*(1-AF227)+INDEX(Models!$BJ227:$BT227,,AH227+1)*AF227-ERP_i)*AE227*Ramure*Pc/MaxiM</f>
        <v>1.8929273724438483E-3</v>
      </c>
      <c r="AE227" s="305">
        <f t="shared" si="88"/>
        <v>0.7</v>
      </c>
      <c r="AF227" s="177">
        <f t="shared" si="89"/>
        <v>0.44733554650407403</v>
      </c>
      <c r="AG227" s="921">
        <f t="shared" si="95"/>
        <v>-1</v>
      </c>
      <c r="AH227" s="176">
        <f t="shared" si="90"/>
        <v>5</v>
      </c>
      <c r="AI227" s="225">
        <f t="shared" si="91"/>
        <v>-0.55266445349592597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20">
        <v>38.340000000000003</v>
      </c>
      <c r="C228" s="390"/>
      <c r="D228" s="393">
        <f t="shared" si="74"/>
        <v>39.018577757318226</v>
      </c>
      <c r="E228" s="385">
        <f t="shared" si="72"/>
        <v>42.350417088510902</v>
      </c>
      <c r="F228" s="385">
        <f t="shared" si="75"/>
        <v>42.40335246731167</v>
      </c>
      <c r="G228" s="110">
        <f t="shared" si="73"/>
        <v>0.78078203103715704</v>
      </c>
      <c r="H228" s="414" t="b">
        <f>Wh_hp&gt;='2019'!Maxi_hp</f>
        <v>0</v>
      </c>
      <c r="I228" s="380">
        <f>IF(H228,Wh_hp,'2019'!Maxi_hp)</f>
        <v>52.775979801874328</v>
      </c>
      <c r="J228" s="85">
        <f>IF(H228,An,'2019'!An_max)</f>
        <v>2018</v>
      </c>
      <c r="K228" s="197">
        <f t="shared" si="76"/>
        <v>44044</v>
      </c>
      <c r="L228" s="147">
        <f>IF(t&lt;Tvie,1-EXP((T0-t)*PertePVj)+'2019'!Pspv,1-EXP((T0-t)*PertePVj)+Pspv)</f>
        <v>1.73911453548804E-2</v>
      </c>
      <c r="M228" s="959"/>
      <c r="N228" s="959"/>
      <c r="O228" s="48">
        <f>IF(t&lt;Tnet,'2019'!Resal+('2019'!Salim-'2019'!Resal)*(1-EXP(('2019'!Tnet-t)/('2019'!Tau_j))),Resal+(Salim-Resal)*(1-EXP((Tnet-t)/(Tau_j))))*Salcycl</f>
        <v>7.8673117297268738E-2</v>
      </c>
      <c r="P228" s="169">
        <f>(INDEX(Models!$BJ228:$BT228,,T228)*(1-R228)+INDEX(Models!$BJ228:$BT228,,T228+1)*R228-ERP_i)*Q228*Ramure*Pc/MaxiM</f>
        <v>1.8159121121565014E-3</v>
      </c>
      <c r="Q228" s="305">
        <f t="shared" si="77"/>
        <v>0.7</v>
      </c>
      <c r="R228" s="177">
        <f t="shared" si="78"/>
        <v>0.44924759958871086</v>
      </c>
      <c r="S228" s="921">
        <f t="shared" si="79"/>
        <v>-1</v>
      </c>
      <c r="T228" s="176">
        <f t="shared" si="80"/>
        <v>5</v>
      </c>
      <c r="U228" s="251">
        <f t="shared" si="81"/>
        <v>-0.55075240041128914</v>
      </c>
      <c r="V228" s="383">
        <f t="shared" si="82"/>
        <v>49.076710260808682</v>
      </c>
      <c r="W228" s="402"/>
      <c r="X228" s="157">
        <f t="shared" si="83"/>
        <v>44044</v>
      </c>
      <c r="Y228" s="385">
        <f t="shared" si="84"/>
        <v>38.340000000000003</v>
      </c>
      <c r="Z228" s="385">
        <f t="shared" si="85"/>
        <v>39.018577757318226</v>
      </c>
      <c r="AA228" s="386">
        <f t="shared" si="86"/>
        <v>42.350417088510902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7.8673117297268738E-2</v>
      </c>
      <c r="AD228" s="231">
        <f>(INDEX(Models!$BJ228:$BT228,,AH228)*(1-AF228)+INDEX(Models!$BJ228:$BT228,,AH228+1)*AF228-ERP_i)*AE228*Ramure*Pc/MaxiM</f>
        <v>1.8159121121565014E-3</v>
      </c>
      <c r="AE228" s="305">
        <f t="shared" si="88"/>
        <v>0.7</v>
      </c>
      <c r="AF228" s="177">
        <f t="shared" si="89"/>
        <v>0.44924759958871086</v>
      </c>
      <c r="AG228" s="921">
        <f t="shared" si="95"/>
        <v>-1</v>
      </c>
      <c r="AH228" s="176">
        <f t="shared" si="90"/>
        <v>5</v>
      </c>
      <c r="AI228" s="225">
        <f t="shared" si="91"/>
        <v>-0.55075240041128914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20">
        <v>31.388000000000002</v>
      </c>
      <c r="C229" s="390"/>
      <c r="D229" s="393">
        <f t="shared" si="74"/>
        <v>31.944234315036191</v>
      </c>
      <c r="E229" s="385">
        <f t="shared" si="72"/>
        <v>34.673564013890299</v>
      </c>
      <c r="F229" s="385">
        <f t="shared" si="75"/>
        <v>34.702951788117268</v>
      </c>
      <c r="G229" s="110">
        <f t="shared" si="73"/>
        <v>0.64024488629125909</v>
      </c>
      <c r="H229" s="414" t="b">
        <f>Wh_hp&gt;='2019'!Maxi_hp</f>
        <v>0</v>
      </c>
      <c r="I229" s="380">
        <f>IF(H229,Wh_hp,'2019'!Maxi_hp)</f>
        <v>53.74274506897126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1.7412667010596294E-2</v>
      </c>
      <c r="M229" s="959"/>
      <c r="N229" s="959"/>
      <c r="O229" s="48">
        <f>IF(t&lt;Tnet,'2019'!Resal+('2019'!Salim-'2019'!Resal)*(1-EXP(('2019'!Tnet-t)/('2019'!Tau_j))),Resal+(Salim-Resal)*(1-EXP((Tnet-t)/(Tau_j))))*Salcycl</f>
        <v>7.8715003100365874E-2</v>
      </c>
      <c r="P229" s="169">
        <f>(INDEX(Models!$BJ229:$BT229,,T229)*(1-R229)+INDEX(Models!$BJ229:$BT229,,T229+1)*R229-ERP_i)*Q229*Ramure*Pc/MaxiM</f>
        <v>1.7393088604873914E-3</v>
      </c>
      <c r="Q229" s="305">
        <f t="shared" si="77"/>
        <v>0.7</v>
      </c>
      <c r="R229" s="177">
        <f t="shared" si="78"/>
        <v>0.4510980799114338</v>
      </c>
      <c r="S229" s="921">
        <f t="shared" si="79"/>
        <v>-1</v>
      </c>
      <c r="T229" s="176">
        <f t="shared" si="80"/>
        <v>5</v>
      </c>
      <c r="U229" s="251">
        <f t="shared" si="81"/>
        <v>-0.5489019200885662</v>
      </c>
      <c r="V229" s="383">
        <f t="shared" si="82"/>
        <v>48.98120086541384</v>
      </c>
      <c r="W229" s="402"/>
      <c r="X229" s="157">
        <f t="shared" si="83"/>
        <v>44045</v>
      </c>
      <c r="Y229" s="385">
        <f t="shared" si="84"/>
        <v>31.388000000000002</v>
      </c>
      <c r="Z229" s="385">
        <f t="shared" si="85"/>
        <v>31.944234315036191</v>
      </c>
      <c r="AA229" s="386">
        <f t="shared" si="86"/>
        <v>34.673564013890299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7.8715003100365874E-2</v>
      </c>
      <c r="AD229" s="231">
        <f>(INDEX(Models!$BJ229:$BT229,,AH229)*(1-AF229)+INDEX(Models!$BJ229:$BT229,,AH229+1)*AF229-ERP_i)*AE229*Ramure*Pc/MaxiM</f>
        <v>1.7393088604873914E-3</v>
      </c>
      <c r="AE229" s="305">
        <f t="shared" si="88"/>
        <v>0.7</v>
      </c>
      <c r="AF229" s="177">
        <f t="shared" si="89"/>
        <v>0.4510980799114338</v>
      </c>
      <c r="AG229" s="921">
        <f t="shared" si="95"/>
        <v>-1</v>
      </c>
      <c r="AH229" s="176">
        <f t="shared" si="90"/>
        <v>5</v>
      </c>
      <c r="AI229" s="225">
        <f t="shared" si="91"/>
        <v>-0.5489019200885662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20">
        <v>42.819000000000003</v>
      </c>
      <c r="C230" s="390"/>
      <c r="D230" s="393">
        <f t="shared" si="74"/>
        <v>43.578760308520614</v>
      </c>
      <c r="E230" s="385">
        <f t="shared" si="72"/>
        <v>47.304287400648718</v>
      </c>
      <c r="F230" s="385">
        <f t="shared" si="75"/>
        <v>47.369103250802318</v>
      </c>
      <c r="G230" s="110">
        <f t="shared" si="73"/>
        <v>0.87565310671934027</v>
      </c>
      <c r="H230" s="414" t="b">
        <f>Wh_hp&gt;='2019'!Maxi_hp</f>
        <v>0</v>
      </c>
      <c r="I230" s="380">
        <f>IF(H230,Wh_hp,'2019'!Maxi_hp)</f>
        <v>52.072907124529117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1.7434188194932698E-2</v>
      </c>
      <c r="M230" s="959"/>
      <c r="N230" s="959"/>
      <c r="O230" s="48">
        <f>IF(t&lt;Tnet,'2019'!Resal+('2019'!Salim-'2019'!Resal)*(1-EXP(('2019'!Tnet-t)/('2019'!Tau_j))),Resal+(Salim-Resal)*(1-EXP((Tnet-t)/(Tau_j))))*Salcycl</f>
        <v>7.8756647586176606E-2</v>
      </c>
      <c r="P230" s="169">
        <f>(INDEX(Models!$BJ230:$BT230,,T230)*(1-R230)+INDEX(Models!$BJ230:$BT230,,T230+1)*R230-ERP_i)*Q230*Ramure*Pc/MaxiM</f>
        <v>1.6631376594670624E-3</v>
      </c>
      <c r="Q230" s="305">
        <f t="shared" si="77"/>
        <v>0.7</v>
      </c>
      <c r="R230" s="177">
        <f t="shared" si="78"/>
        <v>0.4528884264461106</v>
      </c>
      <c r="S230" s="921">
        <f t="shared" si="79"/>
        <v>-1</v>
      </c>
      <c r="T230" s="176">
        <f t="shared" si="80"/>
        <v>5</v>
      </c>
      <c r="U230" s="251">
        <f t="shared" si="81"/>
        <v>-0.5471115735538894</v>
      </c>
      <c r="V230" s="383">
        <f t="shared" si="82"/>
        <v>48.885064597875761</v>
      </c>
      <c r="W230" s="402"/>
      <c r="X230" s="157">
        <f t="shared" si="83"/>
        <v>44046</v>
      </c>
      <c r="Y230" s="385">
        <f t="shared" si="84"/>
        <v>42.819000000000003</v>
      </c>
      <c r="Z230" s="385">
        <f t="shared" si="85"/>
        <v>43.578760308520614</v>
      </c>
      <c r="AA230" s="386">
        <f t="shared" si="86"/>
        <v>47.304287400648718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7.8756647586176606E-2</v>
      </c>
      <c r="AD230" s="231">
        <f>(INDEX(Models!$BJ230:$BT230,,AH230)*(1-AF230)+INDEX(Models!$BJ230:$BT230,,AH230+1)*AF230-ERP_i)*AE230*Ramure*Pc/MaxiM</f>
        <v>1.6631376594670624E-3</v>
      </c>
      <c r="AE230" s="305">
        <f t="shared" si="88"/>
        <v>0.7</v>
      </c>
      <c r="AF230" s="177">
        <f t="shared" si="89"/>
        <v>0.4528884264461106</v>
      </c>
      <c r="AG230" s="921">
        <f t="shared" si="95"/>
        <v>-1</v>
      </c>
      <c r="AH230" s="176">
        <f t="shared" si="90"/>
        <v>5</v>
      </c>
      <c r="AI230" s="225">
        <f t="shared" si="91"/>
        <v>-0.5471115735538894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20">
        <v>48.222000000000001</v>
      </c>
      <c r="C231" s="390"/>
      <c r="D231" s="393">
        <f t="shared" si="74"/>
        <v>49.078703562972358</v>
      </c>
      <c r="E231" s="385">
        <f t="shared" si="72"/>
        <v>53.276812971787443</v>
      </c>
      <c r="F231" s="385">
        <f t="shared" si="75"/>
        <v>53.36011340472448</v>
      </c>
      <c r="G231" s="110">
        <f t="shared" si="73"/>
        <v>0.98836862336540154</v>
      </c>
      <c r="H231" s="414" t="b">
        <f>Wh_hp&gt;='2019'!Maxi_hp</f>
        <v>1</v>
      </c>
      <c r="I231" s="380">
        <f>IF(H231,Wh_hp,'2019'!Maxi_hp)</f>
        <v>53.36011340472448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1.7455708907899936E-2</v>
      </c>
      <c r="M231" s="959"/>
      <c r="N231" s="959"/>
      <c r="O231" s="48">
        <f>IF(t&lt;Tnet,'2019'!Resal+('2019'!Salim-'2019'!Resal)*(1-EXP(('2019'!Tnet-t)/('2019'!Tau_j))),Resal+(Salim-Resal)*(1-EXP((Tnet-t)/(Tau_j))))*Salcycl</f>
        <v>7.8798058191622319E-2</v>
      </c>
      <c r="P231" s="169">
        <f>(INDEX(Models!$BJ231:$BT231,,T231)*(1-R231)+INDEX(Models!$BJ231:$BT231,,T231+1)*R231-ERP_i)*Q231*Ramure*Pc/MaxiM</f>
        <v>1.5874170898549081E-3</v>
      </c>
      <c r="Q231" s="305">
        <f t="shared" si="77"/>
        <v>0.7</v>
      </c>
      <c r="R231" s="177">
        <f t="shared" si="78"/>
        <v>0.45462008441975299</v>
      </c>
      <c r="S231" s="921">
        <f t="shared" si="79"/>
        <v>-1</v>
      </c>
      <c r="T231" s="176">
        <f t="shared" si="80"/>
        <v>5</v>
      </c>
      <c r="U231" s="251">
        <f t="shared" si="81"/>
        <v>-0.54537991558024701</v>
      </c>
      <c r="V231" s="383">
        <f t="shared" si="82"/>
        <v>48.788202879788066</v>
      </c>
      <c r="W231" s="402"/>
      <c r="X231" s="157">
        <f t="shared" si="83"/>
        <v>44047</v>
      </c>
      <c r="Y231" s="385">
        <f t="shared" si="84"/>
        <v>48.222000000000001</v>
      </c>
      <c r="Z231" s="385">
        <f t="shared" si="85"/>
        <v>49.078703562972358</v>
      </c>
      <c r="AA231" s="386">
        <f t="shared" si="86"/>
        <v>53.276812971787443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7.8798058191622319E-2</v>
      </c>
      <c r="AD231" s="231">
        <f>(INDEX(Models!$BJ231:$BT231,,AH231)*(1-AF231)+INDEX(Models!$BJ231:$BT231,,AH231+1)*AF231-ERP_i)*AE231*Ramure*Pc/MaxiM</f>
        <v>1.5874170898549081E-3</v>
      </c>
      <c r="AE231" s="305">
        <f t="shared" si="88"/>
        <v>0.7</v>
      </c>
      <c r="AF231" s="177">
        <f t="shared" si="89"/>
        <v>0.45462008441975299</v>
      </c>
      <c r="AG231" s="921">
        <f t="shared" si="95"/>
        <v>-1</v>
      </c>
      <c r="AH231" s="176">
        <f t="shared" si="90"/>
        <v>5</v>
      </c>
      <c r="AI231" s="225">
        <f t="shared" si="91"/>
        <v>-0.54537991558024701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20">
        <v>48.982999999999997</v>
      </c>
      <c r="C232" s="390"/>
      <c r="D232" s="393">
        <f t="shared" si="74"/>
        <v>49.854315292458125</v>
      </c>
      <c r="E232" s="385">
        <f t="shared" si="72"/>
        <v>54.121188715793053</v>
      </c>
      <c r="F232" s="385">
        <f t="shared" si="75"/>
        <v>54.203152791652954</v>
      </c>
      <c r="G232" s="110">
        <f t="shared" si="73"/>
        <v>1.0060069746704061</v>
      </c>
      <c r="H232" s="414" t="b">
        <f>Wh_hp&gt;='2019'!Maxi_hp</f>
        <v>1</v>
      </c>
      <c r="I232" s="380">
        <f>IF(H232,Wh_hp,'2019'!Maxi_hp)</f>
        <v>54.203152791652954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1.7477229149508333E-2</v>
      </c>
      <c r="M232" s="959"/>
      <c r="N232" s="959"/>
      <c r="O232" s="48">
        <f>IF(t&lt;Tnet,'2019'!Resal+('2019'!Salim-'2019'!Resal)*(1-EXP(('2019'!Tnet-t)/('2019'!Tau_j))),Resal+(Salim-Resal)*(1-EXP((Tnet-t)/(Tau_j))))*Salcycl</f>
        <v>7.8839240685225659E-2</v>
      </c>
      <c r="P232" s="169">
        <f>(INDEX(Models!$BJ232:$BT232,,T232)*(1-R232)+INDEX(Models!$BJ232:$BT232,,T232+1)*R232-ERP_i)*Q232*Ramure*Pc/MaxiM</f>
        <v>1.5121643601609654E-3</v>
      </c>
      <c r="Q232" s="305">
        <f t="shared" si="77"/>
        <v>0.7</v>
      </c>
      <c r="R232" s="177">
        <f t="shared" si="78"/>
        <v>0.45629450172928454</v>
      </c>
      <c r="S232" s="921">
        <f t="shared" si="79"/>
        <v>-1</v>
      </c>
      <c r="T232" s="176">
        <f t="shared" si="80"/>
        <v>5</v>
      </c>
      <c r="U232" s="251">
        <f t="shared" si="81"/>
        <v>-0.54370549827071546</v>
      </c>
      <c r="V232" s="383">
        <f t="shared" si="82"/>
        <v>48.690517295914475</v>
      </c>
      <c r="W232" s="402"/>
      <c r="X232" s="157">
        <f t="shared" si="83"/>
        <v>44048</v>
      </c>
      <c r="Y232" s="385">
        <f t="shared" si="84"/>
        <v>48.982999999999997</v>
      </c>
      <c r="Z232" s="385">
        <f t="shared" si="85"/>
        <v>49.854315292458125</v>
      </c>
      <c r="AA232" s="386">
        <f t="shared" si="86"/>
        <v>54.121188715793053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7.8839240685225659E-2</v>
      </c>
      <c r="AD232" s="231">
        <f>(INDEX(Models!$BJ232:$BT232,,AH232)*(1-AF232)+INDEX(Models!$BJ232:$BT232,,AH232+1)*AF232-ERP_i)*AE232*Ramure*Pc/MaxiM</f>
        <v>1.5121643601609654E-3</v>
      </c>
      <c r="AE232" s="305">
        <f t="shared" si="88"/>
        <v>0.7</v>
      </c>
      <c r="AF232" s="177">
        <f t="shared" si="89"/>
        <v>0.45629450172928454</v>
      </c>
      <c r="AG232" s="921">
        <f t="shared" si="95"/>
        <v>-1</v>
      </c>
      <c r="AH232" s="176">
        <f t="shared" si="90"/>
        <v>5</v>
      </c>
      <c r="AI232" s="225">
        <f t="shared" si="91"/>
        <v>-0.54370549827071546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20">
        <v>47.804000000000002</v>
      </c>
      <c r="C233" s="390"/>
      <c r="D233" s="393">
        <f t="shared" si="74"/>
        <v>48.655408781862491</v>
      </c>
      <c r="E233" s="385">
        <f t="shared" ref="E233:E296" si="96">Wh_pvt/(1-Psa)</f>
        <v>52.822020264586314</v>
      </c>
      <c r="F233" s="385">
        <f t="shared" si="75"/>
        <v>52.896291663476283</v>
      </c>
      <c r="G233" s="110">
        <f t="shared" ref="G233:G296" si="97">+Wh_hp/MaxiM</f>
        <v>0.98375096236308324</v>
      </c>
      <c r="H233" s="414" t="b">
        <f>Wh_hp&gt;='2019'!Maxi_hp</f>
        <v>1</v>
      </c>
      <c r="I233" s="380">
        <f>IF(H233,Wh_hp,'2019'!Maxi_hp)</f>
        <v>52.896291663476283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1.7498748919768103E-2</v>
      </c>
      <c r="M233" s="959"/>
      <c r="N233" s="959"/>
      <c r="O233" s="48">
        <f>IF(t&lt;Tnet,'2019'!Resal+('2019'!Salim-'2019'!Resal)*(1-EXP(('2019'!Tnet-t)/('2019'!Tau_j))),Resal+(Salim-Resal)*(1-EXP((Tnet-t)/(Tau_j))))*Salcycl</f>
        <v>7.8880199239885221E-2</v>
      </c>
      <c r="P233" s="169">
        <f>(INDEX(Models!$BJ233:$BT233,,T233)*(1-R233)+INDEX(Models!$BJ233:$BT233,,T233+1)*R233-ERP_i)*Q233*Ramure*Pc/MaxiM</f>
        <v>1.4373933482946907E-3</v>
      </c>
      <c r="Q233" s="305">
        <f t="shared" si="77"/>
        <v>0.7</v>
      </c>
      <c r="R233" s="177">
        <f t="shared" si="78"/>
        <v>0.457913125608848</v>
      </c>
      <c r="S233" s="921">
        <f t="shared" si="79"/>
        <v>-1</v>
      </c>
      <c r="T233" s="176">
        <f t="shared" si="80"/>
        <v>5</v>
      </c>
      <c r="U233" s="251">
        <f t="shared" si="81"/>
        <v>-0.542086874391152</v>
      </c>
      <c r="V233" s="383">
        <f t="shared" si="82"/>
        <v>48.5919788427776</v>
      </c>
      <c r="W233" s="402"/>
      <c r="X233" s="157">
        <f t="shared" si="83"/>
        <v>44049</v>
      </c>
      <c r="Y233" s="385">
        <f t="shared" si="84"/>
        <v>47.804000000000002</v>
      </c>
      <c r="Z233" s="385">
        <f t="shared" si="85"/>
        <v>48.655408781862491</v>
      </c>
      <c r="AA233" s="386">
        <f t="shared" si="86"/>
        <v>52.822020264586314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7.8880199239885221E-2</v>
      </c>
      <c r="AD233" s="231">
        <f>(INDEX(Models!$BJ233:$BT233,,AH233)*(1-AF233)+INDEX(Models!$BJ233:$BT233,,AH233+1)*AF233-ERP_i)*AE233*Ramure*Pc/MaxiM</f>
        <v>1.4373933482946907E-3</v>
      </c>
      <c r="AE233" s="305">
        <f t="shared" si="88"/>
        <v>0.7</v>
      </c>
      <c r="AF233" s="177">
        <f t="shared" si="89"/>
        <v>0.457913125608848</v>
      </c>
      <c r="AG233" s="921">
        <f t="shared" si="95"/>
        <v>-1</v>
      </c>
      <c r="AH233" s="176">
        <f t="shared" si="90"/>
        <v>5</v>
      </c>
      <c r="AI233" s="225">
        <f t="shared" si="91"/>
        <v>-0.542086874391152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20">
        <v>46.445999999999998</v>
      </c>
      <c r="C234" s="390"/>
      <c r="D234" s="393">
        <f t="shared" si="74"/>
        <v>47.274257674293068</v>
      </c>
      <c r="E234" s="385">
        <f t="shared" si="96"/>
        <v>51.324864008146875</v>
      </c>
      <c r="F234" s="385">
        <f t="shared" si="75"/>
        <v>51.390736849058023</v>
      </c>
      <c r="G234" s="110">
        <f t="shared" si="97"/>
        <v>0.95771611810404478</v>
      </c>
      <c r="H234" s="414" t="b">
        <f>Wh_hp&gt;='2019'!Maxi_hp</f>
        <v>0</v>
      </c>
      <c r="I234" s="380">
        <f>IF(H234,Wh_hp,'2019'!Maxi_hp)</f>
        <v>51.803831793657018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1.7520268218689794E-2</v>
      </c>
      <c r="M234" s="959"/>
      <c r="N234" s="959"/>
      <c r="O234" s="48">
        <f>IF(t&lt;Tnet,'2019'!Resal+('2019'!Salim-'2019'!Resal)*(1-EXP(('2019'!Tnet-t)/('2019'!Tau_j))),Resal+(Salim-Resal)*(1-EXP((Tnet-t)/(Tau_j))))*Salcycl</f>
        <v>7.8920936511606712E-2</v>
      </c>
      <c r="P234" s="169">
        <f>(INDEX(Models!$BJ234:$BT234,,T234)*(1-R234)+INDEX(Models!$BJ234:$BT234,,T234+1)*R234-ERP_i)*Q234*Ramure*Pc/MaxiM</f>
        <v>1.3640460344973495E-3</v>
      </c>
      <c r="Q234" s="305">
        <f t="shared" si="77"/>
        <v>0.7</v>
      </c>
      <c r="R234" s="177">
        <f t="shared" si="78"/>
        <v>0.45947739954176958</v>
      </c>
      <c r="S234" s="921">
        <f t="shared" si="79"/>
        <v>-1</v>
      </c>
      <c r="T234" s="176">
        <f t="shared" si="80"/>
        <v>5</v>
      </c>
      <c r="U234" s="251">
        <f t="shared" si="81"/>
        <v>-0.54052260045823042</v>
      </c>
      <c r="V234" s="383">
        <f t="shared" si="82"/>
        <v>48.492631998075339</v>
      </c>
      <c r="W234" s="402"/>
      <c r="X234" s="157">
        <f t="shared" si="83"/>
        <v>44050</v>
      </c>
      <c r="Y234" s="385">
        <f t="shared" si="84"/>
        <v>46.445999999999998</v>
      </c>
      <c r="Z234" s="385">
        <f t="shared" si="85"/>
        <v>47.274257674293068</v>
      </c>
      <c r="AA234" s="386">
        <f t="shared" si="86"/>
        <v>51.324864008146875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7.8920936511606712E-2</v>
      </c>
      <c r="AD234" s="231">
        <f>(INDEX(Models!$BJ234:$BT234,,AH234)*(1-AF234)+INDEX(Models!$BJ234:$BT234,,AH234+1)*AF234-ERP_i)*AE234*Ramure*Pc/MaxiM</f>
        <v>1.3640460344973495E-3</v>
      </c>
      <c r="AE234" s="305">
        <f t="shared" si="88"/>
        <v>0.7</v>
      </c>
      <c r="AF234" s="177">
        <f t="shared" si="89"/>
        <v>0.45947739954176958</v>
      </c>
      <c r="AG234" s="921">
        <f t="shared" si="95"/>
        <v>-1</v>
      </c>
      <c r="AH234" s="176">
        <f t="shared" si="90"/>
        <v>5</v>
      </c>
      <c r="AI234" s="225">
        <f t="shared" si="91"/>
        <v>-0.54052260045823042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20">
        <v>45.225999999999999</v>
      </c>
      <c r="C235" s="390"/>
      <c r="D235" s="393">
        <f t="shared" si="74"/>
        <v>46.033510029938128</v>
      </c>
      <c r="E235" s="385">
        <f t="shared" si="96"/>
        <v>49.980003785951595</v>
      </c>
      <c r="F235" s="385">
        <f t="shared" si="75"/>
        <v>50.038613229390634</v>
      </c>
      <c r="G235" s="110">
        <f t="shared" si="97"/>
        <v>0.93445213422994322</v>
      </c>
      <c r="H235" s="414" t="b">
        <f>Wh_hp&gt;='2019'!Maxi_hp</f>
        <v>0</v>
      </c>
      <c r="I235" s="380">
        <f>IF(H235,Wh_hp,'2019'!Maxi_hp)</f>
        <v>50.584200043559008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1.7541787046283508E-2</v>
      </c>
      <c r="M235" s="959"/>
      <c r="N235" s="959"/>
      <c r="O235" s="48">
        <f>IF(t&lt;Tnet,'2019'!Resal+('2019'!Salim-'2019'!Resal)*(1-EXP(('2019'!Tnet-t)/('2019'!Tau_j))),Resal+(Salim-Resal)*(1-EXP((Tnet-t)/(Tau_j))))*Salcycl</f>
        <v>7.8961453722873651E-2</v>
      </c>
      <c r="P235" s="169">
        <f>(INDEX(Models!$BJ235:$BT235,,T235)*(1-R235)+INDEX(Models!$BJ235:$BT235,,T235+1)*R235-ERP_i)*Q235*Ramure*Pc/MaxiM</f>
        <v>1.2920643966005283E-3</v>
      </c>
      <c r="Q235" s="305">
        <f t="shared" si="77"/>
        <v>0.7</v>
      </c>
      <c r="R235" s="177">
        <f t="shared" si="78"/>
        <v>0.46098876041039794</v>
      </c>
      <c r="S235" s="921">
        <f t="shared" si="79"/>
        <v>-1</v>
      </c>
      <c r="T235" s="176">
        <f t="shared" si="80"/>
        <v>5</v>
      </c>
      <c r="U235" s="251">
        <f t="shared" si="81"/>
        <v>-0.53901123958960206</v>
      </c>
      <c r="V235" s="383">
        <f t="shared" si="82"/>
        <v>48.392560237800303</v>
      </c>
      <c r="W235" s="402"/>
      <c r="X235" s="157">
        <f t="shared" si="83"/>
        <v>44051</v>
      </c>
      <c r="Y235" s="385">
        <f t="shared" si="84"/>
        <v>45.225999999999999</v>
      </c>
      <c r="Z235" s="385">
        <f t="shared" si="85"/>
        <v>46.033510029938128</v>
      </c>
      <c r="AA235" s="386">
        <f t="shared" si="86"/>
        <v>49.980003785951595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7.8961453722873651E-2</v>
      </c>
      <c r="AD235" s="231">
        <f>(INDEX(Models!$BJ235:$BT235,,AH235)*(1-AF235)+INDEX(Models!$BJ235:$BT235,,AH235+1)*AF235-ERP_i)*AE235*Ramure*Pc/MaxiM</f>
        <v>1.2920643966005283E-3</v>
      </c>
      <c r="AE235" s="305">
        <f t="shared" si="88"/>
        <v>0.7</v>
      </c>
      <c r="AF235" s="177">
        <f t="shared" si="89"/>
        <v>0.46098876041039794</v>
      </c>
      <c r="AG235" s="921">
        <f t="shared" si="95"/>
        <v>-1</v>
      </c>
      <c r="AH235" s="176">
        <f t="shared" si="90"/>
        <v>5</v>
      </c>
      <c r="AI235" s="225">
        <f t="shared" si="91"/>
        <v>-0.53901123958960206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20">
        <v>37.572000000000003</v>
      </c>
      <c r="C236" s="390"/>
      <c r="D236" s="393">
        <f t="shared" si="74"/>
        <v>38.243685528659306</v>
      </c>
      <c r="E236" s="385">
        <f t="shared" si="96"/>
        <v>41.524167456099583</v>
      </c>
      <c r="F236" s="385">
        <f t="shared" si="75"/>
        <v>41.558832537647987</v>
      </c>
      <c r="G236" s="110">
        <f t="shared" si="97"/>
        <v>0.77771797137613274</v>
      </c>
      <c r="H236" s="414" t="b">
        <f>Wh_hp&gt;='2019'!Maxi_hp</f>
        <v>0</v>
      </c>
      <c r="I236" s="380">
        <f>IF(H236,Wh_hp,'2019'!Maxi_hp)</f>
        <v>49.139217090165502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1.7563305402559792E-2</v>
      </c>
      <c r="M236" s="959"/>
      <c r="N236" s="959"/>
      <c r="O236" s="48">
        <f>IF(t&lt;Tnet,'2019'!Resal+('2019'!Salim-'2019'!Resal)*(1-EXP(('2019'!Tnet-t)/('2019'!Tau_j))),Resal+(Salim-Resal)*(1-EXP((Tnet-t)/(Tau_j))))*Salcycl</f>
        <v>7.9001750749331454E-2</v>
      </c>
      <c r="P236" s="169">
        <f>(INDEX(Models!$BJ236:$BT236,,T236)*(1-R236)+INDEX(Models!$BJ236:$BT236,,T236+1)*R236-ERP_i)*Q236*Ramure*Pc/MaxiM</f>
        <v>1.2214655897867504E-3</v>
      </c>
      <c r="Q236" s="305">
        <f t="shared" si="77"/>
        <v>0.7</v>
      </c>
      <c r="R236" s="177">
        <f t="shared" si="78"/>
        <v>0.46244863587629503</v>
      </c>
      <c r="S236" s="921">
        <f t="shared" si="79"/>
        <v>-1</v>
      </c>
      <c r="T236" s="176">
        <f t="shared" si="80"/>
        <v>5</v>
      </c>
      <c r="U236" s="251">
        <f t="shared" si="81"/>
        <v>-0.53755136412370497</v>
      </c>
      <c r="V236" s="383">
        <f t="shared" si="82"/>
        <v>48.291843457255133</v>
      </c>
      <c r="W236" s="402"/>
      <c r="X236" s="157">
        <f t="shared" si="83"/>
        <v>44052</v>
      </c>
      <c r="Y236" s="385">
        <f t="shared" si="84"/>
        <v>37.572000000000003</v>
      </c>
      <c r="Z236" s="385">
        <f t="shared" si="85"/>
        <v>38.243685528659306</v>
      </c>
      <c r="AA236" s="386">
        <f t="shared" si="86"/>
        <v>41.524167456099583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7.9001750749331454E-2</v>
      </c>
      <c r="AD236" s="231">
        <f>(INDEX(Models!$BJ236:$BT236,,AH236)*(1-AF236)+INDEX(Models!$BJ236:$BT236,,AH236+1)*AF236-ERP_i)*AE236*Ramure*Pc/MaxiM</f>
        <v>1.2214655897867504E-3</v>
      </c>
      <c r="AE236" s="305">
        <f t="shared" si="88"/>
        <v>0.7</v>
      </c>
      <c r="AF236" s="177">
        <f t="shared" si="89"/>
        <v>0.46244863587629503</v>
      </c>
      <c r="AG236" s="921">
        <f t="shared" si="95"/>
        <v>-1</v>
      </c>
      <c r="AH236" s="176">
        <f t="shared" si="90"/>
        <v>5</v>
      </c>
      <c r="AI236" s="225">
        <f t="shared" si="91"/>
        <v>-0.53755136412370497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20">
        <v>35.747999999999998</v>
      </c>
      <c r="C237" s="390"/>
      <c r="D237" s="393">
        <f t="shared" si="74"/>
        <v>36.387874340079087</v>
      </c>
      <c r="E237" s="385">
        <f t="shared" si="96"/>
        <v>39.510887003990746</v>
      </c>
      <c r="F237" s="385">
        <f t="shared" si="75"/>
        <v>39.539642333041762</v>
      </c>
      <c r="G237" s="110">
        <f t="shared" si="97"/>
        <v>0.74148950223472654</v>
      </c>
      <c r="H237" s="414" t="b">
        <f>Wh_hp&gt;='2019'!Maxi_hp</f>
        <v>0</v>
      </c>
      <c r="I237" s="380">
        <f>IF(H237,Wh_hp,'2019'!Maxi_hp)</f>
        <v>52.879735063277003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1.758482328752875E-2</v>
      </c>
      <c r="M237" s="959"/>
      <c r="N237" s="959"/>
      <c r="O237" s="48">
        <f>IF(t&lt;Tnet,'2019'!Resal+('2019'!Salim-'2019'!Resal)*(1-EXP(('2019'!Tnet-t)/('2019'!Tau_j))),Resal+(Salim-Resal)*(1-EXP((Tnet-t)/(Tau_j))))*Salcycl</f>
        <v>7.9041826208462979E-2</v>
      </c>
      <c r="P237" s="169">
        <f>(INDEX(Models!$BJ237:$BT237,,T237)*(1-R237)+INDEX(Models!$BJ237:$BT237,,T237+1)*R237-ERP_i)*Q237*Ramure*Pc/MaxiM</f>
        <v>1.1522666967328805E-3</v>
      </c>
      <c r="Q237" s="305">
        <f t="shared" si="77"/>
        <v>0.7</v>
      </c>
      <c r="R237" s="177">
        <f t="shared" si="78"/>
        <v>0.46385844198263748</v>
      </c>
      <c r="S237" s="921">
        <f t="shared" si="79"/>
        <v>-1</v>
      </c>
      <c r="T237" s="176">
        <f t="shared" si="80"/>
        <v>5</v>
      </c>
      <c r="U237" s="251">
        <f t="shared" si="81"/>
        <v>-0.53614155801736252</v>
      </c>
      <c r="V237" s="383">
        <f t="shared" si="82"/>
        <v>48.19056163332295</v>
      </c>
      <c r="W237" s="402"/>
      <c r="X237" s="157">
        <f t="shared" si="83"/>
        <v>44053</v>
      </c>
      <c r="Y237" s="385">
        <f t="shared" si="84"/>
        <v>35.747999999999998</v>
      </c>
      <c r="Z237" s="385">
        <f t="shared" si="85"/>
        <v>36.387874340079087</v>
      </c>
      <c r="AA237" s="386">
        <f t="shared" si="86"/>
        <v>39.510887003990746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7.9041826208462979E-2</v>
      </c>
      <c r="AD237" s="231">
        <f>(INDEX(Models!$BJ237:$BT237,,AH237)*(1-AF237)+INDEX(Models!$BJ237:$BT237,,AH237+1)*AF237-ERP_i)*AE237*Ramure*Pc/MaxiM</f>
        <v>1.1522666967328805E-3</v>
      </c>
      <c r="AE237" s="305">
        <f t="shared" si="88"/>
        <v>0.7</v>
      </c>
      <c r="AF237" s="177">
        <f t="shared" si="89"/>
        <v>0.46385844198263748</v>
      </c>
      <c r="AG237" s="921">
        <f t="shared" si="95"/>
        <v>-1</v>
      </c>
      <c r="AH237" s="176">
        <f t="shared" si="90"/>
        <v>5</v>
      </c>
      <c r="AI237" s="225">
        <f t="shared" si="91"/>
        <v>-0.53614155801736252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20">
        <v>40.353999999999999</v>
      </c>
      <c r="C238" s="390"/>
      <c r="D238" s="393">
        <f t="shared" si="74"/>
        <v>41.077219521961673</v>
      </c>
      <c r="E238" s="385">
        <f t="shared" si="96"/>
        <v>44.604628359042522</v>
      </c>
      <c r="F238" s="385">
        <f t="shared" si="75"/>
        <v>44.641917526842974</v>
      </c>
      <c r="G238" s="110">
        <f t="shared" si="97"/>
        <v>0.83894670142700234</v>
      </c>
      <c r="H238" s="414" t="b">
        <f>Wh_hp&gt;='2019'!Maxi_hp</f>
        <v>0</v>
      </c>
      <c r="I238" s="380">
        <f>IF(H238,Wh_hp,'2019'!Maxi_hp)</f>
        <v>51.227825043986797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1.7606340701200818E-2</v>
      </c>
      <c r="M238" s="959"/>
      <c r="N238" s="959"/>
      <c r="O238" s="48">
        <f>IF(t&lt;Tnet,'2019'!Resal+('2019'!Salim-'2019'!Resal)*(1-EXP(('2019'!Tnet-t)/('2019'!Tau_j))),Resal+(Salim-Resal)*(1-EXP((Tnet-t)/(Tau_j))))*Salcycl</f>
        <v>7.908167754895673E-2</v>
      </c>
      <c r="P238" s="169">
        <f>(INDEX(Models!$BJ238:$BT238,,T238)*(1-R238)+INDEX(Models!$BJ238:$BT238,,T238+1)*R238-ERP_i)*Q238*Ramure*Pc/MaxiM</f>
        <v>1.0844847753024417E-3</v>
      </c>
      <c r="Q238" s="305">
        <f t="shared" si="77"/>
        <v>0.7</v>
      </c>
      <c r="R238" s="177">
        <f t="shared" si="78"/>
        <v>0.46521958097020355</v>
      </c>
      <c r="S238" s="921">
        <f t="shared" si="79"/>
        <v>-1</v>
      </c>
      <c r="T238" s="176">
        <f t="shared" si="80"/>
        <v>5</v>
      </c>
      <c r="U238" s="251">
        <f t="shared" si="81"/>
        <v>-0.53478041902979645</v>
      </c>
      <c r="V238" s="383">
        <f t="shared" si="82"/>
        <v>48.088794816354209</v>
      </c>
      <c r="W238" s="402"/>
      <c r="X238" s="157">
        <f t="shared" si="83"/>
        <v>44054</v>
      </c>
      <c r="Y238" s="385">
        <f t="shared" si="84"/>
        <v>40.353999999999999</v>
      </c>
      <c r="Z238" s="385">
        <f t="shared" si="85"/>
        <v>41.077219521961673</v>
      </c>
      <c r="AA238" s="386">
        <f t="shared" si="86"/>
        <v>44.604628359042522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7.908167754895673E-2</v>
      </c>
      <c r="AD238" s="231">
        <f>(INDEX(Models!$BJ238:$BT238,,AH238)*(1-AF238)+INDEX(Models!$BJ238:$BT238,,AH238+1)*AF238-ERP_i)*AE238*Ramure*Pc/MaxiM</f>
        <v>1.0844847753024417E-3</v>
      </c>
      <c r="AE238" s="305">
        <f t="shared" si="88"/>
        <v>0.7</v>
      </c>
      <c r="AF238" s="177">
        <f t="shared" si="89"/>
        <v>0.46521958097020355</v>
      </c>
      <c r="AG238" s="921">
        <f t="shared" si="95"/>
        <v>-1</v>
      </c>
      <c r="AH238" s="176">
        <f t="shared" si="90"/>
        <v>5</v>
      </c>
      <c r="AI238" s="225">
        <f t="shared" si="91"/>
        <v>-0.53478041902979645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20">
        <v>23.923999999999999</v>
      </c>
      <c r="C239" s="390"/>
      <c r="D239" s="393">
        <f t="shared" si="74"/>
        <v>24.353296442846556</v>
      </c>
      <c r="E239" s="385">
        <f t="shared" si="96"/>
        <v>26.445715893940797</v>
      </c>
      <c r="F239" s="385">
        <f t="shared" si="75"/>
        <v>26.453355501687415</v>
      </c>
      <c r="G239" s="110">
        <f t="shared" si="97"/>
        <v>0.49819188427980249</v>
      </c>
      <c r="H239" s="414" t="b">
        <f>Wh_hp&gt;='2019'!Maxi_hp</f>
        <v>0</v>
      </c>
      <c r="I239" s="380">
        <f>IF(H239,Wh_hp,'2019'!Maxi_hp)</f>
        <v>48.536022746732414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1.762785764358632E-2</v>
      </c>
      <c r="M239" s="959"/>
      <c r="N239" s="959"/>
      <c r="O239" s="48">
        <f>IF(t&lt;Tnet,'2019'!Resal+('2019'!Salim-'2019'!Resal)*(1-EXP(('2019'!Tnet-t)/('2019'!Tau_j))),Resal+(Salim-Resal)*(1-EXP((Tnet-t)/(Tau_j))))*Salcycl</f>
        <v>7.9121301139503275E-2</v>
      </c>
      <c r="P239" s="169">
        <f>(INDEX(Models!$BJ239:$BT239,,T239)*(1-R239)+INDEX(Models!$BJ239:$BT239,,T239+1)*R239-ERP_i)*Q239*Ramure*Pc/MaxiM</f>
        <v>1.0181368990970243E-3</v>
      </c>
      <c r="Q239" s="305">
        <f t="shared" si="77"/>
        <v>0.7</v>
      </c>
      <c r="R239" s="177">
        <f t="shared" si="78"/>
        <v>0.46653343929794722</v>
      </c>
      <c r="S239" s="921">
        <f t="shared" si="79"/>
        <v>-1</v>
      </c>
      <c r="T239" s="176">
        <f t="shared" si="80"/>
        <v>5</v>
      </c>
      <c r="U239" s="251">
        <f t="shared" si="81"/>
        <v>-0.53346656070205278</v>
      </c>
      <c r="V239" s="383">
        <f t="shared" si="82"/>
        <v>47.986623122704387</v>
      </c>
      <c r="W239" s="402"/>
      <c r="X239" s="157">
        <f t="shared" si="83"/>
        <v>44055</v>
      </c>
      <c r="Y239" s="385">
        <f t="shared" si="84"/>
        <v>23.923999999999999</v>
      </c>
      <c r="Z239" s="385">
        <f t="shared" si="85"/>
        <v>24.353296442846556</v>
      </c>
      <c r="AA239" s="386">
        <f t="shared" si="86"/>
        <v>26.445715893940797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7.9121301139503275E-2</v>
      </c>
      <c r="AD239" s="231">
        <f>(INDEX(Models!$BJ239:$BT239,,AH239)*(1-AF239)+INDEX(Models!$BJ239:$BT239,,AH239+1)*AF239-ERP_i)*AE239*Ramure*Pc/MaxiM</f>
        <v>1.0181368990970243E-3</v>
      </c>
      <c r="AE239" s="305">
        <f t="shared" si="88"/>
        <v>0.7</v>
      </c>
      <c r="AF239" s="177">
        <f t="shared" si="89"/>
        <v>0.46653343929794722</v>
      </c>
      <c r="AG239" s="921">
        <f t="shared" si="95"/>
        <v>-1</v>
      </c>
      <c r="AH239" s="176">
        <f t="shared" si="90"/>
        <v>5</v>
      </c>
      <c r="AI239" s="225">
        <f t="shared" si="91"/>
        <v>-0.53346656070205278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20">
        <v>15.898999999999999</v>
      </c>
      <c r="C240" s="390"/>
      <c r="D240" s="393">
        <f t="shared" si="74"/>
        <v>16.184648923770631</v>
      </c>
      <c r="E240" s="385">
        <f t="shared" si="96"/>
        <v>17.575975297119157</v>
      </c>
      <c r="F240" s="385">
        <f t="shared" si="75"/>
        <v>17.576743378582584</v>
      </c>
      <c r="G240" s="110">
        <f t="shared" si="97"/>
        <v>0.33172868870203986</v>
      </c>
      <c r="H240" s="414" t="b">
        <f>Wh_hp&gt;='2019'!Maxi_hp</f>
        <v>0</v>
      </c>
      <c r="I240" s="380">
        <f>IF(H240,Wh_hp,'2019'!Maxi_hp)</f>
        <v>53.538915966622881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1.7649374114695582E-2</v>
      </c>
      <c r="M240" s="959"/>
      <c r="N240" s="959"/>
      <c r="O240" s="48">
        <f>IF(t&lt;Tnet,'2019'!Resal+('2019'!Salim-'2019'!Resal)*(1-EXP(('2019'!Tnet-t)/('2019'!Tau_j))),Resal+(Salim-Resal)*(1-EXP((Tnet-t)/(Tau_j))))*Salcycl</f>
        <v>7.9160692355807777E-2</v>
      </c>
      <c r="P240" s="169">
        <f>(INDEX(Models!$BJ240:$BT240,,T240)*(1-R240)+INDEX(Models!$BJ240:$BT240,,T240+1)*R240-ERP_i)*Q240*Ramure*Pc/MaxiM</f>
        <v>9.5497651372495446E-4</v>
      </c>
      <c r="Q240" s="305">
        <f t="shared" si="77"/>
        <v>0.7</v>
      </c>
      <c r="R240" s="177">
        <f t="shared" si="78"/>
        <v>0.46780138585889608</v>
      </c>
      <c r="S240" s="921">
        <f t="shared" si="79"/>
        <v>-1</v>
      </c>
      <c r="T240" s="176">
        <f t="shared" si="80"/>
        <v>5</v>
      </c>
      <c r="U240" s="251">
        <f t="shared" si="81"/>
        <v>-0.53219861414110392</v>
      </c>
      <c r="V240" s="383">
        <f t="shared" si="82"/>
        <v>47.884043504365401</v>
      </c>
      <c r="W240" s="402"/>
      <c r="X240" s="157">
        <f t="shared" si="83"/>
        <v>44056</v>
      </c>
      <c r="Y240" s="385">
        <f t="shared" si="84"/>
        <v>15.898999999999997</v>
      </c>
      <c r="Z240" s="385">
        <f t="shared" si="85"/>
        <v>16.184648923770631</v>
      </c>
      <c r="AA240" s="386">
        <f t="shared" si="86"/>
        <v>17.575975297119157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7.9160692355807777E-2</v>
      </c>
      <c r="AD240" s="231">
        <f>(INDEX(Models!$BJ240:$BT240,,AH240)*(1-AF240)+INDEX(Models!$BJ240:$BT240,,AH240+1)*AF240-ERP_i)*AE240*Ramure*Pc/MaxiM</f>
        <v>9.5497651372495446E-4</v>
      </c>
      <c r="AE240" s="305">
        <f t="shared" si="88"/>
        <v>0.7</v>
      </c>
      <c r="AF240" s="177">
        <f t="shared" si="89"/>
        <v>0.46780138585889608</v>
      </c>
      <c r="AG240" s="921">
        <f t="shared" si="95"/>
        <v>-1</v>
      </c>
      <c r="AH240" s="176">
        <f t="shared" si="90"/>
        <v>5</v>
      </c>
      <c r="AI240" s="225">
        <f t="shared" si="91"/>
        <v>-0.53219861414110392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20">
        <v>43.780999999999999</v>
      </c>
      <c r="C241" s="390"/>
      <c r="D241" s="393">
        <f t="shared" si="74"/>
        <v>44.568566236528241</v>
      </c>
      <c r="E241" s="385">
        <f t="shared" si="96"/>
        <v>48.401996922665198</v>
      </c>
      <c r="F241" s="385">
        <f t="shared" si="75"/>
        <v>48.44012950383668</v>
      </c>
      <c r="G241" s="110">
        <f t="shared" si="97"/>
        <v>0.91618323107000055</v>
      </c>
      <c r="H241" s="414" t="b">
        <f>Wh_hp&gt;='2019'!Maxi_hp</f>
        <v>0</v>
      </c>
      <c r="I241" s="380">
        <f>IF(H241,Wh_hp,'2019'!Maxi_hp)</f>
        <v>53.803189402990363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1.7670890114538929E-2</v>
      </c>
      <c r="M241" s="959"/>
      <c r="N241" s="959"/>
      <c r="O241" s="48">
        <f>IF(t&lt;Tnet,'2019'!Resal+('2019'!Salim-'2019'!Resal)*(1-EXP(('2019'!Tnet-t)/('2019'!Tau_j))),Resal+(Salim-Resal)*(1-EXP((Tnet-t)/(Tau_j))))*Salcycl</f>
        <v>7.9199845664670893E-2</v>
      </c>
      <c r="P241" s="169">
        <f>(INDEX(Models!$BJ241:$BT241,,T241)*(1-R241)+INDEX(Models!$BJ241:$BT241,,T241+1)*R241-ERP_i)*Q241*Ramure*Pc/MaxiM</f>
        <v>8.9414913761669962E-4</v>
      </c>
      <c r="Q241" s="305">
        <f t="shared" si="77"/>
        <v>0.7</v>
      </c>
      <c r="R241" s="177">
        <f t="shared" si="78"/>
        <v>0.46902477038193635</v>
      </c>
      <c r="S241" s="921">
        <f t="shared" si="79"/>
        <v>-1</v>
      </c>
      <c r="T241" s="176">
        <f t="shared" si="80"/>
        <v>5</v>
      </c>
      <c r="U241" s="251">
        <f t="shared" si="81"/>
        <v>-0.53097522961806365</v>
      </c>
      <c r="V241" s="383">
        <f t="shared" si="82"/>
        <v>47.781178424546439</v>
      </c>
      <c r="W241" s="402"/>
      <c r="X241" s="157">
        <f t="shared" si="83"/>
        <v>44057</v>
      </c>
      <c r="Y241" s="385">
        <f t="shared" si="84"/>
        <v>43.780999999999999</v>
      </c>
      <c r="Z241" s="385">
        <f t="shared" si="85"/>
        <v>44.568566236528241</v>
      </c>
      <c r="AA241" s="386">
        <f t="shared" si="86"/>
        <v>48.401996922665198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7.9199845664670893E-2</v>
      </c>
      <c r="AD241" s="231">
        <f>(INDEX(Models!$BJ241:$BT241,,AH241)*(1-AF241)+INDEX(Models!$BJ241:$BT241,,AH241+1)*AF241-ERP_i)*AE241*Ramure*Pc/MaxiM</f>
        <v>8.9414913761669962E-4</v>
      </c>
      <c r="AE241" s="305">
        <f t="shared" si="88"/>
        <v>0.7</v>
      </c>
      <c r="AF241" s="177">
        <f t="shared" si="89"/>
        <v>0.46902477038193635</v>
      </c>
      <c r="AG241" s="921">
        <f t="shared" si="95"/>
        <v>-1</v>
      </c>
      <c r="AH241" s="176">
        <f t="shared" si="90"/>
        <v>5</v>
      </c>
      <c r="AI241" s="225">
        <f t="shared" si="91"/>
        <v>-0.53097522961806365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20">
        <v>43.356999999999999</v>
      </c>
      <c r="C242" s="390"/>
      <c r="D242" s="393">
        <f t="shared" si="74"/>
        <v>44.137905732456709</v>
      </c>
      <c r="E242" s="385">
        <f t="shared" si="96"/>
        <v>47.936320037308775</v>
      </c>
      <c r="F242" s="385">
        <f t="shared" si="75"/>
        <v>47.971218174459807</v>
      </c>
      <c r="G242" s="110">
        <f t="shared" si="97"/>
        <v>0.90927067292801644</v>
      </c>
      <c r="H242" s="414" t="b">
        <f>Wh_hp&gt;='2019'!Maxi_hp</f>
        <v>0</v>
      </c>
      <c r="I242" s="380">
        <f>IF(H242,Wh_hp,'2019'!Maxi_hp)</f>
        <v>53.769916943030935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1.7692405643126574E-2</v>
      </c>
      <c r="M242" s="959"/>
      <c r="N242" s="959"/>
      <c r="O242" s="48">
        <f>IF(t&lt;Tnet,'2019'!Resal+('2019'!Salim-'2019'!Resal)*(1-EXP(('2019'!Tnet-t)/('2019'!Tau_j))),Resal+(Salim-Resal)*(1-EXP((Tnet-t)/(Tau_j))))*Salcycl</f>
        <v>7.92387547040692E-2</v>
      </c>
      <c r="P242" s="169">
        <f>(INDEX(Models!$BJ242:$BT242,,T242)*(1-R242)+INDEX(Models!$BJ242:$BT242,,T242+1)*R242-ERP_i)*Q242*Ramure*Pc/MaxiM</f>
        <v>8.3567822160181867E-4</v>
      </c>
      <c r="Q242" s="305">
        <f t="shared" si="77"/>
        <v>0.7</v>
      </c>
      <c r="R242" s="177">
        <f t="shared" si="78"/>
        <v>0.47020492200995512</v>
      </c>
      <c r="S242" s="921">
        <f t="shared" si="79"/>
        <v>-1</v>
      </c>
      <c r="T242" s="176">
        <f t="shared" si="80"/>
        <v>5</v>
      </c>
      <c r="U242" s="251">
        <f t="shared" si="81"/>
        <v>-0.52979507799004488</v>
      </c>
      <c r="V242" s="383">
        <f t="shared" si="82"/>
        <v>47.678108133493353</v>
      </c>
      <c r="W242" s="402"/>
      <c r="X242" s="157">
        <f t="shared" si="83"/>
        <v>44058</v>
      </c>
      <c r="Y242" s="385">
        <f t="shared" si="84"/>
        <v>43.356999999999999</v>
      </c>
      <c r="Z242" s="385">
        <f t="shared" si="85"/>
        <v>44.137905732456709</v>
      </c>
      <c r="AA242" s="386">
        <f t="shared" si="86"/>
        <v>47.936320037308775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7.92387547040692E-2</v>
      </c>
      <c r="AD242" s="231">
        <f>(INDEX(Models!$BJ242:$BT242,,AH242)*(1-AF242)+INDEX(Models!$BJ242:$BT242,,AH242+1)*AF242-ERP_i)*AE242*Ramure*Pc/MaxiM</f>
        <v>8.3567822160181867E-4</v>
      </c>
      <c r="AE242" s="305">
        <f t="shared" si="88"/>
        <v>0.7</v>
      </c>
      <c r="AF242" s="177">
        <f t="shared" si="89"/>
        <v>0.47020492200995512</v>
      </c>
      <c r="AG242" s="921">
        <f t="shared" si="95"/>
        <v>-1</v>
      </c>
      <c r="AH242" s="176">
        <f t="shared" si="90"/>
        <v>5</v>
      </c>
      <c r="AI242" s="225">
        <f t="shared" si="91"/>
        <v>-0.52979507799004488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20">
        <v>18.72</v>
      </c>
      <c r="C243" s="390"/>
      <c r="D243" s="393">
        <f t="shared" si="74"/>
        <v>19.0575845413072</v>
      </c>
      <c r="E243" s="385">
        <f t="shared" si="96"/>
        <v>20.698508755085061</v>
      </c>
      <c r="F243" s="385">
        <f t="shared" si="75"/>
        <v>20.70066397414373</v>
      </c>
      <c r="G243" s="110">
        <f t="shared" si="97"/>
        <v>0.39321887660574473</v>
      </c>
      <c r="H243" s="414" t="b">
        <f>Wh_hp&gt;='2019'!Maxi_hp</f>
        <v>0</v>
      </c>
      <c r="I243" s="380">
        <f>IF(H243,Wh_hp,'2019'!Maxi_hp)</f>
        <v>51.890414604753857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1.7713920700469066E-2</v>
      </c>
      <c r="M243" s="959"/>
      <c r="N243" s="959"/>
      <c r="O243" s="48">
        <f>IF(t&lt;Tnet,'2019'!Resal+('2019'!Salim-'2019'!Resal)*(1-EXP(('2019'!Tnet-t)/('2019'!Tau_j))),Resal+(Salim-Resal)*(1-EXP((Tnet-t)/(Tau_j))))*Salcycl</f>
        <v>7.9277412358256499E-2</v>
      </c>
      <c r="P243" s="169">
        <f>(INDEX(Models!$BJ243:$BT243,,T243)*(1-R243)+INDEX(Models!$BJ243:$BT243,,T243+1)*R243-ERP_i)*Q243*Ramure*Pc/MaxiM</f>
        <v>7.7958716057838272E-4</v>
      </c>
      <c r="Q243" s="305">
        <f t="shared" si="77"/>
        <v>0.7</v>
      </c>
      <c r="R243" s="177">
        <f t="shared" si="78"/>
        <v>0.47134314804480781</v>
      </c>
      <c r="S243" s="921">
        <f t="shared" si="79"/>
        <v>-1</v>
      </c>
      <c r="T243" s="176">
        <f t="shared" si="80"/>
        <v>5</v>
      </c>
      <c r="U243" s="251">
        <f t="shared" si="81"/>
        <v>-0.52865685195519219</v>
      </c>
      <c r="V243" s="383">
        <f t="shared" si="82"/>
        <v>47.574912929793101</v>
      </c>
      <c r="W243" s="402"/>
      <c r="X243" s="157">
        <f t="shared" si="83"/>
        <v>44059</v>
      </c>
      <c r="Y243" s="385">
        <f t="shared" si="84"/>
        <v>18.72</v>
      </c>
      <c r="Z243" s="385">
        <f t="shared" si="85"/>
        <v>19.0575845413072</v>
      </c>
      <c r="AA243" s="386">
        <f t="shared" si="86"/>
        <v>20.698508755085061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7.9277412358256499E-2</v>
      </c>
      <c r="AD243" s="231">
        <f>(INDEX(Models!$BJ243:$BT243,,AH243)*(1-AF243)+INDEX(Models!$BJ243:$BT243,,AH243+1)*AF243-ERP_i)*AE243*Ramure*Pc/MaxiM</f>
        <v>7.7958716057838272E-4</v>
      </c>
      <c r="AE243" s="305">
        <f t="shared" si="88"/>
        <v>0.7</v>
      </c>
      <c r="AF243" s="177">
        <f t="shared" si="89"/>
        <v>0.47134314804480781</v>
      </c>
      <c r="AG243" s="921">
        <f t="shared" si="95"/>
        <v>-1</v>
      </c>
      <c r="AH243" s="176">
        <f t="shared" si="90"/>
        <v>5</v>
      </c>
      <c r="AI243" s="225">
        <f t="shared" si="91"/>
        <v>-0.52865685195519219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20">
        <v>39.917000000000002</v>
      </c>
      <c r="C244" s="390"/>
      <c r="D244" s="393">
        <f t="shared" si="74"/>
        <v>40.637727791438564</v>
      </c>
      <c r="E244" s="385">
        <f t="shared" si="96"/>
        <v>44.138618072654914</v>
      </c>
      <c r="F244" s="385">
        <f t="shared" si="75"/>
        <v>44.1633880179076</v>
      </c>
      <c r="G244" s="110">
        <f t="shared" si="97"/>
        <v>0.84072050130795073</v>
      </c>
      <c r="H244" s="414" t="b">
        <f>Wh_hp&gt;='2019'!Maxi_hp</f>
        <v>1</v>
      </c>
      <c r="I244" s="380">
        <f>IF(H244,Wh_hp,'2019'!Maxi_hp)</f>
        <v>44.1633880179076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1.7735435286576395E-2</v>
      </c>
      <c r="M244" s="959"/>
      <c r="N244" s="959"/>
      <c r="O244" s="48">
        <f>IF(t&lt;Tnet,'2019'!Resal+('2019'!Salim-'2019'!Resal)*(1-EXP(('2019'!Tnet-t)/('2019'!Tau_j))),Resal+(Salim-Resal)*(1-EXP((Tnet-t)/(Tau_j))))*Salcycl</f>
        <v>7.9315810827010225E-2</v>
      </c>
      <c r="P244" s="169">
        <f>(INDEX(Models!$BJ244:$BT244,,T244)*(1-R244)+INDEX(Models!$BJ244:$BT244,,T244+1)*R244-ERP_i)*Q244*Ramure*Pc/MaxiM</f>
        <v>7.258992799707109E-4</v>
      </c>
      <c r="Q244" s="305">
        <f t="shared" si="77"/>
        <v>0.7</v>
      </c>
      <c r="R244" s="177">
        <f t="shared" si="78"/>
        <v>0.4724407328496214</v>
      </c>
      <c r="S244" s="921">
        <f t="shared" si="79"/>
        <v>-1</v>
      </c>
      <c r="T244" s="176">
        <f t="shared" si="80"/>
        <v>5</v>
      </c>
      <c r="U244" s="251">
        <f t="shared" si="81"/>
        <v>-0.5275592671503786</v>
      </c>
      <c r="V244" s="383">
        <f t="shared" si="82"/>
        <v>47.471673154982092</v>
      </c>
      <c r="W244" s="402"/>
      <c r="X244" s="157">
        <f t="shared" si="83"/>
        <v>44060</v>
      </c>
      <c r="Y244" s="385">
        <f t="shared" si="84"/>
        <v>39.917000000000002</v>
      </c>
      <c r="Z244" s="385">
        <f t="shared" si="85"/>
        <v>40.637727791438564</v>
      </c>
      <c r="AA244" s="386">
        <f t="shared" si="86"/>
        <v>44.138618072654914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7.9315810827010225E-2</v>
      </c>
      <c r="AD244" s="231">
        <f>(INDEX(Models!$BJ244:$BT244,,AH244)*(1-AF244)+INDEX(Models!$BJ244:$BT244,,AH244+1)*AF244-ERP_i)*AE244*Ramure*Pc/MaxiM</f>
        <v>7.258992799707109E-4</v>
      </c>
      <c r="AE244" s="305">
        <f t="shared" si="88"/>
        <v>0.7</v>
      </c>
      <c r="AF244" s="177">
        <f t="shared" si="89"/>
        <v>0.4724407328496214</v>
      </c>
      <c r="AG244" s="921">
        <f t="shared" si="95"/>
        <v>-1</v>
      </c>
      <c r="AH244" s="176">
        <f t="shared" si="90"/>
        <v>5</v>
      </c>
      <c r="AI244" s="225">
        <f t="shared" si="91"/>
        <v>-0.5275592671503786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20">
        <v>34.932000000000002</v>
      </c>
      <c r="C245" s="390"/>
      <c r="D245" s="393">
        <f t="shared" si="74"/>
        <v>35.56349925684259</v>
      </c>
      <c r="E245" s="385">
        <f t="shared" si="96"/>
        <v>38.628850833357269</v>
      </c>
      <c r="F245" s="385">
        <f t="shared" si="75"/>
        <v>38.64514373942508</v>
      </c>
      <c r="G245" s="110">
        <f t="shared" si="97"/>
        <v>0.73726590398634817</v>
      </c>
      <c r="H245" s="414" t="b">
        <f>Wh_hp&gt;='2019'!Maxi_hp</f>
        <v>0</v>
      </c>
      <c r="I245" s="380">
        <f>IF(H245,Wh_hp,'2019'!Maxi_hp)</f>
        <v>49.967163493960541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1.7756949401459221E-2</v>
      </c>
      <c r="M245" s="959"/>
      <c r="N245" s="959"/>
      <c r="O245" s="48">
        <f>IF(t&lt;Tnet,'2019'!Resal+('2019'!Salim-'2019'!Resal)*(1-EXP(('2019'!Tnet-t)/('2019'!Tau_j))),Resal+(Salim-Resal)*(1-EXP((Tnet-t)/(Tau_j))))*Salcycl</f>
        <v>7.9353941688258711E-2</v>
      </c>
      <c r="P245" s="169">
        <f>(INDEX(Models!$BJ245:$BT245,,T245)*(1-R245)+INDEX(Models!$BJ245:$BT245,,T245+1)*R245-ERP_i)*Q245*Ramure*Pc/MaxiM</f>
        <v>6.7463781480222478E-4</v>
      </c>
      <c r="Q245" s="305">
        <f t="shared" si="77"/>
        <v>0.7</v>
      </c>
      <c r="R245" s="177">
        <f t="shared" si="78"/>
        <v>0.47349893689906075</v>
      </c>
      <c r="S245" s="921">
        <f t="shared" si="79"/>
        <v>-1</v>
      </c>
      <c r="T245" s="176">
        <f t="shared" si="80"/>
        <v>5</v>
      </c>
      <c r="U245" s="251">
        <f t="shared" si="81"/>
        <v>-0.52650106310093925</v>
      </c>
      <c r="V245" s="383">
        <f t="shared" si="82"/>
        <v>47.368469189562276</v>
      </c>
      <c r="W245" s="402"/>
      <c r="X245" s="157">
        <f t="shared" si="83"/>
        <v>44061</v>
      </c>
      <c r="Y245" s="385">
        <f t="shared" si="84"/>
        <v>34.932000000000002</v>
      </c>
      <c r="Z245" s="385">
        <f t="shared" si="85"/>
        <v>35.56349925684259</v>
      </c>
      <c r="AA245" s="386">
        <f t="shared" si="86"/>
        <v>38.628850833357269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7.9353941688258711E-2</v>
      </c>
      <c r="AD245" s="231">
        <f>(INDEX(Models!$BJ245:$BT245,,AH245)*(1-AF245)+INDEX(Models!$BJ245:$BT245,,AH245+1)*AF245-ERP_i)*AE245*Ramure*Pc/MaxiM</f>
        <v>6.7463781480222478E-4</v>
      </c>
      <c r="AE245" s="305">
        <f t="shared" si="88"/>
        <v>0.7</v>
      </c>
      <c r="AF245" s="177">
        <f t="shared" si="89"/>
        <v>0.47349893689906075</v>
      </c>
      <c r="AG245" s="921">
        <f t="shared" si="95"/>
        <v>-1</v>
      </c>
      <c r="AH245" s="176">
        <f t="shared" si="90"/>
        <v>5</v>
      </c>
      <c r="AI245" s="225">
        <f t="shared" si="91"/>
        <v>-0.52650106310093925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20">
        <v>45.94</v>
      </c>
      <c r="C246" s="390"/>
      <c r="D246" s="393">
        <f t="shared" si="74"/>
        <v>46.771525843777837</v>
      </c>
      <c r="E246" s="385">
        <f t="shared" si="96"/>
        <v>50.805028282599039</v>
      </c>
      <c r="F246" s="385">
        <f t="shared" si="75"/>
        <v>50.835568052439349</v>
      </c>
      <c r="G246" s="110">
        <f t="shared" si="97"/>
        <v>0.97193434574024429</v>
      </c>
      <c r="H246" s="414" t="b">
        <f>Wh_hp&gt;='2019'!Maxi_hp</f>
        <v>0</v>
      </c>
      <c r="I246" s="380">
        <f>IF(H246,Wh_hp,'2019'!Maxi_hp)</f>
        <v>51.550510278445401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1.7778463045127646E-2</v>
      </c>
      <c r="M246" s="959"/>
      <c r="N246" s="959"/>
      <c r="O246" s="48">
        <f>IF(t&lt;Tnet,'2019'!Resal+('2019'!Salim-'2019'!Resal)*(1-EXP(('2019'!Tnet-t)/('2019'!Tau_j))),Resal+(Salim-Resal)*(1-EXP((Tnet-t)/(Tau_j))))*Salcycl</f>
        <v>7.9391795953446934E-2</v>
      </c>
      <c r="P246" s="169">
        <f>(INDEX(Models!$BJ246:$BT246,,T246)*(1-R246)+INDEX(Models!$BJ246:$BT246,,T246+1)*R246-ERP_i)*Q246*Ramure*Pc/MaxiM</f>
        <v>6.2582588183615628E-4</v>
      </c>
      <c r="Q246" s="305">
        <f t="shared" si="77"/>
        <v>0.7</v>
      </c>
      <c r="R246" s="177">
        <f t="shared" si="78"/>
        <v>0.47451899596834601</v>
      </c>
      <c r="S246" s="921">
        <f t="shared" si="79"/>
        <v>-1</v>
      </c>
      <c r="T246" s="176">
        <f t="shared" si="80"/>
        <v>5</v>
      </c>
      <c r="U246" s="251">
        <f t="shared" si="81"/>
        <v>-0.52548100403165399</v>
      </c>
      <c r="V246" s="383">
        <f t="shared" si="82"/>
        <v>47.265381449097617</v>
      </c>
      <c r="W246" s="402"/>
      <c r="X246" s="157">
        <f t="shared" si="83"/>
        <v>44062</v>
      </c>
      <c r="Y246" s="385">
        <f t="shared" si="84"/>
        <v>45.94</v>
      </c>
      <c r="Z246" s="385">
        <f t="shared" si="85"/>
        <v>46.771525843777837</v>
      </c>
      <c r="AA246" s="386">
        <f t="shared" si="86"/>
        <v>50.805028282599039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7.9391795953446934E-2</v>
      </c>
      <c r="AD246" s="231">
        <f>(INDEX(Models!$BJ246:$BT246,,AH246)*(1-AF246)+INDEX(Models!$BJ246:$BT246,,AH246+1)*AF246-ERP_i)*AE246*Ramure*Pc/MaxiM</f>
        <v>6.2582588183615628E-4</v>
      </c>
      <c r="AE246" s="305">
        <f t="shared" si="88"/>
        <v>0.7</v>
      </c>
      <c r="AF246" s="177">
        <f t="shared" si="89"/>
        <v>0.47451899596834601</v>
      </c>
      <c r="AG246" s="921">
        <f t="shared" si="95"/>
        <v>-1</v>
      </c>
      <c r="AH246" s="176">
        <f t="shared" si="90"/>
        <v>5</v>
      </c>
      <c r="AI246" s="225">
        <f t="shared" si="91"/>
        <v>-0.52548100403165399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20">
        <v>46.786000000000001</v>
      </c>
      <c r="C247" s="390"/>
      <c r="D247" s="393">
        <f t="shared" si="74"/>
        <v>47.63388196614904</v>
      </c>
      <c r="E247" s="385">
        <f t="shared" si="96"/>
        <v>51.743864196105093</v>
      </c>
      <c r="F247" s="385">
        <f t="shared" si="75"/>
        <v>51.773522913939907</v>
      </c>
      <c r="G247" s="110">
        <f t="shared" si="97"/>
        <v>0.99199420549839756</v>
      </c>
      <c r="H247" s="414" t="b">
        <f>Wh_hp&gt;='2019'!Maxi_hp</f>
        <v>1</v>
      </c>
      <c r="I247" s="380">
        <f>IF(H247,Wh_hp,'2019'!Maxi_hp)</f>
        <v>51.773522913939907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1.7799976217592106E-2</v>
      </c>
      <c r="M247" s="959"/>
      <c r="N247" s="959"/>
      <c r="O247" s="48">
        <f>IF(t&lt;Tnet,'2019'!Resal+('2019'!Salim-'2019'!Resal)*(1-EXP(('2019'!Tnet-t)/('2019'!Tau_j))),Resal+(Salim-Resal)*(1-EXP((Tnet-t)/(Tau_j))))*Salcycl</f>
        <v>7.9429364115125828E-2</v>
      </c>
      <c r="P247" s="169">
        <f>(INDEX(Models!$BJ247:$BT247,,T247)*(1-R247)+INDEX(Models!$BJ247:$BT247,,T247+1)*R247-ERP_i)*Q247*Ramure*Pc/MaxiM</f>
        <v>5.794768784579083E-4</v>
      </c>
      <c r="Q247" s="305">
        <f t="shared" si="77"/>
        <v>0.7</v>
      </c>
      <c r="R247" s="177">
        <f t="shared" si="78"/>
        <v>0.47550212045201024</v>
      </c>
      <c r="S247" s="921">
        <f t="shared" si="79"/>
        <v>-1</v>
      </c>
      <c r="T247" s="176">
        <f t="shared" si="80"/>
        <v>5</v>
      </c>
      <c r="U247" s="251">
        <f t="shared" si="81"/>
        <v>-0.52449787954798976</v>
      </c>
      <c r="V247" s="383">
        <f t="shared" si="82"/>
        <v>47.163269451179865</v>
      </c>
      <c r="W247" s="402"/>
      <c r="X247" s="157">
        <f t="shared" si="83"/>
        <v>44063</v>
      </c>
      <c r="Y247" s="385">
        <f t="shared" si="84"/>
        <v>46.786000000000001</v>
      </c>
      <c r="Z247" s="385">
        <f t="shared" si="85"/>
        <v>47.63388196614904</v>
      </c>
      <c r="AA247" s="386">
        <f t="shared" si="86"/>
        <v>51.743864196105093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7.9429364115125828E-2</v>
      </c>
      <c r="AD247" s="231">
        <f>(INDEX(Models!$BJ247:$BT247,,AH247)*(1-AF247)+INDEX(Models!$BJ247:$BT247,,AH247+1)*AF247-ERP_i)*AE247*Ramure*Pc/MaxiM</f>
        <v>5.794768784579083E-4</v>
      </c>
      <c r="AE247" s="305">
        <f t="shared" si="88"/>
        <v>0.7</v>
      </c>
      <c r="AF247" s="177">
        <f t="shared" si="89"/>
        <v>0.47550212045201024</v>
      </c>
      <c r="AG247" s="921">
        <f t="shared" si="95"/>
        <v>-1</v>
      </c>
      <c r="AH247" s="176">
        <f t="shared" si="90"/>
        <v>5</v>
      </c>
      <c r="AI247" s="225">
        <f t="shared" si="91"/>
        <v>-0.52449787954798976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20">
        <v>41.898000000000003</v>
      </c>
      <c r="C248" s="390"/>
      <c r="D248" s="393">
        <f t="shared" si="74"/>
        <v>42.658233230821352</v>
      </c>
      <c r="E248" s="385">
        <f t="shared" si="96"/>
        <v>46.340779061060346</v>
      </c>
      <c r="F248" s="385">
        <f t="shared" si="75"/>
        <v>46.361787741362164</v>
      </c>
      <c r="G248" s="110">
        <f t="shared" si="97"/>
        <v>0.89018690119696198</v>
      </c>
      <c r="H248" s="414" t="b">
        <f>Wh_hp&gt;='2019'!Maxi_hp</f>
        <v>0</v>
      </c>
      <c r="I248" s="380">
        <f>IF(H248,Wh_hp,'2019'!Maxi_hp)</f>
        <v>53.717329476513434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1.7821488918862816E-2</v>
      </c>
      <c r="M248" s="959"/>
      <c r="N248" s="959"/>
      <c r="O248" s="48">
        <f>IF(t&lt;Tnet,'2019'!Resal+('2019'!Salim-'2019'!Resal)*(1-EXP(('2019'!Tnet-t)/('2019'!Tau_j))),Resal+(Salim-Resal)*(1-EXP((Tnet-t)/(Tau_j))))*Salcycl</f>
        <v>7.9466636186386344E-2</v>
      </c>
      <c r="P248" s="169">
        <f>(INDEX(Models!$BJ248:$BT248,,T248)*(1-R248)+INDEX(Models!$BJ248:$BT248,,T248+1)*R248-ERP_i)*Q248*Ramure*Pc/MaxiM</f>
        <v>5.3739282006458452E-4</v>
      </c>
      <c r="Q248" s="305">
        <f t="shared" si="77"/>
        <v>0.7</v>
      </c>
      <c r="R248" s="177">
        <f t="shared" si="78"/>
        <v>0.47644949480362864</v>
      </c>
      <c r="S248" s="921">
        <f t="shared" si="79"/>
        <v>-1</v>
      </c>
      <c r="T248" s="176">
        <f t="shared" si="80"/>
        <v>5</v>
      </c>
      <c r="U248" s="251">
        <f t="shared" si="81"/>
        <v>-0.52355050519637136</v>
      </c>
      <c r="V248" s="383">
        <f t="shared" si="82"/>
        <v>47.062553481444517</v>
      </c>
      <c r="W248" s="402"/>
      <c r="X248" s="157">
        <f t="shared" si="83"/>
        <v>44064</v>
      </c>
      <c r="Y248" s="385">
        <f t="shared" si="84"/>
        <v>41.898000000000003</v>
      </c>
      <c r="Z248" s="385">
        <f t="shared" si="85"/>
        <v>42.658233230821352</v>
      </c>
      <c r="AA248" s="386">
        <f t="shared" si="86"/>
        <v>46.340779061060346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7.9466636186386344E-2</v>
      </c>
      <c r="AD248" s="231">
        <f>(INDEX(Models!$BJ248:$BT248,,AH248)*(1-AF248)+INDEX(Models!$BJ248:$BT248,,AH248+1)*AF248-ERP_i)*AE248*Ramure*Pc/MaxiM</f>
        <v>5.3739282006458452E-4</v>
      </c>
      <c r="AE248" s="305">
        <f t="shared" si="88"/>
        <v>0.7</v>
      </c>
      <c r="AF248" s="177">
        <f t="shared" si="89"/>
        <v>0.47644949480362864</v>
      </c>
      <c r="AG248" s="921">
        <f t="shared" si="95"/>
        <v>-1</v>
      </c>
      <c r="AH248" s="176">
        <f t="shared" si="90"/>
        <v>5</v>
      </c>
      <c r="AI248" s="225">
        <f t="shared" si="91"/>
        <v>-0.52355050519637136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20">
        <v>31.678999999999998</v>
      </c>
      <c r="C249" s="390"/>
      <c r="D249" s="393">
        <f t="shared" si="74"/>
        <v>32.254517390864017</v>
      </c>
      <c r="E249" s="385">
        <f t="shared" si="96"/>
        <v>35.040351544612527</v>
      </c>
      <c r="F249" s="385">
        <f t="shared" si="75"/>
        <v>35.04970337015331</v>
      </c>
      <c r="G249" s="110">
        <f t="shared" si="97"/>
        <v>0.67439837248069745</v>
      </c>
      <c r="H249" s="414" t="b">
        <f>Wh_hp&gt;='2019'!Maxi_hp</f>
        <v>0</v>
      </c>
      <c r="I249" s="380">
        <f>IF(H249,Wh_hp,'2019'!Maxi_hp)</f>
        <v>51.339633290441888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1.784300114895021E-2</v>
      </c>
      <c r="M249" s="959"/>
      <c r="N249" s="959"/>
      <c r="O249" s="48">
        <f>IF(t&lt;Tnet,'2019'!Resal+('2019'!Salim-'2019'!Resal)*(1-EXP(('2019'!Tnet-t)/('2019'!Tau_j))),Resal+(Salim-Resal)*(1-EXP((Tnet-t)/(Tau_j))))*Salcycl</f>
        <v>7.9503601731896328E-2</v>
      </c>
      <c r="P249" s="169">
        <f>(INDEX(Models!$BJ249:$BT249,,T249)*(1-R249)+INDEX(Models!$BJ249:$BT249,,T249+1)*R249-ERP_i)*Q249*Ramure*Pc/MaxiM</f>
        <v>4.9864873871619084E-4</v>
      </c>
      <c r="Q249" s="305">
        <f t="shared" si="77"/>
        <v>0.7</v>
      </c>
      <c r="R249" s="177">
        <f t="shared" si="78"/>
        <v>0.47736227708801482</v>
      </c>
      <c r="S249" s="921">
        <f t="shared" si="79"/>
        <v>-1</v>
      </c>
      <c r="T249" s="176">
        <f t="shared" si="80"/>
        <v>5</v>
      </c>
      <c r="U249" s="251">
        <f t="shared" si="81"/>
        <v>-0.52263772291198518</v>
      </c>
      <c r="V249" s="383">
        <f t="shared" si="82"/>
        <v>46.962826582160197</v>
      </c>
      <c r="W249" s="402"/>
      <c r="X249" s="157">
        <f t="shared" si="83"/>
        <v>44065</v>
      </c>
      <c r="Y249" s="385">
        <f t="shared" si="84"/>
        <v>31.678999999999995</v>
      </c>
      <c r="Z249" s="385">
        <f t="shared" si="85"/>
        <v>32.254517390864017</v>
      </c>
      <c r="AA249" s="386">
        <f t="shared" si="86"/>
        <v>35.040351544612527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7.9503601731896328E-2</v>
      </c>
      <c r="AD249" s="231">
        <f>(INDEX(Models!$BJ249:$BT249,,AH249)*(1-AF249)+INDEX(Models!$BJ249:$BT249,,AH249+1)*AF249-ERP_i)*AE249*Ramure*Pc/MaxiM</f>
        <v>4.9864873871619084E-4</v>
      </c>
      <c r="AE249" s="305">
        <f t="shared" si="88"/>
        <v>0.7</v>
      </c>
      <c r="AF249" s="177">
        <f t="shared" si="89"/>
        <v>0.47736227708801482</v>
      </c>
      <c r="AG249" s="921">
        <f t="shared" si="95"/>
        <v>-1</v>
      </c>
      <c r="AH249" s="176">
        <f t="shared" si="90"/>
        <v>5</v>
      </c>
      <c r="AI249" s="225">
        <f t="shared" si="91"/>
        <v>-0.52263772291198518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20">
        <v>36.780999999999999</v>
      </c>
      <c r="C250" s="390"/>
      <c r="D250" s="393">
        <f t="shared" si="74"/>
        <v>37.450026481478233</v>
      </c>
      <c r="E250" s="385">
        <f t="shared" si="96"/>
        <v>40.68621846530575</v>
      </c>
      <c r="F250" s="385">
        <f t="shared" si="75"/>
        <v>40.699278359125465</v>
      </c>
      <c r="G250" s="110">
        <f t="shared" si="97"/>
        <v>0.78473980655096864</v>
      </c>
      <c r="H250" s="414" t="b">
        <f>Wh_hp&gt;='2019'!Maxi_hp</f>
        <v>0</v>
      </c>
      <c r="I250" s="380">
        <f>IF(H250,Wh_hp,'2019'!Maxi_hp)</f>
        <v>51.228164501997107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1.7864512907864505E-2</v>
      </c>
      <c r="M250" s="959"/>
      <c r="N250" s="959"/>
      <c r="O250" s="48">
        <f>IF(t&lt;Tnet,'2019'!Resal+('2019'!Salim-'2019'!Resal)*(1-EXP(('2019'!Tnet-t)/('2019'!Tau_j))),Resal+(Salim-Resal)*(1-EXP((Tnet-t)/(Tau_j))))*Salcycl</f>
        <v>7.9540249890441644E-2</v>
      </c>
      <c r="P250" s="169">
        <f>(INDEX(Models!$BJ250:$BT250,,T250)*(1-R250)+INDEX(Models!$BJ250:$BT250,,T250+1)*R250-ERP_i)*Q250*Ramure*Pc/MaxiM</f>
        <v>4.6327850002268907E-4</v>
      </c>
      <c r="Q250" s="305">
        <f t="shared" si="77"/>
        <v>0.7</v>
      </c>
      <c r="R250" s="177">
        <f t="shared" si="78"/>
        <v>0.47824159863767912</v>
      </c>
      <c r="S250" s="921">
        <f t="shared" si="79"/>
        <v>-1</v>
      </c>
      <c r="T250" s="176">
        <f t="shared" si="80"/>
        <v>5</v>
      </c>
      <c r="U250" s="251">
        <f t="shared" si="81"/>
        <v>-0.52175840136232088</v>
      </c>
      <c r="V250" s="383">
        <f t="shared" si="82"/>
        <v>46.863636497404016</v>
      </c>
      <c r="W250" s="402"/>
      <c r="X250" s="157">
        <f t="shared" si="83"/>
        <v>44066</v>
      </c>
      <c r="Y250" s="385">
        <f t="shared" si="84"/>
        <v>36.780999999999999</v>
      </c>
      <c r="Z250" s="385">
        <f t="shared" si="85"/>
        <v>37.450026481478233</v>
      </c>
      <c r="AA250" s="386">
        <f t="shared" si="86"/>
        <v>40.68621846530575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7.9540249890441644E-2</v>
      </c>
      <c r="AD250" s="231">
        <f>(INDEX(Models!$BJ250:$BT250,,AH250)*(1-AF250)+INDEX(Models!$BJ250:$BT250,,AH250+1)*AF250-ERP_i)*AE250*Ramure*Pc/MaxiM</f>
        <v>4.6327850002268907E-4</v>
      </c>
      <c r="AE250" s="305">
        <f t="shared" si="88"/>
        <v>0.7</v>
      </c>
      <c r="AF250" s="177">
        <f t="shared" si="89"/>
        <v>0.47824159863767912</v>
      </c>
      <c r="AG250" s="921">
        <f t="shared" si="95"/>
        <v>-1</v>
      </c>
      <c r="AH250" s="176">
        <f t="shared" si="90"/>
        <v>5</v>
      </c>
      <c r="AI250" s="225">
        <f t="shared" si="91"/>
        <v>-0.52175840136232088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20">
        <v>43.128999999999998</v>
      </c>
      <c r="C251" s="390"/>
      <c r="D251" s="393">
        <f t="shared" si="74"/>
        <v>43.914455004752291</v>
      </c>
      <c r="E251" s="385">
        <f t="shared" si="96"/>
        <v>47.711144180240481</v>
      </c>
      <c r="F251" s="385">
        <f t="shared" si="75"/>
        <v>47.729444245142325</v>
      </c>
      <c r="G251" s="110">
        <f t="shared" si="97"/>
        <v>0.92221459780345638</v>
      </c>
      <c r="H251" s="414" t="b">
        <f>Wh_hp&gt;='2019'!Maxi_hp</f>
        <v>1</v>
      </c>
      <c r="I251" s="380">
        <f>IF(H251,Wh_hp,'2019'!Maxi_hp)</f>
        <v>47.729444245142325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1.7886024195616135E-2</v>
      </c>
      <c r="M251" s="959"/>
      <c r="N251" s="959"/>
      <c r="O251" s="48">
        <f>IF(t&lt;Tnet,'2019'!Resal+('2019'!Salim-'2019'!Resal)*(1-EXP(('2019'!Tnet-t)/('2019'!Tau_j))),Resal+(Salim-Resal)*(1-EXP((Tnet-t)/(Tau_j))))*Salcycl</f>
        <v>7.9576569389014737E-2</v>
      </c>
      <c r="P251" s="169">
        <f>(INDEX(Models!$BJ251:$BT251,,T251)*(1-R251)+INDEX(Models!$BJ251:$BT251,,T251+1)*R251-ERP_i)*Q251*Ramure*Pc/MaxiM</f>
        <v>4.3131369783893021E-4</v>
      </c>
      <c r="Q251" s="305">
        <f t="shared" si="77"/>
        <v>0.7</v>
      </c>
      <c r="R251" s="177">
        <f t="shared" si="78"/>
        <v>0.47908856380564369</v>
      </c>
      <c r="S251" s="921">
        <f t="shared" si="79"/>
        <v>-1</v>
      </c>
      <c r="T251" s="176">
        <f t="shared" si="80"/>
        <v>5</v>
      </c>
      <c r="U251" s="251">
        <f t="shared" si="81"/>
        <v>-0.52091143619435631</v>
      </c>
      <c r="V251" s="383">
        <f t="shared" si="82"/>
        <v>46.764531139468957</v>
      </c>
      <c r="W251" s="402"/>
      <c r="X251" s="157">
        <f t="shared" si="83"/>
        <v>44067</v>
      </c>
      <c r="Y251" s="385">
        <f t="shared" si="84"/>
        <v>43.128999999999998</v>
      </c>
      <c r="Z251" s="385">
        <f t="shared" si="85"/>
        <v>43.914455004752291</v>
      </c>
      <c r="AA251" s="386">
        <f t="shared" si="86"/>
        <v>47.711144180240481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7.9576569389014737E-2</v>
      </c>
      <c r="AD251" s="231">
        <f>(INDEX(Models!$BJ251:$BT251,,AH251)*(1-AF251)+INDEX(Models!$BJ251:$BT251,,AH251+1)*AF251-ERP_i)*AE251*Ramure*Pc/MaxiM</f>
        <v>4.3131369783893021E-4</v>
      </c>
      <c r="AE251" s="305">
        <f t="shared" si="88"/>
        <v>0.7</v>
      </c>
      <c r="AF251" s="177">
        <f t="shared" si="89"/>
        <v>0.47908856380564369</v>
      </c>
      <c r="AG251" s="921">
        <f t="shared" si="95"/>
        <v>-1</v>
      </c>
      <c r="AH251" s="176">
        <f t="shared" si="90"/>
        <v>5</v>
      </c>
      <c r="AI251" s="225">
        <f t="shared" si="91"/>
        <v>-0.52091143619435631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20">
        <v>45.765000000000001</v>
      </c>
      <c r="C252" s="390"/>
      <c r="D252" s="393">
        <f t="shared" si="74"/>
        <v>46.599481852830657</v>
      </c>
      <c r="E252" s="385">
        <f t="shared" si="96"/>
        <v>50.630288124145643</v>
      </c>
      <c r="F252" s="385">
        <f t="shared" si="75"/>
        <v>50.650127035639308</v>
      </c>
      <c r="G252" s="110">
        <f t="shared" si="97"/>
        <v>0.98070147683089581</v>
      </c>
      <c r="H252" s="414" t="b">
        <f>Wh_hp&gt;='2019'!Maxi_hp</f>
        <v>0</v>
      </c>
      <c r="I252" s="380">
        <f>IF(H252,Wh_hp,'2019'!Maxi_hp)</f>
        <v>53.637175533284911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1.7907535012215314E-2</v>
      </c>
      <c r="M252" s="959"/>
      <c r="N252" s="959"/>
      <c r="O252" s="48">
        <f>IF(t&lt;Tnet,'2019'!Resal+('2019'!Salim-'2019'!Resal)*(1-EXP(('2019'!Tnet-t)/('2019'!Tau_j))),Resal+(Salim-Resal)*(1-EXP((Tnet-t)/(Tau_j))))*Salcycl</f>
        <v>7.961254854863628E-2</v>
      </c>
      <c r="P252" s="169">
        <f>(INDEX(Models!$BJ252:$BT252,,T252)*(1-R252)+INDEX(Models!$BJ252:$BT252,,T252+1)*R252-ERP_i)*Q252*Ramure*Pc/MaxiM</f>
        <v>4.0278352772529574E-4</v>
      </c>
      <c r="Q252" s="305">
        <f t="shared" si="77"/>
        <v>0.7</v>
      </c>
      <c r="R252" s="177">
        <f t="shared" si="78"/>
        <v>0.47990424980704738</v>
      </c>
      <c r="S252" s="921">
        <f t="shared" si="79"/>
        <v>-1</v>
      </c>
      <c r="T252" s="176">
        <f t="shared" si="80"/>
        <v>5</v>
      </c>
      <c r="U252" s="251">
        <f t="shared" si="81"/>
        <v>-0.52009575019295262</v>
      </c>
      <c r="V252" s="383">
        <f t="shared" si="82"/>
        <v>46.665058606460171</v>
      </c>
      <c r="W252" s="402"/>
      <c r="X252" s="157">
        <f t="shared" si="83"/>
        <v>44068</v>
      </c>
      <c r="Y252" s="385">
        <f t="shared" si="84"/>
        <v>45.765000000000001</v>
      </c>
      <c r="Z252" s="385">
        <f t="shared" si="85"/>
        <v>46.599481852830657</v>
      </c>
      <c r="AA252" s="386">
        <f t="shared" si="86"/>
        <v>50.630288124145643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7.961254854863628E-2</v>
      </c>
      <c r="AD252" s="231">
        <f>(INDEX(Models!$BJ252:$BT252,,AH252)*(1-AF252)+INDEX(Models!$BJ252:$BT252,,AH252+1)*AF252-ERP_i)*AE252*Ramure*Pc/MaxiM</f>
        <v>4.0278352772529574E-4</v>
      </c>
      <c r="AE252" s="305">
        <f t="shared" si="88"/>
        <v>0.7</v>
      </c>
      <c r="AF252" s="177">
        <f t="shared" si="89"/>
        <v>0.47990424980704738</v>
      </c>
      <c r="AG252" s="921">
        <f t="shared" si="95"/>
        <v>-1</v>
      </c>
      <c r="AH252" s="176">
        <f t="shared" si="90"/>
        <v>5</v>
      </c>
      <c r="AI252" s="225">
        <f t="shared" si="91"/>
        <v>-0.52009575019295262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20">
        <v>21.742999999999999</v>
      </c>
      <c r="C253" s="390"/>
      <c r="D253" s="393">
        <f t="shared" si="74"/>
        <v>22.139948134316679</v>
      </c>
      <c r="E253" s="385">
        <f t="shared" si="96"/>
        <v>24.055961578721401</v>
      </c>
      <c r="F253" s="385">
        <f t="shared" si="75"/>
        <v>24.058128741889782</v>
      </c>
      <c r="G253" s="110">
        <f t="shared" si="97"/>
        <v>0.46680670190067053</v>
      </c>
      <c r="H253" s="414" t="b">
        <f>Wh_hp&gt;='2019'!Maxi_hp</f>
        <v>0</v>
      </c>
      <c r="I253" s="380">
        <f>IF(H253,Wh_hp,'2019'!Maxi_hp)</f>
        <v>51.403994258295555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1.792904535767248E-2</v>
      </c>
      <c r="M253" s="959"/>
      <c r="N253" s="959"/>
      <c r="O253" s="48">
        <f>IF(t&lt;Tnet,'2019'!Resal+('2019'!Salim-'2019'!Resal)*(1-EXP(('2019'!Tnet-t)/('2019'!Tau_j))),Resal+(Salim-Resal)*(1-EXP((Tnet-t)/(Tau_j))))*Salcycl</f>
        <v>7.9648175282235473E-2</v>
      </c>
      <c r="P253" s="169">
        <f>(INDEX(Models!$BJ253:$BT253,,T253)*(1-R253)+INDEX(Models!$BJ253:$BT253,,T253+1)*R253-ERP_i)*Q253*Ramure*Pc/MaxiM</f>
        <v>3.7771543909959619E-4</v>
      </c>
      <c r="Q253" s="305">
        <f t="shared" si="77"/>
        <v>0.7</v>
      </c>
      <c r="R253" s="177">
        <f t="shared" si="78"/>
        <v>0.4806897066422946</v>
      </c>
      <c r="S253" s="921">
        <f t="shared" si="79"/>
        <v>-1</v>
      </c>
      <c r="T253" s="176">
        <f t="shared" si="80"/>
        <v>5</v>
      </c>
      <c r="U253" s="251">
        <f t="shared" si="81"/>
        <v>-0.5193102933577054</v>
      </c>
      <c r="V253" s="383">
        <f t="shared" si="82"/>
        <v>46.564767165917296</v>
      </c>
      <c r="W253" s="402"/>
      <c r="X253" s="157">
        <f t="shared" si="83"/>
        <v>44069</v>
      </c>
      <c r="Y253" s="385">
        <f t="shared" si="84"/>
        <v>21.742999999999999</v>
      </c>
      <c r="Z253" s="385">
        <f t="shared" si="85"/>
        <v>22.139948134316679</v>
      </c>
      <c r="AA253" s="386">
        <f t="shared" si="86"/>
        <v>24.055961578721401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7.9648175282235473E-2</v>
      </c>
      <c r="AD253" s="231">
        <f>(INDEX(Models!$BJ253:$BT253,,AH253)*(1-AF253)+INDEX(Models!$BJ253:$BT253,,AH253+1)*AF253-ERP_i)*AE253*Ramure*Pc/MaxiM</f>
        <v>3.7771543909959619E-4</v>
      </c>
      <c r="AE253" s="305">
        <f t="shared" si="88"/>
        <v>0.7</v>
      </c>
      <c r="AF253" s="177">
        <f t="shared" si="89"/>
        <v>0.4806897066422946</v>
      </c>
      <c r="AG253" s="921">
        <f t="shared" si="95"/>
        <v>-1</v>
      </c>
      <c r="AH253" s="176">
        <f t="shared" si="90"/>
        <v>5</v>
      </c>
      <c r="AI253" s="225">
        <f t="shared" si="91"/>
        <v>-0.5193102933577054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20">
        <v>44.64</v>
      </c>
      <c r="C254" s="390"/>
      <c r="D254" s="393">
        <f t="shared" si="74"/>
        <v>45.455959715496483</v>
      </c>
      <c r="E254" s="385">
        <f t="shared" si="96"/>
        <v>49.391656683350675</v>
      </c>
      <c r="F254" s="385">
        <f t="shared" si="75"/>
        <v>49.408305965280356</v>
      </c>
      <c r="G254" s="110">
        <f t="shared" si="97"/>
        <v>0.96074181868525765</v>
      </c>
      <c r="H254" s="414" t="b">
        <f>Wh_hp&gt;='2019'!Maxi_hp</f>
        <v>1</v>
      </c>
      <c r="I254" s="380">
        <f>IF(H254,Wh_hp,'2019'!Maxi_hp)</f>
        <v>49.408305965280356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1.7950555231997734E-2</v>
      </c>
      <c r="M254" s="959"/>
      <c r="N254" s="959"/>
      <c r="O254" s="48">
        <f>IF(t&lt;Tnet,'2019'!Resal+('2019'!Salim-'2019'!Resal)*(1-EXP(('2019'!Tnet-t)/('2019'!Tau_j))),Resal+(Salim-Resal)*(1-EXP((Tnet-t)/(Tau_j))))*Salcycl</f>
        <v>7.9683437085050587E-2</v>
      </c>
      <c r="P254" s="169">
        <f>(INDEX(Models!$BJ254:$BT254,,T254)*(1-R254)+INDEX(Models!$BJ254:$BT254,,T254+1)*R254-ERP_i)*Q254*Ramure*Pc/MaxiM</f>
        <v>3.569843263292971E-4</v>
      </c>
      <c r="Q254" s="305">
        <f t="shared" si="77"/>
        <v>0.7</v>
      </c>
      <c r="R254" s="177">
        <f t="shared" si="78"/>
        <v>0.48144595709485438</v>
      </c>
      <c r="S254" s="921">
        <f t="shared" si="79"/>
        <v>-1</v>
      </c>
      <c r="T254" s="176">
        <f t="shared" si="80"/>
        <v>5</v>
      </c>
      <c r="U254" s="251">
        <f t="shared" si="81"/>
        <v>-0.51855404290514562</v>
      </c>
      <c r="V254" s="383">
        <f t="shared" si="82"/>
        <v>46.463165795761171</v>
      </c>
      <c r="W254" s="402"/>
      <c r="X254" s="157">
        <f t="shared" si="83"/>
        <v>44070</v>
      </c>
      <c r="Y254" s="385">
        <f t="shared" si="84"/>
        <v>44.64</v>
      </c>
      <c r="Z254" s="385">
        <f t="shared" si="85"/>
        <v>45.455959715496483</v>
      </c>
      <c r="AA254" s="386">
        <f t="shared" si="86"/>
        <v>49.391656683350675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7.9683437085050587E-2</v>
      </c>
      <c r="AD254" s="231">
        <f>(INDEX(Models!$BJ254:$BT254,,AH254)*(1-AF254)+INDEX(Models!$BJ254:$BT254,,AH254+1)*AF254-ERP_i)*AE254*Ramure*Pc/MaxiM</f>
        <v>3.569843263292971E-4</v>
      </c>
      <c r="AE254" s="305">
        <f t="shared" si="88"/>
        <v>0.7</v>
      </c>
      <c r="AF254" s="177">
        <f t="shared" si="89"/>
        <v>0.48144595709485438</v>
      </c>
      <c r="AG254" s="921">
        <f t="shared" si="95"/>
        <v>-1</v>
      </c>
      <c r="AH254" s="176">
        <f t="shared" si="90"/>
        <v>5</v>
      </c>
      <c r="AI254" s="225">
        <f t="shared" si="91"/>
        <v>-0.51855404290514562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20">
        <v>8.5340000000000007</v>
      </c>
      <c r="C255" s="390"/>
      <c r="D255" s="393">
        <f t="shared" si="74"/>
        <v>8.6901804853747233</v>
      </c>
      <c r="E255" s="385">
        <f t="shared" si="96"/>
        <v>9.4429571769688998</v>
      </c>
      <c r="F255" s="385">
        <f t="shared" si="75"/>
        <v>9.4429571769688998</v>
      </c>
      <c r="G255" s="110">
        <f t="shared" si="97"/>
        <v>0.18401918412516277</v>
      </c>
      <c r="H255" s="414" t="b">
        <f>Wh_hp&gt;='2019'!Maxi_hp</f>
        <v>0</v>
      </c>
      <c r="I255" s="380">
        <f>IF(H255,Wh_hp,'2019'!Maxi_hp)</f>
        <v>49.189574840738644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1.7972064635201623E-2</v>
      </c>
      <c r="M255" s="959"/>
      <c r="N255" s="959"/>
      <c r="O255" s="48">
        <f>IF(t&lt;Tnet,'2019'!Resal+('2019'!Salim-'2019'!Resal)*(1-EXP(('2019'!Tnet-t)/('2019'!Tau_j))),Resal+(Salim-Resal)*(1-EXP((Tnet-t)/(Tau_j))))*Salcycl</f>
        <v>7.9718321018142205E-2</v>
      </c>
      <c r="P255" s="169">
        <f>(INDEX(Models!$BJ255:$BT255,,T255)*(1-R255)+INDEX(Models!$BJ255:$BT255,,T255+1)*R255-ERP_i)*Q255*Ramure*Pc/MaxiM</f>
        <v>3.3882530838216779E-4</v>
      </c>
      <c r="Q255" s="305">
        <f t="shared" si="77"/>
        <v>0.7</v>
      </c>
      <c r="R255" s="177">
        <f t="shared" si="78"/>
        <v>0.48217399679714901</v>
      </c>
      <c r="S255" s="921">
        <f t="shared" si="79"/>
        <v>-1</v>
      </c>
      <c r="T255" s="176">
        <f t="shared" si="80"/>
        <v>5</v>
      </c>
      <c r="U255" s="251">
        <f t="shared" si="81"/>
        <v>-0.51782600320285099</v>
      </c>
      <c r="V255" s="383">
        <f t="shared" si="82"/>
        <v>46.359886363889842</v>
      </c>
      <c r="W255" s="402"/>
      <c r="X255" s="157">
        <f t="shared" si="83"/>
        <v>44071</v>
      </c>
      <c r="Y255" s="385">
        <f t="shared" si="84"/>
        <v>8.5340000000000007</v>
      </c>
      <c r="Z255" s="385">
        <f t="shared" si="85"/>
        <v>8.6901804853747233</v>
      </c>
      <c r="AA255" s="386">
        <f t="shared" si="86"/>
        <v>9.4429571769688998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7.9718321018142205E-2</v>
      </c>
      <c r="AD255" s="231">
        <f>(INDEX(Models!$BJ255:$BT255,,AH255)*(1-AF255)+INDEX(Models!$BJ255:$BT255,,AH255+1)*AF255-ERP_i)*AE255*Ramure*Pc/MaxiM</f>
        <v>3.3882530838216779E-4</v>
      </c>
      <c r="AE255" s="305">
        <f t="shared" si="88"/>
        <v>0.7</v>
      </c>
      <c r="AF255" s="177">
        <f t="shared" si="89"/>
        <v>0.48217399679714901</v>
      </c>
      <c r="AG255" s="921">
        <f t="shared" si="95"/>
        <v>-1</v>
      </c>
      <c r="AH255" s="176">
        <f t="shared" si="90"/>
        <v>5</v>
      </c>
      <c r="AI255" s="225">
        <f t="shared" si="91"/>
        <v>-0.51782600320285099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20">
        <v>22.512</v>
      </c>
      <c r="C256" s="390"/>
      <c r="D256" s="393">
        <f t="shared" si="74"/>
        <v>22.924493561389834</v>
      </c>
      <c r="E256" s="385">
        <f t="shared" si="96"/>
        <v>24.911234614262749</v>
      </c>
      <c r="F256" s="385">
        <f t="shared" si="75"/>
        <v>24.913382563923061</v>
      </c>
      <c r="G256" s="110">
        <f t="shared" si="97"/>
        <v>0.48658345004430054</v>
      </c>
      <c r="H256" s="414" t="b">
        <f>Wh_hp&gt;='2019'!Maxi_hp</f>
        <v>0</v>
      </c>
      <c r="I256" s="380">
        <f>IF(H256,Wh_hp,'2019'!Maxi_hp)</f>
        <v>48.713897156166894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1.7993573567294363E-2</v>
      </c>
      <c r="M256" s="959"/>
      <c r="N256" s="959"/>
      <c r="O256" s="48">
        <f>IF(t&lt;Tnet,'2019'!Resal+('2019'!Salim-'2019'!Resal)*(1-EXP(('2019'!Tnet-t)/('2019'!Tau_j))),Resal+(Salim-Resal)*(1-EXP((Tnet-t)/(Tau_j))))*Salcycl</f>
        <v>7.9752813685734406E-2</v>
      </c>
      <c r="P256" s="169">
        <f>(INDEX(Models!$BJ256:$BT256,,T256)*(1-R256)+INDEX(Models!$BJ256:$BT256,,T256+1)*R256-ERP_i)*Q256*Ramure*Pc/MaxiM</f>
        <v>3.2325693601883526E-4</v>
      </c>
      <c r="Q256" s="305">
        <f t="shared" si="77"/>
        <v>0.7</v>
      </c>
      <c r="R256" s="177">
        <f t="shared" si="78"/>
        <v>0.48287479435832381</v>
      </c>
      <c r="S256" s="921">
        <f t="shared" si="79"/>
        <v>-1</v>
      </c>
      <c r="T256" s="176">
        <f t="shared" si="80"/>
        <v>5</v>
      </c>
      <c r="U256" s="251">
        <f t="shared" si="81"/>
        <v>-0.51712520564167619</v>
      </c>
      <c r="V256" s="383">
        <f t="shared" si="82"/>
        <v>46.254477599003955</v>
      </c>
      <c r="W256" s="402"/>
      <c r="X256" s="157">
        <f t="shared" si="83"/>
        <v>44072</v>
      </c>
      <c r="Y256" s="385">
        <f t="shared" si="84"/>
        <v>22.512</v>
      </c>
      <c r="Z256" s="385">
        <f t="shared" si="85"/>
        <v>22.924493561389834</v>
      </c>
      <c r="AA256" s="386">
        <f t="shared" si="86"/>
        <v>24.911234614262749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7.9752813685734406E-2</v>
      </c>
      <c r="AD256" s="231">
        <f>(INDEX(Models!$BJ256:$BT256,,AH256)*(1-AF256)+INDEX(Models!$BJ256:$BT256,,AH256+1)*AF256-ERP_i)*AE256*Ramure*Pc/MaxiM</f>
        <v>3.2325693601883526E-4</v>
      </c>
      <c r="AE256" s="305">
        <f t="shared" si="88"/>
        <v>0.7</v>
      </c>
      <c r="AF256" s="177">
        <f t="shared" si="89"/>
        <v>0.48287479435832381</v>
      </c>
      <c r="AG256" s="921">
        <f t="shared" si="95"/>
        <v>-1</v>
      </c>
      <c r="AH256" s="176">
        <f t="shared" si="90"/>
        <v>5</v>
      </c>
      <c r="AI256" s="225">
        <f t="shared" si="91"/>
        <v>-0.51712520564167619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20">
        <v>24.390999999999998</v>
      </c>
      <c r="C257" s="390"/>
      <c r="D257" s="393">
        <f t="shared" si="74"/>
        <v>24.838467020837264</v>
      </c>
      <c r="E257" s="385">
        <f t="shared" si="96"/>
        <v>26.992081566131265</v>
      </c>
      <c r="F257" s="385">
        <f t="shared" si="75"/>
        <v>26.994816537246599</v>
      </c>
      <c r="G257" s="110">
        <f t="shared" si="97"/>
        <v>0.52844545802956067</v>
      </c>
      <c r="H257" s="414" t="b">
        <f>Wh_hp&gt;='2019'!Maxi_hp</f>
        <v>0</v>
      </c>
      <c r="I257" s="380">
        <f>IF(H257,Wh_hp,'2019'!Maxi_hp)</f>
        <v>47.557915907198883</v>
      </c>
      <c r="J257" s="85">
        <f>IF(H257,An,'2019'!An_max)</f>
        <v>2018</v>
      </c>
      <c r="K257" s="197">
        <f t="shared" si="76"/>
        <v>44073</v>
      </c>
      <c r="L257" s="147">
        <f>IF(t&lt;Tvie,1-EXP((T0-t)*PertePVj)+'2019'!Pspv,1-EXP((T0-t)*PertePVj)+Pspv)</f>
        <v>1.8015082028286278E-2</v>
      </c>
      <c r="M257" s="959"/>
      <c r="N257" s="959"/>
      <c r="O257" s="48">
        <f>IF(t&lt;Tnet,'2019'!Resal+('2019'!Salim-'2019'!Resal)*(1-EXP(('2019'!Tnet-t)/('2019'!Tau_j))),Resal+(Salim-Resal)*(1-EXP((Tnet-t)/(Tau_j))))*Salcycl</f>
        <v>7.9786901207214905E-2</v>
      </c>
      <c r="P257" s="169">
        <f>(INDEX(Models!$BJ257:$BT257,,T257)*(1-R257)+INDEX(Models!$BJ257:$BT257,,T257+1)*R257-ERP_i)*Q257*Ramure*Pc/MaxiM</f>
        <v>3.1029724053678143E-4</v>
      </c>
      <c r="Q257" s="305">
        <f t="shared" si="77"/>
        <v>0.7</v>
      </c>
      <c r="R257" s="177">
        <f t="shared" si="78"/>
        <v>0.48354929154802395</v>
      </c>
      <c r="S257" s="921">
        <f t="shared" si="79"/>
        <v>-1</v>
      </c>
      <c r="T257" s="176">
        <f t="shared" si="80"/>
        <v>5</v>
      </c>
      <c r="U257" s="251">
        <f t="shared" si="81"/>
        <v>-0.51645070845197605</v>
      </c>
      <c r="V257" s="383">
        <f t="shared" si="82"/>
        <v>46.146488382615871</v>
      </c>
      <c r="W257" s="402"/>
      <c r="X257" s="157">
        <f t="shared" si="83"/>
        <v>44073</v>
      </c>
      <c r="Y257" s="385">
        <f t="shared" si="84"/>
        <v>24.390999999999998</v>
      </c>
      <c r="Z257" s="385">
        <f t="shared" si="85"/>
        <v>24.838467020837264</v>
      </c>
      <c r="AA257" s="386">
        <f t="shared" si="86"/>
        <v>26.992081566131265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7.9786901207214905E-2</v>
      </c>
      <c r="AD257" s="231">
        <f>(INDEX(Models!$BJ257:$BT257,,AH257)*(1-AF257)+INDEX(Models!$BJ257:$BT257,,AH257+1)*AF257-ERP_i)*AE257*Ramure*Pc/MaxiM</f>
        <v>3.1029724053678143E-4</v>
      </c>
      <c r="AE257" s="305">
        <f t="shared" si="88"/>
        <v>0.7</v>
      </c>
      <c r="AF257" s="177">
        <f t="shared" si="89"/>
        <v>0.48354929154802395</v>
      </c>
      <c r="AG257" s="921">
        <f t="shared" si="95"/>
        <v>-1</v>
      </c>
      <c r="AH257" s="176">
        <f t="shared" si="90"/>
        <v>5</v>
      </c>
      <c r="AI257" s="225">
        <f t="shared" si="91"/>
        <v>-0.51645070845197605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20">
        <v>38.948999999999998</v>
      </c>
      <c r="C258" s="390"/>
      <c r="D258" s="393">
        <f t="shared" si="74"/>
        <v>39.664410714368067</v>
      </c>
      <c r="E258" s="385">
        <f t="shared" si="96"/>
        <v>43.105082971943588</v>
      </c>
      <c r="F258" s="385">
        <f t="shared" si="75"/>
        <v>43.115171912437802</v>
      </c>
      <c r="G258" s="110">
        <f t="shared" si="97"/>
        <v>0.84600921988996325</v>
      </c>
      <c r="H258" s="414" t="b">
        <f>Wh_hp&gt;='2019'!Maxi_hp</f>
        <v>0</v>
      </c>
      <c r="I258" s="380">
        <f>IF(H258,Wh_hp,'2019'!Maxi_hp)</f>
        <v>52.083506608695828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1.8036590018187804E-2</v>
      </c>
      <c r="M258" s="959"/>
      <c r="N258" s="959"/>
      <c r="O258" s="48">
        <f>IF(t&lt;Tnet,'2019'!Resal+('2019'!Salim-'2019'!Resal)*(1-EXP(('2019'!Tnet-t)/('2019'!Tau_j))),Resal+(Salim-Resal)*(1-EXP((Tnet-t)/(Tau_j))))*Salcycl</f>
        <v>7.9820569184729392E-2</v>
      </c>
      <c r="P258" s="169">
        <f>(INDEX(Models!$BJ258:$BT258,,T258)*(1-R258)+INDEX(Models!$BJ258:$BT258,,T258+1)*R258-ERP_i)*Q258*Ramure*Pc/MaxiM</f>
        <v>2.9996397697752177E-4</v>
      </c>
      <c r="Q258" s="305">
        <f t="shared" si="77"/>
        <v>0.7</v>
      </c>
      <c r="R258" s="177">
        <f t="shared" si="78"/>
        <v>0.48419840353064547</v>
      </c>
      <c r="S258" s="921">
        <f t="shared" si="79"/>
        <v>-1</v>
      </c>
      <c r="T258" s="176">
        <f t="shared" si="80"/>
        <v>5</v>
      </c>
      <c r="U258" s="251">
        <f t="shared" si="81"/>
        <v>-0.51580159646935453</v>
      </c>
      <c r="V258" s="383">
        <f t="shared" si="82"/>
        <v>46.035467750565743</v>
      </c>
      <c r="W258" s="402"/>
      <c r="X258" s="157">
        <f t="shared" si="83"/>
        <v>44074</v>
      </c>
      <c r="Y258" s="385">
        <f t="shared" si="84"/>
        <v>38.948999999999998</v>
      </c>
      <c r="Z258" s="385">
        <f t="shared" si="85"/>
        <v>39.664410714368067</v>
      </c>
      <c r="AA258" s="386">
        <f t="shared" si="86"/>
        <v>43.105082971943588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7.9820569184729392E-2</v>
      </c>
      <c r="AD258" s="231">
        <f>(INDEX(Models!$BJ258:$BT258,,AH258)*(1-AF258)+INDEX(Models!$BJ258:$BT258,,AH258+1)*AF258-ERP_i)*AE258*Ramure*Pc/MaxiM</f>
        <v>2.9996397697752177E-4</v>
      </c>
      <c r="AE258" s="305">
        <f t="shared" si="88"/>
        <v>0.7</v>
      </c>
      <c r="AF258" s="177">
        <f t="shared" si="89"/>
        <v>0.48419840353064547</v>
      </c>
      <c r="AG258" s="921">
        <f t="shared" si="95"/>
        <v>-1</v>
      </c>
      <c r="AH258" s="176">
        <f t="shared" si="90"/>
        <v>5</v>
      </c>
      <c r="AI258" s="225">
        <f t="shared" si="91"/>
        <v>-0.51580159646935453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20">
        <v>39.341999999999999</v>
      </c>
      <c r="C259" s="390"/>
      <c r="D259" s="393">
        <f t="shared" si="74"/>
        <v>40.065506830209628</v>
      </c>
      <c r="E259" s="385">
        <f t="shared" si="96"/>
        <v>43.542544593842784</v>
      </c>
      <c r="F259" s="385">
        <f t="shared" si="75"/>
        <v>43.552668662267315</v>
      </c>
      <c r="G259" s="110">
        <f t="shared" si="97"/>
        <v>0.85668160812999961</v>
      </c>
      <c r="H259" s="414" t="b">
        <f>Wh_hp&gt;='2019'!Maxi_hp</f>
        <v>0</v>
      </c>
      <c r="I259" s="380">
        <f>IF(H259,Wh_hp,'2019'!Maxi_hp)</f>
        <v>50.502495754224739</v>
      </c>
      <c r="J259" s="85">
        <f>IF(H259,An,'2019'!An_max)</f>
        <v>2018</v>
      </c>
      <c r="K259" s="197">
        <f t="shared" si="76"/>
        <v>44075</v>
      </c>
      <c r="L259" s="147">
        <f>IF(t&lt;Tvie,1-EXP((T0-t)*PertePVj)+'2019'!Pspv,1-EXP((T0-t)*PertePVj)+Pspv)</f>
        <v>1.8058097537009044E-2</v>
      </c>
      <c r="M259" s="959"/>
      <c r="N259" s="959"/>
      <c r="O259" s="48">
        <f>IF(t&lt;Tnet,'2019'!Resal+('2019'!Salim-'2019'!Resal)*(1-EXP(('2019'!Tnet-t)/('2019'!Tau_j))),Resal+(Salim-Resal)*(1-EXP((Tnet-t)/(Tau_j))))*Salcycl</f>
        <v>7.985380266739929E-2</v>
      </c>
      <c r="P259" s="169">
        <f>(INDEX(Models!$BJ259:$BT259,,T259)*(1-R259)+INDEX(Models!$BJ259:$BT259,,T259+1)*R259-ERP_i)*Q259*Ramure*Pc/MaxiM</f>
        <v>2.9227487133629123E-4</v>
      </c>
      <c r="Q259" s="305">
        <f t="shared" si="77"/>
        <v>0.7</v>
      </c>
      <c r="R259" s="177">
        <f t="shared" si="78"/>
        <v>0.48482301914485204</v>
      </c>
      <c r="S259" s="921">
        <f t="shared" si="79"/>
        <v>-1</v>
      </c>
      <c r="T259" s="176">
        <f t="shared" si="80"/>
        <v>5</v>
      </c>
      <c r="U259" s="251">
        <f t="shared" si="81"/>
        <v>-0.51517698085514796</v>
      </c>
      <c r="V259" s="383">
        <f t="shared" si="82"/>
        <v>45.920964890283166</v>
      </c>
      <c r="W259" s="402"/>
      <c r="X259" s="157">
        <f t="shared" si="83"/>
        <v>44075</v>
      </c>
      <c r="Y259" s="385">
        <f t="shared" si="84"/>
        <v>39.341999999999999</v>
      </c>
      <c r="Z259" s="385">
        <f t="shared" si="85"/>
        <v>40.065506830209628</v>
      </c>
      <c r="AA259" s="386">
        <f t="shared" si="86"/>
        <v>43.542544593842784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7.985380266739929E-2</v>
      </c>
      <c r="AD259" s="231">
        <f>(INDEX(Models!$BJ259:$BT259,,AH259)*(1-AF259)+INDEX(Models!$BJ259:$BT259,,AH259+1)*AF259-ERP_i)*AE259*Ramure*Pc/MaxiM</f>
        <v>2.9227487133629123E-4</v>
      </c>
      <c r="AE259" s="305">
        <f t="shared" si="88"/>
        <v>0.7</v>
      </c>
      <c r="AF259" s="177">
        <f t="shared" si="89"/>
        <v>0.48482301914485204</v>
      </c>
      <c r="AG259" s="921">
        <f t="shared" si="95"/>
        <v>-1</v>
      </c>
      <c r="AH259" s="176">
        <f t="shared" si="90"/>
        <v>5</v>
      </c>
      <c r="AI259" s="225">
        <f t="shared" si="91"/>
        <v>-0.51517698085514796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20">
        <v>47.180999999999997</v>
      </c>
      <c r="C260" s="390"/>
      <c r="D260" s="393">
        <f t="shared" si="74"/>
        <v>48.049719936867035</v>
      </c>
      <c r="E260" s="385">
        <f t="shared" si="96"/>
        <v>52.22151879505406</v>
      </c>
      <c r="F260" s="385">
        <f t="shared" si="75"/>
        <v>52.236523625300045</v>
      </c>
      <c r="G260" s="110">
        <f t="shared" si="97"/>
        <v>1.0300959550205322</v>
      </c>
      <c r="H260" s="414" t="b">
        <f>Wh_hp&gt;='2019'!Maxi_hp</f>
        <v>1</v>
      </c>
      <c r="I260" s="380">
        <f>IF(H260,Wh_hp,'2019'!Maxi_hp)</f>
        <v>52.236523625300045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1.8079604584760434E-2</v>
      </c>
      <c r="M260" s="959"/>
      <c r="N260" s="959"/>
      <c r="O260" s="48">
        <f>IF(t&lt;Tnet,'2019'!Resal+('2019'!Salim-'2019'!Resal)*(1-EXP(('2019'!Tnet-t)/('2019'!Tau_j))),Resal+(Salim-Resal)*(1-EXP((Tnet-t)/(Tau_j))))*Salcycl</f>
        <v>7.9886586113273539E-2</v>
      </c>
      <c r="P260" s="169">
        <f>(INDEX(Models!$BJ260:$BT260,,T260)*(1-R260)+INDEX(Models!$BJ260:$BT260,,T260+1)*R260-ERP_i)*Q260*Ramure*Pc/MaxiM</f>
        <v>2.8724787188397661E-4</v>
      </c>
      <c r="Q260" s="305">
        <f t="shared" si="77"/>
        <v>0.7</v>
      </c>
      <c r="R260" s="177">
        <f t="shared" si="78"/>
        <v>0.48542400122347751</v>
      </c>
      <c r="S260" s="921">
        <f t="shared" si="79"/>
        <v>-1</v>
      </c>
      <c r="T260" s="176">
        <f t="shared" si="80"/>
        <v>5</v>
      </c>
      <c r="U260" s="251">
        <f t="shared" si="81"/>
        <v>-0.51457599877652249</v>
      </c>
      <c r="V260" s="383">
        <f t="shared" si="82"/>
        <v>45.802529143083156</v>
      </c>
      <c r="W260" s="402"/>
      <c r="X260" s="157">
        <f t="shared" si="83"/>
        <v>44076</v>
      </c>
      <c r="Y260" s="385">
        <f t="shared" si="84"/>
        <v>47.180999999999997</v>
      </c>
      <c r="Z260" s="385">
        <f t="shared" si="85"/>
        <v>48.049719936867035</v>
      </c>
      <c r="AA260" s="386">
        <f t="shared" si="86"/>
        <v>52.22151879505406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7.9886586113273539E-2</v>
      </c>
      <c r="AD260" s="231">
        <f>(INDEX(Models!$BJ260:$BT260,,AH260)*(1-AF260)+INDEX(Models!$BJ260:$BT260,,AH260+1)*AF260-ERP_i)*AE260*Ramure*Pc/MaxiM</f>
        <v>2.8724787188397661E-4</v>
      </c>
      <c r="AE260" s="305">
        <f t="shared" si="88"/>
        <v>0.7</v>
      </c>
      <c r="AF260" s="177">
        <f t="shared" si="89"/>
        <v>0.48542400122347751</v>
      </c>
      <c r="AG260" s="921">
        <f t="shared" si="95"/>
        <v>-1</v>
      </c>
      <c r="AH260" s="176">
        <f t="shared" si="90"/>
        <v>5</v>
      </c>
      <c r="AI260" s="225">
        <f t="shared" si="91"/>
        <v>-0.51457599877652249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20">
        <v>45.472000000000001</v>
      </c>
      <c r="C261" s="390"/>
      <c r="D261" s="393">
        <f t="shared" si="74"/>
        <v>46.310267296245918</v>
      </c>
      <c r="E261" s="385">
        <f t="shared" si="96"/>
        <v>50.332810297777549</v>
      </c>
      <c r="F261" s="385">
        <f t="shared" si="75"/>
        <v>50.347059730277273</v>
      </c>
      <c r="G261" s="110">
        <f t="shared" si="97"/>
        <v>0.99541256014330393</v>
      </c>
      <c r="H261" s="414" t="b">
        <f>Wh_hp&gt;='2019'!Maxi_hp</f>
        <v>0</v>
      </c>
      <c r="I261" s="380">
        <f>IF(H261,Wh_hp,'2019'!Maxi_hp)</f>
        <v>51.364733019215166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1.8101111161452299E-2</v>
      </c>
      <c r="M261" s="959"/>
      <c r="N261" s="959"/>
      <c r="O261" s="48">
        <f>IF(t&lt;Tnet,'2019'!Resal+('2019'!Salim-'2019'!Resal)*(1-EXP(('2019'!Tnet-t)/('2019'!Tau_j))),Resal+(Salim-Resal)*(1-EXP((Tnet-t)/(Tau_j))))*Salcycl</f>
        <v>7.9918903350191875E-2</v>
      </c>
      <c r="P261" s="169">
        <f>(INDEX(Models!$BJ261:$BT261,,T261)*(1-R261)+INDEX(Models!$BJ261:$BT261,,T261+1)*R261-ERP_i)*Q261*Ramure*Pc/MaxiM</f>
        <v>2.8489039325563871E-4</v>
      </c>
      <c r="Q261" s="305">
        <f t="shared" si="77"/>
        <v>0.7</v>
      </c>
      <c r="R261" s="177">
        <f t="shared" si="78"/>
        <v>0.48600218694924169</v>
      </c>
      <c r="S261" s="921">
        <f t="shared" si="79"/>
        <v>-1</v>
      </c>
      <c r="T261" s="176">
        <f t="shared" si="80"/>
        <v>5</v>
      </c>
      <c r="U261" s="251">
        <f t="shared" si="81"/>
        <v>-0.51399781305075831</v>
      </c>
      <c r="V261" s="383">
        <f t="shared" si="82"/>
        <v>45.681476137345818</v>
      </c>
      <c r="W261" s="402"/>
      <c r="X261" s="157">
        <f t="shared" si="83"/>
        <v>44077</v>
      </c>
      <c r="Y261" s="385">
        <f t="shared" si="84"/>
        <v>45.472000000000001</v>
      </c>
      <c r="Z261" s="385">
        <f t="shared" si="85"/>
        <v>46.310267296245918</v>
      </c>
      <c r="AA261" s="386">
        <f t="shared" si="86"/>
        <v>50.332810297777549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7.9918903350191875E-2</v>
      </c>
      <c r="AD261" s="231">
        <f>(INDEX(Models!$BJ261:$BT261,,AH261)*(1-AF261)+INDEX(Models!$BJ261:$BT261,,AH261+1)*AF261-ERP_i)*AE261*Ramure*Pc/MaxiM</f>
        <v>2.8489039325563871E-4</v>
      </c>
      <c r="AE261" s="305">
        <f t="shared" si="88"/>
        <v>0.7</v>
      </c>
      <c r="AF261" s="177">
        <f t="shared" si="89"/>
        <v>0.48600218694924169</v>
      </c>
      <c r="AG261" s="921">
        <f t="shared" si="95"/>
        <v>-1</v>
      </c>
      <c r="AH261" s="176">
        <f t="shared" si="90"/>
        <v>5</v>
      </c>
      <c r="AI261" s="225">
        <f t="shared" si="91"/>
        <v>-0.51399781305075831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20">
        <v>46.045000000000002</v>
      </c>
      <c r="C262" s="390"/>
      <c r="D262" s="393">
        <f t="shared" si="74"/>
        <v>46.894857555269077</v>
      </c>
      <c r="E262" s="385">
        <f t="shared" si="96"/>
        <v>50.969942011278249</v>
      </c>
      <c r="F262" s="385">
        <f t="shared" si="75"/>
        <v>50.98450100113412</v>
      </c>
      <c r="G262" s="110">
        <f t="shared" si="97"/>
        <v>1.0106628057359599</v>
      </c>
      <c r="H262" s="414" t="b">
        <f>Wh_hp&gt;='2019'!Maxi_hp</f>
        <v>1</v>
      </c>
      <c r="I262" s="380">
        <f>IF(H262,Wh_hp,'2019'!Maxi_hp)</f>
        <v>50.98450100113412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1.8122617267094965E-2</v>
      </c>
      <c r="M262" s="959"/>
      <c r="N262" s="959"/>
      <c r="O262" s="48">
        <f>IF(t&lt;Tnet,'2019'!Resal+('2019'!Salim-'2019'!Resal)*(1-EXP(('2019'!Tnet-t)/('2019'!Tau_j))),Resal+(Salim-Resal)*(1-EXP((Tnet-t)/(Tau_j))))*Salcycl</f>
        <v>7.9950737536791175E-2</v>
      </c>
      <c r="P262" s="169">
        <f>(INDEX(Models!$BJ262:$BT262,,T262)*(1-R262)+INDEX(Models!$BJ262:$BT262,,T262+1)*R262-ERP_i)*Q262*Ramure*Pc/MaxiM</f>
        <v>2.8555717070855697E-4</v>
      </c>
      <c r="Q262" s="305">
        <f t="shared" si="77"/>
        <v>0.7</v>
      </c>
      <c r="R262" s="177">
        <f t="shared" si="78"/>
        <v>0.4865583882420137</v>
      </c>
      <c r="S262" s="921">
        <f t="shared" si="79"/>
        <v>-1</v>
      </c>
      <c r="T262" s="176">
        <f t="shared" si="80"/>
        <v>5</v>
      </c>
      <c r="U262" s="251">
        <f t="shared" si="81"/>
        <v>-0.5134416117579863</v>
      </c>
      <c r="V262" s="383">
        <f t="shared" si="82"/>
        <v>45.559210983796163</v>
      </c>
      <c r="W262" s="402"/>
      <c r="X262" s="157">
        <f t="shared" si="83"/>
        <v>44078</v>
      </c>
      <c r="Y262" s="385">
        <f t="shared" si="84"/>
        <v>46.045000000000002</v>
      </c>
      <c r="Z262" s="385">
        <f t="shared" si="85"/>
        <v>46.894857555269077</v>
      </c>
      <c r="AA262" s="386">
        <f t="shared" si="86"/>
        <v>50.969942011278249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7.9950737536791175E-2</v>
      </c>
      <c r="AD262" s="231">
        <f>(INDEX(Models!$BJ262:$BT262,,AH262)*(1-AF262)+INDEX(Models!$BJ262:$BT262,,AH262+1)*AF262-ERP_i)*AE262*Ramure*Pc/MaxiM</f>
        <v>2.8555717070855697E-4</v>
      </c>
      <c r="AE262" s="305">
        <f t="shared" si="88"/>
        <v>0.7</v>
      </c>
      <c r="AF262" s="177">
        <f t="shared" si="89"/>
        <v>0.4865583882420137</v>
      </c>
      <c r="AG262" s="921">
        <f t="shared" si="95"/>
        <v>-1</v>
      </c>
      <c r="AH262" s="176">
        <f t="shared" si="90"/>
        <v>5</v>
      </c>
      <c r="AI262" s="225">
        <f t="shared" si="91"/>
        <v>-0.5134416117579863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20">
        <v>41.213000000000001</v>
      </c>
      <c r="C263" s="390"/>
      <c r="D263" s="393">
        <f t="shared" si="74"/>
        <v>41.974592158879382</v>
      </c>
      <c r="E263" s="385">
        <f t="shared" si="96"/>
        <v>45.623667584611667</v>
      </c>
      <c r="F263" s="385">
        <f t="shared" si="75"/>
        <v>45.635043105642033</v>
      </c>
      <c r="G263" s="110">
        <f t="shared" si="97"/>
        <v>0.90703094507704707</v>
      </c>
      <c r="H263" s="414" t="b">
        <f>Wh_hp&gt;='2019'!Maxi_hp</f>
        <v>0</v>
      </c>
      <c r="I263" s="380">
        <f>IF(H263,Wh_hp,'2019'!Maxi_hp)</f>
        <v>50.093779259666192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1.8144122901698645E-2</v>
      </c>
      <c r="M263" s="959"/>
      <c r="N263" s="959"/>
      <c r="O263" s="48">
        <f>IF(t&lt;Tnet,'2019'!Resal+('2019'!Salim-'2019'!Resal)*(1-EXP(('2019'!Tnet-t)/('2019'!Tau_j))),Resal+(Salim-Resal)*(1-EXP((Tnet-t)/(Tau_j))))*Salcycl</f>
        <v>7.9982071124923768E-2</v>
      </c>
      <c r="P263" s="169">
        <f>(INDEX(Models!$BJ263:$BT263,,T263)*(1-R263)+INDEX(Models!$BJ263:$BT263,,T263+1)*R263-ERP_i)*Q263*Ramure*Pc/MaxiM</f>
        <v>2.8743210261348309E-4</v>
      </c>
      <c r="Q263" s="305">
        <f t="shared" si="77"/>
        <v>0.7</v>
      </c>
      <c r="R263" s="177">
        <f t="shared" si="78"/>
        <v>0.48709339217364533</v>
      </c>
      <c r="S263" s="921">
        <f t="shared" si="79"/>
        <v>-1</v>
      </c>
      <c r="T263" s="176">
        <f t="shared" si="80"/>
        <v>5</v>
      </c>
      <c r="U263" s="251">
        <f t="shared" si="81"/>
        <v>-0.51290660782635467</v>
      </c>
      <c r="V263" s="383">
        <f t="shared" si="82"/>
        <v>45.435524690192175</v>
      </c>
      <c r="W263" s="402"/>
      <c r="X263" s="157">
        <f t="shared" si="83"/>
        <v>44079</v>
      </c>
      <c r="Y263" s="385">
        <f t="shared" si="84"/>
        <v>41.213000000000001</v>
      </c>
      <c r="Z263" s="385">
        <f t="shared" si="85"/>
        <v>41.974592158879382</v>
      </c>
      <c r="AA263" s="386">
        <f t="shared" si="86"/>
        <v>45.623667584611667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7.9982071124923768E-2</v>
      </c>
      <c r="AD263" s="231">
        <f>(INDEX(Models!$BJ263:$BT263,,AH263)*(1-AF263)+INDEX(Models!$BJ263:$BT263,,AH263+1)*AF263-ERP_i)*AE263*Ramure*Pc/MaxiM</f>
        <v>2.8743210261348309E-4</v>
      </c>
      <c r="AE263" s="305">
        <f t="shared" si="88"/>
        <v>0.7</v>
      </c>
      <c r="AF263" s="177">
        <f t="shared" si="89"/>
        <v>0.48709339217364533</v>
      </c>
      <c r="AG263" s="921">
        <f t="shared" si="95"/>
        <v>-1</v>
      </c>
      <c r="AH263" s="176">
        <f t="shared" si="90"/>
        <v>5</v>
      </c>
      <c r="AI263" s="225">
        <f t="shared" si="91"/>
        <v>-0.51290660782635467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20">
        <v>24.533000000000001</v>
      </c>
      <c r="C264" s="390"/>
      <c r="D264" s="393">
        <f t="shared" si="74"/>
        <v>24.986902782449125</v>
      </c>
      <c r="E264" s="385">
        <f t="shared" si="96"/>
        <v>27.160057350205573</v>
      </c>
      <c r="F264" s="385">
        <f t="shared" si="75"/>
        <v>27.16277929317209</v>
      </c>
      <c r="G264" s="110">
        <f t="shared" si="97"/>
        <v>0.54134325726669041</v>
      </c>
      <c r="H264" s="414" t="b">
        <f>Wh_hp&gt;='2019'!Maxi_hp</f>
        <v>0</v>
      </c>
      <c r="I264" s="380">
        <f>IF(H264,Wh_hp,'2019'!Maxi_hp)</f>
        <v>51.37719632099251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1.8165628065273776E-2</v>
      </c>
      <c r="M264" s="959"/>
      <c r="N264" s="959"/>
      <c r="O264" s="48">
        <f>IF(t&lt;Tnet,'2019'!Resal+('2019'!Salim-'2019'!Resal)*(1-EXP(('2019'!Tnet-t)/('2019'!Tau_j))),Resal+(Salim-Resal)*(1-EXP((Tnet-t)/(Tau_j))))*Salcycl</f>
        <v>8.0012885824778932E-2</v>
      </c>
      <c r="P264" s="169">
        <f>(INDEX(Models!$BJ264:$BT264,,T264)*(1-R264)+INDEX(Models!$BJ264:$BT264,,T264+1)*R264-ERP_i)*Q264*Ramure*Pc/MaxiM</f>
        <v>2.9052417583150274E-4</v>
      </c>
      <c r="Q264" s="305">
        <f t="shared" si="77"/>
        <v>0.7</v>
      </c>
      <c r="R264" s="177">
        <f t="shared" si="78"/>
        <v>0.48760796140668283</v>
      </c>
      <c r="S264" s="921">
        <f t="shared" si="79"/>
        <v>-1</v>
      </c>
      <c r="T264" s="176">
        <f t="shared" si="80"/>
        <v>5</v>
      </c>
      <c r="U264" s="251">
        <f t="shared" si="81"/>
        <v>-0.51239203859331717</v>
      </c>
      <c r="V264" s="383">
        <f t="shared" si="82"/>
        <v>45.310124749484274</v>
      </c>
      <c r="W264" s="402"/>
      <c r="X264" s="157">
        <f t="shared" si="83"/>
        <v>44080</v>
      </c>
      <c r="Y264" s="385">
        <f t="shared" si="84"/>
        <v>24.533000000000001</v>
      </c>
      <c r="Z264" s="385">
        <f t="shared" si="85"/>
        <v>24.986902782449125</v>
      </c>
      <c r="AA264" s="386">
        <f t="shared" si="86"/>
        <v>27.160057350205573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8.0012885824778932E-2</v>
      </c>
      <c r="AD264" s="231">
        <f>(INDEX(Models!$BJ264:$BT264,,AH264)*(1-AF264)+INDEX(Models!$BJ264:$BT264,,AH264+1)*AF264-ERP_i)*AE264*Ramure*Pc/MaxiM</f>
        <v>2.9052417583150274E-4</v>
      </c>
      <c r="AE264" s="305">
        <f t="shared" si="88"/>
        <v>0.7</v>
      </c>
      <c r="AF264" s="177">
        <f t="shared" si="89"/>
        <v>0.48760796140668283</v>
      </c>
      <c r="AG264" s="921">
        <f t="shared" si="95"/>
        <v>-1</v>
      </c>
      <c r="AH264" s="176">
        <f t="shared" si="90"/>
        <v>5</v>
      </c>
      <c r="AI264" s="225">
        <f t="shared" si="91"/>
        <v>-0.51239203859331717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20">
        <v>40.334000000000003</v>
      </c>
      <c r="C265" s="390"/>
      <c r="D265" s="393">
        <f t="shared" si="74"/>
        <v>41.081148297938746</v>
      </c>
      <c r="E265" s="385">
        <f t="shared" si="96"/>
        <v>44.655517114131413</v>
      </c>
      <c r="F265" s="385">
        <f t="shared" si="75"/>
        <v>44.666667769271925</v>
      </c>
      <c r="G265" s="110">
        <f t="shared" si="97"/>
        <v>0.89264607171835764</v>
      </c>
      <c r="H265" s="414" t="b">
        <f>Wh_hp&gt;='2019'!Maxi_hp</f>
        <v>0</v>
      </c>
      <c r="I265" s="380">
        <f>IF(H265,Wh_hp,'2019'!Maxi_hp)</f>
        <v>49.21838095853591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1.8187132757830682E-2</v>
      </c>
      <c r="M265" s="959"/>
      <c r="N265" s="959"/>
      <c r="O265" s="48">
        <f>IF(t&lt;Tnet,'2019'!Resal+('2019'!Salim-'2019'!Resal)*(1-EXP(('2019'!Tnet-t)/('2019'!Tau_j))),Resal+(Salim-Resal)*(1-EXP((Tnet-t)/(Tau_j))))*Salcycl</f>
        <v>8.004316257400472E-2</v>
      </c>
      <c r="P265" s="169">
        <f>(INDEX(Models!$BJ265:$BT265,,T265)*(1-R265)+INDEX(Models!$BJ265:$BT265,,T265+1)*R265-ERP_i)*Q265*Ramure*Pc/MaxiM</f>
        <v>2.9484236412087789E-4</v>
      </c>
      <c r="Q265" s="305">
        <f t="shared" si="77"/>
        <v>0.7</v>
      </c>
      <c r="R265" s="177">
        <f t="shared" si="78"/>
        <v>0.48810283465352877</v>
      </c>
      <c r="S265" s="921">
        <f t="shared" si="79"/>
        <v>-1</v>
      </c>
      <c r="T265" s="176">
        <f t="shared" si="80"/>
        <v>5</v>
      </c>
      <c r="U265" s="251">
        <f t="shared" si="81"/>
        <v>-0.51189716534647123</v>
      </c>
      <c r="V265" s="383">
        <f t="shared" si="82"/>
        <v>45.182718763939725</v>
      </c>
      <c r="W265" s="402"/>
      <c r="X265" s="157">
        <f t="shared" si="83"/>
        <v>44081</v>
      </c>
      <c r="Y265" s="385">
        <f t="shared" si="84"/>
        <v>40.334000000000003</v>
      </c>
      <c r="Z265" s="385">
        <f t="shared" si="85"/>
        <v>41.081148297938746</v>
      </c>
      <c r="AA265" s="386">
        <f t="shared" si="86"/>
        <v>44.655517114131413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8.004316257400472E-2</v>
      </c>
      <c r="AD265" s="231">
        <f>(INDEX(Models!$BJ265:$BT265,,AH265)*(1-AF265)+INDEX(Models!$BJ265:$BT265,,AH265+1)*AF265-ERP_i)*AE265*Ramure*Pc/MaxiM</f>
        <v>2.9484236412087789E-4</v>
      </c>
      <c r="AE265" s="305">
        <f t="shared" si="88"/>
        <v>0.7</v>
      </c>
      <c r="AF265" s="177">
        <f t="shared" si="89"/>
        <v>0.48810283465352877</v>
      </c>
      <c r="AG265" s="921">
        <f t="shared" si="95"/>
        <v>-1</v>
      </c>
      <c r="AH265" s="176">
        <f t="shared" si="90"/>
        <v>5</v>
      </c>
      <c r="AI265" s="225">
        <f t="shared" si="91"/>
        <v>-0.51189716534647123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20">
        <v>44.106999999999999</v>
      </c>
      <c r="C266" s="390"/>
      <c r="D266" s="393">
        <f t="shared" si="74"/>
        <v>44.925023443166737</v>
      </c>
      <c r="E266" s="385">
        <f t="shared" si="96"/>
        <v>48.835415915351625</v>
      </c>
      <c r="F266" s="385">
        <f t="shared" si="75"/>
        <v>48.849649959056784</v>
      </c>
      <c r="G266" s="110">
        <f t="shared" si="97"/>
        <v>0.97899337006613074</v>
      </c>
      <c r="H266" s="414" t="b">
        <f>Wh_hp&gt;='2019'!Maxi_hp</f>
        <v>1</v>
      </c>
      <c r="I266" s="380">
        <f>IF(H266,Wh_hp,'2019'!Maxi_hp)</f>
        <v>48.849649959056784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1.8208636979379578E-2</v>
      </c>
      <c r="M266" s="959"/>
      <c r="N266" s="959"/>
      <c r="O266" s="48">
        <f>IF(t&lt;Tnet,'2019'!Resal+('2019'!Salim-'2019'!Resal)*(1-EXP(('2019'!Tnet-t)/('2019'!Tau_j))),Resal+(Salim-Resal)*(1-EXP((Tnet-t)/(Tau_j))))*Salcycl</f>
        <v>8.0072881512116695E-2</v>
      </c>
      <c r="P266" s="169">
        <f>(INDEX(Models!$BJ266:$BT266,,T266)*(1-R266)+INDEX(Models!$BJ266:$BT266,,T266+1)*R266-ERP_i)*Q266*Ramure*Pc/MaxiM</f>
        <v>3.0039569269990754E-4</v>
      </c>
      <c r="Q266" s="305">
        <f t="shared" si="77"/>
        <v>0.7</v>
      </c>
      <c r="R266" s="177">
        <f t="shared" si="78"/>
        <v>0.48857872715288386</v>
      </c>
      <c r="S266" s="921">
        <f t="shared" si="79"/>
        <v>-1</v>
      </c>
      <c r="T266" s="176">
        <f t="shared" si="80"/>
        <v>5</v>
      </c>
      <c r="U266" s="251">
        <f t="shared" si="81"/>
        <v>-0.51142127284711614</v>
      </c>
      <c r="V266" s="383">
        <f t="shared" si="82"/>
        <v>45.053014440871564</v>
      </c>
      <c r="W266" s="402"/>
      <c r="X266" s="157">
        <f t="shared" si="83"/>
        <v>44082</v>
      </c>
      <c r="Y266" s="385">
        <f t="shared" si="84"/>
        <v>44.106999999999999</v>
      </c>
      <c r="Z266" s="385">
        <f t="shared" si="85"/>
        <v>44.925023443166737</v>
      </c>
      <c r="AA266" s="386">
        <f t="shared" si="86"/>
        <v>48.835415915351625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8.0072881512116695E-2</v>
      </c>
      <c r="AD266" s="231">
        <f>(INDEX(Models!$BJ266:$BT266,,AH266)*(1-AF266)+INDEX(Models!$BJ266:$BT266,,AH266+1)*AF266-ERP_i)*AE266*Ramure*Pc/MaxiM</f>
        <v>3.0039569269990754E-4</v>
      </c>
      <c r="AE266" s="305">
        <f t="shared" si="88"/>
        <v>0.7</v>
      </c>
      <c r="AF266" s="177">
        <f t="shared" si="89"/>
        <v>0.48857872715288386</v>
      </c>
      <c r="AG266" s="921">
        <f t="shared" si="95"/>
        <v>-1</v>
      </c>
      <c r="AH266" s="176">
        <f t="shared" si="90"/>
        <v>5</v>
      </c>
      <c r="AI266" s="225">
        <f t="shared" si="91"/>
        <v>-0.51142127284711614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20">
        <v>21.669</v>
      </c>
      <c r="C267" s="390"/>
      <c r="D267" s="393">
        <f t="shared" si="74"/>
        <v>22.071364073155156</v>
      </c>
      <c r="E267" s="385">
        <f t="shared" si="96"/>
        <v>23.99327381957815</v>
      </c>
      <c r="F267" s="385">
        <f t="shared" si="75"/>
        <v>23.995194357038926</v>
      </c>
      <c r="G267" s="110">
        <f t="shared" si="97"/>
        <v>0.48227360517546758</v>
      </c>
      <c r="H267" s="414" t="b">
        <f>Wh_hp&gt;='2019'!Maxi_hp</f>
        <v>0</v>
      </c>
      <c r="I267" s="380">
        <f>IF(H267,Wh_hp,'2019'!Maxi_hp)</f>
        <v>38.182108050968154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1.8230140729930788E-2</v>
      </c>
      <c r="M267" s="959"/>
      <c r="N267" s="959"/>
      <c r="O267" s="48">
        <f>IF(t&lt;Tnet,'2019'!Resal+('2019'!Salim-'2019'!Resal)*(1-EXP(('2019'!Tnet-t)/('2019'!Tau_j))),Resal+(Salim-Resal)*(1-EXP((Tnet-t)/(Tau_j))))*Salcycl</f>
        <v>8.0102021961452496E-2</v>
      </c>
      <c r="P267" s="169">
        <f>(INDEX(Models!$BJ267:$BT267,,T267)*(1-R267)+INDEX(Models!$BJ267:$BT267,,T267+1)*R267-ERP_i)*Q267*Ramure*Pc/MaxiM</f>
        <v>3.0719330329211726E-4</v>
      </c>
      <c r="Q267" s="305">
        <f t="shared" si="77"/>
        <v>0.7</v>
      </c>
      <c r="R267" s="177">
        <f t="shared" si="78"/>
        <v>0.48903633116054879</v>
      </c>
      <c r="S267" s="921">
        <f t="shared" si="79"/>
        <v>-1</v>
      </c>
      <c r="T267" s="176">
        <f t="shared" si="80"/>
        <v>5</v>
      </c>
      <c r="U267" s="251">
        <f t="shared" si="81"/>
        <v>-0.51096366883945121</v>
      </c>
      <c r="V267" s="383">
        <f t="shared" si="82"/>
        <v>44.920719596439127</v>
      </c>
      <c r="W267" s="402"/>
      <c r="X267" s="157">
        <f t="shared" si="83"/>
        <v>44083</v>
      </c>
      <c r="Y267" s="385">
        <f t="shared" si="84"/>
        <v>21.669</v>
      </c>
      <c r="Z267" s="385">
        <f t="shared" si="85"/>
        <v>22.071364073155156</v>
      </c>
      <c r="AA267" s="386">
        <f t="shared" si="86"/>
        <v>23.99327381957815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8.0102021961452496E-2</v>
      </c>
      <c r="AD267" s="231">
        <f>(INDEX(Models!$BJ267:$BT267,,AH267)*(1-AF267)+INDEX(Models!$BJ267:$BT267,,AH267+1)*AF267-ERP_i)*AE267*Ramure*Pc/MaxiM</f>
        <v>3.0719330329211726E-4</v>
      </c>
      <c r="AE267" s="305">
        <f t="shared" si="88"/>
        <v>0.7</v>
      </c>
      <c r="AF267" s="177">
        <f t="shared" si="89"/>
        <v>0.48903633116054879</v>
      </c>
      <c r="AG267" s="921">
        <f t="shared" si="95"/>
        <v>-1</v>
      </c>
      <c r="AH267" s="176">
        <f t="shared" si="90"/>
        <v>5</v>
      </c>
      <c r="AI267" s="225">
        <f t="shared" si="91"/>
        <v>-0.51096366883945121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20">
        <v>30.875</v>
      </c>
      <c r="C268" s="390"/>
      <c r="D268" s="393">
        <f t="shared" si="74"/>
        <v>31.448995877206848</v>
      </c>
      <c r="E268" s="385">
        <f t="shared" si="96"/>
        <v>34.188543060852801</v>
      </c>
      <c r="F268" s="385">
        <f t="shared" si="75"/>
        <v>34.194544587012047</v>
      </c>
      <c r="G268" s="110">
        <f t="shared" si="97"/>
        <v>0.68930024052293637</v>
      </c>
      <c r="H268" s="414" t="b">
        <f>Wh_hp&gt;='2019'!Maxi_hp</f>
        <v>0</v>
      </c>
      <c r="I268" s="380">
        <f>IF(H268,Wh_hp,'2019'!Maxi_hp)</f>
        <v>48.02648130757494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1.825164400949475E-2</v>
      </c>
      <c r="M268" s="959"/>
      <c r="N268" s="959"/>
      <c r="O268" s="48">
        <f>IF(t&lt;Tnet,'2019'!Resal+('2019'!Salim-'2019'!Resal)*(1-EXP(('2019'!Tnet-t)/('2019'!Tau_j))),Resal+(Salim-Resal)*(1-EXP((Tnet-t)/(Tau_j))))*Salcycl</f>
        <v>8.0130562415888368E-2</v>
      </c>
      <c r="P268" s="169">
        <f>(INDEX(Models!$BJ268:$BT268,,T268)*(1-R268)+INDEX(Models!$BJ268:$BT268,,T268+1)*R268-ERP_i)*Q268*Ramure*Pc/MaxiM</f>
        <v>3.1550814381346091E-4</v>
      </c>
      <c r="Q268" s="305">
        <f t="shared" si="77"/>
        <v>0.7</v>
      </c>
      <c r="R268" s="177">
        <f t="shared" si="78"/>
        <v>0.4894763164518855</v>
      </c>
      <c r="S268" s="921">
        <f t="shared" si="79"/>
        <v>-1</v>
      </c>
      <c r="T268" s="176">
        <f t="shared" si="80"/>
        <v>5</v>
      </c>
      <c r="U268" s="251">
        <f t="shared" si="81"/>
        <v>-0.5105236835481145</v>
      </c>
      <c r="V268" s="383">
        <f t="shared" si="82"/>
        <v>44.785530341208919</v>
      </c>
      <c r="W268" s="402"/>
      <c r="X268" s="157">
        <f t="shared" si="83"/>
        <v>44084</v>
      </c>
      <c r="Y268" s="385">
        <f t="shared" si="84"/>
        <v>30.875000000000004</v>
      </c>
      <c r="Z268" s="385">
        <f t="shared" si="85"/>
        <v>31.448995877206851</v>
      </c>
      <c r="AA268" s="386">
        <f t="shared" si="86"/>
        <v>34.188543060852801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8.0130562415888368E-2</v>
      </c>
      <c r="AD268" s="231">
        <f>(INDEX(Models!$BJ268:$BT268,,AH268)*(1-AF268)+INDEX(Models!$BJ268:$BT268,,AH268+1)*AF268-ERP_i)*AE268*Ramure*Pc/MaxiM</f>
        <v>3.1550814381346091E-4</v>
      </c>
      <c r="AE268" s="305">
        <f t="shared" si="88"/>
        <v>0.7</v>
      </c>
      <c r="AF268" s="177">
        <f t="shared" si="89"/>
        <v>0.4894763164518855</v>
      </c>
      <c r="AG268" s="921">
        <f t="shared" si="95"/>
        <v>-1</v>
      </c>
      <c r="AH268" s="176">
        <f t="shared" si="90"/>
        <v>5</v>
      </c>
      <c r="AI268" s="225">
        <f t="shared" si="91"/>
        <v>-0.5105236835481145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20">
        <v>39.103000000000002</v>
      </c>
      <c r="C269" s="390"/>
      <c r="D269" s="393">
        <f t="shared" si="74"/>
        <v>39.83083469018041</v>
      </c>
      <c r="E269" s="385">
        <f t="shared" si="96"/>
        <v>43.301844771583355</v>
      </c>
      <c r="F269" s="385">
        <f t="shared" si="75"/>
        <v>43.313405805413645</v>
      </c>
      <c r="G269" s="110">
        <f t="shared" si="97"/>
        <v>0.87577169512659181</v>
      </c>
      <c r="H269" s="414" t="b">
        <f>Wh_hp&gt;='2019'!Maxi_hp</f>
        <v>0</v>
      </c>
      <c r="I269" s="380">
        <f>IF(H269,Wh_hp,'2019'!Maxi_hp)</f>
        <v>49.547587041399964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1.8273146818081676E-2</v>
      </c>
      <c r="M269" s="959"/>
      <c r="N269" s="959"/>
      <c r="O269" s="48">
        <f>IF(t&lt;Tnet,'2019'!Resal+('2019'!Salim-'2019'!Resal)*(1-EXP(('2019'!Tnet-t)/('2019'!Tau_j))),Resal+(Salim-Resal)*(1-EXP((Tnet-t)/(Tau_j))))*Salcycl</f>
        <v>8.0158480538472951E-2</v>
      </c>
      <c r="P269" s="169">
        <f>(INDEX(Models!$BJ269:$BT269,,T269)*(1-R269)+INDEX(Models!$BJ269:$BT269,,T269+1)*R269-ERP_i)*Q269*Ramure*Pc/MaxiM</f>
        <v>3.2447708519950814E-4</v>
      </c>
      <c r="Q269" s="305">
        <f t="shared" si="77"/>
        <v>0.7</v>
      </c>
      <c r="R269" s="177">
        <f t="shared" si="78"/>
        <v>0.48989933083347248</v>
      </c>
      <c r="S269" s="921">
        <f t="shared" si="79"/>
        <v>-1</v>
      </c>
      <c r="T269" s="176">
        <f t="shared" si="80"/>
        <v>5</v>
      </c>
      <c r="U269" s="251">
        <f t="shared" si="81"/>
        <v>-0.51010066916652752</v>
      </c>
      <c r="V269" s="383">
        <f t="shared" si="82"/>
        <v>44.64719378239306</v>
      </c>
      <c r="W269" s="402"/>
      <c r="X269" s="157">
        <f t="shared" si="83"/>
        <v>44085</v>
      </c>
      <c r="Y269" s="385">
        <f t="shared" si="84"/>
        <v>39.103000000000002</v>
      </c>
      <c r="Z269" s="385">
        <f t="shared" si="85"/>
        <v>39.83083469018041</v>
      </c>
      <c r="AA269" s="386">
        <f t="shared" si="86"/>
        <v>43.301844771583355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8.0158480538472951E-2</v>
      </c>
      <c r="AD269" s="231">
        <f>(INDEX(Models!$BJ269:$BT269,,AH269)*(1-AF269)+INDEX(Models!$BJ269:$BT269,,AH269+1)*AF269-ERP_i)*AE269*Ramure*Pc/MaxiM</f>
        <v>3.2447708519950814E-4</v>
      </c>
      <c r="AE269" s="305">
        <f t="shared" si="88"/>
        <v>0.7</v>
      </c>
      <c r="AF269" s="177">
        <f t="shared" si="89"/>
        <v>0.48989933083347248</v>
      </c>
      <c r="AG269" s="921">
        <f t="shared" si="95"/>
        <v>-1</v>
      </c>
      <c r="AH269" s="176">
        <f t="shared" si="90"/>
        <v>5</v>
      </c>
      <c r="AI269" s="225">
        <f t="shared" si="91"/>
        <v>-0.51010066916652752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20">
        <v>42.926000000000002</v>
      </c>
      <c r="C270" s="390"/>
      <c r="D270" s="393">
        <f t="shared" si="74"/>
        <v>43.725950931287343</v>
      </c>
      <c r="E270" s="385">
        <f t="shared" si="96"/>
        <v>47.537805684068751</v>
      </c>
      <c r="F270" s="385">
        <f t="shared" si="75"/>
        <v>47.552887947991515</v>
      </c>
      <c r="G270" s="110">
        <f t="shared" si="97"/>
        <v>0.96449544027597967</v>
      </c>
      <c r="H270" s="414" t="b">
        <f>Wh_hp&gt;='2019'!Maxi_hp</f>
        <v>1</v>
      </c>
      <c r="I270" s="380">
        <f>IF(H270,Wh_hp,'2019'!Maxi_hp)</f>
        <v>47.552887947991515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1.8294649155701892E-2</v>
      </c>
      <c r="M270" s="959"/>
      <c r="N270" s="959"/>
      <c r="O270" s="48">
        <f>IF(t&lt;Tnet,'2019'!Resal+('2019'!Salim-'2019'!Resal)*(1-EXP(('2019'!Tnet-t)/('2019'!Tau_j))),Resal+(Salim-Resal)*(1-EXP((Tnet-t)/(Tau_j))))*Salcycl</f>
        <v>8.0185753169058571E-2</v>
      </c>
      <c r="P270" s="169">
        <f>(INDEX(Models!$BJ270:$BT270,,T270)*(1-R270)+INDEX(Models!$BJ270:$BT270,,T270+1)*R270-ERP_i)*Q270*Ramure*Pc/MaxiM</f>
        <v>3.3410655232856578E-4</v>
      </c>
      <c r="Q270" s="305">
        <f t="shared" si="77"/>
        <v>0.7</v>
      </c>
      <c r="R270" s="177">
        <f t="shared" si="78"/>
        <v>0.49030600066168262</v>
      </c>
      <c r="S270" s="921">
        <f t="shared" si="79"/>
        <v>-1</v>
      </c>
      <c r="T270" s="176">
        <f t="shared" si="80"/>
        <v>5</v>
      </c>
      <c r="U270" s="251">
        <f t="shared" si="81"/>
        <v>-0.50969399933831738</v>
      </c>
      <c r="V270" s="383">
        <f t="shared" si="82"/>
        <v>44.505417943047448</v>
      </c>
      <c r="W270" s="402"/>
      <c r="X270" s="157">
        <f t="shared" si="83"/>
        <v>44086</v>
      </c>
      <c r="Y270" s="385">
        <f t="shared" si="84"/>
        <v>42.926000000000002</v>
      </c>
      <c r="Z270" s="385">
        <f t="shared" si="85"/>
        <v>43.725950931287343</v>
      </c>
      <c r="AA270" s="386">
        <f t="shared" si="86"/>
        <v>47.537805684068751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8.0185753169058571E-2</v>
      </c>
      <c r="AD270" s="231">
        <f>(INDEX(Models!$BJ270:$BT270,,AH270)*(1-AF270)+INDEX(Models!$BJ270:$BT270,,AH270+1)*AF270-ERP_i)*AE270*Ramure*Pc/MaxiM</f>
        <v>3.3410655232856578E-4</v>
      </c>
      <c r="AE270" s="305">
        <f t="shared" si="88"/>
        <v>0.7</v>
      </c>
      <c r="AF270" s="177">
        <f t="shared" si="89"/>
        <v>0.49030600066168262</v>
      </c>
      <c r="AG270" s="921">
        <f t="shared" si="95"/>
        <v>-1</v>
      </c>
      <c r="AH270" s="176">
        <f t="shared" si="90"/>
        <v>5</v>
      </c>
      <c r="AI270" s="225">
        <f t="shared" si="91"/>
        <v>-0.50969399933831738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20">
        <v>42.625999999999998</v>
      </c>
      <c r="C271" s="390"/>
      <c r="D271" s="393">
        <f t="shared" ref="D271:D334" si="98">Wh/(1-Ppv)</f>
        <v>43.421311295273377</v>
      </c>
      <c r="E271" s="385">
        <f t="shared" si="96"/>
        <v>47.207974139150252</v>
      </c>
      <c r="F271" s="385">
        <f t="shared" ref="F271:F334" si="99">Wh_sa/(1-Pvg*MEDIAN((-Sdif+Wh/Env_an)/Csdif,0,1))</f>
        <v>47.223329847400791</v>
      </c>
      <c r="G271" s="110">
        <f t="shared" si="97"/>
        <v>0.96089417423131973</v>
      </c>
      <c r="H271" s="414" t="b">
        <f>Wh_hp&gt;='2019'!Maxi_hp</f>
        <v>1</v>
      </c>
      <c r="I271" s="380">
        <f>IF(H271,Wh_hp,'2019'!Maxi_hp)</f>
        <v>47.223329847400791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1.8316151022365723E-2</v>
      </c>
      <c r="M271" s="959"/>
      <c r="N271" s="959"/>
      <c r="O271" s="48">
        <f>IF(t&lt;Tnet,'2019'!Resal+('2019'!Salim-'2019'!Resal)*(1-EXP(('2019'!Tnet-t)/('2019'!Tau_j))),Resal+(Salim-Resal)*(1-EXP((Tnet-t)/(Tau_j))))*Salcycl</f>
        <v>8.021235634292001E-2</v>
      </c>
      <c r="P271" s="169">
        <f>(INDEX(Models!$BJ271:$BT271,,T271)*(1-R271)+INDEX(Models!$BJ271:$BT271,,T271+1)*R271-ERP_i)*Q271*Ramure*Pc/MaxiM</f>
        <v>3.4440322874328778E-4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0.49069693136611814</v>
      </c>
      <c r="S271" s="92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-0.50930306863388186</v>
      </c>
      <c r="V271" s="383">
        <f t="shared" ref="V271:V334" si="106">MaxiM*(1-Ppv)*(1-Pvg)*(1-Psa)</f>
        <v>44.359910934395977</v>
      </c>
      <c r="W271" s="402"/>
      <c r="X271" s="157">
        <f t="shared" ref="X271:X334" si="107">t</f>
        <v>44087</v>
      </c>
      <c r="Y271" s="385">
        <f t="shared" ref="Y271:Y334" si="108">Wh_pvt_s*(1-Ppv)</f>
        <v>42.625999999999998</v>
      </c>
      <c r="Z271" s="385">
        <f t="shared" ref="Z271:Z334" si="109">Wh_sa_s*(1-Psa_s)</f>
        <v>43.421311295273377</v>
      </c>
      <c r="AA271" s="386">
        <f t="shared" ref="AA271:AA334" si="110">Wh_hp*(1-Pvg_s*MEDIAN((-Sdif+Wh/Env_an)/Csdif,0,1))</f>
        <v>47.207974139150252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8.021235634292001E-2</v>
      </c>
      <c r="AD271" s="231">
        <f>(INDEX(Models!$BJ271:$BT271,,AH271)*(1-AF271)+INDEX(Models!$BJ271:$BT271,,AH271+1)*AF271-ERP_i)*AE271*Ramure*Pc/MaxiM</f>
        <v>3.4440322874328778E-4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0.49069693136611814</v>
      </c>
      <c r="AG271" s="92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-0.50930306863388186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20">
        <v>43.338999999999999</v>
      </c>
      <c r="C272" s="390"/>
      <c r="D272" s="393">
        <f t="shared" si="98"/>
        <v>44.148581339352539</v>
      </c>
      <c r="E272" s="385">
        <f t="shared" si="96"/>
        <v>48.000019651581056</v>
      </c>
      <c r="F272" s="385">
        <f t="shared" si="99"/>
        <v>48.01660304214726</v>
      </c>
      <c r="G272" s="110">
        <f t="shared" si="97"/>
        <v>0.98028031562074436</v>
      </c>
      <c r="H272" s="414" t="b">
        <f>Wh_hp&gt;='2019'!Maxi_hp</f>
        <v>1</v>
      </c>
      <c r="I272" s="380">
        <f>IF(H272,Wh_hp,'2019'!Maxi_hp)</f>
        <v>48.01660304214726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1.8337652418083605E-2</v>
      </c>
      <c r="M272" s="959"/>
      <c r="N272" s="959"/>
      <c r="O272" s="48">
        <f>IF(t&lt;Tnet,'2019'!Resal+('2019'!Salim-'2019'!Resal)*(1-EXP(('2019'!Tnet-t)/('2019'!Tau_j))),Resal+(Salim-Resal)*(1-EXP((Tnet-t)/(Tau_j))))*Salcycl</f>
        <v>8.0238265321244576E-2</v>
      </c>
      <c r="P272" s="169">
        <f>(INDEX(Models!$BJ272:$BT272,,T272)*(1-R272)+INDEX(Models!$BJ272:$BT272,,T272+1)*R272-ERP_i)*Q272*Ramure*Pc/MaxiM</f>
        <v>3.5537409604817299E-4</v>
      </c>
      <c r="Q272" s="305">
        <f t="shared" si="101"/>
        <v>0.7</v>
      </c>
      <c r="R272" s="177">
        <f t="shared" si="102"/>
        <v>0.49107270797601621</v>
      </c>
      <c r="S272" s="921">
        <f t="shared" si="103"/>
        <v>-1</v>
      </c>
      <c r="T272" s="176">
        <f t="shared" si="104"/>
        <v>5</v>
      </c>
      <c r="U272" s="251">
        <f t="shared" si="105"/>
        <v>-0.50892729202398379</v>
      </c>
      <c r="V272" s="383">
        <f t="shared" si="106"/>
        <v>44.21038094770082</v>
      </c>
      <c r="W272" s="402"/>
      <c r="X272" s="157">
        <f t="shared" si="107"/>
        <v>44088</v>
      </c>
      <c r="Y272" s="385">
        <f t="shared" si="108"/>
        <v>43.338999999999999</v>
      </c>
      <c r="Z272" s="385">
        <f t="shared" si="109"/>
        <v>44.148581339352539</v>
      </c>
      <c r="AA272" s="386">
        <f t="shared" si="110"/>
        <v>48.000019651581056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8.0238265321244576E-2</v>
      </c>
      <c r="AD272" s="231">
        <f>(INDEX(Models!$BJ272:$BT272,,AH272)*(1-AF272)+INDEX(Models!$BJ272:$BT272,,AH272+1)*AF272-ERP_i)*AE272*Ramure*Pc/MaxiM</f>
        <v>3.5537409604817299E-4</v>
      </c>
      <c r="AE272" s="305">
        <f t="shared" si="112"/>
        <v>0.7</v>
      </c>
      <c r="AF272" s="177">
        <f t="shared" si="113"/>
        <v>0.49107270797601621</v>
      </c>
      <c r="AG272" s="921">
        <f t="shared" ref="AG272:AG335" si="119">INDEX(Echel_vg,AH272)</f>
        <v>-1</v>
      </c>
      <c r="AH272" s="176">
        <f t="shared" si="114"/>
        <v>5</v>
      </c>
      <c r="AI272" s="225">
        <f t="shared" si="115"/>
        <v>-0.50892729202398379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20">
        <v>37.43</v>
      </c>
      <c r="C273" s="390"/>
      <c r="D273" s="393">
        <f t="shared" si="98"/>
        <v>38.130035162517515</v>
      </c>
      <c r="E273" s="385">
        <f t="shared" si="96"/>
        <v>41.457562336348026</v>
      </c>
      <c r="F273" s="385">
        <f t="shared" si="99"/>
        <v>41.469512317895763</v>
      </c>
      <c r="G273" s="110">
        <f t="shared" si="97"/>
        <v>0.84952314621451719</v>
      </c>
      <c r="H273" s="414" t="b">
        <f>Wh_hp&gt;='2019'!Maxi_hp</f>
        <v>0</v>
      </c>
      <c r="I273" s="380">
        <f>IF(H273,Wh_hp,'2019'!Maxi_hp)</f>
        <v>47.259197332077989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1.8359153342865642E-2</v>
      </c>
      <c r="M273" s="959"/>
      <c r="N273" s="959"/>
      <c r="O273" s="48">
        <f>IF(t&lt;Tnet,'2019'!Resal+('2019'!Salim-'2019'!Resal)*(1-EXP(('2019'!Tnet-t)/('2019'!Tau_j))),Resal+(Salim-Resal)*(1-EXP((Tnet-t)/(Tau_j))))*Salcycl</f>
        <v>8.0263454634260878E-2</v>
      </c>
      <c r="P273" s="169">
        <f>(INDEX(Models!$BJ273:$BT273,,T273)*(1-R273)+INDEX(Models!$BJ273:$BT273,,T273+1)*R273-ERP_i)*Q273*Ramure*Pc/MaxiM</f>
        <v>3.6702647492525045E-4</v>
      </c>
      <c r="Q273" s="305">
        <f t="shared" si="101"/>
        <v>0.7</v>
      </c>
      <c r="R273" s="177">
        <f t="shared" si="102"/>
        <v>0.49143389564791184</v>
      </c>
      <c r="S273" s="921">
        <f t="shared" si="103"/>
        <v>-1</v>
      </c>
      <c r="T273" s="176">
        <f t="shared" si="104"/>
        <v>5</v>
      </c>
      <c r="U273" s="251">
        <f t="shared" si="105"/>
        <v>-0.50856610435208816</v>
      </c>
      <c r="V273" s="383">
        <f t="shared" si="106"/>
        <v>44.056536255988313</v>
      </c>
      <c r="W273" s="402"/>
      <c r="X273" s="157">
        <f t="shared" si="107"/>
        <v>44089</v>
      </c>
      <c r="Y273" s="385">
        <f t="shared" si="108"/>
        <v>37.43</v>
      </c>
      <c r="Z273" s="385">
        <f t="shared" si="109"/>
        <v>38.130035162517515</v>
      </c>
      <c r="AA273" s="386">
        <f t="shared" si="110"/>
        <v>41.457562336348026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8.0263454634260878E-2</v>
      </c>
      <c r="AD273" s="231">
        <f>(INDEX(Models!$BJ273:$BT273,,AH273)*(1-AF273)+INDEX(Models!$BJ273:$BT273,,AH273+1)*AF273-ERP_i)*AE273*Ramure*Pc/MaxiM</f>
        <v>3.6702647492525045E-4</v>
      </c>
      <c r="AE273" s="305">
        <f t="shared" si="112"/>
        <v>0.7</v>
      </c>
      <c r="AF273" s="177">
        <f t="shared" si="113"/>
        <v>0.49143389564791184</v>
      </c>
      <c r="AG273" s="921">
        <f t="shared" si="119"/>
        <v>-1</v>
      </c>
      <c r="AH273" s="176">
        <f t="shared" si="114"/>
        <v>5</v>
      </c>
      <c r="AI273" s="225">
        <f t="shared" si="115"/>
        <v>-0.50856610435208816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20">
        <v>38.506</v>
      </c>
      <c r="C274" s="390"/>
      <c r="D274" s="393">
        <f t="shared" si="98"/>
        <v>39.227018241779867</v>
      </c>
      <c r="E274" s="385">
        <f t="shared" si="96"/>
        <v>42.651410329762605</v>
      </c>
      <c r="F274" s="385">
        <f t="shared" si="99"/>
        <v>42.664755813409514</v>
      </c>
      <c r="G274" s="110">
        <f t="shared" si="97"/>
        <v>0.87710968953536428</v>
      </c>
      <c r="H274" s="414" t="b">
        <f>Wh_hp&gt;='2019'!Maxi_hp</f>
        <v>0</v>
      </c>
      <c r="I274" s="380">
        <f>IF(H274,Wh_hp,'2019'!Maxi_hp)</f>
        <v>45.090850708314242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1.8380653796722268E-2</v>
      </c>
      <c r="M274" s="959"/>
      <c r="N274" s="959"/>
      <c r="O274" s="48">
        <f>IF(t&lt;Tnet,'2019'!Resal+('2019'!Salim-'2019'!Resal)*(1-EXP(('2019'!Tnet-t)/('2019'!Tau_j))),Resal+(Salim-Resal)*(1-EXP((Tnet-t)/(Tau_j))))*Salcycl</f>
        <v>8.0287898137641686E-2</v>
      </c>
      <c r="P274" s="169">
        <f>(INDEX(Models!$BJ274:$BT274,,T274)*(1-R274)+INDEX(Models!$BJ274:$BT274,,T274+1)*R274-ERP_i)*Q274*Ramure*Pc/MaxiM</f>
        <v>3.7936806834090394E-4</v>
      </c>
      <c r="Q274" s="305">
        <f t="shared" si="101"/>
        <v>0.7</v>
      </c>
      <c r="R274" s="177">
        <f t="shared" si="102"/>
        <v>0.49178104019301017</v>
      </c>
      <c r="S274" s="921">
        <f t="shared" si="103"/>
        <v>-1</v>
      </c>
      <c r="T274" s="176">
        <f t="shared" si="104"/>
        <v>5</v>
      </c>
      <c r="U274" s="251">
        <f t="shared" si="105"/>
        <v>-0.50821895980698983</v>
      </c>
      <c r="V274" s="383">
        <f t="shared" si="106"/>
        <v>43.898085200037173</v>
      </c>
      <c r="W274" s="402"/>
      <c r="X274" s="157">
        <f t="shared" si="107"/>
        <v>44090</v>
      </c>
      <c r="Y274" s="385">
        <f t="shared" si="108"/>
        <v>38.506</v>
      </c>
      <c r="Z274" s="385">
        <f t="shared" si="109"/>
        <v>39.227018241779867</v>
      </c>
      <c r="AA274" s="386">
        <f t="shared" si="110"/>
        <v>42.651410329762605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8.0287898137641686E-2</v>
      </c>
      <c r="AD274" s="231">
        <f>(INDEX(Models!$BJ274:$BT274,,AH274)*(1-AF274)+INDEX(Models!$BJ274:$BT274,,AH274+1)*AF274-ERP_i)*AE274*Ramure*Pc/MaxiM</f>
        <v>3.7936806834090394E-4</v>
      </c>
      <c r="AE274" s="305">
        <f t="shared" si="112"/>
        <v>0.7</v>
      </c>
      <c r="AF274" s="177">
        <f t="shared" si="113"/>
        <v>0.49178104019301017</v>
      </c>
      <c r="AG274" s="921">
        <f t="shared" si="119"/>
        <v>-1</v>
      </c>
      <c r="AH274" s="176">
        <f t="shared" si="114"/>
        <v>5</v>
      </c>
      <c r="AI274" s="225">
        <f t="shared" si="115"/>
        <v>-0.50821895980698983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20">
        <v>39.256</v>
      </c>
      <c r="C275" s="390"/>
      <c r="D275" s="393">
        <f t="shared" si="98"/>
        <v>39.991937789142547</v>
      </c>
      <c r="E275" s="385">
        <f t="shared" si="96"/>
        <v>43.484224053197501</v>
      </c>
      <c r="F275" s="385">
        <f t="shared" si="99"/>
        <v>43.498795639954182</v>
      </c>
      <c r="G275" s="110">
        <f t="shared" si="97"/>
        <v>0.89752944930890033</v>
      </c>
      <c r="H275" s="414" t="b">
        <f>Wh_hp&gt;='2019'!Maxi_hp</f>
        <v>1</v>
      </c>
      <c r="I275" s="380">
        <f>IF(H275,Wh_hp,'2019'!Maxi_hp)</f>
        <v>43.498795639954182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1.8402153779663699E-2</v>
      </c>
      <c r="M275" s="959"/>
      <c r="N275" s="959"/>
      <c r="O275" s="48">
        <f>IF(t&lt;Tnet,'2019'!Resal+('2019'!Salim-'2019'!Resal)*(1-EXP(('2019'!Tnet-t)/('2019'!Tau_j))),Resal+(Salim-Resal)*(1-EXP((Tnet-t)/(Tau_j))))*Salcycl</f>
        <v>8.0311569082676573E-2</v>
      </c>
      <c r="P275" s="169">
        <f>(INDEX(Models!$BJ275:$BT275,,T275)*(1-R275)+INDEX(Models!$BJ275:$BT275,,T275+1)*R275-ERP_i)*Q275*Ramure*Pc/MaxiM</f>
        <v>3.9240169360258369E-4</v>
      </c>
      <c r="Q275" s="305">
        <f t="shared" si="101"/>
        <v>0.7</v>
      </c>
      <c r="R275" s="177">
        <f t="shared" si="102"/>
        <v>0.49211466860286801</v>
      </c>
      <c r="S275" s="921">
        <f t="shared" si="103"/>
        <v>-1</v>
      </c>
      <c r="T275" s="176">
        <f t="shared" si="104"/>
        <v>5</v>
      </c>
      <c r="U275" s="251">
        <f t="shared" si="105"/>
        <v>-0.50788533139713199</v>
      </c>
      <c r="V275" s="383">
        <f t="shared" si="106"/>
        <v>43.735328633534429</v>
      </c>
      <c r="W275" s="402"/>
      <c r="X275" s="157">
        <f t="shared" si="107"/>
        <v>44091</v>
      </c>
      <c r="Y275" s="385">
        <f t="shared" si="108"/>
        <v>39.256</v>
      </c>
      <c r="Z275" s="385">
        <f t="shared" si="109"/>
        <v>39.991937789142547</v>
      </c>
      <c r="AA275" s="386">
        <f t="shared" si="110"/>
        <v>43.484224053197501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8.0311569082676573E-2</v>
      </c>
      <c r="AD275" s="231">
        <f>(INDEX(Models!$BJ275:$BT275,,AH275)*(1-AF275)+INDEX(Models!$BJ275:$BT275,,AH275+1)*AF275-ERP_i)*AE275*Ramure*Pc/MaxiM</f>
        <v>3.9240169360258369E-4</v>
      </c>
      <c r="AE275" s="305">
        <f t="shared" si="112"/>
        <v>0.7</v>
      </c>
      <c r="AF275" s="177">
        <f t="shared" si="113"/>
        <v>0.49211466860286801</v>
      </c>
      <c r="AG275" s="921">
        <f t="shared" si="119"/>
        <v>-1</v>
      </c>
      <c r="AH275" s="176">
        <f t="shared" si="114"/>
        <v>5</v>
      </c>
      <c r="AI275" s="225">
        <f t="shared" si="115"/>
        <v>-0.50788533139713199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20">
        <v>17.954000000000001</v>
      </c>
      <c r="C276" s="390"/>
      <c r="D276" s="393">
        <f t="shared" si="98"/>
        <v>18.29098679915062</v>
      </c>
      <c r="E276" s="385">
        <f t="shared" si="96"/>
        <v>19.888737383119437</v>
      </c>
      <c r="F276" s="385">
        <f t="shared" si="99"/>
        <v>19.890033402685379</v>
      </c>
      <c r="G276" s="110">
        <f t="shared" si="97"/>
        <v>0.41194329967092852</v>
      </c>
      <c r="H276" s="414" t="b">
        <f>Wh_hp&gt;='2019'!Maxi_hp</f>
        <v>0</v>
      </c>
      <c r="I276" s="380">
        <f>IF(H276,Wh_hp,'2019'!Maxi_hp)</f>
        <v>42.121990012430572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1.842365329170037E-2</v>
      </c>
      <c r="M276" s="959"/>
      <c r="N276" s="959"/>
      <c r="O276" s="48">
        <f>IF(t&lt;Tnet,'2019'!Resal+('2019'!Salim-'2019'!Resal)*(1-EXP(('2019'!Tnet-t)/('2019'!Tau_j))),Resal+(Salim-Resal)*(1-EXP((Tnet-t)/(Tau_j))))*Salcycl</f>
        <v>8.0334440200558341E-2</v>
      </c>
      <c r="P276" s="169">
        <f>(INDEX(Models!$BJ276:$BT276,,T276)*(1-R276)+INDEX(Models!$BJ276:$BT276,,T276+1)*R276-ERP_i)*Q276*Ramure*Pc/MaxiM</f>
        <v>4.0693952965534008E-4</v>
      </c>
      <c r="Q276" s="305">
        <f t="shared" si="101"/>
        <v>0.7</v>
      </c>
      <c r="R276" s="177">
        <f t="shared" si="102"/>
        <v>0.49243528957212956</v>
      </c>
      <c r="S276" s="921">
        <f t="shared" si="103"/>
        <v>-1</v>
      </c>
      <c r="T276" s="176">
        <f t="shared" si="104"/>
        <v>5</v>
      </c>
      <c r="U276" s="251">
        <f t="shared" si="105"/>
        <v>-0.50756471042787044</v>
      </c>
      <c r="V276" s="383">
        <f t="shared" si="106"/>
        <v>43.568770972238333</v>
      </c>
      <c r="W276" s="402"/>
      <c r="X276" s="157">
        <f t="shared" si="107"/>
        <v>44092</v>
      </c>
      <c r="Y276" s="385">
        <f t="shared" si="108"/>
        <v>17.954000000000001</v>
      </c>
      <c r="Z276" s="385">
        <f t="shared" si="109"/>
        <v>18.29098679915062</v>
      </c>
      <c r="AA276" s="386">
        <f t="shared" si="110"/>
        <v>19.888737383119437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8.0334440200558341E-2</v>
      </c>
      <c r="AD276" s="231">
        <f>(INDEX(Models!$BJ276:$BT276,,AH276)*(1-AF276)+INDEX(Models!$BJ276:$BT276,,AH276+1)*AF276-ERP_i)*AE276*Ramure*Pc/MaxiM</f>
        <v>4.0693952965534008E-4</v>
      </c>
      <c r="AE276" s="305">
        <f t="shared" si="112"/>
        <v>0.7</v>
      </c>
      <c r="AF276" s="177">
        <f t="shared" si="113"/>
        <v>0.49243528957212956</v>
      </c>
      <c r="AG276" s="921">
        <f t="shared" si="119"/>
        <v>-1</v>
      </c>
      <c r="AH276" s="176">
        <f t="shared" si="114"/>
        <v>5</v>
      </c>
      <c r="AI276" s="225">
        <f t="shared" si="115"/>
        <v>-0.50756471042787044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20">
        <v>30.042000000000002</v>
      </c>
      <c r="C277" s="390"/>
      <c r="D277" s="393">
        <f t="shared" si="98"/>
        <v>30.606542335764779</v>
      </c>
      <c r="E277" s="385">
        <f t="shared" si="96"/>
        <v>33.280876553411019</v>
      </c>
      <c r="F277" s="385">
        <f t="shared" si="99"/>
        <v>33.288759870174204</v>
      </c>
      <c r="G277" s="110">
        <f t="shared" si="97"/>
        <v>0.69210733094937338</v>
      </c>
      <c r="H277" s="414" t="b">
        <f>Wh_hp&gt;='2019'!Maxi_hp</f>
        <v>0</v>
      </c>
      <c r="I277" s="380">
        <f>IF(H277,Wh_hp,'2019'!Maxi_hp)</f>
        <v>46.992391841113573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1.8445152332842607E-2</v>
      </c>
      <c r="M277" s="959"/>
      <c r="N277" s="959"/>
      <c r="O277" s="48">
        <f>IF(t&lt;Tnet,'2019'!Resal+('2019'!Salim-'2019'!Resal)*(1-EXP(('2019'!Tnet-t)/('2019'!Tau_j))),Resal+(Salim-Resal)*(1-EXP((Tnet-t)/(Tau_j))))*Salcycl</f>
        <v>8.0356483800969561E-2</v>
      </c>
      <c r="P277" s="169">
        <f>(INDEX(Models!$BJ277:$BT277,,T277)*(1-R277)+INDEX(Models!$BJ277:$BT277,,T277+1)*R277-ERP_i)*Q277*Ramure*Pc/MaxiM</f>
        <v>4.2263159553235588E-4</v>
      </c>
      <c r="Q277" s="305">
        <f t="shared" si="101"/>
        <v>0.7</v>
      </c>
      <c r="R277" s="177">
        <f t="shared" si="102"/>
        <v>0.49274339401718836</v>
      </c>
      <c r="S277" s="921">
        <f t="shared" si="103"/>
        <v>-1</v>
      </c>
      <c r="T277" s="176">
        <f t="shared" si="104"/>
        <v>5</v>
      </c>
      <c r="U277" s="251">
        <f t="shared" si="105"/>
        <v>-0.50725660598281164</v>
      </c>
      <c r="V277" s="383">
        <f t="shared" si="106"/>
        <v>43.398494810960798</v>
      </c>
      <c r="W277" s="402"/>
      <c r="X277" s="157">
        <f t="shared" si="107"/>
        <v>44093</v>
      </c>
      <c r="Y277" s="385">
        <f t="shared" si="108"/>
        <v>30.042000000000002</v>
      </c>
      <c r="Z277" s="385">
        <f t="shared" si="109"/>
        <v>30.606542335764779</v>
      </c>
      <c r="AA277" s="386">
        <f t="shared" si="110"/>
        <v>33.280876553411019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8.0356483800969561E-2</v>
      </c>
      <c r="AD277" s="231">
        <f>(INDEX(Models!$BJ277:$BT277,,AH277)*(1-AF277)+INDEX(Models!$BJ277:$BT277,,AH277+1)*AF277-ERP_i)*AE277*Ramure*Pc/MaxiM</f>
        <v>4.2263159553235588E-4</v>
      </c>
      <c r="AE277" s="305">
        <f t="shared" si="112"/>
        <v>0.7</v>
      </c>
      <c r="AF277" s="177">
        <f t="shared" si="113"/>
        <v>0.49274339401718836</v>
      </c>
      <c r="AG277" s="921">
        <f t="shared" si="119"/>
        <v>-1</v>
      </c>
      <c r="AH277" s="176">
        <f t="shared" si="114"/>
        <v>5</v>
      </c>
      <c r="AI277" s="225">
        <f t="shared" si="115"/>
        <v>-0.50725660598281164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20">
        <v>27.881</v>
      </c>
      <c r="C278" s="390"/>
      <c r="D278" s="393">
        <f t="shared" si="98"/>
        <v>28.405555476696819</v>
      </c>
      <c r="E278" s="385">
        <f t="shared" si="96"/>
        <v>30.888283818555077</v>
      </c>
      <c r="F278" s="385">
        <f t="shared" si="99"/>
        <v>30.894976285550207</v>
      </c>
      <c r="G278" s="110">
        <f t="shared" si="97"/>
        <v>0.64488291846070589</v>
      </c>
      <c r="H278" s="414" t="b">
        <f>Wh_hp&gt;='2019'!Maxi_hp</f>
        <v>0</v>
      </c>
      <c r="I278" s="380">
        <f>IF(H278,Wh_hp,'2019'!Maxi_hp)</f>
        <v>34.570937857482065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1.8466650903100623E-2</v>
      </c>
      <c r="M278" s="959"/>
      <c r="N278" s="959"/>
      <c r="O278" s="48">
        <f>IF(t&lt;Tnet,'2019'!Resal+('2019'!Salim-'2019'!Resal)*(1-EXP(('2019'!Tnet-t)/('2019'!Tau_j))),Resal+(Salim-Resal)*(1-EXP((Tnet-t)/(Tau_j))))*Salcycl</f>
        <v>8.0377671884989788E-2</v>
      </c>
      <c r="P278" s="169">
        <f>(INDEX(Models!$BJ278:$BT278,,T278)*(1-R278)+INDEX(Models!$BJ278:$BT278,,T278+1)*R278-ERP_i)*Q278*Ramure*Pc/MaxiM</f>
        <v>4.3948464229815994E-4</v>
      </c>
      <c r="Q278" s="305">
        <f t="shared" si="101"/>
        <v>0.7</v>
      </c>
      <c r="R278" s="177">
        <f t="shared" si="102"/>
        <v>0.49303945558977602</v>
      </c>
      <c r="S278" s="921">
        <f t="shared" si="103"/>
        <v>-1</v>
      </c>
      <c r="T278" s="176">
        <f t="shared" si="104"/>
        <v>5</v>
      </c>
      <c r="U278" s="251">
        <f t="shared" si="105"/>
        <v>-0.50696054441022398</v>
      </c>
      <c r="V278" s="383">
        <f t="shared" si="106"/>
        <v>43.224567071251684</v>
      </c>
      <c r="W278" s="402"/>
      <c r="X278" s="157">
        <f t="shared" si="107"/>
        <v>44094</v>
      </c>
      <c r="Y278" s="385">
        <f t="shared" si="108"/>
        <v>27.881</v>
      </c>
      <c r="Z278" s="385">
        <f t="shared" si="109"/>
        <v>28.405555476696819</v>
      </c>
      <c r="AA278" s="386">
        <f t="shared" si="110"/>
        <v>30.888283818555077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8.0377671884989788E-2</v>
      </c>
      <c r="AD278" s="231">
        <f>(INDEX(Models!$BJ278:$BT278,,AH278)*(1-AF278)+INDEX(Models!$BJ278:$BT278,,AH278+1)*AF278-ERP_i)*AE278*Ramure*Pc/MaxiM</f>
        <v>4.3948464229815994E-4</v>
      </c>
      <c r="AE278" s="305">
        <f t="shared" si="112"/>
        <v>0.7</v>
      </c>
      <c r="AF278" s="177">
        <f t="shared" si="113"/>
        <v>0.49303945558977602</v>
      </c>
      <c r="AG278" s="921">
        <f t="shared" si="119"/>
        <v>-1</v>
      </c>
      <c r="AH278" s="176">
        <f t="shared" si="114"/>
        <v>5</v>
      </c>
      <c r="AI278" s="225">
        <f t="shared" si="115"/>
        <v>-0.50696054441022398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20">
        <v>26.396999999999998</v>
      </c>
      <c r="C279" s="390"/>
      <c r="D279" s="393">
        <f t="shared" si="98"/>
        <v>26.894224428541133</v>
      </c>
      <c r="E279" s="385">
        <f t="shared" si="96"/>
        <v>29.245503744673197</v>
      </c>
      <c r="F279" s="385">
        <f t="shared" si="99"/>
        <v>29.251491795411297</v>
      </c>
      <c r="G279" s="110">
        <f t="shared" si="97"/>
        <v>0.61305763622449438</v>
      </c>
      <c r="H279" s="414" t="b">
        <f>Wh_hp&gt;='2019'!Maxi_hp</f>
        <v>0</v>
      </c>
      <c r="I279" s="380">
        <f>IF(H279,Wh_hp,'2019'!Maxi_hp)</f>
        <v>45.830234564690414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1.8488149002484744E-2</v>
      </c>
      <c r="M279" s="959"/>
      <c r="N279" s="959"/>
      <c r="O279" s="48">
        <f>IF(t&lt;Tnet,'2019'!Resal+('2019'!Salim-'2019'!Resal)*(1-EXP(('2019'!Tnet-t)/('2019'!Tau_j))),Resal+(Salim-Resal)*(1-EXP((Tnet-t)/(Tau_j))))*Salcycl</f>
        <v>8.0397976272175861E-2</v>
      </c>
      <c r="P279" s="169">
        <f>(INDEX(Models!$BJ279:$BT279,,T279)*(1-R279)+INDEX(Models!$BJ279:$BT279,,T279+1)*R279-ERP_i)*Q279*Ramure*Pc/MaxiM</f>
        <v>4.5750531998135828E-4</v>
      </c>
      <c r="Q279" s="305">
        <f t="shared" si="101"/>
        <v>0.7</v>
      </c>
      <c r="R279" s="177">
        <f t="shared" si="102"/>
        <v>0.49332393118458617</v>
      </c>
      <c r="S279" s="921">
        <f t="shared" si="103"/>
        <v>-1</v>
      </c>
      <c r="T279" s="176">
        <f t="shared" si="104"/>
        <v>5</v>
      </c>
      <c r="U279" s="251">
        <f t="shared" si="105"/>
        <v>-0.50667606881541383</v>
      </c>
      <c r="V279" s="383">
        <f t="shared" si="106"/>
        <v>43.047054658939395</v>
      </c>
      <c r="W279" s="402"/>
      <c r="X279" s="157">
        <f t="shared" si="107"/>
        <v>44095</v>
      </c>
      <c r="Y279" s="385">
        <f t="shared" si="108"/>
        <v>26.396999999999998</v>
      </c>
      <c r="Z279" s="385">
        <f t="shared" si="109"/>
        <v>26.894224428541133</v>
      </c>
      <c r="AA279" s="386">
        <f t="shared" si="110"/>
        <v>29.245503744673197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8.0397976272175861E-2</v>
      </c>
      <c r="AD279" s="231">
        <f>(INDEX(Models!$BJ279:$BT279,,AH279)*(1-AF279)+INDEX(Models!$BJ279:$BT279,,AH279+1)*AF279-ERP_i)*AE279*Ramure*Pc/MaxiM</f>
        <v>4.5750531998135828E-4</v>
      </c>
      <c r="AE279" s="305">
        <f t="shared" si="112"/>
        <v>0.7</v>
      </c>
      <c r="AF279" s="177">
        <f t="shared" si="113"/>
        <v>0.49332393118458617</v>
      </c>
      <c r="AG279" s="921">
        <f t="shared" si="119"/>
        <v>-1</v>
      </c>
      <c r="AH279" s="176">
        <f t="shared" si="114"/>
        <v>5</v>
      </c>
      <c r="AI279" s="225">
        <f t="shared" si="115"/>
        <v>-0.50667606881541383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20">
        <v>21.440999999999999</v>
      </c>
      <c r="C280" s="390"/>
      <c r="D280" s="393">
        <f t="shared" si="98"/>
        <v>21.845349703543324</v>
      </c>
      <c r="E280" s="385">
        <f t="shared" si="96"/>
        <v>23.755722390761782</v>
      </c>
      <c r="F280" s="385">
        <f t="shared" si="99"/>
        <v>23.758961394494001</v>
      </c>
      <c r="G280" s="110">
        <f t="shared" si="97"/>
        <v>0.50001606986306091</v>
      </c>
      <c r="H280" s="414" t="b">
        <f>Wh_hp&gt;='2019'!Maxi_hp</f>
        <v>0</v>
      </c>
      <c r="I280" s="380">
        <f>IF(H280,Wh_hp,'2019'!Maxi_hp)</f>
        <v>46.242324699542912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1.8509646631005405E-2</v>
      </c>
      <c r="M280" s="959"/>
      <c r="N280" s="959"/>
      <c r="O280" s="48">
        <f>IF(t&lt;Tnet,'2019'!Resal+('2019'!Salim-'2019'!Resal)*(1-EXP(('2019'!Tnet-t)/('2019'!Tau_j))),Resal+(Salim-Resal)*(1-EXP((Tnet-t)/(Tau_j))))*Salcycl</f>
        <v>8.041736874149423E-2</v>
      </c>
      <c r="P280" s="169">
        <f>(INDEX(Models!$BJ280:$BT280,,T280)*(1-R280)+INDEX(Models!$BJ280:$BT280,,T280+1)*R280-ERP_i)*Q280*Ramure*Pc/MaxiM</f>
        <v>4.7670267443151949E-4</v>
      </c>
      <c r="Q280" s="305">
        <f t="shared" si="101"/>
        <v>0.7</v>
      </c>
      <c r="R280" s="177">
        <f t="shared" si="102"/>
        <v>0.49359726144015137</v>
      </c>
      <c r="S280" s="921">
        <f t="shared" si="103"/>
        <v>-1</v>
      </c>
      <c r="T280" s="176">
        <f t="shared" si="104"/>
        <v>5</v>
      </c>
      <c r="U280" s="251">
        <f t="shared" si="105"/>
        <v>-0.50640273855984863</v>
      </c>
      <c r="V280" s="383">
        <f t="shared" si="106"/>
        <v>42.866024346462993</v>
      </c>
      <c r="W280" s="402"/>
      <c r="X280" s="157">
        <f t="shared" si="107"/>
        <v>44096</v>
      </c>
      <c r="Y280" s="385">
        <f t="shared" si="108"/>
        <v>21.440999999999999</v>
      </c>
      <c r="Z280" s="385">
        <f t="shared" si="109"/>
        <v>21.845349703543324</v>
      </c>
      <c r="AA280" s="386">
        <f t="shared" si="110"/>
        <v>23.755722390761782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8.041736874149423E-2</v>
      </c>
      <c r="AD280" s="231">
        <f>(INDEX(Models!$BJ280:$BT280,,AH280)*(1-AF280)+INDEX(Models!$BJ280:$BT280,,AH280+1)*AF280-ERP_i)*AE280*Ramure*Pc/MaxiM</f>
        <v>4.7670267443151949E-4</v>
      </c>
      <c r="AE280" s="305">
        <f t="shared" si="112"/>
        <v>0.7</v>
      </c>
      <c r="AF280" s="177">
        <f t="shared" si="113"/>
        <v>0.49359726144015137</v>
      </c>
      <c r="AG280" s="921">
        <f t="shared" si="119"/>
        <v>-1</v>
      </c>
      <c r="AH280" s="176">
        <f t="shared" si="114"/>
        <v>5</v>
      </c>
      <c r="AI280" s="225">
        <f t="shared" si="115"/>
        <v>-0.50640273855984863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20">
        <v>35.042000000000002</v>
      </c>
      <c r="C281" s="390"/>
      <c r="D281" s="393">
        <f t="shared" si="98"/>
        <v>35.703629084339333</v>
      </c>
      <c r="E281" s="385">
        <f t="shared" si="96"/>
        <v>38.82668540913884</v>
      </c>
      <c r="F281" s="385">
        <f t="shared" si="99"/>
        <v>38.841055845125936</v>
      </c>
      <c r="G281" s="110">
        <f t="shared" si="97"/>
        <v>0.82090622711971173</v>
      </c>
      <c r="H281" s="414" t="b">
        <f>Wh_hp&gt;='2019'!Maxi_hp</f>
        <v>1</v>
      </c>
      <c r="I281" s="380">
        <f>IF(H281,Wh_hp,'2019'!Maxi_hp)</f>
        <v>38.841055845125936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1.853114378867271E-2</v>
      </c>
      <c r="M281" s="959"/>
      <c r="N281" s="959"/>
      <c r="O281" s="48">
        <f>IF(t&lt;Tnet,'2019'!Resal+('2019'!Salim-'2019'!Resal)*(1-EXP(('2019'!Tnet-t)/('2019'!Tau_j))),Resal+(Salim-Resal)*(1-EXP((Tnet-t)/(Tau_j))))*Salcycl</f>
        <v>8.0435821185612058E-2</v>
      </c>
      <c r="P281" s="169">
        <f>(INDEX(Models!$BJ281:$BT281,,T281)*(1-R281)+INDEX(Models!$BJ281:$BT281,,T281+1)*R281-ERP_i)*Q281*Ramure*Pc/MaxiM</f>
        <v>4.9708468384770498E-4</v>
      </c>
      <c r="Q281" s="305">
        <f t="shared" si="101"/>
        <v>0.7</v>
      </c>
      <c r="R281" s="177">
        <f t="shared" si="102"/>
        <v>0.49385987123228747</v>
      </c>
      <c r="S281" s="921">
        <f t="shared" si="103"/>
        <v>-1</v>
      </c>
      <c r="T281" s="176">
        <f t="shared" si="104"/>
        <v>5</v>
      </c>
      <c r="U281" s="251">
        <f t="shared" si="105"/>
        <v>-0.50614012876771253</v>
      </c>
      <c r="V281" s="383">
        <f t="shared" si="106"/>
        <v>42.681542923710523</v>
      </c>
      <c r="W281" s="402"/>
      <c r="X281" s="157">
        <f t="shared" si="107"/>
        <v>44097</v>
      </c>
      <c r="Y281" s="385">
        <f t="shared" si="108"/>
        <v>35.042000000000002</v>
      </c>
      <c r="Z281" s="385">
        <f t="shared" si="109"/>
        <v>35.703629084339333</v>
      </c>
      <c r="AA281" s="386">
        <f t="shared" si="110"/>
        <v>38.82668540913884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8.0435821185612058E-2</v>
      </c>
      <c r="AD281" s="231">
        <f>(INDEX(Models!$BJ281:$BT281,,AH281)*(1-AF281)+INDEX(Models!$BJ281:$BT281,,AH281+1)*AF281-ERP_i)*AE281*Ramure*Pc/MaxiM</f>
        <v>4.9708468384770498E-4</v>
      </c>
      <c r="AE281" s="305">
        <f t="shared" si="112"/>
        <v>0.7</v>
      </c>
      <c r="AF281" s="177">
        <f t="shared" si="113"/>
        <v>0.49385987123228747</v>
      </c>
      <c r="AG281" s="921">
        <f t="shared" si="119"/>
        <v>-1</v>
      </c>
      <c r="AH281" s="176">
        <f t="shared" si="114"/>
        <v>5</v>
      </c>
      <c r="AI281" s="225">
        <f t="shared" si="115"/>
        <v>-0.50614012876771253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20">
        <v>20.484999999999999</v>
      </c>
      <c r="C282" s="390"/>
      <c r="D282" s="393">
        <f t="shared" si="98"/>
        <v>20.872235073233767</v>
      </c>
      <c r="E282" s="385">
        <f t="shared" si="96"/>
        <v>22.698396073176482</v>
      </c>
      <c r="F282" s="385">
        <f t="shared" si="99"/>
        <v>22.701457179177428</v>
      </c>
      <c r="G282" s="110">
        <f t="shared" si="97"/>
        <v>0.48188666687963749</v>
      </c>
      <c r="H282" s="414" t="b">
        <f>Wh_hp&gt;='2019'!Maxi_hp</f>
        <v>0</v>
      </c>
      <c r="I282" s="380">
        <f>IF(H282,Wh_hp,'2019'!Maxi_hp)</f>
        <v>48.914209724554347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1.8552640475497206E-2</v>
      </c>
      <c r="M282" s="959"/>
      <c r="N282" s="959"/>
      <c r="O282" s="48">
        <f>IF(t&lt;Tnet,'2019'!Resal+('2019'!Salim-'2019'!Resal)*(1-EXP(('2019'!Tnet-t)/('2019'!Tau_j))),Resal+(Salim-Resal)*(1-EXP((Tnet-t)/(Tau_j))))*Salcycl</f>
        <v>8.0453305777880665E-2</v>
      </c>
      <c r="P282" s="169">
        <f>(INDEX(Models!$BJ282:$BT282,,T282)*(1-R282)+INDEX(Models!$BJ282:$BT282,,T282+1)*R282-ERP_i)*Q282*Ramure*Pc/MaxiM</f>
        <v>5.1841845979703702E-4</v>
      </c>
      <c r="Q282" s="305">
        <f t="shared" si="101"/>
        <v>0.7</v>
      </c>
      <c r="R282" s="177">
        <f t="shared" si="102"/>
        <v>0.4941121701595057</v>
      </c>
      <c r="S282" s="921">
        <f t="shared" si="103"/>
        <v>-1</v>
      </c>
      <c r="T282" s="176">
        <f t="shared" si="104"/>
        <v>5</v>
      </c>
      <c r="U282" s="251">
        <f t="shared" si="105"/>
        <v>-0.5058878298404943</v>
      </c>
      <c r="V282" s="383">
        <f t="shared" si="106"/>
        <v>42.493687375989737</v>
      </c>
      <c r="W282" s="402"/>
      <c r="X282" s="157">
        <f t="shared" si="107"/>
        <v>44098</v>
      </c>
      <c r="Y282" s="385">
        <f t="shared" si="108"/>
        <v>20.484999999999999</v>
      </c>
      <c r="Z282" s="385">
        <f t="shared" si="109"/>
        <v>20.872235073233767</v>
      </c>
      <c r="AA282" s="386">
        <f t="shared" si="110"/>
        <v>22.698396073176482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8.0453305777880665E-2</v>
      </c>
      <c r="AD282" s="231">
        <f>(INDEX(Models!$BJ282:$BT282,,AH282)*(1-AF282)+INDEX(Models!$BJ282:$BT282,,AH282+1)*AF282-ERP_i)*AE282*Ramure*Pc/MaxiM</f>
        <v>5.1841845979703702E-4</v>
      </c>
      <c r="AE282" s="305">
        <f t="shared" si="112"/>
        <v>0.7</v>
      </c>
      <c r="AF282" s="177">
        <f t="shared" si="113"/>
        <v>0.4941121701595057</v>
      </c>
      <c r="AG282" s="921">
        <f t="shared" si="119"/>
        <v>-1</v>
      </c>
      <c r="AH282" s="176">
        <f t="shared" si="114"/>
        <v>5</v>
      </c>
      <c r="AI282" s="225">
        <f t="shared" si="115"/>
        <v>-0.5058878298404943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20">
        <v>15.157</v>
      </c>
      <c r="C283" s="390"/>
      <c r="D283" s="393">
        <f t="shared" si="98"/>
        <v>15.443856297921304</v>
      </c>
      <c r="E283" s="385">
        <f t="shared" si="96"/>
        <v>16.795376830998574</v>
      </c>
      <c r="F283" s="385">
        <f t="shared" si="99"/>
        <v>16.796132832610951</v>
      </c>
      <c r="G283" s="110">
        <f t="shared" si="97"/>
        <v>0.35812251347825497</v>
      </c>
      <c r="H283" s="414" t="b">
        <f>Wh_hp&gt;='2019'!Maxi_hp</f>
        <v>0</v>
      </c>
      <c r="I283" s="380">
        <f>IF(H283,Wh_hp,'2019'!Maxi_hp)</f>
        <v>47.979649608380406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1.8574136691488996E-2</v>
      </c>
      <c r="M283" s="959"/>
      <c r="N283" s="959"/>
      <c r="O283" s="48">
        <f>IF(t&lt;Tnet,'2019'!Resal+('2019'!Salim-'2019'!Resal)*(1-EXP(('2019'!Tnet-t)/('2019'!Tau_j))),Resal+(Salim-Resal)*(1-EXP((Tnet-t)/(Tau_j))))*Salcycl</f>
        <v>8.0469795151176332E-2</v>
      </c>
      <c r="P283" s="169">
        <f>(INDEX(Models!$BJ283:$BT283,,T283)*(1-R283)+INDEX(Models!$BJ283:$BT283,,T283+1)*R283-ERP_i)*Q283*Ramure*Pc/MaxiM</f>
        <v>5.4043400774501634E-4</v>
      </c>
      <c r="Q283" s="305">
        <f t="shared" si="101"/>
        <v>0.7</v>
      </c>
      <c r="R283" s="177">
        <f t="shared" si="102"/>
        <v>0.49435455301988362</v>
      </c>
      <c r="S283" s="921">
        <f t="shared" si="103"/>
        <v>-1</v>
      </c>
      <c r="T283" s="176">
        <f t="shared" si="104"/>
        <v>5</v>
      </c>
      <c r="U283" s="251">
        <f t="shared" si="105"/>
        <v>-0.50564544698011638</v>
      </c>
      <c r="V283" s="383">
        <f t="shared" si="106"/>
        <v>42.302536023484024</v>
      </c>
      <c r="W283" s="402"/>
      <c r="X283" s="157">
        <f t="shared" si="107"/>
        <v>44099</v>
      </c>
      <c r="Y283" s="385">
        <f t="shared" si="108"/>
        <v>15.157000000000002</v>
      </c>
      <c r="Z283" s="385">
        <f t="shared" si="109"/>
        <v>15.443856297921306</v>
      </c>
      <c r="AA283" s="386">
        <f t="shared" si="110"/>
        <v>16.795376830998574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8.0469795151176332E-2</v>
      </c>
      <c r="AD283" s="231">
        <f>(INDEX(Models!$BJ283:$BT283,,AH283)*(1-AF283)+INDEX(Models!$BJ283:$BT283,,AH283+1)*AF283-ERP_i)*AE283*Ramure*Pc/MaxiM</f>
        <v>5.4043400774501634E-4</v>
      </c>
      <c r="AE283" s="305">
        <f t="shared" si="112"/>
        <v>0.7</v>
      </c>
      <c r="AF283" s="177">
        <f t="shared" si="113"/>
        <v>0.49435455301988362</v>
      </c>
      <c r="AG283" s="921">
        <f t="shared" si="119"/>
        <v>-1</v>
      </c>
      <c r="AH283" s="176">
        <f t="shared" si="114"/>
        <v>5</v>
      </c>
      <c r="AI283" s="225">
        <f t="shared" si="115"/>
        <v>-0.50564544698011638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20">
        <v>13.584</v>
      </c>
      <c r="C284" s="390"/>
      <c r="D284" s="393">
        <f t="shared" si="98"/>
        <v>13.841389389499804</v>
      </c>
      <c r="E284" s="385">
        <f t="shared" si="96"/>
        <v>15.052928274375166</v>
      </c>
      <c r="F284" s="385">
        <f t="shared" si="99"/>
        <v>15.053201932529964</v>
      </c>
      <c r="G284" s="110">
        <f t="shared" si="97"/>
        <v>0.32242203598161356</v>
      </c>
      <c r="H284" s="414" t="b">
        <f>Wh_hp&gt;='2019'!Maxi_hp</f>
        <v>0</v>
      </c>
      <c r="I284" s="380">
        <f>IF(H284,Wh_hp,'2019'!Maxi_hp)</f>
        <v>46.988763169188566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1.8595632436658627E-2</v>
      </c>
      <c r="M284" s="959"/>
      <c r="N284" s="959"/>
      <c r="O284" s="48">
        <f>IF(t&lt;Tnet,'2019'!Resal+('2019'!Salim-'2019'!Resal)*(1-EXP(('2019'!Tnet-t)/('2019'!Tau_j))),Resal+(Salim-Resal)*(1-EXP((Tnet-t)/(Tau_j))))*Salcycl</f>
        <v>8.0485262587597819E-2</v>
      </c>
      <c r="P284" s="169">
        <f>(INDEX(Models!$BJ284:$BT284,,T284)*(1-R284)+INDEX(Models!$BJ284:$BT284,,T284+1)*R284-ERP_i)*Q284*Ramure*Pc/MaxiM</f>
        <v>5.6313253527394977E-4</v>
      </c>
      <c r="Q284" s="305">
        <f t="shared" si="101"/>
        <v>0.7</v>
      </c>
      <c r="R284" s="177">
        <f t="shared" si="102"/>
        <v>0.49458740027895298</v>
      </c>
      <c r="S284" s="921">
        <f t="shared" si="103"/>
        <v>-1</v>
      </c>
      <c r="T284" s="176">
        <f t="shared" si="104"/>
        <v>5</v>
      </c>
      <c r="U284" s="251">
        <f t="shared" si="105"/>
        <v>-0.50541259972104702</v>
      </c>
      <c r="V284" s="383">
        <f t="shared" si="106"/>
        <v>42.108155482228192</v>
      </c>
      <c r="W284" s="402"/>
      <c r="X284" s="157">
        <f t="shared" si="107"/>
        <v>44100</v>
      </c>
      <c r="Y284" s="385">
        <f t="shared" si="108"/>
        <v>13.584</v>
      </c>
      <c r="Z284" s="385">
        <f t="shared" si="109"/>
        <v>13.841389389499804</v>
      </c>
      <c r="AA284" s="386">
        <f t="shared" si="110"/>
        <v>15.052928274375166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8.0485262587597819E-2</v>
      </c>
      <c r="AD284" s="231">
        <f>(INDEX(Models!$BJ284:$BT284,,AH284)*(1-AF284)+INDEX(Models!$BJ284:$BT284,,AH284+1)*AF284-ERP_i)*AE284*Ramure*Pc/MaxiM</f>
        <v>5.6313253527394977E-4</v>
      </c>
      <c r="AE284" s="305">
        <f t="shared" si="112"/>
        <v>0.7</v>
      </c>
      <c r="AF284" s="177">
        <f t="shared" si="113"/>
        <v>0.49458740027895298</v>
      </c>
      <c r="AG284" s="921">
        <f t="shared" si="119"/>
        <v>-1</v>
      </c>
      <c r="AH284" s="176">
        <f t="shared" si="114"/>
        <v>5</v>
      </c>
      <c r="AI284" s="225">
        <f t="shared" si="115"/>
        <v>-0.50541259972104702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20">
        <v>11.923</v>
      </c>
      <c r="C285" s="390"/>
      <c r="D285" s="393">
        <f t="shared" si="98"/>
        <v>12.149182889437142</v>
      </c>
      <c r="E285" s="385">
        <f t="shared" si="96"/>
        <v>13.212809886505882</v>
      </c>
      <c r="F285" s="385">
        <f t="shared" si="99"/>
        <v>13.212809886505882</v>
      </c>
      <c r="G285" s="110">
        <f t="shared" si="97"/>
        <v>0.28431956322689322</v>
      </c>
      <c r="H285" s="414" t="b">
        <f>Wh_hp&gt;='2019'!Maxi_hp</f>
        <v>0</v>
      </c>
      <c r="I285" s="380">
        <f>IF(H285,Wh_hp,'2019'!Maxi_hp)</f>
        <v>44.138858996476266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1.861712771101609E-2</v>
      </c>
      <c r="M285" s="959"/>
      <c r="N285" s="959"/>
      <c r="O285" s="48">
        <f>IF(t&lt;Tnet,'2019'!Resal+('2019'!Salim-'2019'!Resal)*(1-EXP(('2019'!Tnet-t)/('2019'!Tau_j))),Resal+(Salim-Resal)*(1-EXP((Tnet-t)/(Tau_j))))*Salcycl</f>
        <v>8.0499682217861343E-2</v>
      </c>
      <c r="P285" s="169">
        <f>(INDEX(Models!$BJ285:$BT285,,T285)*(1-R285)+INDEX(Models!$BJ285:$BT285,,T285+1)*R285-ERP_i)*Q285*Ramure*Pc/MaxiM</f>
        <v>5.8651486948413367E-4</v>
      </c>
      <c r="Q285" s="305">
        <f t="shared" si="101"/>
        <v>0.7</v>
      </c>
      <c r="R285" s="177">
        <f t="shared" si="102"/>
        <v>0.49481107852823958</v>
      </c>
      <c r="S285" s="921">
        <f t="shared" si="103"/>
        <v>-1</v>
      </c>
      <c r="T285" s="176">
        <f t="shared" si="104"/>
        <v>5</v>
      </c>
      <c r="U285" s="251">
        <f t="shared" si="105"/>
        <v>-0.50518892147176042</v>
      </c>
      <c r="V285" s="383">
        <f t="shared" si="106"/>
        <v>41.91061229825366</v>
      </c>
      <c r="W285" s="402"/>
      <c r="X285" s="157">
        <f t="shared" si="107"/>
        <v>44101</v>
      </c>
      <c r="Y285" s="385">
        <f t="shared" si="108"/>
        <v>11.923</v>
      </c>
      <c r="Z285" s="385">
        <f t="shared" si="109"/>
        <v>12.149182889437142</v>
      </c>
      <c r="AA285" s="386">
        <f t="shared" si="110"/>
        <v>13.212809886505882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8.0499682217861343E-2</v>
      </c>
      <c r="AD285" s="231">
        <f>(INDEX(Models!$BJ285:$BT285,,AH285)*(1-AF285)+INDEX(Models!$BJ285:$BT285,,AH285+1)*AF285-ERP_i)*AE285*Ramure*Pc/MaxiM</f>
        <v>5.8651486948413367E-4</v>
      </c>
      <c r="AE285" s="305">
        <f t="shared" si="112"/>
        <v>0.7</v>
      </c>
      <c r="AF285" s="177">
        <f t="shared" si="113"/>
        <v>0.49481107852823958</v>
      </c>
      <c r="AG285" s="921">
        <f t="shared" si="119"/>
        <v>-1</v>
      </c>
      <c r="AH285" s="176">
        <f t="shared" si="114"/>
        <v>5</v>
      </c>
      <c r="AI285" s="225">
        <f t="shared" si="115"/>
        <v>-0.50518892147176042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20">
        <v>29.321999999999999</v>
      </c>
      <c r="C286" s="390"/>
      <c r="D286" s="393">
        <f t="shared" si="98"/>
        <v>29.878901567466055</v>
      </c>
      <c r="E286" s="385">
        <f t="shared" si="96"/>
        <v>32.495187552701275</v>
      </c>
      <c r="F286" s="385">
        <f t="shared" si="99"/>
        <v>32.506614217110652</v>
      </c>
      <c r="G286" s="110">
        <f t="shared" si="97"/>
        <v>0.70281515449459275</v>
      </c>
      <c r="H286" s="414" t="b">
        <f>Wh_hp&gt;='2019'!Maxi_hp</f>
        <v>0</v>
      </c>
      <c r="I286" s="380">
        <f>IF(H286,Wh_hp,'2019'!Maxi_hp)</f>
        <v>45.467806820564945</v>
      </c>
      <c r="J286" s="85">
        <f>IF(H286,An,'2019'!An_max)</f>
        <v>2018</v>
      </c>
      <c r="K286" s="197">
        <f t="shared" si="100"/>
        <v>44102</v>
      </c>
      <c r="L286" s="147">
        <f>IF(t&lt;Tvie,1-EXP((T0-t)*PertePVj)+'2019'!Pspv,1-EXP((T0-t)*PertePVj)+Pspv)</f>
        <v>1.8638622514572045E-2</v>
      </c>
      <c r="M286" s="959"/>
      <c r="N286" s="959"/>
      <c r="O286" s="48">
        <f>IF(t&lt;Tnet,'2019'!Resal+('2019'!Salim-'2019'!Resal)*(1-EXP(('2019'!Tnet-t)/('2019'!Tau_j))),Resal+(Salim-Resal)*(1-EXP((Tnet-t)/(Tau_j))))*Salcycl</f>
        <v>8.0513029229084571E-2</v>
      </c>
      <c r="P286" s="169">
        <f>(INDEX(Models!$BJ286:$BT286,,T286)*(1-R286)+INDEX(Models!$BJ286:$BT286,,T286+1)*R286-ERP_i)*Q286*Ramure*Pc/MaxiM</f>
        <v>6.1058143708221115E-4</v>
      </c>
      <c r="Q286" s="305">
        <f t="shared" si="101"/>
        <v>0.7</v>
      </c>
      <c r="R286" s="177">
        <f t="shared" si="102"/>
        <v>0.49502594093414976</v>
      </c>
      <c r="S286" s="921">
        <f t="shared" si="103"/>
        <v>-1</v>
      </c>
      <c r="T286" s="176">
        <f t="shared" si="104"/>
        <v>5</v>
      </c>
      <c r="U286" s="251">
        <f t="shared" si="105"/>
        <v>-0.50497405906585024</v>
      </c>
      <c r="V286" s="383">
        <f t="shared" si="106"/>
        <v>41.709972938447777</v>
      </c>
      <c r="W286" s="402"/>
      <c r="X286" s="157">
        <f t="shared" si="107"/>
        <v>44102</v>
      </c>
      <c r="Y286" s="385">
        <f t="shared" si="108"/>
        <v>29.321999999999996</v>
      </c>
      <c r="Z286" s="385">
        <f t="shared" si="109"/>
        <v>29.878901567466052</v>
      </c>
      <c r="AA286" s="386">
        <f t="shared" si="110"/>
        <v>32.495187552701275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8.0513029229084571E-2</v>
      </c>
      <c r="AD286" s="231">
        <f>(INDEX(Models!$BJ286:$BT286,,AH286)*(1-AF286)+INDEX(Models!$BJ286:$BT286,,AH286+1)*AF286-ERP_i)*AE286*Ramure*Pc/MaxiM</f>
        <v>6.1058143708221115E-4</v>
      </c>
      <c r="AE286" s="305">
        <f t="shared" si="112"/>
        <v>0.7</v>
      </c>
      <c r="AF286" s="177">
        <f t="shared" si="113"/>
        <v>0.49502594093414976</v>
      </c>
      <c r="AG286" s="921">
        <f t="shared" si="119"/>
        <v>-1</v>
      </c>
      <c r="AH286" s="176">
        <f t="shared" si="114"/>
        <v>5</v>
      </c>
      <c r="AI286" s="225">
        <f t="shared" si="115"/>
        <v>-0.50497405906585024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20">
        <v>31.73</v>
      </c>
      <c r="C287" s="390"/>
      <c r="D287" s="393">
        <f t="shared" si="98"/>
        <v>32.333343976669781</v>
      </c>
      <c r="E287" s="385">
        <f t="shared" si="96"/>
        <v>35.165016803796135</v>
      </c>
      <c r="F287" s="385">
        <f t="shared" si="99"/>
        <v>35.179847009476589</v>
      </c>
      <c r="G287" s="110">
        <f t="shared" si="97"/>
        <v>0.76429869831305752</v>
      </c>
      <c r="H287" s="414" t="b">
        <f>Wh_hp&gt;='2019'!Maxi_hp</f>
        <v>0</v>
      </c>
      <c r="I287" s="380">
        <f>IF(H287,Wh_hp,'2019'!Maxi_hp)</f>
        <v>41.385817820684117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1.8660116847336483E-2</v>
      </c>
      <c r="M287" s="959"/>
      <c r="N287" s="959"/>
      <c r="O287" s="48">
        <f>IF(t&lt;Tnet,'2019'!Resal+('2019'!Salim-'2019'!Resal)*(1-EXP(('2019'!Tnet-t)/('2019'!Tau_j))),Resal+(Salim-Resal)*(1-EXP((Tnet-t)/(Tau_j))))*Salcycl</f>
        <v>8.0525280079509737E-2</v>
      </c>
      <c r="P287" s="169">
        <f>(INDEX(Models!$BJ287:$BT287,,T287)*(1-R287)+INDEX(Models!$BJ287:$BT287,,T287+1)*R287-ERP_i)*Q287*Ramure*Pc/MaxiM</f>
        <v>6.3533224820254419E-4</v>
      </c>
      <c r="Q287" s="305">
        <f t="shared" si="101"/>
        <v>0.7</v>
      </c>
      <c r="R287" s="177">
        <f t="shared" si="102"/>
        <v>0.49523232767695879</v>
      </c>
      <c r="S287" s="921">
        <f t="shared" si="103"/>
        <v>-1</v>
      </c>
      <c r="T287" s="176">
        <f t="shared" si="104"/>
        <v>5</v>
      </c>
      <c r="U287" s="251">
        <f t="shared" si="105"/>
        <v>-0.50476767232304121</v>
      </c>
      <c r="V287" s="383">
        <f t="shared" si="106"/>
        <v>41.506303786633211</v>
      </c>
      <c r="W287" s="402"/>
      <c r="X287" s="157">
        <f t="shared" si="107"/>
        <v>44103</v>
      </c>
      <c r="Y287" s="385">
        <f t="shared" si="108"/>
        <v>31.73</v>
      </c>
      <c r="Z287" s="385">
        <f t="shared" si="109"/>
        <v>32.333343976669781</v>
      </c>
      <c r="AA287" s="386">
        <f t="shared" si="110"/>
        <v>35.165016803796135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8.0525280079509737E-2</v>
      </c>
      <c r="AD287" s="231">
        <f>(INDEX(Models!$BJ287:$BT287,,AH287)*(1-AF287)+INDEX(Models!$BJ287:$BT287,,AH287+1)*AF287-ERP_i)*AE287*Ramure*Pc/MaxiM</f>
        <v>6.3533224820254419E-4</v>
      </c>
      <c r="AE287" s="305">
        <f t="shared" si="112"/>
        <v>0.7</v>
      </c>
      <c r="AF287" s="177">
        <f t="shared" si="113"/>
        <v>0.49523232767695879</v>
      </c>
      <c r="AG287" s="921">
        <f t="shared" si="119"/>
        <v>-1</v>
      </c>
      <c r="AH287" s="176">
        <f t="shared" si="114"/>
        <v>5</v>
      </c>
      <c r="AI287" s="225">
        <f t="shared" si="115"/>
        <v>-0.50476767232304121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20">
        <v>39.658999999999999</v>
      </c>
      <c r="C288" s="390"/>
      <c r="D288" s="393">
        <f t="shared" si="98"/>
        <v>40.413998588843782</v>
      </c>
      <c r="E288" s="385">
        <f t="shared" si="96"/>
        <v>43.953886970484909</v>
      </c>
      <c r="F288" s="385">
        <f t="shared" si="99"/>
        <v>43.981299080889379</v>
      </c>
      <c r="G288" s="110">
        <f t="shared" si="97"/>
        <v>0.96023795818135693</v>
      </c>
      <c r="H288" s="414" t="b">
        <f>Wh_hp&gt;='2019'!Maxi_hp</f>
        <v>1</v>
      </c>
      <c r="I288" s="380">
        <f>IF(H288,Wh_hp,'2019'!Maxi_hp)</f>
        <v>43.981299080889379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1.8681610709319951E-2</v>
      </c>
      <c r="M288" s="959"/>
      <c r="N288" s="959"/>
      <c r="O288" s="48">
        <f>IF(t&lt;Tnet,'2019'!Resal+('2019'!Salim-'2019'!Resal)*(1-EXP(('2019'!Tnet-t)/('2019'!Tau_j))),Resal+(Salim-Resal)*(1-EXP((Tnet-t)/(Tau_j))))*Salcycl</f>
        <v>8.0536412718587747E-2</v>
      </c>
      <c r="P288" s="169">
        <f>(INDEX(Models!$BJ288:$BT288,,T288)*(1-R288)+INDEX(Models!$BJ288:$BT288,,T288+1)*R288-ERP_i)*Q288*Ramure*Pc/MaxiM</f>
        <v>6.6076688456734843E-4</v>
      </c>
      <c r="Q288" s="305">
        <f t="shared" si="101"/>
        <v>0.7</v>
      </c>
      <c r="R288" s="177">
        <f t="shared" si="102"/>
        <v>0.49543056637970706</v>
      </c>
      <c r="S288" s="921">
        <f t="shared" si="103"/>
        <v>-1</v>
      </c>
      <c r="T288" s="176">
        <f t="shared" si="104"/>
        <v>5</v>
      </c>
      <c r="U288" s="251">
        <f t="shared" si="105"/>
        <v>-0.50456943362029294</v>
      </c>
      <c r="V288" s="383">
        <f t="shared" si="106"/>
        <v>41.299671131503182</v>
      </c>
      <c r="W288" s="402"/>
      <c r="X288" s="157">
        <f t="shared" si="107"/>
        <v>44104</v>
      </c>
      <c r="Y288" s="385">
        <f t="shared" si="108"/>
        <v>39.658999999999999</v>
      </c>
      <c r="Z288" s="385">
        <f t="shared" si="109"/>
        <v>40.413998588843782</v>
      </c>
      <c r="AA288" s="386">
        <f t="shared" si="110"/>
        <v>43.953886970484909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8.0536412718587747E-2</v>
      </c>
      <c r="AD288" s="231">
        <f>(INDEX(Models!$BJ288:$BT288,,AH288)*(1-AF288)+INDEX(Models!$BJ288:$BT288,,AH288+1)*AF288-ERP_i)*AE288*Ramure*Pc/MaxiM</f>
        <v>6.6076688456734843E-4</v>
      </c>
      <c r="AE288" s="305">
        <f t="shared" si="112"/>
        <v>0.7</v>
      </c>
      <c r="AF288" s="177">
        <f t="shared" si="113"/>
        <v>0.49543056637970706</v>
      </c>
      <c r="AG288" s="921">
        <f t="shared" si="119"/>
        <v>-1</v>
      </c>
      <c r="AH288" s="176">
        <f t="shared" si="114"/>
        <v>5</v>
      </c>
      <c r="AI288" s="225">
        <f t="shared" si="115"/>
        <v>-0.50456943362029294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20">
        <v>7.5350000000000001</v>
      </c>
      <c r="C289" s="390"/>
      <c r="D289" s="393">
        <f t="shared" si="98"/>
        <v>7.6786139154076682</v>
      </c>
      <c r="E289" s="385">
        <f t="shared" si="96"/>
        <v>8.3512794688997687</v>
      </c>
      <c r="F289" s="385">
        <f t="shared" si="99"/>
        <v>8.3512794688997687</v>
      </c>
      <c r="G289" s="110">
        <f t="shared" si="97"/>
        <v>0.18325412117354789</v>
      </c>
      <c r="H289" s="414" t="b">
        <f>Wh_hp&gt;='2019'!Maxi_hp</f>
        <v>0</v>
      </c>
      <c r="I289" s="380">
        <f>IF(H289,Wh_hp,'2019'!Maxi_hp)</f>
        <v>47.647904130278036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1.8703104100532664E-2</v>
      </c>
      <c r="M289" s="959"/>
      <c r="N289" s="959"/>
      <c r="O289" s="48">
        <f>IF(t&lt;Tnet,'2019'!Resal+('2019'!Salim-'2019'!Resal)*(1-EXP(('2019'!Tnet-t)/('2019'!Tau_j))),Resal+(Salim-Resal)*(1-EXP((Tnet-t)/(Tau_j))))*Salcycl</f>
        <v>8.0546406810730192E-2</v>
      </c>
      <c r="P289" s="169">
        <f>(INDEX(Models!$BJ289:$BT289,,T289)*(1-R289)+INDEX(Models!$BJ289:$BT289,,T289+1)*R289-ERP_i)*Q289*Ramure*Pc/MaxiM</f>
        <v>6.8689483514852766E-4</v>
      </c>
      <c r="Q289" s="305">
        <f t="shared" si="101"/>
        <v>0.7</v>
      </c>
      <c r="R289" s="177">
        <f t="shared" si="102"/>
        <v>0.49562097252686343</v>
      </c>
      <c r="S289" s="921">
        <f t="shared" si="103"/>
        <v>-1</v>
      </c>
      <c r="T289" s="176">
        <f t="shared" si="104"/>
        <v>5</v>
      </c>
      <c r="U289" s="251">
        <f t="shared" si="105"/>
        <v>-0.50437902747313657</v>
      </c>
      <c r="V289" s="383">
        <f t="shared" si="106"/>
        <v>41.089522021096357</v>
      </c>
      <c r="W289" s="402"/>
      <c r="X289" s="157">
        <f t="shared" si="107"/>
        <v>44105</v>
      </c>
      <c r="Y289" s="385">
        <f t="shared" si="108"/>
        <v>7.535000000000001</v>
      </c>
      <c r="Z289" s="385">
        <f t="shared" si="109"/>
        <v>7.6786139154076691</v>
      </c>
      <c r="AA289" s="386">
        <f t="shared" si="110"/>
        <v>8.3512794688997687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8.0546406810730192E-2</v>
      </c>
      <c r="AD289" s="231">
        <f>(INDEX(Models!$BJ289:$BT289,,AH289)*(1-AF289)+INDEX(Models!$BJ289:$BT289,,AH289+1)*AF289-ERP_i)*AE289*Ramure*Pc/MaxiM</f>
        <v>6.8689483514852766E-4</v>
      </c>
      <c r="AE289" s="305">
        <f t="shared" si="112"/>
        <v>0.7</v>
      </c>
      <c r="AF289" s="177">
        <f t="shared" si="113"/>
        <v>0.49562097252686343</v>
      </c>
      <c r="AG289" s="921">
        <f t="shared" si="119"/>
        <v>-1</v>
      </c>
      <c r="AH289" s="176">
        <f t="shared" si="114"/>
        <v>5</v>
      </c>
      <c r="AI289" s="225">
        <f t="shared" si="115"/>
        <v>-0.50437902747313657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20">
        <v>4.8609999999999998</v>
      </c>
      <c r="C290" s="390"/>
      <c r="D290" s="393">
        <f t="shared" si="98"/>
        <v>4.953757105541098</v>
      </c>
      <c r="E290" s="385">
        <f t="shared" si="96"/>
        <v>5.3877702526486759</v>
      </c>
      <c r="F290" s="385">
        <f t="shared" si="99"/>
        <v>5.3877702526486759</v>
      </c>
      <c r="G290" s="110">
        <f t="shared" si="97"/>
        <v>0.11883750418964328</v>
      </c>
      <c r="H290" s="414" t="b">
        <f>Wh_hp&gt;='2019'!Maxi_hp</f>
        <v>0</v>
      </c>
      <c r="I290" s="380">
        <f>IF(H290,Wh_hp,'2019'!Maxi_hp)</f>
        <v>43.351504842538631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1.8724597020985057E-2</v>
      </c>
      <c r="M290" s="959"/>
      <c r="N290" s="959"/>
      <c r="O290" s="48">
        <f>IF(t&lt;Tnet,'2019'!Resal+('2019'!Salim-'2019'!Resal)*(1-EXP(('2019'!Tnet-t)/('2019'!Tau_j))),Resal+(Salim-Resal)*(1-EXP((Tnet-t)/(Tau_j))))*Salcycl</f>
        <v>8.055524396093415E-2</v>
      </c>
      <c r="P290" s="169">
        <f>(INDEX(Models!$BJ290:$BT290,,T290)*(1-R290)+INDEX(Models!$BJ290:$BT290,,T290+1)*R290-ERP_i)*Q290*Ramure*Pc/MaxiM</f>
        <v>7.1224782952311833E-4</v>
      </c>
      <c r="Q290" s="305">
        <f t="shared" si="101"/>
        <v>0.7</v>
      </c>
      <c r="R290" s="177">
        <f t="shared" si="102"/>
        <v>0.49580384987265158</v>
      </c>
      <c r="S290" s="921">
        <f t="shared" si="103"/>
        <v>-1</v>
      </c>
      <c r="T290" s="176">
        <f t="shared" si="104"/>
        <v>5</v>
      </c>
      <c r="U290" s="251">
        <f t="shared" si="105"/>
        <v>-0.50419615012734842</v>
      </c>
      <c r="V290" s="383">
        <f t="shared" si="106"/>
        <v>40.875460961793088</v>
      </c>
      <c r="W290" s="402"/>
      <c r="X290" s="157">
        <f t="shared" si="107"/>
        <v>44106</v>
      </c>
      <c r="Y290" s="385">
        <f t="shared" si="108"/>
        <v>4.8609999999999998</v>
      </c>
      <c r="Z290" s="385">
        <f t="shared" si="109"/>
        <v>4.953757105541098</v>
      </c>
      <c r="AA290" s="386">
        <f t="shared" si="110"/>
        <v>5.3877702526486759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8.055524396093415E-2</v>
      </c>
      <c r="AD290" s="231">
        <f>(INDEX(Models!$BJ290:$BT290,,AH290)*(1-AF290)+INDEX(Models!$BJ290:$BT290,,AH290+1)*AF290-ERP_i)*AE290*Ramure*Pc/MaxiM</f>
        <v>7.1224782952311833E-4</v>
      </c>
      <c r="AE290" s="305">
        <f t="shared" si="112"/>
        <v>0.7</v>
      </c>
      <c r="AF290" s="177">
        <f t="shared" si="113"/>
        <v>0.49580384987265158</v>
      </c>
      <c r="AG290" s="921">
        <f t="shared" si="119"/>
        <v>-1</v>
      </c>
      <c r="AH290" s="176">
        <f t="shared" si="114"/>
        <v>5</v>
      </c>
      <c r="AI290" s="225">
        <f t="shared" si="115"/>
        <v>-0.50419615012734842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20">
        <v>15.76</v>
      </c>
      <c r="C291" s="390"/>
      <c r="D291" s="393">
        <f t="shared" si="98"/>
        <v>16.061082489341281</v>
      </c>
      <c r="E291" s="385">
        <f t="shared" si="96"/>
        <v>17.468386503054163</v>
      </c>
      <c r="F291" s="385">
        <f t="shared" si="99"/>
        <v>17.469996005065152</v>
      </c>
      <c r="G291" s="110">
        <f t="shared" si="97"/>
        <v>0.38737654151728546</v>
      </c>
      <c r="H291" s="414" t="b">
        <f>Wh_hp&gt;='2019'!Maxi_hp</f>
        <v>0</v>
      </c>
      <c r="I291" s="380">
        <f>IF(H291,Wh_hp,'2019'!Maxi_hp)</f>
        <v>44.844605022343991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1.8746089470687233E-2</v>
      </c>
      <c r="M291" s="959"/>
      <c r="N291" s="959"/>
      <c r="O291" s="48">
        <f>IF(t&lt;Tnet,'2019'!Resal+('2019'!Salim-'2019'!Resal)*(1-EXP(('2019'!Tnet-t)/('2019'!Tau_j))),Resal+(Salim-Resal)*(1-EXP((Tnet-t)/(Tau_j))))*Salcycl</f>
        <v>8.0562907940400205E-2</v>
      </c>
      <c r="P291" s="169">
        <f>(INDEX(Models!$BJ291:$BT291,,T291)*(1-R291)+INDEX(Models!$BJ291:$BT291,,T291+1)*R291-ERP_i)*Q291*Ramure*Pc/MaxiM</f>
        <v>7.3597505945190676E-4</v>
      </c>
      <c r="Q291" s="305">
        <f t="shared" si="101"/>
        <v>0.7</v>
      </c>
      <c r="R291" s="177">
        <f t="shared" si="102"/>
        <v>0.49597949083898196</v>
      </c>
      <c r="S291" s="921">
        <f t="shared" si="103"/>
        <v>-1</v>
      </c>
      <c r="T291" s="176">
        <f t="shared" si="104"/>
        <v>5</v>
      </c>
      <c r="U291" s="251">
        <f t="shared" si="105"/>
        <v>-0.50402050916101804</v>
      </c>
      <c r="V291" s="383">
        <f t="shared" si="106"/>
        <v>40.657733164175582</v>
      </c>
      <c r="W291" s="402"/>
      <c r="X291" s="157">
        <f t="shared" si="107"/>
        <v>44107</v>
      </c>
      <c r="Y291" s="385">
        <f t="shared" si="108"/>
        <v>15.760000000000002</v>
      </c>
      <c r="Z291" s="385">
        <f t="shared" si="109"/>
        <v>16.061082489341281</v>
      </c>
      <c r="AA291" s="386">
        <f t="shared" si="110"/>
        <v>17.468386503054163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8.0562907940400205E-2</v>
      </c>
      <c r="AD291" s="231">
        <f>(INDEX(Models!$BJ291:$BT291,,AH291)*(1-AF291)+INDEX(Models!$BJ291:$BT291,,AH291+1)*AF291-ERP_i)*AE291*Ramure*Pc/MaxiM</f>
        <v>7.3597505945190676E-4</v>
      </c>
      <c r="AE291" s="305">
        <f t="shared" si="112"/>
        <v>0.7</v>
      </c>
      <c r="AF291" s="177">
        <f t="shared" si="113"/>
        <v>0.49597949083898196</v>
      </c>
      <c r="AG291" s="921">
        <f t="shared" si="119"/>
        <v>-1</v>
      </c>
      <c r="AH291" s="176">
        <f t="shared" si="114"/>
        <v>5</v>
      </c>
      <c r="AI291" s="225">
        <f t="shared" si="115"/>
        <v>-0.50402050916101804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20">
        <v>16.981000000000002</v>
      </c>
      <c r="C292" s="390"/>
      <c r="D292" s="393">
        <f t="shared" si="98"/>
        <v>17.305787781744236</v>
      </c>
      <c r="E292" s="385">
        <f t="shared" si="96"/>
        <v>18.822287943994471</v>
      </c>
      <c r="F292" s="385">
        <f t="shared" si="99"/>
        <v>18.824733089123789</v>
      </c>
      <c r="G292" s="110">
        <f t="shared" si="97"/>
        <v>0.41967803957576111</v>
      </c>
      <c r="H292" s="414" t="b">
        <f>Wh_hp&gt;='2019'!Maxi_hp</f>
        <v>0</v>
      </c>
      <c r="I292" s="380">
        <f>IF(H292,Wh_hp,'2019'!Maxi_hp)</f>
        <v>44.683643039833356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1.8767581449649517E-2</v>
      </c>
      <c r="M292" s="959"/>
      <c r="N292" s="959"/>
      <c r="O292" s="48">
        <f>IF(t&lt;Tnet,'2019'!Resal+('2019'!Salim-'2019'!Resal)*(1-EXP(('2019'!Tnet-t)/('2019'!Tau_j))),Resal+(Salim-Resal)*(1-EXP((Tnet-t)/(Tau_j))))*Salcycl</f>
        <v>8.0569384910196148E-2</v>
      </c>
      <c r="P292" s="169">
        <f>(INDEX(Models!$BJ292:$BT292,,T292)*(1-R292)+INDEX(Models!$BJ292:$BT292,,T292+1)*R292-ERP_i)*Q292*Ramure*Pc/MaxiM</f>
        <v>7.5805906363659106E-4</v>
      </c>
      <c r="Q292" s="305">
        <f t="shared" si="101"/>
        <v>0.7</v>
      </c>
      <c r="R292" s="177">
        <f t="shared" si="102"/>
        <v>0.49614817690296364</v>
      </c>
      <c r="S292" s="921">
        <f t="shared" si="103"/>
        <v>-1</v>
      </c>
      <c r="T292" s="176">
        <f t="shared" si="104"/>
        <v>5</v>
      </c>
      <c r="U292" s="251">
        <f t="shared" si="105"/>
        <v>-0.50385182309703636</v>
      </c>
      <c r="V292" s="383">
        <f t="shared" si="106"/>
        <v>40.436549153419804</v>
      </c>
      <c r="W292" s="402"/>
      <c r="X292" s="157">
        <f t="shared" si="107"/>
        <v>44108</v>
      </c>
      <c r="Y292" s="385">
        <f t="shared" si="108"/>
        <v>16.981000000000002</v>
      </c>
      <c r="Z292" s="385">
        <f t="shared" si="109"/>
        <v>17.305787781744236</v>
      </c>
      <c r="AA292" s="386">
        <f t="shared" si="110"/>
        <v>18.822287943994471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8.0569384910196148E-2</v>
      </c>
      <c r="AD292" s="231">
        <f>(INDEX(Models!$BJ292:$BT292,,AH292)*(1-AF292)+INDEX(Models!$BJ292:$BT292,,AH292+1)*AF292-ERP_i)*AE292*Ramure*Pc/MaxiM</f>
        <v>7.5805906363659106E-4</v>
      </c>
      <c r="AE292" s="305">
        <f t="shared" si="112"/>
        <v>0.7</v>
      </c>
      <c r="AF292" s="177">
        <f t="shared" si="113"/>
        <v>0.49614817690296364</v>
      </c>
      <c r="AG292" s="921">
        <f t="shared" si="119"/>
        <v>-1</v>
      </c>
      <c r="AH292" s="176">
        <f t="shared" si="114"/>
        <v>5</v>
      </c>
      <c r="AI292" s="225">
        <f t="shared" si="115"/>
        <v>-0.50385182309703636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20">
        <v>27.521999999999998</v>
      </c>
      <c r="C293" s="390"/>
      <c r="D293" s="393">
        <f t="shared" si="98"/>
        <v>28.049014989025537</v>
      </c>
      <c r="E293" s="385">
        <f t="shared" si="96"/>
        <v>30.507115564272947</v>
      </c>
      <c r="F293" s="385">
        <f t="shared" si="99"/>
        <v>30.520163564468987</v>
      </c>
      <c r="G293" s="110">
        <f t="shared" si="97"/>
        <v>0.68418022341948848</v>
      </c>
      <c r="H293" s="414" t="b">
        <f>Wh_hp&gt;='2019'!Maxi_hp</f>
        <v>0</v>
      </c>
      <c r="I293" s="380">
        <f>IF(H293,Wh_hp,'2019'!Maxi_hp)</f>
        <v>42.282942542755286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1.8789072957882458E-2</v>
      </c>
      <c r="M293" s="959"/>
      <c r="N293" s="959"/>
      <c r="O293" s="48">
        <f>IF(t&lt;Tnet,'2019'!Resal+('2019'!Salim-'2019'!Resal)*(1-EXP(('2019'!Tnet-t)/('2019'!Tau_j))),Resal+(Salim-Resal)*(1-EXP((Tnet-t)/(Tau_j))))*Salcycl</f>
        <v>8.0574663640967367E-2</v>
      </c>
      <c r="P293" s="169">
        <f>(INDEX(Models!$BJ293:$BT293,,T293)*(1-R293)+INDEX(Models!$BJ293:$BT293,,T293+1)*R293-ERP_i)*Q293*Ramure*Pc/MaxiM</f>
        <v>7.7848197831720625E-4</v>
      </c>
      <c r="Q293" s="305">
        <f t="shared" si="101"/>
        <v>0.7</v>
      </c>
      <c r="R293" s="177">
        <f t="shared" si="102"/>
        <v>0.49631017897400276</v>
      </c>
      <c r="S293" s="921">
        <f t="shared" si="103"/>
        <v>-1</v>
      </c>
      <c r="T293" s="176">
        <f t="shared" si="104"/>
        <v>5</v>
      </c>
      <c r="U293" s="251">
        <f t="shared" si="105"/>
        <v>-0.50368982102599724</v>
      </c>
      <c r="V293" s="383">
        <f t="shared" si="106"/>
        <v>40.212119218514424</v>
      </c>
      <c r="W293" s="402"/>
      <c r="X293" s="157">
        <f t="shared" si="107"/>
        <v>44109</v>
      </c>
      <c r="Y293" s="385">
        <f t="shared" si="108"/>
        <v>27.521999999999998</v>
      </c>
      <c r="Z293" s="385">
        <f t="shared" si="109"/>
        <v>28.049014989025537</v>
      </c>
      <c r="AA293" s="386">
        <f t="shared" si="110"/>
        <v>30.507115564272947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8.0574663640967367E-2</v>
      </c>
      <c r="AD293" s="231">
        <f>(INDEX(Models!$BJ293:$BT293,,AH293)*(1-AF293)+INDEX(Models!$BJ293:$BT293,,AH293+1)*AF293-ERP_i)*AE293*Ramure*Pc/MaxiM</f>
        <v>7.7848197831720625E-4</v>
      </c>
      <c r="AE293" s="305">
        <f t="shared" si="112"/>
        <v>0.7</v>
      </c>
      <c r="AF293" s="177">
        <f t="shared" si="113"/>
        <v>0.49631017897400276</v>
      </c>
      <c r="AG293" s="921">
        <f t="shared" si="119"/>
        <v>-1</v>
      </c>
      <c r="AH293" s="176">
        <f t="shared" si="114"/>
        <v>5</v>
      </c>
      <c r="AI293" s="225">
        <f t="shared" si="115"/>
        <v>-0.50368982102599724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20">
        <v>5.82</v>
      </c>
      <c r="C294" s="390"/>
      <c r="D294" s="393">
        <f t="shared" si="98"/>
        <v>5.9315762955000784</v>
      </c>
      <c r="E294" s="385">
        <f t="shared" si="96"/>
        <v>6.4514238749830364</v>
      </c>
      <c r="F294" s="385">
        <f t="shared" si="99"/>
        <v>6.4514238749830364</v>
      </c>
      <c r="G294" s="110">
        <f t="shared" si="97"/>
        <v>0.14543980378726823</v>
      </c>
      <c r="H294" s="414" t="b">
        <f>Wh_hp&gt;='2019'!Maxi_hp</f>
        <v>0</v>
      </c>
      <c r="I294" s="380">
        <f>IF(H294,Wh_hp,'2019'!Maxi_hp)</f>
        <v>33.185430353119671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1.8810563995396046E-2</v>
      </c>
      <c r="M294" s="959"/>
      <c r="N294" s="959"/>
      <c r="O294" s="48">
        <f>IF(t&lt;Tnet,'2019'!Resal+('2019'!Salim-'2019'!Resal)*(1-EXP(('2019'!Tnet-t)/('2019'!Tau_j))),Resal+(Salim-Resal)*(1-EXP((Tnet-t)/(Tau_j))))*Salcycl</f>
        <v>8.0578735726665449E-2</v>
      </c>
      <c r="P294" s="169">
        <f>(INDEX(Models!$BJ294:$BT294,,T294)*(1-R294)+INDEX(Models!$BJ294:$BT294,,T294+1)*R294-ERP_i)*Q294*Ramure*Pc/MaxiM</f>
        <v>7.9722568830482713E-4</v>
      </c>
      <c r="Q294" s="305">
        <f t="shared" si="101"/>
        <v>0.7</v>
      </c>
      <c r="R294" s="177">
        <f t="shared" si="102"/>
        <v>0.49646575776052559</v>
      </c>
      <c r="S294" s="921">
        <f t="shared" si="103"/>
        <v>-1</v>
      </c>
      <c r="T294" s="176">
        <f t="shared" si="104"/>
        <v>5</v>
      </c>
      <c r="U294" s="251">
        <f t="shared" si="105"/>
        <v>-0.50353424223947441</v>
      </c>
      <c r="V294" s="383">
        <f t="shared" si="106"/>
        <v>39.984653410286995</v>
      </c>
      <c r="W294" s="402"/>
      <c r="X294" s="157">
        <f t="shared" si="107"/>
        <v>44110</v>
      </c>
      <c r="Y294" s="385">
        <f t="shared" si="108"/>
        <v>5.82</v>
      </c>
      <c r="Z294" s="385">
        <f t="shared" si="109"/>
        <v>5.9315762955000784</v>
      </c>
      <c r="AA294" s="386">
        <f t="shared" si="110"/>
        <v>6.4514238749830364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8.0578735726665449E-2</v>
      </c>
      <c r="AD294" s="231">
        <f>(INDEX(Models!$BJ294:$BT294,,AH294)*(1-AF294)+INDEX(Models!$BJ294:$BT294,,AH294+1)*AF294-ERP_i)*AE294*Ramure*Pc/MaxiM</f>
        <v>7.9722568830482713E-4</v>
      </c>
      <c r="AE294" s="305">
        <f t="shared" si="112"/>
        <v>0.7</v>
      </c>
      <c r="AF294" s="177">
        <f t="shared" si="113"/>
        <v>0.49646575776052559</v>
      </c>
      <c r="AG294" s="921">
        <f t="shared" si="119"/>
        <v>-1</v>
      </c>
      <c r="AH294" s="176">
        <f t="shared" si="114"/>
        <v>5</v>
      </c>
      <c r="AI294" s="225">
        <f t="shared" si="115"/>
        <v>-0.50353424223947441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20">
        <v>30.757000000000001</v>
      </c>
      <c r="C295" s="390"/>
      <c r="D295" s="393">
        <f t="shared" si="98"/>
        <v>31.347334717784904</v>
      </c>
      <c r="E295" s="385">
        <f t="shared" si="96"/>
        <v>34.094743562076438</v>
      </c>
      <c r="F295" s="385">
        <f t="shared" si="99"/>
        <v>34.113540180599081</v>
      </c>
      <c r="G295" s="110">
        <f t="shared" si="97"/>
        <v>0.77347231718226028</v>
      </c>
      <c r="H295" s="414" t="b">
        <f>Wh_hp&gt;='2019'!Maxi_hp</f>
        <v>0</v>
      </c>
      <c r="I295" s="380">
        <f>IF(H295,Wh_hp,'2019'!Maxi_hp)</f>
        <v>40.898092427700632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1.8832054562200939E-2</v>
      </c>
      <c r="M295" s="959"/>
      <c r="N295" s="959"/>
      <c r="O295" s="48">
        <f>IF(t&lt;Tnet,'2019'!Resal+('2019'!Salim-'2019'!Resal)*(1-EXP(('2019'!Tnet-t)/('2019'!Tau_j))),Resal+(Salim-Resal)*(1-EXP((Tnet-t)/(Tau_j))))*Salcycl</f>
        <v>8.0581595790251967E-2</v>
      </c>
      <c r="P295" s="169">
        <f>(INDEX(Models!$BJ295:$BT295,,T295)*(1-R295)+INDEX(Models!$BJ295:$BT295,,T295+1)*R295-ERP_i)*Q295*Ramure*Pc/MaxiM</f>
        <v>8.1427197868283051E-4</v>
      </c>
      <c r="Q295" s="305">
        <f t="shared" si="101"/>
        <v>0.7</v>
      </c>
      <c r="R295" s="177">
        <f t="shared" si="102"/>
        <v>0.49661516412638684</v>
      </c>
      <c r="S295" s="921">
        <f t="shared" si="103"/>
        <v>-1</v>
      </c>
      <c r="T295" s="176">
        <f t="shared" si="104"/>
        <v>5</v>
      </c>
      <c r="U295" s="251">
        <f t="shared" si="105"/>
        <v>-0.50338483587361316</v>
      </c>
      <c r="V295" s="383">
        <f t="shared" si="106"/>
        <v>39.754361531403987</v>
      </c>
      <c r="W295" s="402"/>
      <c r="X295" s="157">
        <f t="shared" si="107"/>
        <v>44111</v>
      </c>
      <c r="Y295" s="385">
        <f t="shared" si="108"/>
        <v>30.756999999999998</v>
      </c>
      <c r="Z295" s="385">
        <f t="shared" si="109"/>
        <v>31.3473347177849</v>
      </c>
      <c r="AA295" s="386">
        <f t="shared" si="110"/>
        <v>34.094743562076438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8.0581595790251967E-2</v>
      </c>
      <c r="AD295" s="231">
        <f>(INDEX(Models!$BJ295:$BT295,,AH295)*(1-AF295)+INDEX(Models!$BJ295:$BT295,,AH295+1)*AF295-ERP_i)*AE295*Ramure*Pc/MaxiM</f>
        <v>8.1427197868283051E-4</v>
      </c>
      <c r="AE295" s="305">
        <f t="shared" si="112"/>
        <v>0.7</v>
      </c>
      <c r="AF295" s="177">
        <f t="shared" si="113"/>
        <v>0.49661516412638684</v>
      </c>
      <c r="AG295" s="921">
        <f t="shared" si="119"/>
        <v>-1</v>
      </c>
      <c r="AH295" s="176">
        <f t="shared" si="114"/>
        <v>5</v>
      </c>
      <c r="AI295" s="225">
        <f t="shared" si="115"/>
        <v>-0.50338483587361316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20">
        <v>33.713999999999999</v>
      </c>
      <c r="C296" s="390"/>
      <c r="D296" s="393">
        <f t="shared" si="98"/>
        <v>34.361842532732588</v>
      </c>
      <c r="E296" s="385">
        <f t="shared" si="96"/>
        <v>37.373522096220654</v>
      </c>
      <c r="F296" s="385">
        <f t="shared" si="99"/>
        <v>37.398017587935655</v>
      </c>
      <c r="G296" s="110">
        <f t="shared" si="97"/>
        <v>0.85290662984811183</v>
      </c>
      <c r="H296" s="414" t="b">
        <f>Wh_hp&gt;='2019'!Maxi_hp</f>
        <v>1</v>
      </c>
      <c r="I296" s="380">
        <f>IF(H296,Wh_hp,'2019'!Maxi_hp)</f>
        <v>37.398017587935655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1.8853544658307131E-2</v>
      </c>
      <c r="M296" s="959"/>
      <c r="N296" s="959"/>
      <c r="O296" s="48">
        <f>IF(t&lt;Tnet,'2019'!Resal+('2019'!Salim-'2019'!Resal)*(1-EXP(('2019'!Tnet-t)/('2019'!Tau_j))),Resal+(Salim-Resal)*(1-EXP((Tnet-t)/(Tau_j))))*Salcycl</f>
        <v>8.0583241679344331E-2</v>
      </c>
      <c r="P296" s="169">
        <f>(INDEX(Models!$BJ296:$BT296,,T296)*(1-R296)+INDEX(Models!$BJ296:$BT296,,T296+1)*R296-ERP_i)*Q296*Ramure*Pc/MaxiM</f>
        <v>8.2902409406317081E-4</v>
      </c>
      <c r="Q296" s="305">
        <f t="shared" si="101"/>
        <v>0.7</v>
      </c>
      <c r="R296" s="177">
        <f t="shared" si="102"/>
        <v>0.49675863943704934</v>
      </c>
      <c r="S296" s="921">
        <f t="shared" si="103"/>
        <v>-1</v>
      </c>
      <c r="T296" s="176">
        <f t="shared" si="104"/>
        <v>5</v>
      </c>
      <c r="U296" s="251">
        <f t="shared" si="105"/>
        <v>-0.50324136056295066</v>
      </c>
      <c r="V296" s="383">
        <f t="shared" si="106"/>
        <v>39.521476017875067</v>
      </c>
      <c r="W296" s="402"/>
      <c r="X296" s="157">
        <f t="shared" si="107"/>
        <v>44112</v>
      </c>
      <c r="Y296" s="385">
        <f t="shared" si="108"/>
        <v>33.713999999999999</v>
      </c>
      <c r="Z296" s="385">
        <f t="shared" si="109"/>
        <v>34.361842532732588</v>
      </c>
      <c r="AA296" s="386">
        <f t="shared" si="110"/>
        <v>37.373522096220654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8.0583241679344331E-2</v>
      </c>
      <c r="AD296" s="231">
        <f>(INDEX(Models!$BJ296:$BT296,,AH296)*(1-AF296)+INDEX(Models!$BJ296:$BT296,,AH296+1)*AF296-ERP_i)*AE296*Ramure*Pc/MaxiM</f>
        <v>8.2902409406317081E-4</v>
      </c>
      <c r="AE296" s="305">
        <f t="shared" si="112"/>
        <v>0.7</v>
      </c>
      <c r="AF296" s="177">
        <f t="shared" si="113"/>
        <v>0.49675863943704934</v>
      </c>
      <c r="AG296" s="921">
        <f t="shared" si="119"/>
        <v>-1</v>
      </c>
      <c r="AH296" s="176">
        <f t="shared" si="114"/>
        <v>5</v>
      </c>
      <c r="AI296" s="225">
        <f t="shared" si="115"/>
        <v>-0.50324136056295066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20">
        <v>23.231999999999999</v>
      </c>
      <c r="C297" s="390"/>
      <c r="D297" s="393">
        <f t="shared" si="98"/>
        <v>23.678940819775562</v>
      </c>
      <c r="E297" s="385">
        <f t="shared" ref="E297:E360" si="120">Wh_pvt/(1-Psa)</f>
        <v>25.75431843757648</v>
      </c>
      <c r="F297" s="385">
        <f t="shared" si="99"/>
        <v>25.763344224756818</v>
      </c>
      <c r="G297" s="110">
        <f t="shared" ref="G297:G360" si="121">+Wh_hp/MaxiM</f>
        <v>0.59106206952240981</v>
      </c>
      <c r="H297" s="414" t="b">
        <f>Wh_hp&gt;='2019'!Maxi_hp</f>
        <v>0</v>
      </c>
      <c r="I297" s="380">
        <f>IF(H297,Wh_hp,'2019'!Maxi_hp)</f>
        <v>31.816976703345219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1.8875034283725167E-2</v>
      </c>
      <c r="M297" s="959"/>
      <c r="N297" s="959"/>
      <c r="O297" s="48">
        <f>IF(t&lt;Tnet,'2019'!Resal+('2019'!Salim-'2019'!Resal)*(1-EXP(('2019'!Tnet-t)/('2019'!Tau_j))),Resal+(Salim-Resal)*(1-EXP((Tnet-t)/(Tau_j))))*Salcycl</f>
        <v>8.0583674649796419E-2</v>
      </c>
      <c r="P297" s="169">
        <f>(INDEX(Models!$BJ297:$BT297,,T297)*(1-R297)+INDEX(Models!$BJ297:$BT297,,T297+1)*R297-ERP_i)*Q297*Ramure*Pc/MaxiM</f>
        <v>8.4170862222855767E-4</v>
      </c>
      <c r="Q297" s="305">
        <f t="shared" si="101"/>
        <v>0.7</v>
      </c>
      <c r="R297" s="177">
        <f t="shared" si="102"/>
        <v>0.49689641589564049</v>
      </c>
      <c r="S297" s="921">
        <f t="shared" si="103"/>
        <v>-1</v>
      </c>
      <c r="T297" s="176">
        <f t="shared" si="104"/>
        <v>5</v>
      </c>
      <c r="U297" s="251">
        <f t="shared" si="105"/>
        <v>-0.50310358410435951</v>
      </c>
      <c r="V297" s="383">
        <f t="shared" si="106"/>
        <v>39.286196140869968</v>
      </c>
      <c r="W297" s="402"/>
      <c r="X297" s="157">
        <f t="shared" si="107"/>
        <v>44113</v>
      </c>
      <c r="Y297" s="385">
        <f t="shared" si="108"/>
        <v>23.231999999999999</v>
      </c>
      <c r="Z297" s="385">
        <f t="shared" si="109"/>
        <v>23.678940819775562</v>
      </c>
      <c r="AA297" s="386">
        <f t="shared" si="110"/>
        <v>25.75431843757648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8.0583674649796419E-2</v>
      </c>
      <c r="AD297" s="231">
        <f>(INDEX(Models!$BJ297:$BT297,,AH297)*(1-AF297)+INDEX(Models!$BJ297:$BT297,,AH297+1)*AF297-ERP_i)*AE297*Ramure*Pc/MaxiM</f>
        <v>8.4170862222855767E-4</v>
      </c>
      <c r="AE297" s="305">
        <f t="shared" si="112"/>
        <v>0.7</v>
      </c>
      <c r="AF297" s="177">
        <f t="shared" si="113"/>
        <v>0.49689641589564049</v>
      </c>
      <c r="AG297" s="921">
        <f t="shared" si="119"/>
        <v>-1</v>
      </c>
      <c r="AH297" s="176">
        <f t="shared" si="114"/>
        <v>5</v>
      </c>
      <c r="AI297" s="225">
        <f t="shared" si="115"/>
        <v>-0.50310358410435951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20">
        <v>20.503</v>
      </c>
      <c r="C298" s="390"/>
      <c r="D298" s="393">
        <f t="shared" si="98"/>
        <v>20.89789761204057</v>
      </c>
      <c r="E298" s="385">
        <f t="shared" si="120"/>
        <v>22.7295072078572</v>
      </c>
      <c r="F298" s="385">
        <f t="shared" si="99"/>
        <v>22.735737503467213</v>
      </c>
      <c r="G298" s="110">
        <f t="shared" si="121"/>
        <v>0.52475816682521514</v>
      </c>
      <c r="H298" s="414" t="b">
        <f>Wh_hp&gt;='2019'!Maxi_hp</f>
        <v>0</v>
      </c>
      <c r="I298" s="380">
        <f>IF(H298,Wh_hp,'2019'!Maxi_hp)</f>
        <v>42.965935977053093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1.8896523438465151E-2</v>
      </c>
      <c r="M298" s="959"/>
      <c r="N298" s="959"/>
      <c r="O298" s="48">
        <f>IF(t&lt;Tnet,'2019'!Resal+('2019'!Salim-'2019'!Resal)*(1-EXP(('2019'!Tnet-t)/('2019'!Tau_j))),Resal+(Salim-Resal)*(1-EXP((Tnet-t)/(Tau_j))))*Salcycl</f>
        <v>8.0582899535255714E-2</v>
      </c>
      <c r="P298" s="169">
        <f>(INDEX(Models!$BJ298:$BT298,,T298)*(1-R298)+INDEX(Models!$BJ298:$BT298,,T298+1)*R298-ERP_i)*Q298*Ramure*Pc/MaxiM</f>
        <v>8.5230630988242999E-4</v>
      </c>
      <c r="Q298" s="305">
        <f t="shared" si="101"/>
        <v>0.7</v>
      </c>
      <c r="R298" s="177">
        <f t="shared" si="102"/>
        <v>0.49702871686900685</v>
      </c>
      <c r="S298" s="921">
        <f t="shared" si="103"/>
        <v>-1</v>
      </c>
      <c r="T298" s="176">
        <f t="shared" si="104"/>
        <v>5</v>
      </c>
      <c r="U298" s="251">
        <f t="shared" si="105"/>
        <v>-0.50297128313099315</v>
      </c>
      <c r="V298" s="383">
        <f t="shared" si="106"/>
        <v>39.048730759615545</v>
      </c>
      <c r="W298" s="402"/>
      <c r="X298" s="157">
        <f t="shared" si="107"/>
        <v>44114</v>
      </c>
      <c r="Y298" s="385">
        <f t="shared" si="108"/>
        <v>20.503</v>
      </c>
      <c r="Z298" s="385">
        <f t="shared" si="109"/>
        <v>20.89789761204057</v>
      </c>
      <c r="AA298" s="386">
        <f t="shared" si="110"/>
        <v>22.7295072078572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8.0582899535255714E-2</v>
      </c>
      <c r="AD298" s="231">
        <f>(INDEX(Models!$BJ298:$BT298,,AH298)*(1-AF298)+INDEX(Models!$BJ298:$BT298,,AH298+1)*AF298-ERP_i)*AE298*Ramure*Pc/MaxiM</f>
        <v>8.5230630988242999E-4</v>
      </c>
      <c r="AE298" s="305">
        <f t="shared" si="112"/>
        <v>0.7</v>
      </c>
      <c r="AF298" s="177">
        <f t="shared" si="113"/>
        <v>0.49702871686900685</v>
      </c>
      <c r="AG298" s="921">
        <f t="shared" si="119"/>
        <v>-1</v>
      </c>
      <c r="AH298" s="176">
        <f t="shared" si="114"/>
        <v>5</v>
      </c>
      <c r="AI298" s="225">
        <f t="shared" si="115"/>
        <v>-0.50297128313099315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20">
        <v>14.680999999999999</v>
      </c>
      <c r="C299" s="390"/>
      <c r="D299" s="393">
        <f t="shared" si="98"/>
        <v>14.964090852143604</v>
      </c>
      <c r="E299" s="385">
        <f t="shared" si="120"/>
        <v>16.275593205991672</v>
      </c>
      <c r="F299" s="385">
        <f t="shared" si="99"/>
        <v>16.277160190525223</v>
      </c>
      <c r="G299" s="110">
        <f t="shared" si="121"/>
        <v>0.37799649108383315</v>
      </c>
      <c r="H299" s="414" t="b">
        <f>Wh_hp&gt;='2019'!Maxi_hp</f>
        <v>0</v>
      </c>
      <c r="I299" s="380">
        <f>IF(H299,Wh_hp,'2019'!Maxi_hp)</f>
        <v>40.471947544594585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1.891801212253752E-2</v>
      </c>
      <c r="M299" s="959"/>
      <c r="N299" s="959"/>
      <c r="O299" s="48">
        <f>IF(t&lt;Tnet,'2019'!Resal+('2019'!Salim-'2019'!Resal)*(1-EXP(('2019'!Tnet-t)/('2019'!Tau_j))),Resal+(Salim-Resal)*(1-EXP((Tnet-t)/(Tau_j))))*Salcycl</f>
        <v>8.0580924900805193E-2</v>
      </c>
      <c r="P299" s="169">
        <f>(INDEX(Models!$BJ299:$BT299,,T299)*(1-R299)+INDEX(Models!$BJ299:$BT299,,T299+1)*R299-ERP_i)*Q299*Ramure*Pc/MaxiM</f>
        <v>8.6079851500853145E-4</v>
      </c>
      <c r="Q299" s="305">
        <f t="shared" si="101"/>
        <v>0.7</v>
      </c>
      <c r="R299" s="177">
        <f t="shared" si="102"/>
        <v>0.49715575720390826</v>
      </c>
      <c r="S299" s="921">
        <f t="shared" si="103"/>
        <v>-1</v>
      </c>
      <c r="T299" s="176">
        <f t="shared" si="104"/>
        <v>5</v>
      </c>
      <c r="U299" s="251">
        <f t="shared" si="105"/>
        <v>-0.50284424279609174</v>
      </c>
      <c r="V299" s="383">
        <f t="shared" si="106"/>
        <v>38.809288462524854</v>
      </c>
      <c r="W299" s="402"/>
      <c r="X299" s="157">
        <f t="shared" si="107"/>
        <v>44115</v>
      </c>
      <c r="Y299" s="385">
        <f t="shared" si="108"/>
        <v>14.680999999999997</v>
      </c>
      <c r="Z299" s="385">
        <f t="shared" si="109"/>
        <v>14.964090852143602</v>
      </c>
      <c r="AA299" s="386">
        <f t="shared" si="110"/>
        <v>16.275593205991672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8.0580924900805193E-2</v>
      </c>
      <c r="AD299" s="231">
        <f>(INDEX(Models!$BJ299:$BT299,,AH299)*(1-AF299)+INDEX(Models!$BJ299:$BT299,,AH299+1)*AF299-ERP_i)*AE299*Ramure*Pc/MaxiM</f>
        <v>8.6079851500853145E-4</v>
      </c>
      <c r="AE299" s="305">
        <f t="shared" si="112"/>
        <v>0.7</v>
      </c>
      <c r="AF299" s="177">
        <f t="shared" si="113"/>
        <v>0.49715575720390826</v>
      </c>
      <c r="AG299" s="921">
        <f t="shared" si="119"/>
        <v>-1</v>
      </c>
      <c r="AH299" s="176">
        <f t="shared" si="114"/>
        <v>5</v>
      </c>
      <c r="AI299" s="225">
        <f t="shared" si="115"/>
        <v>-0.50284424279609174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20">
        <v>23.178999999999998</v>
      </c>
      <c r="C300" s="390"/>
      <c r="D300" s="393">
        <f t="shared" si="98"/>
        <v>23.626473604775011</v>
      </c>
      <c r="E300" s="385">
        <f t="shared" si="120"/>
        <v>25.697087430105153</v>
      </c>
      <c r="F300" s="385">
        <f t="shared" si="99"/>
        <v>25.706672642415015</v>
      </c>
      <c r="G300" s="110">
        <f t="shared" si="121"/>
        <v>0.60069207065367813</v>
      </c>
      <c r="H300" s="414" t="b">
        <f>Wh_hp&gt;='2019'!Maxi_hp</f>
        <v>0</v>
      </c>
      <c r="I300" s="380">
        <f>IF(H300,Wh_hp,'2019'!Maxi_hp)</f>
        <v>41.038729599738197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1.8939500335952597E-2</v>
      </c>
      <c r="M300" s="959"/>
      <c r="N300" s="959"/>
      <c r="O300" s="48">
        <f>IF(t&lt;Tnet,'2019'!Resal+('2019'!Salim-'2019'!Resal)*(1-EXP(('2019'!Tnet-t)/('2019'!Tau_j))),Resal+(Salim-Resal)*(1-EXP((Tnet-t)/(Tau_j))))*Salcycl</f>
        <v>8.0577763178886042E-2</v>
      </c>
      <c r="P300" s="169">
        <f>(INDEX(Models!$BJ300:$BT300,,T300)*(1-R300)+INDEX(Models!$BJ300:$BT300,,T300+1)*R300-ERP_i)*Q300*Ramure*Pc/MaxiM</f>
        <v>8.67167365248756E-4</v>
      </c>
      <c r="Q300" s="305">
        <f t="shared" si="101"/>
        <v>0.7</v>
      </c>
      <c r="R300" s="177">
        <f t="shared" si="102"/>
        <v>0.4972777435335024</v>
      </c>
      <c r="S300" s="921">
        <f t="shared" si="103"/>
        <v>-1</v>
      </c>
      <c r="T300" s="176">
        <f t="shared" si="104"/>
        <v>5</v>
      </c>
      <c r="U300" s="251">
        <f t="shared" si="105"/>
        <v>-0.5027222564664976</v>
      </c>
      <c r="V300" s="383">
        <f t="shared" si="106"/>
        <v>38.568077569552607</v>
      </c>
      <c r="W300" s="402"/>
      <c r="X300" s="157">
        <f t="shared" si="107"/>
        <v>44116</v>
      </c>
      <c r="Y300" s="385">
        <f t="shared" si="108"/>
        <v>23.178999999999998</v>
      </c>
      <c r="Z300" s="385">
        <f t="shared" si="109"/>
        <v>23.626473604775011</v>
      </c>
      <c r="AA300" s="386">
        <f t="shared" si="110"/>
        <v>25.697087430105153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8.0577763178886042E-2</v>
      </c>
      <c r="AD300" s="231">
        <f>(INDEX(Models!$BJ300:$BT300,,AH300)*(1-AF300)+INDEX(Models!$BJ300:$BT300,,AH300+1)*AF300-ERP_i)*AE300*Ramure*Pc/MaxiM</f>
        <v>8.67167365248756E-4</v>
      </c>
      <c r="AE300" s="305">
        <f t="shared" si="112"/>
        <v>0.7</v>
      </c>
      <c r="AF300" s="177">
        <f t="shared" si="113"/>
        <v>0.4972777435335024</v>
      </c>
      <c r="AG300" s="921">
        <f t="shared" si="119"/>
        <v>-1</v>
      </c>
      <c r="AH300" s="176">
        <f t="shared" si="114"/>
        <v>5</v>
      </c>
      <c r="AI300" s="225">
        <f t="shared" si="115"/>
        <v>-0.5027222564664976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20">
        <v>19.251999999999999</v>
      </c>
      <c r="C301" s="390"/>
      <c r="D301" s="393">
        <f t="shared" si="98"/>
        <v>19.624092177839735</v>
      </c>
      <c r="E301" s="385">
        <f t="shared" si="120"/>
        <v>21.343838469462312</v>
      </c>
      <c r="F301" s="385">
        <f t="shared" si="99"/>
        <v>21.349215746684269</v>
      </c>
      <c r="G301" s="110">
        <f t="shared" si="121"/>
        <v>0.50201999326071634</v>
      </c>
      <c r="H301" s="414" t="b">
        <f>Wh_hp&gt;='2019'!Maxi_hp</f>
        <v>0</v>
      </c>
      <c r="I301" s="380">
        <f>IF(H301,Wh_hp,'2019'!Maxi_hp)</f>
        <v>35.424353260670031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1.8960988078720709E-2</v>
      </c>
      <c r="M301" s="959"/>
      <c r="N301" s="959"/>
      <c r="O301" s="48">
        <f>IF(t&lt;Tnet,'2019'!Resal+('2019'!Salim-'2019'!Resal)*(1-EXP(('2019'!Tnet-t)/('2019'!Tau_j))),Resal+(Salim-Resal)*(1-EXP((Tnet-t)/(Tau_j))))*Salcycl</f>
        <v>8.0573430785802869E-2</v>
      </c>
      <c r="P301" s="169">
        <f>(INDEX(Models!$BJ301:$BT301,,T301)*(1-R301)+INDEX(Models!$BJ301:$BT301,,T301+1)*R301-ERP_i)*Q301*Ramure*Pc/MaxiM</f>
        <v>8.7139590895390451E-4</v>
      </c>
      <c r="Q301" s="305">
        <f t="shared" si="101"/>
        <v>0.7</v>
      </c>
      <c r="R301" s="177">
        <f t="shared" si="102"/>
        <v>0.49739487457428322</v>
      </c>
      <c r="S301" s="921">
        <f t="shared" si="103"/>
        <v>-1</v>
      </c>
      <c r="T301" s="176">
        <f t="shared" si="104"/>
        <v>5</v>
      </c>
      <c r="U301" s="251">
        <f t="shared" si="105"/>
        <v>-0.50260512542571678</v>
      </c>
      <c r="V301" s="383">
        <f t="shared" si="106"/>
        <v>38.32530613510604</v>
      </c>
      <c r="W301" s="402"/>
      <c r="X301" s="157">
        <f t="shared" si="107"/>
        <v>44117</v>
      </c>
      <c r="Y301" s="385">
        <f t="shared" si="108"/>
        <v>19.251999999999999</v>
      </c>
      <c r="Z301" s="385">
        <f t="shared" si="109"/>
        <v>19.624092177839735</v>
      </c>
      <c r="AA301" s="386">
        <f t="shared" si="110"/>
        <v>21.343838469462312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8.0573430785802869E-2</v>
      </c>
      <c r="AD301" s="231">
        <f>(INDEX(Models!$BJ301:$BT301,,AH301)*(1-AF301)+INDEX(Models!$BJ301:$BT301,,AH301+1)*AF301-ERP_i)*AE301*Ramure*Pc/MaxiM</f>
        <v>8.7139590895390451E-4</v>
      </c>
      <c r="AE301" s="305">
        <f t="shared" si="112"/>
        <v>0.7</v>
      </c>
      <c r="AF301" s="177">
        <f t="shared" si="113"/>
        <v>0.49739487457428322</v>
      </c>
      <c r="AG301" s="921">
        <f t="shared" si="119"/>
        <v>-1</v>
      </c>
      <c r="AH301" s="176">
        <f t="shared" si="114"/>
        <v>5</v>
      </c>
      <c r="AI301" s="225">
        <f t="shared" si="115"/>
        <v>-0.50260512542571678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20">
        <v>14.426</v>
      </c>
      <c r="C302" s="390"/>
      <c r="D302" s="393">
        <f t="shared" si="98"/>
        <v>14.705139956760025</v>
      </c>
      <c r="E302" s="385">
        <f t="shared" si="120"/>
        <v>15.993721263302723</v>
      </c>
      <c r="F302" s="385">
        <f t="shared" si="99"/>
        <v>15.995294486333208</v>
      </c>
      <c r="G302" s="110">
        <f t="shared" si="121"/>
        <v>0.37852861657454934</v>
      </c>
      <c r="H302" s="414" t="b">
        <f>Wh_hp&gt;='2019'!Maxi_hp</f>
        <v>0</v>
      </c>
      <c r="I302" s="380">
        <f>IF(H302,Wh_hp,'2019'!Maxi_hp)</f>
        <v>31.401193648979611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1.8982475350851957E-2</v>
      </c>
      <c r="M302" s="959"/>
      <c r="N302" s="959"/>
      <c r="O302" s="48">
        <f>IF(t&lt;Tnet,'2019'!Resal+('2019'!Salim-'2019'!Resal)*(1-EXP(('2019'!Tnet-t)/('2019'!Tau_j))),Resal+(Salim-Resal)*(1-EXP((Tnet-t)/(Tau_j))))*Salcycl</f>
        <v>8.0567948217237159E-2</v>
      </c>
      <c r="P302" s="169">
        <f>(INDEX(Models!$BJ302:$BT302,,T302)*(1-R302)+INDEX(Models!$BJ302:$BT302,,T302+1)*R302-ERP_i)*Q302*Ramure*Pc/MaxiM</f>
        <v>8.7346825761878012E-4</v>
      </c>
      <c r="Q302" s="305">
        <f t="shared" si="101"/>
        <v>0.7</v>
      </c>
      <c r="R302" s="177">
        <f t="shared" si="102"/>
        <v>0.49750734141364927</v>
      </c>
      <c r="S302" s="921">
        <f t="shared" si="103"/>
        <v>-1</v>
      </c>
      <c r="T302" s="176">
        <f t="shared" si="104"/>
        <v>5</v>
      </c>
      <c r="U302" s="251">
        <f t="shared" si="105"/>
        <v>-0.50249265858635073</v>
      </c>
      <c r="V302" s="383">
        <f t="shared" si="106"/>
        <v>38.081181951216529</v>
      </c>
      <c r="W302" s="402"/>
      <c r="X302" s="157">
        <f t="shared" si="107"/>
        <v>44118</v>
      </c>
      <c r="Y302" s="385">
        <f t="shared" si="108"/>
        <v>14.426</v>
      </c>
      <c r="Z302" s="385">
        <f t="shared" si="109"/>
        <v>14.705139956760025</v>
      </c>
      <c r="AA302" s="386">
        <f t="shared" si="110"/>
        <v>15.993721263302723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8.0567948217237159E-2</v>
      </c>
      <c r="AD302" s="231">
        <f>(INDEX(Models!$BJ302:$BT302,,AH302)*(1-AF302)+INDEX(Models!$BJ302:$BT302,,AH302+1)*AF302-ERP_i)*AE302*Ramure*Pc/MaxiM</f>
        <v>8.7346825761878012E-4</v>
      </c>
      <c r="AE302" s="305">
        <f t="shared" si="112"/>
        <v>0.7</v>
      </c>
      <c r="AF302" s="177">
        <f t="shared" si="113"/>
        <v>0.49750734141364927</v>
      </c>
      <c r="AG302" s="921">
        <f t="shared" si="119"/>
        <v>-1</v>
      </c>
      <c r="AH302" s="176">
        <f t="shared" si="114"/>
        <v>5</v>
      </c>
      <c r="AI302" s="225">
        <f t="shared" si="115"/>
        <v>-0.50249265858635073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20">
        <v>15.44</v>
      </c>
      <c r="C303" s="390"/>
      <c r="D303" s="393">
        <f t="shared" si="98"/>
        <v>15.739105362623249</v>
      </c>
      <c r="E303" s="385">
        <f t="shared" si="120"/>
        <v>17.118167909863942</v>
      </c>
      <c r="F303" s="385">
        <f t="shared" si="99"/>
        <v>17.120476624133556</v>
      </c>
      <c r="G303" s="110">
        <f t="shared" si="121"/>
        <v>0.40777989618327548</v>
      </c>
      <c r="H303" s="414" t="b">
        <f>Wh_hp&gt;='2019'!Maxi_hp</f>
        <v>0</v>
      </c>
      <c r="I303" s="380">
        <f>IF(H303,Wh_hp,'2019'!Maxi_hp)</f>
        <v>35.848445208152498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1.900396215235689E-2</v>
      </c>
      <c r="M303" s="959"/>
      <c r="N303" s="959"/>
      <c r="O303" s="48">
        <f>IF(t&lt;Tnet,'2019'!Resal+('2019'!Salim-'2019'!Resal)*(1-EXP(('2019'!Tnet-t)/('2019'!Tau_j))),Resal+(Salim-Resal)*(1-EXP((Tnet-t)/(Tau_j))))*Salcycl</f>
        <v>8.0561340121336186E-2</v>
      </c>
      <c r="P303" s="169">
        <f>(INDEX(Models!$BJ303:$BT303,,T303)*(1-R303)+INDEX(Models!$BJ303:$BT303,,T303+1)*R303-ERP_i)*Q303*Ramure*Pc/MaxiM</f>
        <v>8.7337700710182374E-4</v>
      </c>
      <c r="Q303" s="305">
        <f t="shared" si="101"/>
        <v>0.7</v>
      </c>
      <c r="R303" s="177">
        <f t="shared" si="102"/>
        <v>0.49761532778828221</v>
      </c>
      <c r="S303" s="921">
        <f t="shared" si="103"/>
        <v>-1</v>
      </c>
      <c r="T303" s="176">
        <f t="shared" si="104"/>
        <v>5</v>
      </c>
      <c r="U303" s="251">
        <f t="shared" si="105"/>
        <v>-0.50238467221171779</v>
      </c>
      <c r="V303" s="383">
        <f t="shared" si="106"/>
        <v>37.83559652095726</v>
      </c>
      <c r="W303" s="402"/>
      <c r="X303" s="157">
        <f t="shared" si="107"/>
        <v>44119</v>
      </c>
      <c r="Y303" s="385">
        <f t="shared" si="108"/>
        <v>15.440000000000001</v>
      </c>
      <c r="Z303" s="385">
        <f t="shared" si="109"/>
        <v>15.739105362623251</v>
      </c>
      <c r="AA303" s="386">
        <f t="shared" si="110"/>
        <v>17.118167909863942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8.0561340121336186E-2</v>
      </c>
      <c r="AD303" s="231">
        <f>(INDEX(Models!$BJ303:$BT303,,AH303)*(1-AF303)+INDEX(Models!$BJ303:$BT303,,AH303+1)*AF303-ERP_i)*AE303*Ramure*Pc/MaxiM</f>
        <v>8.7337700710182374E-4</v>
      </c>
      <c r="AE303" s="305">
        <f t="shared" si="112"/>
        <v>0.7</v>
      </c>
      <c r="AF303" s="177">
        <f t="shared" si="113"/>
        <v>0.49761532778828221</v>
      </c>
      <c r="AG303" s="921">
        <f t="shared" si="119"/>
        <v>-1</v>
      </c>
      <c r="AH303" s="176">
        <f t="shared" si="114"/>
        <v>5</v>
      </c>
      <c r="AI303" s="225">
        <f t="shared" si="115"/>
        <v>-0.50238467221171779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20">
        <v>9.7420000000000009</v>
      </c>
      <c r="C304" s="390"/>
      <c r="D304" s="393">
        <f t="shared" si="98"/>
        <v>9.9309405987517252</v>
      </c>
      <c r="E304" s="385">
        <f t="shared" si="120"/>
        <v>10.801000450430383</v>
      </c>
      <c r="F304" s="385">
        <f t="shared" si="99"/>
        <v>10.801000450430383</v>
      </c>
      <c r="G304" s="110">
        <f t="shared" si="121"/>
        <v>0.25895105978790145</v>
      </c>
      <c r="H304" s="414" t="b">
        <f>Wh_hp&gt;='2019'!Maxi_hp</f>
        <v>0</v>
      </c>
      <c r="I304" s="380">
        <f>IF(H304,Wh_hp,'2019'!Maxi_hp)</f>
        <v>23.477802408188175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1.9025448483245722E-2</v>
      </c>
      <c r="M304" s="959"/>
      <c r="N304" s="959"/>
      <c r="O304" s="48">
        <f>IF(t&lt;Tnet,'2019'!Resal+('2019'!Salim-'2019'!Resal)*(1-EXP(('2019'!Tnet-t)/('2019'!Tau_j))),Resal+(Salim-Resal)*(1-EXP((Tnet-t)/(Tau_j))))*Salcycl</f>
        <v>8.0553635348102254E-2</v>
      </c>
      <c r="P304" s="169">
        <f>(INDEX(Models!$BJ304:$BT304,,T304)*(1-R304)+INDEX(Models!$BJ304:$BT304,,T304+1)*R304-ERP_i)*Q304*Ramure*Pc/MaxiM</f>
        <v>8.7113965131645156E-4</v>
      </c>
      <c r="Q304" s="305">
        <f t="shared" si="101"/>
        <v>0.7</v>
      </c>
      <c r="R304" s="177">
        <f t="shared" si="102"/>
        <v>0.49771901035352706</v>
      </c>
      <c r="S304" s="921">
        <f t="shared" si="103"/>
        <v>-1</v>
      </c>
      <c r="T304" s="176">
        <f t="shared" si="104"/>
        <v>5</v>
      </c>
      <c r="U304" s="251">
        <f t="shared" si="105"/>
        <v>-0.50228098964647294</v>
      </c>
      <c r="V304" s="383">
        <f t="shared" si="106"/>
        <v>37.58823526534043</v>
      </c>
      <c r="W304" s="402"/>
      <c r="X304" s="157">
        <f t="shared" si="107"/>
        <v>44120</v>
      </c>
      <c r="Y304" s="385">
        <f t="shared" si="108"/>
        <v>9.7420000000000009</v>
      </c>
      <c r="Z304" s="385">
        <f t="shared" si="109"/>
        <v>9.9309405987517252</v>
      </c>
      <c r="AA304" s="386">
        <f t="shared" si="110"/>
        <v>10.801000450430383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8.0553635348102254E-2</v>
      </c>
      <c r="AD304" s="231">
        <f>(INDEX(Models!$BJ304:$BT304,,AH304)*(1-AF304)+INDEX(Models!$BJ304:$BT304,,AH304+1)*AF304-ERP_i)*AE304*Ramure*Pc/MaxiM</f>
        <v>8.7113965131645156E-4</v>
      </c>
      <c r="AE304" s="305">
        <f t="shared" si="112"/>
        <v>0.7</v>
      </c>
      <c r="AF304" s="177">
        <f t="shared" si="113"/>
        <v>0.49771901035352706</v>
      </c>
      <c r="AG304" s="921">
        <f t="shared" si="119"/>
        <v>-1</v>
      </c>
      <c r="AH304" s="176">
        <f t="shared" si="114"/>
        <v>5</v>
      </c>
      <c r="AI304" s="225">
        <f t="shared" si="115"/>
        <v>-0.50228098964647294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20">
        <v>36.621000000000002</v>
      </c>
      <c r="C305" s="390"/>
      <c r="D305" s="393">
        <f t="shared" si="98"/>
        <v>37.33206132088754</v>
      </c>
      <c r="E305" s="385">
        <f t="shared" si="120"/>
        <v>40.602374145243921</v>
      </c>
      <c r="F305" s="385">
        <f t="shared" si="99"/>
        <v>40.636688636439388</v>
      </c>
      <c r="G305" s="110">
        <f t="shared" si="121"/>
        <v>0.98074892092461274</v>
      </c>
      <c r="H305" s="414" t="b">
        <f>Wh_hp&gt;='2019'!Maxi_hp</f>
        <v>1</v>
      </c>
      <c r="I305" s="380">
        <f>IF(H305,Wh_hp,'2019'!Maxi_hp)</f>
        <v>40.636688636439388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1.9046934343528776E-2</v>
      </c>
      <c r="M305" s="959"/>
      <c r="N305" s="959"/>
      <c r="O305" s="48">
        <f>IF(t&lt;Tnet,'2019'!Resal+('2019'!Salim-'2019'!Resal)*(1-EXP(('2019'!Tnet-t)/('2019'!Tau_j))),Resal+(Salim-Resal)*(1-EXP((Tnet-t)/(Tau_j))))*Salcycl</f>
        <v>8.0544866973978571E-2</v>
      </c>
      <c r="P305" s="169">
        <f>(INDEX(Models!$BJ305:$BT305,,T305)*(1-R305)+INDEX(Models!$BJ305:$BT305,,T305+1)*R305-ERP_i)*Q305*Ramure*Pc/MaxiM</f>
        <v>8.6827119928493089E-4</v>
      </c>
      <c r="Q305" s="305">
        <f t="shared" si="101"/>
        <v>0.7</v>
      </c>
      <c r="R305" s="177">
        <f t="shared" si="102"/>
        <v>0.49781855894396754</v>
      </c>
      <c r="S305" s="921">
        <f t="shared" si="103"/>
        <v>-1</v>
      </c>
      <c r="T305" s="176">
        <f t="shared" si="104"/>
        <v>5</v>
      </c>
      <c r="U305" s="251">
        <f t="shared" si="105"/>
        <v>-0.50218144105603246</v>
      </c>
      <c r="V305" s="383">
        <f t="shared" si="106"/>
        <v>37.338940761059227</v>
      </c>
      <c r="W305" s="402"/>
      <c r="X305" s="157">
        <f t="shared" si="107"/>
        <v>44121</v>
      </c>
      <c r="Y305" s="385">
        <f t="shared" si="108"/>
        <v>36.621000000000002</v>
      </c>
      <c r="Z305" s="385">
        <f t="shared" si="109"/>
        <v>37.33206132088754</v>
      </c>
      <c r="AA305" s="386">
        <f t="shared" si="110"/>
        <v>40.602374145243921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8.0544866973978571E-2</v>
      </c>
      <c r="AD305" s="231">
        <f>(INDEX(Models!$BJ305:$BT305,,AH305)*(1-AF305)+INDEX(Models!$BJ305:$BT305,,AH305+1)*AF305-ERP_i)*AE305*Ramure*Pc/MaxiM</f>
        <v>8.6827119928493089E-4</v>
      </c>
      <c r="AE305" s="305">
        <f t="shared" si="112"/>
        <v>0.7</v>
      </c>
      <c r="AF305" s="177">
        <f t="shared" si="113"/>
        <v>0.49781855894396754</v>
      </c>
      <c r="AG305" s="921">
        <f t="shared" si="119"/>
        <v>-1</v>
      </c>
      <c r="AH305" s="176">
        <f t="shared" si="114"/>
        <v>5</v>
      </c>
      <c r="AI305" s="225">
        <f t="shared" si="115"/>
        <v>-0.50218144105603246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20">
        <v>35.646999999999998</v>
      </c>
      <c r="C306" s="390"/>
      <c r="D306" s="393">
        <f t="shared" si="98"/>
        <v>36.339945330646913</v>
      </c>
      <c r="E306" s="385">
        <f t="shared" si="120"/>
        <v>39.522927124124109</v>
      </c>
      <c r="F306" s="385">
        <f t="shared" si="99"/>
        <v>39.555235344496339</v>
      </c>
      <c r="G306" s="110">
        <f t="shared" si="121"/>
        <v>0.96111032919835193</v>
      </c>
      <c r="H306" s="414" t="b">
        <f>Wh_hp&gt;='2019'!Maxi_hp</f>
        <v>1</v>
      </c>
      <c r="I306" s="380">
        <f>IF(H306,Wh_hp,'2019'!Maxi_hp)</f>
        <v>39.555235344496339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1.906841973321638E-2</v>
      </c>
      <c r="M306" s="959"/>
      <c r="N306" s="959"/>
      <c r="O306" s="48">
        <f>IF(t&lt;Tnet,'2019'!Resal+('2019'!Salim-'2019'!Resal)*(1-EXP(('2019'!Tnet-t)/('2019'!Tau_j))),Resal+(Salim-Resal)*(1-EXP((Tnet-t)/(Tau_j))))*Salcycl</f>
        <v>8.0535072300714342E-2</v>
      </c>
      <c r="P306" s="169">
        <f>(INDEX(Models!$BJ306:$BT306,,T306)*(1-R306)+INDEX(Models!$BJ306:$BT306,,T306+1)*R306-ERP_i)*Q306*Ramure*Pc/MaxiM</f>
        <v>8.6477442735228313E-4</v>
      </c>
      <c r="Q306" s="305">
        <f t="shared" si="101"/>
        <v>0.7</v>
      </c>
      <c r="R306" s="177">
        <f t="shared" si="102"/>
        <v>0.49791413682539765</v>
      </c>
      <c r="S306" s="921">
        <f t="shared" si="103"/>
        <v>-1</v>
      </c>
      <c r="T306" s="176">
        <f t="shared" si="104"/>
        <v>5</v>
      </c>
      <c r="U306" s="251">
        <f t="shared" si="105"/>
        <v>-0.50208586317460235</v>
      </c>
      <c r="V306" s="383">
        <f t="shared" si="106"/>
        <v>37.087613073645251</v>
      </c>
      <c r="W306" s="402"/>
      <c r="X306" s="157">
        <f t="shared" si="107"/>
        <v>44122</v>
      </c>
      <c r="Y306" s="385">
        <f t="shared" si="108"/>
        <v>35.646999999999998</v>
      </c>
      <c r="Z306" s="385">
        <f t="shared" si="109"/>
        <v>36.339945330646913</v>
      </c>
      <c r="AA306" s="386">
        <f t="shared" si="110"/>
        <v>39.522927124124109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8.0535072300714342E-2</v>
      </c>
      <c r="AD306" s="231">
        <f>(INDEX(Models!$BJ306:$BT306,,AH306)*(1-AF306)+INDEX(Models!$BJ306:$BT306,,AH306+1)*AF306-ERP_i)*AE306*Ramure*Pc/MaxiM</f>
        <v>8.6477442735228313E-4</v>
      </c>
      <c r="AE306" s="305">
        <f t="shared" si="112"/>
        <v>0.7</v>
      </c>
      <c r="AF306" s="177">
        <f t="shared" si="113"/>
        <v>0.49791413682539765</v>
      </c>
      <c r="AG306" s="921">
        <f t="shared" si="119"/>
        <v>-1</v>
      </c>
      <c r="AH306" s="176">
        <f t="shared" si="114"/>
        <v>5</v>
      </c>
      <c r="AI306" s="225">
        <f t="shared" si="115"/>
        <v>-0.50208586317460235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20">
        <v>29.523</v>
      </c>
      <c r="C307" s="390"/>
      <c r="D307" s="393">
        <f t="shared" si="98"/>
        <v>30.097559541922791</v>
      </c>
      <c r="E307" s="385">
        <f t="shared" si="120"/>
        <v>32.733392853287988</v>
      </c>
      <c r="F307" s="385">
        <f t="shared" si="99"/>
        <v>32.753589060137877</v>
      </c>
      <c r="G307" s="110">
        <f t="shared" si="121"/>
        <v>0.80131587156806305</v>
      </c>
      <c r="H307" s="414" t="b">
        <f>Wh_hp&gt;='2019'!Maxi_hp</f>
        <v>1</v>
      </c>
      <c r="I307" s="380">
        <f>IF(H307,Wh_hp,'2019'!Maxi_hp)</f>
        <v>32.753589060137877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1.9089904652318745E-2</v>
      </c>
      <c r="M307" s="959"/>
      <c r="N307" s="959"/>
      <c r="O307" s="48">
        <f>IF(t&lt;Tnet,'2019'!Resal+('2019'!Salim-'2019'!Resal)*(1-EXP(('2019'!Tnet-t)/('2019'!Tau_j))),Resal+(Salim-Resal)*(1-EXP((Tnet-t)/(Tau_j))))*Salcycl</f>
        <v>8.0524292827788349E-2</v>
      </c>
      <c r="P307" s="169">
        <f>(INDEX(Models!$BJ307:$BT307,,T307)*(1-R307)+INDEX(Models!$BJ307:$BT307,,T307+1)*R307-ERP_i)*Q307*Ramure*Pc/MaxiM</f>
        <v>8.6065277986744097E-4</v>
      </c>
      <c r="Q307" s="305">
        <f t="shared" si="101"/>
        <v>0.7</v>
      </c>
      <c r="R307" s="177">
        <f t="shared" si="102"/>
        <v>0.49800590093839103</v>
      </c>
      <c r="S307" s="921">
        <f t="shared" si="103"/>
        <v>-1</v>
      </c>
      <c r="T307" s="176">
        <f t="shared" si="104"/>
        <v>5</v>
      </c>
      <c r="U307" s="251">
        <f t="shared" si="105"/>
        <v>-0.50199409906160897</v>
      </c>
      <c r="V307" s="383">
        <f t="shared" si="106"/>
        <v>36.834152101105914</v>
      </c>
      <c r="W307" s="402"/>
      <c r="X307" s="157">
        <f t="shared" si="107"/>
        <v>44123</v>
      </c>
      <c r="Y307" s="385">
        <f t="shared" si="108"/>
        <v>29.523</v>
      </c>
      <c r="Z307" s="385">
        <f t="shared" si="109"/>
        <v>30.097559541922791</v>
      </c>
      <c r="AA307" s="386">
        <f t="shared" si="110"/>
        <v>32.733392853287988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8.0524292827788349E-2</v>
      </c>
      <c r="AD307" s="231">
        <f>(INDEX(Models!$BJ307:$BT307,,AH307)*(1-AF307)+INDEX(Models!$BJ307:$BT307,,AH307+1)*AF307-ERP_i)*AE307*Ramure*Pc/MaxiM</f>
        <v>8.6065277986744097E-4</v>
      </c>
      <c r="AE307" s="305">
        <f t="shared" si="112"/>
        <v>0.7</v>
      </c>
      <c r="AF307" s="177">
        <f t="shared" si="113"/>
        <v>0.49800590093839103</v>
      </c>
      <c r="AG307" s="921">
        <f t="shared" si="119"/>
        <v>-1</v>
      </c>
      <c r="AH307" s="176">
        <f t="shared" si="114"/>
        <v>5</v>
      </c>
      <c r="AI307" s="225">
        <f t="shared" si="115"/>
        <v>-0.50199409906160897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20">
        <v>5.8380000000000001</v>
      </c>
      <c r="C308" s="390"/>
      <c r="D308" s="393">
        <f t="shared" si="98"/>
        <v>5.951746136239124</v>
      </c>
      <c r="E308" s="385">
        <f t="shared" si="120"/>
        <v>6.472895625567765</v>
      </c>
      <c r="F308" s="385">
        <f t="shared" si="99"/>
        <v>6.472895625567765</v>
      </c>
      <c r="G308" s="110">
        <f t="shared" si="121"/>
        <v>0.15946553192224341</v>
      </c>
      <c r="H308" s="414" t="b">
        <f>Wh_hp&gt;='2019'!Maxi_hp</f>
        <v>0</v>
      </c>
      <c r="I308" s="380">
        <f>IF(H308,Wh_hp,'2019'!Maxi_hp)</f>
        <v>25.301063614108177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1.9111389100846199E-2</v>
      </c>
      <c r="M308" s="959"/>
      <c r="N308" s="959"/>
      <c r="O308" s="48">
        <f>IF(t&lt;Tnet,'2019'!Resal+('2019'!Salim-'2019'!Resal)*(1-EXP(('2019'!Tnet-t)/('2019'!Tau_j))),Resal+(Salim-Resal)*(1-EXP((Tnet-t)/(Tau_j))))*Salcycl</f>
        <v>8.0512574197877357E-2</v>
      </c>
      <c r="P308" s="169">
        <f>(INDEX(Models!$BJ308:$BT308,,T308)*(1-R308)+INDEX(Models!$BJ308:$BT308,,T308+1)*R308-ERP_i)*Q308*Ramure*Pc/MaxiM</f>
        <v>8.559103360238358E-4</v>
      </c>
      <c r="Q308" s="305">
        <f t="shared" si="101"/>
        <v>0.7</v>
      </c>
      <c r="R308" s="177">
        <f t="shared" si="102"/>
        <v>0.49809400213367638</v>
      </c>
      <c r="S308" s="921">
        <f t="shared" si="103"/>
        <v>-1</v>
      </c>
      <c r="T308" s="176">
        <f t="shared" si="104"/>
        <v>5</v>
      </c>
      <c r="U308" s="251">
        <f t="shared" si="105"/>
        <v>-0.50190599786632362</v>
      </c>
      <c r="V308" s="383">
        <f t="shared" si="106"/>
        <v>36.578457583564266</v>
      </c>
      <c r="W308" s="402"/>
      <c r="X308" s="157">
        <f t="shared" si="107"/>
        <v>44124</v>
      </c>
      <c r="Y308" s="385">
        <f t="shared" si="108"/>
        <v>5.8380000000000001</v>
      </c>
      <c r="Z308" s="385">
        <f t="shared" si="109"/>
        <v>5.951746136239124</v>
      </c>
      <c r="AA308" s="386">
        <f t="shared" si="110"/>
        <v>6.472895625567765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8.0512574197877357E-2</v>
      </c>
      <c r="AD308" s="231">
        <f>(INDEX(Models!$BJ308:$BT308,,AH308)*(1-AF308)+INDEX(Models!$BJ308:$BT308,,AH308+1)*AF308-ERP_i)*AE308*Ramure*Pc/MaxiM</f>
        <v>8.559103360238358E-4</v>
      </c>
      <c r="AE308" s="305">
        <f t="shared" si="112"/>
        <v>0.7</v>
      </c>
      <c r="AF308" s="177">
        <f t="shared" si="113"/>
        <v>0.49809400213367638</v>
      </c>
      <c r="AG308" s="921">
        <f t="shared" si="119"/>
        <v>-1</v>
      </c>
      <c r="AH308" s="176">
        <f t="shared" si="114"/>
        <v>5</v>
      </c>
      <c r="AI308" s="225">
        <f t="shared" si="115"/>
        <v>-0.50190599786632362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20">
        <v>25.201000000000001</v>
      </c>
      <c r="C309" s="390"/>
      <c r="D309" s="393">
        <f t="shared" si="98"/>
        <v>25.692572733171851</v>
      </c>
      <c r="E309" s="385">
        <f t="shared" si="120"/>
        <v>27.941894275544055</v>
      </c>
      <c r="F309" s="385">
        <f t="shared" si="99"/>
        <v>27.955272529178899</v>
      </c>
      <c r="G309" s="110">
        <f t="shared" si="121"/>
        <v>0.69359370312434054</v>
      </c>
      <c r="H309" s="414" t="b">
        <f>Wh_hp&gt;='2019'!Maxi_hp</f>
        <v>1</v>
      </c>
      <c r="I309" s="380">
        <f>IF(H309,Wh_hp,'2019'!Maxi_hp)</f>
        <v>27.955272529178899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1.9132873078809176E-2</v>
      </c>
      <c r="M309" s="959"/>
      <c r="N309" s="959"/>
      <c r="O309" s="48">
        <f>IF(t&lt;Tnet,'2019'!Resal+('2019'!Salim-'2019'!Resal)*(1-EXP(('2019'!Tnet-t)/('2019'!Tau_j))),Resal+(Salim-Resal)*(1-EXP((Tnet-t)/(Tau_j))))*Salcycl</f>
        <v>8.0499966115071389E-2</v>
      </c>
      <c r="P309" s="169">
        <f>(INDEX(Models!$BJ309:$BT309,,T309)*(1-R309)+INDEX(Models!$BJ309:$BT309,,T309+1)*R309-ERP_i)*Q309*Ramure*Pc/MaxiM</f>
        <v>8.5055176874665646E-4</v>
      </c>
      <c r="Q309" s="305">
        <f t="shared" si="101"/>
        <v>0.7</v>
      </c>
      <c r="R309" s="177">
        <f t="shared" si="102"/>
        <v>0.4981785853995222</v>
      </c>
      <c r="S309" s="921">
        <f t="shared" si="103"/>
        <v>-1</v>
      </c>
      <c r="T309" s="176">
        <f t="shared" si="104"/>
        <v>5</v>
      </c>
      <c r="U309" s="251">
        <f t="shared" si="105"/>
        <v>-0.5018214146004778</v>
      </c>
      <c r="V309" s="383">
        <f t="shared" si="106"/>
        <v>36.320429112976157</v>
      </c>
      <c r="W309" s="402"/>
      <c r="X309" s="157">
        <f t="shared" si="107"/>
        <v>44125</v>
      </c>
      <c r="Y309" s="385">
        <f t="shared" si="108"/>
        <v>25.201000000000001</v>
      </c>
      <c r="Z309" s="385">
        <f t="shared" si="109"/>
        <v>25.692572733171851</v>
      </c>
      <c r="AA309" s="386">
        <f t="shared" si="110"/>
        <v>27.941894275544055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8.0499966115071389E-2</v>
      </c>
      <c r="AD309" s="231">
        <f>(INDEX(Models!$BJ309:$BT309,,AH309)*(1-AF309)+INDEX(Models!$BJ309:$BT309,,AH309+1)*AF309-ERP_i)*AE309*Ramure*Pc/MaxiM</f>
        <v>8.5055176874665646E-4</v>
      </c>
      <c r="AE309" s="305">
        <f t="shared" si="112"/>
        <v>0.7</v>
      </c>
      <c r="AF309" s="177">
        <f t="shared" si="113"/>
        <v>0.4981785853995222</v>
      </c>
      <c r="AG309" s="921">
        <f t="shared" si="119"/>
        <v>-1</v>
      </c>
      <c r="AH309" s="176">
        <f t="shared" si="114"/>
        <v>5</v>
      </c>
      <c r="AI309" s="225">
        <f t="shared" si="115"/>
        <v>-0.5018214146004778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20">
        <v>5.2770000000000001</v>
      </c>
      <c r="C310" s="390"/>
      <c r="D310" s="393">
        <f t="shared" si="98"/>
        <v>5.3800514234163055</v>
      </c>
      <c r="E310" s="385">
        <f t="shared" si="120"/>
        <v>5.8509761450127682</v>
      </c>
      <c r="F310" s="385">
        <f t="shared" si="99"/>
        <v>5.8509761450127682</v>
      </c>
      <c r="G310" s="110">
        <f t="shared" si="121"/>
        <v>0.14621597585054216</v>
      </c>
      <c r="H310" s="414" t="b">
        <f>Wh_hp&gt;='2019'!Maxi_hp</f>
        <v>0</v>
      </c>
      <c r="I310" s="380">
        <f>IF(H310,Wh_hp,'2019'!Maxi_hp)</f>
        <v>39.836073518385142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1.9154356586217891E-2</v>
      </c>
      <c r="M310" s="959"/>
      <c r="N310" s="959"/>
      <c r="O310" s="48">
        <f>IF(t&lt;Tnet,'2019'!Resal+('2019'!Salim-'2019'!Resal)*(1-EXP(('2019'!Tnet-t)/('2019'!Tau_j))),Resal+(Salim-Resal)*(1-EXP((Tnet-t)/(Tau_j))))*Salcycl</f>
        <v>8.0486522235758529E-2</v>
      </c>
      <c r="P310" s="169">
        <f>(INDEX(Models!$BJ310:$BT310,,T310)*(1-R310)+INDEX(Models!$BJ310:$BT310,,T310+1)*R310-ERP_i)*Q310*Ramure*Pc/MaxiM</f>
        <v>8.4469041764561204E-4</v>
      </c>
      <c r="Q310" s="305">
        <f t="shared" si="101"/>
        <v>0.7</v>
      </c>
      <c r="R310" s="177">
        <f t="shared" si="102"/>
        <v>0.49825979008134402</v>
      </c>
      <c r="S310" s="921">
        <f t="shared" si="103"/>
        <v>-1</v>
      </c>
      <c r="T310" s="176">
        <f t="shared" si="104"/>
        <v>5</v>
      </c>
      <c r="U310" s="251">
        <f t="shared" si="105"/>
        <v>-0.50174020991865598</v>
      </c>
      <c r="V310" s="383">
        <f t="shared" si="106"/>
        <v>36.059962244177271</v>
      </c>
      <c r="W310" s="402"/>
      <c r="X310" s="157">
        <f t="shared" si="107"/>
        <v>44126</v>
      </c>
      <c r="Y310" s="385">
        <f t="shared" si="108"/>
        <v>5.2770000000000001</v>
      </c>
      <c r="Z310" s="385">
        <f t="shared" si="109"/>
        <v>5.3800514234163055</v>
      </c>
      <c r="AA310" s="386">
        <f t="shared" si="110"/>
        <v>5.8509761450127682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8.0486522235758529E-2</v>
      </c>
      <c r="AD310" s="231">
        <f>(INDEX(Models!$BJ310:$BT310,,AH310)*(1-AF310)+INDEX(Models!$BJ310:$BT310,,AH310+1)*AF310-ERP_i)*AE310*Ramure*Pc/MaxiM</f>
        <v>8.4469041764561204E-4</v>
      </c>
      <c r="AE310" s="305">
        <f t="shared" si="112"/>
        <v>0.7</v>
      </c>
      <c r="AF310" s="177">
        <f t="shared" si="113"/>
        <v>0.49825979008134402</v>
      </c>
      <c r="AG310" s="921">
        <f t="shared" si="119"/>
        <v>-1</v>
      </c>
      <c r="AH310" s="176">
        <f t="shared" si="114"/>
        <v>5</v>
      </c>
      <c r="AI310" s="225">
        <f t="shared" si="115"/>
        <v>-0.50174020991865598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20">
        <v>9.8379999999999992</v>
      </c>
      <c r="C311" s="390"/>
      <c r="D311" s="393">
        <f t="shared" si="98"/>
        <v>10.030340194943189</v>
      </c>
      <c r="E311" s="385">
        <f t="shared" si="120"/>
        <v>10.908143599475936</v>
      </c>
      <c r="F311" s="385">
        <f t="shared" si="99"/>
        <v>10.908143599475936</v>
      </c>
      <c r="G311" s="110">
        <f t="shared" si="121"/>
        <v>0.2745974373053825</v>
      </c>
      <c r="H311" s="414" t="b">
        <f>Wh_hp&gt;='2019'!Maxi_hp</f>
        <v>0</v>
      </c>
      <c r="I311" s="380">
        <f>IF(H311,Wh_hp,'2019'!Maxi_hp)</f>
        <v>36.762198666415699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1.9175839623082669E-2</v>
      </c>
      <c r="M311" s="959"/>
      <c r="N311" s="959"/>
      <c r="O311" s="48">
        <f>IF(t&lt;Tnet,'2019'!Resal+('2019'!Salim-'2019'!Resal)*(1-EXP(('2019'!Tnet-t)/('2019'!Tau_j))),Resal+(Salim-Resal)*(1-EXP((Tnet-t)/(Tau_j))))*Salcycl</f>
        <v>8.0472300032328095E-2</v>
      </c>
      <c r="P311" s="169">
        <f>(INDEX(Models!$BJ311:$BT311,,T311)*(1-R311)+INDEX(Models!$BJ311:$BT311,,T311+1)*R311-ERP_i)*Q311*Ramure*Pc/MaxiM</f>
        <v>8.3893468372012853E-4</v>
      </c>
      <c r="Q311" s="305">
        <f t="shared" si="101"/>
        <v>0.7</v>
      </c>
      <c r="R311" s="177">
        <f t="shared" si="102"/>
        <v>0.49833775009373671</v>
      </c>
      <c r="S311" s="921">
        <f t="shared" si="103"/>
        <v>-1</v>
      </c>
      <c r="T311" s="176">
        <f t="shared" si="104"/>
        <v>5</v>
      </c>
      <c r="U311" s="251">
        <f t="shared" si="105"/>
        <v>-0.50166224990626329</v>
      </c>
      <c r="V311" s="383">
        <f t="shared" si="106"/>
        <v>35.796934804055745</v>
      </c>
      <c r="W311" s="402"/>
      <c r="X311" s="157">
        <f t="shared" si="107"/>
        <v>44127</v>
      </c>
      <c r="Y311" s="385">
        <f t="shared" si="108"/>
        <v>9.8379999999999992</v>
      </c>
      <c r="Z311" s="385">
        <f t="shared" si="109"/>
        <v>10.030340194943189</v>
      </c>
      <c r="AA311" s="386">
        <f t="shared" si="110"/>
        <v>10.908143599475936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8.0472300032328095E-2</v>
      </c>
      <c r="AD311" s="231">
        <f>(INDEX(Models!$BJ311:$BT311,,AH311)*(1-AF311)+INDEX(Models!$BJ311:$BT311,,AH311+1)*AF311-ERP_i)*AE311*Ramure*Pc/MaxiM</f>
        <v>8.3893468372012853E-4</v>
      </c>
      <c r="AE311" s="305">
        <f t="shared" si="112"/>
        <v>0.7</v>
      </c>
      <c r="AF311" s="177">
        <f t="shared" si="113"/>
        <v>0.49833775009373671</v>
      </c>
      <c r="AG311" s="921">
        <f t="shared" si="119"/>
        <v>-1</v>
      </c>
      <c r="AH311" s="176">
        <f t="shared" si="114"/>
        <v>5</v>
      </c>
      <c r="AI311" s="225">
        <f t="shared" si="115"/>
        <v>-0.50166224990626329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20">
        <v>30.231000000000002</v>
      </c>
      <c r="C312" s="390"/>
      <c r="D312" s="393">
        <f t="shared" si="98"/>
        <v>30.822713563021335</v>
      </c>
      <c r="E312" s="385">
        <f t="shared" si="120"/>
        <v>33.519613167847204</v>
      </c>
      <c r="F312" s="385">
        <f t="shared" si="99"/>
        <v>33.541607141532367</v>
      </c>
      <c r="G312" s="110">
        <f t="shared" si="121"/>
        <v>0.85067739812772758</v>
      </c>
      <c r="H312" s="414" t="b">
        <f>Wh_hp&gt;='2019'!Maxi_hp</f>
        <v>0</v>
      </c>
      <c r="I312" s="380">
        <f>IF(H312,Wh_hp,'2019'!Maxi_hp)</f>
        <v>39.380465592356508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1.9197322189413724E-2</v>
      </c>
      <c r="M312" s="959"/>
      <c r="N312" s="959"/>
      <c r="O312" s="48">
        <f>IF(t&lt;Tnet,'2019'!Resal+('2019'!Salim-'2019'!Resal)*(1-EXP(('2019'!Tnet-t)/('2019'!Tau_j))),Resal+(Salim-Resal)*(1-EXP((Tnet-t)/(Tau_j))))*Salcycl</f>
        <v>8.0457360630068295E-2</v>
      </c>
      <c r="P312" s="169">
        <f>(INDEX(Models!$BJ312:$BT312,,T312)*(1-R312)+INDEX(Models!$BJ312:$BT312,,T312+1)*R312-ERP_i)*Q312*Ramure*Pc/MaxiM</f>
        <v>8.3330004063038722E-4</v>
      </c>
      <c r="Q312" s="305">
        <f t="shared" si="101"/>
        <v>0.7</v>
      </c>
      <c r="R312" s="177">
        <f t="shared" si="102"/>
        <v>0.49841259412514494</v>
      </c>
      <c r="S312" s="921">
        <f t="shared" si="103"/>
        <v>-1</v>
      </c>
      <c r="T312" s="176">
        <f t="shared" si="104"/>
        <v>5</v>
      </c>
      <c r="U312" s="251">
        <f t="shared" si="105"/>
        <v>-0.50158740587485506</v>
      </c>
      <c r="V312" s="383">
        <f t="shared" si="106"/>
        <v>35.531246258443538</v>
      </c>
      <c r="W312" s="402"/>
      <c r="X312" s="157">
        <f t="shared" si="107"/>
        <v>44128</v>
      </c>
      <c r="Y312" s="385">
        <f t="shared" si="108"/>
        <v>30.231000000000005</v>
      </c>
      <c r="Z312" s="385">
        <f t="shared" si="109"/>
        <v>30.822713563021338</v>
      </c>
      <c r="AA312" s="386">
        <f t="shared" si="110"/>
        <v>33.519613167847204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8.0457360630068295E-2</v>
      </c>
      <c r="AD312" s="231">
        <f>(INDEX(Models!$BJ312:$BT312,,AH312)*(1-AF312)+INDEX(Models!$BJ312:$BT312,,AH312+1)*AF312-ERP_i)*AE312*Ramure*Pc/MaxiM</f>
        <v>8.3330004063038722E-4</v>
      </c>
      <c r="AE312" s="305">
        <f t="shared" si="112"/>
        <v>0.7</v>
      </c>
      <c r="AF312" s="177">
        <f t="shared" si="113"/>
        <v>0.49841259412514494</v>
      </c>
      <c r="AG312" s="921">
        <f t="shared" si="119"/>
        <v>-1</v>
      </c>
      <c r="AH312" s="176">
        <f t="shared" si="114"/>
        <v>5</v>
      </c>
      <c r="AI312" s="225">
        <f t="shared" si="115"/>
        <v>-0.50158740587485506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20">
        <v>21.856000000000002</v>
      </c>
      <c r="C313" s="390"/>
      <c r="D313" s="393">
        <f t="shared" si="98"/>
        <v>22.284277161402631</v>
      </c>
      <c r="E313" s="385">
        <f t="shared" si="120"/>
        <v>24.233676999343849</v>
      </c>
      <c r="F313" s="385">
        <f t="shared" si="99"/>
        <v>24.242845357027431</v>
      </c>
      <c r="G313" s="110">
        <f t="shared" si="121"/>
        <v>0.61952459796905068</v>
      </c>
      <c r="H313" s="414" t="b">
        <f>Wh_hp&gt;='2019'!Maxi_hp</f>
        <v>0</v>
      </c>
      <c r="I313" s="380">
        <f>IF(H313,Wh_hp,'2019'!Maxi_hp)</f>
        <v>38.95254653773808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1.9218804285221491E-2</v>
      </c>
      <c r="M313" s="959"/>
      <c r="N313" s="959"/>
      <c r="O313" s="48">
        <f>IF(t&lt;Tnet,'2019'!Resal+('2019'!Salim-'2019'!Resal)*(1-EXP(('2019'!Tnet-t)/('2019'!Tau_j))),Resal+(Salim-Resal)*(1-EXP((Tnet-t)/(Tau_j))))*Salcycl</f>
        <v>8.0441768617861772E-2</v>
      </c>
      <c r="P313" s="169">
        <f>(INDEX(Models!$BJ313:$BT313,,T313)*(1-R313)+INDEX(Models!$BJ313:$BT313,,T313+1)*R313-ERP_i)*Q313*Ramure*Pc/MaxiM</f>
        <v>8.2779530528376494E-4</v>
      </c>
      <c r="Q313" s="305">
        <f t="shared" si="101"/>
        <v>0.7</v>
      </c>
      <c r="R313" s="177">
        <f t="shared" si="102"/>
        <v>0.49848444583537443</v>
      </c>
      <c r="S313" s="921">
        <f t="shared" si="103"/>
        <v>-1</v>
      </c>
      <c r="T313" s="176">
        <f t="shared" si="104"/>
        <v>5</v>
      </c>
      <c r="U313" s="251">
        <f t="shared" si="105"/>
        <v>-0.50151555416462557</v>
      </c>
      <c r="V313" s="383">
        <f t="shared" si="106"/>
        <v>35.262796248413565</v>
      </c>
      <c r="W313" s="402"/>
      <c r="X313" s="157">
        <f t="shared" si="107"/>
        <v>44129</v>
      </c>
      <c r="Y313" s="385">
        <f t="shared" si="108"/>
        <v>21.856000000000002</v>
      </c>
      <c r="Z313" s="385">
        <f t="shared" si="109"/>
        <v>22.284277161402631</v>
      </c>
      <c r="AA313" s="386">
        <f t="shared" si="110"/>
        <v>24.233676999343849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8.0441768617861772E-2</v>
      </c>
      <c r="AD313" s="231">
        <f>(INDEX(Models!$BJ313:$BT313,,AH313)*(1-AF313)+INDEX(Models!$BJ313:$BT313,,AH313+1)*AF313-ERP_i)*AE313*Ramure*Pc/MaxiM</f>
        <v>8.2779530528376494E-4</v>
      </c>
      <c r="AE313" s="305">
        <f t="shared" si="112"/>
        <v>0.7</v>
      </c>
      <c r="AF313" s="177">
        <f t="shared" si="113"/>
        <v>0.49848444583537443</v>
      </c>
      <c r="AG313" s="921">
        <f t="shared" si="119"/>
        <v>-1</v>
      </c>
      <c r="AH313" s="176">
        <f t="shared" si="114"/>
        <v>5</v>
      </c>
      <c r="AI313" s="225">
        <f t="shared" si="115"/>
        <v>-0.50151555416462557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20">
        <v>22.600999999999999</v>
      </c>
      <c r="C314" s="390"/>
      <c r="D314" s="393">
        <f t="shared" si="98"/>
        <v>23.044380468851415</v>
      </c>
      <c r="E314" s="385">
        <f t="shared" si="120"/>
        <v>25.059832313949258</v>
      </c>
      <c r="F314" s="385">
        <f t="shared" si="99"/>
        <v>25.070020714140696</v>
      </c>
      <c r="G314" s="110">
        <f t="shared" si="121"/>
        <v>0.64563118300550737</v>
      </c>
      <c r="H314" s="414" t="b">
        <f>Wh_hp&gt;='2019'!Maxi_hp</f>
        <v>0</v>
      </c>
      <c r="I314" s="380">
        <f>IF(H314,Wh_hp,'2019'!Maxi_hp)</f>
        <v>26.35824722290937</v>
      </c>
      <c r="J314" s="85">
        <f>IF(H314,An,'2019'!An_max)</f>
        <v>2019</v>
      </c>
      <c r="K314" s="197">
        <f t="shared" si="100"/>
        <v>44130</v>
      </c>
      <c r="L314" s="147">
        <f>IF(t&lt;Tvie,1-EXP((T0-t)*PertePVj)+'2019'!Pspv,1-EXP((T0-t)*PertePVj)+Pspv)</f>
        <v>1.9240285910516186E-2</v>
      </c>
      <c r="M314" s="959"/>
      <c r="N314" s="959"/>
      <c r="O314" s="48">
        <f>IF(t&lt;Tnet,'2019'!Resal+('2019'!Salim-'2019'!Resal)*(1-EXP(('2019'!Tnet-t)/('2019'!Tau_j))),Resal+(Salim-Resal)*(1-EXP((Tnet-t)/(Tau_j))))*Salcycl</f>
        <v>8.0425591833508309E-2</v>
      </c>
      <c r="P314" s="169">
        <f>(INDEX(Models!$BJ314:$BT314,,T314)*(1-R314)+INDEX(Models!$BJ314:$BT314,,T314+1)*R314-ERP_i)*Q314*Ramure*Pc/MaxiM</f>
        <v>8.2242967350586367E-4</v>
      </c>
      <c r="Q314" s="305">
        <f t="shared" si="101"/>
        <v>0.7</v>
      </c>
      <c r="R314" s="177">
        <f t="shared" si="102"/>
        <v>0.49855342404615177</v>
      </c>
      <c r="S314" s="921">
        <f t="shared" si="103"/>
        <v>-1</v>
      </c>
      <c r="T314" s="176">
        <f t="shared" si="104"/>
        <v>5</v>
      </c>
      <c r="U314" s="251">
        <f t="shared" si="105"/>
        <v>-0.50144657595384823</v>
      </c>
      <c r="V314" s="383">
        <f t="shared" si="106"/>
        <v>34.991484355956423</v>
      </c>
      <c r="W314" s="402"/>
      <c r="X314" s="157">
        <f t="shared" si="107"/>
        <v>44130</v>
      </c>
      <c r="Y314" s="385">
        <f t="shared" si="108"/>
        <v>22.600999999999999</v>
      </c>
      <c r="Z314" s="385">
        <f t="shared" si="109"/>
        <v>23.044380468851415</v>
      </c>
      <c r="AA314" s="386">
        <f t="shared" si="110"/>
        <v>25.059832313949258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8.0425591833508309E-2</v>
      </c>
      <c r="AD314" s="231">
        <f>(INDEX(Models!$BJ314:$BT314,,AH314)*(1-AF314)+INDEX(Models!$BJ314:$BT314,,AH314+1)*AF314-ERP_i)*AE314*Ramure*Pc/MaxiM</f>
        <v>8.2242967350586367E-4</v>
      </c>
      <c r="AE314" s="305">
        <f t="shared" si="112"/>
        <v>0.7</v>
      </c>
      <c r="AF314" s="177">
        <f t="shared" si="113"/>
        <v>0.49855342404615177</v>
      </c>
      <c r="AG314" s="921">
        <f t="shared" si="119"/>
        <v>-1</v>
      </c>
      <c r="AH314" s="176">
        <f t="shared" si="114"/>
        <v>5</v>
      </c>
      <c r="AI314" s="225">
        <f t="shared" si="115"/>
        <v>-0.50144657595384823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20">
        <v>21.984999999999999</v>
      </c>
      <c r="C315" s="390"/>
      <c r="D315" s="393">
        <f t="shared" si="98"/>
        <v>22.416786928162921</v>
      </c>
      <c r="E315" s="385">
        <f t="shared" si="120"/>
        <v>24.376907253213112</v>
      </c>
      <c r="F315" s="385">
        <f t="shared" si="99"/>
        <v>24.386395087776009</v>
      </c>
      <c r="G315" s="110">
        <f t="shared" si="121"/>
        <v>0.6329881745421353</v>
      </c>
      <c r="H315" s="414" t="b">
        <f>Wh_hp&gt;='2019'!Maxi_hp</f>
        <v>1</v>
      </c>
      <c r="I315" s="380">
        <f>IF(H315,Wh_hp,'2019'!Maxi_hp)</f>
        <v>24.386395087776009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1.9261767065308244E-2</v>
      </c>
      <c r="M315" s="959"/>
      <c r="N315" s="959"/>
      <c r="O315" s="48">
        <f>IF(t&lt;Tnet,'2019'!Resal+('2019'!Salim-'2019'!Resal)*(1-EXP(('2019'!Tnet-t)/('2019'!Tau_j))),Resal+(Salim-Resal)*(1-EXP((Tnet-t)/(Tau_j))))*Salcycl</f>
        <v>8.0408901124724402E-2</v>
      </c>
      <c r="P315" s="169">
        <f>(INDEX(Models!$BJ315:$BT315,,T315)*(1-R315)+INDEX(Models!$BJ315:$BT315,,T315+1)*R315-ERP_i)*Q315*Ramure*Pc/MaxiM</f>
        <v>8.1721271746729325E-4</v>
      </c>
      <c r="Q315" s="305">
        <f t="shared" si="101"/>
        <v>0.7</v>
      </c>
      <c r="R315" s="177">
        <f t="shared" si="102"/>
        <v>0.49861964292493388</v>
      </c>
      <c r="S315" s="921">
        <f t="shared" si="103"/>
        <v>-1</v>
      </c>
      <c r="T315" s="176">
        <f t="shared" si="104"/>
        <v>5</v>
      </c>
      <c r="U315" s="251">
        <f t="shared" si="105"/>
        <v>-0.50138035707506612</v>
      </c>
      <c r="V315" s="383">
        <f t="shared" si="106"/>
        <v>34.717210115647887</v>
      </c>
      <c r="W315" s="402"/>
      <c r="X315" s="157">
        <f t="shared" si="107"/>
        <v>44131</v>
      </c>
      <c r="Y315" s="385">
        <f t="shared" si="108"/>
        <v>21.984999999999999</v>
      </c>
      <c r="Z315" s="385">
        <f t="shared" si="109"/>
        <v>22.416786928162921</v>
      </c>
      <c r="AA315" s="386">
        <f t="shared" si="110"/>
        <v>24.376907253213112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8.0408901124724402E-2</v>
      </c>
      <c r="AD315" s="231">
        <f>(INDEX(Models!$BJ315:$BT315,,AH315)*(1-AF315)+INDEX(Models!$BJ315:$BT315,,AH315+1)*AF315-ERP_i)*AE315*Ramure*Pc/MaxiM</f>
        <v>8.1721271746729325E-4</v>
      </c>
      <c r="AE315" s="305">
        <f t="shared" si="112"/>
        <v>0.7</v>
      </c>
      <c r="AF315" s="177">
        <f t="shared" si="113"/>
        <v>0.49861964292493388</v>
      </c>
      <c r="AG315" s="921">
        <f t="shared" si="119"/>
        <v>-1</v>
      </c>
      <c r="AH315" s="176">
        <f t="shared" si="114"/>
        <v>5</v>
      </c>
      <c r="AI315" s="225">
        <f t="shared" si="115"/>
        <v>-0.50138035707506612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20">
        <v>11.914</v>
      </c>
      <c r="C316" s="390"/>
      <c r="D316" s="393">
        <f t="shared" si="98"/>
        <v>12.148257866159272</v>
      </c>
      <c r="E316" s="385">
        <f t="shared" si="120"/>
        <v>13.21025353079939</v>
      </c>
      <c r="F316" s="385">
        <f t="shared" si="99"/>
        <v>13.210957624154963</v>
      </c>
      <c r="G316" s="110">
        <f t="shared" si="121"/>
        <v>0.34567370413291082</v>
      </c>
      <c r="H316" s="414" t="b">
        <f>Wh_hp&gt;='2019'!Maxi_hp</f>
        <v>0</v>
      </c>
      <c r="I316" s="380">
        <f>IF(H316,Wh_hp,'2019'!Maxi_hp)</f>
        <v>30.720187323726929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1.9283247749607879E-2</v>
      </c>
      <c r="M316" s="959"/>
      <c r="N316" s="959"/>
      <c r="O316" s="48">
        <f>IF(t&lt;Tnet,'2019'!Resal+('2019'!Salim-'2019'!Resal)*(1-EXP(('2019'!Tnet-t)/('2019'!Tau_j))),Resal+(Salim-Resal)*(1-EXP((Tnet-t)/(Tau_j))))*Salcycl</f>
        <v>8.0391770087084313E-2</v>
      </c>
      <c r="P316" s="169">
        <f>(INDEX(Models!$BJ316:$BT316,,T316)*(1-R316)+INDEX(Models!$BJ316:$BT316,,T316+1)*R316-ERP_i)*Q316*Ramure*Pc/MaxiM</f>
        <v>8.1215438327145748E-4</v>
      </c>
      <c r="Q316" s="305">
        <f t="shared" si="101"/>
        <v>0.7</v>
      </c>
      <c r="R316" s="177">
        <f t="shared" si="102"/>
        <v>0.49868321216217004</v>
      </c>
      <c r="S316" s="921">
        <f t="shared" si="103"/>
        <v>-1</v>
      </c>
      <c r="T316" s="176">
        <f t="shared" si="104"/>
        <v>5</v>
      </c>
      <c r="U316" s="251">
        <f t="shared" si="105"/>
        <v>-0.50131678783782996</v>
      </c>
      <c r="V316" s="383">
        <f t="shared" si="106"/>
        <v>34.439873033304814</v>
      </c>
      <c r="W316" s="402"/>
      <c r="X316" s="157">
        <f t="shared" si="107"/>
        <v>44132</v>
      </c>
      <c r="Y316" s="385">
        <f t="shared" si="108"/>
        <v>11.914</v>
      </c>
      <c r="Z316" s="385">
        <f t="shared" si="109"/>
        <v>12.148257866159272</v>
      </c>
      <c r="AA316" s="386">
        <f t="shared" si="110"/>
        <v>13.21025353079939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8.0391770087084313E-2</v>
      </c>
      <c r="AD316" s="231">
        <f>(INDEX(Models!$BJ316:$BT316,,AH316)*(1-AF316)+INDEX(Models!$BJ316:$BT316,,AH316+1)*AF316-ERP_i)*AE316*Ramure*Pc/MaxiM</f>
        <v>8.1215438327145748E-4</v>
      </c>
      <c r="AE316" s="305">
        <f t="shared" si="112"/>
        <v>0.7</v>
      </c>
      <c r="AF316" s="177">
        <f t="shared" si="113"/>
        <v>0.49868321216217004</v>
      </c>
      <c r="AG316" s="921">
        <f t="shared" si="119"/>
        <v>-1</v>
      </c>
      <c r="AH316" s="176">
        <f t="shared" si="114"/>
        <v>5</v>
      </c>
      <c r="AI316" s="225">
        <f t="shared" si="115"/>
        <v>-0.50131678783782996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20">
        <v>28.870999999999999</v>
      </c>
      <c r="C317" s="390"/>
      <c r="D317" s="393">
        <f t="shared" si="98"/>
        <v>29.439318025919132</v>
      </c>
      <c r="E317" s="385">
        <f t="shared" si="120"/>
        <v>32.012281973613092</v>
      </c>
      <c r="F317" s="385">
        <f t="shared" si="99"/>
        <v>32.032425693569863</v>
      </c>
      <c r="G317" s="110">
        <f t="shared" si="121"/>
        <v>0.84510125091950028</v>
      </c>
      <c r="H317" s="414" t="b">
        <f>Wh_hp&gt;='2019'!Maxi_hp</f>
        <v>0</v>
      </c>
      <c r="I317" s="380">
        <f>IF(H317,Wh_hp,'2019'!Maxi_hp)</f>
        <v>35.207799824990232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1.9304727963425306E-2</v>
      </c>
      <c r="M317" s="959"/>
      <c r="N317" s="959"/>
      <c r="O317" s="48">
        <f>IF(t&lt;Tnet,'2019'!Resal+('2019'!Salim-'2019'!Resal)*(1-EXP(('2019'!Tnet-t)/('2019'!Tau_j))),Resal+(Salim-Resal)*(1-EXP((Tnet-t)/(Tau_j))))*Salcycl</f>
        <v>8.037427478037304E-2</v>
      </c>
      <c r="P317" s="169">
        <f>(INDEX(Models!$BJ317:$BT317,,T317)*(1-R317)+INDEX(Models!$BJ317:$BT317,,T317+1)*R317-ERP_i)*Q317*Ramure*Pc/MaxiM</f>
        <v>8.0732882627870199E-4</v>
      </c>
      <c r="Q317" s="305">
        <f t="shared" si="101"/>
        <v>0.7</v>
      </c>
      <c r="R317" s="177">
        <f t="shared" si="102"/>
        <v>0.49874423714221261</v>
      </c>
      <c r="S317" s="921">
        <f t="shared" si="103"/>
        <v>-1</v>
      </c>
      <c r="T317" s="176">
        <f t="shared" si="104"/>
        <v>5</v>
      </c>
      <c r="U317" s="251">
        <f t="shared" si="105"/>
        <v>-0.50125576285778739</v>
      </c>
      <c r="V317" s="383">
        <f t="shared" si="106"/>
        <v>34.156669369921502</v>
      </c>
      <c r="W317" s="402"/>
      <c r="X317" s="157">
        <f t="shared" si="107"/>
        <v>44133</v>
      </c>
      <c r="Y317" s="385">
        <f t="shared" si="108"/>
        <v>28.870999999999995</v>
      </c>
      <c r="Z317" s="385">
        <f t="shared" si="109"/>
        <v>29.439318025919128</v>
      </c>
      <c r="AA317" s="386">
        <f t="shared" si="110"/>
        <v>32.012281973613092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8.037427478037304E-2</v>
      </c>
      <c r="AD317" s="231">
        <f>(INDEX(Models!$BJ317:$BT317,,AH317)*(1-AF317)+INDEX(Models!$BJ317:$BT317,,AH317+1)*AF317-ERP_i)*AE317*Ramure*Pc/MaxiM</f>
        <v>8.0732882627870199E-4</v>
      </c>
      <c r="AE317" s="305">
        <f t="shared" si="112"/>
        <v>0.7</v>
      </c>
      <c r="AF317" s="177">
        <f t="shared" si="113"/>
        <v>0.49874423714221261</v>
      </c>
      <c r="AG317" s="921">
        <f t="shared" si="119"/>
        <v>-1</v>
      </c>
      <c r="AH317" s="176">
        <f t="shared" si="114"/>
        <v>5</v>
      </c>
      <c r="AI317" s="225">
        <f t="shared" si="115"/>
        <v>-0.50125576285778739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20">
        <v>32.325000000000003</v>
      </c>
      <c r="C318" s="390"/>
      <c r="D318" s="393">
        <f t="shared" si="98"/>
        <v>32.962031058677027</v>
      </c>
      <c r="E318" s="385">
        <f t="shared" si="120"/>
        <v>35.842183218840034</v>
      </c>
      <c r="F318" s="385">
        <f t="shared" si="99"/>
        <v>35.869115091380415</v>
      </c>
      <c r="G318" s="110">
        <f t="shared" si="121"/>
        <v>0.95445408841561696</v>
      </c>
      <c r="H318" s="414" t="b">
        <f>Wh_hp&gt;='2019'!Maxi_hp</f>
        <v>1</v>
      </c>
      <c r="I318" s="380">
        <f>IF(H318,Wh_hp,'2019'!Maxi_hp)</f>
        <v>35.869115091380415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1.9326207706770959E-2</v>
      </c>
      <c r="M318" s="959"/>
      <c r="N318" s="959"/>
      <c r="O318" s="48">
        <f>IF(t&lt;Tnet,'2019'!Resal+('2019'!Salim-'2019'!Resal)*(1-EXP(('2019'!Tnet-t)/('2019'!Tau_j))),Resal+(Salim-Resal)*(1-EXP((Tnet-t)/(Tau_j))))*Salcycl</f>
        <v>8.0356493425017911E-2</v>
      </c>
      <c r="P318" s="169">
        <f>(INDEX(Models!$BJ318:$BT318,,T318)*(1-R318)+INDEX(Models!$BJ318:$BT318,,T318+1)*R318-ERP_i)*Q318*Ramure*Pc/MaxiM</f>
        <v>8.0302979657367098E-4</v>
      </c>
      <c r="Q318" s="305">
        <f t="shared" si="101"/>
        <v>0.7</v>
      </c>
      <c r="R318" s="177">
        <f t="shared" si="102"/>
        <v>0.49880281910807356</v>
      </c>
      <c r="S318" s="921">
        <f t="shared" si="103"/>
        <v>-1</v>
      </c>
      <c r="T318" s="176">
        <f t="shared" si="104"/>
        <v>5</v>
      </c>
      <c r="U318" s="251">
        <f t="shared" si="105"/>
        <v>-0.50119718089192644</v>
      </c>
      <c r="V318" s="383">
        <f t="shared" si="106"/>
        <v>33.865758452786743</v>
      </c>
      <c r="W318" s="402"/>
      <c r="X318" s="157">
        <f t="shared" si="107"/>
        <v>44134</v>
      </c>
      <c r="Y318" s="385">
        <f t="shared" si="108"/>
        <v>32.325000000000003</v>
      </c>
      <c r="Z318" s="385">
        <f t="shared" si="109"/>
        <v>32.962031058677027</v>
      </c>
      <c r="AA318" s="386">
        <f t="shared" si="110"/>
        <v>35.842183218840034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8.0356493425017911E-2</v>
      </c>
      <c r="AD318" s="231">
        <f>(INDEX(Models!$BJ318:$BT318,,AH318)*(1-AF318)+INDEX(Models!$BJ318:$BT318,,AH318+1)*AF318-ERP_i)*AE318*Ramure*Pc/MaxiM</f>
        <v>8.0302979657367098E-4</v>
      </c>
      <c r="AE318" s="305">
        <f t="shared" si="112"/>
        <v>0.7</v>
      </c>
      <c r="AF318" s="177">
        <f t="shared" si="113"/>
        <v>0.49880281910807356</v>
      </c>
      <c r="AG318" s="921">
        <f t="shared" si="119"/>
        <v>-1</v>
      </c>
      <c r="AH318" s="176">
        <f t="shared" si="114"/>
        <v>5</v>
      </c>
      <c r="AI318" s="225">
        <f t="shared" si="115"/>
        <v>-0.50119718089192644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20">
        <v>28.981999999999999</v>
      </c>
      <c r="C319" s="390"/>
      <c r="D319" s="393">
        <f t="shared" si="98"/>
        <v>29.553797625518609</v>
      </c>
      <c r="E319" s="385">
        <f t="shared" si="120"/>
        <v>32.135517058088155</v>
      </c>
      <c r="F319" s="385">
        <f t="shared" si="99"/>
        <v>32.156200585342432</v>
      </c>
      <c r="G319" s="110">
        <f t="shared" si="121"/>
        <v>0.86323422778634384</v>
      </c>
      <c r="H319" s="414" t="b">
        <f>Wh_hp&gt;='2019'!Maxi_hp</f>
        <v>1</v>
      </c>
      <c r="I319" s="380">
        <f>IF(H319,Wh_hp,'2019'!Maxi_hp)</f>
        <v>32.156200585342432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1.9347686979655165E-2</v>
      </c>
      <c r="M319" s="959"/>
      <c r="N319" s="959"/>
      <c r="O319" s="48">
        <f>IF(t&lt;Tnet,'2019'!Resal+('2019'!Salim-'2019'!Resal)*(1-EXP(('2019'!Tnet-t)/('2019'!Tau_j))),Resal+(Salim-Resal)*(1-EXP((Tnet-t)/(Tau_j))))*Salcycl</f>
        <v>8.0338506080447805E-2</v>
      </c>
      <c r="P319" s="169">
        <f>(INDEX(Models!$BJ319:$BT319,,T319)*(1-R319)+INDEX(Models!$BJ319:$BT319,,T319+1)*R319-ERP_i)*Q319*Ramure*Pc/MaxiM</f>
        <v>7.9921747287991542E-4</v>
      </c>
      <c r="Q319" s="305">
        <f t="shared" si="101"/>
        <v>0.7</v>
      </c>
      <c r="R319" s="177">
        <f t="shared" si="102"/>
        <v>0.49885905532021524</v>
      </c>
      <c r="S319" s="921">
        <f t="shared" si="103"/>
        <v>-1</v>
      </c>
      <c r="T319" s="176">
        <f t="shared" si="104"/>
        <v>5</v>
      </c>
      <c r="U319" s="251">
        <f t="shared" si="105"/>
        <v>-0.50114094467978476</v>
      </c>
      <c r="V319" s="383">
        <f t="shared" si="106"/>
        <v>33.568497463260051</v>
      </c>
      <c r="W319" s="402"/>
      <c r="X319" s="157">
        <f t="shared" si="107"/>
        <v>44135</v>
      </c>
      <c r="Y319" s="385">
        <f t="shared" si="108"/>
        <v>28.981999999999996</v>
      </c>
      <c r="Z319" s="385">
        <f t="shared" si="109"/>
        <v>29.553797625518605</v>
      </c>
      <c r="AA319" s="386">
        <f t="shared" si="110"/>
        <v>32.135517058088155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8.0338506080447805E-2</v>
      </c>
      <c r="AD319" s="231">
        <f>(INDEX(Models!$BJ319:$BT319,,AH319)*(1-AF319)+INDEX(Models!$BJ319:$BT319,,AH319+1)*AF319-ERP_i)*AE319*Ramure*Pc/MaxiM</f>
        <v>7.9921747287991542E-4</v>
      </c>
      <c r="AE319" s="305">
        <f t="shared" si="112"/>
        <v>0.7</v>
      </c>
      <c r="AF319" s="177">
        <f t="shared" si="113"/>
        <v>0.49885905532021524</v>
      </c>
      <c r="AG319" s="921">
        <f t="shared" si="119"/>
        <v>-1</v>
      </c>
      <c r="AH319" s="176">
        <f t="shared" si="114"/>
        <v>5</v>
      </c>
      <c r="AI319" s="225">
        <f t="shared" si="115"/>
        <v>-0.50114094467978476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20">
        <v>28.224</v>
      </c>
      <c r="C320" s="390"/>
      <c r="D320" s="393">
        <f t="shared" si="98"/>
        <v>28.781473124399202</v>
      </c>
      <c r="E320" s="385">
        <f t="shared" si="120"/>
        <v>31.295108585912573</v>
      </c>
      <c r="F320" s="385">
        <f t="shared" si="99"/>
        <v>31.314634502139715</v>
      </c>
      <c r="G320" s="110">
        <f t="shared" si="121"/>
        <v>0.84828133759356306</v>
      </c>
      <c r="H320" s="414" t="b">
        <f>Wh_hp&gt;='2019'!Maxi_hp</f>
        <v>1</v>
      </c>
      <c r="I320" s="380">
        <f>IF(H320,Wh_hp,'2019'!Maxi_hp)</f>
        <v>31.314634502139715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1.9369165782088138E-2</v>
      </c>
      <c r="M320" s="959"/>
      <c r="N320" s="959"/>
      <c r="O320" s="48">
        <f>IF(t&lt;Tnet,'2019'!Resal+('2019'!Salim-'2019'!Resal)*(1-EXP(('2019'!Tnet-t)/('2019'!Tau_j))),Resal+(Salim-Resal)*(1-EXP((Tnet-t)/(Tau_j))))*Salcycl</f>
        <v>8.0320394307399082E-2</v>
      </c>
      <c r="P320" s="169">
        <f>(INDEX(Models!$BJ320:$BT320,,T320)*(1-R320)+INDEX(Models!$BJ320:$BT320,,T320+1)*R320-ERP_i)*Q320*Ramure*Pc/MaxiM</f>
        <v>7.9587118374682762E-4</v>
      </c>
      <c r="Q320" s="305">
        <f t="shared" si="101"/>
        <v>0.7</v>
      </c>
      <c r="R320" s="177">
        <f t="shared" si="102"/>
        <v>0.49891303920956931</v>
      </c>
      <c r="S320" s="921">
        <f t="shared" si="103"/>
        <v>-1</v>
      </c>
      <c r="T320" s="176">
        <f t="shared" si="104"/>
        <v>5</v>
      </c>
      <c r="U320" s="251">
        <f t="shared" si="105"/>
        <v>-0.50108696079043069</v>
      </c>
      <c r="V320" s="383">
        <f t="shared" si="106"/>
        <v>33.266242966181366</v>
      </c>
      <c r="W320" s="402"/>
      <c r="X320" s="157">
        <f t="shared" si="107"/>
        <v>44136</v>
      </c>
      <c r="Y320" s="385">
        <f t="shared" si="108"/>
        <v>28.224</v>
      </c>
      <c r="Z320" s="385">
        <f t="shared" si="109"/>
        <v>28.781473124399202</v>
      </c>
      <c r="AA320" s="386">
        <f t="shared" si="110"/>
        <v>31.295108585912573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8.0320394307399082E-2</v>
      </c>
      <c r="AD320" s="231">
        <f>(INDEX(Models!$BJ320:$BT320,,AH320)*(1-AF320)+INDEX(Models!$BJ320:$BT320,,AH320+1)*AF320-ERP_i)*AE320*Ramure*Pc/MaxiM</f>
        <v>7.9587118374682762E-4</v>
      </c>
      <c r="AE320" s="305">
        <f t="shared" si="112"/>
        <v>0.7</v>
      </c>
      <c r="AF320" s="177">
        <f t="shared" si="113"/>
        <v>0.49891303920956931</v>
      </c>
      <c r="AG320" s="921">
        <f t="shared" si="119"/>
        <v>-1</v>
      </c>
      <c r="AH320" s="176">
        <f t="shared" si="114"/>
        <v>5</v>
      </c>
      <c r="AI320" s="225">
        <f t="shared" si="115"/>
        <v>-0.50108696079043069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20">
        <v>27.805</v>
      </c>
      <c r="C321" s="390"/>
      <c r="D321" s="393">
        <f t="shared" si="98"/>
        <v>28.354818188410924</v>
      </c>
      <c r="E321" s="385">
        <f t="shared" si="120"/>
        <v>30.830583096754701</v>
      </c>
      <c r="F321" s="385">
        <f t="shared" si="99"/>
        <v>30.849579837745754</v>
      </c>
      <c r="G321" s="110">
        <f t="shared" si="121"/>
        <v>0.84343973966313868</v>
      </c>
      <c r="H321" s="414" t="b">
        <f>Wh_hp&gt;='2019'!Maxi_hp</f>
        <v>0</v>
      </c>
      <c r="I321" s="380">
        <f>IF(H321,Wh_hp,'2019'!Maxi_hp)</f>
        <v>31.18806335046073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1.9390644114080202E-2</v>
      </c>
      <c r="M321" s="959"/>
      <c r="N321" s="959"/>
      <c r="O321" s="48">
        <f>IF(t&lt;Tnet,'2019'!Resal+('2019'!Salim-'2019'!Resal)*(1-EXP(('2019'!Tnet-t)/('2019'!Tau_j))),Resal+(Salim-Resal)*(1-EXP((Tnet-t)/(Tau_j))))*Salcycl</f>
        <v>8.0302240816339993E-2</v>
      </c>
      <c r="P321" s="169">
        <f>(INDEX(Models!$BJ321:$BT321,,T321)*(1-R321)+INDEX(Models!$BJ321:$BT321,,T321+1)*R321-ERP_i)*Q321*Ramure*Pc/MaxiM</f>
        <v>7.9297041851962102E-4</v>
      </c>
      <c r="Q321" s="305">
        <f t="shared" si="101"/>
        <v>0.7</v>
      </c>
      <c r="R321" s="177">
        <f t="shared" si="102"/>
        <v>0.49896486052496258</v>
      </c>
      <c r="S321" s="921">
        <f t="shared" si="103"/>
        <v>-1</v>
      </c>
      <c r="T321" s="176">
        <f t="shared" si="104"/>
        <v>5</v>
      </c>
      <c r="U321" s="251">
        <f t="shared" si="105"/>
        <v>-0.50103513947503742</v>
      </c>
      <c r="V321" s="383">
        <f t="shared" si="106"/>
        <v>32.96035157674622</v>
      </c>
      <c r="W321" s="402"/>
      <c r="X321" s="157">
        <f t="shared" si="107"/>
        <v>44137</v>
      </c>
      <c r="Y321" s="385">
        <f t="shared" si="108"/>
        <v>27.805</v>
      </c>
      <c r="Z321" s="385">
        <f t="shared" si="109"/>
        <v>28.354818188410924</v>
      </c>
      <c r="AA321" s="386">
        <f t="shared" si="110"/>
        <v>30.830583096754701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8.0302240816339993E-2</v>
      </c>
      <c r="AD321" s="231">
        <f>(INDEX(Models!$BJ321:$BT321,,AH321)*(1-AF321)+INDEX(Models!$BJ321:$BT321,,AH321+1)*AF321-ERP_i)*AE321*Ramure*Pc/MaxiM</f>
        <v>7.9297041851962102E-4</v>
      </c>
      <c r="AE321" s="305">
        <f t="shared" si="112"/>
        <v>0.7</v>
      </c>
      <c r="AF321" s="177">
        <f t="shared" si="113"/>
        <v>0.49896486052496258</v>
      </c>
      <c r="AG321" s="921">
        <f t="shared" si="119"/>
        <v>-1</v>
      </c>
      <c r="AH321" s="176">
        <f t="shared" si="114"/>
        <v>5</v>
      </c>
      <c r="AI321" s="225">
        <f t="shared" si="115"/>
        <v>-0.50103513947503742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20">
        <v>4.8410000000000002</v>
      </c>
      <c r="C322" s="390"/>
      <c r="D322" s="393">
        <f t="shared" si="98"/>
        <v>4.9368344321708486</v>
      </c>
      <c r="E322" s="385">
        <f t="shared" si="120"/>
        <v>5.3677821470700993</v>
      </c>
      <c r="F322" s="385">
        <f t="shared" si="99"/>
        <v>5.3677821470700993</v>
      </c>
      <c r="G322" s="110">
        <f t="shared" si="121"/>
        <v>0.14814242779530706</v>
      </c>
      <c r="H322" s="414" t="b">
        <f>Wh_hp&gt;='2019'!Maxi_hp</f>
        <v>0</v>
      </c>
      <c r="I322" s="380">
        <f>IF(H322,Wh_hp,'2019'!Maxi_hp)</f>
        <v>29.822160701304174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1.9412121975641683E-2</v>
      </c>
      <c r="M322" s="959"/>
      <c r="N322" s="959"/>
      <c r="O322" s="48">
        <f>IF(t&lt;Tnet,'2019'!Resal+('2019'!Salim-'2019'!Resal)*(1-EXP(('2019'!Tnet-t)/('2019'!Tau_j))),Resal+(Salim-Resal)*(1-EXP((Tnet-t)/(Tau_j))))*Salcycl</f>
        <v>8.0284129104322019E-2</v>
      </c>
      <c r="P322" s="169">
        <f>(INDEX(Models!$BJ322:$BT322,,T322)*(1-R322)+INDEX(Models!$BJ322:$BT322,,T322+1)*R322-ERP_i)*Q322*Ramure*Pc/MaxiM</f>
        <v>7.9049461136251572E-4</v>
      </c>
      <c r="Q322" s="305">
        <f t="shared" si="101"/>
        <v>0.7</v>
      </c>
      <c r="R322" s="177">
        <f t="shared" si="102"/>
        <v>0.49901460547513499</v>
      </c>
      <c r="S322" s="921">
        <f t="shared" si="103"/>
        <v>-1</v>
      </c>
      <c r="T322" s="176">
        <f t="shared" si="104"/>
        <v>5</v>
      </c>
      <c r="U322" s="251">
        <f t="shared" si="105"/>
        <v>-0.50098539452486501</v>
      </c>
      <c r="V322" s="383">
        <f t="shared" si="106"/>
        <v>32.652179983644288</v>
      </c>
      <c r="W322" s="402"/>
      <c r="X322" s="157">
        <f t="shared" si="107"/>
        <v>44138</v>
      </c>
      <c r="Y322" s="385">
        <f t="shared" si="108"/>
        <v>4.8410000000000002</v>
      </c>
      <c r="Z322" s="385">
        <f t="shared" si="109"/>
        <v>4.9368344321708486</v>
      </c>
      <c r="AA322" s="386">
        <f t="shared" si="110"/>
        <v>5.3677821470700993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8.0284129104322019E-2</v>
      </c>
      <c r="AD322" s="231">
        <f>(INDEX(Models!$BJ322:$BT322,,AH322)*(1-AF322)+INDEX(Models!$BJ322:$BT322,,AH322+1)*AF322-ERP_i)*AE322*Ramure*Pc/MaxiM</f>
        <v>7.9049461136251572E-4</v>
      </c>
      <c r="AE322" s="305">
        <f t="shared" si="112"/>
        <v>0.7</v>
      </c>
      <c r="AF322" s="177">
        <f t="shared" si="113"/>
        <v>0.49901460547513499</v>
      </c>
      <c r="AG322" s="921">
        <f t="shared" si="119"/>
        <v>-1</v>
      </c>
      <c r="AH322" s="176">
        <f t="shared" si="114"/>
        <v>5</v>
      </c>
      <c r="AI322" s="225">
        <f t="shared" si="115"/>
        <v>-0.50098539452486501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20">
        <v>13.96</v>
      </c>
      <c r="C323" s="390"/>
      <c r="D323" s="393">
        <f t="shared" si="98"/>
        <v>14.236669735965965</v>
      </c>
      <c r="E323" s="385">
        <f t="shared" si="120"/>
        <v>15.47911890911918</v>
      </c>
      <c r="F323" s="385">
        <f t="shared" si="99"/>
        <v>15.481414009273431</v>
      </c>
      <c r="G323" s="110">
        <f t="shared" si="121"/>
        <v>0.43134604688335798</v>
      </c>
      <c r="H323" s="414" t="b">
        <f>Wh_hp&gt;='2019'!Maxi_hp</f>
        <v>1</v>
      </c>
      <c r="I323" s="380">
        <f>IF(H323,Wh_hp,'2019'!Maxi_hp)</f>
        <v>15.481414009273431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1.9433599366782794E-2</v>
      </c>
      <c r="M323" s="959"/>
      <c r="N323" s="959"/>
      <c r="O323" s="48">
        <f>IF(t&lt;Tnet,'2019'!Resal+('2019'!Salim-'2019'!Resal)*(1-EXP(('2019'!Tnet-t)/('2019'!Tau_j))),Resal+(Salim-Resal)*(1-EXP((Tnet-t)/(Tau_j))))*Salcycl</f>
        <v>8.0266143082682456E-2</v>
      </c>
      <c r="P323" s="169">
        <f>(INDEX(Models!$BJ323:$BT323,,T323)*(1-R323)+INDEX(Models!$BJ323:$BT323,,T323+1)*R323-ERP_i)*Q323*Ramure*Pc/MaxiM</f>
        <v>7.8842293145065564E-4</v>
      </c>
      <c r="Q323" s="305">
        <f t="shared" si="101"/>
        <v>0.7</v>
      </c>
      <c r="R323" s="177">
        <f t="shared" si="102"/>
        <v>0.49906235686552436</v>
      </c>
      <c r="S323" s="921">
        <f t="shared" si="103"/>
        <v>-1</v>
      </c>
      <c r="T323" s="176">
        <f t="shared" si="104"/>
        <v>5</v>
      </c>
      <c r="U323" s="251">
        <f t="shared" si="105"/>
        <v>-0.50093764313447564</v>
      </c>
      <c r="V323" s="383">
        <f t="shared" si="106"/>
        <v>32.343084964031299</v>
      </c>
      <c r="W323" s="402"/>
      <c r="X323" s="157">
        <f t="shared" si="107"/>
        <v>44139</v>
      </c>
      <c r="Y323" s="385">
        <f t="shared" si="108"/>
        <v>13.96</v>
      </c>
      <c r="Z323" s="385">
        <f t="shared" si="109"/>
        <v>14.236669735965965</v>
      </c>
      <c r="AA323" s="386">
        <f t="shared" si="110"/>
        <v>15.47911890911918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8.0266143082682456E-2</v>
      </c>
      <c r="AD323" s="231">
        <f>(INDEX(Models!$BJ323:$BT323,,AH323)*(1-AF323)+INDEX(Models!$BJ323:$BT323,,AH323+1)*AF323-ERP_i)*AE323*Ramure*Pc/MaxiM</f>
        <v>7.8842293145065564E-4</v>
      </c>
      <c r="AE323" s="305">
        <f t="shared" si="112"/>
        <v>0.7</v>
      </c>
      <c r="AF323" s="177">
        <f t="shared" si="113"/>
        <v>0.49906235686552436</v>
      </c>
      <c r="AG323" s="921">
        <f t="shared" si="119"/>
        <v>-1</v>
      </c>
      <c r="AH323" s="176">
        <f t="shared" si="114"/>
        <v>5</v>
      </c>
      <c r="AI323" s="225">
        <f t="shared" si="115"/>
        <v>-0.50093764313447564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20">
        <v>21.617999999999999</v>
      </c>
      <c r="C324" s="390"/>
      <c r="D324" s="393">
        <f t="shared" si="98"/>
        <v>22.046924599998032</v>
      </c>
      <c r="E324" s="385">
        <f t="shared" si="120"/>
        <v>23.970519650886949</v>
      </c>
      <c r="F324" s="385">
        <f t="shared" si="99"/>
        <v>23.980630754996582</v>
      </c>
      <c r="G324" s="110">
        <f t="shared" si="121"/>
        <v>0.67459007196620002</v>
      </c>
      <c r="H324" s="414" t="b">
        <f>Wh_hp&gt;='2019'!Maxi_hp</f>
        <v>1</v>
      </c>
      <c r="I324" s="380">
        <f>IF(H324,Wh_hp,'2019'!Maxi_hp)</f>
        <v>23.980630754996582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1.9455076287514084E-2</v>
      </c>
      <c r="M324" s="959"/>
      <c r="N324" s="959"/>
      <c r="O324" s="48">
        <f>IF(t&lt;Tnet,'2019'!Resal+('2019'!Salim-'2019'!Resal)*(1-EXP(('2019'!Tnet-t)/('2019'!Tau_j))),Resal+(Salim-Resal)*(1-EXP((Tnet-t)/(Tau_j))))*Salcycl</f>
        <v>8.0248366698122089E-2</v>
      </c>
      <c r="P324" s="169">
        <f>(INDEX(Models!$BJ324:$BT324,,T324)*(1-R324)+INDEX(Models!$BJ324:$BT324,,T324+1)*R324-ERP_i)*Q324*Ramure*Pc/MaxiM</f>
        <v>7.8739664744849195E-4</v>
      </c>
      <c r="Q324" s="305">
        <f t="shared" si="101"/>
        <v>0.7</v>
      </c>
      <c r="R324" s="177">
        <f t="shared" si="102"/>
        <v>0.49910819422999353</v>
      </c>
      <c r="S324" s="921">
        <f t="shared" si="103"/>
        <v>-1</v>
      </c>
      <c r="T324" s="176">
        <f t="shared" si="104"/>
        <v>5</v>
      </c>
      <c r="U324" s="251">
        <f t="shared" si="105"/>
        <v>-0.50089180577000647</v>
      </c>
      <c r="V324" s="383">
        <f t="shared" si="106"/>
        <v>32.03440215811743</v>
      </c>
      <c r="W324" s="402"/>
      <c r="X324" s="157">
        <f t="shared" si="107"/>
        <v>44140</v>
      </c>
      <c r="Y324" s="385">
        <f t="shared" si="108"/>
        <v>21.617999999999999</v>
      </c>
      <c r="Z324" s="385">
        <f t="shared" si="109"/>
        <v>22.046924599998032</v>
      </c>
      <c r="AA324" s="386">
        <f t="shared" si="110"/>
        <v>23.970519650886949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8.0248366698122089E-2</v>
      </c>
      <c r="AD324" s="231">
        <f>(INDEX(Models!$BJ324:$BT324,,AH324)*(1-AF324)+INDEX(Models!$BJ324:$BT324,,AH324+1)*AF324-ERP_i)*AE324*Ramure*Pc/MaxiM</f>
        <v>7.8739664744849195E-4</v>
      </c>
      <c r="AE324" s="305">
        <f t="shared" si="112"/>
        <v>0.7</v>
      </c>
      <c r="AF324" s="177">
        <f t="shared" si="113"/>
        <v>0.49910819422999353</v>
      </c>
      <c r="AG324" s="921">
        <f t="shared" si="119"/>
        <v>-1</v>
      </c>
      <c r="AH324" s="176">
        <f t="shared" si="114"/>
        <v>5</v>
      </c>
      <c r="AI324" s="225">
        <f t="shared" si="115"/>
        <v>-0.50089180577000647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20">
        <v>15.45</v>
      </c>
      <c r="C325" s="390"/>
      <c r="D325" s="393">
        <f t="shared" si="98"/>
        <v>15.756889897064603</v>
      </c>
      <c r="E325" s="385">
        <f t="shared" si="120"/>
        <v>17.131353526933719</v>
      </c>
      <c r="F325" s="385">
        <f t="shared" si="99"/>
        <v>17.134956539555297</v>
      </c>
      <c r="G325" s="110">
        <f t="shared" si="121"/>
        <v>0.48667833496012985</v>
      </c>
      <c r="H325" s="414" t="b">
        <f>Wh_hp&gt;='2019'!Maxi_hp</f>
        <v>1</v>
      </c>
      <c r="I325" s="380">
        <f>IF(H325,Wh_hp,'2019'!Maxi_hp)</f>
        <v>17.134956539555297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1.9476552737845543E-2</v>
      </c>
      <c r="M325" s="959"/>
      <c r="N325" s="959"/>
      <c r="O325" s="48">
        <f>IF(t&lt;Tnet,'2019'!Resal+('2019'!Salim-'2019'!Resal)*(1-EXP(('2019'!Tnet-t)/('2019'!Tau_j))),Resal+(Salim-Resal)*(1-EXP((Tnet-t)/(Tau_j))))*Salcycl</f>
        <v>8.023088354975566E-2</v>
      </c>
      <c r="P325" s="169">
        <f>(INDEX(Models!$BJ325:$BT325,,T325)*(1-R325)+INDEX(Models!$BJ325:$BT325,,T325+1)*R325-ERP_i)*Q325*Ramure*Pc/MaxiM</f>
        <v>7.8728787690109906E-4</v>
      </c>
      <c r="Q325" s="305">
        <f t="shared" si="101"/>
        <v>0.7</v>
      </c>
      <c r="R325" s="177">
        <f t="shared" si="102"/>
        <v>0.49915219395766464</v>
      </c>
      <c r="S325" s="921">
        <f t="shared" si="103"/>
        <v>-1</v>
      </c>
      <c r="T325" s="176">
        <f t="shared" si="104"/>
        <v>5</v>
      </c>
      <c r="U325" s="251">
        <f t="shared" si="105"/>
        <v>-0.50084780604233536</v>
      </c>
      <c r="V325" s="383">
        <f t="shared" si="106"/>
        <v>31.727492535640742</v>
      </c>
      <c r="W325" s="402"/>
      <c r="X325" s="157">
        <f t="shared" si="107"/>
        <v>44141</v>
      </c>
      <c r="Y325" s="385">
        <f t="shared" si="108"/>
        <v>15.450000000000001</v>
      </c>
      <c r="Z325" s="385">
        <f t="shared" si="109"/>
        <v>15.756889897064605</v>
      </c>
      <c r="AA325" s="386">
        <f t="shared" si="110"/>
        <v>17.131353526933719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8.023088354975566E-2</v>
      </c>
      <c r="AD325" s="231">
        <f>(INDEX(Models!$BJ325:$BT325,,AH325)*(1-AF325)+INDEX(Models!$BJ325:$BT325,,AH325+1)*AF325-ERP_i)*AE325*Ramure*Pc/MaxiM</f>
        <v>7.8728787690109906E-4</v>
      </c>
      <c r="AE325" s="305">
        <f t="shared" si="112"/>
        <v>0.7</v>
      </c>
      <c r="AF325" s="177">
        <f t="shared" si="113"/>
        <v>0.49915219395766464</v>
      </c>
      <c r="AG325" s="921">
        <f t="shared" si="119"/>
        <v>-1</v>
      </c>
      <c r="AH325" s="176">
        <f t="shared" si="114"/>
        <v>5</v>
      </c>
      <c r="AI325" s="225">
        <f t="shared" si="115"/>
        <v>-0.50084780604233536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20">
        <v>3.9079999999999999</v>
      </c>
      <c r="C326" s="390"/>
      <c r="D326" s="393">
        <f t="shared" si="98"/>
        <v>3.9857135574031219</v>
      </c>
      <c r="E326" s="385">
        <f t="shared" si="120"/>
        <v>4.3333042565666098</v>
      </c>
      <c r="F326" s="385">
        <f t="shared" si="99"/>
        <v>4.3333042565666098</v>
      </c>
      <c r="G326" s="110">
        <f t="shared" si="121"/>
        <v>0.1242666682520802</v>
      </c>
      <c r="H326" s="414" t="b">
        <f>Wh_hp&gt;='2019'!Maxi_hp</f>
        <v>0</v>
      </c>
      <c r="I326" s="380">
        <f>IF(H326,Wh_hp,'2019'!Maxi_hp)</f>
        <v>17.916158880352736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1.9498028717787719E-2</v>
      </c>
      <c r="M326" s="959"/>
      <c r="N326" s="959"/>
      <c r="O326" s="48">
        <f>IF(t&lt;Tnet,'2019'!Resal+('2019'!Salim-'2019'!Resal)*(1-EXP(('2019'!Tnet-t)/('2019'!Tau_j))),Resal+(Salim-Resal)*(1-EXP((Tnet-t)/(Tau_j))))*Salcycl</f>
        <v>8.0213776504789724E-2</v>
      </c>
      <c r="P326" s="169">
        <f>(INDEX(Models!$BJ326:$BT326,,T326)*(1-R326)+INDEX(Models!$BJ326:$BT326,,T326+1)*R326-ERP_i)*Q326*Ramure*Pc/MaxiM</f>
        <v>7.880780668676824E-4</v>
      </c>
      <c r="Q326" s="305">
        <f t="shared" si="101"/>
        <v>0.7</v>
      </c>
      <c r="R326" s="177">
        <f t="shared" si="102"/>
        <v>0.49919442941503067</v>
      </c>
      <c r="S326" s="921">
        <f t="shared" si="103"/>
        <v>-1</v>
      </c>
      <c r="T326" s="176">
        <f t="shared" si="104"/>
        <v>5</v>
      </c>
      <c r="U326" s="251">
        <f t="shared" si="105"/>
        <v>-0.50080557058496933</v>
      </c>
      <c r="V326" s="383">
        <f t="shared" si="106"/>
        <v>31.423713581773878</v>
      </c>
      <c r="W326" s="402"/>
      <c r="X326" s="157">
        <f t="shared" si="107"/>
        <v>44142</v>
      </c>
      <c r="Y326" s="385">
        <f t="shared" si="108"/>
        <v>3.9079999999999999</v>
      </c>
      <c r="Z326" s="385">
        <f t="shared" si="109"/>
        <v>3.9857135574031219</v>
      </c>
      <c r="AA326" s="386">
        <f t="shared" si="110"/>
        <v>4.3333042565666098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8.0213776504789724E-2</v>
      </c>
      <c r="AD326" s="231">
        <f>(INDEX(Models!$BJ326:$BT326,,AH326)*(1-AF326)+INDEX(Models!$BJ326:$BT326,,AH326+1)*AF326-ERP_i)*AE326*Ramure*Pc/MaxiM</f>
        <v>7.880780668676824E-4</v>
      </c>
      <c r="AE326" s="305">
        <f t="shared" si="112"/>
        <v>0.7</v>
      </c>
      <c r="AF326" s="177">
        <f t="shared" si="113"/>
        <v>0.49919442941503067</v>
      </c>
      <c r="AG326" s="921">
        <f t="shared" si="119"/>
        <v>-1</v>
      </c>
      <c r="AH326" s="176">
        <f t="shared" si="114"/>
        <v>5</v>
      </c>
      <c r="AI326" s="225">
        <f t="shared" si="115"/>
        <v>-0.50080557058496933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20">
        <v>23.594000000000001</v>
      </c>
      <c r="C327" s="390"/>
      <c r="D327" s="393">
        <f t="shared" si="98"/>
        <v>24.063711722696933</v>
      </c>
      <c r="E327" s="385">
        <f t="shared" si="120"/>
        <v>26.161814055294141</v>
      </c>
      <c r="F327" s="385">
        <f t="shared" si="99"/>
        <v>26.175340990445164</v>
      </c>
      <c r="G327" s="110">
        <f t="shared" si="121"/>
        <v>0.75784718603951351</v>
      </c>
      <c r="H327" s="414" t="b">
        <f>Wh_hp&gt;='2019'!Maxi_hp</f>
        <v>1</v>
      </c>
      <c r="I327" s="380">
        <f>IF(H327,Wh_hp,'2019'!Maxi_hp)</f>
        <v>26.175340990445164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1.9519504227350715E-2</v>
      </c>
      <c r="M327" s="959"/>
      <c r="N327" s="959"/>
      <c r="O327" s="48">
        <f>IF(t&lt;Tnet,'2019'!Resal+('2019'!Salim-'2019'!Resal)*(1-EXP(('2019'!Tnet-t)/('2019'!Tau_j))),Resal+(Salim-Resal)*(1-EXP((Tnet-t)/(Tau_j))))*Salcycl</f>
        <v>8.0197127315513178E-2</v>
      </c>
      <c r="P327" s="169">
        <f>(INDEX(Models!$BJ327:$BT327,,T327)*(1-R327)+INDEX(Models!$BJ327:$BT327,,T327+1)*R327-ERP_i)*Q327*Ramure*Pc/MaxiM</f>
        <v>7.8974741906385039E-4</v>
      </c>
      <c r="Q327" s="305">
        <f t="shared" si="101"/>
        <v>0.7</v>
      </c>
      <c r="R327" s="177">
        <f t="shared" si="102"/>
        <v>0.49923497106350023</v>
      </c>
      <c r="S327" s="921">
        <f t="shared" si="103"/>
        <v>-1</v>
      </c>
      <c r="T327" s="176">
        <f t="shared" si="104"/>
        <v>5</v>
      </c>
      <c r="U327" s="251">
        <f t="shared" si="105"/>
        <v>-0.50076502893649977</v>
      </c>
      <c r="V327" s="383">
        <f t="shared" si="106"/>
        <v>31.124422904113075</v>
      </c>
      <c r="W327" s="402"/>
      <c r="X327" s="157">
        <f t="shared" si="107"/>
        <v>44143</v>
      </c>
      <c r="Y327" s="385">
        <f t="shared" si="108"/>
        <v>23.594000000000001</v>
      </c>
      <c r="Z327" s="385">
        <f t="shared" si="109"/>
        <v>24.063711722696933</v>
      </c>
      <c r="AA327" s="386">
        <f t="shared" si="110"/>
        <v>26.161814055294141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8.0197127315513178E-2</v>
      </c>
      <c r="AD327" s="231">
        <f>(INDEX(Models!$BJ327:$BT327,,AH327)*(1-AF327)+INDEX(Models!$BJ327:$BT327,,AH327+1)*AF327-ERP_i)*AE327*Ramure*Pc/MaxiM</f>
        <v>7.8974741906385039E-4</v>
      </c>
      <c r="AE327" s="305">
        <f t="shared" si="112"/>
        <v>0.7</v>
      </c>
      <c r="AF327" s="177">
        <f t="shared" si="113"/>
        <v>0.49923497106350023</v>
      </c>
      <c r="AG327" s="921">
        <f t="shared" si="119"/>
        <v>-1</v>
      </c>
      <c r="AH327" s="176">
        <f t="shared" si="114"/>
        <v>5</v>
      </c>
      <c r="AI327" s="225">
        <f t="shared" si="115"/>
        <v>-0.50076502893649977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20">
        <v>19.379000000000001</v>
      </c>
      <c r="C328" s="390"/>
      <c r="D328" s="393">
        <f t="shared" si="98"/>
        <v>19.765231988485446</v>
      </c>
      <c r="E328" s="385">
        <f t="shared" si="120"/>
        <v>21.488175757904305</v>
      </c>
      <c r="F328" s="385">
        <f t="shared" si="99"/>
        <v>21.496169465974287</v>
      </c>
      <c r="G328" s="110">
        <f t="shared" si="121"/>
        <v>0.62829177011599491</v>
      </c>
      <c r="H328" s="414" t="b">
        <f>Wh_hp&gt;='2019'!Maxi_hp</f>
        <v>0</v>
      </c>
      <c r="I328" s="380">
        <f>IF(H328,Wh_hp,'2019'!Maxi_hp)</f>
        <v>21.661173331050904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1.9540979266544967E-2</v>
      </c>
      <c r="M328" s="959"/>
      <c r="N328" s="959"/>
      <c r="O328" s="48">
        <f>IF(t&lt;Tnet,'2019'!Resal+('2019'!Salim-'2019'!Resal)*(1-EXP(('2019'!Tnet-t)/('2019'!Tau_j))),Resal+(Salim-Resal)*(1-EXP((Tnet-t)/(Tau_j))))*Salcycl</f>
        <v>8.018101624029593E-2</v>
      </c>
      <c r="P328" s="169">
        <f>(INDEX(Models!$BJ328:$BT328,,T328)*(1-R328)+INDEX(Models!$BJ328:$BT328,,T328+1)*R328-ERP_i)*Q328*Ramure*Pc/MaxiM</f>
        <v>7.9227451738007957E-4</v>
      </c>
      <c r="Q328" s="305">
        <f t="shared" si="101"/>
        <v>0.7</v>
      </c>
      <c r="R328" s="177">
        <f t="shared" si="102"/>
        <v>0.49927388657253535</v>
      </c>
      <c r="S328" s="921">
        <f t="shared" si="103"/>
        <v>-1</v>
      </c>
      <c r="T328" s="176">
        <f t="shared" si="104"/>
        <v>5</v>
      </c>
      <c r="U328" s="251">
        <f t="shared" si="105"/>
        <v>-0.50072611342746465</v>
      </c>
      <c r="V328" s="383">
        <f t="shared" si="106"/>
        <v>30.8309782271918</v>
      </c>
      <c r="W328" s="402"/>
      <c r="X328" s="157">
        <f t="shared" si="107"/>
        <v>44144</v>
      </c>
      <c r="Y328" s="385">
        <f t="shared" si="108"/>
        <v>19.379000000000001</v>
      </c>
      <c r="Z328" s="385">
        <f t="shared" si="109"/>
        <v>19.765231988485446</v>
      </c>
      <c r="AA328" s="386">
        <f t="shared" si="110"/>
        <v>21.488175757904305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8.018101624029593E-2</v>
      </c>
      <c r="AD328" s="231">
        <f>(INDEX(Models!$BJ328:$BT328,,AH328)*(1-AF328)+INDEX(Models!$BJ328:$BT328,,AH328+1)*AF328-ERP_i)*AE328*Ramure*Pc/MaxiM</f>
        <v>7.9227451738007957E-4</v>
      </c>
      <c r="AE328" s="305">
        <f t="shared" si="112"/>
        <v>0.7</v>
      </c>
      <c r="AF328" s="177">
        <f t="shared" si="113"/>
        <v>0.49927388657253535</v>
      </c>
      <c r="AG328" s="921">
        <f t="shared" si="119"/>
        <v>-1</v>
      </c>
      <c r="AH328" s="176">
        <f t="shared" si="114"/>
        <v>5</v>
      </c>
      <c r="AI328" s="225">
        <f t="shared" si="115"/>
        <v>-0.50072611342746465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20">
        <v>15.119</v>
      </c>
      <c r="C329" s="390"/>
      <c r="D329" s="393">
        <f t="shared" si="98"/>
        <v>15.420666068067391</v>
      </c>
      <c r="E329" s="385">
        <f t="shared" si="120"/>
        <v>16.764609754665543</v>
      </c>
      <c r="F329" s="385">
        <f t="shared" si="99"/>
        <v>16.768325908163341</v>
      </c>
      <c r="G329" s="110">
        <f t="shared" si="121"/>
        <v>0.49469469307056169</v>
      </c>
      <c r="H329" s="414" t="b">
        <f>Wh_hp&gt;='2019'!Maxi_hp</f>
        <v>0</v>
      </c>
      <c r="I329" s="380">
        <f>IF(H329,Wh_hp,'2019'!Maxi_hp)</f>
        <v>29.153917771397072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1.95624538353808E-2</v>
      </c>
      <c r="M329" s="959"/>
      <c r="N329" s="959"/>
      <c r="O329" s="48">
        <f>IF(t&lt;Tnet,'2019'!Resal+('2019'!Salim-'2019'!Resal)*(1-EXP(('2019'!Tnet-t)/('2019'!Tau_j))),Resal+(Salim-Resal)*(1-EXP((Tnet-t)/(Tau_j))))*Salcycl</f>
        <v>8.0165521671277579E-2</v>
      </c>
      <c r="P329" s="169">
        <f>(INDEX(Models!$BJ329:$BT329,,T329)*(1-R329)+INDEX(Models!$BJ329:$BT329,,T329+1)*R329-ERP_i)*Q329*Ramure*Pc/MaxiM</f>
        <v>7.9563595339633968E-4</v>
      </c>
      <c r="Q329" s="305">
        <f t="shared" si="101"/>
        <v>0.7</v>
      </c>
      <c r="R329" s="177">
        <f t="shared" si="102"/>
        <v>0.49931124092853252</v>
      </c>
      <c r="S329" s="921">
        <f t="shared" si="103"/>
        <v>-1</v>
      </c>
      <c r="T329" s="176">
        <f t="shared" si="104"/>
        <v>5</v>
      </c>
      <c r="U329" s="251">
        <f t="shared" si="105"/>
        <v>-0.50068875907146748</v>
      </c>
      <c r="V329" s="383">
        <f t="shared" si="106"/>
        <v>30.544737394669497</v>
      </c>
      <c r="W329" s="402"/>
      <c r="X329" s="157">
        <f t="shared" si="107"/>
        <v>44145</v>
      </c>
      <c r="Y329" s="385">
        <f t="shared" si="108"/>
        <v>15.119</v>
      </c>
      <c r="Z329" s="385">
        <f t="shared" si="109"/>
        <v>15.420666068067391</v>
      </c>
      <c r="AA329" s="386">
        <f t="shared" si="110"/>
        <v>16.764609754665543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8.0165521671277579E-2</v>
      </c>
      <c r="AD329" s="231">
        <f>(INDEX(Models!$BJ329:$BT329,,AH329)*(1-AF329)+INDEX(Models!$BJ329:$BT329,,AH329+1)*AF329-ERP_i)*AE329*Ramure*Pc/MaxiM</f>
        <v>7.9563595339633968E-4</v>
      </c>
      <c r="AE329" s="305">
        <f t="shared" si="112"/>
        <v>0.7</v>
      </c>
      <c r="AF329" s="177">
        <f t="shared" si="113"/>
        <v>0.49931124092853252</v>
      </c>
      <c r="AG329" s="921">
        <f t="shared" si="119"/>
        <v>-1</v>
      </c>
      <c r="AH329" s="176">
        <f t="shared" si="114"/>
        <v>5</v>
      </c>
      <c r="AI329" s="225">
        <f t="shared" si="115"/>
        <v>-0.50068875907146748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20">
        <v>29.594000000000001</v>
      </c>
      <c r="C330" s="390"/>
      <c r="D330" s="393">
        <f t="shared" si="98"/>
        <v>30.185143678472674</v>
      </c>
      <c r="E330" s="385">
        <f t="shared" si="120"/>
        <v>32.815314777406577</v>
      </c>
      <c r="F330" s="385">
        <f t="shared" si="99"/>
        <v>32.840746587016881</v>
      </c>
      <c r="G330" s="110">
        <f t="shared" si="121"/>
        <v>0.97773781466720222</v>
      </c>
      <c r="H330" s="414" t="b">
        <f>Wh_hp&gt;='2019'!Maxi_hp</f>
        <v>1</v>
      </c>
      <c r="I330" s="380">
        <f>IF(H330,Wh_hp,'2019'!Maxi_hp)</f>
        <v>32.840746587016881</v>
      </c>
      <c r="J330" s="85">
        <f>IF(H330,An,'2019'!An_max)</f>
        <v>2020</v>
      </c>
      <c r="K330" s="197">
        <f t="shared" si="100"/>
        <v>44146</v>
      </c>
      <c r="L330" s="147">
        <f>IF(t&lt;Tvie,1-EXP((T0-t)*PertePVj)+'2019'!Pspv,1-EXP((T0-t)*PertePVj)+Pspv)</f>
        <v>1.9583927933868428E-2</v>
      </c>
      <c r="M330" s="959"/>
      <c r="N330" s="959"/>
      <c r="O330" s="48">
        <f>IF(t&lt;Tnet,'2019'!Resal+('2019'!Salim-'2019'!Resal)*(1-EXP(('2019'!Tnet-t)/('2019'!Tau_j))),Resal+(Salim-Resal)*(1-EXP((Tnet-t)/(Tau_j))))*Salcycl</f>
        <v>8.0150719771391099E-2</v>
      </c>
      <c r="P330" s="169">
        <f>(INDEX(Models!$BJ330:$BT330,,T330)*(1-R330)+INDEX(Models!$BJ330:$BT330,,T330+1)*R330-ERP_i)*Q330*Ramure*Pc/MaxiM</f>
        <v>7.998059537881961E-4</v>
      </c>
      <c r="Q330" s="305">
        <f t="shared" si="101"/>
        <v>0.7</v>
      </c>
      <c r="R330" s="177">
        <f t="shared" si="102"/>
        <v>0.49934709653959564</v>
      </c>
      <c r="S330" s="921">
        <f t="shared" si="103"/>
        <v>-1</v>
      </c>
      <c r="T330" s="176">
        <f t="shared" si="104"/>
        <v>5</v>
      </c>
      <c r="U330" s="251">
        <f t="shared" si="105"/>
        <v>-0.50065290346040436</v>
      </c>
      <c r="V330" s="383">
        <f t="shared" si="106"/>
        <v>30.267058357943188</v>
      </c>
      <c r="W330" s="402"/>
      <c r="X330" s="157">
        <f t="shared" si="107"/>
        <v>44146</v>
      </c>
      <c r="Y330" s="385">
        <f t="shared" si="108"/>
        <v>29.594000000000001</v>
      </c>
      <c r="Z330" s="385">
        <f t="shared" si="109"/>
        <v>30.185143678472674</v>
      </c>
      <c r="AA330" s="386">
        <f t="shared" si="110"/>
        <v>32.815314777406577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8.0150719771391099E-2</v>
      </c>
      <c r="AD330" s="231">
        <f>(INDEX(Models!$BJ330:$BT330,,AH330)*(1-AF330)+INDEX(Models!$BJ330:$BT330,,AH330+1)*AF330-ERP_i)*AE330*Ramure*Pc/MaxiM</f>
        <v>7.998059537881961E-4</v>
      </c>
      <c r="AE330" s="305">
        <f t="shared" si="112"/>
        <v>0.7</v>
      </c>
      <c r="AF330" s="177">
        <f t="shared" si="113"/>
        <v>0.49934709653959564</v>
      </c>
      <c r="AG330" s="921">
        <f t="shared" si="119"/>
        <v>-1</v>
      </c>
      <c r="AH330" s="176">
        <f t="shared" si="114"/>
        <v>5</v>
      </c>
      <c r="AI330" s="225">
        <f t="shared" si="115"/>
        <v>-0.50065290346040436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20">
        <v>27.763999999999999</v>
      </c>
      <c r="C331" s="390"/>
      <c r="D331" s="393">
        <f t="shared" si="98"/>
        <v>28.319209473649813</v>
      </c>
      <c r="E331" s="385">
        <f t="shared" si="120"/>
        <v>30.786323342680188</v>
      </c>
      <c r="F331" s="385">
        <f t="shared" si="99"/>
        <v>30.808485289546699</v>
      </c>
      <c r="G331" s="110">
        <f t="shared" si="121"/>
        <v>0.92553991574410055</v>
      </c>
      <c r="H331" s="414" t="b">
        <f>Wh_hp&gt;='2019'!Maxi_hp</f>
        <v>1</v>
      </c>
      <c r="I331" s="380">
        <f>IF(H331,Wh_hp,'2019'!Maxi_hp)</f>
        <v>30.808485289546699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1.9605401562018177E-2</v>
      </c>
      <c r="M331" s="959"/>
      <c r="N331" s="959"/>
      <c r="O331" s="48">
        <f>IF(t&lt;Tnet,'2019'!Resal+('2019'!Salim-'2019'!Resal)*(1-EXP(('2019'!Tnet-t)/('2019'!Tau_j))),Resal+(Salim-Resal)*(1-EXP((Tnet-t)/(Tau_j))))*Salcycl</f>
        <v>8.0136684123307614E-2</v>
      </c>
      <c r="P331" s="169">
        <f>(INDEX(Models!$BJ331:$BT331,,T331)*(1-R331)+INDEX(Models!$BJ331:$BT331,,T331+1)*R331-ERP_i)*Q331*Ramure*Pc/MaxiM</f>
        <v>8.0486970111720839E-4</v>
      </c>
      <c r="Q331" s="305">
        <f t="shared" si="101"/>
        <v>0.7</v>
      </c>
      <c r="R331" s="177">
        <f t="shared" si="102"/>
        <v>0.49938151333634639</v>
      </c>
      <c r="S331" s="921">
        <f t="shared" si="103"/>
        <v>-1</v>
      </c>
      <c r="T331" s="176">
        <f t="shared" si="104"/>
        <v>5</v>
      </c>
      <c r="U331" s="251">
        <f t="shared" si="105"/>
        <v>-0.50061848666365361</v>
      </c>
      <c r="V331" s="383">
        <f t="shared" si="106"/>
        <v>29.995058371851048</v>
      </c>
      <c r="W331" s="402"/>
      <c r="X331" s="157">
        <f t="shared" si="107"/>
        <v>44147</v>
      </c>
      <c r="Y331" s="385">
        <f t="shared" si="108"/>
        <v>27.763999999999999</v>
      </c>
      <c r="Z331" s="385">
        <f t="shared" si="109"/>
        <v>28.319209473649813</v>
      </c>
      <c r="AA331" s="386">
        <f t="shared" si="110"/>
        <v>30.786323342680188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8.0136684123307614E-2</v>
      </c>
      <c r="AD331" s="231">
        <f>(INDEX(Models!$BJ331:$BT331,,AH331)*(1-AF331)+INDEX(Models!$BJ331:$BT331,,AH331+1)*AF331-ERP_i)*AE331*Ramure*Pc/MaxiM</f>
        <v>8.0486970111720839E-4</v>
      </c>
      <c r="AE331" s="305">
        <f t="shared" si="112"/>
        <v>0.7</v>
      </c>
      <c r="AF331" s="177">
        <f t="shared" si="113"/>
        <v>0.49938151333634639</v>
      </c>
      <c r="AG331" s="921">
        <f t="shared" si="119"/>
        <v>-1</v>
      </c>
      <c r="AH331" s="176">
        <f t="shared" si="114"/>
        <v>5</v>
      </c>
      <c r="AI331" s="225">
        <f t="shared" si="115"/>
        <v>-0.50061848666365361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20">
        <v>18.71</v>
      </c>
      <c r="C332" s="390"/>
      <c r="D332" s="393">
        <f t="shared" si="98"/>
        <v>19.084570473770661</v>
      </c>
      <c r="E332" s="385">
        <f t="shared" si="120"/>
        <v>20.7468830551894</v>
      </c>
      <c r="F332" s="385">
        <f t="shared" si="99"/>
        <v>20.754830581758107</v>
      </c>
      <c r="G332" s="110">
        <f t="shared" si="121"/>
        <v>0.62916260177567152</v>
      </c>
      <c r="H332" s="414" t="b">
        <f>Wh_hp&gt;='2019'!Maxi_hp</f>
        <v>1</v>
      </c>
      <c r="I332" s="380">
        <f>IF(H332,Wh_hp,'2019'!Maxi_hp)</f>
        <v>20.754830581758107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1.962687471984037E-2</v>
      </c>
      <c r="M332" s="959"/>
      <c r="N332" s="959"/>
      <c r="O332" s="48">
        <f>IF(t&lt;Tnet,'2019'!Resal+('2019'!Salim-'2019'!Resal)*(1-EXP(('2019'!Tnet-t)/('2019'!Tau_j))),Resal+(Salim-Resal)*(1-EXP((Tnet-t)/(Tau_j))))*Salcycl</f>
        <v>8.0123485392806754E-2</v>
      </c>
      <c r="P332" s="169">
        <f>(INDEX(Models!$BJ332:$BT332,,T332)*(1-R332)+INDEX(Models!$BJ332:$BT332,,T332+1)*R332-ERP_i)*Q332*Ramure*Pc/MaxiM</f>
        <v>8.1365940179520735E-4</v>
      </c>
      <c r="Q332" s="305">
        <f t="shared" si="101"/>
        <v>0.7</v>
      </c>
      <c r="R332" s="177">
        <f t="shared" si="102"/>
        <v>0.49941454886890813</v>
      </c>
      <c r="S332" s="921">
        <f t="shared" si="103"/>
        <v>-1</v>
      </c>
      <c r="T332" s="176">
        <f t="shared" si="104"/>
        <v>5</v>
      </c>
      <c r="U332" s="251">
        <f t="shared" si="105"/>
        <v>-0.50058545113109187</v>
      </c>
      <c r="V332" s="383">
        <f t="shared" si="106"/>
        <v>29.72512638880178</v>
      </c>
      <c r="W332" s="402"/>
      <c r="X332" s="157">
        <f t="shared" si="107"/>
        <v>44148</v>
      </c>
      <c r="Y332" s="385">
        <f t="shared" si="108"/>
        <v>18.71</v>
      </c>
      <c r="Z332" s="385">
        <f t="shared" si="109"/>
        <v>19.084570473770661</v>
      </c>
      <c r="AA332" s="386">
        <f t="shared" si="110"/>
        <v>20.7468830551894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8.0123485392806754E-2</v>
      </c>
      <c r="AD332" s="231">
        <f>(INDEX(Models!$BJ332:$BT332,,AH332)*(1-AF332)+INDEX(Models!$BJ332:$BT332,,AH332+1)*AF332-ERP_i)*AE332*Ramure*Pc/MaxiM</f>
        <v>8.1365940179520735E-4</v>
      </c>
      <c r="AE332" s="305">
        <f t="shared" si="112"/>
        <v>0.7</v>
      </c>
      <c r="AF332" s="177">
        <f t="shared" si="113"/>
        <v>0.49941454886890813</v>
      </c>
      <c r="AG332" s="921">
        <f t="shared" si="119"/>
        <v>-1</v>
      </c>
      <c r="AH332" s="176">
        <f t="shared" si="114"/>
        <v>5</v>
      </c>
      <c r="AI332" s="225">
        <f t="shared" si="115"/>
        <v>-0.50058545113109187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20">
        <v>26.585999999999999</v>
      </c>
      <c r="C333" s="390"/>
      <c r="D333" s="393">
        <f t="shared" si="98"/>
        <v>27.118840397412715</v>
      </c>
      <c r="E333" s="385">
        <f t="shared" si="120"/>
        <v>29.480563446747233</v>
      </c>
      <c r="F333" s="385">
        <f t="shared" si="99"/>
        <v>29.501536808911666</v>
      </c>
      <c r="G333" s="110">
        <f t="shared" si="121"/>
        <v>0.90241183278187831</v>
      </c>
      <c r="H333" s="414" t="b">
        <f>Wh_hp&gt;='2019'!Maxi_hp</f>
        <v>1</v>
      </c>
      <c r="I333" s="380">
        <f>IF(H333,Wh_hp,'2019'!Maxi_hp)</f>
        <v>29.501536808911666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1.9648347407345335E-2</v>
      </c>
      <c r="M333" s="959"/>
      <c r="N333" s="959"/>
      <c r="O333" s="48">
        <f>IF(t&lt;Tnet,'2019'!Resal+('2019'!Salim-'2019'!Resal)*(1-EXP(('2019'!Tnet-t)/('2019'!Tau_j))),Resal+(Salim-Resal)*(1-EXP((Tnet-t)/(Tau_j))))*Salcycl</f>
        <v>8.0111191008973084E-2</v>
      </c>
      <c r="P333" s="169">
        <f>(INDEX(Models!$BJ333:$BT333,,T333)*(1-R333)+INDEX(Models!$BJ333:$BT333,,T333+1)*R333-ERP_i)*Q333*Ramure*Pc/MaxiM</f>
        <v>8.2594870259613683E-4</v>
      </c>
      <c r="Q333" s="305">
        <f t="shared" si="101"/>
        <v>0.7</v>
      </c>
      <c r="R333" s="177">
        <f t="shared" si="102"/>
        <v>0.49944625840020318</v>
      </c>
      <c r="S333" s="921">
        <f t="shared" si="103"/>
        <v>-1</v>
      </c>
      <c r="T333" s="176">
        <f t="shared" si="104"/>
        <v>5</v>
      </c>
      <c r="U333" s="251">
        <f t="shared" si="105"/>
        <v>-0.50055374159979682</v>
      </c>
      <c r="V333" s="383">
        <f t="shared" si="106"/>
        <v>29.457658712422468</v>
      </c>
      <c r="W333" s="402"/>
      <c r="X333" s="157">
        <f t="shared" si="107"/>
        <v>44149</v>
      </c>
      <c r="Y333" s="385">
        <f t="shared" si="108"/>
        <v>26.585999999999999</v>
      </c>
      <c r="Z333" s="385">
        <f t="shared" si="109"/>
        <v>27.118840397412715</v>
      </c>
      <c r="AA333" s="386">
        <f t="shared" si="110"/>
        <v>29.480563446747233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8.0111191008973084E-2</v>
      </c>
      <c r="AD333" s="231">
        <f>(INDEX(Models!$BJ333:$BT333,,AH333)*(1-AF333)+INDEX(Models!$BJ333:$BT333,,AH333+1)*AF333-ERP_i)*AE333*Ramure*Pc/MaxiM</f>
        <v>8.2594870259613683E-4</v>
      </c>
      <c r="AE333" s="305">
        <f t="shared" si="112"/>
        <v>0.7</v>
      </c>
      <c r="AF333" s="177">
        <f t="shared" si="113"/>
        <v>0.49944625840020318</v>
      </c>
      <c r="AG333" s="921">
        <f t="shared" si="119"/>
        <v>-1</v>
      </c>
      <c r="AH333" s="176">
        <f t="shared" si="114"/>
        <v>5</v>
      </c>
      <c r="AI333" s="225">
        <f t="shared" si="115"/>
        <v>-0.50055374159979682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20">
        <v>19.091999999999999</v>
      </c>
      <c r="C334" s="390"/>
      <c r="D334" s="393">
        <f t="shared" si="98"/>
        <v>19.475071136428699</v>
      </c>
      <c r="E334" s="385">
        <f t="shared" si="120"/>
        <v>21.170853653085732</v>
      </c>
      <c r="F334" s="385">
        <f t="shared" si="99"/>
        <v>21.179869500030428</v>
      </c>
      <c r="G334" s="110">
        <f t="shared" si="121"/>
        <v>0.6537191759656642</v>
      </c>
      <c r="H334" s="414" t="b">
        <f>Wh_hp&gt;='2019'!Maxi_hp</f>
        <v>0</v>
      </c>
      <c r="I334" s="380">
        <f>IF(H334,Wh_hp,'2019'!Maxi_hp)</f>
        <v>26.374163427809396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1.9669819624543283E-2</v>
      </c>
      <c r="M334" s="959"/>
      <c r="N334" s="959"/>
      <c r="O334" s="48">
        <f>IF(t&lt;Tnet,'2019'!Resal+('2019'!Salim-'2019'!Resal)*(1-EXP(('2019'!Tnet-t)/('2019'!Tau_j))),Resal+(Salim-Resal)*(1-EXP((Tnet-t)/(Tau_j))))*Salcycl</f>
        <v>8.0099864863496711E-2</v>
      </c>
      <c r="P334" s="169">
        <f>(INDEX(Models!$BJ334:$BT334,,T334)*(1-R334)+INDEX(Models!$BJ334:$BT334,,T334+1)*R334-ERP_i)*Q334*Ramure*Pc/MaxiM</f>
        <v>8.4176055971813609E-4</v>
      </c>
      <c r="Q334" s="305">
        <f t="shared" si="101"/>
        <v>0.7</v>
      </c>
      <c r="R334" s="177">
        <f t="shared" si="102"/>
        <v>0.4994766949956928</v>
      </c>
      <c r="S334" s="921">
        <f t="shared" si="103"/>
        <v>-1</v>
      </c>
      <c r="T334" s="176">
        <f t="shared" si="104"/>
        <v>5</v>
      </c>
      <c r="U334" s="251">
        <f t="shared" si="105"/>
        <v>-0.5005233050043072</v>
      </c>
      <c r="V334" s="383">
        <f t="shared" si="106"/>
        <v>29.19304421334823</v>
      </c>
      <c r="W334" s="402"/>
      <c r="X334" s="157">
        <f t="shared" si="107"/>
        <v>44150</v>
      </c>
      <c r="Y334" s="385">
        <f t="shared" si="108"/>
        <v>19.091999999999999</v>
      </c>
      <c r="Z334" s="385">
        <f t="shared" si="109"/>
        <v>19.475071136428699</v>
      </c>
      <c r="AA334" s="386">
        <f t="shared" si="110"/>
        <v>21.170853653085732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8.0099864863496711E-2</v>
      </c>
      <c r="AD334" s="231">
        <f>(INDEX(Models!$BJ334:$BT334,,AH334)*(1-AF334)+INDEX(Models!$BJ334:$BT334,,AH334+1)*AF334-ERP_i)*AE334*Ramure*Pc/MaxiM</f>
        <v>8.4176055971813609E-4</v>
      </c>
      <c r="AE334" s="305">
        <f t="shared" si="112"/>
        <v>0.7</v>
      </c>
      <c r="AF334" s="177">
        <f t="shared" si="113"/>
        <v>0.4994766949956928</v>
      </c>
      <c r="AG334" s="921">
        <f t="shared" si="119"/>
        <v>-1</v>
      </c>
      <c r="AH334" s="176">
        <f t="shared" si="114"/>
        <v>5</v>
      </c>
      <c r="AI334" s="225">
        <f t="shared" si="115"/>
        <v>-0.5005233050043072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20">
        <v>21.074999999999999</v>
      </c>
      <c r="C335" s="390"/>
      <c r="D335" s="393">
        <f t="shared" ref="D335:D380" si="122">Wh/(1-Ppv)</f>
        <v>21.498329877619643</v>
      </c>
      <c r="E335" s="385">
        <f t="shared" si="120"/>
        <v>23.370025066721933</v>
      </c>
      <c r="F335" s="385">
        <f t="shared" ref="F335:F380" si="123">Wh_sa/(1-Pvg*MEDIAN((-Sdif+Wh/Env_an)/Csdif,0,1))</f>
        <v>23.382348833337996</v>
      </c>
      <c r="G335" s="110">
        <f t="shared" si="121"/>
        <v>0.72819697379240678</v>
      </c>
      <c r="H335" s="414" t="b">
        <f>Wh_hp&gt;='2019'!Maxi_hp</f>
        <v>0</v>
      </c>
      <c r="I335" s="380">
        <f>IF(H335,Wh_hp,'2019'!Maxi_hp)</f>
        <v>31.482813740825435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1.9691291371444652E-2</v>
      </c>
      <c r="M335" s="959"/>
      <c r="N335" s="959"/>
      <c r="O335" s="48">
        <f>IF(t&lt;Tnet,'2019'!Resal+('2019'!Salim-'2019'!Resal)*(1-EXP(('2019'!Tnet-t)/('2019'!Tau_j))),Resal+(Salim-Resal)*(1-EXP((Tnet-t)/(Tau_j))))*Salcycl</f>
        <v>8.0089567031210229E-2</v>
      </c>
      <c r="P335" s="169">
        <f>(INDEX(Models!$BJ335:$BT335,,T335)*(1-R335)+INDEX(Models!$BJ335:$BT335,,T335+1)*R335-ERP_i)*Q335*Ramure*Pc/MaxiM</f>
        <v>8.6111847132887926E-4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0.49950590960968699</v>
      </c>
      <c r="S335" s="921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-0.50049409039031301</v>
      </c>
      <c r="V335" s="383">
        <f t="shared" ref="V335:V380" si="130">MaxiM*(1-Ppv)*(1-Pvg)*(1-Psa)</f>
        <v>28.931671844835549</v>
      </c>
      <c r="W335" s="402"/>
      <c r="X335" s="157">
        <f t="shared" ref="X335:X380" si="131">t</f>
        <v>44151</v>
      </c>
      <c r="Y335" s="385">
        <f t="shared" ref="Y335:Y380" si="132">Wh_pvt_s*(1-Ppv)</f>
        <v>21.074999999999999</v>
      </c>
      <c r="Z335" s="385">
        <f t="shared" ref="Z335:Z380" si="133">Wh_sa_s*(1-Psa_s)</f>
        <v>21.498329877619643</v>
      </c>
      <c r="AA335" s="386">
        <f t="shared" ref="AA335:AA380" si="134">Wh_hp*(1-Pvg_s*MEDIAN((-Sdif+Wh/Env_an)/Csdif,0,1))</f>
        <v>23.370025066721933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8.0089567031210229E-2</v>
      </c>
      <c r="AD335" s="231">
        <f>(INDEX(Models!$BJ335:$BT335,,AH335)*(1-AF335)+INDEX(Models!$BJ335:$BT335,,AH335+1)*AF335-ERP_i)*AE335*Ramure*Pc/MaxiM</f>
        <v>8.6111847132887926E-4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0.49950590960968699</v>
      </c>
      <c r="AG335" s="921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-0.50049409039031301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20">
        <v>26.978000000000002</v>
      </c>
      <c r="C336" s="390"/>
      <c r="D336" s="393">
        <f t="shared" si="122"/>
        <v>27.520505186700113</v>
      </c>
      <c r="E336" s="385">
        <f t="shared" si="120"/>
        <v>29.916205498839705</v>
      </c>
      <c r="F336" s="385">
        <f t="shared" si="123"/>
        <v>29.94043779612808</v>
      </c>
      <c r="G336" s="110">
        <f t="shared" si="121"/>
        <v>0.94078428085843668</v>
      </c>
      <c r="H336" s="414" t="b">
        <f>Wh_hp&gt;='2019'!Maxi_hp</f>
        <v>1</v>
      </c>
      <c r="I336" s="380">
        <f>IF(H336,Wh_hp,'2019'!Maxi_hp)</f>
        <v>29.94043779612808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1.9712762648059545E-2</v>
      </c>
      <c r="M336" s="959"/>
      <c r="N336" s="959"/>
      <c r="O336" s="48">
        <f>IF(t&lt;Tnet,'2019'!Resal+('2019'!Salim-'2019'!Resal)*(1-EXP(('2019'!Tnet-t)/('2019'!Tau_j))),Resal+(Salim-Resal)*(1-EXP((Tnet-t)/(Tau_j))))*Salcycl</f>
        <v>8.008035351383419E-2</v>
      </c>
      <c r="P336" s="169">
        <f>(INDEX(Models!$BJ336:$BT336,,T336)*(1-R336)+INDEX(Models!$BJ336:$BT336,,T336+1)*R336-ERP_i)*Q336*Ramure*Pc/MaxiM</f>
        <v>8.8404620713514138E-4</v>
      </c>
      <c r="Q336" s="305">
        <f t="shared" si="125"/>
        <v>0.7</v>
      </c>
      <c r="R336" s="177">
        <f t="shared" si="126"/>
        <v>0.49953395116835031</v>
      </c>
      <c r="S336" s="921">
        <f t="shared" si="127"/>
        <v>-1</v>
      </c>
      <c r="T336" s="176">
        <f t="shared" si="128"/>
        <v>5</v>
      </c>
      <c r="U336" s="251">
        <f t="shared" si="129"/>
        <v>-0.50046604883164969</v>
      </c>
      <c r="V336" s="383">
        <f t="shared" si="130"/>
        <v>28.673930640499247</v>
      </c>
      <c r="W336" s="402"/>
      <c r="X336" s="157">
        <f t="shared" si="131"/>
        <v>44152</v>
      </c>
      <c r="Y336" s="385">
        <f t="shared" si="132"/>
        <v>26.978000000000002</v>
      </c>
      <c r="Z336" s="385">
        <f t="shared" si="133"/>
        <v>27.520505186700113</v>
      </c>
      <c r="AA336" s="386">
        <f t="shared" si="134"/>
        <v>29.916205498839705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8.008035351383419E-2</v>
      </c>
      <c r="AD336" s="231">
        <f>(INDEX(Models!$BJ336:$BT336,,AH336)*(1-AF336)+INDEX(Models!$BJ336:$BT336,,AH336+1)*AF336-ERP_i)*AE336*Ramure*Pc/MaxiM</f>
        <v>8.8404620713514138E-4</v>
      </c>
      <c r="AE336" s="305">
        <f t="shared" si="136"/>
        <v>0.7</v>
      </c>
      <c r="AF336" s="177">
        <f t="shared" si="137"/>
        <v>0.49953395116835031</v>
      </c>
      <c r="AG336" s="921">
        <f t="shared" ref="AG336:AG379" si="143">INDEX(Echel_vg,AH336)</f>
        <v>-1</v>
      </c>
      <c r="AH336" s="176">
        <f t="shared" si="138"/>
        <v>5</v>
      </c>
      <c r="AI336" s="225">
        <f t="shared" si="139"/>
        <v>-0.50046604883164969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20">
        <v>27.724</v>
      </c>
      <c r="C337" s="390"/>
      <c r="D337" s="393">
        <f t="shared" si="122"/>
        <v>28.282126078622266</v>
      </c>
      <c r="E337" s="385">
        <f t="shared" si="120"/>
        <v>30.74385665421082</v>
      </c>
      <c r="F337" s="385">
        <f t="shared" si="123"/>
        <v>30.770895086934338</v>
      </c>
      <c r="G337" s="110">
        <f t="shared" si="121"/>
        <v>0.97547189377022403</v>
      </c>
      <c r="H337" s="414" t="b">
        <f>Wh_hp&gt;='2019'!Maxi_hp</f>
        <v>1</v>
      </c>
      <c r="I337" s="380">
        <f>IF(H337,Wh_hp,'2019'!Maxi_hp)</f>
        <v>30.770895086934338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1.9734233454398509E-2</v>
      </c>
      <c r="M337" s="959"/>
      <c r="N337" s="959"/>
      <c r="O337" s="48">
        <f>IF(t&lt;Tnet,'2019'!Resal+('2019'!Salim-'2019'!Resal)*(1-EXP(('2019'!Tnet-t)/('2019'!Tau_j))),Resal+(Salim-Resal)*(1-EXP((Tnet-t)/(Tau_j))))*Salcycl</f>
        <v>8.0072276008722063E-2</v>
      </c>
      <c r="P337" s="169">
        <f>(INDEX(Models!$BJ337:$BT337,,T337)*(1-R337)+INDEX(Models!$BJ337:$BT337,,T337+1)*R337-ERP_i)*Q337*Ramure*Pc/MaxiM</f>
        <v>9.1056748544356288E-4</v>
      </c>
      <c r="Q337" s="305">
        <f t="shared" si="125"/>
        <v>0.7</v>
      </c>
      <c r="R337" s="177">
        <f t="shared" si="126"/>
        <v>0.49956086664952082</v>
      </c>
      <c r="S337" s="921">
        <f t="shared" si="127"/>
        <v>-1</v>
      </c>
      <c r="T337" s="176">
        <f t="shared" si="128"/>
        <v>5</v>
      </c>
      <c r="U337" s="251">
        <f t="shared" si="129"/>
        <v>-0.50043913335047918</v>
      </c>
      <c r="V337" s="383">
        <f t="shared" si="130"/>
        <v>28.420209693839428</v>
      </c>
      <c r="W337" s="402"/>
      <c r="X337" s="157">
        <f t="shared" si="131"/>
        <v>44153</v>
      </c>
      <c r="Y337" s="385">
        <f t="shared" si="132"/>
        <v>27.724</v>
      </c>
      <c r="Z337" s="385">
        <f t="shared" si="133"/>
        <v>28.282126078622266</v>
      </c>
      <c r="AA337" s="386">
        <f t="shared" si="134"/>
        <v>30.74385665421082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8.0072276008722063E-2</v>
      </c>
      <c r="AD337" s="231">
        <f>(INDEX(Models!$BJ337:$BT337,,AH337)*(1-AF337)+INDEX(Models!$BJ337:$BT337,,AH337+1)*AF337-ERP_i)*AE337*Ramure*Pc/MaxiM</f>
        <v>9.1056748544356288E-4</v>
      </c>
      <c r="AE337" s="305">
        <f t="shared" si="136"/>
        <v>0.7</v>
      </c>
      <c r="AF337" s="177">
        <f t="shared" si="137"/>
        <v>0.49956086664952082</v>
      </c>
      <c r="AG337" s="921">
        <f t="shared" si="143"/>
        <v>-1</v>
      </c>
      <c r="AH337" s="176">
        <f t="shared" si="138"/>
        <v>5</v>
      </c>
      <c r="AI337" s="225">
        <f t="shared" si="139"/>
        <v>-0.50043913335047918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20">
        <v>8.5180000000000007</v>
      </c>
      <c r="C338" s="390"/>
      <c r="D338" s="393">
        <f t="shared" si="122"/>
        <v>8.6896705575721782</v>
      </c>
      <c r="E338" s="385">
        <f t="shared" si="120"/>
        <v>9.4459653813985334</v>
      </c>
      <c r="F338" s="385">
        <f t="shared" si="123"/>
        <v>9.4459954812854221</v>
      </c>
      <c r="G338" s="110">
        <f t="shared" si="121"/>
        <v>0.30208529879167417</v>
      </c>
      <c r="H338" s="414" t="b">
        <f>Wh_hp&gt;='2019'!Maxi_hp</f>
        <v>0</v>
      </c>
      <c r="I338" s="380">
        <f>IF(H338,Wh_hp,'2019'!Maxi_hp)</f>
        <v>31.724603682982458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1.9755703790471535E-2</v>
      </c>
      <c r="M338" s="959"/>
      <c r="N338" s="959"/>
      <c r="O338" s="48">
        <f>IF(t&lt;Tnet,'2019'!Resal+('2019'!Salim-'2019'!Resal)*(1-EXP(('2019'!Tnet-t)/('2019'!Tau_j))),Resal+(Salim-Resal)*(1-EXP((Tnet-t)/(Tau_j))))*Salcycl</f>
        <v>8.0065381704202299E-2</v>
      </c>
      <c r="P338" s="169">
        <f>(INDEX(Models!$BJ338:$BT338,,T338)*(1-R338)+INDEX(Models!$BJ338:$BT338,,T338+1)*R338-ERP_i)*Q338*Ramure*Pc/MaxiM</f>
        <v>9.4155174341739947E-4</v>
      </c>
      <c r="Q338" s="305">
        <f t="shared" si="125"/>
        <v>0.7</v>
      </c>
      <c r="R338" s="177">
        <f t="shared" si="126"/>
        <v>0.49958670115945991</v>
      </c>
      <c r="S338" s="921">
        <f t="shared" si="127"/>
        <v>-1</v>
      </c>
      <c r="T338" s="176">
        <f t="shared" si="128"/>
        <v>5</v>
      </c>
      <c r="U338" s="251">
        <f t="shared" si="129"/>
        <v>-0.50041329884054009</v>
      </c>
      <c r="V338" s="383">
        <f t="shared" si="130"/>
        <v>28.170874298175615</v>
      </c>
      <c r="W338" s="402"/>
      <c r="X338" s="157">
        <f t="shared" si="131"/>
        <v>44154</v>
      </c>
      <c r="Y338" s="385">
        <f t="shared" si="132"/>
        <v>8.5180000000000007</v>
      </c>
      <c r="Z338" s="385">
        <f t="shared" si="133"/>
        <v>8.6896705575721782</v>
      </c>
      <c r="AA338" s="386">
        <f t="shared" si="134"/>
        <v>9.4459653813985334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8.0065381704202299E-2</v>
      </c>
      <c r="AD338" s="231">
        <f>(INDEX(Models!$BJ338:$BT338,,AH338)*(1-AF338)+INDEX(Models!$BJ338:$BT338,,AH338+1)*AF338-ERP_i)*AE338*Ramure*Pc/MaxiM</f>
        <v>9.4155174341739947E-4</v>
      </c>
      <c r="AE338" s="305">
        <f t="shared" si="136"/>
        <v>0.7</v>
      </c>
      <c r="AF338" s="177">
        <f t="shared" si="137"/>
        <v>0.49958670115945991</v>
      </c>
      <c r="AG338" s="921">
        <f t="shared" si="143"/>
        <v>-1</v>
      </c>
      <c r="AH338" s="176">
        <f t="shared" si="138"/>
        <v>5</v>
      </c>
      <c r="AI338" s="225">
        <f t="shared" si="139"/>
        <v>-0.50041329884054009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20">
        <v>20.904</v>
      </c>
      <c r="C339" s="390"/>
      <c r="D339" s="393">
        <f t="shared" si="122"/>
        <v>21.325763324624013</v>
      </c>
      <c r="E339" s="385">
        <f t="shared" si="120"/>
        <v>23.181682146516913</v>
      </c>
      <c r="F339" s="385">
        <f t="shared" si="123"/>
        <v>23.196193980340315</v>
      </c>
      <c r="G339" s="110">
        <f t="shared" si="121"/>
        <v>0.7482781062876972</v>
      </c>
      <c r="H339" s="414" t="b">
        <f>Wh_hp&gt;='2019'!Maxi_hp</f>
        <v>0</v>
      </c>
      <c r="I339" s="380">
        <f>IF(H339,Wh_hp,'2019'!Maxi_hp)</f>
        <v>30.885830486283265</v>
      </c>
      <c r="J339" s="85">
        <f>IF(H339,An,'2019'!An_max)</f>
        <v>2018</v>
      </c>
      <c r="K339" s="197">
        <f t="shared" si="124"/>
        <v>44155</v>
      </c>
      <c r="L339" s="147">
        <f>IF(t&lt;Tvie,1-EXP((T0-t)*PertePVj)+'2019'!Pspv,1-EXP((T0-t)*PertePVj)+Pspv)</f>
        <v>1.9777173656289282E-2</v>
      </c>
      <c r="M339" s="959"/>
      <c r="N339" s="959"/>
      <c r="O339" s="48">
        <f>IF(t&lt;Tnet,'2019'!Resal+('2019'!Salim-'2019'!Resal)*(1-EXP(('2019'!Tnet-t)/('2019'!Tau_j))),Resal+(Salim-Resal)*(1-EXP((Tnet-t)/(Tau_j))))*Salcycl</f>
        <v>8.0059713102905813E-2</v>
      </c>
      <c r="P339" s="169">
        <f>(INDEX(Models!$BJ339:$BT339,,T339)*(1-R339)+INDEX(Models!$BJ339:$BT339,,T339+1)*R339-ERP_i)*Q339*Ramure*Pc/MaxiM</f>
        <v>9.7634126757708574E-4</v>
      </c>
      <c r="Q339" s="305">
        <f t="shared" si="125"/>
        <v>0.7</v>
      </c>
      <c r="R339" s="177">
        <f t="shared" si="126"/>
        <v>0.49961149800664506</v>
      </c>
      <c r="S339" s="921">
        <f t="shared" si="127"/>
        <v>-1</v>
      </c>
      <c r="T339" s="176">
        <f t="shared" si="128"/>
        <v>5</v>
      </c>
      <c r="U339" s="251">
        <f t="shared" si="129"/>
        <v>-0.50038850199335494</v>
      </c>
      <c r="V339" s="383">
        <f t="shared" si="130"/>
        <v>27.926333277760175</v>
      </c>
      <c r="W339" s="402"/>
      <c r="X339" s="157">
        <f t="shared" si="131"/>
        <v>44155</v>
      </c>
      <c r="Y339" s="385">
        <f t="shared" si="132"/>
        <v>20.904</v>
      </c>
      <c r="Z339" s="385">
        <f t="shared" si="133"/>
        <v>21.325763324624013</v>
      </c>
      <c r="AA339" s="386">
        <f t="shared" si="134"/>
        <v>23.181682146516913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8.0059713102905813E-2</v>
      </c>
      <c r="AD339" s="231">
        <f>(INDEX(Models!$BJ339:$BT339,,AH339)*(1-AF339)+INDEX(Models!$BJ339:$BT339,,AH339+1)*AF339-ERP_i)*AE339*Ramure*Pc/MaxiM</f>
        <v>9.7634126757708574E-4</v>
      </c>
      <c r="AE339" s="305">
        <f t="shared" si="136"/>
        <v>0.7</v>
      </c>
      <c r="AF339" s="177">
        <f t="shared" si="137"/>
        <v>0.49961149800664506</v>
      </c>
      <c r="AG339" s="921">
        <f t="shared" si="143"/>
        <v>-1</v>
      </c>
      <c r="AH339" s="176">
        <f t="shared" si="138"/>
        <v>5</v>
      </c>
      <c r="AI339" s="225">
        <f t="shared" si="139"/>
        <v>-0.50038850199335494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20">
        <v>28.44</v>
      </c>
      <c r="C340" s="390"/>
      <c r="D340" s="393">
        <f t="shared" si="122"/>
        <v>29.01444667302653</v>
      </c>
      <c r="E340" s="385">
        <f t="shared" si="120"/>
        <v>31.539338094317049</v>
      </c>
      <c r="F340" s="385">
        <f t="shared" si="123"/>
        <v>31.571381737013635</v>
      </c>
      <c r="G340" s="110">
        <f t="shared" si="121"/>
        <v>1.0271977726257622</v>
      </c>
      <c r="H340" s="414" t="b">
        <f>Wh_hp&gt;='2019'!Maxi_hp</f>
        <v>1</v>
      </c>
      <c r="I340" s="380">
        <f>IF(H340,Wh_hp,'2019'!Maxi_hp)</f>
        <v>31.571381737013635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1.9798643051861742E-2</v>
      </c>
      <c r="M340" s="959"/>
      <c r="N340" s="959"/>
      <c r="O340" s="48">
        <f>IF(t&lt;Tnet,'2019'!Resal+('2019'!Salim-'2019'!Resal)*(1-EXP(('2019'!Tnet-t)/('2019'!Tau_j))),Resal+(Salim-Resal)*(1-EXP((Tnet-t)/(Tau_j))))*Salcycl</f>
        <v>8.0055307874247056E-2</v>
      </c>
      <c r="P340" s="169">
        <f>(INDEX(Models!$BJ340:$BT340,,T340)*(1-R340)+INDEX(Models!$BJ340:$BT340,,T340+1)*R340-ERP_i)*Q340*Ramure*Pc/MaxiM</f>
        <v>1.0149585141222787E-3</v>
      </c>
      <c r="Q340" s="305">
        <f t="shared" si="125"/>
        <v>0.7</v>
      </c>
      <c r="R340" s="177">
        <f t="shared" si="126"/>
        <v>0.49963529877271362</v>
      </c>
      <c r="S340" s="921">
        <f t="shared" si="127"/>
        <v>-1</v>
      </c>
      <c r="T340" s="176">
        <f t="shared" si="128"/>
        <v>5</v>
      </c>
      <c r="U340" s="251">
        <f t="shared" si="129"/>
        <v>-0.50036470122728638</v>
      </c>
      <c r="V340" s="383">
        <f t="shared" si="130"/>
        <v>27.686975924120812</v>
      </c>
      <c r="W340" s="402"/>
      <c r="X340" s="157">
        <f t="shared" si="131"/>
        <v>44156</v>
      </c>
      <c r="Y340" s="385">
        <f t="shared" si="132"/>
        <v>28.44</v>
      </c>
      <c r="Z340" s="385">
        <f t="shared" si="133"/>
        <v>29.01444667302653</v>
      </c>
      <c r="AA340" s="386">
        <f t="shared" si="134"/>
        <v>31.539338094317049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8.0055307874247056E-2</v>
      </c>
      <c r="AD340" s="231">
        <f>(INDEX(Models!$BJ340:$BT340,,AH340)*(1-AF340)+INDEX(Models!$BJ340:$BT340,,AH340+1)*AF340-ERP_i)*AE340*Ramure*Pc/MaxiM</f>
        <v>1.0149585141222787E-3</v>
      </c>
      <c r="AE340" s="305">
        <f t="shared" si="136"/>
        <v>0.7</v>
      </c>
      <c r="AF340" s="177">
        <f t="shared" si="137"/>
        <v>0.49963529877271362</v>
      </c>
      <c r="AG340" s="921">
        <f t="shared" si="143"/>
        <v>-1</v>
      </c>
      <c r="AH340" s="176">
        <f t="shared" si="138"/>
        <v>5</v>
      </c>
      <c r="AI340" s="225">
        <f t="shared" si="139"/>
        <v>-0.50036470122728638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20">
        <v>28.422000000000001</v>
      </c>
      <c r="C341" s="390"/>
      <c r="D341" s="393">
        <f t="shared" si="122"/>
        <v>28.996718201729575</v>
      </c>
      <c r="E341" s="385">
        <f t="shared" si="120"/>
        <v>31.519960330270649</v>
      </c>
      <c r="F341" s="385">
        <f t="shared" si="123"/>
        <v>31.553325364511156</v>
      </c>
      <c r="G341" s="110">
        <f t="shared" si="121"/>
        <v>1.0352894585271946</v>
      </c>
      <c r="H341" s="414" t="b">
        <f>Wh_hp&gt;='2019'!Maxi_hp</f>
        <v>1</v>
      </c>
      <c r="I341" s="380">
        <f>IF(H341,Wh_hp,'2019'!Maxi_hp)</f>
        <v>31.553325364511156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1.9820111977199351E-2</v>
      </c>
      <c r="M341" s="959"/>
      <c r="N341" s="959"/>
      <c r="O341" s="48">
        <f>IF(t&lt;Tnet,'2019'!Resal+('2019'!Salim-'2019'!Resal)*(1-EXP(('2019'!Tnet-t)/('2019'!Tau_j))),Resal+(Salim-Resal)*(1-EXP((Tnet-t)/(Tau_j))))*Salcycl</f>
        <v>8.0052198736996538E-2</v>
      </c>
      <c r="P341" s="169">
        <f>(INDEX(Models!$BJ341:$BT341,,T341)*(1-R341)+INDEX(Models!$BJ341:$BT341,,T341+1)*R341-ERP_i)*Q341*Ramure*Pc/MaxiM</f>
        <v>1.0574173674269666E-3</v>
      </c>
      <c r="Q341" s="305">
        <f t="shared" si="125"/>
        <v>0.7</v>
      </c>
      <c r="R341" s="177">
        <f t="shared" si="126"/>
        <v>0.49965814338066328</v>
      </c>
      <c r="S341" s="921">
        <f t="shared" si="127"/>
        <v>-1</v>
      </c>
      <c r="T341" s="176">
        <f t="shared" si="128"/>
        <v>5</v>
      </c>
      <c r="U341" s="251">
        <f t="shared" si="129"/>
        <v>-0.50034185661933672</v>
      </c>
      <c r="V341" s="383">
        <f t="shared" si="130"/>
        <v>27.453191729038963</v>
      </c>
      <c r="W341" s="402"/>
      <c r="X341" s="157">
        <f t="shared" si="131"/>
        <v>44157</v>
      </c>
      <c r="Y341" s="385">
        <f t="shared" si="132"/>
        <v>28.422000000000001</v>
      </c>
      <c r="Z341" s="385">
        <f t="shared" si="133"/>
        <v>28.996718201729575</v>
      </c>
      <c r="AA341" s="386">
        <f t="shared" si="134"/>
        <v>31.519960330270649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8.0052198736996538E-2</v>
      </c>
      <c r="AD341" s="231">
        <f>(INDEX(Models!$BJ341:$BT341,,AH341)*(1-AF341)+INDEX(Models!$BJ341:$BT341,,AH341+1)*AF341-ERP_i)*AE341*Ramure*Pc/MaxiM</f>
        <v>1.0574173674269666E-3</v>
      </c>
      <c r="AE341" s="305">
        <f t="shared" si="136"/>
        <v>0.7</v>
      </c>
      <c r="AF341" s="177">
        <f t="shared" si="137"/>
        <v>0.49965814338066328</v>
      </c>
      <c r="AG341" s="921">
        <f t="shared" si="143"/>
        <v>-1</v>
      </c>
      <c r="AH341" s="176">
        <f t="shared" si="138"/>
        <v>5</v>
      </c>
      <c r="AI341" s="225">
        <f t="shared" si="139"/>
        <v>-0.50034185661933672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20">
        <v>26.312000000000001</v>
      </c>
      <c r="C342" s="390"/>
      <c r="D342" s="393">
        <f t="shared" si="122"/>
        <v>26.844640085431571</v>
      </c>
      <c r="E342" s="385">
        <f t="shared" si="120"/>
        <v>29.180555625713382</v>
      </c>
      <c r="F342" s="385">
        <f t="shared" si="123"/>
        <v>29.21125181785667</v>
      </c>
      <c r="G342" s="110">
        <f t="shared" si="121"/>
        <v>0.96640033187983121</v>
      </c>
      <c r="H342" s="414" t="b">
        <f>Wh_hp&gt;='2019'!Maxi_hp</f>
        <v>1</v>
      </c>
      <c r="I342" s="380">
        <f>IF(H342,Wh_hp,'2019'!Maxi_hp)</f>
        <v>29.21125181785667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1.9841580432312433E-2</v>
      </c>
      <c r="M342" s="959"/>
      <c r="N342" s="959"/>
      <c r="O342" s="48">
        <f>IF(t&lt;Tnet,'2019'!Resal+('2019'!Salim-'2019'!Resal)*(1-EXP(('2019'!Tnet-t)/('2019'!Tau_j))),Resal+(Salim-Resal)*(1-EXP((Tnet-t)/(Tau_j))))*Salcycl</f>
        <v>8.0050413372644694E-2</v>
      </c>
      <c r="P342" s="169">
        <f>(INDEX(Models!$BJ342:$BT342,,T342)*(1-R342)+INDEX(Models!$BJ342:$BT342,,T342+1)*R342-ERP_i)*Q342*Ramure*Pc/MaxiM</f>
        <v>1.1037324737964195E-3</v>
      </c>
      <c r="Q342" s="305">
        <f t="shared" si="125"/>
        <v>0.7</v>
      </c>
      <c r="R342" s="177">
        <f t="shared" si="126"/>
        <v>0.49968007016041138</v>
      </c>
      <c r="S342" s="921">
        <f t="shared" si="127"/>
        <v>-1</v>
      </c>
      <c r="T342" s="176">
        <f t="shared" si="128"/>
        <v>5</v>
      </c>
      <c r="U342" s="251">
        <f t="shared" si="129"/>
        <v>-0.50031992983958862</v>
      </c>
      <c r="V342" s="383">
        <f t="shared" si="130"/>
        <v>27.225370084509596</v>
      </c>
      <c r="W342" s="402"/>
      <c r="X342" s="157">
        <f t="shared" si="131"/>
        <v>44158</v>
      </c>
      <c r="Y342" s="385">
        <f t="shared" si="132"/>
        <v>26.312000000000001</v>
      </c>
      <c r="Z342" s="385">
        <f t="shared" si="133"/>
        <v>26.844640085431571</v>
      </c>
      <c r="AA342" s="386">
        <f t="shared" si="134"/>
        <v>29.180555625713382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8.0050413372644694E-2</v>
      </c>
      <c r="AD342" s="231">
        <f>(INDEX(Models!$BJ342:$BT342,,AH342)*(1-AF342)+INDEX(Models!$BJ342:$BT342,,AH342+1)*AF342-ERP_i)*AE342*Ramure*Pc/MaxiM</f>
        <v>1.1037324737964195E-3</v>
      </c>
      <c r="AE342" s="305">
        <f t="shared" si="136"/>
        <v>0.7</v>
      </c>
      <c r="AF342" s="177">
        <f t="shared" si="137"/>
        <v>0.49968007016041138</v>
      </c>
      <c r="AG342" s="921">
        <f t="shared" si="143"/>
        <v>-1</v>
      </c>
      <c r="AH342" s="176">
        <f t="shared" si="138"/>
        <v>5</v>
      </c>
      <c r="AI342" s="225">
        <f t="shared" si="139"/>
        <v>-0.50031992983958862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20">
        <v>24.57</v>
      </c>
      <c r="C343" s="390"/>
      <c r="D343" s="393">
        <f t="shared" si="122"/>
        <v>25.067925416262256</v>
      </c>
      <c r="E343" s="385">
        <f t="shared" si="120"/>
        <v>27.249225194700749</v>
      </c>
      <c r="F343" s="385">
        <f t="shared" si="123"/>
        <v>27.276647569608237</v>
      </c>
      <c r="G343" s="110">
        <f t="shared" si="121"/>
        <v>0.90973324429750202</v>
      </c>
      <c r="H343" s="414" t="b">
        <f>Wh_hp&gt;='2019'!Maxi_hp</f>
        <v>1</v>
      </c>
      <c r="I343" s="380">
        <f>IF(H343,Wh_hp,'2019'!Maxi_hp)</f>
        <v>27.276647569608237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1.9863048417211204E-2</v>
      </c>
      <c r="M343" s="959"/>
      <c r="N343" s="959"/>
      <c r="O343" s="48">
        <f>IF(t&lt;Tnet,'2019'!Resal+('2019'!Salim-'2019'!Resal)*(1-EXP(('2019'!Tnet-t)/('2019'!Tau_j))),Resal+(Salim-Resal)*(1-EXP((Tnet-t)/(Tau_j))))*Salcycl</f>
        <v>8.004997437001253E-2</v>
      </c>
      <c r="P343" s="169">
        <f>(INDEX(Models!$BJ343:$BT343,,T343)*(1-R343)+INDEX(Models!$BJ343:$BT343,,T343+1)*R343-ERP_i)*Q343*Ramure*Pc/MaxiM</f>
        <v>1.1539204279320979E-3</v>
      </c>
      <c r="Q343" s="305">
        <f t="shared" si="125"/>
        <v>0.7</v>
      </c>
      <c r="R343" s="177">
        <f t="shared" si="126"/>
        <v>0.49970111591180866</v>
      </c>
      <c r="S343" s="921">
        <f t="shared" si="127"/>
        <v>-1</v>
      </c>
      <c r="T343" s="176">
        <f t="shared" si="128"/>
        <v>5</v>
      </c>
      <c r="U343" s="251">
        <f t="shared" si="129"/>
        <v>-0.50029888408819134</v>
      </c>
      <c r="V343" s="383">
        <f t="shared" si="130"/>
        <v>27.003900233623948</v>
      </c>
      <c r="W343" s="402"/>
      <c r="X343" s="157">
        <f t="shared" si="131"/>
        <v>44159</v>
      </c>
      <c r="Y343" s="385">
        <f t="shared" si="132"/>
        <v>24.57</v>
      </c>
      <c r="Z343" s="385">
        <f t="shared" si="133"/>
        <v>25.067925416262256</v>
      </c>
      <c r="AA343" s="386">
        <f t="shared" si="134"/>
        <v>27.249225194700749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8.004997437001253E-2</v>
      </c>
      <c r="AD343" s="231">
        <f>(INDEX(Models!$BJ343:$BT343,,AH343)*(1-AF343)+INDEX(Models!$BJ343:$BT343,,AH343+1)*AF343-ERP_i)*AE343*Ramure*Pc/MaxiM</f>
        <v>1.1539204279320979E-3</v>
      </c>
      <c r="AE343" s="305">
        <f t="shared" si="136"/>
        <v>0.7</v>
      </c>
      <c r="AF343" s="177">
        <f t="shared" si="137"/>
        <v>0.49970111591180866</v>
      </c>
      <c r="AG343" s="921">
        <f t="shared" si="143"/>
        <v>-1</v>
      </c>
      <c r="AH343" s="176">
        <f t="shared" si="138"/>
        <v>5</v>
      </c>
      <c r="AI343" s="225">
        <f t="shared" si="139"/>
        <v>-0.50029888408819134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20">
        <v>25.018000000000001</v>
      </c>
      <c r="C344" s="390"/>
      <c r="D344" s="393">
        <f t="shared" si="122"/>
        <v>25.525563473560904</v>
      </c>
      <c r="E344" s="385">
        <f t="shared" si="120"/>
        <v>27.746712781609443</v>
      </c>
      <c r="F344" s="385">
        <f t="shared" si="123"/>
        <v>27.777098112719983</v>
      </c>
      <c r="G344" s="110">
        <f t="shared" si="121"/>
        <v>0.93377813270336563</v>
      </c>
      <c r="H344" s="414" t="b">
        <f>Wh_hp&gt;='2019'!Maxi_hp</f>
        <v>1</v>
      </c>
      <c r="I344" s="380">
        <f>IF(H344,Wh_hp,'2019'!Maxi_hp)</f>
        <v>27.777098112719983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1.9884515931906099E-2</v>
      </c>
      <c r="M344" s="959"/>
      <c r="N344" s="959"/>
      <c r="O344" s="48">
        <f>IF(t&lt;Tnet,'2019'!Resal+('2019'!Salim-'2019'!Resal)*(1-EXP(('2019'!Tnet-t)/('2019'!Tau_j))),Resal+(Salim-Resal)*(1-EXP((Tnet-t)/(Tau_j))))*Salcycl</f>
        <v>8.0050899201317943E-2</v>
      </c>
      <c r="P344" s="169">
        <f>(INDEX(Models!$BJ344:$BT344,,T344)*(1-R344)+INDEX(Models!$BJ344:$BT344,,T344+1)*R344-ERP_i)*Q344*Ramure*Pc/MaxiM</f>
        <v>1.2079940679942873E-3</v>
      </c>
      <c r="Q344" s="305">
        <f t="shared" si="125"/>
        <v>0.7</v>
      </c>
      <c r="R344" s="177">
        <f t="shared" si="126"/>
        <v>0.49972131596520697</v>
      </c>
      <c r="S344" s="921">
        <f t="shared" si="127"/>
        <v>-1</v>
      </c>
      <c r="T344" s="176">
        <f t="shared" si="128"/>
        <v>5</v>
      </c>
      <c r="U344" s="251">
        <f t="shared" si="129"/>
        <v>-0.50027868403479303</v>
      </c>
      <c r="V344" s="383">
        <f t="shared" si="130"/>
        <v>26.789171388510006</v>
      </c>
      <c r="W344" s="402"/>
      <c r="X344" s="157">
        <f t="shared" si="131"/>
        <v>44160</v>
      </c>
      <c r="Y344" s="385">
        <f t="shared" si="132"/>
        <v>25.018000000000001</v>
      </c>
      <c r="Z344" s="385">
        <f t="shared" si="133"/>
        <v>25.525563473560904</v>
      </c>
      <c r="AA344" s="386">
        <f t="shared" si="134"/>
        <v>27.746712781609443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8.0050899201317943E-2</v>
      </c>
      <c r="AD344" s="231">
        <f>(INDEX(Models!$BJ344:$BT344,,AH344)*(1-AF344)+INDEX(Models!$BJ344:$BT344,,AH344+1)*AF344-ERP_i)*AE344*Ramure*Pc/MaxiM</f>
        <v>1.2079940679942873E-3</v>
      </c>
      <c r="AE344" s="305">
        <f t="shared" si="136"/>
        <v>0.7</v>
      </c>
      <c r="AF344" s="177">
        <f t="shared" si="137"/>
        <v>0.49972131596520697</v>
      </c>
      <c r="AG344" s="921">
        <f t="shared" si="143"/>
        <v>-1</v>
      </c>
      <c r="AH344" s="176">
        <f t="shared" si="138"/>
        <v>5</v>
      </c>
      <c r="AI344" s="225">
        <f t="shared" si="139"/>
        <v>-0.50027868403479303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20">
        <v>19.797000000000001</v>
      </c>
      <c r="C345" s="390"/>
      <c r="D345" s="393">
        <f t="shared" si="122"/>
        <v>20.199082594260393</v>
      </c>
      <c r="E345" s="385">
        <f t="shared" si="120"/>
        <v>21.956794239952711</v>
      </c>
      <c r="F345" s="385">
        <f t="shared" si="123"/>
        <v>21.974477787702121</v>
      </c>
      <c r="G345" s="110">
        <f t="shared" si="121"/>
        <v>0.74454748428867834</v>
      </c>
      <c r="H345" s="414" t="b">
        <f>Wh_hp&gt;='2019'!Maxi_hp</f>
        <v>0</v>
      </c>
      <c r="I345" s="380">
        <f>IF(H345,Wh_hp,'2019'!Maxi_hp)</f>
        <v>27.662208875171967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1.9905982976407222E-2</v>
      </c>
      <c r="M345" s="959"/>
      <c r="N345" s="959"/>
      <c r="O345" s="48">
        <f>IF(t&lt;Tnet,'2019'!Resal+('2019'!Salim-'2019'!Resal)*(1-EXP(('2019'!Tnet-t)/('2019'!Tau_j))),Resal+(Salim-Resal)*(1-EXP((Tnet-t)/(Tau_j))))*Salcycl</f>
        <v>8.0053200229657215E-2</v>
      </c>
      <c r="P345" s="169">
        <f>(INDEX(Models!$BJ345:$BT345,,T345)*(1-R345)+INDEX(Models!$BJ345:$BT345,,T345+1)*R345-ERP_i)*Q345*Ramure*Pc/MaxiM</f>
        <v>1.2661780453113074E-3</v>
      </c>
      <c r="Q345" s="305">
        <f t="shared" si="125"/>
        <v>0.7</v>
      </c>
      <c r="R345" s="177">
        <f t="shared" si="126"/>
        <v>0.49974070423966754</v>
      </c>
      <c r="S345" s="921">
        <f t="shared" si="127"/>
        <v>-1</v>
      </c>
      <c r="T345" s="176">
        <f t="shared" si="128"/>
        <v>5</v>
      </c>
      <c r="U345" s="251">
        <f t="shared" si="129"/>
        <v>-0.50025929576033246</v>
      </c>
      <c r="V345" s="383">
        <f t="shared" si="130"/>
        <v>26.577025370301225</v>
      </c>
      <c r="W345" s="402"/>
      <c r="X345" s="157">
        <f t="shared" si="131"/>
        <v>44161</v>
      </c>
      <c r="Y345" s="385">
        <f t="shared" si="132"/>
        <v>19.797000000000001</v>
      </c>
      <c r="Z345" s="385">
        <f t="shared" si="133"/>
        <v>20.199082594260393</v>
      </c>
      <c r="AA345" s="386">
        <f t="shared" si="134"/>
        <v>21.956794239952711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8.0053200229657215E-2</v>
      </c>
      <c r="AD345" s="231">
        <f>(INDEX(Models!$BJ345:$BT345,,AH345)*(1-AF345)+INDEX(Models!$BJ345:$BT345,,AH345+1)*AF345-ERP_i)*AE345*Ramure*Pc/MaxiM</f>
        <v>1.2661780453113074E-3</v>
      </c>
      <c r="AE345" s="305">
        <f t="shared" si="136"/>
        <v>0.7</v>
      </c>
      <c r="AF345" s="177">
        <f t="shared" si="137"/>
        <v>0.49974070423966754</v>
      </c>
      <c r="AG345" s="921">
        <f t="shared" si="143"/>
        <v>-1</v>
      </c>
      <c r="AH345" s="176">
        <f t="shared" si="138"/>
        <v>5</v>
      </c>
      <c r="AI345" s="225">
        <f t="shared" si="139"/>
        <v>-0.50025929576033246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20">
        <v>17.082000000000001</v>
      </c>
      <c r="C346" s="390"/>
      <c r="D346" s="393">
        <f t="shared" si="122"/>
        <v>17.429321933533842</v>
      </c>
      <c r="E346" s="385">
        <f t="shared" si="120"/>
        <v>18.946086605313759</v>
      </c>
      <c r="F346" s="385">
        <f t="shared" si="123"/>
        <v>18.958573317036816</v>
      </c>
      <c r="G346" s="110">
        <f t="shared" si="121"/>
        <v>0.64749096867332834</v>
      </c>
      <c r="H346" s="414" t="b">
        <f>Wh_hp&gt;='2019'!Maxi_hp</f>
        <v>0</v>
      </c>
      <c r="I346" s="380">
        <f>IF(H346,Wh_hp,'2019'!Maxi_hp)</f>
        <v>20.343286490073936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1.9927449550725007E-2</v>
      </c>
      <c r="M346" s="959"/>
      <c r="N346" s="959"/>
      <c r="O346" s="48">
        <f>IF(t&lt;Tnet,'2019'!Resal+('2019'!Salim-'2019'!Resal)*(1-EXP(('2019'!Tnet-t)/('2019'!Tau_j))),Resal+(Salim-Resal)*(1-EXP((Tnet-t)/(Tau_j))))*Salcycl</f>
        <v>8.0056884747613924E-2</v>
      </c>
      <c r="P346" s="169">
        <f>(INDEX(Models!$BJ346:$BT346,,T346)*(1-R346)+INDEX(Models!$BJ346:$BT346,,T346+1)*R346-ERP_i)*Q346*Ramure*Pc/MaxiM</f>
        <v>1.3251261379778135E-3</v>
      </c>
      <c r="Q346" s="305">
        <f t="shared" si="125"/>
        <v>0.7</v>
      </c>
      <c r="R346" s="177">
        <f t="shared" si="126"/>
        <v>0.49975931329890233</v>
      </c>
      <c r="S346" s="921">
        <f t="shared" si="127"/>
        <v>-1</v>
      </c>
      <c r="T346" s="176">
        <f t="shared" si="128"/>
        <v>5</v>
      </c>
      <c r="U346" s="251">
        <f t="shared" si="129"/>
        <v>-0.50024068670109767</v>
      </c>
      <c r="V346" s="383">
        <f t="shared" si="130"/>
        <v>26.364240212329175</v>
      </c>
      <c r="W346" s="402"/>
      <c r="X346" s="157">
        <f t="shared" si="131"/>
        <v>44162</v>
      </c>
      <c r="Y346" s="385">
        <f t="shared" si="132"/>
        <v>17.082000000000001</v>
      </c>
      <c r="Z346" s="385">
        <f t="shared" si="133"/>
        <v>17.429321933533842</v>
      </c>
      <c r="AA346" s="386">
        <f t="shared" si="134"/>
        <v>18.946086605313759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8.0056884747613924E-2</v>
      </c>
      <c r="AD346" s="231">
        <f>(INDEX(Models!$BJ346:$BT346,,AH346)*(1-AF346)+INDEX(Models!$BJ346:$BT346,,AH346+1)*AF346-ERP_i)*AE346*Ramure*Pc/MaxiM</f>
        <v>1.3251261379778135E-3</v>
      </c>
      <c r="AE346" s="305">
        <f t="shared" si="136"/>
        <v>0.7</v>
      </c>
      <c r="AF346" s="177">
        <f t="shared" si="137"/>
        <v>0.49975931329890233</v>
      </c>
      <c r="AG346" s="921">
        <f t="shared" si="143"/>
        <v>-1</v>
      </c>
      <c r="AH346" s="176">
        <f t="shared" si="138"/>
        <v>5</v>
      </c>
      <c r="AI346" s="225">
        <f t="shared" si="139"/>
        <v>-0.50024068670109767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20">
        <v>10.257</v>
      </c>
      <c r="C347" s="390"/>
      <c r="D347" s="393">
        <f t="shared" si="122"/>
        <v>10.46578098207373</v>
      </c>
      <c r="E347" s="385">
        <f t="shared" si="120"/>
        <v>11.376615022593523</v>
      </c>
      <c r="F347" s="385">
        <f t="shared" si="123"/>
        <v>11.378686215026359</v>
      </c>
      <c r="G347" s="110">
        <f t="shared" si="121"/>
        <v>0.39172828273998145</v>
      </c>
      <c r="H347" s="414" t="b">
        <f>Wh_hp&gt;='2019'!Maxi_hp</f>
        <v>0</v>
      </c>
      <c r="I347" s="380">
        <f>IF(H347,Wh_hp,'2019'!Maxi_hp)</f>
        <v>29.549892661364552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1.9948915654869781E-2</v>
      </c>
      <c r="M347" s="959"/>
      <c r="N347" s="959"/>
      <c r="O347" s="48">
        <f>IF(t&lt;Tnet,'2019'!Resal+('2019'!Salim-'2019'!Resal)*(1-EXP(('2019'!Tnet-t)/('2019'!Tau_j))),Resal+(Salim-Resal)*(1-EXP((Tnet-t)/(Tau_j))))*Salcycl</f>
        <v>8.0061955046462463E-2</v>
      </c>
      <c r="P347" s="169">
        <f>(INDEX(Models!$BJ347:$BT347,,T347)*(1-R347)+INDEX(Models!$BJ347:$BT347,,T347+1)*R347-ERP_i)*Q347*Ramure*Pc/MaxiM</f>
        <v>1.3819750900075833E-3</v>
      </c>
      <c r="Q347" s="305">
        <f t="shared" si="125"/>
        <v>0.7</v>
      </c>
      <c r="R347" s="177">
        <f t="shared" si="126"/>
        <v>0.49977717440503144</v>
      </c>
      <c r="S347" s="921">
        <f t="shared" si="127"/>
        <v>-1</v>
      </c>
      <c r="T347" s="176">
        <f t="shared" si="128"/>
        <v>5</v>
      </c>
      <c r="U347" s="251">
        <f t="shared" si="129"/>
        <v>-0.50022282559496856</v>
      </c>
      <c r="V347" s="383">
        <f t="shared" si="130"/>
        <v>26.152540704691255</v>
      </c>
      <c r="W347" s="402"/>
      <c r="X347" s="157">
        <f t="shared" si="131"/>
        <v>44163</v>
      </c>
      <c r="Y347" s="385">
        <f t="shared" si="132"/>
        <v>10.257</v>
      </c>
      <c r="Z347" s="385">
        <f t="shared" si="133"/>
        <v>10.46578098207373</v>
      </c>
      <c r="AA347" s="386">
        <f t="shared" si="134"/>
        <v>11.376615022593523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8.0061955046462463E-2</v>
      </c>
      <c r="AD347" s="231">
        <f>(INDEX(Models!$BJ347:$BT347,,AH347)*(1-AF347)+INDEX(Models!$BJ347:$BT347,,AH347+1)*AF347-ERP_i)*AE347*Ramure*Pc/MaxiM</f>
        <v>1.3819750900075833E-3</v>
      </c>
      <c r="AE347" s="305">
        <f t="shared" si="136"/>
        <v>0.7</v>
      </c>
      <c r="AF347" s="177">
        <f t="shared" si="137"/>
        <v>0.49977717440503144</v>
      </c>
      <c r="AG347" s="921">
        <f t="shared" si="143"/>
        <v>-1</v>
      </c>
      <c r="AH347" s="176">
        <f t="shared" si="138"/>
        <v>5</v>
      </c>
      <c r="AI347" s="225">
        <f t="shared" si="139"/>
        <v>-0.50022282559496856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20">
        <v>24.61</v>
      </c>
      <c r="C348" s="390"/>
      <c r="D348" s="393">
        <f t="shared" si="122"/>
        <v>25.111485949133847</v>
      </c>
      <c r="E348" s="385">
        <f t="shared" si="120"/>
        <v>27.297123157389276</v>
      </c>
      <c r="F348" s="385">
        <f t="shared" si="123"/>
        <v>27.333508248606524</v>
      </c>
      <c r="G348" s="110">
        <f t="shared" si="121"/>
        <v>0.94849684266870793</v>
      </c>
      <c r="H348" s="414" t="b">
        <f>Wh_hp&gt;='2019'!Maxi_hp</f>
        <v>1</v>
      </c>
      <c r="I348" s="380">
        <f>IF(H348,Wh_hp,'2019'!Maxi_hp)</f>
        <v>27.333508248606524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1.9970381288851757E-2</v>
      </c>
      <c r="M348" s="959"/>
      <c r="N348" s="959"/>
      <c r="O348" s="48">
        <f>IF(t&lt;Tnet,'2019'!Resal+('2019'!Salim-'2019'!Resal)*(1-EXP(('2019'!Tnet-t)/('2019'!Tau_j))),Resal+(Salim-Resal)*(1-EXP((Tnet-t)/(Tau_j))))*Salcycl</f>
        <v>8.0068408515194867E-2</v>
      </c>
      <c r="P348" s="169">
        <f>(INDEX(Models!$BJ348:$BT348,,T348)*(1-R348)+INDEX(Models!$BJ348:$BT348,,T348+1)*R348-ERP_i)*Q348*Ramure*Pc/MaxiM</f>
        <v>1.4366506108361102E-3</v>
      </c>
      <c r="Q348" s="305">
        <f t="shared" si="125"/>
        <v>0.7</v>
      </c>
      <c r="R348" s="177">
        <f t="shared" si="126"/>
        <v>0.49979431757024062</v>
      </c>
      <c r="S348" s="921">
        <f t="shared" si="127"/>
        <v>-1</v>
      </c>
      <c r="T348" s="176">
        <f t="shared" si="128"/>
        <v>5</v>
      </c>
      <c r="U348" s="251">
        <f t="shared" si="129"/>
        <v>-0.50020568242975938</v>
      </c>
      <c r="V348" s="383">
        <f t="shared" si="130"/>
        <v>25.943576346171053</v>
      </c>
      <c r="W348" s="402"/>
      <c r="X348" s="157">
        <f t="shared" si="131"/>
        <v>44164</v>
      </c>
      <c r="Y348" s="385">
        <f t="shared" si="132"/>
        <v>24.61</v>
      </c>
      <c r="Z348" s="385">
        <f t="shared" si="133"/>
        <v>25.111485949133847</v>
      </c>
      <c r="AA348" s="386">
        <f t="shared" si="134"/>
        <v>27.297123157389276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8.0068408515194867E-2</v>
      </c>
      <c r="AD348" s="231">
        <f>(INDEX(Models!$BJ348:$BT348,,AH348)*(1-AF348)+INDEX(Models!$BJ348:$BT348,,AH348+1)*AF348-ERP_i)*AE348*Ramure*Pc/MaxiM</f>
        <v>1.4366506108361102E-3</v>
      </c>
      <c r="AE348" s="305">
        <f t="shared" si="136"/>
        <v>0.7</v>
      </c>
      <c r="AF348" s="177">
        <f t="shared" si="137"/>
        <v>0.49979431757024062</v>
      </c>
      <c r="AG348" s="921">
        <f t="shared" si="143"/>
        <v>-1</v>
      </c>
      <c r="AH348" s="176">
        <f t="shared" si="138"/>
        <v>5</v>
      </c>
      <c r="AI348" s="225">
        <f t="shared" si="139"/>
        <v>-0.50020568242975938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20">
        <v>25.443000000000001</v>
      </c>
      <c r="C349" s="390"/>
      <c r="D349" s="393">
        <f t="shared" si="122"/>
        <v>25.9620288952744</v>
      </c>
      <c r="E349" s="385">
        <f t="shared" si="120"/>
        <v>28.221935296348253</v>
      </c>
      <c r="F349" s="385">
        <f t="shared" si="123"/>
        <v>28.263329653266126</v>
      </c>
      <c r="G349" s="110">
        <f t="shared" si="121"/>
        <v>0.98847585235940016</v>
      </c>
      <c r="H349" s="414" t="b">
        <f>Wh_hp&gt;='2019'!Maxi_hp</f>
        <v>1</v>
      </c>
      <c r="I349" s="380">
        <f>IF(H349,Wh_hp,'2019'!Maxi_hp)</f>
        <v>28.263329653266126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1.9991846452681261E-2</v>
      </c>
      <c r="M349" s="959"/>
      <c r="N349" s="959"/>
      <c r="O349" s="48">
        <f>IF(t&lt;Tnet,'2019'!Resal+('2019'!Salim-'2019'!Resal)*(1-EXP(('2019'!Tnet-t)/('2019'!Tau_j))),Resal+(Salim-Resal)*(1-EXP((Tnet-t)/(Tau_j))))*Salcycl</f>
        <v>8.007623776836699E-2</v>
      </c>
      <c r="P349" s="169">
        <f>(INDEX(Models!$BJ349:$BT349,,T349)*(1-R349)+INDEX(Models!$BJ349:$BT349,,T349+1)*R349-ERP_i)*Q349*Ramure*Pc/MaxiM</f>
        <v>1.4890588688437766E-3</v>
      </c>
      <c r="Q349" s="305">
        <f t="shared" si="125"/>
        <v>0.7</v>
      </c>
      <c r="R349" s="177">
        <f t="shared" si="126"/>
        <v>0.49981077160641607</v>
      </c>
      <c r="S349" s="921">
        <f t="shared" si="127"/>
        <v>-1</v>
      </c>
      <c r="T349" s="176">
        <f t="shared" si="128"/>
        <v>5</v>
      </c>
      <c r="U349" s="251">
        <f t="shared" si="129"/>
        <v>-0.50018922839358393</v>
      </c>
      <c r="V349" s="383">
        <f t="shared" si="130"/>
        <v>25.738996673723388</v>
      </c>
      <c r="W349" s="402"/>
      <c r="X349" s="157">
        <f t="shared" si="131"/>
        <v>44165</v>
      </c>
      <c r="Y349" s="385">
        <f t="shared" si="132"/>
        <v>25.443000000000001</v>
      </c>
      <c r="Z349" s="385">
        <f t="shared" si="133"/>
        <v>25.9620288952744</v>
      </c>
      <c r="AA349" s="386">
        <f t="shared" si="134"/>
        <v>28.221935296348253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8.007623776836699E-2</v>
      </c>
      <c r="AD349" s="231">
        <f>(INDEX(Models!$BJ349:$BT349,,AH349)*(1-AF349)+INDEX(Models!$BJ349:$BT349,,AH349+1)*AF349-ERP_i)*AE349*Ramure*Pc/MaxiM</f>
        <v>1.4890588688437766E-3</v>
      </c>
      <c r="AE349" s="305">
        <f t="shared" si="136"/>
        <v>0.7</v>
      </c>
      <c r="AF349" s="177">
        <f t="shared" si="137"/>
        <v>0.49981077160641607</v>
      </c>
      <c r="AG349" s="921">
        <f t="shared" si="143"/>
        <v>-1</v>
      </c>
      <c r="AH349" s="176">
        <f t="shared" si="138"/>
        <v>5</v>
      </c>
      <c r="AI349" s="225">
        <f t="shared" si="139"/>
        <v>-0.50018922839358393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20">
        <v>3.956</v>
      </c>
      <c r="C350" s="390"/>
      <c r="D350" s="393">
        <f t="shared" si="122"/>
        <v>4.0367895247920647</v>
      </c>
      <c r="E350" s="385">
        <f t="shared" si="120"/>
        <v>4.3882221892728523</v>
      </c>
      <c r="F350" s="385">
        <f t="shared" si="123"/>
        <v>4.3882221892728523</v>
      </c>
      <c r="G350" s="110">
        <f t="shared" si="121"/>
        <v>0.15465315538959704</v>
      </c>
      <c r="H350" s="414" t="b">
        <f>Wh_hp&gt;='2019'!Maxi_hp</f>
        <v>0</v>
      </c>
      <c r="I350" s="380">
        <f>IF(H350,Wh_hp,'2019'!Maxi_hp)</f>
        <v>7.8128549705141292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2.0013311146368506E-2</v>
      </c>
      <c r="M350" s="959"/>
      <c r="N350" s="959"/>
      <c r="O350" s="48">
        <f>IF(t&lt;Tnet,'2019'!Resal+('2019'!Salim-'2019'!Resal)*(1-EXP(('2019'!Tnet-t)/('2019'!Tau_j))),Resal+(Salim-Resal)*(1-EXP((Tnet-t)/(Tau_j))))*Salcycl</f>
        <v>8.0085430801538696E-2</v>
      </c>
      <c r="P350" s="169">
        <f>(INDEX(Models!$BJ350:$BT350,,T350)*(1-R350)+INDEX(Models!$BJ350:$BT350,,T350+1)*R350-ERP_i)*Q350*Ramure*Pc/MaxiM</f>
        <v>1.5390870830600529E-3</v>
      </c>
      <c r="Q350" s="305">
        <f t="shared" si="125"/>
        <v>0.7</v>
      </c>
      <c r="R350" s="177">
        <f t="shared" si="126"/>
        <v>0.49982656417283799</v>
      </c>
      <c r="S350" s="921">
        <f t="shared" si="127"/>
        <v>-1</v>
      </c>
      <c r="T350" s="176">
        <f t="shared" si="128"/>
        <v>5</v>
      </c>
      <c r="U350" s="251">
        <f t="shared" si="129"/>
        <v>-0.50017343582716201</v>
      </c>
      <c r="V350" s="383">
        <f t="shared" si="130"/>
        <v>25.540451221631592</v>
      </c>
      <c r="W350" s="402"/>
      <c r="X350" s="157">
        <f t="shared" si="131"/>
        <v>44166</v>
      </c>
      <c r="Y350" s="385">
        <f t="shared" si="132"/>
        <v>3.956</v>
      </c>
      <c r="Z350" s="385">
        <f t="shared" si="133"/>
        <v>4.0367895247920647</v>
      </c>
      <c r="AA350" s="386">
        <f t="shared" si="134"/>
        <v>4.3882221892728523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8.0085430801538696E-2</v>
      </c>
      <c r="AD350" s="231">
        <f>(INDEX(Models!$BJ350:$BT350,,AH350)*(1-AF350)+INDEX(Models!$BJ350:$BT350,,AH350+1)*AF350-ERP_i)*AE350*Ramure*Pc/MaxiM</f>
        <v>1.5390870830600529E-3</v>
      </c>
      <c r="AE350" s="305">
        <f t="shared" si="136"/>
        <v>0.7</v>
      </c>
      <c r="AF350" s="177">
        <f t="shared" si="137"/>
        <v>0.49982656417283799</v>
      </c>
      <c r="AG350" s="921">
        <f t="shared" si="143"/>
        <v>-1</v>
      </c>
      <c r="AH350" s="176">
        <f t="shared" si="138"/>
        <v>5</v>
      </c>
      <c r="AI350" s="225">
        <f t="shared" si="139"/>
        <v>-0.50017343582716201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20">
        <v>1.0309999999999999</v>
      </c>
      <c r="C351" s="390"/>
      <c r="D351" s="393">
        <f t="shared" si="122"/>
        <v>1.0520781493947287</v>
      </c>
      <c r="E351" s="385">
        <f t="shared" si="120"/>
        <v>1.1436825108116131</v>
      </c>
      <c r="F351" s="385">
        <f t="shared" si="123"/>
        <v>1.1436825108116131</v>
      </c>
      <c r="G351" s="110">
        <f t="shared" si="121"/>
        <v>4.0606740834359709E-2</v>
      </c>
      <c r="H351" s="414" t="b">
        <f>Wh_hp&gt;='2019'!Maxi_hp</f>
        <v>0</v>
      </c>
      <c r="I351" s="380">
        <f>IF(H351,Wh_hp,'2019'!Maxi_hp)</f>
        <v>10.193235268861663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2.0034775369924041E-2</v>
      </c>
      <c r="M351" s="959"/>
      <c r="N351" s="959"/>
      <c r="O351" s="48">
        <f>IF(t&lt;Tnet,'2019'!Resal+('2019'!Salim-'2019'!Resal)*(1-EXP(('2019'!Tnet-t)/('2019'!Tau_j))),Resal+(Salim-Resal)*(1-EXP((Tnet-t)/(Tau_j))))*Salcycl</f>
        <v>8.0095971172871608E-2</v>
      </c>
      <c r="P351" s="169">
        <f>(INDEX(Models!$BJ351:$BT351,,T351)*(1-R351)+INDEX(Models!$BJ351:$BT351,,T351+1)*R351-ERP_i)*Q351*Ramure*Pc/MaxiM</f>
        <v>1.5866043734501089E-3</v>
      </c>
      <c r="Q351" s="305">
        <f t="shared" si="125"/>
        <v>0.7</v>
      </c>
      <c r="R351" s="177">
        <f t="shared" si="126"/>
        <v>0.4998417218220006</v>
      </c>
      <c r="S351" s="921">
        <f t="shared" si="127"/>
        <v>-1</v>
      </c>
      <c r="T351" s="176">
        <f t="shared" si="128"/>
        <v>5</v>
      </c>
      <c r="U351" s="251">
        <f t="shared" si="129"/>
        <v>-0.5001582781779994</v>
      </c>
      <c r="V351" s="383">
        <f t="shared" si="130"/>
        <v>25.349589495248736</v>
      </c>
      <c r="W351" s="402"/>
      <c r="X351" s="157">
        <f t="shared" si="131"/>
        <v>44167</v>
      </c>
      <c r="Y351" s="385">
        <f t="shared" si="132"/>
        <v>1.0309999999999999</v>
      </c>
      <c r="Z351" s="385">
        <f t="shared" si="133"/>
        <v>1.0520781493947287</v>
      </c>
      <c r="AA351" s="386">
        <f t="shared" si="134"/>
        <v>1.1436825108116131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8.0095971172871608E-2</v>
      </c>
      <c r="AD351" s="231">
        <f>(INDEX(Models!$BJ351:$BT351,,AH351)*(1-AF351)+INDEX(Models!$BJ351:$BT351,,AH351+1)*AF351-ERP_i)*AE351*Ramure*Pc/MaxiM</f>
        <v>1.5866043734501089E-3</v>
      </c>
      <c r="AE351" s="305">
        <f t="shared" si="136"/>
        <v>0.7</v>
      </c>
      <c r="AF351" s="177">
        <f t="shared" si="137"/>
        <v>0.4998417218220006</v>
      </c>
      <c r="AG351" s="921">
        <f t="shared" si="143"/>
        <v>-1</v>
      </c>
      <c r="AH351" s="176">
        <f t="shared" si="138"/>
        <v>5</v>
      </c>
      <c r="AI351" s="225">
        <f t="shared" si="139"/>
        <v>-0.5001582781779994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20">
        <v>12.429</v>
      </c>
      <c r="C352" s="390"/>
      <c r="D352" s="393">
        <f t="shared" si="122"/>
        <v>12.68338092063693</v>
      </c>
      <c r="E352" s="385">
        <f t="shared" si="120"/>
        <v>13.787899764192204</v>
      </c>
      <c r="F352" s="385">
        <f t="shared" si="123"/>
        <v>13.794125294942017</v>
      </c>
      <c r="G352" s="110">
        <f t="shared" si="121"/>
        <v>0.49325712389260989</v>
      </c>
      <c r="H352" s="414" t="b">
        <f>Wh_hp&gt;='2019'!Maxi_hp</f>
        <v>1</v>
      </c>
      <c r="I352" s="380">
        <f>IF(H352,Wh_hp,'2019'!Maxi_hp)</f>
        <v>13.794125294942017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2.0056239123357855E-2</v>
      </c>
      <c r="M352" s="959"/>
      <c r="N352" s="959"/>
      <c r="O352" s="48">
        <f>IF(t&lt;Tnet,'2019'!Resal+('2019'!Salim-'2019'!Resal)*(1-EXP(('2019'!Tnet-t)/('2019'!Tau_j))),Resal+(Salim-Resal)*(1-EXP((Tnet-t)/(Tau_j))))*Salcycl</f>
        <v>8.0107838209250617E-2</v>
      </c>
      <c r="P352" s="169">
        <f>(INDEX(Models!$BJ352:$BT352,,T352)*(1-R352)+INDEX(Models!$BJ352:$BT352,,T352+1)*R352-ERP_i)*Q352*Ramure*Pc/MaxiM</f>
        <v>1.6298147926606327E-3</v>
      </c>
      <c r="Q352" s="305">
        <f t="shared" si="125"/>
        <v>0.7</v>
      </c>
      <c r="R352" s="177">
        <f t="shared" si="126"/>
        <v>0.49985627004363553</v>
      </c>
      <c r="S352" s="921">
        <f t="shared" si="127"/>
        <v>-1</v>
      </c>
      <c r="T352" s="176">
        <f t="shared" si="128"/>
        <v>5</v>
      </c>
      <c r="U352" s="251">
        <f t="shared" si="129"/>
        <v>-0.50014372995636447</v>
      </c>
      <c r="V352" s="383">
        <f t="shared" si="130"/>
        <v>25.16810248182362</v>
      </c>
      <c r="W352" s="402"/>
      <c r="X352" s="157">
        <f t="shared" si="131"/>
        <v>44168</v>
      </c>
      <c r="Y352" s="385">
        <f t="shared" si="132"/>
        <v>12.429</v>
      </c>
      <c r="Z352" s="385">
        <f t="shared" si="133"/>
        <v>12.68338092063693</v>
      </c>
      <c r="AA352" s="386">
        <f t="shared" si="134"/>
        <v>13.787899764192204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8.0107838209250617E-2</v>
      </c>
      <c r="AD352" s="231">
        <f>(INDEX(Models!$BJ352:$BT352,,AH352)*(1-AF352)+INDEX(Models!$BJ352:$BT352,,AH352+1)*AF352-ERP_i)*AE352*Ramure*Pc/MaxiM</f>
        <v>1.6298147926606327E-3</v>
      </c>
      <c r="AE352" s="305">
        <f t="shared" si="136"/>
        <v>0.7</v>
      </c>
      <c r="AF352" s="177">
        <f t="shared" si="137"/>
        <v>0.49985627004363553</v>
      </c>
      <c r="AG352" s="921">
        <f t="shared" si="143"/>
        <v>-1</v>
      </c>
      <c r="AH352" s="176">
        <f t="shared" si="138"/>
        <v>5</v>
      </c>
      <c r="AI352" s="225">
        <f t="shared" si="139"/>
        <v>-0.50014372995636447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20">
        <v>8.8710000000000004</v>
      </c>
      <c r="C353" s="390"/>
      <c r="D353" s="393">
        <f t="shared" si="122"/>
        <v>9.052758592989564</v>
      </c>
      <c r="E353" s="385">
        <f t="shared" si="120"/>
        <v>9.8412494080114037</v>
      </c>
      <c r="F353" s="385">
        <f t="shared" si="123"/>
        <v>9.8425361029522183</v>
      </c>
      <c r="G353" s="110">
        <f t="shared" si="121"/>
        <v>0.3543277131891362</v>
      </c>
      <c r="H353" s="414" t="b">
        <f>Wh_hp&gt;='2019'!Maxi_hp</f>
        <v>0</v>
      </c>
      <c r="I353" s="380">
        <f>IF(H353,Wh_hp,'2019'!Maxi_hp)</f>
        <v>21.606623524518486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2.0077702406680387E-2</v>
      </c>
      <c r="M353" s="959"/>
      <c r="N353" s="959"/>
      <c r="O353" s="48">
        <f>IF(t&lt;Tnet,'2019'!Resal+('2019'!Salim-'2019'!Resal)*(1-EXP(('2019'!Tnet-t)/('2019'!Tau_j))),Resal+(Salim-Resal)*(1-EXP((Tnet-t)/(Tau_j))))*Salcycl</f>
        <v>8.0121007235113589E-2</v>
      </c>
      <c r="P353" s="169">
        <f>(INDEX(Models!$BJ353:$BT353,,T353)*(1-R353)+INDEX(Models!$BJ353:$BT353,,T353+1)*R353-ERP_i)*Q353*Ramure*Pc/MaxiM</f>
        <v>1.6676554933110648E-3</v>
      </c>
      <c r="Q353" s="305">
        <f t="shared" si="125"/>
        <v>0.7</v>
      </c>
      <c r="R353" s="177">
        <f t="shared" si="126"/>
        <v>0.49987023330700453</v>
      </c>
      <c r="S353" s="921">
        <f t="shared" si="127"/>
        <v>-1</v>
      </c>
      <c r="T353" s="176">
        <f t="shared" si="128"/>
        <v>5</v>
      </c>
      <c r="U353" s="251">
        <f t="shared" si="129"/>
        <v>-0.50012976669299547</v>
      </c>
      <c r="V353" s="383">
        <f t="shared" si="130"/>
        <v>24.997661215346046</v>
      </c>
      <c r="W353" s="402"/>
      <c r="X353" s="157">
        <f t="shared" si="131"/>
        <v>44169</v>
      </c>
      <c r="Y353" s="385">
        <f t="shared" si="132"/>
        <v>8.8710000000000004</v>
      </c>
      <c r="Z353" s="385">
        <f t="shared" si="133"/>
        <v>9.052758592989564</v>
      </c>
      <c r="AA353" s="386">
        <f t="shared" si="134"/>
        <v>9.8412494080114037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8.0121007235113589E-2</v>
      </c>
      <c r="AD353" s="231">
        <f>(INDEX(Models!$BJ353:$BT353,,AH353)*(1-AF353)+INDEX(Models!$BJ353:$BT353,,AH353+1)*AF353-ERP_i)*AE353*Ramure*Pc/MaxiM</f>
        <v>1.6676554933110648E-3</v>
      </c>
      <c r="AE353" s="305">
        <f t="shared" si="136"/>
        <v>0.7</v>
      </c>
      <c r="AF353" s="177">
        <f t="shared" si="137"/>
        <v>0.49987023330700453</v>
      </c>
      <c r="AG353" s="921">
        <f t="shared" si="143"/>
        <v>-1</v>
      </c>
      <c r="AH353" s="176">
        <f t="shared" si="138"/>
        <v>5</v>
      </c>
      <c r="AI353" s="225">
        <f t="shared" si="139"/>
        <v>-0.50012976669299547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20">
        <v>20.725000000000001</v>
      </c>
      <c r="C354" s="390"/>
      <c r="D354" s="393">
        <f t="shared" si="122"/>
        <v>21.150099341073577</v>
      </c>
      <c r="E354" s="385">
        <f t="shared" si="120"/>
        <v>22.992623573743625</v>
      </c>
      <c r="F354" s="385">
        <f t="shared" si="123"/>
        <v>23.022498392650729</v>
      </c>
      <c r="G354" s="110">
        <f t="shared" si="121"/>
        <v>0.83400656646067683</v>
      </c>
      <c r="H354" s="414" t="b">
        <f>Wh_hp&gt;='2019'!Maxi_hp</f>
        <v>1</v>
      </c>
      <c r="I354" s="380">
        <f>IF(H354,Wh_hp,'2019'!Maxi_hp)</f>
        <v>23.022498392650729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2.009916521990196E-2</v>
      </c>
      <c r="M354" s="959"/>
      <c r="N354" s="959"/>
      <c r="O354" s="48">
        <f>IF(t&lt;Tnet,'2019'!Resal+('2019'!Salim-'2019'!Resal)*(1-EXP(('2019'!Tnet-t)/('2019'!Tau_j))),Resal+(Salim-Resal)*(1-EXP((Tnet-t)/(Tau_j))))*Salcycl</f>
        <v>8.0135449822007807E-2</v>
      </c>
      <c r="P354" s="169">
        <f>(INDEX(Models!$BJ354:$BT354,,T354)*(1-R354)+INDEX(Models!$BJ354:$BT354,,T354+1)*R354-ERP_i)*Q354*Ramure*Pc/MaxiM</f>
        <v>1.6999299561949995E-3</v>
      </c>
      <c r="Q354" s="305">
        <f t="shared" si="125"/>
        <v>0.7</v>
      </c>
      <c r="R354" s="177">
        <f t="shared" si="126"/>
        <v>0.49988363510152745</v>
      </c>
      <c r="S354" s="921">
        <f t="shared" si="127"/>
        <v>-1</v>
      </c>
      <c r="T354" s="176">
        <f t="shared" si="128"/>
        <v>5</v>
      </c>
      <c r="U354" s="251">
        <f t="shared" si="129"/>
        <v>-0.50011636489847255</v>
      </c>
      <c r="V354" s="383">
        <f t="shared" si="130"/>
        <v>24.839914281589646</v>
      </c>
      <c r="W354" s="402"/>
      <c r="X354" s="157">
        <f t="shared" si="131"/>
        <v>44170</v>
      </c>
      <c r="Y354" s="385">
        <f t="shared" si="132"/>
        <v>20.725000000000001</v>
      </c>
      <c r="Z354" s="385">
        <f t="shared" si="133"/>
        <v>21.150099341073577</v>
      </c>
      <c r="AA354" s="386">
        <f t="shared" si="134"/>
        <v>22.992623573743625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8.0135449822007807E-2</v>
      </c>
      <c r="AD354" s="231">
        <f>(INDEX(Models!$BJ354:$BT354,,AH354)*(1-AF354)+INDEX(Models!$BJ354:$BT354,,AH354+1)*AF354-ERP_i)*AE354*Ramure*Pc/MaxiM</f>
        <v>1.6999299561949995E-3</v>
      </c>
      <c r="AE354" s="305">
        <f t="shared" si="136"/>
        <v>0.7</v>
      </c>
      <c r="AF354" s="177">
        <f t="shared" si="137"/>
        <v>0.49988363510152745</v>
      </c>
      <c r="AG354" s="921">
        <f t="shared" si="143"/>
        <v>-1</v>
      </c>
      <c r="AH354" s="176">
        <f t="shared" si="138"/>
        <v>5</v>
      </c>
      <c r="AI354" s="225">
        <f t="shared" si="139"/>
        <v>-0.50011636489847255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20">
        <v>12.45</v>
      </c>
      <c r="C355" s="390"/>
      <c r="D355" s="393">
        <f t="shared" si="122"/>
        <v>12.705645562307081</v>
      </c>
      <c r="E355" s="385">
        <f t="shared" si="120"/>
        <v>13.812753412788219</v>
      </c>
      <c r="F355" s="385">
        <f t="shared" si="123"/>
        <v>13.819710646749522</v>
      </c>
      <c r="G355" s="110">
        <f t="shared" si="121"/>
        <v>0.5035029563708906</v>
      </c>
      <c r="H355" s="414" t="b">
        <f>Wh_hp&gt;='2019'!Maxi_hp</f>
        <v>0</v>
      </c>
      <c r="I355" s="380">
        <f>IF(H355,Wh_hp,'2019'!Maxi_hp)</f>
        <v>23.615013833101326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2.01206275630329E-2</v>
      </c>
      <c r="M355" s="959"/>
      <c r="N355" s="959"/>
      <c r="O355" s="48">
        <f>IF(t&lt;Tnet,'2019'!Resal+('2019'!Salim-'2019'!Resal)*(1-EXP(('2019'!Tnet-t)/('2019'!Tau_j))),Resal+(Salim-Resal)*(1-EXP((Tnet-t)/(Tau_j))))*Salcycl</f>
        <v>8.0151134056743983E-2</v>
      </c>
      <c r="P355" s="169">
        <f>(INDEX(Models!$BJ355:$BT355,,T355)*(1-R355)+INDEX(Models!$BJ355:$BT355,,T355+1)*R355-ERP_i)*Q355*Ramure*Pc/MaxiM</f>
        <v>1.726436241211549E-3</v>
      </c>
      <c r="Q355" s="305">
        <f t="shared" si="125"/>
        <v>0.7</v>
      </c>
      <c r="R355" s="177">
        <f t="shared" si="126"/>
        <v>0.49989649797581248</v>
      </c>
      <c r="S355" s="921">
        <f t="shared" si="127"/>
        <v>-1</v>
      </c>
      <c r="T355" s="176">
        <f t="shared" si="128"/>
        <v>5</v>
      </c>
      <c r="U355" s="251">
        <f t="shared" si="129"/>
        <v>-0.50010350202418752</v>
      </c>
      <c r="V355" s="383">
        <f t="shared" si="130"/>
        <v>24.696510169361662</v>
      </c>
      <c r="W355" s="402"/>
      <c r="X355" s="157">
        <f t="shared" si="131"/>
        <v>44171</v>
      </c>
      <c r="Y355" s="385">
        <f t="shared" si="132"/>
        <v>12.45</v>
      </c>
      <c r="Z355" s="385">
        <f t="shared" si="133"/>
        <v>12.705645562307081</v>
      </c>
      <c r="AA355" s="386">
        <f t="shared" si="134"/>
        <v>13.812753412788219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8.0151134056743983E-2</v>
      </c>
      <c r="AD355" s="231">
        <f>(INDEX(Models!$BJ355:$BT355,,AH355)*(1-AF355)+INDEX(Models!$BJ355:$BT355,,AH355+1)*AF355-ERP_i)*AE355*Ramure*Pc/MaxiM</f>
        <v>1.726436241211549E-3</v>
      </c>
      <c r="AE355" s="305">
        <f t="shared" si="136"/>
        <v>0.7</v>
      </c>
      <c r="AF355" s="177">
        <f t="shared" si="137"/>
        <v>0.49989649797581248</v>
      </c>
      <c r="AG355" s="921">
        <f t="shared" si="143"/>
        <v>-1</v>
      </c>
      <c r="AH355" s="176">
        <f t="shared" si="138"/>
        <v>5</v>
      </c>
      <c r="AI355" s="225">
        <f t="shared" si="139"/>
        <v>-0.50010350202418752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20">
        <v>2.222</v>
      </c>
      <c r="C356" s="390"/>
      <c r="D356" s="393">
        <f t="shared" si="122"/>
        <v>2.2676757273115444</v>
      </c>
      <c r="E356" s="385">
        <f t="shared" si="120"/>
        <v>2.4653151755050837</v>
      </c>
      <c r="F356" s="385">
        <f t="shared" si="123"/>
        <v>2.4653151755050837</v>
      </c>
      <c r="G356" s="110">
        <f t="shared" si="121"/>
        <v>9.0280819210011951E-2</v>
      </c>
      <c r="H356" s="414" t="b">
        <f>Wh_hp&gt;='2019'!Maxi_hp</f>
        <v>0</v>
      </c>
      <c r="I356" s="380">
        <f>IF(H356,Wh_hp,'2019'!Maxi_hp)</f>
        <v>18.625313050324355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2.014208943608331E-2</v>
      </c>
      <c r="M356" s="959"/>
      <c r="N356" s="959"/>
      <c r="O356" s="48">
        <f>IF(t&lt;Tnet,'2019'!Resal+('2019'!Salim-'2019'!Resal)*(1-EXP(('2019'!Tnet-t)/('2019'!Tau_j))),Resal+(Salim-Resal)*(1-EXP((Tnet-t)/(Tau_j))))*Salcycl</f>
        <v>8.0168024825891804E-2</v>
      </c>
      <c r="P356" s="169">
        <f>(INDEX(Models!$BJ356:$BT356,,T356)*(1-R356)+INDEX(Models!$BJ356:$BT356,,T356+1)*R356-ERP_i)*Q356*Ramure*Pc/MaxiM</f>
        <v>1.7469718924517594E-3</v>
      </c>
      <c r="Q356" s="305">
        <f t="shared" si="125"/>
        <v>0.7</v>
      </c>
      <c r="R356" s="177">
        <f t="shared" si="126"/>
        <v>0.49990884357514664</v>
      </c>
      <c r="S356" s="921">
        <f t="shared" si="127"/>
        <v>-1</v>
      </c>
      <c r="T356" s="176">
        <f t="shared" si="128"/>
        <v>5</v>
      </c>
      <c r="U356" s="251">
        <f t="shared" si="129"/>
        <v>-0.50009115642485336</v>
      </c>
      <c r="V356" s="383">
        <f t="shared" si="130"/>
        <v>24.569097266332598</v>
      </c>
      <c r="W356" s="402"/>
      <c r="X356" s="157">
        <f t="shared" si="131"/>
        <v>44172</v>
      </c>
      <c r="Y356" s="385">
        <f t="shared" si="132"/>
        <v>2.222</v>
      </c>
      <c r="Z356" s="385">
        <f t="shared" si="133"/>
        <v>2.2676757273115444</v>
      </c>
      <c r="AA356" s="386">
        <f t="shared" si="134"/>
        <v>2.4653151755050837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8.0168024825891804E-2</v>
      </c>
      <c r="AD356" s="231">
        <f>(INDEX(Models!$BJ356:$BT356,,AH356)*(1-AF356)+INDEX(Models!$BJ356:$BT356,,AH356+1)*AF356-ERP_i)*AE356*Ramure*Pc/MaxiM</f>
        <v>1.7469718924517594E-3</v>
      </c>
      <c r="AE356" s="305">
        <f t="shared" si="136"/>
        <v>0.7</v>
      </c>
      <c r="AF356" s="177">
        <f t="shared" si="137"/>
        <v>0.49990884357514664</v>
      </c>
      <c r="AG356" s="921">
        <f t="shared" si="143"/>
        <v>-1</v>
      </c>
      <c r="AH356" s="176">
        <f t="shared" si="138"/>
        <v>5</v>
      </c>
      <c r="AI356" s="225">
        <f t="shared" si="139"/>
        <v>-0.50009115642485336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20">
        <v>7.4189999999999996</v>
      </c>
      <c r="C357" s="390"/>
      <c r="D357" s="393">
        <f t="shared" si="122"/>
        <v>7.5716717890553209</v>
      </c>
      <c r="E357" s="385">
        <f t="shared" si="120"/>
        <v>8.2317430278971866</v>
      </c>
      <c r="F357" s="385">
        <f t="shared" si="123"/>
        <v>8.2318117928702836</v>
      </c>
      <c r="G357" s="110">
        <f t="shared" si="121"/>
        <v>0.30278819415620284</v>
      </c>
      <c r="H357" s="414" t="b">
        <f>Wh_hp&gt;='2019'!Maxi_hp</f>
        <v>0</v>
      </c>
      <c r="I357" s="380">
        <f>IF(H357,Wh_hp,'2019'!Maxi_hp)</f>
        <v>9.4747658981708156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2.0163550839063737E-2</v>
      </c>
      <c r="M357" s="959"/>
      <c r="N357" s="959"/>
      <c r="O357" s="48">
        <f>IF(t&lt;Tnet,'2019'!Resal+('2019'!Salim-'2019'!Resal)*(1-EXP(('2019'!Tnet-t)/('2019'!Tau_j))),Resal+(Salim-Resal)*(1-EXP((Tnet-t)/(Tau_j))))*Salcycl</f>
        <v>8.0186084114251363E-2</v>
      </c>
      <c r="P357" s="169">
        <f>(INDEX(Models!$BJ357:$BT357,,T357)*(1-R357)+INDEX(Models!$BJ357:$BT357,,T357+1)*R357-ERP_i)*Q357*Ramure*Pc/MaxiM</f>
        <v>1.7613393533575559E-3</v>
      </c>
      <c r="Q357" s="305">
        <f t="shared" si="125"/>
        <v>0.7</v>
      </c>
      <c r="R357" s="177">
        <f t="shared" si="126"/>
        <v>0.49992069267750661</v>
      </c>
      <c r="S357" s="921">
        <f t="shared" si="127"/>
        <v>-1</v>
      </c>
      <c r="T357" s="176">
        <f t="shared" si="128"/>
        <v>5</v>
      </c>
      <c r="U357" s="251">
        <f t="shared" si="129"/>
        <v>-0.50007930732249339</v>
      </c>
      <c r="V357" s="383">
        <f t="shared" si="130"/>
        <v>24.459323820173719</v>
      </c>
      <c r="W357" s="402"/>
      <c r="X357" s="157">
        <f t="shared" si="131"/>
        <v>44173</v>
      </c>
      <c r="Y357" s="385">
        <f t="shared" si="132"/>
        <v>7.4189999999999996</v>
      </c>
      <c r="Z357" s="385">
        <f t="shared" si="133"/>
        <v>7.5716717890553209</v>
      </c>
      <c r="AA357" s="386">
        <f t="shared" si="134"/>
        <v>8.2317430278971866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8.0186084114251363E-2</v>
      </c>
      <c r="AD357" s="231">
        <f>(INDEX(Models!$BJ357:$BT357,,AH357)*(1-AF357)+INDEX(Models!$BJ357:$BT357,,AH357+1)*AF357-ERP_i)*AE357*Ramure*Pc/MaxiM</f>
        <v>1.7613393533575559E-3</v>
      </c>
      <c r="AE357" s="305">
        <f t="shared" si="136"/>
        <v>0.7</v>
      </c>
      <c r="AF357" s="177">
        <f t="shared" si="137"/>
        <v>0.49992069267750661</v>
      </c>
      <c r="AG357" s="921">
        <f t="shared" si="143"/>
        <v>-1</v>
      </c>
      <c r="AH357" s="176">
        <f t="shared" si="138"/>
        <v>5</v>
      </c>
      <c r="AI357" s="225">
        <f t="shared" si="139"/>
        <v>-0.50007930732249339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20">
        <v>7.1680000000000001</v>
      </c>
      <c r="C358" s="390"/>
      <c r="D358" s="393">
        <f t="shared" si="122"/>
        <v>7.3156668208997768</v>
      </c>
      <c r="E358" s="385">
        <f t="shared" si="120"/>
        <v>7.9535863739484061</v>
      </c>
      <c r="F358" s="385">
        <f t="shared" si="123"/>
        <v>7.9535863739484061</v>
      </c>
      <c r="G358" s="110">
        <f t="shared" si="121"/>
        <v>0.29362570831373908</v>
      </c>
      <c r="H358" s="414" t="b">
        <f>Wh_hp&gt;='2019'!Maxi_hp</f>
        <v>0</v>
      </c>
      <c r="I358" s="380">
        <f>IF(H358,Wh_hp,'2019'!Maxi_hp)</f>
        <v>22.134135091685113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2.0185011771984285E-2</v>
      </c>
      <c r="M358" s="959"/>
      <c r="N358" s="959"/>
      <c r="O358" s="48">
        <f>IF(t&lt;Tnet,'2019'!Resal+('2019'!Salim-'2019'!Resal)*(1-EXP(('2019'!Tnet-t)/('2019'!Tau_j))),Resal+(Salim-Resal)*(1-EXP((Tnet-t)/(Tau_j))))*Salcycl</f>
        <v>8.020527131485039E-2</v>
      </c>
      <c r="P358" s="169">
        <f>(INDEX(Models!$BJ358:$BT358,,T358)*(1-R358)+INDEX(Models!$BJ358:$BT358,,T358+1)*R358-ERP_i)*Q358*Ramure*Pc/MaxiM</f>
        <v>1.7693518288684198E-3</v>
      </c>
      <c r="Q358" s="305">
        <f t="shared" si="125"/>
        <v>0.7</v>
      </c>
      <c r="R358" s="177">
        <f t="shared" si="126"/>
        <v>0.49993206522815115</v>
      </c>
      <c r="S358" s="921">
        <f t="shared" si="127"/>
        <v>-1</v>
      </c>
      <c r="T358" s="176">
        <f t="shared" si="128"/>
        <v>5</v>
      </c>
      <c r="U358" s="251">
        <f t="shared" si="129"/>
        <v>-0.50006793477184885</v>
      </c>
      <c r="V358" s="383">
        <f t="shared" si="130"/>
        <v>24.368837889512097</v>
      </c>
      <c r="W358" s="402"/>
      <c r="X358" s="157">
        <f t="shared" si="131"/>
        <v>44174</v>
      </c>
      <c r="Y358" s="385">
        <f t="shared" si="132"/>
        <v>7.1680000000000001</v>
      </c>
      <c r="Z358" s="385">
        <f t="shared" si="133"/>
        <v>7.3156668208997768</v>
      </c>
      <c r="AA358" s="386">
        <f t="shared" si="134"/>
        <v>7.9535863739484061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8.020527131485039E-2</v>
      </c>
      <c r="AD358" s="231">
        <f>(INDEX(Models!$BJ358:$BT358,,AH358)*(1-AF358)+INDEX(Models!$BJ358:$BT358,,AH358+1)*AF358-ERP_i)*AE358*Ramure*Pc/MaxiM</f>
        <v>1.7693518288684198E-3</v>
      </c>
      <c r="AE358" s="305">
        <f t="shared" si="136"/>
        <v>0.7</v>
      </c>
      <c r="AF358" s="177">
        <f t="shared" si="137"/>
        <v>0.49993206522815115</v>
      </c>
      <c r="AG358" s="921">
        <f t="shared" si="143"/>
        <v>-1</v>
      </c>
      <c r="AH358" s="176">
        <f t="shared" si="138"/>
        <v>5</v>
      </c>
      <c r="AI358" s="225">
        <f t="shared" si="139"/>
        <v>-0.50006793477184885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20">
        <v>4.4829999999999997</v>
      </c>
      <c r="C359" s="390"/>
      <c r="D359" s="393">
        <f t="shared" si="122"/>
        <v>4.5754537797626371</v>
      </c>
      <c r="E359" s="385">
        <f t="shared" si="120"/>
        <v>4.9745388640298396</v>
      </c>
      <c r="F359" s="385">
        <f t="shared" si="123"/>
        <v>4.9745388640298396</v>
      </c>
      <c r="G359" s="110">
        <f t="shared" si="121"/>
        <v>0.18418787887236532</v>
      </c>
      <c r="H359" s="414" t="b">
        <f>Wh_hp&gt;='2019'!Maxi_hp</f>
        <v>0</v>
      </c>
      <c r="I359" s="380">
        <f>IF(H359,Wh_hp,'2019'!Maxi_hp)</f>
        <v>23.016717284204159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2.0206472234855388E-2</v>
      </c>
      <c r="M359" s="959"/>
      <c r="N359" s="959"/>
      <c r="O359" s="48">
        <f>IF(t&lt;Tnet,'2019'!Resal+('2019'!Salim-'2019'!Resal)*(1-EXP(('2019'!Tnet-t)/('2019'!Tau_j))),Resal+(Salim-Resal)*(1-EXP((Tnet-t)/(Tau_j))))*Salcycl</f>
        <v>8.0225543547951292E-2</v>
      </c>
      <c r="P359" s="169">
        <f>(INDEX(Models!$BJ359:$BT359,,T359)*(1-R359)+INDEX(Models!$BJ359:$BT359,,T359+1)*R359-ERP_i)*Q359*Ramure*Pc/MaxiM</f>
        <v>1.7710661872307539E-3</v>
      </c>
      <c r="Q359" s="305">
        <f t="shared" si="125"/>
        <v>0.7</v>
      </c>
      <c r="R359" s="177">
        <f t="shared" si="126"/>
        <v>0.49994298037284257</v>
      </c>
      <c r="S359" s="921">
        <f t="shared" si="127"/>
        <v>-1</v>
      </c>
      <c r="T359" s="176">
        <f t="shared" si="128"/>
        <v>5</v>
      </c>
      <c r="U359" s="251">
        <f t="shared" si="129"/>
        <v>-0.50005701962715743</v>
      </c>
      <c r="V359" s="383">
        <f t="shared" si="130"/>
        <v>24.296171592179949</v>
      </c>
      <c r="W359" s="402"/>
      <c r="X359" s="157">
        <f t="shared" si="131"/>
        <v>44175</v>
      </c>
      <c r="Y359" s="385">
        <f t="shared" si="132"/>
        <v>4.4829999999999997</v>
      </c>
      <c r="Z359" s="385">
        <f t="shared" si="133"/>
        <v>4.5754537797626371</v>
      </c>
      <c r="AA359" s="386">
        <f t="shared" si="134"/>
        <v>4.9745388640298396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8.0225543547951292E-2</v>
      </c>
      <c r="AD359" s="231">
        <f>(INDEX(Models!$BJ359:$BT359,,AH359)*(1-AF359)+INDEX(Models!$BJ359:$BT359,,AH359+1)*AF359-ERP_i)*AE359*Ramure*Pc/MaxiM</f>
        <v>1.7710661872307539E-3</v>
      </c>
      <c r="AE359" s="305">
        <f t="shared" si="136"/>
        <v>0.7</v>
      </c>
      <c r="AF359" s="177">
        <f t="shared" si="137"/>
        <v>0.49994298037284257</v>
      </c>
      <c r="AG359" s="921">
        <f t="shared" si="143"/>
        <v>-1</v>
      </c>
      <c r="AH359" s="176">
        <f t="shared" si="138"/>
        <v>5</v>
      </c>
      <c r="AI359" s="225">
        <f t="shared" si="139"/>
        <v>-0.50005701962715743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20">
        <v>6.383</v>
      </c>
      <c r="C360" s="390"/>
      <c r="D360" s="393">
        <f t="shared" si="122"/>
        <v>6.5147805392257139</v>
      </c>
      <c r="E360" s="385">
        <f t="shared" si="120"/>
        <v>7.0831837668936135</v>
      </c>
      <c r="F360" s="385">
        <f t="shared" si="123"/>
        <v>7.0831837668936135</v>
      </c>
      <c r="G360" s="110">
        <f t="shared" si="121"/>
        <v>0.26287671566969328</v>
      </c>
      <c r="H360" s="414" t="b">
        <f>Wh_hp&gt;='2019'!Maxi_hp</f>
        <v>1</v>
      </c>
      <c r="I360" s="380">
        <f>IF(H360,Wh_hp,'2019'!Maxi_hp)</f>
        <v>7.0831837668936135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2.0227932227687262E-2</v>
      </c>
      <c r="M360" s="959"/>
      <c r="N360" s="959"/>
      <c r="O360" s="48">
        <f>IF(t&lt;Tnet,'2019'!Resal+('2019'!Salim-'2019'!Resal)*(1-EXP(('2019'!Tnet-t)/('2019'!Tau_j))),Resal+(Salim-Resal)*(1-EXP((Tnet-t)/(Tau_j))))*Salcycl</f>
        <v>8.0246855986510338E-2</v>
      </c>
      <c r="P360" s="169">
        <f>(INDEX(Models!$BJ360:$BT360,,T360)*(1-R360)+INDEX(Models!$BJ360:$BT360,,T360+1)*R360-ERP_i)*Q360*Ramure*Pc/MaxiM</f>
        <v>1.766664716010618E-3</v>
      </c>
      <c r="Q360" s="305">
        <f t="shared" si="125"/>
        <v>0.7</v>
      </c>
      <c r="R360" s="177">
        <f t="shared" si="126"/>
        <v>0.4999534564897572</v>
      </c>
      <c r="S360" s="921">
        <f t="shared" si="127"/>
        <v>-1</v>
      </c>
      <c r="T360" s="176">
        <f t="shared" si="128"/>
        <v>5</v>
      </c>
      <c r="U360" s="251">
        <f t="shared" si="129"/>
        <v>-0.5000465435102428</v>
      </c>
      <c r="V360" s="383">
        <f t="shared" si="130"/>
        <v>24.238447147688142</v>
      </c>
      <c r="W360" s="402"/>
      <c r="X360" s="157">
        <f t="shared" si="131"/>
        <v>44176</v>
      </c>
      <c r="Y360" s="385">
        <f t="shared" si="132"/>
        <v>6.383</v>
      </c>
      <c r="Z360" s="385">
        <f t="shared" si="133"/>
        <v>6.5147805392257139</v>
      </c>
      <c r="AA360" s="386">
        <f t="shared" si="134"/>
        <v>7.0831837668936135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8.0246855986510338E-2</v>
      </c>
      <c r="AD360" s="231">
        <f>(INDEX(Models!$BJ360:$BT360,,AH360)*(1-AF360)+INDEX(Models!$BJ360:$BT360,,AH360+1)*AF360-ERP_i)*AE360*Ramure*Pc/MaxiM</f>
        <v>1.766664716010618E-3</v>
      </c>
      <c r="AE360" s="305">
        <f t="shared" si="136"/>
        <v>0.7</v>
      </c>
      <c r="AF360" s="177">
        <f t="shared" si="137"/>
        <v>0.4999534564897572</v>
      </c>
      <c r="AG360" s="921">
        <f t="shared" si="143"/>
        <v>-1</v>
      </c>
      <c r="AH360" s="176">
        <f t="shared" si="138"/>
        <v>5</v>
      </c>
      <c r="AI360" s="225">
        <f t="shared" si="139"/>
        <v>-0.5000465435102428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20">
        <v>10.333</v>
      </c>
      <c r="C361" s="390"/>
      <c r="D361" s="393">
        <f t="shared" si="122"/>
        <v>10.546561454513055</v>
      </c>
      <c r="E361" s="385">
        <f t="shared" ref="E361:E380" si="144">Wh_pvt/(1-Psa)</f>
        <v>11.467008630018691</v>
      </c>
      <c r="F361" s="385">
        <f t="shared" si="123"/>
        <v>11.470675103002</v>
      </c>
      <c r="G361" s="110">
        <f t="shared" ref="G361:G380" si="145">+Wh_hp/MaxiM</f>
        <v>0.42645452476757006</v>
      </c>
      <c r="H361" s="414" t="b">
        <f>Wh_hp&gt;='2019'!Maxi_hp</f>
        <v>1</v>
      </c>
      <c r="I361" s="380">
        <f>IF(H361,Wh_hp,'2019'!Maxi_hp)</f>
        <v>11.470675103002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2.0249391750490231E-2</v>
      </c>
      <c r="M361" s="959"/>
      <c r="N361" s="959"/>
      <c r="O361" s="48">
        <f>IF(t&lt;Tnet,'2019'!Resal+('2019'!Salim-'2019'!Resal)*(1-EXP(('2019'!Tnet-t)/('2019'!Tau_j))),Resal+(Salim-Resal)*(1-EXP((Tnet-t)/(Tau_j))))*Salcycl</f>
        <v>8.0269162185511972E-2</v>
      </c>
      <c r="P361" s="169">
        <f>(INDEX(Models!$BJ361:$BT361,,T361)*(1-R361)+INDEX(Models!$BJ361:$BT361,,T361+1)*R361-ERP_i)*Q361*Ramure*Pc/MaxiM</f>
        <v>1.760815365237366E-3</v>
      </c>
      <c r="Q361" s="305">
        <f t="shared" si="125"/>
        <v>0.7</v>
      </c>
      <c r="R361" s="177">
        <f t="shared" si="126"/>
        <v>0.49996351122013316</v>
      </c>
      <c r="S361" s="921">
        <f t="shared" si="127"/>
        <v>-1</v>
      </c>
      <c r="T361" s="176">
        <f t="shared" si="128"/>
        <v>5</v>
      </c>
      <c r="U361" s="251">
        <f t="shared" si="129"/>
        <v>-0.50003648877986684</v>
      </c>
      <c r="V361" s="383">
        <f t="shared" si="130"/>
        <v>24.195085201259261</v>
      </c>
      <c r="W361" s="402"/>
      <c r="X361" s="157">
        <f t="shared" si="131"/>
        <v>44177</v>
      </c>
      <c r="Y361" s="385">
        <f t="shared" si="132"/>
        <v>10.333</v>
      </c>
      <c r="Z361" s="385">
        <f t="shared" si="133"/>
        <v>10.546561454513055</v>
      </c>
      <c r="AA361" s="386">
        <f t="shared" si="134"/>
        <v>11.467008630018691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8.0269162185511972E-2</v>
      </c>
      <c r="AD361" s="231">
        <f>(INDEX(Models!$BJ361:$BT361,,AH361)*(1-AF361)+INDEX(Models!$BJ361:$BT361,,AH361+1)*AF361-ERP_i)*AE361*Ramure*Pc/MaxiM</f>
        <v>1.760815365237366E-3</v>
      </c>
      <c r="AE361" s="305">
        <f t="shared" si="136"/>
        <v>0.7</v>
      </c>
      <c r="AF361" s="177">
        <f t="shared" si="137"/>
        <v>0.49996351122013316</v>
      </c>
      <c r="AG361" s="921">
        <f t="shared" si="143"/>
        <v>-1</v>
      </c>
      <c r="AH361" s="176">
        <f t="shared" si="138"/>
        <v>5</v>
      </c>
      <c r="AI361" s="225">
        <f t="shared" si="139"/>
        <v>-0.50003648877986684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20">
        <v>8.8569999999999993</v>
      </c>
      <c r="C362" s="390"/>
      <c r="D362" s="393">
        <f t="shared" si="122"/>
        <v>9.0402536326104048</v>
      </c>
      <c r="E362" s="385">
        <f t="shared" si="144"/>
        <v>9.8294868654764898</v>
      </c>
      <c r="F362" s="385">
        <f t="shared" si="123"/>
        <v>9.8311249083109953</v>
      </c>
      <c r="G362" s="110">
        <f t="shared" si="145"/>
        <v>0.3659307024457798</v>
      </c>
      <c r="H362" s="414" t="b">
        <f>Wh_hp&gt;='2019'!Maxi_hp</f>
        <v>0</v>
      </c>
      <c r="I362" s="380">
        <f>IF(H362,Wh_hp,'2019'!Maxi_hp)</f>
        <v>12.472689656076096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2.0270850803274509E-2</v>
      </c>
      <c r="M362" s="959"/>
      <c r="N362" s="959"/>
      <c r="O362" s="48">
        <f>IF(t&lt;Tnet,'2019'!Resal+('2019'!Salim-'2019'!Resal)*(1-EXP(('2019'!Tnet-t)/('2019'!Tau_j))),Resal+(Salim-Resal)*(1-EXP((Tnet-t)/(Tau_j))))*Salcycl</f>
        <v>8.0292414412603971E-2</v>
      </c>
      <c r="P362" s="169">
        <f>(INDEX(Models!$BJ362:$BT362,,T362)*(1-R362)+INDEX(Models!$BJ362:$BT362,,T362+1)*R362-ERP_i)*Q362*Ramure*Pc/MaxiM</f>
        <v>1.7535464567648459E-3</v>
      </c>
      <c r="Q362" s="305">
        <f t="shared" si="125"/>
        <v>0.7</v>
      </c>
      <c r="R362" s="177">
        <f t="shared" si="126"/>
        <v>0.49997316149770255</v>
      </c>
      <c r="S362" s="921">
        <f t="shared" si="127"/>
        <v>-1</v>
      </c>
      <c r="T362" s="176">
        <f t="shared" si="128"/>
        <v>5</v>
      </c>
      <c r="U362" s="251">
        <f t="shared" si="129"/>
        <v>-0.50002683850229745</v>
      </c>
      <c r="V362" s="383">
        <f t="shared" si="130"/>
        <v>24.165619811880859</v>
      </c>
      <c r="W362" s="402"/>
      <c r="X362" s="157">
        <f t="shared" si="131"/>
        <v>44178</v>
      </c>
      <c r="Y362" s="385">
        <f t="shared" si="132"/>
        <v>8.8569999999999993</v>
      </c>
      <c r="Z362" s="385">
        <f t="shared" si="133"/>
        <v>9.0402536326104048</v>
      </c>
      <c r="AA362" s="386">
        <f t="shared" si="134"/>
        <v>9.8294868654764898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8.0292414412603971E-2</v>
      </c>
      <c r="AD362" s="231">
        <f>(INDEX(Models!$BJ362:$BT362,,AH362)*(1-AF362)+INDEX(Models!$BJ362:$BT362,,AH362+1)*AF362-ERP_i)*AE362*Ramure*Pc/MaxiM</f>
        <v>1.7535464567648459E-3</v>
      </c>
      <c r="AE362" s="305">
        <f t="shared" si="136"/>
        <v>0.7</v>
      </c>
      <c r="AF362" s="177">
        <f t="shared" si="137"/>
        <v>0.49997316149770255</v>
      </c>
      <c r="AG362" s="921">
        <f t="shared" si="143"/>
        <v>-1</v>
      </c>
      <c r="AH362" s="176">
        <f t="shared" si="138"/>
        <v>5</v>
      </c>
      <c r="AI362" s="225">
        <f t="shared" si="139"/>
        <v>-0.50002683850229745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20">
        <v>2.7690000000000001</v>
      </c>
      <c r="C363" s="390"/>
      <c r="D363" s="393">
        <f t="shared" si="122"/>
        <v>2.8263532342639488</v>
      </c>
      <c r="E363" s="385">
        <f t="shared" si="144"/>
        <v>3.0731805353453776</v>
      </c>
      <c r="F363" s="385">
        <f t="shared" si="123"/>
        <v>3.0731805353453776</v>
      </c>
      <c r="G363" s="110">
        <f t="shared" si="145"/>
        <v>0.11446028537974151</v>
      </c>
      <c r="H363" s="414" t="b">
        <f>Wh_hp&gt;='2019'!Maxi_hp</f>
        <v>0</v>
      </c>
      <c r="I363" s="380">
        <f>IF(H363,Wh_hp,'2019'!Maxi_hp)</f>
        <v>27.64680505166011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2.0292309386050533E-2</v>
      </c>
      <c r="M363" s="959"/>
      <c r="N363" s="959"/>
      <c r="O363" s="48">
        <f>IF(t&lt;Tnet,'2019'!Resal+('2019'!Salim-'2019'!Resal)*(1-EXP(('2019'!Tnet-t)/('2019'!Tau_j))),Resal+(Salim-Resal)*(1-EXP((Tnet-t)/(Tau_j))))*Salcycl</f>
        <v>8.0316563977485059E-2</v>
      </c>
      <c r="P363" s="169">
        <f>(INDEX(Models!$BJ363:$BT363,,T363)*(1-R363)+INDEX(Models!$BJ363:$BT363,,T363+1)*R363-ERP_i)*Q363*Ramure*Pc/MaxiM</f>
        <v>1.7448899957139819E-3</v>
      </c>
      <c r="Q363" s="305">
        <f t="shared" si="125"/>
        <v>0.7</v>
      </c>
      <c r="R363" s="177">
        <f t="shared" si="126"/>
        <v>0.49998242357695899</v>
      </c>
      <c r="S363" s="921">
        <f t="shared" si="127"/>
        <v>-1</v>
      </c>
      <c r="T363" s="176">
        <f t="shared" si="128"/>
        <v>5</v>
      </c>
      <c r="U363" s="251">
        <f t="shared" si="129"/>
        <v>-0.50001757642304101</v>
      </c>
      <c r="V363" s="383">
        <f t="shared" si="130"/>
        <v>24.149585076004904</v>
      </c>
      <c r="W363" s="402"/>
      <c r="X363" s="157">
        <f t="shared" si="131"/>
        <v>44179</v>
      </c>
      <c r="Y363" s="385">
        <f t="shared" si="132"/>
        <v>2.7690000000000001</v>
      </c>
      <c r="Z363" s="385">
        <f t="shared" si="133"/>
        <v>2.8263532342639488</v>
      </c>
      <c r="AA363" s="386">
        <f t="shared" si="134"/>
        <v>3.0731805353453776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8.0316563977485059E-2</v>
      </c>
      <c r="AD363" s="231">
        <f>(INDEX(Models!$BJ363:$BT363,,AH363)*(1-AF363)+INDEX(Models!$BJ363:$BT363,,AH363+1)*AF363-ERP_i)*AE363*Ramure*Pc/MaxiM</f>
        <v>1.7448899957139819E-3</v>
      </c>
      <c r="AE363" s="305">
        <f t="shared" si="136"/>
        <v>0.7</v>
      </c>
      <c r="AF363" s="177">
        <f t="shared" si="137"/>
        <v>0.49998242357695899</v>
      </c>
      <c r="AG363" s="921">
        <f t="shared" si="143"/>
        <v>-1</v>
      </c>
      <c r="AH363" s="176">
        <f t="shared" si="138"/>
        <v>5</v>
      </c>
      <c r="AI363" s="225">
        <f t="shared" si="139"/>
        <v>-0.50001757642304101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20">
        <v>2.0569999999999999</v>
      </c>
      <c r="C364" s="390"/>
      <c r="D364" s="393">
        <f t="shared" si="122"/>
        <v>2.0996518392918624</v>
      </c>
      <c r="E364" s="385">
        <f t="shared" si="144"/>
        <v>2.2830778814446107</v>
      </c>
      <c r="F364" s="385">
        <f t="shared" si="123"/>
        <v>2.2830778814446107</v>
      </c>
      <c r="G364" s="110">
        <f t="shared" si="145"/>
        <v>8.5040484666489141E-2</v>
      </c>
      <c r="H364" s="414" t="b">
        <f>Wh_hp&gt;='2019'!Maxi_hp</f>
        <v>0</v>
      </c>
      <c r="I364" s="380">
        <f>IF(H364,Wh_hp,'2019'!Maxi_hp)</f>
        <v>15.578689458119278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2.0313767498828406E-2</v>
      </c>
      <c r="M364" s="959"/>
      <c r="N364" s="959"/>
      <c r="O364" s="48">
        <f>IF(t&lt;Tnet,'2019'!Resal+('2019'!Salim-'2019'!Resal)*(1-EXP(('2019'!Tnet-t)/('2019'!Tau_j))),Resal+(Salim-Resal)*(1-EXP((Tnet-t)/(Tau_j))))*Salcycl</f>
        <v>8.0341561557543573E-2</v>
      </c>
      <c r="P364" s="169">
        <f>(INDEX(Models!$BJ364:$BT364,,T364)*(1-R364)+INDEX(Models!$BJ364:$BT364,,T364+1)*R364-ERP_i)*Q364*Ramure*Pc/MaxiM</f>
        <v>1.7348813854473376E-3</v>
      </c>
      <c r="Q364" s="305">
        <f t="shared" si="125"/>
        <v>0.7</v>
      </c>
      <c r="R364" s="177">
        <f t="shared" si="126"/>
        <v>0.4999913130603042</v>
      </c>
      <c r="S364" s="921">
        <f t="shared" si="127"/>
        <v>-1</v>
      </c>
      <c r="T364" s="176">
        <f t="shared" si="128"/>
        <v>5</v>
      </c>
      <c r="U364" s="251">
        <f t="shared" si="129"/>
        <v>-0.5000086869396958</v>
      </c>
      <c r="V364" s="383">
        <f t="shared" si="130"/>
        <v>24.146515122100489</v>
      </c>
      <c r="W364" s="402"/>
      <c r="X364" s="157">
        <f t="shared" si="131"/>
        <v>44180</v>
      </c>
      <c r="Y364" s="385">
        <f t="shared" si="132"/>
        <v>2.0569999999999999</v>
      </c>
      <c r="Z364" s="385">
        <f t="shared" si="133"/>
        <v>2.0996518392918624</v>
      </c>
      <c r="AA364" s="386">
        <f t="shared" si="134"/>
        <v>2.2830778814446107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8.0341561557543573E-2</v>
      </c>
      <c r="AD364" s="231">
        <f>(INDEX(Models!$BJ364:$BT364,,AH364)*(1-AF364)+INDEX(Models!$BJ364:$BT364,,AH364+1)*AF364-ERP_i)*AE364*Ramure*Pc/MaxiM</f>
        <v>1.7348813854473376E-3</v>
      </c>
      <c r="AE364" s="305">
        <f t="shared" si="136"/>
        <v>0.7</v>
      </c>
      <c r="AF364" s="177">
        <f t="shared" si="137"/>
        <v>0.4999913130603042</v>
      </c>
      <c r="AG364" s="921">
        <f t="shared" si="143"/>
        <v>-1</v>
      </c>
      <c r="AH364" s="176">
        <f t="shared" si="138"/>
        <v>5</v>
      </c>
      <c r="AI364" s="225">
        <f t="shared" si="139"/>
        <v>-0.5000086869396958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20">
        <v>13.835000000000001</v>
      </c>
      <c r="C365" s="390"/>
      <c r="D365" s="393">
        <f t="shared" si="122"/>
        <v>14.122177662251829</v>
      </c>
      <c r="E365" s="385">
        <f t="shared" si="144"/>
        <v>15.356324917009166</v>
      </c>
      <c r="F365" s="385">
        <f t="shared" si="123"/>
        <v>15.366644236178908</v>
      </c>
      <c r="G365" s="110">
        <f t="shared" si="145"/>
        <v>0.57213394214836855</v>
      </c>
      <c r="H365" s="414" t="b">
        <f>Wh_hp&gt;='2019'!Maxi_hp</f>
        <v>0</v>
      </c>
      <c r="I365" s="380">
        <f>IF(H365,Wh_hp,'2019'!Maxi_hp)</f>
        <v>21.280225439535702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2.0335225141618674E-2</v>
      </c>
      <c r="M365" s="959"/>
      <c r="N365" s="959"/>
      <c r="O365" s="48">
        <f>IF(t&lt;Tnet,'2019'!Resal+('2019'!Salim-'2019'!Resal)*(1-EXP(('2019'!Tnet-t)/('2019'!Tau_j))),Resal+(Salim-Resal)*(1-EXP((Tnet-t)/(Tau_j))))*Salcycl</f>
        <v>8.0367357517315594E-2</v>
      </c>
      <c r="P365" s="169">
        <f>(INDEX(Models!$BJ365:$BT365,,T365)*(1-R365)+INDEX(Models!$BJ365:$BT365,,T365+1)*R365-ERP_i)*Q365*Ramure*Pc/MaxiM</f>
        <v>1.7235591208151744E-3</v>
      </c>
      <c r="Q365" s="305">
        <f t="shared" si="125"/>
        <v>0.7</v>
      </c>
      <c r="R365" s="177">
        <f t="shared" si="126"/>
        <v>0.49999984492411664</v>
      </c>
      <c r="S365" s="921">
        <f t="shared" si="127"/>
        <v>-1</v>
      </c>
      <c r="T365" s="176">
        <f t="shared" si="128"/>
        <v>5</v>
      </c>
      <c r="U365" s="251">
        <f t="shared" si="129"/>
        <v>-0.50000015507588336</v>
      </c>
      <c r="V365" s="383">
        <f t="shared" si="130"/>
        <v>24.155944123077386</v>
      </c>
      <c r="W365" s="402"/>
      <c r="X365" s="157">
        <f t="shared" si="131"/>
        <v>44181</v>
      </c>
      <c r="Y365" s="385">
        <f t="shared" si="132"/>
        <v>13.835000000000001</v>
      </c>
      <c r="Z365" s="385">
        <f t="shared" si="133"/>
        <v>14.122177662251829</v>
      </c>
      <c r="AA365" s="386">
        <f t="shared" si="134"/>
        <v>15.356324917009166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8.0367357517315594E-2</v>
      </c>
      <c r="AD365" s="231">
        <f>(INDEX(Models!$BJ365:$BT365,,AH365)*(1-AF365)+INDEX(Models!$BJ365:$BT365,,AH365+1)*AF365-ERP_i)*AE365*Ramure*Pc/MaxiM</f>
        <v>1.7235591208151744E-3</v>
      </c>
      <c r="AE365" s="305">
        <f t="shared" si="136"/>
        <v>0.7</v>
      </c>
      <c r="AF365" s="177">
        <f t="shared" si="137"/>
        <v>0.49999984492411664</v>
      </c>
      <c r="AG365" s="921">
        <f t="shared" si="143"/>
        <v>-1</v>
      </c>
      <c r="AH365" s="176">
        <f t="shared" si="138"/>
        <v>5</v>
      </c>
      <c r="AI365" s="225">
        <f t="shared" si="139"/>
        <v>-0.50000015507588336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20">
        <v>6.766</v>
      </c>
      <c r="C366" s="390"/>
      <c r="D366" s="393">
        <f t="shared" si="122"/>
        <v>6.9065953677761431</v>
      </c>
      <c r="E366" s="385">
        <f t="shared" si="144"/>
        <v>7.5103844835792639</v>
      </c>
      <c r="F366" s="385">
        <f t="shared" si="123"/>
        <v>7.5103844835792639</v>
      </c>
      <c r="G366" s="110">
        <f t="shared" si="145"/>
        <v>0.27936923971653638</v>
      </c>
      <c r="H366" s="414" t="b">
        <f>Wh_hp&gt;='2019'!Maxi_hp</f>
        <v>0</v>
      </c>
      <c r="I366" s="380">
        <f>IF(H366,Wh_hp,'2019'!Maxi_hp)</f>
        <v>17.742237263715985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2.035668231443144E-2</v>
      </c>
      <c r="M366" s="959"/>
      <c r="N366" s="959"/>
      <c r="O366" s="48">
        <f>IF(t&lt;Tnet,'2019'!Resal+('2019'!Salim-'2019'!Resal)*(1-EXP(('2019'!Tnet-t)/('2019'!Tau_j))),Resal+(Salim-Resal)*(1-EXP((Tnet-t)/(Tau_j))))*Salcycl</f>
        <v>8.0393902219419944E-2</v>
      </c>
      <c r="P366" s="169">
        <f>(INDEX(Models!$BJ366:$BT366,,T366)*(1-R366)+INDEX(Models!$BJ366:$BT366,,T366+1)*R366-ERP_i)*Q366*Ramure*Pc/MaxiM</f>
        <v>1.7119098254764638E-3</v>
      </c>
      <c r="Q366" s="305">
        <f t="shared" si="125"/>
        <v>0.7</v>
      </c>
      <c r="R366" s="177">
        <f t="shared" si="126"/>
        <v>0.50000803354378598</v>
      </c>
      <c r="S366" s="921">
        <f t="shared" si="127"/>
        <v>-1</v>
      </c>
      <c r="T366" s="176">
        <f t="shared" si="128"/>
        <v>5</v>
      </c>
      <c r="U366" s="251">
        <f t="shared" si="129"/>
        <v>-0.49999196645621408</v>
      </c>
      <c r="V366" s="383">
        <f t="shared" si="130"/>
        <v>24.177383397593218</v>
      </c>
      <c r="W366" s="402"/>
      <c r="X366" s="157">
        <f t="shared" si="131"/>
        <v>44182</v>
      </c>
      <c r="Y366" s="385">
        <f t="shared" si="132"/>
        <v>6.766</v>
      </c>
      <c r="Z366" s="385">
        <f t="shared" si="133"/>
        <v>6.9065953677761431</v>
      </c>
      <c r="AA366" s="386">
        <f t="shared" si="134"/>
        <v>7.5103844835792639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8.0393902219419944E-2</v>
      </c>
      <c r="AD366" s="231">
        <f>(INDEX(Models!$BJ366:$BT366,,AH366)*(1-AF366)+INDEX(Models!$BJ366:$BT366,,AH366+1)*AF366-ERP_i)*AE366*Ramure*Pc/MaxiM</f>
        <v>1.7119098254764638E-3</v>
      </c>
      <c r="AE366" s="305">
        <f t="shared" si="136"/>
        <v>0.7</v>
      </c>
      <c r="AF366" s="177">
        <f t="shared" si="137"/>
        <v>0.50000803354378598</v>
      </c>
      <c r="AG366" s="921">
        <f t="shared" si="143"/>
        <v>-1</v>
      </c>
      <c r="AH366" s="176">
        <f t="shared" si="138"/>
        <v>5</v>
      </c>
      <c r="AI366" s="225">
        <f t="shared" si="139"/>
        <v>-0.49999196645621408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20">
        <v>8.8330000000000002</v>
      </c>
      <c r="C367" s="390"/>
      <c r="D367" s="393">
        <f t="shared" si="122"/>
        <v>9.0167444723406209</v>
      </c>
      <c r="E367" s="385">
        <f t="shared" si="144"/>
        <v>9.8052977581026042</v>
      </c>
      <c r="F367" s="385">
        <f t="shared" si="123"/>
        <v>9.8068436021692325</v>
      </c>
      <c r="G367" s="110">
        <f t="shared" si="145"/>
        <v>0.36428089889174048</v>
      </c>
      <c r="H367" s="414" t="b">
        <f>Wh_hp&gt;='2019'!Maxi_hp</f>
        <v>0</v>
      </c>
      <c r="I367" s="380">
        <f>IF(H367,Wh_hp,'2019'!Maxi_hp)</f>
        <v>24.927812947970743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2.037813901727703E-2</v>
      </c>
      <c r="M367" s="959"/>
      <c r="N367" s="959"/>
      <c r="O367" s="48">
        <f>IF(t&lt;Tnet,'2019'!Resal+('2019'!Salim-'2019'!Resal)*(1-EXP(('2019'!Tnet-t)/('2019'!Tau_j))),Resal+(Salim-Resal)*(1-EXP((Tnet-t)/(Tau_j))))*Salcycl</f>
        <v>8.0421146324736875E-2</v>
      </c>
      <c r="P367" s="169">
        <f>(INDEX(Models!$BJ367:$BT367,,T367)*(1-R367)+INDEX(Models!$BJ367:$BT367,,T367+1)*R367-ERP_i)*Q367*Ramure*Pc/MaxiM</f>
        <v>1.7016202314397843E-3</v>
      </c>
      <c r="Q367" s="305">
        <f t="shared" si="125"/>
        <v>0.7</v>
      </c>
      <c r="R367" s="177">
        <f t="shared" si="126"/>
        <v>0.50001589271775215</v>
      </c>
      <c r="S367" s="921">
        <f t="shared" si="127"/>
        <v>-1</v>
      </c>
      <c r="T367" s="176">
        <f t="shared" si="128"/>
        <v>5</v>
      </c>
      <c r="U367" s="251">
        <f t="shared" si="129"/>
        <v>-0.49998410728224785</v>
      </c>
      <c r="V367" s="383">
        <f t="shared" si="130"/>
        <v>24.210327258973081</v>
      </c>
      <c r="W367" s="402"/>
      <c r="X367" s="157">
        <f t="shared" si="131"/>
        <v>44183</v>
      </c>
      <c r="Y367" s="385">
        <f t="shared" si="132"/>
        <v>8.8330000000000002</v>
      </c>
      <c r="Z367" s="385">
        <f t="shared" si="133"/>
        <v>9.0167444723406209</v>
      </c>
      <c r="AA367" s="386">
        <f t="shared" si="134"/>
        <v>9.8052977581026042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8.0421146324736875E-2</v>
      </c>
      <c r="AD367" s="231">
        <f>(INDEX(Models!$BJ367:$BT367,,AH367)*(1-AF367)+INDEX(Models!$BJ367:$BT367,,AH367+1)*AF367-ERP_i)*AE367*Ramure*Pc/MaxiM</f>
        <v>1.7016202314397843E-3</v>
      </c>
      <c r="AE367" s="305">
        <f t="shared" si="136"/>
        <v>0.7</v>
      </c>
      <c r="AF367" s="177">
        <f t="shared" si="137"/>
        <v>0.50001589271775215</v>
      </c>
      <c r="AG367" s="921">
        <f t="shared" si="143"/>
        <v>-1</v>
      </c>
      <c r="AH367" s="176">
        <f t="shared" si="138"/>
        <v>5</v>
      </c>
      <c r="AI367" s="225">
        <f t="shared" si="139"/>
        <v>-0.49998410728224785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20">
        <v>7.6020000000000003</v>
      </c>
      <c r="C368" s="390"/>
      <c r="D368" s="393">
        <f t="shared" si="122"/>
        <v>7.7603071243537958</v>
      </c>
      <c r="E368" s="385">
        <f t="shared" si="144"/>
        <v>8.4392355302047104</v>
      </c>
      <c r="F368" s="385">
        <f t="shared" si="123"/>
        <v>8.4395095868030605</v>
      </c>
      <c r="G368" s="110">
        <f t="shared" si="145"/>
        <v>0.31290844347224428</v>
      </c>
      <c r="H368" s="414" t="b">
        <f>Wh_hp&gt;='2019'!Maxi_hp</f>
        <v>0</v>
      </c>
      <c r="I368" s="380">
        <f>IF(H368,Wh_hp,'2019'!Maxi_hp)</f>
        <v>15.88531155636926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2.039959525016577E-2</v>
      </c>
      <c r="M368" s="959"/>
      <c r="N368" s="959"/>
      <c r="O368" s="48">
        <f>IF(t&lt;Tnet,'2019'!Resal+('2019'!Salim-'2019'!Resal)*(1-EXP(('2019'!Tnet-t)/('2019'!Tau_j))),Resal+(Salim-Resal)*(1-EXP((Tnet-t)/(Tau_j))))*Salcycl</f>
        <v>8.0449041079725184E-2</v>
      </c>
      <c r="P368" s="169">
        <f>(INDEX(Models!$BJ368:$BT368,,T368)*(1-R368)+INDEX(Models!$BJ368:$BT368,,T368+1)*R368-ERP_i)*Q368*Ramure*Pc/MaxiM</f>
        <v>1.6927117608809593E-3</v>
      </c>
      <c r="Q368" s="305">
        <f t="shared" si="125"/>
        <v>0.7</v>
      </c>
      <c r="R368" s="177">
        <f t="shared" si="126"/>
        <v>0.50002343569059049</v>
      </c>
      <c r="S368" s="921">
        <f t="shared" si="127"/>
        <v>-1</v>
      </c>
      <c r="T368" s="176">
        <f t="shared" si="128"/>
        <v>5</v>
      </c>
      <c r="U368" s="251">
        <f t="shared" si="129"/>
        <v>-0.49997656430940951</v>
      </c>
      <c r="V368" s="383">
        <f t="shared" si="130"/>
        <v>24.254310210444839</v>
      </c>
      <c r="W368" s="402"/>
      <c r="X368" s="157">
        <f t="shared" si="131"/>
        <v>44184</v>
      </c>
      <c r="Y368" s="385">
        <f t="shared" si="132"/>
        <v>7.6020000000000003</v>
      </c>
      <c r="Z368" s="385">
        <f t="shared" si="133"/>
        <v>7.7603071243537958</v>
      </c>
      <c r="AA368" s="386">
        <f t="shared" si="134"/>
        <v>8.4392355302047104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8.0449041079725184E-2</v>
      </c>
      <c r="AD368" s="231">
        <f>(INDEX(Models!$BJ368:$BT368,,AH368)*(1-AF368)+INDEX(Models!$BJ368:$BT368,,AH368+1)*AF368-ERP_i)*AE368*Ramure*Pc/MaxiM</f>
        <v>1.6927117608809593E-3</v>
      </c>
      <c r="AE368" s="305">
        <f t="shared" si="136"/>
        <v>0.7</v>
      </c>
      <c r="AF368" s="177">
        <f t="shared" si="137"/>
        <v>0.50002343569059049</v>
      </c>
      <c r="AG368" s="921">
        <f t="shared" si="143"/>
        <v>-1</v>
      </c>
      <c r="AH368" s="176">
        <f t="shared" si="138"/>
        <v>5</v>
      </c>
      <c r="AI368" s="225">
        <f t="shared" si="139"/>
        <v>-0.49997656430940951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20">
        <v>13.398</v>
      </c>
      <c r="C369" s="390"/>
      <c r="D369" s="393">
        <f t="shared" si="122"/>
        <v>13.677304941941216</v>
      </c>
      <c r="E369" s="385">
        <f t="shared" si="144"/>
        <v>14.87435654475723</v>
      </c>
      <c r="F369" s="385">
        <f t="shared" si="123"/>
        <v>14.883355668134955</v>
      </c>
      <c r="G369" s="110">
        <f t="shared" si="145"/>
        <v>0.55056099652740897</v>
      </c>
      <c r="H369" s="414" t="b">
        <f>Wh_hp&gt;='2019'!Maxi_hp</f>
        <v>0</v>
      </c>
      <c r="I369" s="380">
        <f>IF(H369,Wh_hp,'2019'!Maxi_hp)</f>
        <v>22.604541758183334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2.0421051013107983E-2</v>
      </c>
      <c r="M369" s="959"/>
      <c r="N369" s="959"/>
      <c r="O369" s="48">
        <f>IF(t&lt;Tnet,'2019'!Resal+('2019'!Salim-'2019'!Resal)*(1-EXP(('2019'!Tnet-t)/('2019'!Tau_j))),Resal+(Salim-Resal)*(1-EXP((Tnet-t)/(Tau_j))))*Salcycl</f>
        <v>8.0477538588917291E-2</v>
      </c>
      <c r="P369" s="169">
        <f>(INDEX(Models!$BJ369:$BT369,,T369)*(1-R369)+INDEX(Models!$BJ369:$BT369,,T369+1)*R369-ERP_i)*Q369*Ramure*Pc/MaxiM</f>
        <v>1.6852030881149699E-3</v>
      </c>
      <c r="Q369" s="305">
        <f t="shared" si="125"/>
        <v>0.7</v>
      </c>
      <c r="R369" s="177">
        <f t="shared" si="126"/>
        <v>0.50003067517517741</v>
      </c>
      <c r="S369" s="921">
        <f t="shared" si="127"/>
        <v>-1</v>
      </c>
      <c r="T369" s="176">
        <f t="shared" si="128"/>
        <v>5</v>
      </c>
      <c r="U369" s="251">
        <f t="shared" si="129"/>
        <v>-0.49996932482482259</v>
      </c>
      <c r="V369" s="383">
        <f t="shared" si="130"/>
        <v>24.308866751064372</v>
      </c>
      <c r="W369" s="402"/>
      <c r="X369" s="157">
        <f t="shared" si="131"/>
        <v>44185</v>
      </c>
      <c r="Y369" s="385">
        <f t="shared" si="132"/>
        <v>13.398</v>
      </c>
      <c r="Z369" s="385">
        <f t="shared" si="133"/>
        <v>13.677304941941216</v>
      </c>
      <c r="AA369" s="386">
        <f t="shared" si="134"/>
        <v>14.87435654475723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8.0477538588917291E-2</v>
      </c>
      <c r="AD369" s="231">
        <f>(INDEX(Models!$BJ369:$BT369,,AH369)*(1-AF369)+INDEX(Models!$BJ369:$BT369,,AH369+1)*AF369-ERP_i)*AE369*Ramure*Pc/MaxiM</f>
        <v>1.6852030881149699E-3</v>
      </c>
      <c r="AE369" s="305">
        <f t="shared" si="136"/>
        <v>0.7</v>
      </c>
      <c r="AF369" s="177">
        <f t="shared" si="137"/>
        <v>0.50003067517517741</v>
      </c>
      <c r="AG369" s="921">
        <f t="shared" si="143"/>
        <v>-1</v>
      </c>
      <c r="AH369" s="176">
        <f t="shared" si="138"/>
        <v>5</v>
      </c>
      <c r="AI369" s="225">
        <f t="shared" si="139"/>
        <v>-0.49996932482482259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20">
        <v>7.22</v>
      </c>
      <c r="C370" s="390"/>
      <c r="D370" s="393">
        <f t="shared" si="122"/>
        <v>7.3706750716321565</v>
      </c>
      <c r="E370" s="385">
        <f t="shared" si="144"/>
        <v>8.0160173069991458</v>
      </c>
      <c r="F370" s="385">
        <f t="shared" si="123"/>
        <v>8.0160173069991458</v>
      </c>
      <c r="G370" s="110">
        <f t="shared" si="145"/>
        <v>0.29572558501387214</v>
      </c>
      <c r="H370" s="414" t="b">
        <f>Wh_hp&gt;='2019'!Maxi_hp</f>
        <v>1</v>
      </c>
      <c r="I370" s="380">
        <f>IF(H370,Wh_hp,'2019'!Maxi_hp)</f>
        <v>8.0160173069991458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2.0442506306113883E-2</v>
      </c>
      <c r="M370" s="959"/>
      <c r="N370" s="959"/>
      <c r="O370" s="48">
        <f>IF(t&lt;Tnet,'2019'!Resal+('2019'!Salim-'2019'!Resal)*(1-EXP(('2019'!Tnet-t)/('2019'!Tau_j))),Resal+(Salim-Resal)*(1-EXP((Tnet-t)/(Tau_j))))*Salcycl</f>
        <v>8.0506592070792193E-2</v>
      </c>
      <c r="P370" s="169">
        <f>(INDEX(Models!$BJ370:$BT370,,T370)*(1-R370)+INDEX(Models!$BJ370:$BT370,,T370+1)*R370-ERP_i)*Q370*Ramure*Pc/MaxiM</f>
        <v>1.6791103042212549E-3</v>
      </c>
      <c r="Q370" s="305">
        <f t="shared" si="125"/>
        <v>0.7</v>
      </c>
      <c r="R370" s="177">
        <f t="shared" si="126"/>
        <v>0.50003762337397473</v>
      </c>
      <c r="S370" s="921">
        <f t="shared" si="127"/>
        <v>-1</v>
      </c>
      <c r="T370" s="176">
        <f t="shared" si="128"/>
        <v>5</v>
      </c>
      <c r="U370" s="251">
        <f t="shared" si="129"/>
        <v>-0.49996237662602533</v>
      </c>
      <c r="V370" s="383">
        <f t="shared" si="130"/>
        <v>24.373531371204859</v>
      </c>
      <c r="W370" s="402"/>
      <c r="X370" s="157">
        <f t="shared" si="131"/>
        <v>44186</v>
      </c>
      <c r="Y370" s="385">
        <f t="shared" si="132"/>
        <v>7.2199999999999989</v>
      </c>
      <c r="Z370" s="385">
        <f t="shared" si="133"/>
        <v>7.3706750716321556</v>
      </c>
      <c r="AA370" s="386">
        <f t="shared" si="134"/>
        <v>8.0160173069991458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8.0506592070792193E-2</v>
      </c>
      <c r="AD370" s="231">
        <f>(INDEX(Models!$BJ370:$BT370,,AH370)*(1-AF370)+INDEX(Models!$BJ370:$BT370,,AH370+1)*AF370-ERP_i)*AE370*Ramure*Pc/MaxiM</f>
        <v>1.6791103042212549E-3</v>
      </c>
      <c r="AE370" s="305">
        <f t="shared" si="136"/>
        <v>0.7</v>
      </c>
      <c r="AF370" s="177">
        <f t="shared" si="137"/>
        <v>0.50003762337397473</v>
      </c>
      <c r="AG370" s="921">
        <f t="shared" si="143"/>
        <v>-1</v>
      </c>
      <c r="AH370" s="176">
        <f t="shared" si="138"/>
        <v>5</v>
      </c>
      <c r="AI370" s="225">
        <f t="shared" si="139"/>
        <v>-0.49996237662602533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20">
        <v>20.126999999999999</v>
      </c>
      <c r="C371" s="390"/>
      <c r="D371" s="393">
        <f t="shared" si="122"/>
        <v>20.547482891188046</v>
      </c>
      <c r="E371" s="385">
        <f t="shared" si="144"/>
        <v>22.347244024225045</v>
      </c>
      <c r="F371" s="385">
        <f t="shared" si="123"/>
        <v>22.375250435644084</v>
      </c>
      <c r="G371" s="110">
        <f t="shared" si="145"/>
        <v>0.82291446922135281</v>
      </c>
      <c r="H371" s="414" t="b">
        <f>Wh_hp&gt;='2019'!Maxi_hp</f>
        <v>1</v>
      </c>
      <c r="I371" s="380">
        <f>IF(H371,Wh_hp,'2019'!Maxi_hp)</f>
        <v>22.375250435644084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2.0463961129193797E-2</v>
      </c>
      <c r="M371" s="959"/>
      <c r="N371" s="959"/>
      <c r="O371" s="48">
        <f>IF(t&lt;Tnet,'2019'!Resal+('2019'!Salim-'2019'!Resal)*(1-EXP(('2019'!Tnet-t)/('2019'!Tau_j))),Resal+(Salim-Resal)*(1-EXP((Tnet-t)/(Tau_j))))*Salcycl</f>
        <v>8.0536156095400643E-2</v>
      </c>
      <c r="P371" s="169">
        <f>(INDEX(Models!$BJ371:$BT371,,T371)*(1-R371)+INDEX(Models!$BJ371:$BT371,,T371+1)*R371-ERP_i)*Q371*Ramure*Pc/MaxiM</f>
        <v>1.6744323796401789E-3</v>
      </c>
      <c r="Q371" s="305">
        <f t="shared" si="125"/>
        <v>0.7</v>
      </c>
      <c r="R371" s="177">
        <f t="shared" si="126"/>
        <v>0.50003762337397473</v>
      </c>
      <c r="S371" s="921">
        <f t="shared" si="127"/>
        <v>-1</v>
      </c>
      <c r="T371" s="176">
        <f t="shared" si="128"/>
        <v>5</v>
      </c>
      <c r="U371" s="251">
        <f t="shared" si="129"/>
        <v>-0.49996237662602533</v>
      </c>
      <c r="V371" s="383">
        <f t="shared" si="130"/>
        <v>24.447838911401764</v>
      </c>
      <c r="W371" s="402"/>
      <c r="X371" s="157">
        <f t="shared" si="131"/>
        <v>44187</v>
      </c>
      <c r="Y371" s="385">
        <f t="shared" si="132"/>
        <v>20.126999999999999</v>
      </c>
      <c r="Z371" s="385">
        <f t="shared" si="133"/>
        <v>20.547482891188046</v>
      </c>
      <c r="AA371" s="386">
        <f t="shared" si="134"/>
        <v>22.347244024225045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8.0536156095400643E-2</v>
      </c>
      <c r="AD371" s="231">
        <f>(INDEX(Models!$BJ371:$BT371,,AH371)*(1-AF371)+INDEX(Models!$BJ371:$BT371,,AH371+1)*AF371-ERP_i)*AE371*Ramure*Pc/MaxiM</f>
        <v>1.6744323796401789E-3</v>
      </c>
      <c r="AE371" s="305">
        <f t="shared" si="136"/>
        <v>0.7</v>
      </c>
      <c r="AF371" s="177">
        <f t="shared" si="137"/>
        <v>0.50003762337397473</v>
      </c>
      <c r="AG371" s="921">
        <f t="shared" si="143"/>
        <v>-1</v>
      </c>
      <c r="AH371" s="176">
        <f t="shared" si="138"/>
        <v>5</v>
      </c>
      <c r="AI371" s="225">
        <f t="shared" si="139"/>
        <v>-0.49996237662602533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20">
        <v>10.404999999999999</v>
      </c>
      <c r="C372" s="390"/>
      <c r="D372" s="393">
        <f t="shared" si="122"/>
        <v>10.622608549645946</v>
      </c>
      <c r="E372" s="385">
        <f t="shared" si="144"/>
        <v>11.553423854079947</v>
      </c>
      <c r="F372" s="385">
        <f t="shared" si="123"/>
        <v>11.556849326532603</v>
      </c>
      <c r="G372" s="110">
        <f t="shared" si="145"/>
        <v>0.42356830165783127</v>
      </c>
      <c r="H372" s="414" t="b">
        <f>Wh_hp&gt;='2019'!Maxi_hp</f>
        <v>0</v>
      </c>
      <c r="I372" s="380">
        <f>IF(H372,Wh_hp,'2019'!Maxi_hp)</f>
        <v>15.128225557099897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2.0485415482358049E-2</v>
      </c>
      <c r="M372" s="959"/>
      <c r="N372" s="959"/>
      <c r="O372" s="48">
        <f>IF(t&lt;Tnet,'2019'!Resal+('2019'!Salim-'2019'!Resal)*(1-EXP(('2019'!Tnet-t)/('2019'!Tau_j))),Resal+(Salim-Resal)*(1-EXP((Tnet-t)/(Tau_j))))*Salcycl</f>
        <v>8.0566186802304054E-2</v>
      </c>
      <c r="P372" s="169">
        <f>(INDEX(Models!$BJ372:$BT372,,T372)*(1-R372)+INDEX(Models!$BJ372:$BT372,,T372+1)*R372-ERP_i)*Q372*Ramure*Pc/MaxiM</f>
        <v>1.6711936087212933E-3</v>
      </c>
      <c r="Q372" s="305">
        <f t="shared" si="125"/>
        <v>0.7</v>
      </c>
      <c r="R372" s="177">
        <f t="shared" si="126"/>
        <v>0.50003762337397473</v>
      </c>
      <c r="S372" s="921">
        <f t="shared" si="127"/>
        <v>-1</v>
      </c>
      <c r="T372" s="176">
        <f t="shared" si="128"/>
        <v>5</v>
      </c>
      <c r="U372" s="251">
        <f t="shared" si="129"/>
        <v>-0.49996237662602533</v>
      </c>
      <c r="V372" s="383">
        <f t="shared" si="130"/>
        <v>24.531323545036106</v>
      </c>
      <c r="W372" s="402"/>
      <c r="X372" s="157">
        <f t="shared" si="131"/>
        <v>44188</v>
      </c>
      <c r="Y372" s="385">
        <f t="shared" si="132"/>
        <v>10.404999999999999</v>
      </c>
      <c r="Z372" s="385">
        <f t="shared" si="133"/>
        <v>10.622608549645946</v>
      </c>
      <c r="AA372" s="386">
        <f t="shared" si="134"/>
        <v>11.553423854079947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8.0566186802304054E-2</v>
      </c>
      <c r="AD372" s="231">
        <f>(INDEX(Models!$BJ372:$BT372,,AH372)*(1-AF372)+INDEX(Models!$BJ372:$BT372,,AH372+1)*AF372-ERP_i)*AE372*Ramure*Pc/MaxiM</f>
        <v>1.6711936087212933E-3</v>
      </c>
      <c r="AE372" s="305">
        <f t="shared" si="136"/>
        <v>0.7</v>
      </c>
      <c r="AF372" s="177">
        <f t="shared" si="137"/>
        <v>0.50003762337397473</v>
      </c>
      <c r="AG372" s="921">
        <f t="shared" si="143"/>
        <v>-1</v>
      </c>
      <c r="AH372" s="176">
        <f t="shared" si="138"/>
        <v>5</v>
      </c>
      <c r="AI372" s="225">
        <f t="shared" si="139"/>
        <v>-0.49996237662602533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20">
        <v>9.984</v>
      </c>
      <c r="C373" s="390"/>
      <c r="D373" s="393">
        <f t="shared" si="122"/>
        <v>10.193027074660254</v>
      </c>
      <c r="E373" s="385">
        <f t="shared" si="144"/>
        <v>11.086567160158383</v>
      </c>
      <c r="F373" s="385">
        <f t="shared" si="123"/>
        <v>11.089353919979503</v>
      </c>
      <c r="G373" s="110">
        <f t="shared" si="145"/>
        <v>0.40481777303884525</v>
      </c>
      <c r="H373" s="414" t="b">
        <f>Wh_hp&gt;='2019'!Maxi_hp</f>
        <v>0</v>
      </c>
      <c r="I373" s="380">
        <f>IF(H373,Wh_hp,'2019'!Maxi_hp)</f>
        <v>18.791308820692279</v>
      </c>
      <c r="J373" s="85">
        <f>IF(H373,An,'2019'!An_max)</f>
        <v>2019</v>
      </c>
      <c r="K373" s="197">
        <f t="shared" si="124"/>
        <v>44189</v>
      </c>
      <c r="L373" s="147">
        <f>IF(t&lt;Tvie,1-EXP((T0-t)*PertePVj)+'2019'!Pspv,1-EXP((T0-t)*PertePVj)+Pspv)</f>
        <v>2.0506869365616853E-2</v>
      </c>
      <c r="M373" s="959"/>
      <c r="N373" s="959"/>
      <c r="O373" s="48">
        <f>IF(t&lt;Tnet,'2019'!Resal+('2019'!Salim-'2019'!Resal)*(1-EXP(('2019'!Tnet-t)/('2019'!Tau_j))),Resal+(Salim-Resal)*(1-EXP((Tnet-t)/(Tau_j))))*Salcycl</f>
        <v>8.0596642097585408E-2</v>
      </c>
      <c r="P373" s="169">
        <f>(INDEX(Models!$BJ373:$BT373,,T373)*(1-R373)+INDEX(Models!$BJ373:$BT373,,T373+1)*R373-ERP_i)*Q373*Ramure*Pc/MaxiM</f>
        <v>1.6690943408553291E-3</v>
      </c>
      <c r="Q373" s="305">
        <f t="shared" si="125"/>
        <v>0.7</v>
      </c>
      <c r="R373" s="177">
        <f t="shared" si="126"/>
        <v>0.50003762337397473</v>
      </c>
      <c r="S373" s="921">
        <f t="shared" si="127"/>
        <v>-1</v>
      </c>
      <c r="T373" s="176">
        <f t="shared" si="128"/>
        <v>5</v>
      </c>
      <c r="U373" s="251">
        <f t="shared" si="129"/>
        <v>-0.49996237662602533</v>
      </c>
      <c r="V373" s="383">
        <f t="shared" si="130"/>
        <v>24.62797300871647</v>
      </c>
      <c r="W373" s="402"/>
      <c r="X373" s="157">
        <f t="shared" si="131"/>
        <v>44189</v>
      </c>
      <c r="Y373" s="385">
        <f t="shared" si="132"/>
        <v>9.984</v>
      </c>
      <c r="Z373" s="385">
        <f t="shared" si="133"/>
        <v>10.193027074660254</v>
      </c>
      <c r="AA373" s="386">
        <f t="shared" si="134"/>
        <v>11.086567160158383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8.0596642097585408E-2</v>
      </c>
      <c r="AD373" s="231">
        <f>(INDEX(Models!$BJ373:$BT373,,AH373)*(1-AF373)+INDEX(Models!$BJ373:$BT373,,AH373+1)*AF373-ERP_i)*AE373*Ramure*Pc/MaxiM</f>
        <v>1.6690943408553291E-3</v>
      </c>
      <c r="AE373" s="305">
        <f t="shared" si="136"/>
        <v>0.7</v>
      </c>
      <c r="AF373" s="177">
        <f t="shared" si="137"/>
        <v>0.50003762337397473</v>
      </c>
      <c r="AG373" s="921">
        <f t="shared" si="143"/>
        <v>-1</v>
      </c>
      <c r="AH373" s="176">
        <f t="shared" si="138"/>
        <v>5</v>
      </c>
      <c r="AI373" s="225">
        <f t="shared" si="139"/>
        <v>-0.49996237662602533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20">
        <v>3.7650000000000001</v>
      </c>
      <c r="C374" s="390"/>
      <c r="D374" s="393">
        <f t="shared" si="122"/>
        <v>3.8439090047832205</v>
      </c>
      <c r="E374" s="385">
        <f t="shared" si="144"/>
        <v>4.181013603092965</v>
      </c>
      <c r="F374" s="385">
        <f t="shared" si="123"/>
        <v>4.181013603092965</v>
      </c>
      <c r="G374" s="110">
        <f t="shared" si="145"/>
        <v>0.1519218504106625</v>
      </c>
      <c r="H374" s="414" t="b">
        <f>Wh_hp&gt;='2019'!Maxi_hp</f>
        <v>0</v>
      </c>
      <c r="I374" s="380">
        <f>IF(H374,Wh_hp,'2019'!Maxi_hp)</f>
        <v>26.329619230701343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2.0528322778980646E-2</v>
      </c>
      <c r="M374" s="959"/>
      <c r="N374" s="959"/>
      <c r="O374" s="48">
        <f>IF(t&lt;Tnet,'2019'!Resal+('2019'!Salim-'2019'!Resal)*(1-EXP(('2019'!Tnet-t)/('2019'!Tau_j))),Resal+(Salim-Resal)*(1-EXP((Tnet-t)/(Tau_j))))*Salcycl</f>
        <v>8.0627481828895953E-2</v>
      </c>
      <c r="P374" s="169">
        <f>(INDEX(Models!$BJ374:$BT374,,T374)*(1-R374)+INDEX(Models!$BJ374:$BT374,,T374+1)*R374-ERP_i)*Q374*Ramure*Pc/MaxiM</f>
        <v>1.6678814399464668E-3</v>
      </c>
      <c r="Q374" s="305">
        <f t="shared" si="125"/>
        <v>0.7</v>
      </c>
      <c r="R374" s="177">
        <f t="shared" si="126"/>
        <v>0.50003762337397473</v>
      </c>
      <c r="S374" s="921">
        <f t="shared" si="127"/>
        <v>-1</v>
      </c>
      <c r="T374" s="176">
        <f t="shared" si="128"/>
        <v>5</v>
      </c>
      <c r="U374" s="251">
        <f t="shared" si="129"/>
        <v>-0.49996237662602533</v>
      </c>
      <c r="V374" s="383">
        <f t="shared" si="130"/>
        <v>24.741144320045741</v>
      </c>
      <c r="W374" s="402"/>
      <c r="X374" s="157">
        <f t="shared" si="131"/>
        <v>44190</v>
      </c>
      <c r="Y374" s="385">
        <f t="shared" si="132"/>
        <v>3.7650000000000001</v>
      </c>
      <c r="Z374" s="385">
        <f t="shared" si="133"/>
        <v>3.8439090047832205</v>
      </c>
      <c r="AA374" s="386">
        <f t="shared" si="134"/>
        <v>4.181013603092965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8.0627481828895953E-2</v>
      </c>
      <c r="AD374" s="231">
        <f>(INDEX(Models!$BJ374:$BT374,,AH374)*(1-AF374)+INDEX(Models!$BJ374:$BT374,,AH374+1)*AF374-ERP_i)*AE374*Ramure*Pc/MaxiM</f>
        <v>1.6678814399464668E-3</v>
      </c>
      <c r="AE374" s="305">
        <f t="shared" si="136"/>
        <v>0.7</v>
      </c>
      <c r="AF374" s="177">
        <f t="shared" si="137"/>
        <v>0.50003762337397473</v>
      </c>
      <c r="AG374" s="921">
        <f t="shared" si="143"/>
        <v>-1</v>
      </c>
      <c r="AH374" s="176">
        <f t="shared" si="138"/>
        <v>5</v>
      </c>
      <c r="AI374" s="225">
        <f t="shared" si="139"/>
        <v>-0.49996237662602533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20">
        <v>18.428000000000001</v>
      </c>
      <c r="C375" s="390"/>
      <c r="D375" s="393">
        <f t="shared" si="122"/>
        <v>18.814636561641318</v>
      </c>
      <c r="E375" s="385">
        <f t="shared" si="144"/>
        <v>20.465343942968307</v>
      </c>
      <c r="F375" s="385">
        <f t="shared" si="123"/>
        <v>20.486846344424016</v>
      </c>
      <c r="G375" s="110">
        <f t="shared" si="145"/>
        <v>0.74053170337143537</v>
      </c>
      <c r="H375" s="414" t="b">
        <f>Wh_hp&gt;='2019'!Maxi_hp</f>
        <v>0</v>
      </c>
      <c r="I375" s="380">
        <f>IF(H375,Wh_hp,'2019'!Maxi_hp)</f>
        <v>27.615988001355355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2.054977572245964E-2</v>
      </c>
      <c r="M375" s="959"/>
      <c r="N375" s="959"/>
      <c r="O375" s="48">
        <f>IF(t&lt;Tnet,'2019'!Resal+('2019'!Salim-'2019'!Resal)*(1-EXP(('2019'!Tnet-t)/('2019'!Tau_j))),Resal+(Salim-Resal)*(1-EXP((Tnet-t)/(Tau_j))))*Salcycl</f>
        <v>8.0658667937714021E-2</v>
      </c>
      <c r="P375" s="169">
        <f>(INDEX(Models!$BJ375:$BT375,,T375)*(1-R375)+INDEX(Models!$BJ375:$BT375,,T375+1)*R375-ERP_i)*Q375*Ramure*Pc/MaxiM</f>
        <v>1.6660275090701151E-3</v>
      </c>
      <c r="Q375" s="305">
        <f t="shared" si="125"/>
        <v>0.7</v>
      </c>
      <c r="R375" s="177">
        <f t="shared" si="126"/>
        <v>0.50003762337397473</v>
      </c>
      <c r="S375" s="921">
        <f t="shared" si="127"/>
        <v>-1</v>
      </c>
      <c r="T375" s="176">
        <f t="shared" si="128"/>
        <v>5</v>
      </c>
      <c r="U375" s="251">
        <f t="shared" si="129"/>
        <v>-0.49996237662602533</v>
      </c>
      <c r="V375" s="383">
        <f t="shared" si="130"/>
        <v>24.869465981501431</v>
      </c>
      <c r="W375" s="402"/>
      <c r="X375" s="157">
        <f t="shared" si="131"/>
        <v>44191</v>
      </c>
      <c r="Y375" s="385">
        <f t="shared" si="132"/>
        <v>18.428000000000001</v>
      </c>
      <c r="Z375" s="385">
        <f t="shared" si="133"/>
        <v>18.814636561641318</v>
      </c>
      <c r="AA375" s="386">
        <f t="shared" si="134"/>
        <v>20.465343942968307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8.0658667937714021E-2</v>
      </c>
      <c r="AD375" s="231">
        <f>(INDEX(Models!$BJ375:$BT375,,AH375)*(1-AF375)+INDEX(Models!$BJ375:$BT375,,AH375+1)*AF375-ERP_i)*AE375*Ramure*Pc/MaxiM</f>
        <v>1.6660275090701151E-3</v>
      </c>
      <c r="AE375" s="305">
        <f t="shared" si="136"/>
        <v>0.7</v>
      </c>
      <c r="AF375" s="177">
        <f t="shared" si="137"/>
        <v>0.50003762337397473</v>
      </c>
      <c r="AG375" s="921">
        <f t="shared" si="143"/>
        <v>-1</v>
      </c>
      <c r="AH375" s="176">
        <f t="shared" si="138"/>
        <v>5</v>
      </c>
      <c r="AI375" s="225">
        <f t="shared" si="139"/>
        <v>-0.49996237662602533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20">
        <v>6.117</v>
      </c>
      <c r="C376" s="390"/>
      <c r="D376" s="393">
        <f t="shared" si="122"/>
        <v>6.2454771353444718</v>
      </c>
      <c r="E376" s="385">
        <f t="shared" si="144"/>
        <v>6.7936585629445601</v>
      </c>
      <c r="F376" s="385">
        <f t="shared" si="123"/>
        <v>6.7936585629445601</v>
      </c>
      <c r="G376" s="110">
        <f t="shared" si="145"/>
        <v>0.24416036737441565</v>
      </c>
      <c r="H376" s="414" t="b">
        <f>Wh_hp&gt;='2019'!Maxi_hp</f>
        <v>1</v>
      </c>
      <c r="I376" s="380">
        <f>IF(H376,Wh_hp,'2019'!Maxi_hp)</f>
        <v>6.7936585629445601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2.0571228196064051E-2</v>
      </c>
      <c r="M376" s="959"/>
      <c r="N376" s="959"/>
      <c r="O376" s="48">
        <f>IF(t&lt;Tnet,'2019'!Resal+('2019'!Salim-'2019'!Resal)*(1-EXP(('2019'!Tnet-t)/('2019'!Tau_j))),Resal+(Salim-Resal)*(1-EXP((Tnet-t)/(Tau_j))))*Salcycl</f>
        <v>8.0690164588208435E-2</v>
      </c>
      <c r="P376" s="169">
        <f>(INDEX(Models!$BJ376:$BT376,,T376)*(1-R376)+INDEX(Models!$BJ376:$BT376,,T376+1)*R376-ERP_i)*Q376*Ramure*Pc/MaxiM</f>
        <v>1.6627206682342137E-3</v>
      </c>
      <c r="Q376" s="305">
        <f t="shared" si="125"/>
        <v>0.7</v>
      </c>
      <c r="R376" s="177">
        <f t="shared" si="126"/>
        <v>0.50003762337397473</v>
      </c>
      <c r="S376" s="921">
        <f t="shared" si="127"/>
        <v>-1</v>
      </c>
      <c r="T376" s="176">
        <f t="shared" si="128"/>
        <v>5</v>
      </c>
      <c r="U376" s="251">
        <f t="shared" si="129"/>
        <v>-0.49996237662602533</v>
      </c>
      <c r="V376" s="383">
        <f t="shared" si="130"/>
        <v>25.011549594810756</v>
      </c>
      <c r="W376" s="402"/>
      <c r="X376" s="157">
        <f t="shared" si="131"/>
        <v>44192</v>
      </c>
      <c r="Y376" s="385">
        <f t="shared" si="132"/>
        <v>6.117</v>
      </c>
      <c r="Z376" s="385">
        <f t="shared" si="133"/>
        <v>6.2454771353444718</v>
      </c>
      <c r="AA376" s="386">
        <f t="shared" si="134"/>
        <v>6.7936585629445601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8.0690164588208435E-2</v>
      </c>
      <c r="AD376" s="231">
        <f>(INDEX(Models!$BJ376:$BT376,,AH376)*(1-AF376)+INDEX(Models!$BJ376:$BT376,,AH376+1)*AF376-ERP_i)*AE376*Ramure*Pc/MaxiM</f>
        <v>1.6627206682342137E-3</v>
      </c>
      <c r="AE376" s="305">
        <f t="shared" si="136"/>
        <v>0.7</v>
      </c>
      <c r="AF376" s="177">
        <f t="shared" si="137"/>
        <v>0.50003762337397473</v>
      </c>
      <c r="AG376" s="921">
        <f t="shared" si="143"/>
        <v>-1</v>
      </c>
      <c r="AH376" s="176">
        <f t="shared" si="138"/>
        <v>5</v>
      </c>
      <c r="AI376" s="225">
        <f t="shared" si="139"/>
        <v>-0.49996237662602533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20">
        <v>6.4550000000000001</v>
      </c>
      <c r="C377" s="390"/>
      <c r="D377" s="393">
        <f t="shared" si="122"/>
        <v>6.5907206016357458</v>
      </c>
      <c r="E377" s="385">
        <f t="shared" si="144"/>
        <v>7.1694527216816288</v>
      </c>
      <c r="F377" s="385">
        <f t="shared" si="123"/>
        <v>7.1694527216816288</v>
      </c>
      <c r="G377" s="110">
        <f t="shared" si="145"/>
        <v>0.25607173053616628</v>
      </c>
      <c r="H377" s="414" t="b">
        <f>Wh_hp&gt;='2019'!Maxi_hp</f>
        <v>0</v>
      </c>
      <c r="I377" s="380">
        <f>IF(H377,Wh_hp,'2019'!Maxi_hp)</f>
        <v>27.222037432287717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2.0592680199804203E-2</v>
      </c>
      <c r="M377" s="959"/>
      <c r="N377" s="959"/>
      <c r="O377" s="48">
        <f>IF(t&lt;Tnet,'2019'!Resal+('2019'!Salim-'2019'!Resal)*(1-EXP(('2019'!Tnet-t)/('2019'!Tau_j))),Resal+(Salim-Resal)*(1-EXP((Tnet-t)/(Tau_j))))*Salcycl</f>
        <v>8.0721938272317453E-2</v>
      </c>
      <c r="P377" s="169">
        <f>(INDEX(Models!$BJ377:$BT377,,T377)*(1-R377)+INDEX(Models!$BJ377:$BT377,,T377+1)*R377-ERP_i)*Q377*Ramure*Pc/MaxiM</f>
        <v>1.6580726979672437E-3</v>
      </c>
      <c r="Q377" s="305">
        <f t="shared" si="125"/>
        <v>0.7</v>
      </c>
      <c r="R377" s="177">
        <f t="shared" si="126"/>
        <v>0.50003762337397473</v>
      </c>
      <c r="S377" s="921">
        <f t="shared" si="127"/>
        <v>-1</v>
      </c>
      <c r="T377" s="176">
        <f t="shared" si="128"/>
        <v>5</v>
      </c>
      <c r="U377" s="251">
        <f t="shared" si="129"/>
        <v>-0.49996237662602533</v>
      </c>
      <c r="V377" s="383">
        <f t="shared" si="130"/>
        <v>25.165984262462203</v>
      </c>
      <c r="W377" s="402"/>
      <c r="X377" s="157">
        <f t="shared" si="131"/>
        <v>44193</v>
      </c>
      <c r="Y377" s="385">
        <f t="shared" si="132"/>
        <v>6.4550000000000001</v>
      </c>
      <c r="Z377" s="385">
        <f t="shared" si="133"/>
        <v>6.5907206016357458</v>
      </c>
      <c r="AA377" s="386">
        <f t="shared" si="134"/>
        <v>7.1694527216816288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8.0721938272317453E-2</v>
      </c>
      <c r="AD377" s="231">
        <f>(INDEX(Models!$BJ377:$BT377,,AH377)*(1-AF377)+INDEX(Models!$BJ377:$BT377,,AH377+1)*AF377-ERP_i)*AE377*Ramure*Pc/MaxiM</f>
        <v>1.6580726979672437E-3</v>
      </c>
      <c r="AE377" s="305">
        <f t="shared" si="136"/>
        <v>0.7</v>
      </c>
      <c r="AF377" s="177">
        <f t="shared" si="137"/>
        <v>0.50003762337397473</v>
      </c>
      <c r="AG377" s="921">
        <f t="shared" si="143"/>
        <v>-1</v>
      </c>
      <c r="AH377" s="176">
        <f t="shared" si="138"/>
        <v>5</v>
      </c>
      <c r="AI377" s="225">
        <f t="shared" si="139"/>
        <v>-0.49996237662602533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20">
        <v>5.7489999999999997</v>
      </c>
      <c r="C378" s="390"/>
      <c r="D378" s="393">
        <f t="shared" si="122"/>
        <v>5.8700050575334224</v>
      </c>
      <c r="E378" s="385">
        <f t="shared" si="144"/>
        <v>6.385673463510634</v>
      </c>
      <c r="F378" s="385">
        <f t="shared" si="123"/>
        <v>6.385673463510634</v>
      </c>
      <c r="G378" s="110">
        <f t="shared" si="145"/>
        <v>0.22657692581689987</v>
      </c>
      <c r="H378" s="414" t="b">
        <f>Wh_hp&gt;='2019'!Maxi_hp</f>
        <v>0</v>
      </c>
      <c r="I378" s="380">
        <f>IF(H378,Wh_hp,'2019'!Maxi_hp)</f>
        <v>27.784365944966957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2.0614131733690422E-2</v>
      </c>
      <c r="M378" s="959"/>
      <c r="N378" s="959"/>
      <c r="O378" s="48">
        <f>IF(t&lt;Tnet,'2019'!Resal+('2019'!Salim-'2019'!Resal)*(1-EXP(('2019'!Tnet-t)/('2019'!Tau_j))),Resal+(Salim-Resal)*(1-EXP((Tnet-t)/(Tau_j))))*Salcycl</f>
        <v>8.0753957890874348E-2</v>
      </c>
      <c r="P378" s="169">
        <f>(INDEX(Models!$BJ378:$BT378,,T378)*(1-R378)+INDEX(Models!$BJ378:$BT378,,T378+1)*R378-ERP_i)*Q378*Ramure*Pc/MaxiM</f>
        <v>1.6521959749014497E-3</v>
      </c>
      <c r="Q378" s="305">
        <f t="shared" si="125"/>
        <v>0.7</v>
      </c>
      <c r="R378" s="177">
        <f t="shared" si="126"/>
        <v>0.50003762337397473</v>
      </c>
      <c r="S378" s="921">
        <f t="shared" si="127"/>
        <v>-1</v>
      </c>
      <c r="T378" s="176">
        <f t="shared" si="128"/>
        <v>5</v>
      </c>
      <c r="U378" s="251">
        <f t="shared" si="129"/>
        <v>-0.49996237662602533</v>
      </c>
      <c r="V378" s="383">
        <f t="shared" si="130"/>
        <v>25.331359336998272</v>
      </c>
      <c r="W378" s="402"/>
      <c r="X378" s="157">
        <f t="shared" si="131"/>
        <v>44194</v>
      </c>
      <c r="Y378" s="385">
        <f t="shared" si="132"/>
        <v>5.7489999999999997</v>
      </c>
      <c r="Z378" s="385">
        <f t="shared" si="133"/>
        <v>5.8700050575334224</v>
      </c>
      <c r="AA378" s="386">
        <f t="shared" si="134"/>
        <v>6.385673463510634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8.0753957890874348E-2</v>
      </c>
      <c r="AD378" s="231">
        <f>(INDEX(Models!$BJ378:$BT378,,AH378)*(1-AF378)+INDEX(Models!$BJ378:$BT378,,AH378+1)*AF378-ERP_i)*AE378*Ramure*Pc/MaxiM</f>
        <v>1.6521959749014497E-3</v>
      </c>
      <c r="AE378" s="305">
        <f t="shared" si="136"/>
        <v>0.7</v>
      </c>
      <c r="AF378" s="177">
        <f t="shared" si="137"/>
        <v>0.50003762337397473</v>
      </c>
      <c r="AG378" s="921">
        <f t="shared" si="143"/>
        <v>-1</v>
      </c>
      <c r="AH378" s="176">
        <f t="shared" si="138"/>
        <v>5</v>
      </c>
      <c r="AI378" s="225">
        <f t="shared" si="139"/>
        <v>-0.49996237662602533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20">
        <v>6.0289999999999999</v>
      </c>
      <c r="C379" s="390"/>
      <c r="D379" s="393">
        <f t="shared" si="122"/>
        <v>6.1560333356024284</v>
      </c>
      <c r="E379" s="385">
        <f t="shared" si="144"/>
        <v>6.6970636220324398</v>
      </c>
      <c r="F379" s="385">
        <f t="shared" si="123"/>
        <v>6.6970636220324398</v>
      </c>
      <c r="G379" s="110">
        <f t="shared" si="145"/>
        <v>0.23598442237235473</v>
      </c>
      <c r="H379" s="414" t="b">
        <f>Wh_hp&gt;='2019'!Maxi_hp</f>
        <v>0</v>
      </c>
      <c r="I379" s="380">
        <f>IF(H379,Wh_hp,'2019'!Maxi_hp)</f>
        <v>16.365333025997142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2.0635582797733032E-2</v>
      </c>
      <c r="M379" s="959"/>
      <c r="N379" s="959"/>
      <c r="O379" s="48">
        <f>IF(t&lt;Tnet,'2019'!Resal+('2019'!Salim-'2019'!Resal)*(1-EXP(('2019'!Tnet-t)/('2019'!Tau_j))),Resal+(Salim-Resal)*(1-EXP((Tnet-t)/(Tau_j))))*Salcycl</f>
        <v>8.0786194810826384E-2</v>
      </c>
      <c r="P379" s="169">
        <f>(INDEX(Models!$BJ379:$BT379,,T379)*(1-R379)+INDEX(Models!$BJ379:$BT379,,T379+1)*R379-ERP_i)*Q379*Ramure*Pc/MaxiM</f>
        <v>1.6452023080135993E-3</v>
      </c>
      <c r="Q379" s="306">
        <f t="shared" si="125"/>
        <v>0.7</v>
      </c>
      <c r="R379" s="177">
        <f t="shared" si="126"/>
        <v>0.50003762337397473</v>
      </c>
      <c r="S379" s="921">
        <f t="shared" si="127"/>
        <v>-1</v>
      </c>
      <c r="T379" s="176">
        <f t="shared" si="128"/>
        <v>5</v>
      </c>
      <c r="U379" s="307">
        <f t="shared" si="129"/>
        <v>-0.49996237662602533</v>
      </c>
      <c r="V379" s="383">
        <f t="shared" si="130"/>
        <v>25.506264416841923</v>
      </c>
      <c r="W379" s="402"/>
      <c r="X379" s="157">
        <f t="shared" si="131"/>
        <v>44195</v>
      </c>
      <c r="Y379" s="385">
        <f t="shared" si="132"/>
        <v>6.0289999999999999</v>
      </c>
      <c r="Z379" s="385">
        <f t="shared" si="133"/>
        <v>6.1560333356024284</v>
      </c>
      <c r="AA379" s="386">
        <f t="shared" si="134"/>
        <v>6.6970636220324398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8.0786194810826384E-2</v>
      </c>
      <c r="AD379" s="231">
        <f>(INDEX(Models!$BJ379:$BT379,,AH379)*(1-AF379)+INDEX(Models!$BJ379:$BT379,,AH379+1)*AF379-ERP_i)*AE379*Ramure*Pc/MaxiM</f>
        <v>1.6452023080135993E-3</v>
      </c>
      <c r="AE379" s="306">
        <f t="shared" si="136"/>
        <v>0.7</v>
      </c>
      <c r="AF379" s="177">
        <f t="shared" si="137"/>
        <v>0.50003762337397473</v>
      </c>
      <c r="AG379" s="921">
        <f t="shared" si="143"/>
        <v>-1</v>
      </c>
      <c r="AH379" s="176">
        <f t="shared" si="138"/>
        <v>5</v>
      </c>
      <c r="AI379" s="222">
        <f t="shared" si="139"/>
        <v>-0.49996237662602533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21">
        <v>14.057</v>
      </c>
      <c r="C380" s="390"/>
      <c r="D380" s="393">
        <f t="shared" si="122"/>
        <v>14.353500744163453</v>
      </c>
      <c r="E380" s="385">
        <f t="shared" si="144"/>
        <v>15.615526055836645</v>
      </c>
      <c r="F380" s="385">
        <f t="shared" si="123"/>
        <v>15.624559392660943</v>
      </c>
      <c r="G380" s="110">
        <f t="shared" si="145"/>
        <v>0.54661318583592988</v>
      </c>
      <c r="H380" s="414" t="b">
        <f>Wh_hp&gt;='2019'!Maxi_hp</f>
        <v>1</v>
      </c>
      <c r="I380" s="381">
        <f>IF(H380,Wh_hp,'2019'!Maxi_hp)</f>
        <v>15.624559392660943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2.0657033391942248E-2</v>
      </c>
      <c r="M380" s="959"/>
      <c r="N380" s="959"/>
      <c r="O380" s="324">
        <f>IF(t&lt;Tnet,'2019'!Resal+('2019'!Salim-'2019'!Resal)*(1-EXP(('2019'!Tnet-t)/('2019'!Tau_j))),Resal+(Salim-Resal)*(1-EXP((Tnet-t)/(Tau_j))))*Salcycl</f>
        <v>8.081862289880927E-2</v>
      </c>
      <c r="P380" s="231">
        <f>(INDEX(Models!$BJ380:$BT380,,T380)*(1-R380)+INDEX(Models!$BJ380:$BT380,,T380+1)*R380-ERP_i)*Q380*Ramure*Pc/MaxiM</f>
        <v>1.6372019344213634E-3</v>
      </c>
      <c r="Q380" s="328">
        <f t="shared" si="125"/>
        <v>0.7</v>
      </c>
      <c r="R380" s="314">
        <f>(Hp_vg-S380)/(INDEX(Echel_vg,T380+1)-S380)</f>
        <v>0.50003762337397473</v>
      </c>
      <c r="S380" s="922">
        <f>INDEX(Echel_vg,T380)</f>
        <v>-1</v>
      </c>
      <c r="T380" s="233">
        <f t="shared" si="128"/>
        <v>5</v>
      </c>
      <c r="U380" s="301">
        <f t="shared" si="129"/>
        <v>-0.49996237662602533</v>
      </c>
      <c r="V380" s="383">
        <f t="shared" si="130"/>
        <v>25.689289349219596</v>
      </c>
      <c r="W380" s="402"/>
      <c r="X380" s="326">
        <f t="shared" si="131"/>
        <v>44196</v>
      </c>
      <c r="Y380" s="398">
        <f t="shared" si="132"/>
        <v>14.057</v>
      </c>
      <c r="Z380" s="398">
        <f t="shared" si="133"/>
        <v>14.353500744163453</v>
      </c>
      <c r="AA380" s="399">
        <f t="shared" si="134"/>
        <v>15.615526055836645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8.081862289880927E-2</v>
      </c>
      <c r="AD380" s="923">
        <f>(INDEX(Models!$BJ380:$BT380,,AH380)*(1-AF380)+INDEX(Models!$BJ380:$BT380,,AH380+1)*AF380-ERP_i)*AE380*Ramure*Pc/MaxiM</f>
        <v>1.6372019344213634E-3</v>
      </c>
      <c r="AE380" s="328">
        <f t="shared" si="136"/>
        <v>0.7</v>
      </c>
      <c r="AF380" s="314">
        <f>(Hp_vg_s-AG380)/(INDEX(Echel_vg,AH380+1)-AG380)</f>
        <v>0.50003762337397473</v>
      </c>
      <c r="AG380" s="922">
        <f>INDEX(Echel_vg,AH380)</f>
        <v>-1</v>
      </c>
      <c r="AH380" s="233">
        <f t="shared" si="138"/>
        <v>5</v>
      </c>
      <c r="AI380" s="227">
        <f t="shared" si="139"/>
        <v>-0.49996237662602533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1.2999999999999999E-2</v>
      </c>
      <c r="C381" s="375"/>
      <c r="D381" s="373">
        <f>MIN(D15:D380)</f>
        <v>1.3220816771113569E-2</v>
      </c>
      <c r="E381" s="373">
        <f>MIN(E15:E380)</f>
        <v>1.4324865506130676E-2</v>
      </c>
      <c r="F381" s="374">
        <f>MIN(F15:F380)</f>
        <v>1.4324865506130676E-2</v>
      </c>
      <c r="G381" s="125">
        <f>+MIN(G15:G380)</f>
        <v>2.4873731112463817E-4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1.2796272593941671E-2</v>
      </c>
      <c r="M381" s="961"/>
      <c r="N381" s="961"/>
      <c r="O381" s="47">
        <f t="shared" si="146"/>
        <v>6.529081480349877E-2</v>
      </c>
      <c r="P381" s="168">
        <f t="shared" si="146"/>
        <v>7.9909967029876528E-5</v>
      </c>
      <c r="Q381" s="310">
        <f t="shared" si="146"/>
        <v>0.7</v>
      </c>
      <c r="R381" s="311">
        <f t="shared" si="146"/>
        <v>3.8896410145761173E-5</v>
      </c>
      <c r="S381" s="921">
        <f t="shared" si="146"/>
        <v>-1</v>
      </c>
      <c r="T381" s="176">
        <f t="shared" si="146"/>
        <v>5</v>
      </c>
      <c r="U381" s="252">
        <f>+MIN(U15:U380)</f>
        <v>-0.99996110358985424</v>
      </c>
      <c r="V381" s="373">
        <f>MIN(V15:V380)</f>
        <v>24.146515122100489</v>
      </c>
      <c r="W381" s="913" t="s">
        <v>41</v>
      </c>
      <c r="X381" s="112" t="s">
        <v>7</v>
      </c>
      <c r="Y381" s="375">
        <f>MIN(Y15:Y380)</f>
        <v>1.2999999999999999E-2</v>
      </c>
      <c r="Z381" s="375">
        <f>MIN(Z15:Z380)</f>
        <v>1.3220816771113569E-2</v>
      </c>
      <c r="AA381" s="375">
        <f>MIN(AA15:AA380)</f>
        <v>1.4324865506130676E-2</v>
      </c>
      <c r="AB381" s="200" t="s">
        <v>7</v>
      </c>
      <c r="AC381" s="48">
        <f t="shared" ref="AC381:AH381" si="147">MIN(AC15:AC380)</f>
        <v>6.529081480349877E-2</v>
      </c>
      <c r="AD381" s="169">
        <f t="shared" si="147"/>
        <v>7.9909967029876528E-5</v>
      </c>
      <c r="AE381" s="310">
        <f t="shared" si="147"/>
        <v>0.7</v>
      </c>
      <c r="AF381" s="311">
        <f t="shared" si="147"/>
        <v>3.8896410145761173E-5</v>
      </c>
      <c r="AG381" s="921">
        <f t="shared" si="147"/>
        <v>-1</v>
      </c>
      <c r="AH381" s="176">
        <f t="shared" si="147"/>
        <v>5</v>
      </c>
      <c r="AI381" s="225">
        <f>MIN(AI15:AI380)</f>
        <v>-0.99996110358985424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28.745519125683057</v>
      </c>
      <c r="C382" s="375"/>
      <c r="D382" s="375">
        <f>AVERAGE(D15:D380)</f>
        <v>29.229082200244576</v>
      </c>
      <c r="E382" s="375">
        <f>AVERAGE(E15:E380)</f>
        <v>31.602922616671282</v>
      </c>
      <c r="F382" s="376">
        <f>AVERAGE(F15:F380)</f>
        <v>31.631760380252047</v>
      </c>
      <c r="G382" s="126">
        <f>AVERAGE(G15:G380)</f>
        <v>0.65803010464895717</v>
      </c>
      <c r="H382" s="94"/>
      <c r="I382" s="376">
        <f>AVERAGE(I15:I380)</f>
        <v>40.264633510297159</v>
      </c>
      <c r="J382" s="59">
        <f>AVERAGE(J15:J380)</f>
        <v>2019.2131147540983</v>
      </c>
      <c r="K382" s="200" t="s">
        <v>8</v>
      </c>
      <c r="L382" s="147">
        <f t="shared" ref="L382:V382" si="148">AVERAGE(L15:L380)</f>
        <v>1.673187555991907E-2</v>
      </c>
      <c r="M382" s="959"/>
      <c r="N382" s="959"/>
      <c r="O382" s="48">
        <f t="shared" si="148"/>
        <v>7.5087808111890531E-2</v>
      </c>
      <c r="P382" s="169">
        <f t="shared" si="148"/>
        <v>1.125017184225496E-3</v>
      </c>
      <c r="Q382" s="312">
        <f t="shared" si="148"/>
        <v>0.69999999999999529</v>
      </c>
      <c r="R382" s="177">
        <f t="shared" si="148"/>
        <v>0.28052390086820927</v>
      </c>
      <c r="S382" s="921">
        <f t="shared" si="148"/>
        <v>-1</v>
      </c>
      <c r="T382" s="176">
        <f t="shared" si="148"/>
        <v>5</v>
      </c>
      <c r="U382" s="251">
        <f t="shared" si="148"/>
        <v>-0.71947609913178956</v>
      </c>
      <c r="V382" s="375">
        <f t="shared" si="148"/>
        <v>42.385808233978047</v>
      </c>
      <c r="X382" s="112" t="s">
        <v>8</v>
      </c>
      <c r="Y382" s="375">
        <f>AVERAGE(Y15:Y380)</f>
        <v>28.745519125683057</v>
      </c>
      <c r="Z382" s="375">
        <f>AVERAGE(Z15:Z380)</f>
        <v>29.229082200244576</v>
      </c>
      <c r="AA382" s="375">
        <f>AVERAGE(AA15:AA380)</f>
        <v>31.602922616671282</v>
      </c>
      <c r="AB382" s="200" t="s">
        <v>8</v>
      </c>
      <c r="AC382" s="48">
        <f t="shared" ref="AC382:AH382" si="149">AVERAGE(AC15:AC380)</f>
        <v>7.5087808111890531E-2</v>
      </c>
      <c r="AD382" s="169">
        <f t="shared" si="149"/>
        <v>1.125017184225496E-3</v>
      </c>
      <c r="AE382" s="312">
        <f t="shared" si="149"/>
        <v>0.69999999999999529</v>
      </c>
      <c r="AF382" s="177">
        <f t="shared" si="149"/>
        <v>0.28052390086820927</v>
      </c>
      <c r="AG382" s="921">
        <f t="shared" si="149"/>
        <v>-1</v>
      </c>
      <c r="AH382" s="176">
        <f t="shared" si="149"/>
        <v>5</v>
      </c>
      <c r="AI382" s="225">
        <f>AVERAGE(AI15:AI380)</f>
        <v>-0.71947609913178956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54.438000000000002</v>
      </c>
      <c r="C383" s="377"/>
      <c r="D383" s="377">
        <f>MAX(D15:D380)</f>
        <v>55.310561553146947</v>
      </c>
      <c r="E383" s="377">
        <f>MAX(E15:E380)</f>
        <v>59.714807002339484</v>
      </c>
      <c r="F383" s="378">
        <f>MAX(F15:F380)</f>
        <v>59.85772667252207</v>
      </c>
      <c r="G383" s="127">
        <f>+MAX(G15:G380)</f>
        <v>1.0469651533282573</v>
      </c>
      <c r="H383" s="94"/>
      <c r="I383" s="378">
        <f>MAX(I15:I380)</f>
        <v>61.987907498178245</v>
      </c>
      <c r="J383" s="60">
        <f>MAX(J15:J380)</f>
        <v>2020</v>
      </c>
      <c r="K383" s="200" t="s">
        <v>9</v>
      </c>
      <c r="L383" s="148">
        <f t="shared" ref="L383:T383" si="150">MAX(L15:L380)</f>
        <v>2.0657033391942248E-2</v>
      </c>
      <c r="M383" s="962"/>
      <c r="N383" s="962"/>
      <c r="O383" s="49">
        <f t="shared" si="150"/>
        <v>8.081862289880927E-2</v>
      </c>
      <c r="P383" s="170">
        <f t="shared" si="150"/>
        <v>3.7514288159848524E-3</v>
      </c>
      <c r="Q383" s="313">
        <f t="shared" si="150"/>
        <v>0.7</v>
      </c>
      <c r="R383" s="314">
        <f t="shared" si="150"/>
        <v>0.50003762337397473</v>
      </c>
      <c r="S383" s="922">
        <f t="shared" si="150"/>
        <v>-1</v>
      </c>
      <c r="T383" s="233">
        <f t="shared" si="150"/>
        <v>5</v>
      </c>
      <c r="U383" s="253">
        <f>+MAX(U15:U380)</f>
        <v>-0.49996237662602533</v>
      </c>
      <c r="V383" s="377">
        <f>MAX(V15:V380)</f>
        <v>54.425134655340621</v>
      </c>
      <c r="X383" s="112" t="s">
        <v>9</v>
      </c>
      <c r="Y383" s="377">
        <f>MAX(Y15:Y380)</f>
        <v>54.438000000000002</v>
      </c>
      <c r="Z383" s="377">
        <f>MAX(Z15:Z380)</f>
        <v>55.310561553146947</v>
      </c>
      <c r="AA383" s="377">
        <f>MAX(AA15:AA380)</f>
        <v>59.714807002339484</v>
      </c>
      <c r="AB383" s="200" t="s">
        <v>9</v>
      </c>
      <c r="AC383" s="49">
        <f t="shared" ref="AC383:AH383" si="151">MAX(AC15:AC380)</f>
        <v>8.081862289880927E-2</v>
      </c>
      <c r="AD383" s="170">
        <f t="shared" si="151"/>
        <v>3.7514288159848524E-3</v>
      </c>
      <c r="AE383" s="313">
        <f t="shared" si="151"/>
        <v>0.7</v>
      </c>
      <c r="AF383" s="314">
        <f t="shared" si="151"/>
        <v>0.50003762337397473</v>
      </c>
      <c r="AG383" s="922">
        <f t="shared" si="151"/>
        <v>-1</v>
      </c>
      <c r="AH383" s="233">
        <f t="shared" si="151"/>
        <v>5</v>
      </c>
      <c r="AI383" s="227">
        <f>MAX(AI15:AI380)</f>
        <v>-0.49996237662602533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'2020'!An+1</f>
        <v>2021</v>
      </c>
      <c r="K1" s="1217"/>
      <c r="L1" s="113" t="str">
        <f>"Calcul pertes et enveloppes en "&amp;TEXT(An,0)</f>
        <v>Calcul pertes et enveloppes en 2021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2021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600.9123713970771</v>
      </c>
      <c r="AK4" s="948">
        <f>AM12-AK12</f>
        <v>-0.76147889062777985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601.44417563785896</v>
      </c>
      <c r="AA5" s="237">
        <f>Wh_Pvg_s-Wh_Pvg</f>
        <v>-0.76147889062777985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2726.168000000001</v>
      </c>
      <c r="AK5" s="517">
        <f>SUMIF(AK15:AK380,"VRAI",Wh)</f>
        <v>0</v>
      </c>
      <c r="AL5" s="517">
        <f>SUMIF(AJ15:AJ380,"VRAI",Wh_s)</f>
        <v>2726.168000000001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8193.2240000000056</v>
      </c>
      <c r="AK6" s="517">
        <f>SUMIF(AK15:AK380,"FAUX",Wh)</f>
        <v>10919.392000000005</v>
      </c>
      <c r="AL6" s="517">
        <f>SUMIF(AJ15:AJ380,"FAUX",Wh_s)</f>
        <v>7592.2595438481176</v>
      </c>
      <c r="AM6" s="517">
        <f>SUMIF(AK15:AK380,"FAUX",Wh_s)</f>
        <v>10318.427543848127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2787.8805455264228</v>
      </c>
      <c r="AK7" s="517">
        <f>SUMIF(AK15:AK380,"VRAI",Wh_sa)</f>
        <v>0</v>
      </c>
      <c r="AL7" s="517">
        <f>SUMIF(AJ15:AJ380,"VRAI",Wh_pvt_s)</f>
        <v>2787.8805455264228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AND(YEAR(Tnet)=An,Resal_2021&lt;&gt;"I")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8405.8160030182116</v>
      </c>
      <c r="AK8" s="517">
        <f>SUMIF(AK15:AK380,"FAUX",Wh_sa)</f>
        <v>11608.677211355429</v>
      </c>
      <c r="AL8" s="517">
        <f>SUMIF(AJ15:AJ380,"FAUX",Wh_pvt_s)</f>
        <v>7789.3067270511729</v>
      </c>
      <c r="AM8" s="517">
        <f>SUMIF(AK15:AK380,"FAUX",Wh_sa_s)</f>
        <v>11608.677211355429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11193.696548544644</v>
      </c>
      <c r="E9" s="184">
        <f>SUM(E$15:E$380)</f>
        <v>11608.677211355429</v>
      </c>
      <c r="F9" s="184">
        <f>SUM(F$15:F$380)</f>
        <v>11623.386504981814</v>
      </c>
      <c r="H9" s="1218">
        <f>+SUM(Wh)</f>
        <v>10919.392000000005</v>
      </c>
      <c r="I9" s="1219"/>
      <c r="J9" s="1220"/>
      <c r="K9" s="191" t="s">
        <v>10</v>
      </c>
      <c r="L9" s="232"/>
      <c r="M9" s="232"/>
      <c r="N9" s="232"/>
      <c r="O9" s="223">
        <f>Tnet_2021</f>
        <v>44306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10318.427543848127</v>
      </c>
      <c r="Y9" s="1213"/>
      <c r="Z9" s="517">
        <f>SUM(Wh_pvt_s)</f>
        <v>10577.187272577607</v>
      </c>
      <c r="AA9" s="517">
        <f>SUM(Wh_sa_s)</f>
        <v>11608.677211355429</v>
      </c>
      <c r="AB9" s="517">
        <f>F9</f>
        <v>11623.386504981814</v>
      </c>
      <c r="AC9" s="325">
        <f>IF(An_Tnet,Tnet,'2020'!Tnet_s)</f>
        <v>44306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3041.1539660486733</v>
      </c>
      <c r="AK9" s="517">
        <f>SUMIF(AK15:AK380,"VRAI",Wh_hp)</f>
        <v>0</v>
      </c>
      <c r="AL9" s="517">
        <f>SUMIF(AJ15:AJ380,"VRAI",Wh_sa_s)</f>
        <v>3041.1539660486733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8.0000000000000002E-3</v>
      </c>
      <c r="P10" s="422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IF(OR(Inflex,GainD),'2020'!Resal_s+('2020'!Salim-'2020'!Resal_s)*(1-EXP(('2020'!Tnet_s-Tnet)/('2020'!Tau_j))),IF(Acti_net,'2020'!Resal+('2020'!Salim-'2020'!Resal)*(1-EXP(('2020'!Tnet-Tnet)/'2020'!Tau_j)),'2020'!Resal_s))</f>
        <v>8.4521601654919384E-2</v>
      </c>
      <c r="AD10" s="429"/>
      <c r="AE10" s="429"/>
      <c r="AF10" s="260"/>
      <c r="AG10" s="261"/>
      <c r="AH10" s="262"/>
      <c r="AI10" s="474"/>
      <c r="AJ10" s="517">
        <f>SUMIF(AJ15:AJ380,"FAUX",Wh_sa)</f>
        <v>8567.5232453067474</v>
      </c>
      <c r="AK10" s="517">
        <f>SUMIF(AK15:AK380,"FAUX",Wh_hp)</f>
        <v>11623.386504981814</v>
      </c>
      <c r="AL10" s="517">
        <f>SUMIF(AJ15:AJ380,"FAUX",Wh_sa_s)</f>
        <v>8567.5232453067474</v>
      </c>
      <c r="AM10" s="517">
        <f>SUMIF(AK15:AK380,"FAUX",Wh_hp)</f>
        <v>11623.386504981814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274.30454854463824</v>
      </c>
      <c r="E11" s="51">
        <f>(E$9-D$9)*Prod_an/D$9</f>
        <v>404.81144990838033</v>
      </c>
      <c r="F11" s="186">
        <f>(F$9-E$9)*Prod_an/E$9</f>
        <v>13.835903972977185</v>
      </c>
      <c r="G11" s="185" t="s">
        <v>6</v>
      </c>
      <c r="K11" s="194"/>
      <c r="L11" s="211">
        <f>Tvie_2021</f>
        <v>43243</v>
      </c>
      <c r="M11" s="958"/>
      <c r="N11" s="958"/>
      <c r="O11" s="202">
        <f>IF(An_Tnet,Salim_2021,'2020'!Salim)</f>
        <v>0.12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3.7623373974671193E-5</v>
      </c>
      <c r="V11" s="19"/>
      <c r="W11" s="950"/>
      <c r="X11" s="235" t="s">
        <v>44</v>
      </c>
      <c r="Y11" s="50">
        <f>Z$9-Prod_an_s</f>
        <v>258.75972872947932</v>
      </c>
      <c r="Z11" s="51">
        <f>(AA$9-Z$9)*Prod_an_s/Z$9</f>
        <v>1006.2556255462392</v>
      </c>
      <c r="AA11" s="186">
        <f>(AB$9-AA$9)*Prod_an_s/AA$9</f>
        <v>13.074425082349405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247.66695810774965</v>
      </c>
      <c r="AK11" s="948">
        <f>IF($AK7=0,0,($AK9-$AK7)*$AK5/$AK7)</f>
        <v>0</v>
      </c>
      <c r="AL11" s="947">
        <f>IF($AL7=0,0,($AL9-$AL7)*$AL5/$AL7)</f>
        <v>247.66695810774965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4.6944592334525526E-2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-0.49996237662602533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-0.49996237662602533</v>
      </c>
      <c r="AJ12" s="947">
        <f>IF($AJ8=0,0,($AJ10-$AJ8)*$AJ6/$AJ8)</f>
        <v>157.61749460332277</v>
      </c>
      <c r="AK12" s="948">
        <f>IF($AK8=0,0,($AK10-$AK8)*$AK6/$AK8)</f>
        <v>13.835903972977185</v>
      </c>
      <c r="AL12" s="947">
        <f>IF($AL8=0,0,($AL10-$AL8)*$AL6/$AL8)</f>
        <v>758.52986600039981</v>
      </c>
      <c r="AM12" s="948">
        <f>IF($AM8=0,0,($AM10-$AM8)*$AM6/$AM8)</f>
        <v>13.074425082349405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286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405.28445271107239</v>
      </c>
      <c r="AK13" s="73">
        <f>+AK11+AK12</f>
        <v>13.835903972977185</v>
      </c>
      <c r="AL13" s="73">
        <f>+AL11+AL12</f>
        <v>1006.1968241081495</v>
      </c>
      <c r="AM13" s="73">
        <f>+AM11+AM12</f>
        <v>13.074425082349405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2021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2021</v>
      </c>
      <c r="W14" s="952"/>
      <c r="X14" s="258" t="s">
        <v>2</v>
      </c>
      <c r="Y14" s="107" t="str">
        <f>"Wh / Jour "&amp; TEXT(An,0)</f>
        <v>Wh / Jour 2021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9">
        <v>11.795</v>
      </c>
      <c r="C15" s="390"/>
      <c r="D15" s="393">
        <f t="shared" ref="D15:D78" si="0">Wh/(1-Ppv)</f>
        <v>12.044052746181709</v>
      </c>
      <c r="E15" s="400">
        <f t="shared" ref="E15:E79" si="1">Wh_pvt/(1-Psa)</f>
        <v>13.103531604585658</v>
      </c>
      <c r="F15" s="400">
        <f t="shared" ref="F15:F78" si="2">Wh_sa/(1-Pvg*MEDIAN((-Sdif+Wh/Env_an)/Csdif,0,1))</f>
        <v>13.108411525263771</v>
      </c>
      <c r="G15" s="123">
        <f>+Wh_hp/MaxiM</f>
        <v>0.45858768910712217</v>
      </c>
      <c r="H15" s="414" t="b">
        <f>Wh_hp&gt;='2020'!Maxi_hp</f>
        <v>1</v>
      </c>
      <c r="I15" s="379">
        <f>IF(H15,Wh_hp,'2020'!Maxi_hp)</f>
        <v>13.108411525263771</v>
      </c>
      <c r="J15" s="84">
        <f>IF(H15,An,'2020'!An_max)</f>
        <v>2021</v>
      </c>
      <c r="K15" s="197">
        <f t="shared" ref="K15:K78" si="3">t</f>
        <v>44197</v>
      </c>
      <c r="L15" s="146">
        <f>IF(t&lt;Tvie,1-EXP((T0-t)*PertePVj)+'2020'!Pspv,1-EXP((T0-t)*PertePVj)+Pspv)</f>
        <v>2.0678483516328505E-2</v>
      </c>
      <c r="M15" s="959"/>
      <c r="N15" s="959"/>
      <c r="O15" s="48">
        <f>IF(t&lt;Tnet,'2020'!Resal+('2020'!Salim-'2020'!Resal)*(1-EXP(('2020'!Tnet-t)/('2020'!Tau_j))),Resal+(Salim-Resal)*(1-EXP((Tnet-t)/(Tau_j))))*Salcycl</f>
        <v>8.0854451332278879E-2</v>
      </c>
      <c r="P15" s="302">
        <f>(INDEX(Models!$BJ15:$BT15,,T15)*(1-R15)+INDEX(Models!$BJ15:$BT15,,T15+1)*R15-ERP_i)*Q15*Ramure*Pc/MaxiM</f>
        <v>1.6372047882523388E-3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0.50003881887220403</v>
      </c>
      <c r="S15" s="920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-0.49996118112779597</v>
      </c>
      <c r="V15" s="382">
        <f t="shared" ref="V15:V78" si="9">MaxiM*(1-Ppv)*(1-Pvg)*(1-Psa)</f>
        <v>25.687725302530687</v>
      </c>
      <c r="W15" s="402"/>
      <c r="X15" s="156">
        <f t="shared" ref="X15:X78" si="10">t</f>
        <v>44197</v>
      </c>
      <c r="Y15" s="385">
        <f t="shared" ref="Y15:Y78" si="11">Wh_pvt_s*(1-Ppv)</f>
        <v>11.795</v>
      </c>
      <c r="Z15" s="385">
        <f t="shared" ref="Z15:Z78" si="12">Wh_sa_s*(1-Psa_s)</f>
        <v>12.044052746181709</v>
      </c>
      <c r="AA15" s="386">
        <f t="shared" ref="AA15:AA78" si="13">Wh_hp*(1-Pvg_s*MEDIAN((-Sdif+Wh/Env_an)/Csdif,0,1))</f>
        <v>13.103531604585658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8.0854451332278879E-2</v>
      </c>
      <c r="AD15" s="231">
        <f>(INDEX(Models!$BJ15:$BT15,,AH15)*(1-AF15)+INDEX(Models!$BJ15:$BT15,,AH15+1)*AF15-ERP_i)*AE15*Ramure*Pc/MaxiM</f>
        <v>1.6372047882523388E-3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0.50003881887220403</v>
      </c>
      <c r="AG15" s="920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-0.49996118112779597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20">
        <v>4.3959999999999999</v>
      </c>
      <c r="C16" s="390"/>
      <c r="D16" s="393">
        <f t="shared" si="0"/>
        <v>4.4889203512810187</v>
      </c>
      <c r="E16" s="385">
        <f t="shared" si="1"/>
        <v>4.8839701037152228</v>
      </c>
      <c r="F16" s="385">
        <f t="shared" si="2"/>
        <v>4.8839701037152228</v>
      </c>
      <c r="G16" s="110">
        <f t="shared" ref="G16:G79" si="21">+Wh_hp/MaxiM</f>
        <v>0.16960102495253082</v>
      </c>
      <c r="H16" s="414" t="b">
        <f>Wh_hp&gt;='2020'!Maxi_hp</f>
        <v>0</v>
      </c>
      <c r="I16" s="380">
        <f>IF(H16,Wh_hp,'2020'!Maxi_hp)</f>
        <v>25.967841110496515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2.0699933170901907E-2</v>
      </c>
      <c r="M16" s="959"/>
      <c r="N16" s="959"/>
      <c r="O16" s="48">
        <f>IF(t&lt;Tnet,'2020'!Resal+('2020'!Salim-'2020'!Resal)*(1-EXP(('2020'!Tnet-t)/('2020'!Tau_j))),Resal+(Salim-Resal)*(1-EXP((Tnet-t)/(Tau_j))))*Salcycl</f>
        <v>8.0887012828700686E-2</v>
      </c>
      <c r="P16" s="169">
        <f>(INDEX(Models!$BJ16:$BT16,,T16)*(1-R16)+INDEX(Models!$BJ16:$BT16,,T16+1)*R16-ERP_i)*Q16*Ramure*Pc/MaxiM</f>
        <v>1.6241121880780792E-3</v>
      </c>
      <c r="Q16" s="305">
        <f t="shared" si="4"/>
        <v>0.7</v>
      </c>
      <c r="R16" s="177">
        <f t="shared" si="5"/>
        <v>0.50006803348619822</v>
      </c>
      <c r="S16" s="921">
        <f t="shared" si="6"/>
        <v>-1</v>
      </c>
      <c r="T16" s="176">
        <f t="shared" si="7"/>
        <v>5</v>
      </c>
      <c r="U16" s="251">
        <f t="shared" si="8"/>
        <v>-0.49993196651380173</v>
      </c>
      <c r="V16" s="383">
        <f t="shared" si="9"/>
        <v>25.877558252077755</v>
      </c>
      <c r="W16" s="402"/>
      <c r="X16" s="157">
        <f t="shared" si="10"/>
        <v>44198</v>
      </c>
      <c r="Y16" s="385">
        <f t="shared" si="11"/>
        <v>4.3959999999999999</v>
      </c>
      <c r="Z16" s="385">
        <f t="shared" si="12"/>
        <v>4.4889203512810187</v>
      </c>
      <c r="AA16" s="386">
        <f t="shared" si="13"/>
        <v>4.8839701037152228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8.0887012828700686E-2</v>
      </c>
      <c r="AD16" s="231">
        <f>(INDEX(Models!$BJ16:$BT16,,AH16)*(1-AF16)+INDEX(Models!$BJ16:$BT16,,AH16+1)*AF16-ERP_i)*AE16*Ramure*Pc/MaxiM</f>
        <v>1.6241121880780792E-3</v>
      </c>
      <c r="AE16" s="305">
        <f t="shared" si="15"/>
        <v>0.7</v>
      </c>
      <c r="AF16" s="177">
        <f t="shared" ref="AF16:AF78" si="22">(Hp_vg_s-AG16)/(INDEX(Echel_vg,AH16+1)-AG16)</f>
        <v>0.50006803348619822</v>
      </c>
      <c r="AG16" s="921">
        <f t="shared" ref="AG16:AG79" si="23">INDEX(Echel_vg,AH16)</f>
        <v>-1</v>
      </c>
      <c r="AH16" s="176">
        <f t="shared" si="16"/>
        <v>5</v>
      </c>
      <c r="AI16" s="225">
        <f t="shared" si="17"/>
        <v>-0.49993196651380173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20">
        <v>25.597999999999999</v>
      </c>
      <c r="C17" s="390"/>
      <c r="D17" s="393">
        <f t="shared" si="0"/>
        <v>26.139649675570841</v>
      </c>
      <c r="E17" s="385">
        <f t="shared" si="1"/>
        <v>28.441095156517878</v>
      </c>
      <c r="F17" s="385">
        <f t="shared" si="2"/>
        <v>28.485654659206979</v>
      </c>
      <c r="G17" s="110">
        <f t="shared" si="21"/>
        <v>0.98174830566591575</v>
      </c>
      <c r="H17" s="414" t="b">
        <f>Wh_hp&gt;='2020'!Maxi_hp</f>
        <v>0</v>
      </c>
      <c r="I17" s="380">
        <f>IF(H17,Wh_hp,'2020'!Maxi_hp)</f>
        <v>30.270872638205173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2.0721382355672779E-2</v>
      </c>
      <c r="M17" s="959"/>
      <c r="N17" s="959"/>
      <c r="O17" s="48">
        <f>IF(t&lt;Tnet,'2020'!Resal+('2020'!Salim-'2020'!Resal)*(1-EXP(('2020'!Tnet-t)/('2020'!Tau_j))),Resal+(Salim-Resal)*(1-EXP((Tnet-t)/(Tau_j))))*Salcycl</f>
        <v>8.0919720857500585E-2</v>
      </c>
      <c r="P17" s="169">
        <f>(INDEX(Models!$BJ17:$BT17,,T17)*(1-R17)+INDEX(Models!$BJ17:$BT17,,T17+1)*R17-ERP_i)*Q17*Ramure*Pc/MaxiM</f>
        <v>1.6060606116904885E-3</v>
      </c>
      <c r="Q17" s="305">
        <f t="shared" si="4"/>
        <v>0.7</v>
      </c>
      <c r="R17" s="177">
        <f t="shared" si="5"/>
        <v>0.50009847008168795</v>
      </c>
      <c r="S17" s="921">
        <f t="shared" si="6"/>
        <v>-1</v>
      </c>
      <c r="T17" s="176">
        <f t="shared" si="7"/>
        <v>5</v>
      </c>
      <c r="U17" s="251">
        <f t="shared" si="8"/>
        <v>-0.4999015299183121</v>
      </c>
      <c r="V17" s="383">
        <f t="shared" si="9"/>
        <v>26.072801595983297</v>
      </c>
      <c r="W17" s="402"/>
      <c r="X17" s="157">
        <f t="shared" si="10"/>
        <v>44199</v>
      </c>
      <c r="Y17" s="385">
        <f t="shared" si="11"/>
        <v>25.597999999999999</v>
      </c>
      <c r="Z17" s="385">
        <f t="shared" si="12"/>
        <v>26.139649675570841</v>
      </c>
      <c r="AA17" s="386">
        <f t="shared" si="13"/>
        <v>28.441095156517878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8.0919720857500585E-2</v>
      </c>
      <c r="AD17" s="231">
        <f>(INDEX(Models!$BJ17:$BT17,,AH17)*(1-AF17)+INDEX(Models!$BJ17:$BT17,,AH17+1)*AF17-ERP_i)*AE17*Ramure*Pc/MaxiM</f>
        <v>1.6060606116904885E-3</v>
      </c>
      <c r="AE17" s="305">
        <f t="shared" si="15"/>
        <v>0.7</v>
      </c>
      <c r="AF17" s="177">
        <f>(Hp_vg_s-AG17)/(INDEX(Echel_vg,AH17+1)-AG17)</f>
        <v>0.50009847008168795</v>
      </c>
      <c r="AG17" s="921">
        <f>INDEX(Echel_vg,AH17)</f>
        <v>-1</v>
      </c>
      <c r="AH17" s="176">
        <f t="shared" si="16"/>
        <v>5</v>
      </c>
      <c r="AI17" s="225">
        <f t="shared" si="17"/>
        <v>-0.4999015299183121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20">
        <v>18.911999999999999</v>
      </c>
      <c r="C18" s="390"/>
      <c r="D18" s="393">
        <f t="shared" si="0"/>
        <v>19.312597956956559</v>
      </c>
      <c r="E18" s="385">
        <f t="shared" si="1"/>
        <v>21.013711641088573</v>
      </c>
      <c r="F18" s="385">
        <f t="shared" si="2"/>
        <v>21.033685536918551</v>
      </c>
      <c r="G18" s="110">
        <f t="shared" si="21"/>
        <v>0.71939601992641411</v>
      </c>
      <c r="H18" s="414" t="b">
        <f>Wh_hp&gt;='2020'!Maxi_hp</f>
        <v>0</v>
      </c>
      <c r="I18" s="380">
        <f>IF(H18,Wh_hp,'2020'!Maxi_hp)</f>
        <v>25.910930416910517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2.0742831070651557E-2</v>
      </c>
      <c r="M18" s="959"/>
      <c r="N18" s="959"/>
      <c r="O18" s="48">
        <f>IF(t&lt;Tnet,'2020'!Resal+('2020'!Salim-'2020'!Resal)*(1-EXP(('2020'!Tnet-t)/('2020'!Tau_j))),Resal+(Salim-Resal)*(1-EXP((Tnet-t)/(Tau_j))))*Salcycl</f>
        <v>8.0952556748984231E-2</v>
      </c>
      <c r="P18" s="169">
        <f>(INDEX(Models!$BJ18:$BT18,,T18)*(1-R18)+INDEX(Models!$BJ18:$BT18,,T18+1)*R18-ERP_i)*Q18*Ramure*Pc/MaxiM</f>
        <v>1.5832468130877689E-3</v>
      </c>
      <c r="Q18" s="305">
        <f t="shared" si="4"/>
        <v>0.7</v>
      </c>
      <c r="R18" s="177">
        <f t="shared" si="5"/>
        <v>0.50013017961298301</v>
      </c>
      <c r="S18" s="921">
        <f t="shared" si="6"/>
        <v>-1</v>
      </c>
      <c r="T18" s="176">
        <f t="shared" si="7"/>
        <v>5</v>
      </c>
      <c r="U18" s="251">
        <f t="shared" si="8"/>
        <v>-0.49986982038701699</v>
      </c>
      <c r="V18" s="383">
        <f t="shared" si="9"/>
        <v>26.272046042300907</v>
      </c>
      <c r="W18" s="402"/>
      <c r="X18" s="157">
        <f t="shared" si="10"/>
        <v>44200</v>
      </c>
      <c r="Y18" s="385">
        <f t="shared" si="11"/>
        <v>18.911999999999999</v>
      </c>
      <c r="Z18" s="385">
        <f>Wh_sa_s*(1-Psa_s)</f>
        <v>19.312597956956559</v>
      </c>
      <c r="AA18" s="386">
        <f t="shared" si="13"/>
        <v>21.013711641088573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8.0952556748984231E-2</v>
      </c>
      <c r="AD18" s="231">
        <f>(INDEX(Models!$BJ18:$BT18,,AH18)*(1-AF18)+INDEX(Models!$BJ18:$BT18,,AH18+1)*AF18-ERP_i)*AE18*Ramure*Pc/MaxiM</f>
        <v>1.5832468130877689E-3</v>
      </c>
      <c r="AE18" s="305">
        <f t="shared" si="15"/>
        <v>0.7</v>
      </c>
      <c r="AF18" s="177">
        <f t="shared" si="22"/>
        <v>0.50013017961298301</v>
      </c>
      <c r="AG18" s="921">
        <f t="shared" si="23"/>
        <v>-1</v>
      </c>
      <c r="AH18" s="176">
        <f t="shared" si="16"/>
        <v>5</v>
      </c>
      <c r="AI18" s="225">
        <f t="shared" si="17"/>
        <v>-0.49986982038701699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20">
        <v>3.0380000000000003</v>
      </c>
      <c r="C19" s="390"/>
      <c r="D19" s="393">
        <f t="shared" si="0"/>
        <v>3.1024195051600802</v>
      </c>
      <c r="E19" s="385">
        <f t="shared" si="1"/>
        <v>3.3758112842489774</v>
      </c>
      <c r="F19" s="385">
        <f t="shared" si="2"/>
        <v>3.3758112842489774</v>
      </c>
      <c r="G19" s="110">
        <f t="shared" si="21"/>
        <v>0.11457606509077038</v>
      </c>
      <c r="H19" s="414" t="b">
        <f>Wh_hp&gt;='2020'!Maxi_hp</f>
        <v>0</v>
      </c>
      <c r="I19" s="380">
        <f>IF(H19,Wh_hp,'2020'!Maxi_hp)</f>
        <v>29.868700088933423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2.0764279315848344E-2</v>
      </c>
      <c r="M19" s="959"/>
      <c r="N19" s="959"/>
      <c r="O19" s="48">
        <f>IF(t&lt;Tnet,'2020'!Resal+('2020'!Salim-'2020'!Resal)*(1-EXP(('2020'!Tnet-t)/('2020'!Tau_j))),Resal+(Salim-Resal)*(1-EXP((Tnet-t)/(Tau_j))))*Salcycl</f>
        <v>8.0985504244417181E-2</v>
      </c>
      <c r="P19" s="169">
        <f>(INDEX(Models!$BJ19:$BT19,,T19)*(1-R19)+INDEX(Models!$BJ19:$BT19,,T19+1)*R19-ERP_i)*Q19*Ramure*Pc/MaxiM</f>
        <v>1.5558614038856835E-3</v>
      </c>
      <c r="Q19" s="305">
        <f t="shared" si="4"/>
        <v>0.7</v>
      </c>
      <c r="R19" s="177">
        <f t="shared" si="5"/>
        <v>0.50016321514554463</v>
      </c>
      <c r="S19" s="921">
        <f t="shared" si="6"/>
        <v>-1</v>
      </c>
      <c r="T19" s="176">
        <f t="shared" si="7"/>
        <v>5</v>
      </c>
      <c r="U19" s="251">
        <f t="shared" si="8"/>
        <v>-0.49983678485445532</v>
      </c>
      <c r="V19" s="383">
        <f t="shared" si="9"/>
        <v>26.473882574444772</v>
      </c>
      <c r="W19" s="402"/>
      <c r="X19" s="157">
        <f t="shared" si="10"/>
        <v>44201</v>
      </c>
      <c r="Y19" s="385">
        <f t="shared" si="11"/>
        <v>3.0380000000000003</v>
      </c>
      <c r="Z19" s="385">
        <f t="shared" si="12"/>
        <v>3.1024195051600802</v>
      </c>
      <c r="AA19" s="386">
        <f t="shared" si="13"/>
        <v>3.3758112842489774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8.0985504244417181E-2</v>
      </c>
      <c r="AD19" s="231">
        <f>(INDEX(Models!$BJ19:$BT19,,AH19)*(1-AF19)+INDEX(Models!$BJ19:$BT19,,AH19+1)*AF19-ERP_i)*AE19*Ramure*Pc/MaxiM</f>
        <v>1.5558614038856835E-3</v>
      </c>
      <c r="AE19" s="305">
        <f t="shared" si="15"/>
        <v>0.7</v>
      </c>
      <c r="AF19" s="177">
        <f t="shared" si="22"/>
        <v>0.50016321514554463</v>
      </c>
      <c r="AG19" s="921">
        <f t="shared" si="23"/>
        <v>-1</v>
      </c>
      <c r="AH19" s="176">
        <f t="shared" si="16"/>
        <v>5</v>
      </c>
      <c r="AI19" s="225">
        <f t="shared" si="17"/>
        <v>-0.49983678485445532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20">
        <v>8.4589999999999996</v>
      </c>
      <c r="C20" s="390"/>
      <c r="D20" s="393">
        <f t="shared" si="0"/>
        <v>8.6385587241011059</v>
      </c>
      <c r="E20" s="385">
        <f t="shared" si="1"/>
        <v>9.4001448219328321</v>
      </c>
      <c r="F20" s="385">
        <f t="shared" si="2"/>
        <v>9.4004946256182027</v>
      </c>
      <c r="G20" s="110">
        <f t="shared" si="21"/>
        <v>0.31661929535507671</v>
      </c>
      <c r="H20" s="414" t="b">
        <f>Wh_hp&gt;='2020'!Maxi_hp</f>
        <v>0</v>
      </c>
      <c r="I20" s="380">
        <f>IF(H20,Wh_hp,'2020'!Maxi_hp)</f>
        <v>28.521480989437787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2.0785727091273576E-2</v>
      </c>
      <c r="M20" s="959"/>
      <c r="N20" s="959"/>
      <c r="O20" s="48">
        <f>IF(t&lt;Tnet,'2020'!Resal+('2020'!Salim-'2020'!Resal)*(1-EXP(('2020'!Tnet-t)/('2020'!Tau_j))),Resal+(Salim-Resal)*(1-EXP((Tnet-t)/(Tau_j))))*Salcycl</f>
        <v>8.1018549422213246E-2</v>
      </c>
      <c r="P20" s="169">
        <f>(INDEX(Models!$BJ20:$BT20,,T20)*(1-R20)+INDEX(Models!$BJ20:$BT20,,T20+1)*R20-ERP_i)*Q20*Ramure*Pc/MaxiM</f>
        <v>1.5240865963340273E-3</v>
      </c>
      <c r="Q20" s="305">
        <f t="shared" si="4"/>
        <v>0.7</v>
      </c>
      <c r="R20" s="177">
        <f t="shared" si="5"/>
        <v>0.50019763194229538</v>
      </c>
      <c r="S20" s="921">
        <f t="shared" si="6"/>
        <v>-1</v>
      </c>
      <c r="T20" s="176">
        <f t="shared" si="7"/>
        <v>5</v>
      </c>
      <c r="U20" s="251">
        <f t="shared" si="8"/>
        <v>-0.49980236805770462</v>
      </c>
      <c r="V20" s="383">
        <f t="shared" si="9"/>
        <v>26.67690244054565</v>
      </c>
      <c r="W20" s="402"/>
      <c r="X20" s="157">
        <f t="shared" si="10"/>
        <v>44202</v>
      </c>
      <c r="Y20" s="385">
        <f t="shared" si="11"/>
        <v>8.4589999999999996</v>
      </c>
      <c r="Z20" s="385">
        <f t="shared" si="12"/>
        <v>8.6385587241011059</v>
      </c>
      <c r="AA20" s="386">
        <f t="shared" si="13"/>
        <v>9.4001448219328321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8.1018549422213246E-2</v>
      </c>
      <c r="AD20" s="231">
        <f>(INDEX(Models!$BJ20:$BT20,,AH20)*(1-AF20)+INDEX(Models!$BJ20:$BT20,,AH20+1)*AF20-ERP_i)*AE20*Ramure*Pc/MaxiM</f>
        <v>1.5240865963340273E-3</v>
      </c>
      <c r="AE20" s="305">
        <f t="shared" si="15"/>
        <v>0.7</v>
      </c>
      <c r="AF20" s="177">
        <f t="shared" si="22"/>
        <v>0.50019763194229538</v>
      </c>
      <c r="AG20" s="921">
        <f t="shared" si="23"/>
        <v>-1</v>
      </c>
      <c r="AH20" s="176">
        <f t="shared" si="16"/>
        <v>5</v>
      </c>
      <c r="AI20" s="225">
        <f t="shared" si="17"/>
        <v>-0.49980236805770462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20">
        <v>13.792</v>
      </c>
      <c r="C21" s="390"/>
      <c r="D21" s="393">
        <f t="shared" si="0"/>
        <v>14.085070518675238</v>
      </c>
      <c r="E21" s="385">
        <f t="shared" si="1"/>
        <v>15.327380464621426</v>
      </c>
      <c r="F21" s="385">
        <f t="shared" si="2"/>
        <v>15.334327230197083</v>
      </c>
      <c r="G21" s="110">
        <f t="shared" si="21"/>
        <v>0.51256968092628563</v>
      </c>
      <c r="H21" s="414" t="b">
        <f>Wh_hp&gt;='2020'!Maxi_hp</f>
        <v>1</v>
      </c>
      <c r="I21" s="380">
        <f>IF(H21,Wh_hp,'2020'!Maxi_hp)</f>
        <v>15.334327230197083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2.0807174396937467E-2</v>
      </c>
      <c r="M21" s="959"/>
      <c r="N21" s="959"/>
      <c r="O21" s="48">
        <f>IF(t&lt;Tnet,'2020'!Resal+('2020'!Salim-'2020'!Resal)*(1-EXP(('2020'!Tnet-t)/('2020'!Tau_j))),Resal+(Salim-Resal)*(1-EXP((Tnet-t)/(Tau_j))))*Salcycl</f>
        <v>8.1051680606068335E-2</v>
      </c>
      <c r="P21" s="169">
        <f>(INDEX(Models!$BJ21:$BT21,,T21)*(1-R21)+INDEX(Models!$BJ21:$BT21,,T21+1)*R21-ERP_i)*Q21*Ramure*Pc/MaxiM</f>
        <v>1.4880942219604534E-3</v>
      </c>
      <c r="Q21" s="305">
        <f t="shared" si="4"/>
        <v>0.7</v>
      </c>
      <c r="R21" s="177">
        <f t="shared" si="5"/>
        <v>0.5002334875533585</v>
      </c>
      <c r="S21" s="921">
        <f t="shared" si="6"/>
        <v>-1</v>
      </c>
      <c r="T21" s="176">
        <f t="shared" si="7"/>
        <v>5</v>
      </c>
      <c r="U21" s="251">
        <f t="shared" si="8"/>
        <v>-0.49976651244664144</v>
      </c>
      <c r="V21" s="383">
        <f t="shared" si="9"/>
        <v>26.87969715470264</v>
      </c>
      <c r="W21" s="402"/>
      <c r="X21" s="157">
        <f t="shared" si="10"/>
        <v>44203</v>
      </c>
      <c r="Y21" s="385">
        <f t="shared" si="11"/>
        <v>13.792</v>
      </c>
      <c r="Z21" s="385">
        <f t="shared" si="12"/>
        <v>14.085070518675238</v>
      </c>
      <c r="AA21" s="386">
        <f t="shared" si="13"/>
        <v>15.327380464621426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8.1051680606068335E-2</v>
      </c>
      <c r="AD21" s="231">
        <f>(INDEX(Models!$BJ21:$BT21,,AH21)*(1-AF21)+INDEX(Models!$BJ21:$BT21,,AH21+1)*AF21-ERP_i)*AE21*Ramure*Pc/MaxiM</f>
        <v>1.4880942219604534E-3</v>
      </c>
      <c r="AE21" s="305">
        <f t="shared" si="15"/>
        <v>0.7</v>
      </c>
      <c r="AF21" s="177">
        <f t="shared" si="22"/>
        <v>0.5002334875533585</v>
      </c>
      <c r="AG21" s="921">
        <f t="shared" si="23"/>
        <v>-1</v>
      </c>
      <c r="AH21" s="176">
        <f t="shared" si="16"/>
        <v>5</v>
      </c>
      <c r="AI21" s="225">
        <f t="shared" si="17"/>
        <v>-0.49976651244664144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20">
        <v>18.814</v>
      </c>
      <c r="C22" s="390"/>
      <c r="D22" s="393">
        <f t="shared" si="0"/>
        <v>19.214205406706473</v>
      </c>
      <c r="E22" s="385">
        <f t="shared" si="1"/>
        <v>20.909663102885773</v>
      </c>
      <c r="F22" s="385">
        <f t="shared" si="2"/>
        <v>20.926751067686602</v>
      </c>
      <c r="G22" s="110">
        <f t="shared" si="21"/>
        <v>0.69429518159491033</v>
      </c>
      <c r="H22" s="414" t="b">
        <f>Wh_hp&gt;='2020'!Maxi_hp</f>
        <v>1</v>
      </c>
      <c r="I22" s="380">
        <f>IF(H22,Wh_hp,'2020'!Maxi_hp)</f>
        <v>20.926751067686602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2.0828621232850342E-2</v>
      </c>
      <c r="M22" s="959"/>
      <c r="N22" s="959"/>
      <c r="O22" s="48">
        <f>IF(t&lt;Tnet,'2020'!Resal+('2020'!Salim-'2020'!Resal)*(1-EXP(('2020'!Tnet-t)/('2020'!Tau_j))),Resal+(Salim-Resal)*(1-EXP((Tnet-t)/(Tau_j))))*Salcycl</f>
        <v>8.1084888256535675E-2</v>
      </c>
      <c r="P22" s="169">
        <f>(INDEX(Models!$BJ22:$BT22,,T22)*(1-R22)+INDEX(Models!$BJ22:$BT22,,T22+1)*R22-ERP_i)*Q22*Ramure*Pc/MaxiM</f>
        <v>1.4480440002796796E-3</v>
      </c>
      <c r="Q22" s="305">
        <f t="shared" si="4"/>
        <v>0.7</v>
      </c>
      <c r="R22" s="177">
        <f t="shared" si="5"/>
        <v>0.50027084190935578</v>
      </c>
      <c r="S22" s="921">
        <f t="shared" si="6"/>
        <v>-1</v>
      </c>
      <c r="T22" s="176">
        <f t="shared" si="7"/>
        <v>5</v>
      </c>
      <c r="U22" s="251">
        <f t="shared" si="8"/>
        <v>-0.49972915809064428</v>
      </c>
      <c r="V22" s="383">
        <f t="shared" si="9"/>
        <v>27.080858494225197</v>
      </c>
      <c r="W22" s="402"/>
      <c r="X22" s="157">
        <f t="shared" si="10"/>
        <v>44204</v>
      </c>
      <c r="Y22" s="385">
        <f t="shared" si="11"/>
        <v>18.814</v>
      </c>
      <c r="Z22" s="385">
        <f t="shared" si="12"/>
        <v>19.214205406706473</v>
      </c>
      <c r="AA22" s="386">
        <f t="shared" si="13"/>
        <v>20.909663102885773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8.1084888256535675E-2</v>
      </c>
      <c r="AD22" s="231">
        <f>(INDEX(Models!$BJ22:$BT22,,AH22)*(1-AF22)+INDEX(Models!$BJ22:$BT22,,AH22+1)*AF22-ERP_i)*AE22*Ramure*Pc/MaxiM</f>
        <v>1.4480440002796796E-3</v>
      </c>
      <c r="AE22" s="305">
        <f t="shared" si="15"/>
        <v>0.7</v>
      </c>
      <c r="AF22" s="177">
        <f t="shared" si="22"/>
        <v>0.50027084190935578</v>
      </c>
      <c r="AG22" s="921">
        <f t="shared" si="23"/>
        <v>-1</v>
      </c>
      <c r="AH22" s="176">
        <f t="shared" si="16"/>
        <v>5</v>
      </c>
      <c r="AI22" s="225">
        <f t="shared" si="17"/>
        <v>-0.49972915809064428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20">
        <v>5.3410000000000002</v>
      </c>
      <c r="C23" s="390"/>
      <c r="D23" s="393">
        <f t="shared" si="0"/>
        <v>5.4547315209462477</v>
      </c>
      <c r="E23" s="385">
        <f t="shared" si="1"/>
        <v>5.9362709243696239</v>
      </c>
      <c r="F23" s="385">
        <f t="shared" si="2"/>
        <v>5.9362709243696239</v>
      </c>
      <c r="G23" s="110">
        <f t="shared" si="21"/>
        <v>0.19549506868038977</v>
      </c>
      <c r="H23" s="414" t="b">
        <f>Wh_hp&gt;='2020'!Maxi_hp</f>
        <v>0</v>
      </c>
      <c r="I23" s="380">
        <f>IF(H23,Wh_hp,'2020'!Maxi_hp)</f>
        <v>27.858667670277544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2.0850067599022415E-2</v>
      </c>
      <c r="M23" s="959"/>
      <c r="N23" s="959"/>
      <c r="O23" s="48">
        <f>IF(t&lt;Tnet,'2020'!Resal+('2020'!Salim-'2020'!Resal)*(1-EXP(('2020'!Tnet-t)/('2020'!Tau_j))),Resal+(Salim-Resal)*(1-EXP((Tnet-t)/(Tau_j))))*Salcycl</f>
        <v>8.1118164847658325E-2</v>
      </c>
      <c r="P23" s="169">
        <f>(INDEX(Models!$BJ23:$BT23,,T23)*(1-R23)+INDEX(Models!$BJ23:$BT23,,T23+1)*R23-ERP_i)*Q23*Ramure*Pc/MaxiM</f>
        <v>1.4039253830644442E-3</v>
      </c>
      <c r="Q23" s="305">
        <f t="shared" si="4"/>
        <v>0.7</v>
      </c>
      <c r="R23" s="177">
        <f t="shared" si="5"/>
        <v>0.50030975741839079</v>
      </c>
      <c r="S23" s="921">
        <f t="shared" si="6"/>
        <v>-1</v>
      </c>
      <c r="T23" s="176">
        <f t="shared" si="7"/>
        <v>5</v>
      </c>
      <c r="U23" s="251">
        <f t="shared" si="8"/>
        <v>-0.49969024258160916</v>
      </c>
      <c r="V23" s="383">
        <f t="shared" si="9"/>
        <v>27.282026449724249</v>
      </c>
      <c r="W23" s="402"/>
      <c r="X23" s="157">
        <f t="shared" si="10"/>
        <v>44205</v>
      </c>
      <c r="Y23" s="385">
        <f t="shared" si="11"/>
        <v>5.3410000000000002</v>
      </c>
      <c r="Z23" s="385">
        <f t="shared" si="12"/>
        <v>5.4547315209462477</v>
      </c>
      <c r="AA23" s="386">
        <f t="shared" si="13"/>
        <v>5.9362709243696239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8.1118164847658325E-2</v>
      </c>
      <c r="AD23" s="231">
        <f>(INDEX(Models!$BJ23:$BT23,,AH23)*(1-AF23)+INDEX(Models!$BJ23:$BT23,,AH23+1)*AF23-ERP_i)*AE23*Ramure*Pc/MaxiM</f>
        <v>1.4039253830644442E-3</v>
      </c>
      <c r="AE23" s="305">
        <f t="shared" si="15"/>
        <v>0.7</v>
      </c>
      <c r="AF23" s="177">
        <f t="shared" si="22"/>
        <v>0.50030975741839079</v>
      </c>
      <c r="AG23" s="921">
        <f t="shared" si="23"/>
        <v>-1</v>
      </c>
      <c r="AH23" s="176">
        <f t="shared" si="16"/>
        <v>5</v>
      </c>
      <c r="AI23" s="225">
        <f t="shared" si="17"/>
        <v>-0.49969024258160916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20">
        <v>5.6760000000000002</v>
      </c>
      <c r="C24" s="390"/>
      <c r="D24" s="393">
        <f t="shared" si="0"/>
        <v>5.7969919966920553</v>
      </c>
      <c r="E24" s="385">
        <f t="shared" si="1"/>
        <v>6.3089747945780958</v>
      </c>
      <c r="F24" s="385">
        <f t="shared" si="2"/>
        <v>6.3089747945780958</v>
      </c>
      <c r="G24" s="110">
        <f t="shared" si="21"/>
        <v>0.20622519284775351</v>
      </c>
      <c r="H24" s="414" t="b">
        <f>Wh_hp&gt;='2020'!Maxi_hp</f>
        <v>0</v>
      </c>
      <c r="I24" s="380">
        <f>IF(H24,Wh_hp,'2020'!Maxi_hp)</f>
        <v>10.822941868477683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2.0871513495464011E-2</v>
      </c>
      <c r="M24" s="959"/>
      <c r="N24" s="959"/>
      <c r="O24" s="48">
        <f>IF(t&lt;Tnet,'2020'!Resal+('2020'!Salim-'2020'!Resal)*(1-EXP(('2020'!Tnet-t)/('2020'!Tau_j))),Resal+(Salim-Resal)*(1-EXP((Tnet-t)/(Tau_j))))*Salcycl</f>
        <v>8.1151504730378091E-2</v>
      </c>
      <c r="P24" s="169">
        <f>(INDEX(Models!$BJ24:$BT24,,T24)*(1-R24)+INDEX(Models!$BJ24:$BT24,,T24+1)*R24-ERP_i)*Q24*Ramure*Pc/MaxiM</f>
        <v>1.3564546354240296E-3</v>
      </c>
      <c r="Q24" s="305">
        <f t="shared" si="4"/>
        <v>0.7</v>
      </c>
      <c r="R24" s="177">
        <f t="shared" si="5"/>
        <v>0.50035029906686046</v>
      </c>
      <c r="S24" s="921">
        <f t="shared" si="6"/>
        <v>-1</v>
      </c>
      <c r="T24" s="176">
        <f t="shared" si="7"/>
        <v>5</v>
      </c>
      <c r="U24" s="251">
        <f t="shared" si="8"/>
        <v>-0.4996497009331396</v>
      </c>
      <c r="V24" s="383">
        <f t="shared" si="9"/>
        <v>27.485976302002914</v>
      </c>
      <c r="W24" s="402"/>
      <c r="X24" s="157">
        <f t="shared" si="10"/>
        <v>44206</v>
      </c>
      <c r="Y24" s="385">
        <f t="shared" si="11"/>
        <v>5.6760000000000002</v>
      </c>
      <c r="Z24" s="385">
        <f t="shared" si="12"/>
        <v>5.7969919966920553</v>
      </c>
      <c r="AA24" s="386">
        <f t="shared" si="13"/>
        <v>6.3089747945780958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8.1151504730378091E-2</v>
      </c>
      <c r="AD24" s="231">
        <f>(INDEX(Models!$BJ24:$BT24,,AH24)*(1-AF24)+INDEX(Models!$BJ24:$BT24,,AH24+1)*AF24-ERP_i)*AE24*Ramure*Pc/MaxiM</f>
        <v>1.3564546354240296E-3</v>
      </c>
      <c r="AE24" s="305">
        <f t="shared" si="15"/>
        <v>0.7</v>
      </c>
      <c r="AF24" s="177">
        <f t="shared" si="22"/>
        <v>0.50035029906686046</v>
      </c>
      <c r="AG24" s="921">
        <f t="shared" si="23"/>
        <v>-1</v>
      </c>
      <c r="AH24" s="176">
        <f t="shared" si="16"/>
        <v>5</v>
      </c>
      <c r="AI24" s="225">
        <f t="shared" si="17"/>
        <v>-0.4996497009331396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20">
        <v>5.1319999999999997</v>
      </c>
      <c r="C25" s="390"/>
      <c r="D25" s="393">
        <f t="shared" si="0"/>
        <v>5.2415106670570193</v>
      </c>
      <c r="E25" s="385">
        <f t="shared" si="1"/>
        <v>5.7046414341550431</v>
      </c>
      <c r="F25" s="385">
        <f t="shared" si="2"/>
        <v>5.7046414341550431</v>
      </c>
      <c r="G25" s="110">
        <f t="shared" si="21"/>
        <v>0.18507538818954117</v>
      </c>
      <c r="H25" s="414" t="b">
        <f>Wh_hp&gt;='2020'!Maxi_hp</f>
        <v>0</v>
      </c>
      <c r="I25" s="380">
        <f>IF(H25,Wh_hp,'2020'!Maxi_hp)</f>
        <v>30.176833140545245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2.0892958922185567E-2</v>
      </c>
      <c r="M25" s="959"/>
      <c r="N25" s="959"/>
      <c r="O25" s="48">
        <f>IF(t&lt;Tnet,'2020'!Resal+('2020'!Salim-'2020'!Resal)*(1-EXP(('2020'!Tnet-t)/('2020'!Tau_j))),Resal+(Salim-Resal)*(1-EXP((Tnet-t)/(Tau_j))))*Salcycl</f>
        <v>8.1184903984525603E-2</v>
      </c>
      <c r="P25" s="169">
        <f>(INDEX(Models!$BJ25:$BT25,,T25)*(1-R25)+INDEX(Models!$BJ25:$BT25,,T25+1)*R25-ERP_i)*Q25*Ramure*Pc/MaxiM</f>
        <v>1.3071307997705353E-3</v>
      </c>
      <c r="Q25" s="305">
        <f t="shared" si="4"/>
        <v>0.7</v>
      </c>
      <c r="R25" s="177">
        <f t="shared" si="5"/>
        <v>0.50039253452422638</v>
      </c>
      <c r="S25" s="921">
        <f t="shared" si="6"/>
        <v>-1</v>
      </c>
      <c r="T25" s="176">
        <f t="shared" si="7"/>
        <v>5</v>
      </c>
      <c r="U25" s="251">
        <f t="shared" si="8"/>
        <v>-0.49960746547577362</v>
      </c>
      <c r="V25" s="383">
        <f t="shared" si="9"/>
        <v>27.69299502690555</v>
      </c>
      <c r="W25" s="402"/>
      <c r="X25" s="157">
        <f t="shared" si="10"/>
        <v>44207</v>
      </c>
      <c r="Y25" s="385">
        <f t="shared" si="11"/>
        <v>5.1319999999999997</v>
      </c>
      <c r="Z25" s="385">
        <f t="shared" si="12"/>
        <v>5.2415106670570193</v>
      </c>
      <c r="AA25" s="386">
        <f t="shared" si="13"/>
        <v>5.7046414341550431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8.1184903984525603E-2</v>
      </c>
      <c r="AD25" s="231">
        <f>(INDEX(Models!$BJ25:$BT25,,AH25)*(1-AF25)+INDEX(Models!$BJ25:$BT25,,AH25+1)*AF25-ERP_i)*AE25*Ramure*Pc/MaxiM</f>
        <v>1.3071307997705353E-3</v>
      </c>
      <c r="AE25" s="305">
        <f t="shared" si="15"/>
        <v>0.7</v>
      </c>
      <c r="AF25" s="177">
        <f t="shared" si="22"/>
        <v>0.50039253452422638</v>
      </c>
      <c r="AG25" s="921">
        <f t="shared" si="23"/>
        <v>-1</v>
      </c>
      <c r="AH25" s="176">
        <f t="shared" si="16"/>
        <v>5</v>
      </c>
      <c r="AI25" s="225">
        <f t="shared" si="17"/>
        <v>-0.49960746547577362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20">
        <v>12.577999999999999</v>
      </c>
      <c r="C26" s="390"/>
      <c r="D26" s="393">
        <f t="shared" si="0"/>
        <v>12.846680667997575</v>
      </c>
      <c r="E26" s="385">
        <f t="shared" si="1"/>
        <v>13.982300159644687</v>
      </c>
      <c r="F26" s="385">
        <f t="shared" si="2"/>
        <v>13.986083693321092</v>
      </c>
      <c r="G26" s="110">
        <f t="shared" si="21"/>
        <v>0.45032495210372803</v>
      </c>
      <c r="H26" s="414" t="b">
        <f>Wh_hp&gt;='2020'!Maxi_hp</f>
        <v>0</v>
      </c>
      <c r="I26" s="380">
        <f>IF(H26,Wh_hp,'2020'!Maxi_hp)</f>
        <v>30.267889314428743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2.0914403879197074E-2</v>
      </c>
      <c r="M26" s="959"/>
      <c r="N26" s="959"/>
      <c r="O26" s="48">
        <f>IF(t&lt;Tnet,'2020'!Resal+('2020'!Salim-'2020'!Resal)*(1-EXP(('2020'!Tnet-t)/('2020'!Tau_j))),Resal+(Salim-Resal)*(1-EXP((Tnet-t)/(Tau_j))))*Salcycl</f>
        <v>8.1218360261261224E-2</v>
      </c>
      <c r="P26" s="169">
        <f>(INDEX(Models!$BJ26:$BT26,,T26)*(1-R26)+INDEX(Models!$BJ26:$BT26,,T26+1)*R26-ERP_i)*Q26*Ramure*Pc/MaxiM</f>
        <v>1.2559912850718252E-3</v>
      </c>
      <c r="Q26" s="305">
        <f t="shared" si="4"/>
        <v>0.7</v>
      </c>
      <c r="R26" s="177">
        <f t="shared" si="5"/>
        <v>0.50043653425189749</v>
      </c>
      <c r="S26" s="921">
        <f t="shared" si="6"/>
        <v>-1</v>
      </c>
      <c r="T26" s="176">
        <f t="shared" si="7"/>
        <v>5</v>
      </c>
      <c r="U26" s="251">
        <f t="shared" si="8"/>
        <v>-0.49956346574810251</v>
      </c>
      <c r="V26" s="383">
        <f t="shared" si="9"/>
        <v>27.903409184551329</v>
      </c>
      <c r="W26" s="402"/>
      <c r="X26" s="157">
        <f t="shared" si="10"/>
        <v>44208</v>
      </c>
      <c r="Y26" s="385">
        <f t="shared" si="11"/>
        <v>12.577999999999999</v>
      </c>
      <c r="Z26" s="385">
        <f t="shared" si="12"/>
        <v>12.846680667997575</v>
      </c>
      <c r="AA26" s="386">
        <f t="shared" si="13"/>
        <v>13.982300159644687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8.1218360261261224E-2</v>
      </c>
      <c r="AD26" s="231">
        <f>(INDEX(Models!$BJ26:$BT26,,AH26)*(1-AF26)+INDEX(Models!$BJ26:$BT26,,AH26+1)*AF26-ERP_i)*AE26*Ramure*Pc/MaxiM</f>
        <v>1.2559912850718252E-3</v>
      </c>
      <c r="AE26" s="305">
        <f t="shared" si="15"/>
        <v>0.7</v>
      </c>
      <c r="AF26" s="177">
        <f t="shared" si="22"/>
        <v>0.50043653425189749</v>
      </c>
      <c r="AG26" s="921">
        <f t="shared" si="23"/>
        <v>-1</v>
      </c>
      <c r="AH26" s="176">
        <f t="shared" si="16"/>
        <v>5</v>
      </c>
      <c r="AI26" s="225">
        <f t="shared" si="17"/>
        <v>-0.49956346574810251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20">
        <v>9.1609999999999996</v>
      </c>
      <c r="C27" s="390"/>
      <c r="D27" s="393">
        <f t="shared" si="0"/>
        <v>9.3568945249558944</v>
      </c>
      <c r="E27" s="385">
        <f t="shared" si="1"/>
        <v>10.184395751224521</v>
      </c>
      <c r="F27" s="385">
        <f t="shared" si="2"/>
        <v>10.184847556553894</v>
      </c>
      <c r="G27" s="110">
        <f t="shared" si="21"/>
        <v>0.32543326478516044</v>
      </c>
      <c r="H27" s="414" t="b">
        <f>Wh_hp&gt;='2020'!Maxi_hp</f>
        <v>0</v>
      </c>
      <c r="I27" s="380">
        <f>IF(H27,Wh_hp,'2020'!Maxi_hp)</f>
        <v>17.075177344016367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2.093584836650908E-2</v>
      </c>
      <c r="M27" s="959"/>
      <c r="N27" s="959"/>
      <c r="O27" s="48">
        <f>IF(t&lt;Tnet,'2020'!Resal+('2020'!Salim-'2020'!Resal)*(1-EXP(('2020'!Tnet-t)/('2020'!Tau_j))),Resal+(Salim-Resal)*(1-EXP((Tnet-t)/(Tau_j))))*Salcycl</f>
        <v>8.1251872617885204E-2</v>
      </c>
      <c r="P27" s="169">
        <f>(INDEX(Models!$BJ27:$BT27,,T27)*(1-R27)+INDEX(Models!$BJ27:$BT27,,T27+1)*R27-ERP_i)*Q27*Ramure*Pc/MaxiM</f>
        <v>1.2030767310816097E-3</v>
      </c>
      <c r="Q27" s="305">
        <f t="shared" si="4"/>
        <v>0.7</v>
      </c>
      <c r="R27" s="177">
        <f t="shared" si="5"/>
        <v>0.50048237161636666</v>
      </c>
      <c r="S27" s="921">
        <f t="shared" si="6"/>
        <v>-1</v>
      </c>
      <c r="T27" s="176">
        <f t="shared" si="7"/>
        <v>5</v>
      </c>
      <c r="U27" s="251">
        <f t="shared" si="8"/>
        <v>-0.49951762838363339</v>
      </c>
      <c r="V27" s="383">
        <f t="shared" si="9"/>
        <v>28.117545193479366</v>
      </c>
      <c r="W27" s="402"/>
      <c r="X27" s="157">
        <f t="shared" si="10"/>
        <v>44209</v>
      </c>
      <c r="Y27" s="385">
        <f t="shared" si="11"/>
        <v>9.1609999999999996</v>
      </c>
      <c r="Z27" s="385">
        <f t="shared" si="12"/>
        <v>9.3568945249558944</v>
      </c>
      <c r="AA27" s="386">
        <f t="shared" si="13"/>
        <v>10.184395751224521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8.1251872617885204E-2</v>
      </c>
      <c r="AD27" s="231">
        <f>(INDEX(Models!$BJ27:$BT27,,AH27)*(1-AF27)+INDEX(Models!$BJ27:$BT27,,AH27+1)*AF27-ERP_i)*AE27*Ramure*Pc/MaxiM</f>
        <v>1.2030767310816097E-3</v>
      </c>
      <c r="AE27" s="305">
        <f t="shared" si="15"/>
        <v>0.7</v>
      </c>
      <c r="AF27" s="177">
        <f t="shared" si="22"/>
        <v>0.50048237161636666</v>
      </c>
      <c r="AG27" s="921">
        <f t="shared" si="23"/>
        <v>-1</v>
      </c>
      <c r="AH27" s="176">
        <f t="shared" si="16"/>
        <v>5</v>
      </c>
      <c r="AI27" s="225">
        <f t="shared" si="17"/>
        <v>-0.49951762838363339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20">
        <v>9.7420000000000009</v>
      </c>
      <c r="C28" s="390"/>
      <c r="D28" s="393">
        <f t="shared" si="0"/>
        <v>9.9505362985884354</v>
      </c>
      <c r="E28" s="385">
        <f t="shared" si="1"/>
        <v>10.830933509073031</v>
      </c>
      <c r="F28" s="385">
        <f t="shared" si="2"/>
        <v>10.831711975272745</v>
      </c>
      <c r="G28" s="110">
        <f t="shared" si="21"/>
        <v>0.34343606490087292</v>
      </c>
      <c r="H28" s="414" t="b">
        <f>Wh_hp&gt;='2020'!Maxi_hp</f>
        <v>0</v>
      </c>
      <c r="I28" s="380">
        <f>IF(H28,Wh_hp,'2020'!Maxi_hp)</f>
        <v>29.231781562204368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2.0957292384131798E-2</v>
      </c>
      <c r="M28" s="959"/>
      <c r="N28" s="959"/>
      <c r="O28" s="48">
        <f>IF(t&lt;Tnet,'2020'!Resal+('2020'!Salim-'2020'!Resal)*(1-EXP(('2020'!Tnet-t)/('2020'!Tau_j))),Resal+(Salim-Resal)*(1-EXP((Tnet-t)/(Tau_j))))*Salcycl</f>
        <v>8.1285441346961473E-2</v>
      </c>
      <c r="P28" s="169">
        <f>(INDEX(Models!$BJ28:$BT28,,T28)*(1-R28)+INDEX(Models!$BJ28:$BT28,,T28+1)*R28-ERP_i)*Q28*Ramure*Pc/MaxiM</f>
        <v>1.1484310234345784E-3</v>
      </c>
      <c r="Q28" s="305">
        <f t="shared" si="4"/>
        <v>0.7</v>
      </c>
      <c r="R28" s="177">
        <f t="shared" si="5"/>
        <v>0.50053012300675603</v>
      </c>
      <c r="S28" s="921">
        <f t="shared" si="6"/>
        <v>-1</v>
      </c>
      <c r="T28" s="176">
        <f t="shared" si="7"/>
        <v>5</v>
      </c>
      <c r="U28" s="251">
        <f t="shared" si="8"/>
        <v>-0.49946987699324391</v>
      </c>
      <c r="V28" s="383">
        <f t="shared" si="9"/>
        <v>28.335729340101686</v>
      </c>
      <c r="W28" s="402"/>
      <c r="X28" s="157">
        <f t="shared" si="10"/>
        <v>44210</v>
      </c>
      <c r="Y28" s="385">
        <f t="shared" si="11"/>
        <v>9.7420000000000009</v>
      </c>
      <c r="Z28" s="385">
        <f t="shared" si="12"/>
        <v>9.9505362985884354</v>
      </c>
      <c r="AA28" s="386">
        <f t="shared" si="13"/>
        <v>10.830933509073031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8.1285441346961473E-2</v>
      </c>
      <c r="AD28" s="231">
        <f>(INDEX(Models!$BJ28:$BT28,,AH28)*(1-AF28)+INDEX(Models!$BJ28:$BT28,,AH28+1)*AF28-ERP_i)*AE28*Ramure*Pc/MaxiM</f>
        <v>1.1484310234345784E-3</v>
      </c>
      <c r="AE28" s="305">
        <f t="shared" si="15"/>
        <v>0.7</v>
      </c>
      <c r="AF28" s="177">
        <f t="shared" si="22"/>
        <v>0.50053012300675603</v>
      </c>
      <c r="AG28" s="921">
        <f t="shared" si="23"/>
        <v>-1</v>
      </c>
      <c r="AH28" s="176">
        <f t="shared" si="16"/>
        <v>5</v>
      </c>
      <c r="AI28" s="225">
        <f t="shared" si="17"/>
        <v>-0.49946987699324391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20">
        <v>15.613</v>
      </c>
      <c r="C29" s="390"/>
      <c r="D29" s="393">
        <f t="shared" si="0"/>
        <v>15.947559642501053</v>
      </c>
      <c r="E29" s="385">
        <f t="shared" si="1"/>
        <v>17.359193038153631</v>
      </c>
      <c r="F29" s="385">
        <f t="shared" si="2"/>
        <v>17.365877125251743</v>
      </c>
      <c r="G29" s="110">
        <f t="shared" si="21"/>
        <v>0.54631966381071706</v>
      </c>
      <c r="H29" s="414" t="b">
        <f>Wh_hp&gt;='2020'!Maxi_hp</f>
        <v>0</v>
      </c>
      <c r="I29" s="380">
        <f>IF(H29,Wh_hp,'2020'!Maxi_hp)</f>
        <v>31.24384641917025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2.0978735932075443E-2</v>
      </c>
      <c r="M29" s="959"/>
      <c r="N29" s="959"/>
      <c r="O29" s="48">
        <f>IF(t&lt;Tnet,'2020'!Resal+('2020'!Salim-'2020'!Resal)*(1-EXP(('2020'!Tnet-t)/('2020'!Tau_j))),Resal+(Salim-Resal)*(1-EXP((Tnet-t)/(Tau_j))))*Salcycl</f>
        <v>8.1319067801709499E-2</v>
      </c>
      <c r="P29" s="169">
        <f>(INDEX(Models!$BJ29:$BT29,,T29)*(1-R29)+INDEX(Models!$BJ29:$BT29,,T29+1)*R29-ERP_i)*Q29*Ramure*Pc/MaxiM</f>
        <v>1.0921012914794927E-3</v>
      </c>
      <c r="Q29" s="305">
        <f t="shared" si="4"/>
        <v>0.7</v>
      </c>
      <c r="R29" s="177">
        <f t="shared" si="5"/>
        <v>0.50057986795692844</v>
      </c>
      <c r="S29" s="921">
        <f t="shared" si="6"/>
        <v>-1</v>
      </c>
      <c r="T29" s="176">
        <f t="shared" si="7"/>
        <v>5</v>
      </c>
      <c r="U29" s="251">
        <f t="shared" si="8"/>
        <v>-0.49942013204307156</v>
      </c>
      <c r="V29" s="383">
        <f t="shared" si="9"/>
        <v>28.55828778123611</v>
      </c>
      <c r="W29" s="402"/>
      <c r="X29" s="157">
        <f t="shared" si="10"/>
        <v>44211</v>
      </c>
      <c r="Y29" s="385">
        <f t="shared" si="11"/>
        <v>15.612999999999998</v>
      </c>
      <c r="Z29" s="385">
        <f t="shared" si="12"/>
        <v>15.947559642501052</v>
      </c>
      <c r="AA29" s="386">
        <f t="shared" si="13"/>
        <v>17.359193038153631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8.1319067801709499E-2</v>
      </c>
      <c r="AD29" s="231">
        <f>(INDEX(Models!$BJ29:$BT29,,AH29)*(1-AF29)+INDEX(Models!$BJ29:$BT29,,AH29+1)*AF29-ERP_i)*AE29*Ramure*Pc/MaxiM</f>
        <v>1.0921012914794927E-3</v>
      </c>
      <c r="AE29" s="305">
        <f t="shared" si="15"/>
        <v>0.7</v>
      </c>
      <c r="AF29" s="177">
        <f t="shared" si="22"/>
        <v>0.50057986795692844</v>
      </c>
      <c r="AG29" s="921">
        <f t="shared" si="23"/>
        <v>-1</v>
      </c>
      <c r="AH29" s="176">
        <f t="shared" si="16"/>
        <v>5</v>
      </c>
      <c r="AI29" s="225">
        <f t="shared" si="17"/>
        <v>-0.49942013204307156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20">
        <v>17.862000000000002</v>
      </c>
      <c r="C30" s="390"/>
      <c r="D30" s="393">
        <f t="shared" si="0"/>
        <v>18.245151446446329</v>
      </c>
      <c r="E30" s="385">
        <f t="shared" si="1"/>
        <v>19.860889509277346</v>
      </c>
      <c r="F30" s="385">
        <f t="shared" si="2"/>
        <v>19.870320425970384</v>
      </c>
      <c r="G30" s="110">
        <f t="shared" si="21"/>
        <v>0.62017239018598502</v>
      </c>
      <c r="H30" s="414" t="b">
        <f>Wh_hp&gt;='2020'!Maxi_hp</f>
        <v>0</v>
      </c>
      <c r="I30" s="380">
        <f>IF(H30,Wh_hp,'2020'!Maxi_hp)</f>
        <v>32.204114318448951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2.1000179010350339E-2</v>
      </c>
      <c r="M30" s="959"/>
      <c r="N30" s="959"/>
      <c r="O30" s="48">
        <f>IF(t&lt;Tnet,'2020'!Resal+('2020'!Salim-'2020'!Resal)*(1-EXP(('2020'!Tnet-t)/('2020'!Tau_j))),Resal+(Salim-Resal)*(1-EXP((Tnet-t)/(Tau_j))))*Salcycl</f>
        <v>8.135275421960729E-2</v>
      </c>
      <c r="P30" s="169">
        <f>(INDEX(Models!$BJ30:$BT30,,T30)*(1-R30)+INDEX(Models!$BJ30:$BT30,,T30+1)*R30-ERP_i)*Q30*Ramure*Pc/MaxiM</f>
        <v>1.0365500083032244E-3</v>
      </c>
      <c r="Q30" s="305">
        <f t="shared" si="4"/>
        <v>0.7</v>
      </c>
      <c r="R30" s="177">
        <f t="shared" si="5"/>
        <v>0.50063168927232171</v>
      </c>
      <c r="S30" s="921">
        <f t="shared" si="6"/>
        <v>-1</v>
      </c>
      <c r="T30" s="176">
        <f t="shared" si="7"/>
        <v>5</v>
      </c>
      <c r="U30" s="251">
        <f t="shared" si="8"/>
        <v>-0.49936831072767829</v>
      </c>
      <c r="V30" s="383">
        <f t="shared" si="9"/>
        <v>28.785477040245567</v>
      </c>
      <c r="W30" s="402"/>
      <c r="X30" s="157">
        <f t="shared" si="10"/>
        <v>44212</v>
      </c>
      <c r="Y30" s="385">
        <f t="shared" si="11"/>
        <v>17.862000000000002</v>
      </c>
      <c r="Z30" s="385">
        <f t="shared" si="12"/>
        <v>18.245151446446329</v>
      </c>
      <c r="AA30" s="386">
        <f t="shared" si="13"/>
        <v>19.860889509277346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8.135275421960729E-2</v>
      </c>
      <c r="AD30" s="231">
        <f>(INDEX(Models!$BJ30:$BT30,,AH30)*(1-AF30)+INDEX(Models!$BJ30:$BT30,,AH30+1)*AF30-ERP_i)*AE30*Ramure*Pc/MaxiM</f>
        <v>1.0365500083032244E-3</v>
      </c>
      <c r="AE30" s="305">
        <f t="shared" si="15"/>
        <v>0.7</v>
      </c>
      <c r="AF30" s="177">
        <f t="shared" si="22"/>
        <v>0.50063168927232171</v>
      </c>
      <c r="AG30" s="921">
        <f t="shared" si="23"/>
        <v>-1</v>
      </c>
      <c r="AH30" s="176">
        <f t="shared" si="16"/>
        <v>5</v>
      </c>
      <c r="AI30" s="225">
        <f t="shared" si="17"/>
        <v>-0.49936831072767829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20">
        <v>4.6450000000000005</v>
      </c>
      <c r="C31" s="390"/>
      <c r="D31" s="393">
        <f t="shared" si="0"/>
        <v>4.7447421746755847</v>
      </c>
      <c r="E31" s="385">
        <f t="shared" si="1"/>
        <v>5.1651126322350924</v>
      </c>
      <c r="F31" s="385">
        <f t="shared" si="2"/>
        <v>5.1651126322350924</v>
      </c>
      <c r="G31" s="110">
        <f t="shared" si="21"/>
        <v>0.15991798015257241</v>
      </c>
      <c r="H31" s="414" t="b">
        <f>Wh_hp&gt;='2020'!Maxi_hp</f>
        <v>0</v>
      </c>
      <c r="I31" s="380">
        <f>IF(H31,Wh_hp,'2020'!Maxi_hp)</f>
        <v>9.1703414610267338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2.1021621618966813E-2</v>
      </c>
      <c r="M31" s="959"/>
      <c r="N31" s="959"/>
      <c r="O31" s="48">
        <f>IF(t&lt;Tnet,'2020'!Resal+('2020'!Salim-'2020'!Resal)*(1-EXP(('2020'!Tnet-t)/('2020'!Tau_j))),Resal+(Salim-Resal)*(1-EXP((Tnet-t)/(Tau_j))))*Salcycl</f>
        <v>8.1386503546119482E-2</v>
      </c>
      <c r="P31" s="169">
        <f>(INDEX(Models!$BJ31:$BT31,,T31)*(1-R31)+INDEX(Models!$BJ31:$BT31,,T31+1)*R31-ERP_i)*Q31*Ramure*Pc/MaxiM</f>
        <v>9.8480106536303204E-4</v>
      </c>
      <c r="Q31" s="305">
        <f t="shared" si="4"/>
        <v>0.7</v>
      </c>
      <c r="R31" s="177">
        <f t="shared" si="5"/>
        <v>0.50068567316167578</v>
      </c>
      <c r="S31" s="921">
        <f t="shared" si="6"/>
        <v>-1</v>
      </c>
      <c r="T31" s="176">
        <f t="shared" si="7"/>
        <v>5</v>
      </c>
      <c r="U31" s="251">
        <f t="shared" si="8"/>
        <v>-0.49931432683832416</v>
      </c>
      <c r="V31" s="383">
        <f t="shared" si="9"/>
        <v>29.017535080321263</v>
      </c>
      <c r="W31" s="402"/>
      <c r="X31" s="157">
        <f t="shared" si="10"/>
        <v>44213</v>
      </c>
      <c r="Y31" s="385">
        <f t="shared" si="11"/>
        <v>4.6450000000000005</v>
      </c>
      <c r="Z31" s="385">
        <f t="shared" si="12"/>
        <v>4.7447421746755847</v>
      </c>
      <c r="AA31" s="386">
        <f t="shared" si="13"/>
        <v>5.1651126322350924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8.1386503546119482E-2</v>
      </c>
      <c r="AD31" s="231">
        <f>(INDEX(Models!$BJ31:$BT31,,AH31)*(1-AF31)+INDEX(Models!$BJ31:$BT31,,AH31+1)*AF31-ERP_i)*AE31*Ramure*Pc/MaxiM</f>
        <v>9.8480106536303204E-4</v>
      </c>
      <c r="AE31" s="305">
        <f t="shared" si="15"/>
        <v>0.7</v>
      </c>
      <c r="AF31" s="177">
        <f t="shared" si="22"/>
        <v>0.50068567316167578</v>
      </c>
      <c r="AG31" s="921">
        <f t="shared" si="23"/>
        <v>-1</v>
      </c>
      <c r="AH31" s="176">
        <f t="shared" si="16"/>
        <v>5</v>
      </c>
      <c r="AI31" s="225">
        <f t="shared" si="17"/>
        <v>-0.49931432683832416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20">
        <v>27.818000000000001</v>
      </c>
      <c r="C32" s="390"/>
      <c r="D32" s="393">
        <f t="shared" si="0"/>
        <v>28.415958833475692</v>
      </c>
      <c r="E32" s="385">
        <f t="shared" si="1"/>
        <v>30.934669500414955</v>
      </c>
      <c r="F32" s="385">
        <f t="shared" si="2"/>
        <v>30.961638796552403</v>
      </c>
      <c r="G32" s="110">
        <f t="shared" si="21"/>
        <v>0.95082454100655456</v>
      </c>
      <c r="H32" s="414" t="b">
        <f>Wh_hp&gt;='2020'!Maxi_hp</f>
        <v>1</v>
      </c>
      <c r="I32" s="380">
        <f>IF(H32,Wh_hp,'2020'!Maxi_hp)</f>
        <v>30.961638796552403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2.1043063757935188E-2</v>
      </c>
      <c r="M32" s="959"/>
      <c r="N32" s="959"/>
      <c r="O32" s="48">
        <f>IF(t&lt;Tnet,'2020'!Resal+('2020'!Salim-'2020'!Resal)*(1-EXP(('2020'!Tnet-t)/('2020'!Tau_j))),Resal+(Salim-Resal)*(1-EXP((Tnet-t)/(Tau_j))))*Salcycl</f>
        <v>8.1420319260416818E-2</v>
      </c>
      <c r="P32" s="169">
        <f>(INDEX(Models!$BJ32:$BT32,,T32)*(1-R32)+INDEX(Models!$BJ32:$BT32,,T32+1)*R32-ERP_i)*Q32*Ramure*Pc/MaxiM</f>
        <v>9.3678095430856404E-4</v>
      </c>
      <c r="Q32" s="305">
        <f t="shared" si="4"/>
        <v>0.7</v>
      </c>
      <c r="R32" s="177">
        <f t="shared" si="5"/>
        <v>0.50074190937381746</v>
      </c>
      <c r="S32" s="921">
        <f t="shared" si="6"/>
        <v>-1</v>
      </c>
      <c r="T32" s="176">
        <f t="shared" si="7"/>
        <v>5</v>
      </c>
      <c r="U32" s="251">
        <f t="shared" si="8"/>
        <v>-0.49925809062618248</v>
      </c>
      <c r="V32" s="383">
        <f t="shared" si="9"/>
        <v>29.254787657486364</v>
      </c>
      <c r="W32" s="402"/>
      <c r="X32" s="157">
        <f t="shared" si="10"/>
        <v>44214</v>
      </c>
      <c r="Y32" s="385">
        <f t="shared" si="11"/>
        <v>27.818000000000001</v>
      </c>
      <c r="Z32" s="385">
        <f t="shared" si="12"/>
        <v>28.415958833475692</v>
      </c>
      <c r="AA32" s="386">
        <f t="shared" si="13"/>
        <v>30.934669500414955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8.1420319260416818E-2</v>
      </c>
      <c r="AD32" s="231">
        <f>(INDEX(Models!$BJ32:$BT32,,AH32)*(1-AF32)+INDEX(Models!$BJ32:$BT32,,AH32+1)*AF32-ERP_i)*AE32*Ramure*Pc/MaxiM</f>
        <v>9.3678095430856404E-4</v>
      </c>
      <c r="AE32" s="305">
        <f t="shared" si="15"/>
        <v>0.7</v>
      </c>
      <c r="AF32" s="177">
        <f t="shared" si="22"/>
        <v>0.50074190937381746</v>
      </c>
      <c r="AG32" s="921">
        <f t="shared" si="23"/>
        <v>-1</v>
      </c>
      <c r="AH32" s="176">
        <f t="shared" si="16"/>
        <v>5</v>
      </c>
      <c r="AI32" s="225">
        <f t="shared" si="17"/>
        <v>-0.49925809062618248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20">
        <v>29.269000000000002</v>
      </c>
      <c r="C33" s="390"/>
      <c r="D33" s="393">
        <f t="shared" si="0"/>
        <v>29.898803508779434</v>
      </c>
      <c r="E33" s="385">
        <f t="shared" si="1"/>
        <v>32.550150115758385</v>
      </c>
      <c r="F33" s="385">
        <f t="shared" si="2"/>
        <v>32.578902251016416</v>
      </c>
      <c r="G33" s="110">
        <f t="shared" si="21"/>
        <v>0.99224173754689116</v>
      </c>
      <c r="H33" s="414" t="b">
        <f>Wh_hp&gt;='2020'!Maxi_hp</f>
        <v>1</v>
      </c>
      <c r="I33" s="380">
        <f>IF(H33,Wh_hp,'2020'!Maxi_hp)</f>
        <v>32.578902251016416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2.1064505427265567E-2</v>
      </c>
      <c r="M33" s="959"/>
      <c r="N33" s="959"/>
      <c r="O33" s="48">
        <f>IF(t&lt;Tnet,'2020'!Resal+('2020'!Salim-'2020'!Resal)*(1-EXP(('2020'!Tnet-t)/('2020'!Tau_j))),Resal+(Salim-Resal)*(1-EXP((Tnet-t)/(Tau_j))))*Salcycl</f>
        <v>8.1454205204889885E-2</v>
      </c>
      <c r="P33" s="169">
        <f>(INDEX(Models!$BJ33:$BT33,,T33)*(1-R33)+INDEX(Models!$BJ33:$BT33,,T33+1)*R33-ERP_i)*Q33*Ramure*Pc/MaxiM</f>
        <v>8.9241684767292983E-4</v>
      </c>
      <c r="Q33" s="305">
        <f t="shared" si="4"/>
        <v>0.7</v>
      </c>
      <c r="R33" s="177">
        <f t="shared" si="5"/>
        <v>0.50080049133967841</v>
      </c>
      <c r="S33" s="921">
        <f t="shared" si="6"/>
        <v>-1</v>
      </c>
      <c r="T33" s="176">
        <f t="shared" si="7"/>
        <v>5</v>
      </c>
      <c r="U33" s="251">
        <f t="shared" si="8"/>
        <v>-0.49919950866032159</v>
      </c>
      <c r="V33" s="383">
        <f t="shared" si="9"/>
        <v>29.497560430556074</v>
      </c>
      <c r="W33" s="402"/>
      <c r="X33" s="157">
        <f t="shared" si="10"/>
        <v>44215</v>
      </c>
      <c r="Y33" s="385">
        <f t="shared" si="11"/>
        <v>29.268999999999998</v>
      </c>
      <c r="Z33" s="385">
        <f t="shared" si="12"/>
        <v>29.89880350877943</v>
      </c>
      <c r="AA33" s="386">
        <f t="shared" si="13"/>
        <v>32.550150115758385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8.1454205204889885E-2</v>
      </c>
      <c r="AD33" s="231">
        <f>(INDEX(Models!$BJ33:$BT33,,AH33)*(1-AF33)+INDEX(Models!$BJ33:$BT33,,AH33+1)*AF33-ERP_i)*AE33*Ramure*Pc/MaxiM</f>
        <v>8.9241684767292983E-4</v>
      </c>
      <c r="AE33" s="305">
        <f t="shared" si="15"/>
        <v>0.7</v>
      </c>
      <c r="AF33" s="177">
        <f t="shared" si="22"/>
        <v>0.50080049133967841</v>
      </c>
      <c r="AG33" s="921">
        <f t="shared" si="23"/>
        <v>-1</v>
      </c>
      <c r="AH33" s="176">
        <f t="shared" si="16"/>
        <v>5</v>
      </c>
      <c r="AI33" s="225">
        <f t="shared" si="17"/>
        <v>-0.49919950866032159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20">
        <v>5.8159999999999998</v>
      </c>
      <c r="C34" s="390"/>
      <c r="D34" s="393">
        <f t="shared" si="0"/>
        <v>5.9412774594050255</v>
      </c>
      <c r="E34" s="385">
        <f t="shared" si="1"/>
        <v>6.4683733357914628</v>
      </c>
      <c r="F34" s="385">
        <f t="shared" si="2"/>
        <v>6.4683733357914628</v>
      </c>
      <c r="G34" s="110">
        <f t="shared" si="21"/>
        <v>0.19535439797574627</v>
      </c>
      <c r="H34" s="414" t="b">
        <f>Wh_hp&gt;='2020'!Maxi_hp</f>
        <v>0</v>
      </c>
      <c r="I34" s="380">
        <f>IF(H34,Wh_hp,'2020'!Maxi_hp)</f>
        <v>11.984563264269097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2.1085946626968499E-2</v>
      </c>
      <c r="M34" s="959"/>
      <c r="N34" s="959"/>
      <c r="O34" s="48">
        <f>IF(t&lt;Tnet,'2020'!Resal+('2020'!Salim-'2020'!Resal)*(1-EXP(('2020'!Tnet-t)/('2020'!Tau_j))),Resal+(Salim-Resal)*(1-EXP((Tnet-t)/(Tau_j))))*Salcycl</f>
        <v>8.1488165420177075E-2</v>
      </c>
      <c r="P34" s="169">
        <f>(INDEX(Models!$BJ34:$BT34,,T34)*(1-R34)+INDEX(Models!$BJ34:$BT34,,T34+1)*R34-ERP_i)*Q34*Ramure*Pc/MaxiM</f>
        <v>8.5164096336186313E-4</v>
      </c>
      <c r="Q34" s="305">
        <f t="shared" si="4"/>
        <v>0.7</v>
      </c>
      <c r="R34" s="177">
        <f t="shared" si="5"/>
        <v>0.50086151631972098</v>
      </c>
      <c r="S34" s="921">
        <f t="shared" si="6"/>
        <v>-1</v>
      </c>
      <c r="T34" s="176">
        <f t="shared" si="7"/>
        <v>5</v>
      </c>
      <c r="U34" s="251">
        <f t="shared" si="8"/>
        <v>-0.49913848368027897</v>
      </c>
      <c r="V34" s="383">
        <f t="shared" si="9"/>
        <v>29.746178823568346</v>
      </c>
      <c r="W34" s="402"/>
      <c r="X34" s="157">
        <f t="shared" si="10"/>
        <v>44216</v>
      </c>
      <c r="Y34" s="385">
        <f t="shared" si="11"/>
        <v>5.8159999999999998</v>
      </c>
      <c r="Z34" s="385">
        <f t="shared" si="12"/>
        <v>5.9412774594050255</v>
      </c>
      <c r="AA34" s="386">
        <f t="shared" si="13"/>
        <v>6.4683733357914628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8.1488165420177075E-2</v>
      </c>
      <c r="AD34" s="231">
        <f>(INDEX(Models!$BJ34:$BT34,,AH34)*(1-AF34)+INDEX(Models!$BJ34:$BT34,,AH34+1)*AF34-ERP_i)*AE34*Ramure*Pc/MaxiM</f>
        <v>8.5164096336186313E-4</v>
      </c>
      <c r="AE34" s="305">
        <f t="shared" si="15"/>
        <v>0.7</v>
      </c>
      <c r="AF34" s="177">
        <f t="shared" si="22"/>
        <v>0.50086151631972098</v>
      </c>
      <c r="AG34" s="921">
        <f t="shared" si="23"/>
        <v>-1</v>
      </c>
      <c r="AH34" s="176">
        <f t="shared" si="16"/>
        <v>5</v>
      </c>
      <c r="AI34" s="225">
        <f t="shared" si="17"/>
        <v>-0.49913848368027897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20">
        <v>12.700000000000001</v>
      </c>
      <c r="C35" s="390"/>
      <c r="D35" s="393">
        <f t="shared" si="0"/>
        <v>12.973843949757505</v>
      </c>
      <c r="E35" s="385">
        <f t="shared" si="1"/>
        <v>14.125375709766814</v>
      </c>
      <c r="F35" s="385">
        <f t="shared" si="2"/>
        <v>14.127402586378265</v>
      </c>
      <c r="G35" s="110">
        <f t="shared" si="21"/>
        <v>0.42303561988540139</v>
      </c>
      <c r="H35" s="414" t="b">
        <f>Wh_hp&gt;='2020'!Maxi_hp</f>
        <v>1</v>
      </c>
      <c r="I35" s="380">
        <f>IF(H35,Wh_hp,'2020'!Maxi_hp)</f>
        <v>14.127402586378265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2.1107387357054086E-2</v>
      </c>
      <c r="M35" s="959"/>
      <c r="N35" s="959"/>
      <c r="O35" s="48">
        <f>IF(t&lt;Tnet,'2020'!Resal+('2020'!Salim-'2020'!Resal)*(1-EXP(('2020'!Tnet-t)/('2020'!Tau_j))),Resal+(Salim-Resal)*(1-EXP((Tnet-t)/(Tau_j))))*Salcycl</f>
        <v>8.1522203987331524E-2</v>
      </c>
      <c r="P35" s="169">
        <f>(INDEX(Models!$BJ35:$BT35,,T35)*(1-R35)+INDEX(Models!$BJ35:$BT35,,T35+1)*R35-ERP_i)*Q35*Ramure*Pc/MaxiM</f>
        <v>8.143866913796952E-4</v>
      </c>
      <c r="Q35" s="305">
        <f t="shared" si="4"/>
        <v>0.7</v>
      </c>
      <c r="R35" s="177">
        <f t="shared" si="5"/>
        <v>0.50092508555695725</v>
      </c>
      <c r="S35" s="921">
        <f t="shared" si="6"/>
        <v>-1</v>
      </c>
      <c r="T35" s="176">
        <f t="shared" si="7"/>
        <v>5</v>
      </c>
      <c r="U35" s="251">
        <f t="shared" si="8"/>
        <v>-0.49907491444304275</v>
      </c>
      <c r="V35" s="383">
        <f t="shared" si="9"/>
        <v>30.000968133946532</v>
      </c>
      <c r="W35" s="402"/>
      <c r="X35" s="157">
        <f t="shared" si="10"/>
        <v>44217</v>
      </c>
      <c r="Y35" s="385">
        <f t="shared" si="11"/>
        <v>12.700000000000001</v>
      </c>
      <c r="Z35" s="385">
        <f t="shared" si="12"/>
        <v>12.973843949757505</v>
      </c>
      <c r="AA35" s="386">
        <f t="shared" si="13"/>
        <v>14.125375709766814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8.1522203987331524E-2</v>
      </c>
      <c r="AD35" s="231">
        <f>(INDEX(Models!$BJ35:$BT35,,AH35)*(1-AF35)+INDEX(Models!$BJ35:$BT35,,AH35+1)*AF35-ERP_i)*AE35*Ramure*Pc/MaxiM</f>
        <v>8.143866913796952E-4</v>
      </c>
      <c r="AE35" s="305">
        <f t="shared" si="15"/>
        <v>0.7</v>
      </c>
      <c r="AF35" s="177">
        <f t="shared" si="22"/>
        <v>0.50092508555695725</v>
      </c>
      <c r="AG35" s="921">
        <f t="shared" si="23"/>
        <v>-1</v>
      </c>
      <c r="AH35" s="176">
        <f t="shared" si="16"/>
        <v>5</v>
      </c>
      <c r="AI35" s="225">
        <f t="shared" si="17"/>
        <v>-0.49907491444304275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20">
        <v>5.5490000000000004</v>
      </c>
      <c r="C36" s="390"/>
      <c r="D36" s="393">
        <f t="shared" si="0"/>
        <v>5.6687745604912747</v>
      </c>
      <c r="E36" s="385">
        <f t="shared" si="1"/>
        <v>6.1721526469679571</v>
      </c>
      <c r="F36" s="385">
        <f t="shared" si="2"/>
        <v>6.1721526469679571</v>
      </c>
      <c r="G36" s="110">
        <f t="shared" si="21"/>
        <v>0.18322060875165791</v>
      </c>
      <c r="H36" s="414" t="b">
        <f>Wh_hp&gt;='2020'!Maxi_hp</f>
        <v>0</v>
      </c>
      <c r="I36" s="380">
        <f>IF(H36,Wh_hp,'2020'!Maxi_hp)</f>
        <v>11.949256375188444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2.1128827617532542E-2</v>
      </c>
      <c r="M36" s="959"/>
      <c r="N36" s="959"/>
      <c r="O36" s="48">
        <f>IF(t&lt;Tnet,'2020'!Resal+('2020'!Salim-'2020'!Resal)*(1-EXP(('2020'!Tnet-t)/('2020'!Tau_j))),Resal+(Salim-Resal)*(1-EXP((Tnet-t)/(Tau_j))))*Salcycl</f>
        <v>8.155632487864091E-2</v>
      </c>
      <c r="P36" s="169">
        <f>(INDEX(Models!$BJ36:$BT36,,T36)*(1-R36)+INDEX(Models!$BJ36:$BT36,,T36+1)*R36-ERP_i)*Q36*Ramure*Pc/MaxiM</f>
        <v>7.8058271886416398E-4</v>
      </c>
      <c r="Q36" s="305">
        <f t="shared" si="4"/>
        <v>0.7</v>
      </c>
      <c r="R36" s="177">
        <f t="shared" si="5"/>
        <v>0.50099130443573925</v>
      </c>
      <c r="S36" s="921">
        <f t="shared" si="6"/>
        <v>-1</v>
      </c>
      <c r="T36" s="176">
        <f t="shared" si="7"/>
        <v>5</v>
      </c>
      <c r="U36" s="251">
        <f t="shared" si="8"/>
        <v>-0.4990086955642607</v>
      </c>
      <c r="V36" s="383">
        <f t="shared" si="9"/>
        <v>30.262253707542339</v>
      </c>
      <c r="W36" s="402"/>
      <c r="X36" s="157">
        <f t="shared" si="10"/>
        <v>44218</v>
      </c>
      <c r="Y36" s="385">
        <f t="shared" si="11"/>
        <v>5.5490000000000004</v>
      </c>
      <c r="Z36" s="385">
        <f t="shared" si="12"/>
        <v>5.6687745604912747</v>
      </c>
      <c r="AA36" s="386">
        <f t="shared" si="13"/>
        <v>6.1721526469679571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8.155632487864091E-2</v>
      </c>
      <c r="AD36" s="231">
        <f>(INDEX(Models!$BJ36:$BT36,,AH36)*(1-AF36)+INDEX(Models!$BJ36:$BT36,,AH36+1)*AF36-ERP_i)*AE36*Ramure*Pc/MaxiM</f>
        <v>7.8058271886416398E-4</v>
      </c>
      <c r="AE36" s="305">
        <f t="shared" si="15"/>
        <v>0.7</v>
      </c>
      <c r="AF36" s="177">
        <f t="shared" si="22"/>
        <v>0.50099130443573925</v>
      </c>
      <c r="AG36" s="921">
        <f t="shared" si="23"/>
        <v>-1</v>
      </c>
      <c r="AH36" s="176">
        <f t="shared" si="16"/>
        <v>5</v>
      </c>
      <c r="AI36" s="225">
        <f t="shared" si="17"/>
        <v>-0.4990086955642607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20">
        <v>6.8540000000000001</v>
      </c>
      <c r="C37" s="390"/>
      <c r="D37" s="393">
        <f t="shared" si="0"/>
        <v>7.0020962072017614</v>
      </c>
      <c r="E37" s="385">
        <f t="shared" si="1"/>
        <v>7.6241550743876934</v>
      </c>
      <c r="F37" s="385">
        <f t="shared" si="2"/>
        <v>7.6241550743876934</v>
      </c>
      <c r="G37" s="110">
        <f t="shared" si="21"/>
        <v>0.22431848598526638</v>
      </c>
      <c r="H37" s="414" t="b">
        <f>Wh_hp&gt;='2020'!Maxi_hp</f>
        <v>0</v>
      </c>
      <c r="I37" s="380">
        <f>IF(H37,Wh_hp,'2020'!Maxi_hp)</f>
        <v>15.414868910772679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2.1150267408414414E-2</v>
      </c>
      <c r="M37" s="959"/>
      <c r="N37" s="959"/>
      <c r="O37" s="48">
        <f>IF(t&lt;Tnet,'2020'!Resal+('2020'!Salim-'2020'!Resal)*(1-EXP(('2020'!Tnet-t)/('2020'!Tau_j))),Resal+(Salim-Resal)*(1-EXP((Tnet-t)/(Tau_j))))*Salcycl</f>
        <v>8.1590531818490047E-2</v>
      </c>
      <c r="P37" s="169">
        <f>(INDEX(Models!$BJ37:$BT37,,T37)*(1-R37)+INDEX(Models!$BJ37:$BT37,,T37+1)*R37-ERP_i)*Q37*Ramure*Pc/MaxiM</f>
        <v>7.5012033445810049E-4</v>
      </c>
      <c r="Q37" s="305">
        <f t="shared" si="4"/>
        <v>0.7</v>
      </c>
      <c r="R37" s="177">
        <f t="shared" si="5"/>
        <v>0.5010602826465167</v>
      </c>
      <c r="S37" s="921">
        <f t="shared" si="6"/>
        <v>-1</v>
      </c>
      <c r="T37" s="176">
        <f t="shared" si="7"/>
        <v>5</v>
      </c>
      <c r="U37" s="251">
        <f t="shared" si="8"/>
        <v>-0.49893971735348336</v>
      </c>
      <c r="V37" s="383">
        <f t="shared" si="9"/>
        <v>30.531851377052661</v>
      </c>
      <c r="W37" s="402"/>
      <c r="X37" s="157">
        <f t="shared" si="10"/>
        <v>44219</v>
      </c>
      <c r="Y37" s="385">
        <f t="shared" si="11"/>
        <v>6.8540000000000001</v>
      </c>
      <c r="Z37" s="385">
        <f t="shared" si="12"/>
        <v>7.0020962072017614</v>
      </c>
      <c r="AA37" s="386">
        <f t="shared" si="13"/>
        <v>7.6241550743876934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8.1590531818490047E-2</v>
      </c>
      <c r="AD37" s="231">
        <f>(INDEX(Models!$BJ37:$BT37,,AH37)*(1-AF37)+INDEX(Models!$BJ37:$BT37,,AH37+1)*AF37-ERP_i)*AE37*Ramure*Pc/MaxiM</f>
        <v>7.5012033445810049E-4</v>
      </c>
      <c r="AE37" s="305">
        <f t="shared" si="15"/>
        <v>0.7</v>
      </c>
      <c r="AF37" s="177">
        <f t="shared" si="22"/>
        <v>0.5010602826465167</v>
      </c>
      <c r="AG37" s="921">
        <f t="shared" si="23"/>
        <v>-1</v>
      </c>
      <c r="AH37" s="176">
        <f t="shared" si="16"/>
        <v>5</v>
      </c>
      <c r="AI37" s="225">
        <f t="shared" si="17"/>
        <v>-0.49893971735348336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20">
        <v>13.98</v>
      </c>
      <c r="C38" s="390"/>
      <c r="D38" s="393">
        <f t="shared" si="0"/>
        <v>14.282382411824718</v>
      </c>
      <c r="E38" s="385">
        <f t="shared" si="1"/>
        <v>15.551795006761537</v>
      </c>
      <c r="F38" s="385">
        <f t="shared" si="2"/>
        <v>15.554266508684686</v>
      </c>
      <c r="G38" s="110">
        <f t="shared" si="21"/>
        <v>0.45348326715100934</v>
      </c>
      <c r="H38" s="414" t="b">
        <f>Wh_hp&gt;='2020'!Maxi_hp</f>
        <v>0</v>
      </c>
      <c r="I38" s="380">
        <f>IF(H38,Wh_hp,'2020'!Maxi_hp)</f>
        <v>16.760301939175058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2.1171706729709805E-2</v>
      </c>
      <c r="M38" s="959"/>
      <c r="N38" s="959"/>
      <c r="O38" s="48">
        <f>IF(t&lt;Tnet,'2020'!Resal+('2020'!Salim-'2020'!Resal)*(1-EXP(('2020'!Tnet-t)/('2020'!Tau_j))),Resal+(Salim-Resal)*(1-EXP((Tnet-t)/(Tau_j))))*Salcycl</f>
        <v>8.1624828155522161E-2</v>
      </c>
      <c r="P38" s="169">
        <f>(INDEX(Models!$BJ38:$BT38,,T38)*(1-R38)+INDEX(Models!$BJ38:$BT38,,T38+1)*R38-ERP_i)*Q38*Ramure*Pc/MaxiM</f>
        <v>7.2347586575538232E-4</v>
      </c>
      <c r="Q38" s="305">
        <f t="shared" si="4"/>
        <v>0.7</v>
      </c>
      <c r="R38" s="177">
        <f t="shared" si="5"/>
        <v>0.50113213435674608</v>
      </c>
      <c r="S38" s="921">
        <f t="shared" si="6"/>
        <v>-1</v>
      </c>
      <c r="T38" s="176">
        <f t="shared" si="7"/>
        <v>5</v>
      </c>
      <c r="U38" s="251">
        <f t="shared" si="8"/>
        <v>-0.49886786564325392</v>
      </c>
      <c r="V38" s="383">
        <f t="shared" si="9"/>
        <v>30.810631666753082</v>
      </c>
      <c r="W38" s="402"/>
      <c r="X38" s="157">
        <f t="shared" si="10"/>
        <v>44220</v>
      </c>
      <c r="Y38" s="385">
        <f t="shared" si="11"/>
        <v>13.98</v>
      </c>
      <c r="Z38" s="385">
        <f t="shared" si="12"/>
        <v>14.282382411824718</v>
      </c>
      <c r="AA38" s="386">
        <f t="shared" si="13"/>
        <v>15.551795006761537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8.1624828155522161E-2</v>
      </c>
      <c r="AD38" s="231">
        <f>(INDEX(Models!$BJ38:$BT38,,AH38)*(1-AF38)+INDEX(Models!$BJ38:$BT38,,AH38+1)*AF38-ERP_i)*AE38*Ramure*Pc/MaxiM</f>
        <v>7.2347586575538232E-4</v>
      </c>
      <c r="AE38" s="305">
        <f t="shared" si="15"/>
        <v>0.7</v>
      </c>
      <c r="AF38" s="177">
        <f t="shared" si="22"/>
        <v>0.50113213435674608</v>
      </c>
      <c r="AG38" s="921">
        <f t="shared" si="23"/>
        <v>-1</v>
      </c>
      <c r="AH38" s="176">
        <f t="shared" si="16"/>
        <v>5</v>
      </c>
      <c r="AI38" s="225">
        <f t="shared" si="17"/>
        <v>-0.49886786564325392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20">
        <v>6.6020000000000003</v>
      </c>
      <c r="C39" s="390"/>
      <c r="D39" s="393">
        <f t="shared" si="0"/>
        <v>6.7449466359956247</v>
      </c>
      <c r="E39" s="385">
        <f t="shared" si="1"/>
        <v>7.344709893101796</v>
      </c>
      <c r="F39" s="385">
        <f t="shared" si="2"/>
        <v>7.344709893101796</v>
      </c>
      <c r="G39" s="110">
        <f t="shared" si="21"/>
        <v>0.21215109719045341</v>
      </c>
      <c r="H39" s="414" t="b">
        <f>Wh_hp&gt;='2020'!Maxi_hp</f>
        <v>0</v>
      </c>
      <c r="I39" s="380">
        <f>IF(H39,Wh_hp,'2020'!Maxi_hp)</f>
        <v>18.571876293641711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2.1193145581428929E-2</v>
      </c>
      <c r="M39" s="959"/>
      <c r="N39" s="959"/>
      <c r="O39" s="48">
        <f>IF(t&lt;Tnet,'2020'!Resal+('2020'!Salim-'2020'!Resal)*(1-EXP(('2020'!Tnet-t)/('2020'!Tau_j))),Resal+(Salim-Resal)*(1-EXP((Tnet-t)/(Tau_j))))*Salcycl</f>
        <v>8.1659216747209232E-2</v>
      </c>
      <c r="P39" s="169">
        <f>(INDEX(Models!$BJ39:$BT39,,T39)*(1-R39)+INDEX(Models!$BJ39:$BT39,,T39+1)*R39-ERP_i)*Q39*Ramure*Pc/MaxiM</f>
        <v>6.999113078398903E-4</v>
      </c>
      <c r="Q39" s="305">
        <f t="shared" si="4"/>
        <v>0.7</v>
      </c>
      <c r="R39" s="177">
        <f t="shared" si="5"/>
        <v>0.50120697838815431</v>
      </c>
      <c r="S39" s="921">
        <f t="shared" si="6"/>
        <v>-1</v>
      </c>
      <c r="T39" s="176">
        <f t="shared" si="7"/>
        <v>5</v>
      </c>
      <c r="U39" s="251">
        <f t="shared" si="8"/>
        <v>-0.49879302161184569</v>
      </c>
      <c r="V39" s="383">
        <f t="shared" si="9"/>
        <v>31.097549213346785</v>
      </c>
      <c r="W39" s="402"/>
      <c r="X39" s="157">
        <f t="shared" si="10"/>
        <v>44221</v>
      </c>
      <c r="Y39" s="385">
        <f t="shared" si="11"/>
        <v>6.6020000000000003</v>
      </c>
      <c r="Z39" s="385">
        <f t="shared" si="12"/>
        <v>6.7449466359956247</v>
      </c>
      <c r="AA39" s="386">
        <f t="shared" si="13"/>
        <v>7.344709893101796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8.1659216747209232E-2</v>
      </c>
      <c r="AD39" s="231">
        <f>(INDEX(Models!$BJ39:$BT39,,AH39)*(1-AF39)+INDEX(Models!$BJ39:$BT39,,AH39+1)*AF39-ERP_i)*AE39*Ramure*Pc/MaxiM</f>
        <v>6.999113078398903E-4</v>
      </c>
      <c r="AE39" s="305">
        <f t="shared" si="15"/>
        <v>0.7</v>
      </c>
      <c r="AF39" s="177">
        <f t="shared" si="22"/>
        <v>0.50120697838815431</v>
      </c>
      <c r="AG39" s="921">
        <f t="shared" si="23"/>
        <v>-1</v>
      </c>
      <c r="AH39" s="176">
        <f t="shared" si="16"/>
        <v>5</v>
      </c>
      <c r="AI39" s="225">
        <f t="shared" si="17"/>
        <v>-0.49879302161184569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20">
        <v>19.145</v>
      </c>
      <c r="C40" s="390"/>
      <c r="D40" s="393">
        <f t="shared" si="0"/>
        <v>19.55995633601438</v>
      </c>
      <c r="E40" s="385">
        <f t="shared" si="1"/>
        <v>21.30003500246627</v>
      </c>
      <c r="F40" s="385">
        <f t="shared" si="2"/>
        <v>21.306442957650422</v>
      </c>
      <c r="G40" s="110">
        <f t="shared" si="21"/>
        <v>0.60964675010089042</v>
      </c>
      <c r="H40" s="414" t="b">
        <f>Wh_hp&gt;='2020'!Maxi_hp</f>
        <v>1</v>
      </c>
      <c r="I40" s="380">
        <f>IF(H40,Wh_hp,'2020'!Maxi_hp)</f>
        <v>21.306442957650422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2.1214583963582334E-2</v>
      </c>
      <c r="M40" s="959"/>
      <c r="N40" s="959"/>
      <c r="O40" s="48">
        <f>IF(t&lt;Tnet,'2020'!Resal+('2020'!Salim-'2020'!Resal)*(1-EXP(('2020'!Tnet-t)/('2020'!Tau_j))),Resal+(Salim-Resal)*(1-EXP((Tnet-t)/(Tau_j))))*Salcycl</f>
        <v>8.1693699857789528E-2</v>
      </c>
      <c r="P40" s="169">
        <f>(INDEX(Models!$BJ40:$BT40,,T40)*(1-R40)+INDEX(Models!$BJ40:$BT40,,T40+1)*R40-ERP_i)*Q40*Ramure*Pc/MaxiM</f>
        <v>6.793853452805855E-4</v>
      </c>
      <c r="Q40" s="305">
        <f t="shared" si="4"/>
        <v>0.7</v>
      </c>
      <c r="R40" s="177">
        <f t="shared" si="5"/>
        <v>0.501284938400547</v>
      </c>
      <c r="S40" s="921">
        <f t="shared" si="6"/>
        <v>-1</v>
      </c>
      <c r="T40" s="176">
        <f t="shared" si="7"/>
        <v>5</v>
      </c>
      <c r="U40" s="251">
        <f t="shared" si="8"/>
        <v>-0.498715061599453</v>
      </c>
      <c r="V40" s="383">
        <f t="shared" si="9"/>
        <v>31.391537608486555</v>
      </c>
      <c r="W40" s="402"/>
      <c r="X40" s="157">
        <f t="shared" si="10"/>
        <v>44222</v>
      </c>
      <c r="Y40" s="385">
        <f t="shared" si="11"/>
        <v>19.145</v>
      </c>
      <c r="Z40" s="385">
        <f t="shared" si="12"/>
        <v>19.55995633601438</v>
      </c>
      <c r="AA40" s="386">
        <f t="shared" si="13"/>
        <v>21.30003500246627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8.1693699857789528E-2</v>
      </c>
      <c r="AD40" s="231">
        <f>(INDEX(Models!$BJ40:$BT40,,AH40)*(1-AF40)+INDEX(Models!$BJ40:$BT40,,AH40+1)*AF40-ERP_i)*AE40*Ramure*Pc/MaxiM</f>
        <v>6.793853452805855E-4</v>
      </c>
      <c r="AE40" s="305">
        <f t="shared" si="15"/>
        <v>0.7</v>
      </c>
      <c r="AF40" s="177">
        <f t="shared" si="22"/>
        <v>0.501284938400547</v>
      </c>
      <c r="AG40" s="921">
        <f t="shared" si="23"/>
        <v>-1</v>
      </c>
      <c r="AH40" s="176">
        <f t="shared" si="16"/>
        <v>5</v>
      </c>
      <c r="AI40" s="225">
        <f t="shared" si="17"/>
        <v>-0.498715061599453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20">
        <v>6.0200000000000005</v>
      </c>
      <c r="C41" s="390"/>
      <c r="D41" s="393">
        <f t="shared" si="0"/>
        <v>6.1506145858980847</v>
      </c>
      <c r="E41" s="385">
        <f t="shared" si="1"/>
        <v>6.6980333225021855</v>
      </c>
      <c r="F41" s="385">
        <f t="shared" si="2"/>
        <v>6.6980333225021855</v>
      </c>
      <c r="G41" s="110">
        <f t="shared" si="21"/>
        <v>0.18983039069887772</v>
      </c>
      <c r="H41" s="414" t="b">
        <f>Wh_hp&gt;='2020'!Maxi_hp</f>
        <v>0</v>
      </c>
      <c r="I41" s="380">
        <f>IF(H41,Wh_hp,'2020'!Maxi_hp)</f>
        <v>15.003978997139566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2.1236021876180122E-2</v>
      </c>
      <c r="M41" s="959"/>
      <c r="N41" s="959"/>
      <c r="O41" s="48">
        <f>IF(t&lt;Tnet,'2020'!Resal+('2020'!Salim-'2020'!Resal)*(1-EXP(('2020'!Tnet-t)/('2020'!Tau_j))),Resal+(Salim-Resal)*(1-EXP((Tnet-t)/(Tau_j))))*Salcycl</f>
        <v>8.1728279070370766E-2</v>
      </c>
      <c r="P41" s="169">
        <f>(INDEX(Models!$BJ41:$BT41,,T41)*(1-R41)+INDEX(Models!$BJ41:$BT41,,T41+1)*R41-ERP_i)*Q41*Ramure*Pc/MaxiM</f>
        <v>6.6185101132160801E-4</v>
      </c>
      <c r="Q41" s="305">
        <f t="shared" si="4"/>
        <v>0.7</v>
      </c>
      <c r="R41" s="177">
        <f t="shared" si="5"/>
        <v>0.50136614308236882</v>
      </c>
      <c r="S41" s="921">
        <f t="shared" si="6"/>
        <v>-1</v>
      </c>
      <c r="T41" s="176">
        <f t="shared" si="7"/>
        <v>5</v>
      </c>
      <c r="U41" s="251">
        <f t="shared" si="8"/>
        <v>-0.49863385691763124</v>
      </c>
      <c r="V41" s="383">
        <f t="shared" si="9"/>
        <v>31.69153071203899</v>
      </c>
      <c r="W41" s="402"/>
      <c r="X41" s="157">
        <f t="shared" si="10"/>
        <v>44223</v>
      </c>
      <c r="Y41" s="385">
        <f t="shared" si="11"/>
        <v>6.0200000000000005</v>
      </c>
      <c r="Z41" s="385">
        <f t="shared" si="12"/>
        <v>6.1506145858980847</v>
      </c>
      <c r="AA41" s="386">
        <f t="shared" si="13"/>
        <v>6.6980333225021855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8.1728279070370766E-2</v>
      </c>
      <c r="AD41" s="231">
        <f>(INDEX(Models!$BJ41:$BT41,,AH41)*(1-AF41)+INDEX(Models!$BJ41:$BT41,,AH41+1)*AF41-ERP_i)*AE41*Ramure*Pc/MaxiM</f>
        <v>6.6185101132160801E-4</v>
      </c>
      <c r="AE41" s="305">
        <f t="shared" si="15"/>
        <v>0.7</v>
      </c>
      <c r="AF41" s="177">
        <f t="shared" si="22"/>
        <v>0.50136614308236882</v>
      </c>
      <c r="AG41" s="921">
        <f t="shared" si="23"/>
        <v>-1</v>
      </c>
      <c r="AH41" s="176">
        <f t="shared" si="16"/>
        <v>5</v>
      </c>
      <c r="AI41" s="225">
        <f t="shared" si="17"/>
        <v>-0.49863385691763124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20">
        <v>15.66</v>
      </c>
      <c r="C42" s="390"/>
      <c r="D42" s="393">
        <f t="shared" si="0"/>
        <v>16.000121941269292</v>
      </c>
      <c r="E42" s="385">
        <f t="shared" si="1"/>
        <v>17.424827316779943</v>
      </c>
      <c r="F42" s="385">
        <f t="shared" si="2"/>
        <v>17.427879917759782</v>
      </c>
      <c r="G42" s="110">
        <f t="shared" si="21"/>
        <v>0.48919800193926327</v>
      </c>
      <c r="H42" s="414" t="b">
        <f>Wh_hp&gt;='2020'!Maxi_hp</f>
        <v>1</v>
      </c>
      <c r="I42" s="380">
        <f>IF(H42,Wh_hp,'2020'!Maxi_hp)</f>
        <v>17.427879917759782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2.1257459319232508E-2</v>
      </c>
      <c r="M42" s="959"/>
      <c r="N42" s="959"/>
      <c r="O42" s="48">
        <f>IF(t&lt;Tnet,'2020'!Resal+('2020'!Salim-'2020'!Resal)*(1-EXP(('2020'!Tnet-t)/('2020'!Tau_j))),Resal+(Salim-Resal)*(1-EXP((Tnet-t)/(Tau_j))))*Salcycl</f>
        <v>8.1762955213832977E-2</v>
      </c>
      <c r="P42" s="169">
        <f>(INDEX(Models!$BJ42:$BT42,,T42)*(1-R42)+INDEX(Models!$BJ42:$BT42,,T42+1)*R42-ERP_i)*Q42*Ramure*Pc/MaxiM</f>
        <v>6.4725709418552292E-4</v>
      </c>
      <c r="Q42" s="305">
        <f t="shared" si="4"/>
        <v>0.7</v>
      </c>
      <c r="R42" s="177">
        <f t="shared" si="5"/>
        <v>0.50145072634821464</v>
      </c>
      <c r="S42" s="921">
        <f t="shared" si="6"/>
        <v>-1</v>
      </c>
      <c r="T42" s="176">
        <f t="shared" si="7"/>
        <v>5</v>
      </c>
      <c r="U42" s="251">
        <f t="shared" si="8"/>
        <v>-0.49854927365178531</v>
      </c>
      <c r="V42" s="383">
        <f t="shared" si="9"/>
        <v>31.996462664518635</v>
      </c>
      <c r="W42" s="402"/>
      <c r="X42" s="157">
        <f t="shared" si="10"/>
        <v>44224</v>
      </c>
      <c r="Y42" s="385">
        <f t="shared" si="11"/>
        <v>15.66</v>
      </c>
      <c r="Z42" s="385">
        <f t="shared" si="12"/>
        <v>16.000121941269292</v>
      </c>
      <c r="AA42" s="386">
        <f t="shared" si="13"/>
        <v>17.424827316779943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8.1762955213832977E-2</v>
      </c>
      <c r="AD42" s="231">
        <f>(INDEX(Models!$BJ42:$BT42,,AH42)*(1-AF42)+INDEX(Models!$BJ42:$BT42,,AH42+1)*AF42-ERP_i)*AE42*Ramure*Pc/MaxiM</f>
        <v>6.4725709418552292E-4</v>
      </c>
      <c r="AE42" s="305">
        <f t="shared" si="15"/>
        <v>0.7</v>
      </c>
      <c r="AF42" s="177">
        <f t="shared" si="22"/>
        <v>0.50145072634821464</v>
      </c>
      <c r="AG42" s="921">
        <f t="shared" si="23"/>
        <v>-1</v>
      </c>
      <c r="AH42" s="176">
        <f t="shared" si="16"/>
        <v>5</v>
      </c>
      <c r="AI42" s="225">
        <f t="shared" si="17"/>
        <v>-0.49854927365178531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20">
        <v>13.903</v>
      </c>
      <c r="C43" s="390"/>
      <c r="D43" s="393">
        <f t="shared" si="0"/>
        <v>14.205272520779927</v>
      </c>
      <c r="E43" s="385">
        <f t="shared" si="1"/>
        <v>15.470744256117973</v>
      </c>
      <c r="F43" s="385">
        <f t="shared" si="2"/>
        <v>15.472575596565436</v>
      </c>
      <c r="G43" s="110">
        <f t="shared" si="21"/>
        <v>0.43014064214588299</v>
      </c>
      <c r="H43" s="414" t="b">
        <f>Wh_hp&gt;='2020'!Maxi_hp</f>
        <v>0</v>
      </c>
      <c r="I43" s="380">
        <f>IF(H43,Wh_hp,'2020'!Maxi_hp)</f>
        <v>22.511927090396647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2.1278896292749927E-2</v>
      </c>
      <c r="M43" s="959"/>
      <c r="N43" s="959"/>
      <c r="O43" s="48">
        <f>IF(t&lt;Tnet,'2020'!Resal+('2020'!Salim-'2020'!Resal)*(1-EXP(('2020'!Tnet-t)/('2020'!Tau_j))),Resal+(Salim-Resal)*(1-EXP((Tnet-t)/(Tau_j))))*Salcycl</f>
        <v>8.1797728304998013E-2</v>
      </c>
      <c r="P43" s="169">
        <f>(INDEX(Models!$BJ43:$BT43,,T43)*(1-R43)+INDEX(Models!$BJ43:$BT43,,T43+1)*R43-ERP_i)*Q43*Ramure*Pc/MaxiM</f>
        <v>6.3554944384350883E-4</v>
      </c>
      <c r="Q43" s="305">
        <f t="shared" si="4"/>
        <v>0.7</v>
      </c>
      <c r="R43" s="177">
        <f t="shared" si="5"/>
        <v>0.50153882754349999</v>
      </c>
      <c r="S43" s="921">
        <f t="shared" si="6"/>
        <v>-1</v>
      </c>
      <c r="T43" s="176">
        <f t="shared" si="7"/>
        <v>5</v>
      </c>
      <c r="U43" s="251">
        <f t="shared" si="8"/>
        <v>-0.49846117245650001</v>
      </c>
      <c r="V43" s="383">
        <f t="shared" si="9"/>
        <v>32.30526787801481</v>
      </c>
      <c r="W43" s="402"/>
      <c r="X43" s="157">
        <f t="shared" si="10"/>
        <v>44225</v>
      </c>
      <c r="Y43" s="385">
        <f t="shared" si="11"/>
        <v>13.903</v>
      </c>
      <c r="Z43" s="385">
        <f t="shared" si="12"/>
        <v>14.205272520779927</v>
      </c>
      <c r="AA43" s="386">
        <f t="shared" si="13"/>
        <v>15.470744256117973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8.1797728304998013E-2</v>
      </c>
      <c r="AD43" s="231">
        <f>(INDEX(Models!$BJ43:$BT43,,AH43)*(1-AF43)+INDEX(Models!$BJ43:$BT43,,AH43+1)*AF43-ERP_i)*AE43*Ramure*Pc/MaxiM</f>
        <v>6.3554944384350883E-4</v>
      </c>
      <c r="AE43" s="305">
        <f t="shared" si="15"/>
        <v>0.7</v>
      </c>
      <c r="AF43" s="177">
        <f t="shared" si="22"/>
        <v>0.50153882754349999</v>
      </c>
      <c r="AG43" s="921">
        <f t="shared" si="23"/>
        <v>-1</v>
      </c>
      <c r="AH43" s="176">
        <f t="shared" si="16"/>
        <v>5</v>
      </c>
      <c r="AI43" s="225">
        <f t="shared" si="17"/>
        <v>-0.49846117245650001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20">
        <v>7.0410000000000004</v>
      </c>
      <c r="C44" s="390"/>
      <c r="D44" s="393">
        <f t="shared" si="0"/>
        <v>7.194239699825828</v>
      </c>
      <c r="E44" s="385">
        <f t="shared" si="1"/>
        <v>7.8354335824677595</v>
      </c>
      <c r="F44" s="385">
        <f t="shared" si="2"/>
        <v>7.8354335824677595</v>
      </c>
      <c r="G44" s="110">
        <f t="shared" si="21"/>
        <v>0.21573453301230239</v>
      </c>
      <c r="H44" s="414" t="b">
        <f>Wh_hp&gt;='2020'!Maxi_hp</f>
        <v>0</v>
      </c>
      <c r="I44" s="380">
        <f>IF(H44,Wh_hp,'2020'!Maxi_hp)</f>
        <v>10.423685229998675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2.1300332796742594E-2</v>
      </c>
      <c r="M44" s="959"/>
      <c r="N44" s="959"/>
      <c r="O44" s="48">
        <f>IF(t&lt;Tnet,'2020'!Resal+('2020'!Salim-'2020'!Resal)*(1-EXP(('2020'!Tnet-t)/('2020'!Tau_j))),Resal+(Salim-Resal)*(1-EXP((Tnet-t)/(Tau_j))))*Salcycl</f>
        <v>8.183259750636393E-2</v>
      </c>
      <c r="P44" s="169">
        <f>(INDEX(Models!$BJ44:$BT44,,T44)*(1-R44)+INDEX(Models!$BJ44:$BT44,,T44+1)*R44-ERP_i)*Q44*Ramure*Pc/MaxiM</f>
        <v>6.26866989064071E-4</v>
      </c>
      <c r="Q44" s="305">
        <f t="shared" si="4"/>
        <v>0.7</v>
      </c>
      <c r="R44" s="177">
        <f t="shared" si="5"/>
        <v>0.50163059165649337</v>
      </c>
      <c r="S44" s="921">
        <f t="shared" si="6"/>
        <v>-1</v>
      </c>
      <c r="T44" s="176">
        <f t="shared" si="7"/>
        <v>5</v>
      </c>
      <c r="U44" s="251">
        <f t="shared" si="8"/>
        <v>-0.49836940834350657</v>
      </c>
      <c r="V44" s="383">
        <f t="shared" si="9"/>
        <v>32.616874689824165</v>
      </c>
      <c r="W44" s="402"/>
      <c r="X44" s="157">
        <f t="shared" si="10"/>
        <v>44226</v>
      </c>
      <c r="Y44" s="385">
        <f t="shared" si="11"/>
        <v>7.0410000000000004</v>
      </c>
      <c r="Z44" s="385">
        <f t="shared" si="12"/>
        <v>7.194239699825828</v>
      </c>
      <c r="AA44" s="386">
        <f t="shared" si="13"/>
        <v>7.8354335824677595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8.183259750636393E-2</v>
      </c>
      <c r="AD44" s="231">
        <f>(INDEX(Models!$BJ44:$BT44,,AH44)*(1-AF44)+INDEX(Models!$BJ44:$BT44,,AH44+1)*AF44-ERP_i)*AE44*Ramure*Pc/MaxiM</f>
        <v>6.26866989064071E-4</v>
      </c>
      <c r="AE44" s="305">
        <f t="shared" si="15"/>
        <v>0.7</v>
      </c>
      <c r="AF44" s="177">
        <f t="shared" si="22"/>
        <v>0.50163059165649337</v>
      </c>
      <c r="AG44" s="921">
        <f t="shared" si="23"/>
        <v>-1</v>
      </c>
      <c r="AH44" s="176">
        <f t="shared" si="16"/>
        <v>5</v>
      </c>
      <c r="AI44" s="225">
        <f t="shared" si="17"/>
        <v>-0.49836940834350657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20">
        <v>6.4329999999999998</v>
      </c>
      <c r="C45" s="390"/>
      <c r="D45" s="393">
        <f t="shared" si="0"/>
        <v>6.5731512106051833</v>
      </c>
      <c r="E45" s="385">
        <f t="shared" si="1"/>
        <v>7.1592625770602725</v>
      </c>
      <c r="F45" s="385">
        <f t="shared" si="2"/>
        <v>7.1592625770602725</v>
      </c>
      <c r="G45" s="110">
        <f t="shared" si="21"/>
        <v>0.19523114429310459</v>
      </c>
      <c r="H45" s="414" t="b">
        <f>Wh_hp&gt;='2020'!Maxi_hp</f>
        <v>0</v>
      </c>
      <c r="I45" s="380">
        <f>IF(H45,Wh_hp,'2020'!Maxi_hp)</f>
        <v>26.210661022055326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2.1321768831220833E-2</v>
      </c>
      <c r="M45" s="959"/>
      <c r="N45" s="959"/>
      <c r="O45" s="48">
        <f>IF(t&lt;Tnet,'2020'!Resal+('2020'!Salim-'2020'!Resal)*(1-EXP(('2020'!Tnet-t)/('2020'!Tau_j))),Resal+(Salim-Resal)*(1-EXP((Tnet-t)/(Tau_j))))*Salcycl</f>
        <v>8.1867561099534011E-2</v>
      </c>
      <c r="P45" s="169">
        <f>(INDEX(Models!$BJ45:$BT45,,T45)*(1-R45)+INDEX(Models!$BJ45:$BT45,,T45+1)*R45-ERP_i)*Q45*Ramure*Pc/MaxiM</f>
        <v>6.1903573563540002E-4</v>
      </c>
      <c r="Q45" s="305">
        <f t="shared" si="4"/>
        <v>0.7</v>
      </c>
      <c r="R45" s="177">
        <f t="shared" si="5"/>
        <v>0.50172616953792348</v>
      </c>
      <c r="S45" s="921">
        <f t="shared" si="6"/>
        <v>-1</v>
      </c>
      <c r="T45" s="176">
        <f t="shared" si="7"/>
        <v>5</v>
      </c>
      <c r="U45" s="251">
        <f t="shared" si="8"/>
        <v>-0.49827383046207652</v>
      </c>
      <c r="V45" s="383">
        <f t="shared" si="9"/>
        <v>32.930287666913635</v>
      </c>
      <c r="W45" s="402"/>
      <c r="X45" s="157">
        <f t="shared" si="10"/>
        <v>44227</v>
      </c>
      <c r="Y45" s="385">
        <f t="shared" si="11"/>
        <v>6.4329999999999998</v>
      </c>
      <c r="Z45" s="385">
        <f t="shared" si="12"/>
        <v>6.5731512106051833</v>
      </c>
      <c r="AA45" s="386">
        <f t="shared" si="13"/>
        <v>7.1592625770602725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8.1867561099534011E-2</v>
      </c>
      <c r="AD45" s="231">
        <f>(INDEX(Models!$BJ45:$BT45,,AH45)*(1-AF45)+INDEX(Models!$BJ45:$BT45,,AH45+1)*AF45-ERP_i)*AE45*Ramure*Pc/MaxiM</f>
        <v>6.1903573563540002E-4</v>
      </c>
      <c r="AE45" s="305">
        <f t="shared" si="15"/>
        <v>0.7</v>
      </c>
      <c r="AF45" s="177">
        <f t="shared" si="22"/>
        <v>0.50172616953792348</v>
      </c>
      <c r="AG45" s="921">
        <f t="shared" si="23"/>
        <v>-1</v>
      </c>
      <c r="AH45" s="176">
        <f t="shared" si="16"/>
        <v>5</v>
      </c>
      <c r="AI45" s="225">
        <f t="shared" si="17"/>
        <v>-0.49827383046207652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20">
        <v>7.9880000000000004</v>
      </c>
      <c r="C46" s="390"/>
      <c r="D46" s="393">
        <f t="shared" si="0"/>
        <v>8.1622076665513958</v>
      </c>
      <c r="E46" s="385">
        <f t="shared" si="1"/>
        <v>8.8903506458179056</v>
      </c>
      <c r="F46" s="385">
        <f t="shared" si="2"/>
        <v>8.8903506458179056</v>
      </c>
      <c r="G46" s="110">
        <f t="shared" si="21"/>
        <v>0.24013370101559736</v>
      </c>
      <c r="H46" s="414" t="b">
        <f>Wh_hp&gt;='2020'!Maxi_hp</f>
        <v>0</v>
      </c>
      <c r="I46" s="380">
        <f>IF(H46,Wh_hp,'2020'!Maxi_hp)</f>
        <v>29.47119267155292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2.134320439619497E-2</v>
      </c>
      <c r="M46" s="959"/>
      <c r="N46" s="959"/>
      <c r="O46" s="48">
        <f>IF(t&lt;Tnet,'2020'!Resal+('2020'!Salim-'2020'!Resal)*(1-EXP(('2020'!Tnet-t)/('2020'!Tau_j))),Resal+(Salim-Resal)*(1-EXP((Tnet-t)/(Tau_j))))*Salcycl</f>
        <v>8.1902616474304565E-2</v>
      </c>
      <c r="P46" s="169">
        <f>(INDEX(Models!$BJ46:$BT46,,T46)*(1-R46)+INDEX(Models!$BJ46:$BT46,,T46+1)*R46-ERP_i)*Q46*Ramure*Pc/MaxiM</f>
        <v>6.1205307390509731E-4</v>
      </c>
      <c r="Q46" s="305">
        <f t="shared" si="4"/>
        <v>0.7</v>
      </c>
      <c r="R46" s="177">
        <f t="shared" si="5"/>
        <v>0.50182571812836396</v>
      </c>
      <c r="S46" s="921">
        <f t="shared" si="6"/>
        <v>-1</v>
      </c>
      <c r="T46" s="176">
        <f t="shared" si="7"/>
        <v>5</v>
      </c>
      <c r="U46" s="251">
        <f t="shared" si="8"/>
        <v>-0.49817428187163604</v>
      </c>
      <c r="V46" s="383">
        <f t="shared" si="9"/>
        <v>33.244442101557084</v>
      </c>
      <c r="W46" s="402"/>
      <c r="X46" s="157">
        <f t="shared" si="10"/>
        <v>44228</v>
      </c>
      <c r="Y46" s="385">
        <f t="shared" si="11"/>
        <v>7.9879999999999995</v>
      </c>
      <c r="Z46" s="385">
        <f t="shared" si="12"/>
        <v>8.1622076665513958</v>
      </c>
      <c r="AA46" s="386">
        <f t="shared" si="13"/>
        <v>8.8903506458179056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8.1902616474304565E-2</v>
      </c>
      <c r="AD46" s="231">
        <f>(INDEX(Models!$BJ46:$BT46,,AH46)*(1-AF46)+INDEX(Models!$BJ46:$BT46,,AH46+1)*AF46-ERP_i)*AE46*Ramure*Pc/MaxiM</f>
        <v>6.1205307390509731E-4</v>
      </c>
      <c r="AE46" s="305">
        <f t="shared" si="15"/>
        <v>0.7</v>
      </c>
      <c r="AF46" s="177">
        <f t="shared" si="22"/>
        <v>0.50182571812836396</v>
      </c>
      <c r="AG46" s="921">
        <f t="shared" si="23"/>
        <v>-1</v>
      </c>
      <c r="AH46" s="176">
        <f t="shared" si="16"/>
        <v>5</v>
      </c>
      <c r="AI46" s="225">
        <f t="shared" si="17"/>
        <v>-0.49817428187163604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20">
        <v>28.335000000000001</v>
      </c>
      <c r="C47" s="390"/>
      <c r="D47" s="393">
        <f t="shared" si="0"/>
        <v>28.953582859791798</v>
      </c>
      <c r="E47" s="385">
        <f t="shared" si="1"/>
        <v>31.537712371214635</v>
      </c>
      <c r="F47" s="385">
        <f t="shared" si="2"/>
        <v>31.55257955620117</v>
      </c>
      <c r="G47" s="110">
        <f t="shared" si="21"/>
        <v>0.84423832539020105</v>
      </c>
      <c r="H47" s="414" t="b">
        <f>Wh_hp&gt;='2020'!Maxi_hp</f>
        <v>1</v>
      </c>
      <c r="I47" s="380">
        <f>IF(H47,Wh_hp,'2020'!Maxi_hp)</f>
        <v>31.55257955620117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2.1364639491675108E-2</v>
      </c>
      <c r="M47" s="959"/>
      <c r="N47" s="959"/>
      <c r="O47" s="48">
        <f>IF(t&lt;Tnet,'2020'!Resal+('2020'!Salim-'2020'!Resal)*(1-EXP(('2020'!Tnet-t)/('2020'!Tau_j))),Resal+(Salim-Resal)*(1-EXP((Tnet-t)/(Tau_j))))*Salcycl</f>
        <v>8.193776013321262E-2</v>
      </c>
      <c r="P47" s="169">
        <f>(INDEX(Models!$BJ47:$BT47,,T47)*(1-R47)+INDEX(Models!$BJ47:$BT47,,T47+1)*R47-ERP_i)*Q47*Ramure*Pc/MaxiM</f>
        <v>6.0591538903291184E-4</v>
      </c>
      <c r="Q47" s="305">
        <f t="shared" si="4"/>
        <v>0.7</v>
      </c>
      <c r="R47" s="177">
        <f t="shared" si="5"/>
        <v>0.50192940069360881</v>
      </c>
      <c r="S47" s="921">
        <f t="shared" si="6"/>
        <v>-1</v>
      </c>
      <c r="T47" s="176">
        <f t="shared" si="7"/>
        <v>5</v>
      </c>
      <c r="U47" s="251">
        <f t="shared" si="8"/>
        <v>-0.49807059930639114</v>
      </c>
      <c r="V47" s="383">
        <f t="shared" si="9"/>
        <v>33.55827357880996</v>
      </c>
      <c r="W47" s="402"/>
      <c r="X47" s="157">
        <f t="shared" si="10"/>
        <v>44229</v>
      </c>
      <c r="Y47" s="385">
        <f t="shared" si="11"/>
        <v>28.335000000000001</v>
      </c>
      <c r="Z47" s="385">
        <f t="shared" si="12"/>
        <v>28.953582859791798</v>
      </c>
      <c r="AA47" s="386">
        <f t="shared" si="13"/>
        <v>31.537712371214635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8.193776013321262E-2</v>
      </c>
      <c r="AD47" s="231">
        <f>(INDEX(Models!$BJ47:$BT47,,AH47)*(1-AF47)+INDEX(Models!$BJ47:$BT47,,AH47+1)*AF47-ERP_i)*AE47*Ramure*Pc/MaxiM</f>
        <v>6.0591538903291184E-4</v>
      </c>
      <c r="AE47" s="305">
        <f t="shared" si="15"/>
        <v>0.7</v>
      </c>
      <c r="AF47" s="177">
        <f t="shared" si="22"/>
        <v>0.50192940069360881</v>
      </c>
      <c r="AG47" s="921">
        <f t="shared" si="23"/>
        <v>-1</v>
      </c>
      <c r="AH47" s="176">
        <f t="shared" si="16"/>
        <v>5</v>
      </c>
      <c r="AI47" s="225">
        <f t="shared" si="17"/>
        <v>-0.49807059930639114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20">
        <v>23.451000000000001</v>
      </c>
      <c r="C48" s="390"/>
      <c r="D48" s="393">
        <f t="shared" si="0"/>
        <v>23.963484863406517</v>
      </c>
      <c r="E48" s="385">
        <f t="shared" si="1"/>
        <v>26.103245920467096</v>
      </c>
      <c r="F48" s="385">
        <f t="shared" si="2"/>
        <v>26.11203685143251</v>
      </c>
      <c r="G48" s="110">
        <f t="shared" si="21"/>
        <v>0.69218514618737825</v>
      </c>
      <c r="H48" s="414" t="b">
        <f>Wh_hp&gt;='2020'!Maxi_hp</f>
        <v>0</v>
      </c>
      <c r="I48" s="380">
        <f>IF(H48,Wh_hp,'2020'!Maxi_hp)</f>
        <v>28.70079034414249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2.1386074117671683E-2</v>
      </c>
      <c r="M48" s="959"/>
      <c r="N48" s="959"/>
      <c r="O48" s="48">
        <f>IF(t&lt;Tnet,'2020'!Resal+('2020'!Salim-'2020'!Resal)*(1-EXP(('2020'!Tnet-t)/('2020'!Tau_j))),Resal+(Salim-Resal)*(1-EXP((Tnet-t)/(Tau_j))))*Salcycl</f>
        <v>8.1972987711188425E-2</v>
      </c>
      <c r="P48" s="169">
        <f>(INDEX(Models!$BJ48:$BT48,,T48)*(1-R48)+INDEX(Models!$BJ48:$BT48,,T48+1)*R48-ERP_i)*Q48*Ramure*Pc/MaxiM</f>
        <v>6.0061838260659856E-4</v>
      </c>
      <c r="Q48" s="305">
        <f t="shared" si="4"/>
        <v>0.7</v>
      </c>
      <c r="R48" s="177">
        <f t="shared" si="5"/>
        <v>0.50203738706824186</v>
      </c>
      <c r="S48" s="921">
        <f t="shared" si="6"/>
        <v>-1</v>
      </c>
      <c r="T48" s="176">
        <f t="shared" si="7"/>
        <v>5</v>
      </c>
      <c r="U48" s="251">
        <f t="shared" si="8"/>
        <v>-0.49796261293175814</v>
      </c>
      <c r="V48" s="383">
        <f t="shared" si="9"/>
        <v>33.870717977302697</v>
      </c>
      <c r="W48" s="402"/>
      <c r="X48" s="157">
        <f t="shared" si="10"/>
        <v>44230</v>
      </c>
      <c r="Y48" s="385">
        <f t="shared" si="11"/>
        <v>23.451000000000001</v>
      </c>
      <c r="Z48" s="385">
        <f t="shared" si="12"/>
        <v>23.963484863406517</v>
      </c>
      <c r="AA48" s="386">
        <f t="shared" si="13"/>
        <v>26.103245920467096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8.1972987711188425E-2</v>
      </c>
      <c r="AD48" s="231">
        <f>(INDEX(Models!$BJ48:$BT48,,AH48)*(1-AF48)+INDEX(Models!$BJ48:$BT48,,AH48+1)*AF48-ERP_i)*AE48*Ramure*Pc/MaxiM</f>
        <v>6.0061838260659856E-4</v>
      </c>
      <c r="AE48" s="305">
        <f t="shared" si="15"/>
        <v>0.7</v>
      </c>
      <c r="AF48" s="177">
        <f t="shared" si="22"/>
        <v>0.50203738706824186</v>
      </c>
      <c r="AG48" s="921">
        <f t="shared" si="23"/>
        <v>-1</v>
      </c>
      <c r="AH48" s="176">
        <f t="shared" si="16"/>
        <v>5</v>
      </c>
      <c r="AI48" s="225">
        <f t="shared" si="17"/>
        <v>-0.49796261293175814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20">
        <v>14.870000000000001</v>
      </c>
      <c r="C49" s="390"/>
      <c r="D49" s="393">
        <f t="shared" si="0"/>
        <v>15.195293368515312</v>
      </c>
      <c r="E49" s="385">
        <f t="shared" si="1"/>
        <v>16.552756707235048</v>
      </c>
      <c r="F49" s="385">
        <f t="shared" si="2"/>
        <v>16.554660623227985</v>
      </c>
      <c r="G49" s="110">
        <f t="shared" si="21"/>
        <v>0.43483133744248853</v>
      </c>
      <c r="H49" s="414" t="b">
        <f>Wh_hp&gt;='2020'!Maxi_hp</f>
        <v>0</v>
      </c>
      <c r="I49" s="380">
        <f>IF(H49,Wh_hp,'2020'!Maxi_hp)</f>
        <v>29.923583051666235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2.1407508274194909E-2</v>
      </c>
      <c r="M49" s="959"/>
      <c r="N49" s="959"/>
      <c r="O49" s="48">
        <f>IF(t&lt;Tnet,'2020'!Resal+('2020'!Salim-'2020'!Resal)*(1-EXP(('2020'!Tnet-t)/('2020'!Tau_j))),Resal+(Salim-Resal)*(1-EXP((Tnet-t)/(Tau_j))))*Salcycl</f>
        <v>8.2008294009806901E-2</v>
      </c>
      <c r="P49" s="169">
        <f>(INDEX(Models!$BJ49:$BT49,,T49)*(1-R49)+INDEX(Models!$BJ49:$BT49,,T49+1)*R49-ERP_i)*Q49*Ramure*Pc/MaxiM</f>
        <v>5.9615737394749508E-4</v>
      </c>
      <c r="Q49" s="305">
        <f t="shared" si="4"/>
        <v>0.7</v>
      </c>
      <c r="R49" s="177">
        <f t="shared" si="5"/>
        <v>0.5021498539076078</v>
      </c>
      <c r="S49" s="921">
        <f t="shared" si="6"/>
        <v>-1</v>
      </c>
      <c r="T49" s="176">
        <f t="shared" si="7"/>
        <v>5</v>
      </c>
      <c r="U49" s="251">
        <f t="shared" si="8"/>
        <v>-0.4978501460923922</v>
      </c>
      <c r="V49" s="383">
        <f t="shared" si="9"/>
        <v>34.180711471064235</v>
      </c>
      <c r="W49" s="402"/>
      <c r="X49" s="157">
        <f t="shared" si="10"/>
        <v>44231</v>
      </c>
      <c r="Y49" s="385">
        <f t="shared" si="11"/>
        <v>14.870000000000001</v>
      </c>
      <c r="Z49" s="385">
        <f t="shared" si="12"/>
        <v>15.195293368515312</v>
      </c>
      <c r="AA49" s="386">
        <f t="shared" si="13"/>
        <v>16.552756707235048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8.2008294009806901E-2</v>
      </c>
      <c r="AD49" s="231">
        <f>(INDEX(Models!$BJ49:$BT49,,AH49)*(1-AF49)+INDEX(Models!$BJ49:$BT49,,AH49+1)*AF49-ERP_i)*AE49*Ramure*Pc/MaxiM</f>
        <v>5.9615737394749508E-4</v>
      </c>
      <c r="AE49" s="305">
        <f t="shared" si="15"/>
        <v>0.7</v>
      </c>
      <c r="AF49" s="177">
        <f t="shared" si="22"/>
        <v>0.5021498539076078</v>
      </c>
      <c r="AG49" s="921">
        <f t="shared" si="23"/>
        <v>-1</v>
      </c>
      <c r="AH49" s="176">
        <f t="shared" si="16"/>
        <v>5</v>
      </c>
      <c r="AI49" s="225">
        <f t="shared" si="17"/>
        <v>-0.4978501460923922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20">
        <v>12.051</v>
      </c>
      <c r="C50" s="390"/>
      <c r="D50" s="393">
        <f t="shared" si="0"/>
        <v>12.314895173941329</v>
      </c>
      <c r="E50" s="385">
        <f t="shared" si="1"/>
        <v>13.415556723486276</v>
      </c>
      <c r="F50" s="385">
        <f t="shared" si="2"/>
        <v>13.416118112537646</v>
      </c>
      <c r="G50" s="110">
        <f t="shared" si="21"/>
        <v>0.34924165332616519</v>
      </c>
      <c r="H50" s="414" t="b">
        <f>Wh_hp&gt;='2020'!Maxi_hp</f>
        <v>0</v>
      </c>
      <c r="I50" s="380">
        <f>IF(H50,Wh_hp,'2020'!Maxi_hp)</f>
        <v>37.591562892350396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2.142894196125511E-2</v>
      </c>
      <c r="M50" s="959"/>
      <c r="N50" s="959"/>
      <c r="O50" s="48">
        <f>IF(t&lt;Tnet,'2020'!Resal+('2020'!Salim-'2020'!Resal)*(1-EXP(('2020'!Tnet-t)/('2020'!Tau_j))),Resal+(Salim-Resal)*(1-EXP((Tnet-t)/(Tau_j))))*Salcycl</f>
        <v>8.2043673045490956E-2</v>
      </c>
      <c r="P50" s="169">
        <f>(INDEX(Models!$BJ50:$BT50,,T50)*(1-R50)+INDEX(Models!$BJ50:$BT50,,T50+1)*R50-ERP_i)*Q50*Ramure*Pc/MaxiM</f>
        <v>5.9252758203638895E-4</v>
      </c>
      <c r="Q50" s="305">
        <f t="shared" si="4"/>
        <v>0.7</v>
      </c>
      <c r="R50" s="177">
        <f t="shared" si="5"/>
        <v>0.50226698494838873</v>
      </c>
      <c r="S50" s="921">
        <f t="shared" si="6"/>
        <v>-1</v>
      </c>
      <c r="T50" s="176">
        <f t="shared" si="7"/>
        <v>5</v>
      </c>
      <c r="U50" s="251">
        <f t="shared" si="8"/>
        <v>-0.49773301505161133</v>
      </c>
      <c r="V50" s="383">
        <f t="shared" si="9"/>
        <v>34.48719052906732</v>
      </c>
      <c r="W50" s="402"/>
      <c r="X50" s="157">
        <f t="shared" si="10"/>
        <v>44232</v>
      </c>
      <c r="Y50" s="385">
        <f t="shared" si="11"/>
        <v>12.051</v>
      </c>
      <c r="Z50" s="385">
        <f t="shared" si="12"/>
        <v>12.314895173941329</v>
      </c>
      <c r="AA50" s="386">
        <f t="shared" si="13"/>
        <v>13.415556723486276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8.2043673045490956E-2</v>
      </c>
      <c r="AD50" s="231">
        <f>(INDEX(Models!$BJ50:$BT50,,AH50)*(1-AF50)+INDEX(Models!$BJ50:$BT50,,AH50+1)*AF50-ERP_i)*AE50*Ramure*Pc/MaxiM</f>
        <v>5.9252758203638895E-4</v>
      </c>
      <c r="AE50" s="305">
        <f t="shared" si="15"/>
        <v>0.7</v>
      </c>
      <c r="AF50" s="177">
        <f t="shared" si="22"/>
        <v>0.50226698494838873</v>
      </c>
      <c r="AG50" s="921">
        <f t="shared" si="23"/>
        <v>-1</v>
      </c>
      <c r="AH50" s="176">
        <f t="shared" si="16"/>
        <v>5</v>
      </c>
      <c r="AI50" s="225">
        <f t="shared" si="17"/>
        <v>-0.49773301505161133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20">
        <v>8.3740000000000006</v>
      </c>
      <c r="C51" s="390"/>
      <c r="D51" s="393">
        <f t="shared" si="0"/>
        <v>8.5575629355850289</v>
      </c>
      <c r="E51" s="385">
        <f t="shared" si="1"/>
        <v>9.3227674676855266</v>
      </c>
      <c r="F51" s="385">
        <f t="shared" si="2"/>
        <v>9.3227674676855266</v>
      </c>
      <c r="G51" s="110">
        <f t="shared" si="21"/>
        <v>0.24054005994952565</v>
      </c>
      <c r="H51" s="414" t="b">
        <f>Wh_hp&gt;='2020'!Maxi_hp</f>
        <v>0</v>
      </c>
      <c r="I51" s="380">
        <f>IF(H51,Wh_hp,'2020'!Maxi_hp)</f>
        <v>39.747861870771352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2.1450375178862613E-2</v>
      </c>
      <c r="M51" s="959"/>
      <c r="N51" s="959"/>
      <c r="O51" s="48">
        <f>IF(t&lt;Tnet,'2020'!Resal+('2020'!Salim-'2020'!Resal)*(1-EXP(('2020'!Tnet-t)/('2020'!Tau_j))),Resal+(Salim-Resal)*(1-EXP((Tnet-t)/(Tau_j))))*Salcycl</f>
        <v>8.2079118110887209E-2</v>
      </c>
      <c r="P51" s="169">
        <f>(INDEX(Models!$BJ51:$BT51,,T51)*(1-R51)+INDEX(Models!$BJ51:$BT51,,T51+1)*R51-ERP_i)*Q51*Ramure*Pc/MaxiM</f>
        <v>5.8966157747967953E-4</v>
      </c>
      <c r="Q51" s="305">
        <f t="shared" si="4"/>
        <v>0.7</v>
      </c>
      <c r="R51" s="177">
        <f t="shared" si="5"/>
        <v>0.50238897127798277</v>
      </c>
      <c r="S51" s="921">
        <f t="shared" si="6"/>
        <v>-1</v>
      </c>
      <c r="T51" s="176">
        <f t="shared" si="7"/>
        <v>5</v>
      </c>
      <c r="U51" s="251">
        <f t="shared" si="8"/>
        <v>-0.49761102872201718</v>
      </c>
      <c r="V51" s="383">
        <f t="shared" si="9"/>
        <v>34.792799900799608</v>
      </c>
      <c r="W51" s="402"/>
      <c r="X51" s="157">
        <f t="shared" si="10"/>
        <v>44233</v>
      </c>
      <c r="Y51" s="385">
        <f t="shared" si="11"/>
        <v>8.3740000000000006</v>
      </c>
      <c r="Z51" s="385">
        <f t="shared" si="12"/>
        <v>8.5575629355850289</v>
      </c>
      <c r="AA51" s="386">
        <f t="shared" si="13"/>
        <v>9.3227674676855266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8.2079118110887209E-2</v>
      </c>
      <c r="AD51" s="231">
        <f>(INDEX(Models!$BJ51:$BT51,,AH51)*(1-AF51)+INDEX(Models!$BJ51:$BT51,,AH51+1)*AF51-ERP_i)*AE51*Ramure*Pc/MaxiM</f>
        <v>5.8966157747967953E-4</v>
      </c>
      <c r="AE51" s="305">
        <f t="shared" si="15"/>
        <v>0.7</v>
      </c>
      <c r="AF51" s="177">
        <f t="shared" si="22"/>
        <v>0.50238897127798277</v>
      </c>
      <c r="AG51" s="921">
        <f t="shared" si="23"/>
        <v>-1</v>
      </c>
      <c r="AH51" s="176">
        <f t="shared" si="16"/>
        <v>5</v>
      </c>
      <c r="AI51" s="225">
        <f t="shared" si="17"/>
        <v>-0.49761102872201718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20">
        <v>20.907</v>
      </c>
      <c r="C52" s="390"/>
      <c r="D52" s="393">
        <f t="shared" si="0"/>
        <v>21.365761527738272</v>
      </c>
      <c r="E52" s="385">
        <f t="shared" si="1"/>
        <v>23.277156425311414</v>
      </c>
      <c r="F52" s="385">
        <f t="shared" si="2"/>
        <v>23.282934063203243</v>
      </c>
      <c r="G52" s="110">
        <f t="shared" si="21"/>
        <v>0.59542917072639956</v>
      </c>
      <c r="H52" s="414" t="b">
        <f>Wh_hp&gt;='2020'!Maxi_hp</f>
        <v>0</v>
      </c>
      <c r="I52" s="380">
        <f>IF(H52,Wh_hp,'2020'!Maxi_hp)</f>
        <v>25.290736794333089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2.1471807927027631E-2</v>
      </c>
      <c r="M52" s="959"/>
      <c r="N52" s="959"/>
      <c r="O52" s="48">
        <f>IF(t&lt;Tnet,'2020'!Resal+('2020'!Salim-'2020'!Resal)*(1-EXP(('2020'!Tnet-t)/('2020'!Tau_j))),Resal+(Salim-Resal)*(1-EXP((Tnet-t)/(Tau_j))))*Salcycl</f>
        <v>8.2114621848513508E-2</v>
      </c>
      <c r="P52" s="169">
        <f>(INDEX(Models!$BJ52:$BT52,,T52)*(1-R52)+INDEX(Models!$BJ52:$BT52,,T52+1)*R52-ERP_i)*Q52*Ramure*Pc/MaxiM</f>
        <v>5.8757066374811196E-4</v>
      </c>
      <c r="Q52" s="305">
        <f t="shared" si="4"/>
        <v>0.7</v>
      </c>
      <c r="R52" s="177">
        <f t="shared" si="5"/>
        <v>0.50251601161288428</v>
      </c>
      <c r="S52" s="921">
        <f t="shared" si="6"/>
        <v>-1</v>
      </c>
      <c r="T52" s="176">
        <f t="shared" si="7"/>
        <v>5</v>
      </c>
      <c r="U52" s="251">
        <f t="shared" si="8"/>
        <v>-0.49748398838711572</v>
      </c>
      <c r="V52" s="383">
        <f t="shared" si="9"/>
        <v>35.100567755827143</v>
      </c>
      <c r="W52" s="402"/>
      <c r="X52" s="157">
        <f t="shared" si="10"/>
        <v>44234</v>
      </c>
      <c r="Y52" s="385">
        <f t="shared" si="11"/>
        <v>20.907</v>
      </c>
      <c r="Z52" s="385">
        <f t="shared" si="12"/>
        <v>21.365761527738272</v>
      </c>
      <c r="AA52" s="386">
        <f t="shared" si="13"/>
        <v>23.277156425311414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8.2114621848513508E-2</v>
      </c>
      <c r="AD52" s="231">
        <f>(INDEX(Models!$BJ52:$BT52,,AH52)*(1-AF52)+INDEX(Models!$BJ52:$BT52,,AH52+1)*AF52-ERP_i)*AE52*Ramure*Pc/MaxiM</f>
        <v>5.8757066374811196E-4</v>
      </c>
      <c r="AE52" s="305">
        <f t="shared" si="15"/>
        <v>0.7</v>
      </c>
      <c r="AF52" s="177">
        <f t="shared" si="22"/>
        <v>0.50251601161288428</v>
      </c>
      <c r="AG52" s="921">
        <f t="shared" si="23"/>
        <v>-1</v>
      </c>
      <c r="AH52" s="176">
        <f t="shared" si="16"/>
        <v>5</v>
      </c>
      <c r="AI52" s="225">
        <f t="shared" si="17"/>
        <v>-0.49748398838711572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20">
        <v>4.3159999999999998</v>
      </c>
      <c r="C53" s="390"/>
      <c r="D53" s="393">
        <f t="shared" si="0"/>
        <v>4.410802436262748</v>
      </c>
      <c r="E53" s="385">
        <f t="shared" si="1"/>
        <v>4.8055818310815823</v>
      </c>
      <c r="F53" s="385">
        <f t="shared" si="2"/>
        <v>4.8055818310815823</v>
      </c>
      <c r="G53" s="110">
        <f t="shared" si="21"/>
        <v>0.12181498205882807</v>
      </c>
      <c r="H53" s="414" t="b">
        <f>Wh_hp&gt;='2020'!Maxi_hp</f>
        <v>0</v>
      </c>
      <c r="I53" s="380">
        <f>IF(H53,Wh_hp,'2020'!Maxi_hp)</f>
        <v>31.95917350090901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2.1493240205760378E-2</v>
      </c>
      <c r="M53" s="959"/>
      <c r="N53" s="959"/>
      <c r="O53" s="48">
        <f>IF(t&lt;Tnet,'2020'!Resal+('2020'!Salim-'2020'!Resal)*(1-EXP(('2020'!Tnet-t)/('2020'!Tau_j))),Resal+(Salim-Resal)*(1-EXP((Tnet-t)/(Tau_j))))*Salcycl</f>
        <v>8.2150176335667957E-2</v>
      </c>
      <c r="P53" s="169">
        <f>(INDEX(Models!$BJ53:$BT53,,T53)*(1-R53)+INDEX(Models!$BJ53:$BT53,,T53+1)*R53-ERP_i)*Q53*Ramure*Pc/MaxiM</f>
        <v>5.8575798333721776E-4</v>
      </c>
      <c r="Q53" s="305">
        <f t="shared" si="4"/>
        <v>0.7</v>
      </c>
      <c r="R53" s="177">
        <f t="shared" si="5"/>
        <v>0.50264831258625053</v>
      </c>
      <c r="S53" s="921">
        <f t="shared" si="6"/>
        <v>-1</v>
      </c>
      <c r="T53" s="176">
        <f t="shared" si="7"/>
        <v>5</v>
      </c>
      <c r="U53" s="251">
        <f t="shared" si="8"/>
        <v>-0.49735168741374947</v>
      </c>
      <c r="V53" s="383">
        <f t="shared" si="9"/>
        <v>35.410027532252251</v>
      </c>
      <c r="W53" s="402"/>
      <c r="X53" s="157">
        <f t="shared" si="10"/>
        <v>44235</v>
      </c>
      <c r="Y53" s="385">
        <f t="shared" si="11"/>
        <v>4.3159999999999998</v>
      </c>
      <c r="Z53" s="385">
        <f t="shared" si="12"/>
        <v>4.410802436262748</v>
      </c>
      <c r="AA53" s="386">
        <f t="shared" si="13"/>
        <v>4.8055818310815823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8.2150176335667957E-2</v>
      </c>
      <c r="AD53" s="231">
        <f>(INDEX(Models!$BJ53:$BT53,,AH53)*(1-AF53)+INDEX(Models!$BJ53:$BT53,,AH53+1)*AF53-ERP_i)*AE53*Ramure*Pc/MaxiM</f>
        <v>5.8575798333721776E-4</v>
      </c>
      <c r="AE53" s="305">
        <f t="shared" si="15"/>
        <v>0.7</v>
      </c>
      <c r="AF53" s="177">
        <f t="shared" si="22"/>
        <v>0.50264831258625053</v>
      </c>
      <c r="AG53" s="921">
        <f t="shared" si="23"/>
        <v>-1</v>
      </c>
      <c r="AH53" s="176">
        <f t="shared" si="16"/>
        <v>5</v>
      </c>
      <c r="AI53" s="225">
        <f t="shared" si="17"/>
        <v>-0.49735168741374947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20">
        <v>11.96</v>
      </c>
      <c r="C54" s="390"/>
      <c r="D54" s="393">
        <f t="shared" si="0"/>
        <v>12.222973260754111</v>
      </c>
      <c r="E54" s="385">
        <f t="shared" si="1"/>
        <v>13.317480709682334</v>
      </c>
      <c r="F54" s="385">
        <f t="shared" si="2"/>
        <v>13.317867739317341</v>
      </c>
      <c r="G54" s="110">
        <f t="shared" si="21"/>
        <v>0.33463402212427279</v>
      </c>
      <c r="H54" s="414" t="b">
        <f>Wh_hp&gt;='2020'!Maxi_hp</f>
        <v>0</v>
      </c>
      <c r="I54" s="380">
        <f>IF(H54,Wh_hp,'2020'!Maxi_hp)</f>
        <v>31.847007727333747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2.151467201507129E-2</v>
      </c>
      <c r="M54" s="959"/>
      <c r="N54" s="959"/>
      <c r="O54" s="48">
        <f>IF(t&lt;Tnet,'2020'!Resal+('2020'!Salim-'2020'!Resal)*(1-EXP(('2020'!Tnet-t)/('2020'!Tau_j))),Resal+(Salim-Resal)*(1-EXP((Tnet-t)/(Tau_j))))*Salcycl</f>
        <v>8.2185773179492702E-2</v>
      </c>
      <c r="P54" s="169">
        <f>(INDEX(Models!$BJ54:$BT54,,T54)*(1-R54)+INDEX(Models!$BJ54:$BT54,,T54+1)*R54-ERP_i)*Q54*Ramure*Pc/MaxiM</f>
        <v>5.8422474905733151E-4</v>
      </c>
      <c r="Q54" s="305">
        <f t="shared" si="4"/>
        <v>0.7</v>
      </c>
      <c r="R54" s="177">
        <f t="shared" si="5"/>
        <v>0.50278608904484168</v>
      </c>
      <c r="S54" s="921">
        <f t="shared" si="6"/>
        <v>-1</v>
      </c>
      <c r="T54" s="176">
        <f t="shared" si="7"/>
        <v>5</v>
      </c>
      <c r="U54" s="251">
        <f t="shared" si="8"/>
        <v>-0.49721391095515832</v>
      </c>
      <c r="V54" s="383">
        <f t="shared" si="9"/>
        <v>35.720695618132169</v>
      </c>
      <c r="W54" s="402"/>
      <c r="X54" s="157">
        <f t="shared" si="10"/>
        <v>44236</v>
      </c>
      <c r="Y54" s="385">
        <f t="shared" si="11"/>
        <v>11.96</v>
      </c>
      <c r="Z54" s="385">
        <f t="shared" si="12"/>
        <v>12.222973260754111</v>
      </c>
      <c r="AA54" s="386">
        <f t="shared" si="13"/>
        <v>13.317480709682334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8.2185773179492702E-2</v>
      </c>
      <c r="AD54" s="231">
        <f>(INDEX(Models!$BJ54:$BT54,,AH54)*(1-AF54)+INDEX(Models!$BJ54:$BT54,,AH54+1)*AF54-ERP_i)*AE54*Ramure*Pc/MaxiM</f>
        <v>5.8422474905733151E-4</v>
      </c>
      <c r="AE54" s="305">
        <f t="shared" si="15"/>
        <v>0.7</v>
      </c>
      <c r="AF54" s="177">
        <f t="shared" si="22"/>
        <v>0.50278608904484168</v>
      </c>
      <c r="AG54" s="921">
        <f t="shared" si="23"/>
        <v>-1</v>
      </c>
      <c r="AH54" s="176">
        <f t="shared" si="16"/>
        <v>5</v>
      </c>
      <c r="AI54" s="225">
        <f t="shared" si="17"/>
        <v>-0.49721391095515832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20">
        <v>11.246</v>
      </c>
      <c r="C55" s="390"/>
      <c r="D55" s="393">
        <f t="shared" si="0"/>
        <v>11.493525758651332</v>
      </c>
      <c r="E55" s="385">
        <f t="shared" si="1"/>
        <v>12.523200915774108</v>
      </c>
      <c r="F55" s="385">
        <f t="shared" si="2"/>
        <v>12.523327225920431</v>
      </c>
      <c r="G55" s="110">
        <f t="shared" si="21"/>
        <v>0.31193188385715914</v>
      </c>
      <c r="H55" s="414" t="b">
        <f>Wh_hp&gt;='2020'!Maxi_hp</f>
        <v>1</v>
      </c>
      <c r="I55" s="380">
        <f>IF(H55,Wh_hp,'2020'!Maxi_hp)</f>
        <v>12.523327225920431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2.1536103354970582E-2</v>
      </c>
      <c r="M55" s="959"/>
      <c r="N55" s="959"/>
      <c r="O55" s="48">
        <f>IF(t&lt;Tnet,'2020'!Resal+('2020'!Salim-'2020'!Resal)*(1-EXP(('2020'!Tnet-t)/('2020'!Tau_j))),Resal+(Salim-Resal)*(1-EXP((Tnet-t)/(Tau_j))))*Salcycl</f>
        <v>8.2221403621002942E-2</v>
      </c>
      <c r="P55" s="169">
        <f>(INDEX(Models!$BJ55:$BT55,,T55)*(1-R55)+INDEX(Models!$BJ55:$BT55,,T55+1)*R55-ERP_i)*Q55*Ramure*Pc/MaxiM</f>
        <v>5.8297197831290936E-4</v>
      </c>
      <c r="Q55" s="305">
        <f t="shared" si="4"/>
        <v>0.7</v>
      </c>
      <c r="R55" s="177">
        <f t="shared" si="5"/>
        <v>0.50292956435550418</v>
      </c>
      <c r="S55" s="921">
        <f t="shared" si="6"/>
        <v>-1</v>
      </c>
      <c r="T55" s="176">
        <f t="shared" si="7"/>
        <v>5</v>
      </c>
      <c r="U55" s="251">
        <f t="shared" si="8"/>
        <v>-0.49707043564449582</v>
      </c>
      <c r="V55" s="383">
        <f t="shared" si="9"/>
        <v>36.032088545122001</v>
      </c>
      <c r="W55" s="402"/>
      <c r="X55" s="157">
        <f t="shared" si="10"/>
        <v>44237</v>
      </c>
      <c r="Y55" s="385">
        <f t="shared" si="11"/>
        <v>11.246</v>
      </c>
      <c r="Z55" s="385">
        <f t="shared" si="12"/>
        <v>11.493525758651332</v>
      </c>
      <c r="AA55" s="386">
        <f t="shared" si="13"/>
        <v>12.523200915774108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8.2221403621002942E-2</v>
      </c>
      <c r="AD55" s="231">
        <f>(INDEX(Models!$BJ55:$BT55,,AH55)*(1-AF55)+INDEX(Models!$BJ55:$BT55,,AH55+1)*AF55-ERP_i)*AE55*Ramure*Pc/MaxiM</f>
        <v>5.8297197831290936E-4</v>
      </c>
      <c r="AE55" s="305">
        <f t="shared" si="15"/>
        <v>0.7</v>
      </c>
      <c r="AF55" s="177">
        <f t="shared" si="22"/>
        <v>0.50292956435550418</v>
      </c>
      <c r="AG55" s="921">
        <f t="shared" si="23"/>
        <v>-1</v>
      </c>
      <c r="AH55" s="176">
        <f t="shared" si="16"/>
        <v>5</v>
      </c>
      <c r="AI55" s="225">
        <f t="shared" si="17"/>
        <v>-0.49707043564449582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20">
        <v>28.785</v>
      </c>
      <c r="C56" s="390"/>
      <c r="D56" s="393">
        <f t="shared" si="0"/>
        <v>29.419205530101248</v>
      </c>
      <c r="E56" s="385">
        <f t="shared" si="1"/>
        <v>32.056041190274598</v>
      </c>
      <c r="F56" s="385">
        <f t="shared" si="2"/>
        <v>32.069160070810902</v>
      </c>
      <c r="G56" s="110">
        <f t="shared" si="21"/>
        <v>0.79188421296188671</v>
      </c>
      <c r="H56" s="414" t="b">
        <f>Wh_hp&gt;='2020'!Maxi_hp</f>
        <v>1</v>
      </c>
      <c r="I56" s="380">
        <f>IF(H56,Wh_hp,'2020'!Maxi_hp)</f>
        <v>32.069160070810902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2.1557534225468467E-2</v>
      </c>
      <c r="M56" s="959"/>
      <c r="N56" s="959"/>
      <c r="O56" s="48">
        <f>IF(t&lt;Tnet,'2020'!Resal+('2020'!Salim-'2020'!Resal)*(1-EXP(('2020'!Tnet-t)/('2020'!Tau_j))),Resal+(Salim-Resal)*(1-EXP((Tnet-t)/(Tau_j))))*Salcycl</f>
        <v>8.2257058646821771E-2</v>
      </c>
      <c r="P56" s="169">
        <f>(INDEX(Models!$BJ56:$BT56,,T56)*(1-R56)+INDEX(Models!$BJ56:$BT56,,T56+1)*R56-ERP_i)*Q56*Ramure*Pc/MaxiM</f>
        <v>5.8200054848722162E-4</v>
      </c>
      <c r="Q56" s="305">
        <f t="shared" si="4"/>
        <v>0.7</v>
      </c>
      <c r="R56" s="177">
        <f t="shared" si="5"/>
        <v>0.50307897072136543</v>
      </c>
      <c r="S56" s="921">
        <f t="shared" si="6"/>
        <v>-1</v>
      </c>
      <c r="T56" s="176">
        <f t="shared" si="7"/>
        <v>5</v>
      </c>
      <c r="U56" s="251">
        <f t="shared" si="8"/>
        <v>-0.49692102927863463</v>
      </c>
      <c r="V56" s="383">
        <f t="shared" si="9"/>
        <v>36.343722983121275</v>
      </c>
      <c r="W56" s="402"/>
      <c r="X56" s="157">
        <f t="shared" si="10"/>
        <v>44238</v>
      </c>
      <c r="Y56" s="385">
        <f t="shared" si="11"/>
        <v>28.785</v>
      </c>
      <c r="Z56" s="385">
        <f t="shared" si="12"/>
        <v>29.419205530101248</v>
      </c>
      <c r="AA56" s="386">
        <f t="shared" si="13"/>
        <v>32.056041190274598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8.2257058646821771E-2</v>
      </c>
      <c r="AD56" s="231">
        <f>(INDEX(Models!$BJ56:$BT56,,AH56)*(1-AF56)+INDEX(Models!$BJ56:$BT56,,AH56+1)*AF56-ERP_i)*AE56*Ramure*Pc/MaxiM</f>
        <v>5.8200054848722162E-4</v>
      </c>
      <c r="AE56" s="305">
        <f t="shared" si="15"/>
        <v>0.7</v>
      </c>
      <c r="AF56" s="177">
        <f t="shared" si="22"/>
        <v>0.50307897072136543</v>
      </c>
      <c r="AG56" s="921">
        <f t="shared" si="23"/>
        <v>-1</v>
      </c>
      <c r="AH56" s="176">
        <f t="shared" si="16"/>
        <v>5</v>
      </c>
      <c r="AI56" s="225">
        <f t="shared" si="17"/>
        <v>-0.49692102927863463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20">
        <v>4.0999999999999996</v>
      </c>
      <c r="C57" s="390"/>
      <c r="D57" s="393">
        <f t="shared" si="0"/>
        <v>4.1904250335697162</v>
      </c>
      <c r="E57" s="385">
        <f t="shared" si="1"/>
        <v>4.5661892048577934</v>
      </c>
      <c r="F57" s="385">
        <f t="shared" si="2"/>
        <v>4.5661892048577934</v>
      </c>
      <c r="G57" s="110">
        <f t="shared" si="21"/>
        <v>0.11178839683031176</v>
      </c>
      <c r="H57" s="414" t="b">
        <f>Wh_hp&gt;='2020'!Maxi_hp</f>
        <v>0</v>
      </c>
      <c r="I57" s="380">
        <f>IF(H57,Wh_hp,'2020'!Maxi_hp)</f>
        <v>40.986650074876621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2.1578964626575381E-2</v>
      </c>
      <c r="M57" s="959"/>
      <c r="N57" s="959"/>
      <c r="O57" s="48">
        <f>IF(t&lt;Tnet,'2020'!Resal+('2020'!Salim-'2020'!Resal)*(1-EXP(('2020'!Tnet-t)/('2020'!Tau_j))),Resal+(Salim-Resal)*(1-EXP((Tnet-t)/(Tau_j))))*Salcycl</f>
        <v>8.229272910730806E-2</v>
      </c>
      <c r="P57" s="169">
        <f>(INDEX(Models!$BJ57:$BT57,,T57)*(1-R57)+INDEX(Models!$BJ57:$BT57,,T57+1)*R57-ERP_i)*Q57*Ramure*Pc/MaxiM</f>
        <v>5.8131125058076538E-4</v>
      </c>
      <c r="Q57" s="305">
        <f t="shared" si="4"/>
        <v>0.7</v>
      </c>
      <c r="R57" s="177">
        <f t="shared" si="5"/>
        <v>0.50323454950788826</v>
      </c>
      <c r="S57" s="921">
        <f t="shared" si="6"/>
        <v>-1</v>
      </c>
      <c r="T57" s="176">
        <f t="shared" si="7"/>
        <v>5</v>
      </c>
      <c r="U57" s="251">
        <f t="shared" si="8"/>
        <v>-0.49676545049211179</v>
      </c>
      <c r="V57" s="383">
        <f t="shared" si="9"/>
        <v>36.6551157370345</v>
      </c>
      <c r="W57" s="402"/>
      <c r="X57" s="157">
        <f t="shared" si="10"/>
        <v>44239</v>
      </c>
      <c r="Y57" s="385">
        <f t="shared" si="11"/>
        <v>4.0999999999999996</v>
      </c>
      <c r="Z57" s="385">
        <f t="shared" si="12"/>
        <v>4.1904250335697162</v>
      </c>
      <c r="AA57" s="386">
        <f t="shared" si="13"/>
        <v>4.5661892048577934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8.229272910730806E-2</v>
      </c>
      <c r="AD57" s="231">
        <f>(INDEX(Models!$BJ57:$BT57,,AH57)*(1-AF57)+INDEX(Models!$BJ57:$BT57,,AH57+1)*AF57-ERP_i)*AE57*Ramure*Pc/MaxiM</f>
        <v>5.8131125058076538E-4</v>
      </c>
      <c r="AE57" s="305">
        <f t="shared" si="15"/>
        <v>0.7</v>
      </c>
      <c r="AF57" s="177">
        <f t="shared" si="22"/>
        <v>0.50323454950788826</v>
      </c>
      <c r="AG57" s="921">
        <f t="shared" si="23"/>
        <v>-1</v>
      </c>
      <c r="AH57" s="176">
        <f t="shared" si="16"/>
        <v>5</v>
      </c>
      <c r="AI57" s="225">
        <f t="shared" si="17"/>
        <v>-0.49676545049211179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20">
        <v>6.6560000000000006</v>
      </c>
      <c r="C58" s="390"/>
      <c r="D58" s="393">
        <f t="shared" si="0"/>
        <v>6.8029463247740667</v>
      </c>
      <c r="E58" s="385">
        <f t="shared" si="1"/>
        <v>7.4132689385456834</v>
      </c>
      <c r="F58" s="385">
        <f t="shared" si="2"/>
        <v>7.4132689385456834</v>
      </c>
      <c r="G58" s="110">
        <f t="shared" si="21"/>
        <v>0.17995380657606147</v>
      </c>
      <c r="H58" s="414" t="b">
        <f>Wh_hp&gt;='2020'!Maxi_hp</f>
        <v>0</v>
      </c>
      <c r="I58" s="380">
        <f>IF(H58,Wh_hp,'2020'!Maxi_hp)</f>
        <v>42.930559585857665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2.1600394558301428E-2</v>
      </c>
      <c r="M58" s="959"/>
      <c r="N58" s="959"/>
      <c r="O58" s="48">
        <f>IF(t&lt;Tnet,'2020'!Resal+('2020'!Salim-'2020'!Resal)*(1-EXP(('2020'!Tnet-t)/('2020'!Tau_j))),Resal+(Salim-Resal)*(1-EXP((Tnet-t)/(Tau_j))))*Salcycl</f>
        <v>8.2328405839724964E-2</v>
      </c>
      <c r="P58" s="169">
        <f>(INDEX(Models!$BJ58:$BT58,,T58)*(1-R58)+INDEX(Models!$BJ58:$BT58,,T58+1)*R58-ERP_i)*Q58*Ramure*Pc/MaxiM</f>
        <v>5.8091737251683435E-4</v>
      </c>
      <c r="Q58" s="305">
        <f t="shared" si="4"/>
        <v>0.7</v>
      </c>
      <c r="R58" s="177">
        <f t="shared" si="5"/>
        <v>0.50339655157892738</v>
      </c>
      <c r="S58" s="921">
        <f t="shared" si="6"/>
        <v>-1</v>
      </c>
      <c r="T58" s="176">
        <f t="shared" si="7"/>
        <v>5</v>
      </c>
      <c r="U58" s="251">
        <f t="shared" si="8"/>
        <v>-0.49660344842107262</v>
      </c>
      <c r="V58" s="383">
        <f t="shared" si="9"/>
        <v>36.965783278148415</v>
      </c>
      <c r="W58" s="402"/>
      <c r="X58" s="157">
        <f t="shared" si="10"/>
        <v>44240</v>
      </c>
      <c r="Y58" s="385">
        <f t="shared" si="11"/>
        <v>6.6560000000000006</v>
      </c>
      <c r="Z58" s="385">
        <f t="shared" si="12"/>
        <v>6.8029463247740667</v>
      </c>
      <c r="AA58" s="386">
        <f t="shared" si="13"/>
        <v>7.4132689385456834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8.2328405839724964E-2</v>
      </c>
      <c r="AD58" s="231">
        <f>(INDEX(Models!$BJ58:$BT58,,AH58)*(1-AF58)+INDEX(Models!$BJ58:$BT58,,AH58+1)*AF58-ERP_i)*AE58*Ramure*Pc/MaxiM</f>
        <v>5.8091737251683435E-4</v>
      </c>
      <c r="AE58" s="305">
        <f t="shared" si="15"/>
        <v>0.7</v>
      </c>
      <c r="AF58" s="177">
        <f t="shared" si="22"/>
        <v>0.50339655157892738</v>
      </c>
      <c r="AG58" s="921">
        <f t="shared" si="23"/>
        <v>-1</v>
      </c>
      <c r="AH58" s="176">
        <f t="shared" si="16"/>
        <v>5</v>
      </c>
      <c r="AI58" s="225">
        <f t="shared" si="17"/>
        <v>-0.49660344842107262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20">
        <v>31.73</v>
      </c>
      <c r="C59" s="390"/>
      <c r="D59" s="393">
        <f t="shared" si="0"/>
        <v>32.431222178723182</v>
      </c>
      <c r="E59" s="385">
        <f t="shared" si="1"/>
        <v>35.342145468194573</v>
      </c>
      <c r="F59" s="385">
        <f t="shared" si="2"/>
        <v>35.358312997457084</v>
      </c>
      <c r="G59" s="110">
        <f t="shared" si="21"/>
        <v>0.85113000021245155</v>
      </c>
      <c r="H59" s="414" t="b">
        <f>Wh_hp&gt;='2020'!Maxi_hp</f>
        <v>0</v>
      </c>
      <c r="I59" s="380">
        <f>IF(H59,Wh_hp,'2020'!Maxi_hp)</f>
        <v>42.898613753230741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2.1621824020657043E-2</v>
      </c>
      <c r="M59" s="959"/>
      <c r="N59" s="959"/>
      <c r="O59" s="48">
        <f>IF(t&lt;Tnet,'2020'!Resal+('2020'!Salim-'2020'!Resal)*(1-EXP(('2020'!Tnet-t)/('2020'!Tau_j))),Resal+(Salim-Resal)*(1-EXP((Tnet-t)/(Tau_j))))*Salcycl</f>
        <v>8.2364079795071252E-2</v>
      </c>
      <c r="P59" s="169">
        <f>(INDEX(Models!$BJ59:$BT59,,T59)*(1-R59)+INDEX(Models!$BJ59:$BT59,,T59+1)*R59-ERP_i)*Q59*Ramure*Pc/MaxiM</f>
        <v>5.8064849326138076E-4</v>
      </c>
      <c r="Q59" s="305">
        <f t="shared" si="4"/>
        <v>0.7</v>
      </c>
      <c r="R59" s="177">
        <f t="shared" si="5"/>
        <v>0.50356523764290917</v>
      </c>
      <c r="S59" s="921">
        <f t="shared" si="6"/>
        <v>-1</v>
      </c>
      <c r="T59" s="176">
        <f t="shared" si="7"/>
        <v>5</v>
      </c>
      <c r="U59" s="251">
        <f t="shared" si="8"/>
        <v>-0.49643476235709089</v>
      </c>
      <c r="V59" s="383">
        <f t="shared" si="9"/>
        <v>37.275249037697861</v>
      </c>
      <c r="W59" s="402"/>
      <c r="X59" s="157">
        <f t="shared" si="10"/>
        <v>44241</v>
      </c>
      <c r="Y59" s="385">
        <f t="shared" si="11"/>
        <v>31.73</v>
      </c>
      <c r="Z59" s="385">
        <f t="shared" si="12"/>
        <v>32.431222178723182</v>
      </c>
      <c r="AA59" s="386">
        <f t="shared" si="13"/>
        <v>35.342145468194573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8.2364079795071252E-2</v>
      </c>
      <c r="AD59" s="231">
        <f>(INDEX(Models!$BJ59:$BT59,,AH59)*(1-AF59)+INDEX(Models!$BJ59:$BT59,,AH59+1)*AF59-ERP_i)*AE59*Ramure*Pc/MaxiM</f>
        <v>5.8064849326138076E-4</v>
      </c>
      <c r="AE59" s="305">
        <f t="shared" si="15"/>
        <v>0.7</v>
      </c>
      <c r="AF59" s="177">
        <f t="shared" si="22"/>
        <v>0.50356523764290917</v>
      </c>
      <c r="AG59" s="921">
        <f t="shared" si="23"/>
        <v>-1</v>
      </c>
      <c r="AH59" s="176">
        <f t="shared" si="16"/>
        <v>5</v>
      </c>
      <c r="AI59" s="225">
        <f t="shared" si="17"/>
        <v>-0.49643476235709089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20">
        <v>33.707000000000001</v>
      </c>
      <c r="C60" s="390"/>
      <c r="D60" s="393">
        <f t="shared" si="0"/>
        <v>34.452667806327668</v>
      </c>
      <c r="E60" s="385">
        <f t="shared" si="1"/>
        <v>37.546488802976192</v>
      </c>
      <c r="F60" s="385">
        <f t="shared" si="2"/>
        <v>37.565082824643149</v>
      </c>
      <c r="G60" s="110">
        <f t="shared" si="21"/>
        <v>0.89679079928291883</v>
      </c>
      <c r="H60" s="414" t="b">
        <f>Wh_hp&gt;='2020'!Maxi_hp</f>
        <v>0</v>
      </c>
      <c r="I60" s="380">
        <f>IF(H60,Wh_hp,'2020'!Maxi_hp)</f>
        <v>43.307632323541206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2.164325301365233E-2</v>
      </c>
      <c r="M60" s="959"/>
      <c r="N60" s="959"/>
      <c r="O60" s="48">
        <f>IF(t&lt;Tnet,'2020'!Resal+('2020'!Salim-'2020'!Resal)*(1-EXP(('2020'!Tnet-t)/('2020'!Tau_j))),Resal+(Salim-Resal)*(1-EXP((Tnet-t)/(Tau_j))))*Salcycl</f>
        <v>8.2399742167189954E-2</v>
      </c>
      <c r="P60" s="169">
        <f>(INDEX(Models!$BJ60:$BT60,,T60)*(1-R60)+INDEX(Models!$BJ60:$BT60,,T60+1)*R60-ERP_i)*Q60*Ramure*Pc/MaxiM</f>
        <v>5.8050913467064377E-4</v>
      </c>
      <c r="Q60" s="305">
        <f t="shared" si="4"/>
        <v>0.7</v>
      </c>
      <c r="R60" s="177">
        <f t="shared" si="5"/>
        <v>0.50374087860923955</v>
      </c>
      <c r="S60" s="921">
        <f t="shared" si="6"/>
        <v>-1</v>
      </c>
      <c r="T60" s="176">
        <f t="shared" si="7"/>
        <v>5</v>
      </c>
      <c r="U60" s="251">
        <f t="shared" si="8"/>
        <v>-0.49625912139076045</v>
      </c>
      <c r="V60" s="383">
        <f t="shared" si="9"/>
        <v>37.583030200408359</v>
      </c>
      <c r="W60" s="402"/>
      <c r="X60" s="157">
        <f t="shared" si="10"/>
        <v>44242</v>
      </c>
      <c r="Y60" s="385">
        <f t="shared" si="11"/>
        <v>33.707000000000001</v>
      </c>
      <c r="Z60" s="385">
        <f t="shared" si="12"/>
        <v>34.452667806327668</v>
      </c>
      <c r="AA60" s="386">
        <f t="shared" si="13"/>
        <v>37.546488802976192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8.2399742167189954E-2</v>
      </c>
      <c r="AD60" s="231">
        <f>(INDEX(Models!$BJ60:$BT60,,AH60)*(1-AF60)+INDEX(Models!$BJ60:$BT60,,AH60+1)*AF60-ERP_i)*AE60*Ramure*Pc/MaxiM</f>
        <v>5.8050913467064377E-4</v>
      </c>
      <c r="AE60" s="305">
        <f t="shared" si="15"/>
        <v>0.7</v>
      </c>
      <c r="AF60" s="177">
        <f t="shared" si="22"/>
        <v>0.50374087860923955</v>
      </c>
      <c r="AG60" s="921">
        <f t="shared" si="23"/>
        <v>-1</v>
      </c>
      <c r="AH60" s="176">
        <f t="shared" si="16"/>
        <v>5</v>
      </c>
      <c r="AI60" s="225">
        <f t="shared" si="17"/>
        <v>-0.49625912139076045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20">
        <v>31.077999999999999</v>
      </c>
      <c r="C61" s="390"/>
      <c r="D61" s="393">
        <f t="shared" si="0"/>
        <v>31.766204708661764</v>
      </c>
      <c r="E61" s="385">
        <f t="shared" si="1"/>
        <v>34.620128297057384</v>
      </c>
      <c r="F61" s="385">
        <f t="shared" si="2"/>
        <v>34.635071084529386</v>
      </c>
      <c r="G61" s="110">
        <f t="shared" si="21"/>
        <v>0.82012344372690815</v>
      </c>
      <c r="H61" s="414" t="b">
        <f>Wh_hp&gt;='2020'!Maxi_hp</f>
        <v>0</v>
      </c>
      <c r="I61" s="380">
        <f>IF(H61,Wh_hp,'2020'!Maxi_hp)</f>
        <v>43.625435149292962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2.1664681537297725E-2</v>
      </c>
      <c r="M61" s="959"/>
      <c r="N61" s="959"/>
      <c r="O61" s="48">
        <f>IF(t&lt;Tnet,'2020'!Resal+('2020'!Salim-'2020'!Resal)*(1-EXP(('2020'!Tnet-t)/('2020'!Tau_j))),Resal+(Salim-Resal)*(1-EXP((Tnet-t)/(Tau_j))))*Salcycl</f>
        <v>8.2435384522771896E-2</v>
      </c>
      <c r="P61" s="169">
        <f>(INDEX(Models!$BJ61:$BT61,,T61)*(1-R61)+INDEX(Models!$BJ61:$BT61,,T61+1)*R61-ERP_i)*Q61*Ramure*Pc/MaxiM</f>
        <v>5.8050373598216877E-4</v>
      </c>
      <c r="Q61" s="305">
        <f t="shared" si="4"/>
        <v>0.7</v>
      </c>
      <c r="R61" s="177">
        <f t="shared" si="5"/>
        <v>0.50392375595502759</v>
      </c>
      <c r="S61" s="921">
        <f t="shared" si="6"/>
        <v>-1</v>
      </c>
      <c r="T61" s="176">
        <f t="shared" si="7"/>
        <v>5</v>
      </c>
      <c r="U61" s="251">
        <f t="shared" si="8"/>
        <v>-0.49607624404497236</v>
      </c>
      <c r="V61" s="383">
        <f t="shared" si="9"/>
        <v>37.888644063174262</v>
      </c>
      <c r="W61" s="402"/>
      <c r="X61" s="157">
        <f t="shared" si="10"/>
        <v>44243</v>
      </c>
      <c r="Y61" s="385">
        <f t="shared" si="11"/>
        <v>31.077999999999999</v>
      </c>
      <c r="Z61" s="385">
        <f t="shared" si="12"/>
        <v>31.766204708661764</v>
      </c>
      <c r="AA61" s="386">
        <f t="shared" si="13"/>
        <v>34.620128297057384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8.2435384522771896E-2</v>
      </c>
      <c r="AD61" s="231">
        <f>(INDEX(Models!$BJ61:$BT61,,AH61)*(1-AF61)+INDEX(Models!$BJ61:$BT61,,AH61+1)*AF61-ERP_i)*AE61*Ramure*Pc/MaxiM</f>
        <v>5.8050373598216877E-4</v>
      </c>
      <c r="AE61" s="305">
        <f t="shared" si="15"/>
        <v>0.7</v>
      </c>
      <c r="AF61" s="177">
        <f t="shared" si="22"/>
        <v>0.50392375595502759</v>
      </c>
      <c r="AG61" s="921">
        <f t="shared" si="23"/>
        <v>-1</v>
      </c>
      <c r="AH61" s="176">
        <f t="shared" si="16"/>
        <v>5</v>
      </c>
      <c r="AI61" s="225">
        <f t="shared" si="17"/>
        <v>-0.49607624404497236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20">
        <v>34.814</v>
      </c>
      <c r="C62" s="390"/>
      <c r="D62" s="393">
        <f t="shared" si="0"/>
        <v>35.58571573124339</v>
      </c>
      <c r="E62" s="385">
        <f t="shared" si="1"/>
        <v>38.784295308136137</v>
      </c>
      <c r="F62" s="385">
        <f t="shared" si="2"/>
        <v>38.803979738442898</v>
      </c>
      <c r="G62" s="110">
        <f t="shared" si="21"/>
        <v>0.91149460876265398</v>
      </c>
      <c r="H62" s="414" t="b">
        <f>Wh_hp&gt;='2020'!Maxi_hp</f>
        <v>0</v>
      </c>
      <c r="I62" s="380">
        <f>IF(H62,Wh_hp,'2020'!Maxi_hp)</f>
        <v>44.343925318135149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2.1686109591603442E-2</v>
      </c>
      <c r="M62" s="959"/>
      <c r="N62" s="959"/>
      <c r="O62" s="48">
        <f>IF(t&lt;Tnet,'2020'!Resal+('2020'!Salim-'2020'!Resal)*(1-EXP(('2020'!Tnet-t)/('2020'!Tau_j))),Resal+(Salim-Resal)*(1-EXP((Tnet-t)/(Tau_j))))*Salcycl</f>
        <v>8.2470998930893366E-2</v>
      </c>
      <c r="P62" s="169">
        <f>(INDEX(Models!$BJ62:$BT62,,T62)*(1-R62)+INDEX(Models!$BJ62:$BT62,,T62+1)*R62-ERP_i)*Q62*Ramure*Pc/MaxiM</f>
        <v>5.806366893799824E-4</v>
      </c>
      <c r="Q62" s="305">
        <f t="shared" si="4"/>
        <v>0.7</v>
      </c>
      <c r="R62" s="177">
        <f t="shared" si="5"/>
        <v>0.50411416210218396</v>
      </c>
      <c r="S62" s="921">
        <f t="shared" si="6"/>
        <v>-1</v>
      </c>
      <c r="T62" s="176">
        <f t="shared" si="7"/>
        <v>5</v>
      </c>
      <c r="U62" s="251">
        <f t="shared" si="8"/>
        <v>-0.49588583789781604</v>
      </c>
      <c r="V62" s="383">
        <f t="shared" si="9"/>
        <v>38.191608027335704</v>
      </c>
      <c r="W62" s="402"/>
      <c r="X62" s="157">
        <f t="shared" si="10"/>
        <v>44244</v>
      </c>
      <c r="Y62" s="385">
        <f t="shared" si="11"/>
        <v>34.814</v>
      </c>
      <c r="Z62" s="385">
        <f t="shared" si="12"/>
        <v>35.58571573124339</v>
      </c>
      <c r="AA62" s="386">
        <f t="shared" si="13"/>
        <v>38.784295308136137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8.2470998930893366E-2</v>
      </c>
      <c r="AD62" s="231">
        <f>(INDEX(Models!$BJ62:$BT62,,AH62)*(1-AF62)+INDEX(Models!$BJ62:$BT62,,AH62+1)*AF62-ERP_i)*AE62*Ramure*Pc/MaxiM</f>
        <v>5.806366893799824E-4</v>
      </c>
      <c r="AE62" s="305">
        <f t="shared" si="15"/>
        <v>0.7</v>
      </c>
      <c r="AF62" s="177">
        <f t="shared" si="22"/>
        <v>0.50411416210218396</v>
      </c>
      <c r="AG62" s="921">
        <f t="shared" si="23"/>
        <v>-1</v>
      </c>
      <c r="AH62" s="176">
        <f t="shared" si="16"/>
        <v>5</v>
      </c>
      <c r="AI62" s="225">
        <f t="shared" si="17"/>
        <v>-0.49588583789781604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20">
        <v>16.138999999999999</v>
      </c>
      <c r="C63" s="390"/>
      <c r="D63" s="393">
        <f t="shared" si="0"/>
        <v>16.497111664769164</v>
      </c>
      <c r="E63" s="385">
        <f t="shared" si="1"/>
        <v>17.980632090462088</v>
      </c>
      <c r="F63" s="385">
        <f t="shared" si="2"/>
        <v>17.982412243811861</v>
      </c>
      <c r="G63" s="110">
        <f t="shared" si="21"/>
        <v>0.4190859505792604</v>
      </c>
      <c r="H63" s="414" t="b">
        <f>Wh_hp&gt;='2020'!Maxi_hp</f>
        <v>0</v>
      </c>
      <c r="I63" s="380">
        <f>IF(H63,Wh_hp,'2020'!Maxi_hp)</f>
        <v>43.682090944826165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2.1707537176579805E-2</v>
      </c>
      <c r="M63" s="959"/>
      <c r="N63" s="959"/>
      <c r="O63" s="48">
        <f>IF(t&lt;Tnet,'2020'!Resal+('2020'!Salim-'2020'!Resal)*(1-EXP(('2020'!Tnet-t)/('2020'!Tau_j))),Resal+(Salim-Resal)*(1-EXP((Tnet-t)/(Tau_j))))*Salcycl</f>
        <v>8.2506578090759175E-2</v>
      </c>
      <c r="P63" s="169">
        <f>(INDEX(Models!$BJ63:$BT63,,T63)*(1-R63)+INDEX(Models!$BJ63:$BT63,,T63+1)*R63-ERP_i)*Q63*Ramure*Pc/MaxiM</f>
        <v>5.8091237530874279E-4</v>
      </c>
      <c r="Q63" s="305">
        <f t="shared" si="4"/>
        <v>0.7</v>
      </c>
      <c r="R63" s="177">
        <f t="shared" si="5"/>
        <v>0.50431240080493223</v>
      </c>
      <c r="S63" s="921">
        <f t="shared" si="6"/>
        <v>-1</v>
      </c>
      <c r="T63" s="176">
        <f t="shared" si="7"/>
        <v>5</v>
      </c>
      <c r="U63" s="251">
        <f t="shared" si="8"/>
        <v>-0.49568759919506777</v>
      </c>
      <c r="V63" s="383">
        <f t="shared" si="9"/>
        <v>38.491439594208138</v>
      </c>
      <c r="W63" s="402"/>
      <c r="X63" s="157">
        <f t="shared" si="10"/>
        <v>44245</v>
      </c>
      <c r="Y63" s="385">
        <f t="shared" si="11"/>
        <v>16.138999999999999</v>
      </c>
      <c r="Z63" s="385">
        <f t="shared" si="12"/>
        <v>16.497111664769164</v>
      </c>
      <c r="AA63" s="386">
        <f t="shared" si="13"/>
        <v>17.980632090462088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8.2506578090759175E-2</v>
      </c>
      <c r="AD63" s="231">
        <f>(INDEX(Models!$BJ63:$BT63,,AH63)*(1-AF63)+INDEX(Models!$BJ63:$BT63,,AH63+1)*AF63-ERP_i)*AE63*Ramure*Pc/MaxiM</f>
        <v>5.8091237530874279E-4</v>
      </c>
      <c r="AE63" s="305">
        <f t="shared" si="15"/>
        <v>0.7</v>
      </c>
      <c r="AF63" s="177">
        <f t="shared" si="22"/>
        <v>0.50431240080493223</v>
      </c>
      <c r="AG63" s="921">
        <f t="shared" si="23"/>
        <v>-1</v>
      </c>
      <c r="AH63" s="176">
        <f t="shared" si="16"/>
        <v>5</v>
      </c>
      <c r="AI63" s="225">
        <f t="shared" si="17"/>
        <v>-0.49568759919506777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20">
        <v>36.622999999999998</v>
      </c>
      <c r="C64" s="390"/>
      <c r="D64" s="393">
        <f t="shared" si="0"/>
        <v>37.4364554026726</v>
      </c>
      <c r="E64" s="385">
        <f t="shared" si="1"/>
        <v>40.804549215133257</v>
      </c>
      <c r="F64" s="385">
        <f t="shared" si="2"/>
        <v>40.826390842051637</v>
      </c>
      <c r="G64" s="110">
        <f t="shared" si="21"/>
        <v>0.94414834919658952</v>
      </c>
      <c r="H64" s="414" t="b">
        <f>Wh_hp&gt;='2020'!Maxi_hp</f>
        <v>1</v>
      </c>
      <c r="I64" s="380">
        <f>IF(H64,Wh_hp,'2020'!Maxi_hp)</f>
        <v>40.826390842051637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2.1728964292237141E-2</v>
      </c>
      <c r="M64" s="959"/>
      <c r="N64" s="959"/>
      <c r="O64" s="48">
        <f>IF(t&lt;Tnet,'2020'!Resal+('2020'!Salim-'2020'!Resal)*(1-EXP(('2020'!Tnet-t)/('2020'!Tau_j))),Resal+(Salim-Resal)*(1-EXP((Tnet-t)/(Tau_j))))*Salcycl</f>
        <v>8.2542115456369927E-2</v>
      </c>
      <c r="P64" s="169">
        <f>(INDEX(Models!$BJ64:$BT64,,T64)*(1-R64)+INDEX(Models!$BJ64:$BT64,,T64+1)*R64-ERP_i)*Q64*Ramure*Pc/MaxiM</f>
        <v>5.8133519765343549E-4</v>
      </c>
      <c r="Q64" s="305">
        <f t="shared" si="4"/>
        <v>0.7</v>
      </c>
      <c r="R64" s="177">
        <f t="shared" si="5"/>
        <v>0.50451878754774127</v>
      </c>
      <c r="S64" s="921">
        <f t="shared" si="6"/>
        <v>-1</v>
      </c>
      <c r="T64" s="176">
        <f t="shared" si="7"/>
        <v>5</v>
      </c>
      <c r="U64" s="251">
        <f t="shared" si="8"/>
        <v>-0.49548121245225879</v>
      </c>
      <c r="V64" s="383">
        <f t="shared" si="9"/>
        <v>38.787656354162017</v>
      </c>
      <c r="W64" s="402"/>
      <c r="X64" s="157">
        <f t="shared" si="10"/>
        <v>44246</v>
      </c>
      <c r="Y64" s="385">
        <f t="shared" si="11"/>
        <v>36.622999999999998</v>
      </c>
      <c r="Z64" s="385">
        <f t="shared" si="12"/>
        <v>37.4364554026726</v>
      </c>
      <c r="AA64" s="386">
        <f t="shared" si="13"/>
        <v>40.804549215133257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8.2542115456369927E-2</v>
      </c>
      <c r="AD64" s="231">
        <f>(INDEX(Models!$BJ64:$BT64,,AH64)*(1-AF64)+INDEX(Models!$BJ64:$BT64,,AH64+1)*AF64-ERP_i)*AE64*Ramure*Pc/MaxiM</f>
        <v>5.8133519765343549E-4</v>
      </c>
      <c r="AE64" s="305">
        <f t="shared" si="15"/>
        <v>0.7</v>
      </c>
      <c r="AF64" s="177">
        <f t="shared" si="22"/>
        <v>0.50451878754774127</v>
      </c>
      <c r="AG64" s="921">
        <f t="shared" si="23"/>
        <v>-1</v>
      </c>
      <c r="AH64" s="176">
        <f t="shared" si="16"/>
        <v>5</v>
      </c>
      <c r="AI64" s="225">
        <f t="shared" si="17"/>
        <v>-0.49548121245225879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20">
        <v>30.064</v>
      </c>
      <c r="C65" s="390"/>
      <c r="D65" s="393">
        <f t="shared" si="0"/>
        <v>30.732442641960294</v>
      </c>
      <c r="E65" s="385">
        <f t="shared" si="1"/>
        <v>33.498683726720756</v>
      </c>
      <c r="F65" s="385">
        <f t="shared" si="2"/>
        <v>33.511756696649002</v>
      </c>
      <c r="G65" s="110">
        <f t="shared" si="21"/>
        <v>0.76913090668002559</v>
      </c>
      <c r="H65" s="414" t="b">
        <f>Wh_hp&gt;='2020'!Maxi_hp</f>
        <v>0</v>
      </c>
      <c r="I65" s="380">
        <f>IF(H65,Wh_hp,'2020'!Maxi_hp)</f>
        <v>43.218540620250515</v>
      </c>
      <c r="J65" s="85">
        <f>IF(H65,An,'2020'!An_max)</f>
        <v>2019</v>
      </c>
      <c r="K65" s="197">
        <f t="shared" si="3"/>
        <v>44247</v>
      </c>
      <c r="L65" s="147">
        <f>IF(t&lt;Tvie,1-EXP((T0-t)*PertePVj)+'2020'!Pspv,1-EXP((T0-t)*PertePVj)+Pspv)</f>
        <v>2.1750390938585551E-2</v>
      </c>
      <c r="M65" s="959"/>
      <c r="N65" s="959"/>
      <c r="O65" s="48">
        <f>IF(t&lt;Tnet,'2020'!Resal+('2020'!Salim-'2020'!Resal)*(1-EXP(('2020'!Tnet-t)/('2020'!Tau_j))),Resal+(Salim-Resal)*(1-EXP((Tnet-t)/(Tau_j))))*Salcycl</f>
        <v>8.2577605356891237E-2</v>
      </c>
      <c r="P65" s="169">
        <f>(INDEX(Models!$BJ65:$BT65,,T65)*(1-R65)+INDEX(Models!$BJ65:$BT65,,T65+1)*R65-ERP_i)*Q65*Ramure*Pc/MaxiM</f>
        <v>5.8189475670120333E-4</v>
      </c>
      <c r="Q65" s="305">
        <f t="shared" si="4"/>
        <v>0.7</v>
      </c>
      <c r="R65" s="177">
        <f t="shared" si="5"/>
        <v>0.50473364995365144</v>
      </c>
      <c r="S65" s="921">
        <f t="shared" si="6"/>
        <v>-1</v>
      </c>
      <c r="T65" s="176">
        <f t="shared" si="7"/>
        <v>5</v>
      </c>
      <c r="U65" s="251">
        <f t="shared" si="8"/>
        <v>-0.4952663500463485</v>
      </c>
      <c r="V65" s="383">
        <f t="shared" si="9"/>
        <v>39.080774678691888</v>
      </c>
      <c r="W65" s="402"/>
      <c r="X65" s="157">
        <f t="shared" si="10"/>
        <v>44247</v>
      </c>
      <c r="Y65" s="385">
        <f t="shared" si="11"/>
        <v>30.064000000000004</v>
      </c>
      <c r="Z65" s="385">
        <f t="shared" si="12"/>
        <v>30.732442641960297</v>
      </c>
      <c r="AA65" s="386">
        <f t="shared" si="13"/>
        <v>33.498683726720756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8.2577605356891237E-2</v>
      </c>
      <c r="AD65" s="231">
        <f>(INDEX(Models!$BJ65:$BT65,,AH65)*(1-AF65)+INDEX(Models!$BJ65:$BT65,,AH65+1)*AF65-ERP_i)*AE65*Ramure*Pc/MaxiM</f>
        <v>5.8189475670120333E-4</v>
      </c>
      <c r="AE65" s="305">
        <f t="shared" si="15"/>
        <v>0.7</v>
      </c>
      <c r="AF65" s="177">
        <f t="shared" si="22"/>
        <v>0.50473364995365144</v>
      </c>
      <c r="AG65" s="921">
        <f t="shared" si="23"/>
        <v>-1</v>
      </c>
      <c r="AH65" s="176">
        <f t="shared" si="16"/>
        <v>5</v>
      </c>
      <c r="AI65" s="225">
        <f t="shared" si="17"/>
        <v>-0.4952663500463485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20">
        <v>12.375999999999999</v>
      </c>
      <c r="C66" s="390"/>
      <c r="D66" s="393">
        <f t="shared" si="0"/>
        <v>12.651444945604224</v>
      </c>
      <c r="E66" s="385">
        <f t="shared" si="1"/>
        <v>13.790739938700586</v>
      </c>
      <c r="F66" s="385">
        <f t="shared" si="2"/>
        <v>13.790904382522621</v>
      </c>
      <c r="G66" s="110">
        <f t="shared" si="21"/>
        <v>0.31415809758158558</v>
      </c>
      <c r="H66" s="414" t="b">
        <f>Wh_hp&gt;='2020'!Maxi_hp</f>
        <v>0</v>
      </c>
      <c r="I66" s="380">
        <f>IF(H66,Wh_hp,'2020'!Maxi_hp)</f>
        <v>42.441850727741603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2.1771817115635361E-2</v>
      </c>
      <c r="M66" s="959"/>
      <c r="N66" s="959"/>
      <c r="O66" s="48">
        <f>IF(t&lt;Tnet,'2020'!Resal+('2020'!Salim-'2020'!Resal)*(1-EXP(('2020'!Tnet-t)/('2020'!Tau_j))),Resal+(Salim-Resal)*(1-EXP((Tnet-t)/(Tau_j))))*Salcycl</f>
        <v>8.2613043111572901E-2</v>
      </c>
      <c r="P66" s="169">
        <f>(INDEX(Models!$BJ66:$BT66,,T66)*(1-R66)+INDEX(Models!$BJ66:$BT66,,T66+1)*R66-ERP_i)*Q66*Ramure*Pc/MaxiM</f>
        <v>5.8217551484877916E-4</v>
      </c>
      <c r="Q66" s="305">
        <f t="shared" si="4"/>
        <v>0.7</v>
      </c>
      <c r="R66" s="177">
        <f t="shared" si="5"/>
        <v>0.50495732820293804</v>
      </c>
      <c r="S66" s="921">
        <f t="shared" si="6"/>
        <v>-1</v>
      </c>
      <c r="T66" s="176">
        <f t="shared" si="7"/>
        <v>5</v>
      </c>
      <c r="U66" s="251">
        <f t="shared" si="8"/>
        <v>-0.49504267179706191</v>
      </c>
      <c r="V66" s="383">
        <f t="shared" si="9"/>
        <v>39.371713093765649</v>
      </c>
      <c r="W66" s="402"/>
      <c r="X66" s="157">
        <f t="shared" si="10"/>
        <v>44248</v>
      </c>
      <c r="Y66" s="385">
        <f t="shared" si="11"/>
        <v>12.375999999999999</v>
      </c>
      <c r="Z66" s="385">
        <f t="shared" si="12"/>
        <v>12.651444945604224</v>
      </c>
      <c r="AA66" s="386">
        <f t="shared" si="13"/>
        <v>13.790739938700586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8.2613043111572901E-2</v>
      </c>
      <c r="AD66" s="231">
        <f>(INDEX(Models!$BJ66:$BT66,,AH66)*(1-AF66)+INDEX(Models!$BJ66:$BT66,,AH66+1)*AF66-ERP_i)*AE66*Ramure*Pc/MaxiM</f>
        <v>5.8217551484877916E-4</v>
      </c>
      <c r="AE66" s="305">
        <f t="shared" si="15"/>
        <v>0.7</v>
      </c>
      <c r="AF66" s="177">
        <f t="shared" si="22"/>
        <v>0.50495732820293804</v>
      </c>
      <c r="AG66" s="921">
        <f t="shared" si="23"/>
        <v>-1</v>
      </c>
      <c r="AH66" s="176">
        <f t="shared" si="16"/>
        <v>5</v>
      </c>
      <c r="AI66" s="225">
        <f t="shared" si="17"/>
        <v>-0.49504267179706191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20">
        <v>4.1950000000000003</v>
      </c>
      <c r="C67" s="390"/>
      <c r="D67" s="393">
        <f t="shared" si="0"/>
        <v>4.2884594378677408</v>
      </c>
      <c r="E67" s="385">
        <f t="shared" si="1"/>
        <v>4.6748264846153011</v>
      </c>
      <c r="F67" s="385">
        <f t="shared" si="2"/>
        <v>4.6748264846153011</v>
      </c>
      <c r="G67" s="110">
        <f t="shared" si="21"/>
        <v>0.10571098370094063</v>
      </c>
      <c r="H67" s="414" t="b">
        <f>Wh_hp&gt;='2020'!Maxi_hp</f>
        <v>0</v>
      </c>
      <c r="I67" s="380">
        <f>IF(H67,Wh_hp,'2020'!Maxi_hp)</f>
        <v>42.464770609772728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2.1793242823397008E-2</v>
      </c>
      <c r="M67" s="959"/>
      <c r="N67" s="959"/>
      <c r="O67" s="48">
        <f>IF(t&lt;Tnet,'2020'!Resal+('2020'!Salim-'2020'!Resal)*(1-EXP(('2020'!Tnet-t)/('2020'!Tau_j))),Resal+(Salim-Resal)*(1-EXP((Tnet-t)/(Tau_j))))*Salcycl</f>
        <v>8.2648425138148324E-2</v>
      </c>
      <c r="P67" s="169">
        <f>(INDEX(Models!$BJ67:$BT67,,T67)*(1-R67)+INDEX(Models!$BJ67:$BT67,,T67+1)*R67-ERP_i)*Q67*Ramure*Pc/MaxiM</f>
        <v>5.8210699416959136E-4</v>
      </c>
      <c r="Q67" s="305">
        <f t="shared" si="4"/>
        <v>0.7</v>
      </c>
      <c r="R67" s="177">
        <f t="shared" si="5"/>
        <v>0.5051901754620074</v>
      </c>
      <c r="S67" s="921">
        <f t="shared" si="6"/>
        <v>-1</v>
      </c>
      <c r="T67" s="176">
        <f t="shared" si="7"/>
        <v>5</v>
      </c>
      <c r="U67" s="251">
        <f t="shared" si="8"/>
        <v>-0.4948098245379926</v>
      </c>
      <c r="V67" s="383">
        <f t="shared" si="9"/>
        <v>39.660571819294809</v>
      </c>
      <c r="W67" s="402"/>
      <c r="X67" s="157">
        <f t="shared" si="10"/>
        <v>44249</v>
      </c>
      <c r="Y67" s="385">
        <f t="shared" si="11"/>
        <v>4.1950000000000003</v>
      </c>
      <c r="Z67" s="385">
        <f t="shared" si="12"/>
        <v>4.2884594378677408</v>
      </c>
      <c r="AA67" s="386">
        <f t="shared" si="13"/>
        <v>4.6748264846153011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8.2648425138148324E-2</v>
      </c>
      <c r="AD67" s="231">
        <f>(INDEX(Models!$BJ67:$BT67,,AH67)*(1-AF67)+INDEX(Models!$BJ67:$BT67,,AH67+1)*AF67-ERP_i)*AE67*Ramure*Pc/MaxiM</f>
        <v>5.8210699416959136E-4</v>
      </c>
      <c r="AE67" s="305">
        <f t="shared" si="15"/>
        <v>0.7</v>
      </c>
      <c r="AF67" s="177">
        <f t="shared" si="22"/>
        <v>0.5051901754620074</v>
      </c>
      <c r="AG67" s="921">
        <f t="shared" si="23"/>
        <v>-1</v>
      </c>
      <c r="AH67" s="176">
        <f t="shared" si="16"/>
        <v>5</v>
      </c>
      <c r="AI67" s="225">
        <f t="shared" si="17"/>
        <v>-0.4948098245379926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20">
        <v>28.478000000000002</v>
      </c>
      <c r="C68" s="390"/>
      <c r="D68" s="393">
        <f t="shared" si="0"/>
        <v>29.113092448008146</v>
      </c>
      <c r="E68" s="385">
        <f t="shared" si="1"/>
        <v>31.737247015929615</v>
      </c>
      <c r="F68" s="385">
        <f t="shared" si="2"/>
        <v>31.748139930131256</v>
      </c>
      <c r="G68" s="110">
        <f t="shared" si="21"/>
        <v>0.71271644312353422</v>
      </c>
      <c r="H68" s="414" t="b">
        <f>Wh_hp&gt;='2020'!Maxi_hp</f>
        <v>0</v>
      </c>
      <c r="I68" s="380">
        <f>IF(H68,Wh_hp,'2020'!Maxi_hp)</f>
        <v>43.491209699160983</v>
      </c>
      <c r="J68" s="85">
        <f>IF(H68,An,'2020'!An_max)</f>
        <v>2019</v>
      </c>
      <c r="K68" s="197">
        <f t="shared" si="3"/>
        <v>44250</v>
      </c>
      <c r="L68" s="147">
        <f>IF(t&lt;Tvie,1-EXP((T0-t)*PertePVj)+'2020'!Pspv,1-EXP((T0-t)*PertePVj)+Pspv)</f>
        <v>2.1814668061880704E-2</v>
      </c>
      <c r="M68" s="959"/>
      <c r="N68" s="959"/>
      <c r="O68" s="48">
        <f>IF(t&lt;Tnet,'2020'!Resal+('2020'!Salim-'2020'!Resal)*(1-EXP(('2020'!Tnet-t)/('2020'!Tau_j))),Resal+(Salim-Resal)*(1-EXP((Tnet-t)/(Tau_j))))*Salcycl</f>
        <v>8.2683749053733255E-2</v>
      </c>
      <c r="P68" s="169">
        <f>(INDEX(Models!$BJ68:$BT68,,T68)*(1-R68)+INDEX(Models!$BJ68:$BT68,,T68+1)*R68-ERP_i)*Q68*Ramure*Pc/MaxiM</f>
        <v>5.8169196089892419E-4</v>
      </c>
      <c r="Q68" s="305">
        <f t="shared" si="4"/>
        <v>0.7</v>
      </c>
      <c r="R68" s="177">
        <f t="shared" si="5"/>
        <v>0.50543255832238532</v>
      </c>
      <c r="S68" s="921">
        <f t="shared" si="6"/>
        <v>-1</v>
      </c>
      <c r="T68" s="176">
        <f t="shared" si="7"/>
        <v>5</v>
      </c>
      <c r="U68" s="251">
        <f t="shared" si="8"/>
        <v>-0.49456744167761474</v>
      </c>
      <c r="V68" s="383">
        <f t="shared" si="9"/>
        <v>39.947448154286022</v>
      </c>
      <c r="W68" s="402"/>
      <c r="X68" s="157">
        <f t="shared" si="10"/>
        <v>44250</v>
      </c>
      <c r="Y68" s="385">
        <f t="shared" si="11"/>
        <v>28.478000000000002</v>
      </c>
      <c r="Z68" s="385">
        <f t="shared" si="12"/>
        <v>29.113092448008146</v>
      </c>
      <c r="AA68" s="386">
        <f t="shared" si="13"/>
        <v>31.737247015929615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8.2683749053733255E-2</v>
      </c>
      <c r="AD68" s="231">
        <f>(INDEX(Models!$BJ68:$BT68,,AH68)*(1-AF68)+INDEX(Models!$BJ68:$BT68,,AH68+1)*AF68-ERP_i)*AE68*Ramure*Pc/MaxiM</f>
        <v>5.8169196089892419E-4</v>
      </c>
      <c r="AE68" s="305">
        <f t="shared" si="15"/>
        <v>0.7</v>
      </c>
      <c r="AF68" s="177">
        <f t="shared" si="22"/>
        <v>0.50543255832238532</v>
      </c>
      <c r="AG68" s="921">
        <f t="shared" si="23"/>
        <v>-1</v>
      </c>
      <c r="AH68" s="176">
        <f t="shared" si="16"/>
        <v>5</v>
      </c>
      <c r="AI68" s="225">
        <f t="shared" si="17"/>
        <v>-0.49456744167761474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20">
        <v>37.249000000000002</v>
      </c>
      <c r="C69" s="390"/>
      <c r="D69" s="393">
        <f t="shared" si="0"/>
        <v>38.080529987872545</v>
      </c>
      <c r="E69" s="385">
        <f t="shared" si="1"/>
        <v>41.514574660783289</v>
      </c>
      <c r="F69" s="385">
        <f t="shared" si="2"/>
        <v>41.53614828661113</v>
      </c>
      <c r="G69" s="110">
        <f t="shared" si="21"/>
        <v>0.92578792566915502</v>
      </c>
      <c r="H69" s="414" t="b">
        <f>Wh_hp&gt;='2020'!Maxi_hp</f>
        <v>0</v>
      </c>
      <c r="I69" s="380">
        <f>IF(H69,Wh_hp,'2020'!Maxi_hp)</f>
        <v>44.144707241290959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2.1836092831096554E-2</v>
      </c>
      <c r="M69" s="959"/>
      <c r="N69" s="959"/>
      <c r="O69" s="48">
        <f>IF(t&lt;Tnet,'2020'!Resal+('2020'!Salim-'2020'!Resal)*(1-EXP(('2020'!Tnet-t)/('2020'!Tau_j))),Resal+(Salim-Resal)*(1-EXP((Tnet-t)/(Tau_j))))*Salcycl</f>
        <v>8.2719013767343474E-2</v>
      </c>
      <c r="P69" s="169">
        <f>(INDEX(Models!$BJ69:$BT69,,T69)*(1-R69)+INDEX(Models!$BJ69:$BT69,,T69+1)*R69-ERP_i)*Q69*Ramure*Pc/MaxiM</f>
        <v>5.8093590629984776E-4</v>
      </c>
      <c r="Q69" s="305">
        <f t="shared" si="4"/>
        <v>0.7</v>
      </c>
      <c r="R69" s="177">
        <f t="shared" si="5"/>
        <v>0.50568485724960355</v>
      </c>
      <c r="S69" s="921">
        <f t="shared" si="6"/>
        <v>-1</v>
      </c>
      <c r="T69" s="176">
        <f t="shared" si="7"/>
        <v>5</v>
      </c>
      <c r="U69" s="251">
        <f t="shared" si="8"/>
        <v>-0.49431514275039645</v>
      </c>
      <c r="V69" s="383">
        <f t="shared" si="9"/>
        <v>40.232439202541421</v>
      </c>
      <c r="W69" s="402"/>
      <c r="X69" s="157">
        <f t="shared" si="10"/>
        <v>44251</v>
      </c>
      <c r="Y69" s="385">
        <f t="shared" si="11"/>
        <v>37.249000000000002</v>
      </c>
      <c r="Z69" s="385">
        <f t="shared" si="12"/>
        <v>38.080529987872545</v>
      </c>
      <c r="AA69" s="386">
        <f t="shared" si="13"/>
        <v>41.514574660783289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8.2719013767343474E-2</v>
      </c>
      <c r="AD69" s="231">
        <f>(INDEX(Models!$BJ69:$BT69,,AH69)*(1-AF69)+INDEX(Models!$BJ69:$BT69,,AH69+1)*AF69-ERP_i)*AE69*Ramure*Pc/MaxiM</f>
        <v>5.8093590629984776E-4</v>
      </c>
      <c r="AE69" s="305">
        <f t="shared" si="15"/>
        <v>0.7</v>
      </c>
      <c r="AF69" s="177">
        <f t="shared" si="22"/>
        <v>0.50568485724960355</v>
      </c>
      <c r="AG69" s="921">
        <f t="shared" si="23"/>
        <v>-1</v>
      </c>
      <c r="AH69" s="176">
        <f t="shared" si="16"/>
        <v>5</v>
      </c>
      <c r="AI69" s="225">
        <f t="shared" si="17"/>
        <v>-0.49431514275039645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20">
        <v>33.015000000000001</v>
      </c>
      <c r="C70" s="390"/>
      <c r="D70" s="393">
        <f t="shared" si="0"/>
        <v>33.752751340648466</v>
      </c>
      <c r="E70" s="385">
        <f t="shared" si="1"/>
        <v>36.797935799254539</v>
      </c>
      <c r="F70" s="385">
        <f t="shared" si="2"/>
        <v>36.813636533781057</v>
      </c>
      <c r="G70" s="110">
        <f t="shared" si="21"/>
        <v>0.81474544932599402</v>
      </c>
      <c r="H70" s="414" t="b">
        <f>Wh_hp&gt;='2020'!Maxi_hp</f>
        <v>0</v>
      </c>
      <c r="I70" s="380">
        <f>IF(H70,Wh_hp,'2020'!Maxi_hp)</f>
        <v>44.223095559004854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2.1857517131055104E-2</v>
      </c>
      <c r="M70" s="959"/>
      <c r="N70" s="959"/>
      <c r="O70" s="48">
        <f>IF(t&lt;Tnet,'2020'!Resal+('2020'!Salim-'2020'!Resal)*(1-EXP(('2020'!Tnet-t)/('2020'!Tau_j))),Resal+(Salim-Resal)*(1-EXP((Tnet-t)/(Tau_j))))*Salcycl</f>
        <v>8.2754219563255141E-2</v>
      </c>
      <c r="P70" s="169">
        <f>(INDEX(Models!$BJ70:$BT70,,T70)*(1-R70)+INDEX(Models!$BJ70:$BT70,,T70+1)*R70-ERP_i)*Q70*Ramure*Pc/MaxiM</f>
        <v>5.7984419147347113E-4</v>
      </c>
      <c r="Q70" s="305">
        <f t="shared" si="4"/>
        <v>0.7</v>
      </c>
      <c r="R70" s="177">
        <f t="shared" si="5"/>
        <v>0.50594746704173965</v>
      </c>
      <c r="S70" s="921">
        <f t="shared" si="6"/>
        <v>-1</v>
      </c>
      <c r="T70" s="176">
        <f t="shared" si="7"/>
        <v>5</v>
      </c>
      <c r="U70" s="251">
        <f t="shared" si="8"/>
        <v>-0.4940525329582604</v>
      </c>
      <c r="V70" s="383">
        <f t="shared" si="9"/>
        <v>40.515641978975339</v>
      </c>
      <c r="W70" s="402"/>
      <c r="X70" s="157">
        <f t="shared" si="10"/>
        <v>44252</v>
      </c>
      <c r="Y70" s="385">
        <f t="shared" si="11"/>
        <v>33.015000000000001</v>
      </c>
      <c r="Z70" s="385">
        <f t="shared" si="12"/>
        <v>33.752751340648466</v>
      </c>
      <c r="AA70" s="386">
        <f t="shared" si="13"/>
        <v>36.797935799254539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8.2754219563255141E-2</v>
      </c>
      <c r="AD70" s="231">
        <f>(INDEX(Models!$BJ70:$BT70,,AH70)*(1-AF70)+INDEX(Models!$BJ70:$BT70,,AH70+1)*AF70-ERP_i)*AE70*Ramure*Pc/MaxiM</f>
        <v>5.7984419147347113E-4</v>
      </c>
      <c r="AE70" s="305">
        <f t="shared" si="15"/>
        <v>0.7</v>
      </c>
      <c r="AF70" s="177">
        <f t="shared" si="22"/>
        <v>0.50594746704173965</v>
      </c>
      <c r="AG70" s="921">
        <f t="shared" si="23"/>
        <v>-1</v>
      </c>
      <c r="AH70" s="176">
        <f t="shared" si="16"/>
        <v>5</v>
      </c>
      <c r="AI70" s="225">
        <f t="shared" si="17"/>
        <v>-0.4940525329582604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20">
        <v>7.7370000000000001</v>
      </c>
      <c r="C71" s="390"/>
      <c r="D71" s="393">
        <f t="shared" si="0"/>
        <v>7.9100638193064094</v>
      </c>
      <c r="E71" s="385">
        <f t="shared" si="1"/>
        <v>8.6240428804925582</v>
      </c>
      <c r="F71" s="385">
        <f t="shared" si="2"/>
        <v>8.6240428804925582</v>
      </c>
      <c r="G71" s="110">
        <f t="shared" si="21"/>
        <v>0.18953588922075537</v>
      </c>
      <c r="H71" s="414" t="b">
        <f>Wh_hp&gt;='2020'!Maxi_hp</f>
        <v>0</v>
      </c>
      <c r="I71" s="380">
        <f>IF(H71,Wh_hp,'2020'!Maxi_hp)</f>
        <v>41.92251127675177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2.1878940961766347E-2</v>
      </c>
      <c r="M71" s="959"/>
      <c r="N71" s="959"/>
      <c r="O71" s="48">
        <f>IF(t&lt;Tnet,'2020'!Resal+('2020'!Salim-'2020'!Resal)*(1-EXP(('2020'!Tnet-t)/('2020'!Tau_j))),Resal+(Salim-Resal)*(1-EXP((Tnet-t)/(Tau_j))))*Salcycl</f>
        <v>8.2789368174543396E-2</v>
      </c>
      <c r="P71" s="169">
        <f>(INDEX(Models!$BJ71:$BT71,,T71)*(1-R71)+INDEX(Models!$BJ71:$BT71,,T71+1)*R71-ERP_i)*Q71*Ramure*Pc/MaxiM</f>
        <v>5.7842207269657444E-4</v>
      </c>
      <c r="Q71" s="305">
        <f t="shared" si="4"/>
        <v>0.7</v>
      </c>
      <c r="R71" s="177">
        <f t="shared" si="5"/>
        <v>0.50622079729730496</v>
      </c>
      <c r="S71" s="921">
        <f t="shared" si="6"/>
        <v>-1</v>
      </c>
      <c r="T71" s="176">
        <f t="shared" si="7"/>
        <v>5</v>
      </c>
      <c r="U71" s="251">
        <f t="shared" si="8"/>
        <v>-0.4937792027026951</v>
      </c>
      <c r="V71" s="383">
        <f t="shared" si="9"/>
        <v>40.797153405692775</v>
      </c>
      <c r="W71" s="402"/>
      <c r="X71" s="157">
        <f t="shared" si="10"/>
        <v>44253</v>
      </c>
      <c r="Y71" s="385">
        <f t="shared" si="11"/>
        <v>7.737000000000001</v>
      </c>
      <c r="Z71" s="385">
        <f t="shared" si="12"/>
        <v>7.9100638193064103</v>
      </c>
      <c r="AA71" s="386">
        <f t="shared" si="13"/>
        <v>8.6240428804925582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8.2789368174543396E-2</v>
      </c>
      <c r="AD71" s="231">
        <f>(INDEX(Models!$BJ71:$BT71,,AH71)*(1-AF71)+INDEX(Models!$BJ71:$BT71,,AH71+1)*AF71-ERP_i)*AE71*Ramure*Pc/MaxiM</f>
        <v>5.7842207269657444E-4</v>
      </c>
      <c r="AE71" s="305">
        <f t="shared" si="15"/>
        <v>0.7</v>
      </c>
      <c r="AF71" s="177">
        <f t="shared" si="22"/>
        <v>0.50622079729730496</v>
      </c>
      <c r="AG71" s="921">
        <f t="shared" si="23"/>
        <v>-1</v>
      </c>
      <c r="AH71" s="176">
        <f t="shared" si="16"/>
        <v>5</v>
      </c>
      <c r="AI71" s="225">
        <f t="shared" si="17"/>
        <v>-0.4937792027026951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20">
        <v>39.233000000000004</v>
      </c>
      <c r="C72" s="390"/>
      <c r="D72" s="393">
        <f t="shared" si="0"/>
        <v>40.111455488738841</v>
      </c>
      <c r="E72" s="385">
        <f t="shared" si="1"/>
        <v>43.733673505091296</v>
      </c>
      <c r="F72" s="385">
        <f t="shared" si="2"/>
        <v>43.75724818874717</v>
      </c>
      <c r="G72" s="110">
        <f t="shared" si="21"/>
        <v>0.95507083208477317</v>
      </c>
      <c r="H72" s="414" t="b">
        <f>Wh_hp&gt;='2020'!Maxi_hp</f>
        <v>0</v>
      </c>
      <c r="I72" s="380">
        <f>IF(H72,Wh_hp,'2020'!Maxi_hp)</f>
        <v>44.962572405256154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2.1900364323240828E-2</v>
      </c>
      <c r="M72" s="959"/>
      <c r="N72" s="959"/>
      <c r="O72" s="48">
        <f>IF(t&lt;Tnet,'2020'!Resal+('2020'!Salim-'2020'!Resal)*(1-EXP(('2020'!Tnet-t)/('2020'!Tau_j))),Resal+(Salim-Resal)*(1-EXP((Tnet-t)/(Tau_j))))*Salcycl</f>
        <v>8.282446284624978E-2</v>
      </c>
      <c r="P72" s="169">
        <f>(INDEX(Models!$BJ72:$BT72,,T72)*(1-R72)+INDEX(Models!$BJ72:$BT72,,T72+1)*R72-ERP_i)*Q72*Ramure*Pc/MaxiM</f>
        <v>5.7568148057426081E-4</v>
      </c>
      <c r="Q72" s="305">
        <f t="shared" si="4"/>
        <v>0.7</v>
      </c>
      <c r="R72" s="177">
        <f t="shared" si="5"/>
        <v>0.506505272892115</v>
      </c>
      <c r="S72" s="921">
        <f t="shared" si="6"/>
        <v>-1</v>
      </c>
      <c r="T72" s="176">
        <f t="shared" si="7"/>
        <v>5</v>
      </c>
      <c r="U72" s="251">
        <f t="shared" si="8"/>
        <v>-0.493494727107885</v>
      </c>
      <c r="V72" s="383">
        <f t="shared" si="9"/>
        <v>41.077111127721388</v>
      </c>
      <c r="W72" s="402"/>
      <c r="X72" s="157">
        <f t="shared" si="10"/>
        <v>44254</v>
      </c>
      <c r="Y72" s="385">
        <f t="shared" si="11"/>
        <v>39.233000000000004</v>
      </c>
      <c r="Z72" s="385">
        <f t="shared" si="12"/>
        <v>40.111455488738841</v>
      </c>
      <c r="AA72" s="386">
        <f t="shared" si="13"/>
        <v>43.733673505091296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8.282446284624978E-2</v>
      </c>
      <c r="AD72" s="231">
        <f>(INDEX(Models!$BJ72:$BT72,,AH72)*(1-AF72)+INDEX(Models!$BJ72:$BT72,,AH72+1)*AF72-ERP_i)*AE72*Ramure*Pc/MaxiM</f>
        <v>5.7568148057426081E-4</v>
      </c>
      <c r="AE72" s="305">
        <f t="shared" si="15"/>
        <v>0.7</v>
      </c>
      <c r="AF72" s="177">
        <f t="shared" si="22"/>
        <v>0.506505272892115</v>
      </c>
      <c r="AG72" s="921">
        <f t="shared" si="23"/>
        <v>-1</v>
      </c>
      <c r="AH72" s="176">
        <f t="shared" si="16"/>
        <v>5</v>
      </c>
      <c r="AI72" s="225">
        <f t="shared" si="17"/>
        <v>-0.493494727107885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20">
        <v>33.249000000000002</v>
      </c>
      <c r="C73" s="390"/>
      <c r="D73" s="393">
        <f t="shared" si="0"/>
        <v>33.99421392420421</v>
      </c>
      <c r="E73" s="385">
        <f t="shared" si="1"/>
        <v>37.065437885579961</v>
      </c>
      <c r="F73" s="385">
        <f t="shared" si="2"/>
        <v>37.080698817786207</v>
      </c>
      <c r="G73" s="110">
        <f t="shared" si="21"/>
        <v>0.8038491889768461</v>
      </c>
      <c r="H73" s="414" t="b">
        <f>Wh_hp&gt;='2020'!Maxi_hp</f>
        <v>1</v>
      </c>
      <c r="I73" s="380">
        <f>IF(H73,Wh_hp,'2020'!Maxi_hp)</f>
        <v>37.080698817786207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2.1921787215488764E-2</v>
      </c>
      <c r="M73" s="959"/>
      <c r="N73" s="959"/>
      <c r="O73" s="48">
        <f>IF(t&lt;Tnet,'2020'!Resal+('2020'!Salim-'2020'!Resal)*(1-EXP(('2020'!Tnet-t)/('2020'!Tau_j))),Resal+(Salim-Resal)*(1-EXP((Tnet-t)/(Tau_j))))*Salcycl</f>
        <v>8.2859508387747555E-2</v>
      </c>
      <c r="P73" s="169">
        <f>(INDEX(Models!$BJ73:$BT73,,T73)*(1-R73)+INDEX(Models!$BJ73:$BT73,,T73+1)*R73-ERP_i)*Q73*Ramure*Pc/MaxiM</f>
        <v>5.7163612447766205E-4</v>
      </c>
      <c r="Q73" s="305">
        <f t="shared" si="4"/>
        <v>0.7</v>
      </c>
      <c r="R73" s="177">
        <f t="shared" si="5"/>
        <v>0.50680133446470266</v>
      </c>
      <c r="S73" s="921">
        <f t="shared" si="6"/>
        <v>-1</v>
      </c>
      <c r="T73" s="176">
        <f t="shared" si="7"/>
        <v>5</v>
      </c>
      <c r="U73" s="251">
        <f t="shared" si="8"/>
        <v>-0.49319866553529729</v>
      </c>
      <c r="V73" s="383">
        <f t="shared" si="9"/>
        <v>41.355612337800352</v>
      </c>
      <c r="W73" s="402"/>
      <c r="X73" s="157">
        <f t="shared" si="10"/>
        <v>44255</v>
      </c>
      <c r="Y73" s="385">
        <f t="shared" si="11"/>
        <v>33.249000000000002</v>
      </c>
      <c r="Z73" s="385">
        <f t="shared" si="12"/>
        <v>33.99421392420421</v>
      </c>
      <c r="AA73" s="386">
        <f t="shared" si="13"/>
        <v>37.065437885579961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8.2859508387747555E-2</v>
      </c>
      <c r="AD73" s="231">
        <f>(INDEX(Models!$BJ73:$BT73,,AH73)*(1-AF73)+INDEX(Models!$BJ73:$BT73,,AH73+1)*AF73-ERP_i)*AE73*Ramure*Pc/MaxiM</f>
        <v>5.7163612447766205E-4</v>
      </c>
      <c r="AE73" s="305">
        <f t="shared" si="15"/>
        <v>0.7</v>
      </c>
      <c r="AF73" s="177">
        <f t="shared" si="22"/>
        <v>0.50680133446470266</v>
      </c>
      <c r="AG73" s="921">
        <f t="shared" si="23"/>
        <v>-1</v>
      </c>
      <c r="AH73" s="176">
        <f t="shared" si="16"/>
        <v>5</v>
      </c>
      <c r="AI73" s="225">
        <f t="shared" si="17"/>
        <v>-0.49319866553529729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20">
        <v>36.247999999999998</v>
      </c>
      <c r="C74" s="390"/>
      <c r="D74" s="393">
        <f t="shared" si="0"/>
        <v>37.061242616191137</v>
      </c>
      <c r="E74" s="385">
        <f t="shared" si="1"/>
        <v>40.411101088545337</v>
      </c>
      <c r="F74" s="385">
        <f t="shared" si="2"/>
        <v>40.429766402891495</v>
      </c>
      <c r="G74" s="110">
        <f t="shared" si="21"/>
        <v>0.87056949527678495</v>
      </c>
      <c r="H74" s="414" t="b">
        <f>Wh_hp&gt;='2020'!Maxi_hp</f>
        <v>1</v>
      </c>
      <c r="I74" s="380">
        <f>IF(H74,Wh_hp,'2020'!Maxi_hp)</f>
        <v>40.429766402891495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2.1943209638520256E-2</v>
      </c>
      <c r="M74" s="959"/>
      <c r="N74" s="959"/>
      <c r="O74" s="48">
        <f>IF(t&lt;Tnet,'2020'!Resal+('2020'!Salim-'2020'!Resal)*(1-EXP(('2020'!Tnet-t)/('2020'!Tau_j))),Resal+(Salim-Resal)*(1-EXP((Tnet-t)/(Tau_j))))*Salcycl</f>
        <v>8.2894511213992342E-2</v>
      </c>
      <c r="P74" s="169">
        <f>(INDEX(Models!$BJ74:$BT74,,T74)*(1-R74)+INDEX(Models!$BJ74:$BT74,,T74+1)*R74-ERP_i)*Q74*Ramure*Pc/MaxiM</f>
        <v>5.6630995552537971E-4</v>
      </c>
      <c r="Q74" s="305">
        <f t="shared" si="4"/>
        <v>0.7</v>
      </c>
      <c r="R74" s="177">
        <f t="shared" si="5"/>
        <v>0.50710943890976146</v>
      </c>
      <c r="S74" s="921">
        <f t="shared" si="6"/>
        <v>-1</v>
      </c>
      <c r="T74" s="176">
        <f t="shared" si="7"/>
        <v>5</v>
      </c>
      <c r="U74" s="251">
        <f t="shared" si="8"/>
        <v>-0.49289056109023854</v>
      </c>
      <c r="V74" s="383">
        <f t="shared" si="9"/>
        <v>41.632753673282032</v>
      </c>
      <c r="W74" s="402"/>
      <c r="X74" s="157">
        <f t="shared" si="10"/>
        <v>44256</v>
      </c>
      <c r="Y74" s="385">
        <f t="shared" si="11"/>
        <v>36.247999999999998</v>
      </c>
      <c r="Z74" s="385">
        <f t="shared" si="12"/>
        <v>37.061242616191137</v>
      </c>
      <c r="AA74" s="386">
        <f t="shared" si="13"/>
        <v>40.411101088545337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8.2894511213992342E-2</v>
      </c>
      <c r="AD74" s="231">
        <f>(INDEX(Models!$BJ74:$BT74,,AH74)*(1-AF74)+INDEX(Models!$BJ74:$BT74,,AH74+1)*AF74-ERP_i)*AE74*Ramure*Pc/MaxiM</f>
        <v>5.6630995552537971E-4</v>
      </c>
      <c r="AE74" s="305">
        <f t="shared" si="15"/>
        <v>0.7</v>
      </c>
      <c r="AF74" s="177">
        <f t="shared" si="22"/>
        <v>0.50710943890976146</v>
      </c>
      <c r="AG74" s="921">
        <f t="shared" si="23"/>
        <v>-1</v>
      </c>
      <c r="AH74" s="176">
        <f t="shared" si="16"/>
        <v>5</v>
      </c>
      <c r="AI74" s="225">
        <f t="shared" si="17"/>
        <v>-0.49289056109023854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20">
        <v>16.094999999999999</v>
      </c>
      <c r="C75" s="390"/>
      <c r="D75" s="393">
        <f t="shared" si="0"/>
        <v>16.456460083038074</v>
      </c>
      <c r="E75" s="385">
        <f t="shared" si="1"/>
        <v>17.944596094781321</v>
      </c>
      <c r="F75" s="385">
        <f t="shared" si="2"/>
        <v>17.945802177089654</v>
      </c>
      <c r="G75" s="110">
        <f t="shared" si="21"/>
        <v>0.38386059703020647</v>
      </c>
      <c r="H75" s="414" t="b">
        <f>Wh_hp&gt;='2020'!Maxi_hp</f>
        <v>0</v>
      </c>
      <c r="I75" s="380">
        <f>IF(H75,Wh_hp,'2020'!Maxi_hp)</f>
        <v>32.956677810715547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2.196463159234574E-2</v>
      </c>
      <c r="M75" s="959"/>
      <c r="N75" s="959"/>
      <c r="O75" s="48">
        <f>IF(t&lt;Tnet,'2020'!Resal+('2020'!Salim-'2020'!Resal)*(1-EXP(('2020'!Tnet-t)/('2020'!Tau_j))),Resal+(Salim-Resal)*(1-EXP((Tnet-t)/(Tau_j))))*Salcycl</f>
        <v>8.292947937546663E-2</v>
      </c>
      <c r="P75" s="169">
        <f>(INDEX(Models!$BJ75:$BT75,,T75)*(1-R75)+INDEX(Models!$BJ75:$BT75,,T75+1)*R75-ERP_i)*Q75*Ramure*Pc/MaxiM</f>
        <v>5.5972618537677922E-4</v>
      </c>
      <c r="Q75" s="305">
        <f t="shared" si="4"/>
        <v>0.7</v>
      </c>
      <c r="R75" s="177">
        <f t="shared" si="5"/>
        <v>0.50743005987902301</v>
      </c>
      <c r="S75" s="921">
        <f t="shared" si="6"/>
        <v>-1</v>
      </c>
      <c r="T75" s="176">
        <f t="shared" si="7"/>
        <v>5</v>
      </c>
      <c r="U75" s="251">
        <f t="shared" si="8"/>
        <v>-0.49256994012097699</v>
      </c>
      <c r="V75" s="383">
        <f t="shared" si="9"/>
        <v>41.908631660260866</v>
      </c>
      <c r="W75" s="402"/>
      <c r="X75" s="157">
        <f t="shared" si="10"/>
        <v>44257</v>
      </c>
      <c r="Y75" s="385">
        <f t="shared" si="11"/>
        <v>16.094999999999999</v>
      </c>
      <c r="Z75" s="385">
        <f t="shared" si="12"/>
        <v>16.456460083038074</v>
      </c>
      <c r="AA75" s="386">
        <f t="shared" si="13"/>
        <v>17.944596094781321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8.292947937546663E-2</v>
      </c>
      <c r="AD75" s="231">
        <f>(INDEX(Models!$BJ75:$BT75,,AH75)*(1-AF75)+INDEX(Models!$BJ75:$BT75,,AH75+1)*AF75-ERP_i)*AE75*Ramure*Pc/MaxiM</f>
        <v>5.5972618537677922E-4</v>
      </c>
      <c r="AE75" s="305">
        <f t="shared" si="15"/>
        <v>0.7</v>
      </c>
      <c r="AF75" s="177">
        <f t="shared" si="22"/>
        <v>0.50743005987902301</v>
      </c>
      <c r="AG75" s="921">
        <f t="shared" si="23"/>
        <v>-1</v>
      </c>
      <c r="AH75" s="176">
        <f t="shared" si="16"/>
        <v>5</v>
      </c>
      <c r="AI75" s="225">
        <f t="shared" si="17"/>
        <v>-0.49256994012097699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20">
        <v>14.115</v>
      </c>
      <c r="C76" s="390"/>
      <c r="D76" s="393">
        <f t="shared" si="0"/>
        <v>14.432309523200423</v>
      </c>
      <c r="E76" s="385">
        <f t="shared" si="1"/>
        <v>15.738003931922915</v>
      </c>
      <c r="F76" s="385">
        <f t="shared" si="2"/>
        <v>15.738433409655295</v>
      </c>
      <c r="G76" s="110">
        <f t="shared" si="21"/>
        <v>0.33443520345957134</v>
      </c>
      <c r="H76" s="414" t="b">
        <f>Wh_hp&gt;='2020'!Maxi_hp</f>
        <v>0</v>
      </c>
      <c r="I76" s="380">
        <f>IF(H76,Wh_hp,'2020'!Maxi_hp)</f>
        <v>39.881954773703235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2.1986053076975542E-2</v>
      </c>
      <c r="M76" s="959"/>
      <c r="N76" s="959"/>
      <c r="O76" s="48">
        <f>IF(t&lt;Tnet,'2020'!Resal+('2020'!Salim-'2020'!Resal)*(1-EXP(('2020'!Tnet-t)/('2020'!Tau_j))),Resal+(Salim-Resal)*(1-EXP((Tnet-t)/(Tau_j))))*Salcycl</f>
        <v>8.2964422576742802E-2</v>
      </c>
      <c r="P76" s="169">
        <f>(INDEX(Models!$BJ76:$BT76,,T76)*(1-R76)+INDEX(Models!$BJ76:$BT76,,T76+1)*R76-ERP_i)*Q76*Ramure*Pc/MaxiM</f>
        <v>5.5190733128593437E-4</v>
      </c>
      <c r="Q76" s="305">
        <f t="shared" si="4"/>
        <v>0.7</v>
      </c>
      <c r="R76" s="177">
        <f t="shared" si="5"/>
        <v>0.50776368828888097</v>
      </c>
      <c r="S76" s="921">
        <f t="shared" si="6"/>
        <v>-1</v>
      </c>
      <c r="T76" s="176">
        <f t="shared" si="7"/>
        <v>5</v>
      </c>
      <c r="U76" s="251">
        <f t="shared" si="8"/>
        <v>-0.49223631171111909</v>
      </c>
      <c r="V76" s="383">
        <f t="shared" si="9"/>
        <v>42.183342712514346</v>
      </c>
      <c r="W76" s="402"/>
      <c r="X76" s="157">
        <f t="shared" si="10"/>
        <v>44258</v>
      </c>
      <c r="Y76" s="385">
        <f t="shared" si="11"/>
        <v>14.115</v>
      </c>
      <c r="Z76" s="385">
        <f t="shared" si="12"/>
        <v>14.432309523200423</v>
      </c>
      <c r="AA76" s="386">
        <f t="shared" si="13"/>
        <v>15.738003931922915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8.2964422576742802E-2</v>
      </c>
      <c r="AD76" s="231">
        <f>(INDEX(Models!$BJ76:$BT76,,AH76)*(1-AF76)+INDEX(Models!$BJ76:$BT76,,AH76+1)*AF76-ERP_i)*AE76*Ramure*Pc/MaxiM</f>
        <v>5.5190733128593437E-4</v>
      </c>
      <c r="AE76" s="305">
        <f t="shared" si="15"/>
        <v>0.7</v>
      </c>
      <c r="AF76" s="177">
        <f t="shared" si="22"/>
        <v>0.50776368828888097</v>
      </c>
      <c r="AG76" s="921">
        <f t="shared" si="23"/>
        <v>-1</v>
      </c>
      <c r="AH76" s="176">
        <f t="shared" si="16"/>
        <v>5</v>
      </c>
      <c r="AI76" s="225">
        <f t="shared" si="17"/>
        <v>-0.49223631171111909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20">
        <v>29.876000000000001</v>
      </c>
      <c r="C77" s="390"/>
      <c r="D77" s="393">
        <f t="shared" si="0"/>
        <v>30.548290716511332</v>
      </c>
      <c r="E77" s="385">
        <f t="shared" si="1"/>
        <v>33.313270595018381</v>
      </c>
      <c r="F77" s="385">
        <f t="shared" si="2"/>
        <v>33.323703114447028</v>
      </c>
      <c r="G77" s="110">
        <f t="shared" si="21"/>
        <v>0.70351517863924862</v>
      </c>
      <c r="H77" s="414" t="b">
        <f>Wh_hp&gt;='2020'!Maxi_hp</f>
        <v>1</v>
      </c>
      <c r="I77" s="380">
        <f>IF(H77,Wh_hp,'2020'!Maxi_hp)</f>
        <v>33.323703114447028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2.2007474092419765E-2</v>
      </c>
      <c r="M77" s="959"/>
      <c r="N77" s="959"/>
      <c r="O77" s="48">
        <f>IF(t&lt;Tnet,'2020'!Resal+('2020'!Salim-'2020'!Resal)*(1-EXP(('2020'!Tnet-t)/('2020'!Tau_j))),Resal+(Salim-Resal)*(1-EXP((Tnet-t)/(Tau_j))))*Salcycl</f>
        <v>8.2999352183706715E-2</v>
      </c>
      <c r="P77" s="169">
        <f>(INDEX(Models!$BJ77:$BT77,,T77)*(1-R77)+INDEX(Models!$BJ77:$BT77,,T77+1)*R77-ERP_i)*Q77*Ramure*Pc/MaxiM</f>
        <v>5.4287525164710166E-4</v>
      </c>
      <c r="Q77" s="305">
        <f t="shared" si="4"/>
        <v>0.7</v>
      </c>
      <c r="R77" s="177">
        <f t="shared" si="5"/>
        <v>0.50811083283397918</v>
      </c>
      <c r="S77" s="921">
        <f t="shared" si="6"/>
        <v>-1</v>
      </c>
      <c r="T77" s="176">
        <f t="shared" si="7"/>
        <v>5</v>
      </c>
      <c r="U77" s="251">
        <f t="shared" si="8"/>
        <v>-0.49188916716602082</v>
      </c>
      <c r="V77" s="383">
        <f t="shared" si="9"/>
        <v>42.456983127702422</v>
      </c>
      <c r="W77" s="402"/>
      <c r="X77" s="157">
        <f t="shared" si="10"/>
        <v>44259</v>
      </c>
      <c r="Y77" s="385">
        <f t="shared" si="11"/>
        <v>29.875999999999998</v>
      </c>
      <c r="Z77" s="385">
        <f t="shared" si="12"/>
        <v>30.548290716511328</v>
      </c>
      <c r="AA77" s="386">
        <f t="shared" si="13"/>
        <v>33.313270595018381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8.2999352183706715E-2</v>
      </c>
      <c r="AD77" s="231">
        <f>(INDEX(Models!$BJ77:$BT77,,AH77)*(1-AF77)+INDEX(Models!$BJ77:$BT77,,AH77+1)*AF77-ERP_i)*AE77*Ramure*Pc/MaxiM</f>
        <v>5.4287525164710166E-4</v>
      </c>
      <c r="AE77" s="305">
        <f t="shared" si="15"/>
        <v>0.7</v>
      </c>
      <c r="AF77" s="177">
        <f t="shared" si="22"/>
        <v>0.50811083283397918</v>
      </c>
      <c r="AG77" s="921">
        <f t="shared" si="23"/>
        <v>-1</v>
      </c>
      <c r="AH77" s="176">
        <f t="shared" si="16"/>
        <v>5</v>
      </c>
      <c r="AI77" s="225">
        <f t="shared" si="17"/>
        <v>-0.49188916716602082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20">
        <v>34.515999999999998</v>
      </c>
      <c r="C78" s="390"/>
      <c r="D78" s="393">
        <f t="shared" si="0"/>
        <v>35.293476270189053</v>
      </c>
      <c r="E78" s="385">
        <f t="shared" si="1"/>
        <v>38.489417376617389</v>
      </c>
      <c r="F78" s="385">
        <f t="shared" si="2"/>
        <v>38.504294757802363</v>
      </c>
      <c r="G78" s="110">
        <f t="shared" si="21"/>
        <v>0.80765815241190553</v>
      </c>
      <c r="H78" s="414" t="b">
        <f>Wh_hp&gt;='2020'!Maxi_hp</f>
        <v>0</v>
      </c>
      <c r="I78" s="380">
        <f>IF(H78,Wh_hp,'2020'!Maxi_hp)</f>
        <v>47.032781812856342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2.2028894638688734E-2</v>
      </c>
      <c r="M78" s="959"/>
      <c r="N78" s="959"/>
      <c r="O78" s="48">
        <f>IF(t&lt;Tnet,'2020'!Resal+('2020'!Salim-'2020'!Resal)*(1-EXP(('2020'!Tnet-t)/('2020'!Tau_j))),Resal+(Salim-Resal)*(1-EXP((Tnet-t)/(Tau_j))))*Salcycl</f>
        <v>8.3034281219592943E-2</v>
      </c>
      <c r="P78" s="169">
        <f>(INDEX(Models!$BJ78:$BT78,,T78)*(1-R78)+INDEX(Models!$BJ78:$BT78,,T78+1)*R78-ERP_i)*Q78*Ramure*Pc/MaxiM</f>
        <v>5.3265117247717716E-4</v>
      </c>
      <c r="Q78" s="305">
        <f t="shared" si="4"/>
        <v>0.7</v>
      </c>
      <c r="R78" s="177">
        <f t="shared" si="5"/>
        <v>0.50847202050587481</v>
      </c>
      <c r="S78" s="921">
        <f t="shared" si="6"/>
        <v>-1</v>
      </c>
      <c r="T78" s="176">
        <f t="shared" si="7"/>
        <v>5</v>
      </c>
      <c r="U78" s="251">
        <f t="shared" si="8"/>
        <v>-0.49152797949412519</v>
      </c>
      <c r="V78" s="383">
        <f t="shared" si="9"/>
        <v>42.729649087267632</v>
      </c>
      <c r="W78" s="402"/>
      <c r="X78" s="157">
        <f t="shared" si="10"/>
        <v>44260</v>
      </c>
      <c r="Y78" s="385">
        <f t="shared" si="11"/>
        <v>34.515999999999998</v>
      </c>
      <c r="Z78" s="385">
        <f t="shared" si="12"/>
        <v>35.293476270189053</v>
      </c>
      <c r="AA78" s="386">
        <f t="shared" si="13"/>
        <v>38.489417376617389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8.3034281219592943E-2</v>
      </c>
      <c r="AD78" s="231">
        <f>(INDEX(Models!$BJ78:$BT78,,AH78)*(1-AF78)+INDEX(Models!$BJ78:$BT78,,AH78+1)*AF78-ERP_i)*AE78*Ramure*Pc/MaxiM</f>
        <v>5.3265117247717716E-4</v>
      </c>
      <c r="AE78" s="305">
        <f t="shared" si="15"/>
        <v>0.7</v>
      </c>
      <c r="AF78" s="177">
        <f t="shared" si="22"/>
        <v>0.50847202050587481</v>
      </c>
      <c r="AG78" s="921">
        <f t="shared" si="23"/>
        <v>-1</v>
      </c>
      <c r="AH78" s="176">
        <f t="shared" si="16"/>
        <v>5</v>
      </c>
      <c r="AI78" s="225">
        <f t="shared" si="17"/>
        <v>-0.49152797949412519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20">
        <v>10.524000000000001</v>
      </c>
      <c r="C79" s="390"/>
      <c r="D79" s="393">
        <f t="shared" ref="D79:D142" si="24">Wh/(1-Ppv)</f>
        <v>10.76128982744298</v>
      </c>
      <c r="E79" s="385">
        <f t="shared" si="1"/>
        <v>11.736207479583744</v>
      </c>
      <c r="F79" s="385">
        <f t="shared" ref="F79:F142" si="25">Wh_sa/(1-Pvg*MEDIAN((-Sdif+Wh/Env_an)/Csdif,0,1))</f>
        <v>11.736207479583744</v>
      </c>
      <c r="G79" s="110">
        <f t="shared" si="21"/>
        <v>0.24460624315329946</v>
      </c>
      <c r="H79" s="414" t="b">
        <f>Wh_hp&gt;='2020'!Maxi_hp</f>
        <v>0</v>
      </c>
      <c r="I79" s="380">
        <f>IF(H79,Wh_hp,'2020'!Maxi_hp)</f>
        <v>24.181479709212134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2.2050314715792885E-2</v>
      </c>
      <c r="M79" s="959"/>
      <c r="N79" s="959"/>
      <c r="O79" s="48">
        <f>IF(t&lt;Tnet,'2020'!Resal+('2020'!Salim-'2020'!Resal)*(1-EXP(('2020'!Tnet-t)/('2020'!Tau_j))),Resal+(Salim-Resal)*(1-EXP((Tnet-t)/(Tau_j))))*Salcycl</f>
        <v>8.3069224350091439E-2</v>
      </c>
      <c r="P79" s="169">
        <f>(INDEX(Models!$BJ79:$BT79,,T79)*(1-R79)+INDEX(Models!$BJ79:$BT79,,T79+1)*R79-ERP_i)*Q79*Ramure*Pc/MaxiM</f>
        <v>5.2125102566119564E-4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0.50884779711577299</v>
      </c>
      <c r="S79" s="92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-0.49115220288422706</v>
      </c>
      <c r="V79" s="383">
        <f t="shared" ref="V79:V142" si="32">MaxiM*(1-Ppv)*(1-Pvg)*(1-Psa)</f>
        <v>43.00182292409351</v>
      </c>
      <c r="W79" s="402"/>
      <c r="X79" s="157">
        <f t="shared" ref="X79:X142" si="33">t</f>
        <v>44261</v>
      </c>
      <c r="Y79" s="385">
        <f t="shared" ref="Y79:Y142" si="34">Wh_pvt_s*(1-Ppv)</f>
        <v>10.524000000000001</v>
      </c>
      <c r="Z79" s="385">
        <f t="shared" ref="Z79:Z142" si="35">Wh_sa_s*(1-Psa_s)</f>
        <v>10.76128982744298</v>
      </c>
      <c r="AA79" s="386">
        <f t="shared" ref="AA79:AA142" si="36">Wh_hp*(1-Pvg_s*MEDIAN((-Sdif+Wh/Env_an)/Csdif,0,1))</f>
        <v>11.736207479583744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8.3069224350091439E-2</v>
      </c>
      <c r="AD79" s="231">
        <f>(INDEX(Models!$BJ79:$BT79,,AH79)*(1-AF79)+INDEX(Models!$BJ79:$BT79,,AH79+1)*AF79-ERP_i)*AE79*Ramure*Pc/MaxiM</f>
        <v>5.2125102566119564E-4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0.50884779711577299</v>
      </c>
      <c r="AG79" s="921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-0.49115220288422706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20">
        <v>7.95</v>
      </c>
      <c r="C80" s="390"/>
      <c r="D80" s="393">
        <f t="shared" si="24"/>
        <v>8.1294306331379129</v>
      </c>
      <c r="E80" s="385">
        <f t="shared" ref="E80:E143" si="45">Wh_pvt/(1-Psa)</f>
        <v>8.8662535199150891</v>
      </c>
      <c r="F80" s="385">
        <f t="shared" si="25"/>
        <v>8.8662535199150891</v>
      </c>
      <c r="G80" s="110">
        <f t="shared" ref="G80:G143" si="46">+Wh_hp/MaxiM</f>
        <v>0.18362077915803759</v>
      </c>
      <c r="H80" s="414" t="b">
        <f>Wh_hp&gt;='2020'!Maxi_hp</f>
        <v>0</v>
      </c>
      <c r="I80" s="380">
        <f>IF(H80,Wh_hp,'2020'!Maxi_hp)</f>
        <v>43.018931785268983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2.207173432374232E-2</v>
      </c>
      <c r="M80" s="959"/>
      <c r="N80" s="959"/>
      <c r="O80" s="48">
        <f>IF(t&lt;Tnet,'2020'!Resal+('2020'!Salim-'2020'!Resal)*(1-EXP(('2020'!Tnet-t)/('2020'!Tau_j))),Resal+(Salim-Resal)*(1-EXP((Tnet-t)/(Tau_j))))*Salcycl</f>
        <v>8.3104197857883144E-2</v>
      </c>
      <c r="P80" s="169">
        <f>(INDEX(Models!$BJ80:$BT80,,T80)*(1-R80)+INDEX(Models!$BJ80:$BT80,,T80+1)*R80-ERP_i)*Q80*Ramure*Pc/MaxiM</f>
        <v>5.0853398384662443E-4</v>
      </c>
      <c r="Q80" s="305">
        <f t="shared" si="27"/>
        <v>0.7</v>
      </c>
      <c r="R80" s="177">
        <f t="shared" si="28"/>
        <v>0.50923872782020851</v>
      </c>
      <c r="S80" s="921">
        <f t="shared" si="29"/>
        <v>-1</v>
      </c>
      <c r="T80" s="176">
        <f t="shared" si="30"/>
        <v>5</v>
      </c>
      <c r="U80" s="251">
        <f t="shared" si="31"/>
        <v>-0.49076127217979149</v>
      </c>
      <c r="V80" s="383">
        <f t="shared" si="32"/>
        <v>43.273736182055636</v>
      </c>
      <c r="W80" s="402"/>
      <c r="X80" s="157">
        <f t="shared" si="33"/>
        <v>44262</v>
      </c>
      <c r="Y80" s="385">
        <f t="shared" si="34"/>
        <v>7.95</v>
      </c>
      <c r="Z80" s="385">
        <f t="shared" si="35"/>
        <v>8.1294306331379129</v>
      </c>
      <c r="AA80" s="386">
        <f t="shared" si="36"/>
        <v>8.8662535199150891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8.3104197857883144E-2</v>
      </c>
      <c r="AD80" s="231">
        <f>(INDEX(Models!$BJ80:$BT80,,AH80)*(1-AF80)+INDEX(Models!$BJ80:$BT80,,AH80+1)*AF80-ERP_i)*AE80*Ramure*Pc/MaxiM</f>
        <v>5.0853398384662443E-4</v>
      </c>
      <c r="AE80" s="305">
        <f t="shared" si="38"/>
        <v>0.7</v>
      </c>
      <c r="AF80" s="177">
        <f t="shared" si="39"/>
        <v>0.50923872782020851</v>
      </c>
      <c r="AG80" s="921">
        <f t="shared" ref="AG80:AG143" si="47">INDEX(Echel_vg,AH80)</f>
        <v>-1</v>
      </c>
      <c r="AH80" s="176">
        <f t="shared" si="40"/>
        <v>5</v>
      </c>
      <c r="AI80" s="225">
        <f t="shared" si="41"/>
        <v>-0.49076127217979149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20">
        <v>18.533999999999999</v>
      </c>
      <c r="C81" s="390"/>
      <c r="D81" s="393">
        <f t="shared" si="24"/>
        <v>18.952725472395155</v>
      </c>
      <c r="E81" s="385">
        <f t="shared" si="45"/>
        <v>20.671323147089439</v>
      </c>
      <c r="F81" s="385">
        <f t="shared" si="25"/>
        <v>20.673159276873783</v>
      </c>
      <c r="G81" s="110">
        <f t="shared" si="46"/>
        <v>0.42545500144443987</v>
      </c>
      <c r="H81" s="414" t="b">
        <f>Wh_hp&gt;='2020'!Maxi_hp</f>
        <v>0</v>
      </c>
      <c r="I81" s="380">
        <f>IF(H81,Wh_hp,'2020'!Maxi_hp)</f>
        <v>31.739043805297161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2.2093153462547366E-2</v>
      </c>
      <c r="M81" s="959"/>
      <c r="N81" s="959"/>
      <c r="O81" s="48">
        <f>IF(t&lt;Tnet,'2020'!Resal+('2020'!Salim-'2020'!Resal)*(1-EXP(('2020'!Tnet-t)/('2020'!Tau_j))),Resal+(Salim-Resal)*(1-EXP((Tnet-t)/(Tau_j))))*Salcycl</f>
        <v>8.3139219607055712E-2</v>
      </c>
      <c r="P81" s="169">
        <f>(INDEX(Models!$BJ81:$BT81,,T81)*(1-R81)+INDEX(Models!$BJ81:$BT81,,T81+1)*R81-ERP_i)*Q81*Ramure*Pc/MaxiM</f>
        <v>4.9488994278518888E-4</v>
      </c>
      <c r="Q81" s="305">
        <f t="shared" si="27"/>
        <v>0.7</v>
      </c>
      <c r="R81" s="177">
        <f t="shared" si="28"/>
        <v>0.50964539764841854</v>
      </c>
      <c r="S81" s="921">
        <f t="shared" si="29"/>
        <v>-1</v>
      </c>
      <c r="T81" s="176">
        <f t="shared" si="30"/>
        <v>5</v>
      </c>
      <c r="U81" s="251">
        <f t="shared" si="31"/>
        <v>-0.4903546023515814</v>
      </c>
      <c r="V81" s="383">
        <f t="shared" si="32"/>
        <v>43.545082592237968</v>
      </c>
      <c r="W81" s="402"/>
      <c r="X81" s="157">
        <f t="shared" si="33"/>
        <v>44263</v>
      </c>
      <c r="Y81" s="385">
        <f t="shared" si="34"/>
        <v>18.533999999999999</v>
      </c>
      <c r="Z81" s="385">
        <f t="shared" si="35"/>
        <v>18.952725472395155</v>
      </c>
      <c r="AA81" s="386">
        <f t="shared" si="36"/>
        <v>20.671323147089439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8.3139219607055712E-2</v>
      </c>
      <c r="AD81" s="231">
        <f>(INDEX(Models!$BJ81:$BT81,,AH81)*(1-AF81)+INDEX(Models!$BJ81:$BT81,,AH81+1)*AF81-ERP_i)*AE81*Ramure*Pc/MaxiM</f>
        <v>4.9488994278518888E-4</v>
      </c>
      <c r="AE81" s="305">
        <f t="shared" si="38"/>
        <v>0.7</v>
      </c>
      <c r="AF81" s="177">
        <f t="shared" si="39"/>
        <v>0.50964539764841854</v>
      </c>
      <c r="AG81" s="921">
        <f t="shared" si="47"/>
        <v>-1</v>
      </c>
      <c r="AH81" s="176">
        <f t="shared" si="40"/>
        <v>5</v>
      </c>
      <c r="AI81" s="225">
        <f t="shared" si="41"/>
        <v>-0.4903546023515814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20">
        <v>39.984000000000002</v>
      </c>
      <c r="C82" s="390"/>
      <c r="D82" s="393">
        <f t="shared" si="24"/>
        <v>40.888225614715033</v>
      </c>
      <c r="E82" s="385">
        <f t="shared" si="45"/>
        <v>44.59760019380056</v>
      </c>
      <c r="F82" s="385">
        <f t="shared" si="25"/>
        <v>44.616353864796501</v>
      </c>
      <c r="G82" s="110">
        <f t="shared" si="46"/>
        <v>0.91249750203568825</v>
      </c>
      <c r="H82" s="414" t="b">
        <f>Wh_hp&gt;='2020'!Maxi_hp</f>
        <v>1</v>
      </c>
      <c r="I82" s="380">
        <f>IF(H82,Wh_hp,'2020'!Maxi_hp)</f>
        <v>44.616353864796501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2.2114572132218235E-2</v>
      </c>
      <c r="M82" s="959"/>
      <c r="N82" s="959"/>
      <c r="O82" s="48">
        <f>IF(t&lt;Tnet,'2020'!Resal+('2020'!Salim-'2020'!Resal)*(1-EXP(('2020'!Tnet-t)/('2020'!Tau_j))),Resal+(Salim-Resal)*(1-EXP((Tnet-t)/(Tau_j))))*Salcycl</f>
        <v>8.3174308997934931E-2</v>
      </c>
      <c r="P82" s="169">
        <f>(INDEX(Models!$BJ82:$BT82,,T82)*(1-R82)+INDEX(Models!$BJ82:$BT82,,T82+1)*R82-ERP_i)*Q82*Ramure*Pc/MaxiM</f>
        <v>4.8033816336637888E-4</v>
      </c>
      <c r="Q82" s="305">
        <f t="shared" si="27"/>
        <v>0.7</v>
      </c>
      <c r="R82" s="177">
        <f t="shared" si="28"/>
        <v>0.51006841203000552</v>
      </c>
      <c r="S82" s="921">
        <f t="shared" si="29"/>
        <v>-1</v>
      </c>
      <c r="T82" s="176">
        <f t="shared" si="30"/>
        <v>5</v>
      </c>
      <c r="U82" s="251">
        <f t="shared" si="31"/>
        <v>-0.48993158796999448</v>
      </c>
      <c r="V82" s="383">
        <f t="shared" si="32"/>
        <v>43.81557166595308</v>
      </c>
      <c r="W82" s="402"/>
      <c r="X82" s="157">
        <f t="shared" si="33"/>
        <v>44264</v>
      </c>
      <c r="Y82" s="385">
        <f t="shared" si="34"/>
        <v>39.984000000000002</v>
      </c>
      <c r="Z82" s="385">
        <f t="shared" si="35"/>
        <v>40.888225614715033</v>
      </c>
      <c r="AA82" s="386">
        <f t="shared" si="36"/>
        <v>44.59760019380056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8.3174308997934931E-2</v>
      </c>
      <c r="AD82" s="231">
        <f>(INDEX(Models!$BJ82:$BT82,,AH82)*(1-AF82)+INDEX(Models!$BJ82:$BT82,,AH82+1)*AF82-ERP_i)*AE82*Ramure*Pc/MaxiM</f>
        <v>4.8033816336637888E-4</v>
      </c>
      <c r="AE82" s="305">
        <f t="shared" si="38"/>
        <v>0.7</v>
      </c>
      <c r="AF82" s="177">
        <f t="shared" si="39"/>
        <v>0.51006841203000552</v>
      </c>
      <c r="AG82" s="921">
        <f t="shared" si="47"/>
        <v>-1</v>
      </c>
      <c r="AH82" s="176">
        <f t="shared" si="40"/>
        <v>5</v>
      </c>
      <c r="AI82" s="225">
        <f t="shared" si="41"/>
        <v>-0.48993158796999448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20">
        <v>40.588999999999999</v>
      </c>
      <c r="C83" s="390"/>
      <c r="D83" s="393">
        <f t="shared" si="24"/>
        <v>41.507816627602814</v>
      </c>
      <c r="E83" s="385">
        <f t="shared" si="45"/>
        <v>45.275137596958579</v>
      </c>
      <c r="F83" s="385">
        <f t="shared" si="25"/>
        <v>45.293809105395539</v>
      </c>
      <c r="G83" s="110">
        <f t="shared" si="46"/>
        <v>0.92065195993929616</v>
      </c>
      <c r="H83" s="414" t="b">
        <f>Wh_hp&gt;='2020'!Maxi_hp</f>
        <v>1</v>
      </c>
      <c r="I83" s="380">
        <f>IF(H83,Wh_hp,'2020'!Maxi_hp)</f>
        <v>45.293809105395539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2.2135990332765365E-2</v>
      </c>
      <c r="M83" s="959"/>
      <c r="N83" s="959"/>
      <c r="O83" s="48">
        <f>IF(t&lt;Tnet,'2020'!Resal+('2020'!Salim-'2020'!Resal)*(1-EXP(('2020'!Tnet-t)/('2020'!Tau_j))),Resal+(Salim-Resal)*(1-EXP((Tnet-t)/(Tau_j))))*Salcycl</f>
        <v>8.3209486912941791E-2</v>
      </c>
      <c r="P83" s="169">
        <f>(INDEX(Models!$BJ83:$BT83,,T83)*(1-R83)+INDEX(Models!$BJ83:$BT83,,T83+1)*R83-ERP_i)*Q83*Ramure*Pc/MaxiM</f>
        <v>4.6489676701602693E-4</v>
      </c>
      <c r="Q83" s="305">
        <f t="shared" si="27"/>
        <v>0.7</v>
      </c>
      <c r="R83" s="177">
        <f t="shared" si="28"/>
        <v>0.51050839732134223</v>
      </c>
      <c r="S83" s="921">
        <f t="shared" si="29"/>
        <v>-1</v>
      </c>
      <c r="T83" s="176">
        <f t="shared" si="30"/>
        <v>5</v>
      </c>
      <c r="U83" s="251">
        <f t="shared" si="31"/>
        <v>-0.48949160267865771</v>
      </c>
      <c r="V83" s="383">
        <f t="shared" si="32"/>
        <v>44.084912899003527</v>
      </c>
      <c r="W83" s="402"/>
      <c r="X83" s="157">
        <f t="shared" si="33"/>
        <v>44265</v>
      </c>
      <c r="Y83" s="385">
        <f t="shared" si="34"/>
        <v>40.588999999999999</v>
      </c>
      <c r="Z83" s="385">
        <f t="shared" si="35"/>
        <v>41.507816627602814</v>
      </c>
      <c r="AA83" s="386">
        <f t="shared" si="36"/>
        <v>45.275137596958579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8.3209486912941791E-2</v>
      </c>
      <c r="AD83" s="231">
        <f>(INDEX(Models!$BJ83:$BT83,,AH83)*(1-AF83)+INDEX(Models!$BJ83:$BT83,,AH83+1)*AF83-ERP_i)*AE83*Ramure*Pc/MaxiM</f>
        <v>4.6489676701602693E-4</v>
      </c>
      <c r="AE83" s="305">
        <f t="shared" si="38"/>
        <v>0.7</v>
      </c>
      <c r="AF83" s="177">
        <f t="shared" si="39"/>
        <v>0.51050839732134223</v>
      </c>
      <c r="AG83" s="921">
        <f t="shared" si="47"/>
        <v>-1</v>
      </c>
      <c r="AH83" s="176">
        <f t="shared" si="40"/>
        <v>5</v>
      </c>
      <c r="AI83" s="225">
        <f t="shared" si="41"/>
        <v>-0.48949160267865771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20">
        <v>32.508000000000003</v>
      </c>
      <c r="C84" s="390"/>
      <c r="D84" s="393">
        <f t="shared" si="24"/>
        <v>33.2446144891736</v>
      </c>
      <c r="E84" s="385">
        <f t="shared" si="45"/>
        <v>36.263348826722336</v>
      </c>
      <c r="F84" s="385">
        <f t="shared" si="25"/>
        <v>36.273412618426136</v>
      </c>
      <c r="G84" s="110">
        <f t="shared" si="46"/>
        <v>0.73281559397364948</v>
      </c>
      <c r="H84" s="414" t="b">
        <f>Wh_hp&gt;='2020'!Maxi_hp</f>
        <v>1</v>
      </c>
      <c r="I84" s="380">
        <f>IF(H84,Wh_hp,'2020'!Maxi_hp)</f>
        <v>36.273412618426136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2.2157408064198858E-2</v>
      </c>
      <c r="M84" s="959"/>
      <c r="N84" s="959"/>
      <c r="O84" s="48">
        <f>IF(t&lt;Tnet,'2020'!Resal+('2020'!Salim-'2020'!Resal)*(1-EXP(('2020'!Tnet-t)/('2020'!Tau_j))),Resal+(Salim-Resal)*(1-EXP((Tnet-t)/(Tau_j))))*Salcycl</f>
        <v>8.3244775654151434E-2</v>
      </c>
      <c r="P84" s="169">
        <f>(INDEX(Models!$BJ84:$BT84,,T84)*(1-R84)+INDEX(Models!$BJ84:$BT84,,T84+1)*R84-ERP_i)*Q84*Ramure*Pc/MaxiM</f>
        <v>4.4858266092744835E-4</v>
      </c>
      <c r="Q84" s="305">
        <f t="shared" si="27"/>
        <v>0.7</v>
      </c>
      <c r="R84" s="177">
        <f t="shared" si="28"/>
        <v>0.51096600132900716</v>
      </c>
      <c r="S84" s="921">
        <f t="shared" si="29"/>
        <v>-1</v>
      </c>
      <c r="T84" s="176">
        <f t="shared" si="30"/>
        <v>5</v>
      </c>
      <c r="U84" s="251">
        <f t="shared" si="31"/>
        <v>-0.48903399867099284</v>
      </c>
      <c r="V84" s="383">
        <f t="shared" si="32"/>
        <v>44.352815774986794</v>
      </c>
      <c r="W84" s="402"/>
      <c r="X84" s="157">
        <f t="shared" si="33"/>
        <v>44266</v>
      </c>
      <c r="Y84" s="385">
        <f t="shared" si="34"/>
        <v>32.508000000000003</v>
      </c>
      <c r="Z84" s="385">
        <f t="shared" si="35"/>
        <v>33.2446144891736</v>
      </c>
      <c r="AA84" s="386">
        <f t="shared" si="36"/>
        <v>36.263348826722336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8.3244775654151434E-2</v>
      </c>
      <c r="AD84" s="231">
        <f>(INDEX(Models!$BJ84:$BT84,,AH84)*(1-AF84)+INDEX(Models!$BJ84:$BT84,,AH84+1)*AF84-ERP_i)*AE84*Ramure*Pc/MaxiM</f>
        <v>4.4858266092744835E-4</v>
      </c>
      <c r="AE84" s="305">
        <f t="shared" si="38"/>
        <v>0.7</v>
      </c>
      <c r="AF84" s="177">
        <f t="shared" si="39"/>
        <v>0.51096600132900716</v>
      </c>
      <c r="AG84" s="921">
        <f t="shared" si="47"/>
        <v>-1</v>
      </c>
      <c r="AH84" s="176">
        <f t="shared" si="40"/>
        <v>5</v>
      </c>
      <c r="AI84" s="225">
        <f t="shared" si="41"/>
        <v>-0.48903399867099284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20">
        <v>27.844999999999999</v>
      </c>
      <c r="C85" s="390"/>
      <c r="D85" s="393">
        <f t="shared" si="24"/>
        <v>28.47657702779696</v>
      </c>
      <c r="E85" s="385">
        <f t="shared" si="45"/>
        <v>31.063556162741545</v>
      </c>
      <c r="F85" s="385">
        <f t="shared" si="25"/>
        <v>31.069761411374312</v>
      </c>
      <c r="G85" s="110">
        <f t="shared" si="46"/>
        <v>0.62391702284018069</v>
      </c>
      <c r="H85" s="414" t="b">
        <f>Wh_hp&gt;='2020'!Maxi_hp</f>
        <v>0</v>
      </c>
      <c r="I85" s="380">
        <f>IF(H85,Wh_hp,'2020'!Maxi_hp)</f>
        <v>43.935491435363161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2.217882532652915E-2</v>
      </c>
      <c r="M85" s="959"/>
      <c r="N85" s="959"/>
      <c r="O85" s="48">
        <f>IF(t&lt;Tnet,'2020'!Resal+('2020'!Salim-'2020'!Resal)*(1-EXP(('2020'!Tnet-t)/('2020'!Tau_j))),Resal+(Salim-Resal)*(1-EXP((Tnet-t)/(Tau_j))))*Salcycl</f>
        <v>8.3280198873285263E-2</v>
      </c>
      <c r="P85" s="169">
        <f>(INDEX(Models!$BJ85:$BT85,,T85)*(1-R85)+INDEX(Models!$BJ85:$BT85,,T85+1)*R85-ERP_i)*Q85*Ramure*Pc/MaxiM</f>
        <v>4.3141146414625667E-4</v>
      </c>
      <c r="Q85" s="305">
        <f t="shared" si="27"/>
        <v>0.7</v>
      </c>
      <c r="R85" s="177">
        <f t="shared" si="28"/>
        <v>0.51144189382836236</v>
      </c>
      <c r="S85" s="921">
        <f t="shared" si="29"/>
        <v>-1</v>
      </c>
      <c r="T85" s="176">
        <f t="shared" si="30"/>
        <v>5</v>
      </c>
      <c r="U85" s="251">
        <f t="shared" si="31"/>
        <v>-0.48855810617163764</v>
      </c>
      <c r="V85" s="383">
        <f t="shared" si="32"/>
        <v>44.618989768904129</v>
      </c>
      <c r="W85" s="402"/>
      <c r="X85" s="157">
        <f t="shared" si="33"/>
        <v>44267</v>
      </c>
      <c r="Y85" s="385">
        <f t="shared" si="34"/>
        <v>27.844999999999999</v>
      </c>
      <c r="Z85" s="385">
        <f t="shared" si="35"/>
        <v>28.47657702779696</v>
      </c>
      <c r="AA85" s="386">
        <f t="shared" si="36"/>
        <v>31.063556162741545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8.3280198873285263E-2</v>
      </c>
      <c r="AD85" s="231">
        <f>(INDEX(Models!$BJ85:$BT85,,AH85)*(1-AF85)+INDEX(Models!$BJ85:$BT85,,AH85+1)*AF85-ERP_i)*AE85*Ramure*Pc/MaxiM</f>
        <v>4.3141146414625667E-4</v>
      </c>
      <c r="AE85" s="305">
        <f t="shared" si="38"/>
        <v>0.7</v>
      </c>
      <c r="AF85" s="177">
        <f t="shared" si="39"/>
        <v>0.51144189382836236</v>
      </c>
      <c r="AG85" s="921">
        <f t="shared" si="47"/>
        <v>-1</v>
      </c>
      <c r="AH85" s="176">
        <f t="shared" si="40"/>
        <v>5</v>
      </c>
      <c r="AI85" s="225">
        <f t="shared" si="41"/>
        <v>-0.48855810617163764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20">
        <v>38.350999999999999</v>
      </c>
      <c r="C86" s="390"/>
      <c r="D86" s="393">
        <f t="shared" si="24"/>
        <v>39.221731945547731</v>
      </c>
      <c r="E86" s="385">
        <f t="shared" si="45"/>
        <v>42.786524687323414</v>
      </c>
      <c r="F86" s="385">
        <f t="shared" si="25"/>
        <v>42.800557177693996</v>
      </c>
      <c r="G86" s="110">
        <f t="shared" si="46"/>
        <v>0.85439019348069456</v>
      </c>
      <c r="H86" s="414" t="b">
        <f>Wh_hp&gt;='2020'!Maxi_hp</f>
        <v>1</v>
      </c>
      <c r="I86" s="380">
        <f>IF(H86,Wh_hp,'2020'!Maxi_hp)</f>
        <v>42.800557177693996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2.2200242119766345E-2</v>
      </c>
      <c r="M86" s="959"/>
      <c r="N86" s="959"/>
      <c r="O86" s="48">
        <f>IF(t&lt;Tnet,'2020'!Resal+('2020'!Salim-'2020'!Resal)*(1-EXP(('2020'!Tnet-t)/('2020'!Tau_j))),Resal+(Salim-Resal)*(1-EXP((Tnet-t)/(Tau_j))))*Salcycl</f>
        <v>8.3315781494911659E-2</v>
      </c>
      <c r="P86" s="169">
        <f>(INDEX(Models!$BJ86:$BT86,,T86)*(1-R86)+INDEX(Models!$BJ86:$BT86,,T86+1)*R86-ERP_i)*Q86*Ramure*Pc/MaxiM</f>
        <v>4.1391409200563551E-4</v>
      </c>
      <c r="Q86" s="305">
        <f t="shared" si="27"/>
        <v>0.7</v>
      </c>
      <c r="R86" s="177">
        <f t="shared" si="28"/>
        <v>0.51193676707520819</v>
      </c>
      <c r="S86" s="921">
        <f t="shared" si="29"/>
        <v>-1</v>
      </c>
      <c r="T86" s="176">
        <f t="shared" si="30"/>
        <v>5</v>
      </c>
      <c r="U86" s="251">
        <f t="shared" si="31"/>
        <v>-0.48806323292479181</v>
      </c>
      <c r="V86" s="383">
        <f t="shared" si="32"/>
        <v>44.883121154533804</v>
      </c>
      <c r="W86" s="402"/>
      <c r="X86" s="157">
        <f t="shared" si="33"/>
        <v>44268</v>
      </c>
      <c r="Y86" s="385">
        <f t="shared" si="34"/>
        <v>38.350999999999999</v>
      </c>
      <c r="Z86" s="385">
        <f t="shared" si="35"/>
        <v>39.221731945547731</v>
      </c>
      <c r="AA86" s="386">
        <f t="shared" si="36"/>
        <v>42.786524687323414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8.3315781494911659E-2</v>
      </c>
      <c r="AD86" s="231">
        <f>(INDEX(Models!$BJ86:$BT86,,AH86)*(1-AF86)+INDEX(Models!$BJ86:$BT86,,AH86+1)*AF86-ERP_i)*AE86*Ramure*Pc/MaxiM</f>
        <v>4.1391409200563551E-4</v>
      </c>
      <c r="AE86" s="305">
        <f t="shared" si="38"/>
        <v>0.7</v>
      </c>
      <c r="AF86" s="177">
        <f t="shared" si="39"/>
        <v>0.51193676707520819</v>
      </c>
      <c r="AG86" s="921">
        <f t="shared" si="47"/>
        <v>-1</v>
      </c>
      <c r="AH86" s="176">
        <f t="shared" si="40"/>
        <v>5</v>
      </c>
      <c r="AI86" s="225">
        <f t="shared" si="41"/>
        <v>-0.48806323292479181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20">
        <v>22.751999999999999</v>
      </c>
      <c r="C87" s="390"/>
      <c r="D87" s="393">
        <f t="shared" si="24"/>
        <v>23.269077492339903</v>
      </c>
      <c r="E87" s="385">
        <f t="shared" si="45"/>
        <v>25.384952631557379</v>
      </c>
      <c r="F87" s="385">
        <f t="shared" si="25"/>
        <v>25.387889641217502</v>
      </c>
      <c r="G87" s="110">
        <f t="shared" si="46"/>
        <v>0.50383564075869613</v>
      </c>
      <c r="H87" s="414" t="b">
        <f>Wh_hp&gt;='2020'!Maxi_hp</f>
        <v>0</v>
      </c>
      <c r="I87" s="380">
        <f>IF(H87,Wh_hp,'2020'!Maxi_hp)</f>
        <v>36.891466840324576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2.2221658443920878E-2</v>
      </c>
      <c r="M87" s="959"/>
      <c r="N87" s="959"/>
      <c r="O87" s="48">
        <f>IF(t&lt;Tnet,'2020'!Resal+('2020'!Salim-'2020'!Resal)*(1-EXP(('2020'!Tnet-t)/('2020'!Tau_j))),Resal+(Salim-Resal)*(1-EXP((Tnet-t)/(Tau_j))))*Salcycl</f>
        <v>8.3351549633664382E-2</v>
      </c>
      <c r="P87" s="169">
        <f>(INDEX(Models!$BJ87:$BT87,,T87)*(1-R87)+INDEX(Models!$BJ87:$BT87,,T87+1)*R87-ERP_i)*Q87*Ramure*Pc/MaxiM</f>
        <v>3.9700382067330388E-4</v>
      </c>
      <c r="Q87" s="305">
        <f t="shared" si="27"/>
        <v>0.7</v>
      </c>
      <c r="R87" s="177">
        <f t="shared" si="28"/>
        <v>0.5124513363082458</v>
      </c>
      <c r="S87" s="921">
        <f t="shared" si="29"/>
        <v>-1</v>
      </c>
      <c r="T87" s="176">
        <f t="shared" si="30"/>
        <v>5</v>
      </c>
      <c r="U87" s="251">
        <f t="shared" si="31"/>
        <v>-0.4875486636917542</v>
      </c>
      <c r="V87" s="383">
        <f t="shared" si="32"/>
        <v>45.14487833739129</v>
      </c>
      <c r="W87" s="402"/>
      <c r="X87" s="157">
        <f t="shared" si="33"/>
        <v>44269</v>
      </c>
      <c r="Y87" s="385">
        <f t="shared" si="34"/>
        <v>22.751999999999999</v>
      </c>
      <c r="Z87" s="385">
        <f t="shared" si="35"/>
        <v>23.269077492339903</v>
      </c>
      <c r="AA87" s="386">
        <f t="shared" si="36"/>
        <v>25.384952631557379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8.3351549633664382E-2</v>
      </c>
      <c r="AD87" s="231">
        <f>(INDEX(Models!$BJ87:$BT87,,AH87)*(1-AF87)+INDEX(Models!$BJ87:$BT87,,AH87+1)*AF87-ERP_i)*AE87*Ramure*Pc/MaxiM</f>
        <v>3.9700382067330388E-4</v>
      </c>
      <c r="AE87" s="305">
        <f t="shared" si="38"/>
        <v>0.7</v>
      </c>
      <c r="AF87" s="177">
        <f t="shared" si="39"/>
        <v>0.5124513363082458</v>
      </c>
      <c r="AG87" s="921">
        <f t="shared" si="47"/>
        <v>-1</v>
      </c>
      <c r="AH87" s="176">
        <f t="shared" si="40"/>
        <v>5</v>
      </c>
      <c r="AI87" s="225">
        <f t="shared" si="41"/>
        <v>-0.4875486636917542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20">
        <v>15.115</v>
      </c>
      <c r="C88" s="390"/>
      <c r="D88" s="393">
        <f t="shared" si="24"/>
        <v>15.458852402567633</v>
      </c>
      <c r="E88" s="385">
        <f t="shared" si="45"/>
        <v>16.865199762236113</v>
      </c>
      <c r="F88" s="385">
        <f t="shared" si="25"/>
        <v>16.865501515044272</v>
      </c>
      <c r="G88" s="110">
        <f t="shared" si="46"/>
        <v>0.33277962858510757</v>
      </c>
      <c r="H88" s="414" t="b">
        <f>Wh_hp&gt;='2020'!Maxi_hp</f>
        <v>0</v>
      </c>
      <c r="I88" s="380">
        <f>IF(H88,Wh_hp,'2020'!Maxi_hp)</f>
        <v>34.951737117929945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2.2243074299002963E-2</v>
      </c>
      <c r="M88" s="959"/>
      <c r="N88" s="959"/>
      <c r="O88" s="48">
        <f>IF(t&lt;Tnet,'2020'!Resal+('2020'!Salim-'2020'!Resal)*(1-EXP(('2020'!Tnet-t)/('2020'!Tau_j))),Resal+(Salim-Resal)*(1-EXP((Tnet-t)/(Tau_j))))*Salcycl</f>
        <v>8.3387530506310342E-2</v>
      </c>
      <c r="P88" s="169">
        <f>(INDEX(Models!$BJ88:$BT88,,T88)*(1-R88)+INDEX(Models!$BJ88:$BT88,,T88+1)*R88-ERP_i)*Q88*Ramure*Pc/MaxiM</f>
        <v>3.8067023850612099E-4</v>
      </c>
      <c r="Q88" s="305">
        <f t="shared" si="27"/>
        <v>0.7</v>
      </c>
      <c r="R88" s="177">
        <f t="shared" si="28"/>
        <v>0.51298634023987733</v>
      </c>
      <c r="S88" s="921">
        <f t="shared" si="29"/>
        <v>-1</v>
      </c>
      <c r="T88" s="176">
        <f t="shared" si="30"/>
        <v>5</v>
      </c>
      <c r="U88" s="251">
        <f t="shared" si="31"/>
        <v>-0.48701365976012262</v>
      </c>
      <c r="V88" s="383">
        <f t="shared" si="32"/>
        <v>45.403970696178412</v>
      </c>
      <c r="W88" s="402"/>
      <c r="X88" s="157">
        <f t="shared" si="33"/>
        <v>44270</v>
      </c>
      <c r="Y88" s="385">
        <f t="shared" si="34"/>
        <v>15.114999999999998</v>
      </c>
      <c r="Z88" s="385">
        <f t="shared" si="35"/>
        <v>15.458852402567631</v>
      </c>
      <c r="AA88" s="386">
        <f t="shared" si="36"/>
        <v>16.865199762236113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8.3387530506310342E-2</v>
      </c>
      <c r="AD88" s="231">
        <f>(INDEX(Models!$BJ88:$BT88,,AH88)*(1-AF88)+INDEX(Models!$BJ88:$BT88,,AH88+1)*AF88-ERP_i)*AE88*Ramure*Pc/MaxiM</f>
        <v>3.8067023850612099E-4</v>
      </c>
      <c r="AE88" s="305">
        <f t="shared" si="38"/>
        <v>0.7</v>
      </c>
      <c r="AF88" s="177">
        <f t="shared" si="39"/>
        <v>0.51298634023987733</v>
      </c>
      <c r="AG88" s="921">
        <f t="shared" si="47"/>
        <v>-1</v>
      </c>
      <c r="AH88" s="176">
        <f t="shared" si="40"/>
        <v>5</v>
      </c>
      <c r="AI88" s="225">
        <f t="shared" si="41"/>
        <v>-0.48701365976012262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20">
        <v>29.225999999999999</v>
      </c>
      <c r="C89" s="390"/>
      <c r="D89" s="393">
        <f t="shared" si="24"/>
        <v>29.891519425928237</v>
      </c>
      <c r="E89" s="385">
        <f t="shared" si="45"/>
        <v>32.612147109664534</v>
      </c>
      <c r="F89" s="385">
        <f t="shared" si="25"/>
        <v>32.617929577836023</v>
      </c>
      <c r="G89" s="110">
        <f t="shared" si="46"/>
        <v>0.63995721998358457</v>
      </c>
      <c r="H89" s="414" t="b">
        <f>Wh_hp&gt;='2020'!Maxi_hp</f>
        <v>0</v>
      </c>
      <c r="I89" s="380">
        <f>IF(H89,Wh_hp,'2020'!Maxi_hp)</f>
        <v>52.275659986289419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2.2264489685022815E-2</v>
      </c>
      <c r="M89" s="959"/>
      <c r="N89" s="959"/>
      <c r="O89" s="48">
        <f>IF(t&lt;Tnet,'2020'!Resal+('2020'!Salim-'2020'!Resal)*(1-EXP(('2020'!Tnet-t)/('2020'!Tau_j))),Resal+(Salim-Resal)*(1-EXP((Tnet-t)/(Tau_j))))*Salcycl</f>
        <v>8.3423752339509202E-2</v>
      </c>
      <c r="P89" s="169">
        <f>(INDEX(Models!$BJ89:$BT89,,T89)*(1-R89)+INDEX(Models!$BJ89:$BT89,,T89+1)*R89-ERP_i)*Q89*Ramure*Pc/MaxiM</f>
        <v>3.6490281307300715E-4</v>
      </c>
      <c r="Q89" s="305">
        <f t="shared" si="27"/>
        <v>0.7</v>
      </c>
      <c r="R89" s="177">
        <f t="shared" si="28"/>
        <v>0.51354254153264933</v>
      </c>
      <c r="S89" s="921">
        <f t="shared" si="29"/>
        <v>-1</v>
      </c>
      <c r="T89" s="176">
        <f t="shared" si="30"/>
        <v>5</v>
      </c>
      <c r="U89" s="251">
        <f t="shared" si="31"/>
        <v>-0.48645745846735067</v>
      </c>
      <c r="V89" s="383">
        <f t="shared" si="32"/>
        <v>45.660107608039134</v>
      </c>
      <c r="W89" s="402"/>
      <c r="X89" s="157">
        <f t="shared" si="33"/>
        <v>44271</v>
      </c>
      <c r="Y89" s="385">
        <f t="shared" si="34"/>
        <v>29.226000000000003</v>
      </c>
      <c r="Z89" s="385">
        <f t="shared" si="35"/>
        <v>29.891519425928241</v>
      </c>
      <c r="AA89" s="386">
        <f t="shared" si="36"/>
        <v>32.612147109664534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8.3423752339509202E-2</v>
      </c>
      <c r="AD89" s="231">
        <f>(INDEX(Models!$BJ89:$BT89,,AH89)*(1-AF89)+INDEX(Models!$BJ89:$BT89,,AH89+1)*AF89-ERP_i)*AE89*Ramure*Pc/MaxiM</f>
        <v>3.6490281307300715E-4</v>
      </c>
      <c r="AE89" s="305">
        <f t="shared" si="38"/>
        <v>0.7</v>
      </c>
      <c r="AF89" s="177">
        <f t="shared" si="39"/>
        <v>0.51354254153264933</v>
      </c>
      <c r="AG89" s="921">
        <f t="shared" si="47"/>
        <v>-1</v>
      </c>
      <c r="AH89" s="176">
        <f t="shared" si="40"/>
        <v>5</v>
      </c>
      <c r="AI89" s="225">
        <f t="shared" si="41"/>
        <v>-0.48645745846735067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20">
        <v>24.289000000000001</v>
      </c>
      <c r="C90" s="390"/>
      <c r="D90" s="393">
        <f t="shared" si="24"/>
        <v>24.842640721173609</v>
      </c>
      <c r="E90" s="385">
        <f t="shared" si="45"/>
        <v>27.104815220479356</v>
      </c>
      <c r="F90" s="385">
        <f t="shared" si="25"/>
        <v>27.107916637934526</v>
      </c>
      <c r="G90" s="110">
        <f t="shared" si="46"/>
        <v>0.52889781596204133</v>
      </c>
      <c r="H90" s="414" t="b">
        <f>Wh_hp&gt;='2020'!Maxi_hp</f>
        <v>1</v>
      </c>
      <c r="I90" s="380">
        <f>IF(H90,Wh_hp,'2020'!Maxi_hp)</f>
        <v>27.107916637934526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2.2285904601990758E-2</v>
      </c>
      <c r="M90" s="959"/>
      <c r="N90" s="959"/>
      <c r="O90" s="48">
        <f>IF(t&lt;Tnet,'2020'!Resal+('2020'!Salim-'2020'!Resal)*(1-EXP(('2020'!Tnet-t)/('2020'!Tau_j))),Resal+(Salim-Resal)*(1-EXP((Tnet-t)/(Tau_j))))*Salcycl</f>
        <v>8.3460244274107295E-2</v>
      </c>
      <c r="P90" s="169">
        <f>(INDEX(Models!$BJ90:$BT90,,T90)*(1-R90)+INDEX(Models!$BJ90:$BT90,,T90+1)*R90-ERP_i)*Q90*Ramure*Pc/MaxiM</f>
        <v>3.4969091977694715E-4</v>
      </c>
      <c r="Q90" s="305">
        <f t="shared" si="27"/>
        <v>0.7</v>
      </c>
      <c r="R90" s="177">
        <f t="shared" si="28"/>
        <v>0.51412072725841362</v>
      </c>
      <c r="S90" s="921">
        <f t="shared" si="29"/>
        <v>-1</v>
      </c>
      <c r="T90" s="176">
        <f t="shared" si="30"/>
        <v>5</v>
      </c>
      <c r="U90" s="251">
        <f t="shared" si="31"/>
        <v>-0.48587927274158643</v>
      </c>
      <c r="V90" s="383">
        <f t="shared" si="32"/>
        <v>45.912998457574957</v>
      </c>
      <c r="W90" s="402"/>
      <c r="X90" s="157">
        <f t="shared" si="33"/>
        <v>44272</v>
      </c>
      <c r="Y90" s="385">
        <f t="shared" si="34"/>
        <v>24.289000000000001</v>
      </c>
      <c r="Z90" s="385">
        <f t="shared" si="35"/>
        <v>24.842640721173609</v>
      </c>
      <c r="AA90" s="386">
        <f t="shared" si="36"/>
        <v>27.104815220479356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8.3460244274107295E-2</v>
      </c>
      <c r="AD90" s="231">
        <f>(INDEX(Models!$BJ90:$BT90,,AH90)*(1-AF90)+INDEX(Models!$BJ90:$BT90,,AH90+1)*AF90-ERP_i)*AE90*Ramure*Pc/MaxiM</f>
        <v>3.4969091977694715E-4</v>
      </c>
      <c r="AE90" s="305">
        <f t="shared" si="38"/>
        <v>0.7</v>
      </c>
      <c r="AF90" s="177">
        <f t="shared" si="39"/>
        <v>0.51412072725841362</v>
      </c>
      <c r="AG90" s="921">
        <f t="shared" si="47"/>
        <v>-1</v>
      </c>
      <c r="AH90" s="176">
        <f t="shared" si="40"/>
        <v>5</v>
      </c>
      <c r="AI90" s="225">
        <f t="shared" si="41"/>
        <v>-0.48587927274158643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20">
        <v>22.911999999999999</v>
      </c>
      <c r="C91" s="390"/>
      <c r="D91" s="393">
        <f t="shared" si="24"/>
        <v>23.434766820321315</v>
      </c>
      <c r="E91" s="385">
        <f t="shared" si="45"/>
        <v>25.56976654485026</v>
      </c>
      <c r="F91" s="385">
        <f t="shared" si="25"/>
        <v>25.572169487628372</v>
      </c>
      <c r="G91" s="110">
        <f t="shared" si="46"/>
        <v>0.4962155323727917</v>
      </c>
      <c r="H91" s="414" t="b">
        <f>Wh_hp&gt;='2020'!Maxi_hp</f>
        <v>0</v>
      </c>
      <c r="I91" s="380">
        <f>IF(H91,Wh_hp,'2020'!Maxi_hp)</f>
        <v>38.270489516966428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2.2307319049917007E-2</v>
      </c>
      <c r="M91" s="959"/>
      <c r="N91" s="959"/>
      <c r="O91" s="48">
        <f>IF(t&lt;Tnet,'2020'!Resal+('2020'!Salim-'2020'!Resal)*(1-EXP(('2020'!Tnet-t)/('2020'!Tau_j))),Resal+(Salim-Resal)*(1-EXP((Tnet-t)/(Tau_j))))*Salcycl</f>
        <v>8.3497036266798899E-2</v>
      </c>
      <c r="P91" s="169">
        <f>(INDEX(Models!$BJ91:$BT91,,T91)*(1-R91)+INDEX(Models!$BJ91:$BT91,,T91+1)*R91-ERP_i)*Q91*Ramure*Pc/MaxiM</f>
        <v>3.350238698941631E-4</v>
      </c>
      <c r="Q91" s="305">
        <f t="shared" si="27"/>
        <v>0.7</v>
      </c>
      <c r="R91" s="177">
        <f t="shared" si="28"/>
        <v>0.51472170933703898</v>
      </c>
      <c r="S91" s="921">
        <f t="shared" si="29"/>
        <v>-1</v>
      </c>
      <c r="T91" s="176">
        <f t="shared" si="30"/>
        <v>5</v>
      </c>
      <c r="U91" s="251">
        <f t="shared" si="31"/>
        <v>-0.48527829066296102</v>
      </c>
      <c r="V91" s="383">
        <f t="shared" si="32"/>
        <v>46.162352635093136</v>
      </c>
      <c r="W91" s="402"/>
      <c r="X91" s="157">
        <f t="shared" si="33"/>
        <v>44273</v>
      </c>
      <c r="Y91" s="385">
        <f t="shared" si="34"/>
        <v>22.911999999999999</v>
      </c>
      <c r="Z91" s="385">
        <f t="shared" si="35"/>
        <v>23.434766820321315</v>
      </c>
      <c r="AA91" s="386">
        <f t="shared" si="36"/>
        <v>25.56976654485026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8.3497036266798899E-2</v>
      </c>
      <c r="AD91" s="231">
        <f>(INDEX(Models!$BJ91:$BT91,,AH91)*(1-AF91)+INDEX(Models!$BJ91:$BT91,,AH91+1)*AF91-ERP_i)*AE91*Ramure*Pc/MaxiM</f>
        <v>3.350238698941631E-4</v>
      </c>
      <c r="AE91" s="305">
        <f t="shared" si="38"/>
        <v>0.7</v>
      </c>
      <c r="AF91" s="177">
        <f t="shared" si="39"/>
        <v>0.51472170933703898</v>
      </c>
      <c r="AG91" s="921">
        <f t="shared" si="47"/>
        <v>-1</v>
      </c>
      <c r="AH91" s="176">
        <f t="shared" si="40"/>
        <v>5</v>
      </c>
      <c r="AI91" s="225">
        <f t="shared" si="41"/>
        <v>-0.48527829066296102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20">
        <v>8.7580000000000009</v>
      </c>
      <c r="C92" s="390"/>
      <c r="D92" s="393">
        <f t="shared" si="24"/>
        <v>8.9580212652992888</v>
      </c>
      <c r="E92" s="385">
        <f t="shared" si="45"/>
        <v>9.774528263297487</v>
      </c>
      <c r="F92" s="385">
        <f t="shared" si="25"/>
        <v>9.774528263297487</v>
      </c>
      <c r="G92" s="110">
        <f t="shared" si="46"/>
        <v>0.18865739443821683</v>
      </c>
      <c r="H92" s="414" t="b">
        <f>Wh_hp&gt;='2020'!Maxi_hp</f>
        <v>0</v>
      </c>
      <c r="I92" s="380">
        <f>IF(H92,Wh_hp,'2020'!Maxi_hp)</f>
        <v>46.831517578729603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2.2328733028811998E-2</v>
      </c>
      <c r="M92" s="959"/>
      <c r="N92" s="959"/>
      <c r="O92" s="48">
        <f>IF(t&lt;Tnet,'2020'!Resal+('2020'!Salim-'2020'!Resal)*(1-EXP(('2020'!Tnet-t)/('2020'!Tau_j))),Resal+(Salim-Resal)*(1-EXP((Tnet-t)/(Tau_j))))*Salcycl</f>
        <v>8.3534158989964954E-2</v>
      </c>
      <c r="P92" s="169">
        <f>(INDEX(Models!$BJ92:$BT92,,T92)*(1-R92)+INDEX(Models!$BJ92:$BT92,,T92+1)*R92-ERP_i)*Q92*Ramure*Pc/MaxiM</f>
        <v>3.2089093782845389E-4</v>
      </c>
      <c r="Q92" s="305">
        <f t="shared" si="27"/>
        <v>0.7</v>
      </c>
      <c r="R92" s="177">
        <f t="shared" si="28"/>
        <v>0.51534632495124555</v>
      </c>
      <c r="S92" s="921">
        <f t="shared" si="29"/>
        <v>-1</v>
      </c>
      <c r="T92" s="176">
        <f t="shared" si="30"/>
        <v>5</v>
      </c>
      <c r="U92" s="251">
        <f t="shared" si="31"/>
        <v>-0.4846536750487544</v>
      </c>
      <c r="V92" s="383">
        <f t="shared" si="32"/>
        <v>46.407879549262645</v>
      </c>
      <c r="W92" s="402"/>
      <c r="X92" s="157">
        <f t="shared" si="33"/>
        <v>44274</v>
      </c>
      <c r="Y92" s="385">
        <f t="shared" si="34"/>
        <v>8.7580000000000009</v>
      </c>
      <c r="Z92" s="385">
        <f t="shared" si="35"/>
        <v>8.9580212652992888</v>
      </c>
      <c r="AA92" s="386">
        <f t="shared" si="36"/>
        <v>9.774528263297487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8.3534158989964954E-2</v>
      </c>
      <c r="AD92" s="231">
        <f>(INDEX(Models!$BJ92:$BT92,,AH92)*(1-AF92)+INDEX(Models!$BJ92:$BT92,,AH92+1)*AF92-ERP_i)*AE92*Ramure*Pc/MaxiM</f>
        <v>3.2089093782845389E-4</v>
      </c>
      <c r="AE92" s="305">
        <f t="shared" si="38"/>
        <v>0.7</v>
      </c>
      <c r="AF92" s="177">
        <f t="shared" si="39"/>
        <v>0.51534632495124555</v>
      </c>
      <c r="AG92" s="921">
        <f t="shared" si="47"/>
        <v>-1</v>
      </c>
      <c r="AH92" s="176">
        <f t="shared" si="40"/>
        <v>5</v>
      </c>
      <c r="AI92" s="225">
        <f t="shared" si="41"/>
        <v>-0.4846536750487544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20">
        <v>38.797000000000004</v>
      </c>
      <c r="C93" s="390"/>
      <c r="D93" s="393">
        <f t="shared" si="24"/>
        <v>39.68394191707943</v>
      </c>
      <c r="E93" s="385">
        <f t="shared" si="45"/>
        <v>43.30283065292673</v>
      </c>
      <c r="F93" s="385">
        <f t="shared" si="25"/>
        <v>43.312938277193346</v>
      </c>
      <c r="G93" s="110">
        <f t="shared" si="46"/>
        <v>0.83157352616376956</v>
      </c>
      <c r="H93" s="414" t="b">
        <f>Wh_hp&gt;='2020'!Maxi_hp</f>
        <v>0</v>
      </c>
      <c r="I93" s="380">
        <f>IF(H93,Wh_hp,'2020'!Maxi_hp)</f>
        <v>53.139538604347429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2.2350146538685833E-2</v>
      </c>
      <c r="M93" s="959"/>
      <c r="N93" s="959"/>
      <c r="O93" s="48">
        <f>IF(t&lt;Tnet,'2020'!Resal+('2020'!Salim-'2020'!Resal)*(1-EXP(('2020'!Tnet-t)/('2020'!Tau_j))),Resal+(Salim-Resal)*(1-EXP((Tnet-t)/(Tau_j))))*Salcycl</f>
        <v>8.3571643730470685E-2</v>
      </c>
      <c r="P93" s="169">
        <f>(INDEX(Models!$BJ93:$BT93,,T93)*(1-R93)+INDEX(Models!$BJ93:$BT93,,T93+1)*R93-ERP_i)*Q93*Ramure*Pc/MaxiM</f>
        <v>3.0726699736785621E-4</v>
      </c>
      <c r="Q93" s="305">
        <f t="shared" si="27"/>
        <v>0.7</v>
      </c>
      <c r="R93" s="177">
        <f t="shared" si="28"/>
        <v>0.51599543693386707</v>
      </c>
      <c r="S93" s="921">
        <f t="shared" si="29"/>
        <v>-1</v>
      </c>
      <c r="T93" s="176">
        <f t="shared" si="30"/>
        <v>5</v>
      </c>
      <c r="U93" s="251">
        <f t="shared" si="31"/>
        <v>-0.48400456306613293</v>
      </c>
      <c r="V93" s="383">
        <f t="shared" si="32"/>
        <v>46.651475600374809</v>
      </c>
      <c r="W93" s="402"/>
      <c r="X93" s="157">
        <f t="shared" si="33"/>
        <v>44275</v>
      </c>
      <c r="Y93" s="385">
        <f t="shared" si="34"/>
        <v>38.797000000000004</v>
      </c>
      <c r="Z93" s="385">
        <f t="shared" si="35"/>
        <v>39.68394191707943</v>
      </c>
      <c r="AA93" s="386">
        <f t="shared" si="36"/>
        <v>43.30283065292673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8.3571643730470685E-2</v>
      </c>
      <c r="AD93" s="231">
        <f>(INDEX(Models!$BJ93:$BT93,,AH93)*(1-AF93)+INDEX(Models!$BJ93:$BT93,,AH93+1)*AF93-ERP_i)*AE93*Ramure*Pc/MaxiM</f>
        <v>3.0726699736785621E-4</v>
      </c>
      <c r="AE93" s="305">
        <f t="shared" si="38"/>
        <v>0.7</v>
      </c>
      <c r="AF93" s="177">
        <f t="shared" si="39"/>
        <v>0.51599543693386707</v>
      </c>
      <c r="AG93" s="921">
        <f t="shared" si="47"/>
        <v>-1</v>
      </c>
      <c r="AH93" s="176">
        <f t="shared" si="40"/>
        <v>5</v>
      </c>
      <c r="AI93" s="225">
        <f t="shared" si="41"/>
        <v>-0.48400456306613293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20">
        <v>40.285000000000004</v>
      </c>
      <c r="C94" s="390"/>
      <c r="D94" s="393">
        <f t="shared" si="24"/>
        <v>41.206861763017585</v>
      </c>
      <c r="E94" s="385">
        <f t="shared" si="45"/>
        <v>44.966488375030053</v>
      </c>
      <c r="F94" s="385">
        <f t="shared" si="25"/>
        <v>44.977059875268885</v>
      </c>
      <c r="G94" s="110">
        <f t="shared" si="46"/>
        <v>0.85900007536546541</v>
      </c>
      <c r="H94" s="414" t="b">
        <f>Wh_hp&gt;='2020'!Maxi_hp</f>
        <v>0</v>
      </c>
      <c r="I94" s="380">
        <f>IF(H94,Wh_hp,'2020'!Maxi_hp)</f>
        <v>53.219933275475654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2.2371559579548839E-2</v>
      </c>
      <c r="M94" s="959"/>
      <c r="N94" s="959"/>
      <c r="O94" s="48">
        <f>IF(t&lt;Tnet,'2020'!Resal+('2020'!Salim-'2020'!Resal)*(1-EXP(('2020'!Tnet-t)/('2020'!Tau_j))),Resal+(Salim-Resal)*(1-EXP((Tnet-t)/(Tau_j))))*Salcycl</f>
        <v>8.3609522288162333E-2</v>
      </c>
      <c r="P94" s="169">
        <f>(INDEX(Models!$BJ94:$BT94,,T94)*(1-R94)+INDEX(Models!$BJ94:$BT94,,T94+1)*R94-ERP_i)*Q94*Ramure*Pc/MaxiM</f>
        <v>2.9430129796072685E-4</v>
      </c>
      <c r="Q94" s="305">
        <f t="shared" si="27"/>
        <v>0.7</v>
      </c>
      <c r="R94" s="177">
        <f t="shared" si="28"/>
        <v>0.51666993412356721</v>
      </c>
      <c r="S94" s="921">
        <f t="shared" si="29"/>
        <v>-1</v>
      </c>
      <c r="T94" s="176">
        <f t="shared" si="30"/>
        <v>5</v>
      </c>
      <c r="U94" s="251">
        <f t="shared" si="31"/>
        <v>-0.48333006587643274</v>
      </c>
      <c r="V94" s="383">
        <f t="shared" si="32"/>
        <v>46.894771415141449</v>
      </c>
      <c r="W94" s="402"/>
      <c r="X94" s="157">
        <f t="shared" si="33"/>
        <v>44276</v>
      </c>
      <c r="Y94" s="385">
        <f t="shared" si="34"/>
        <v>40.285000000000004</v>
      </c>
      <c r="Z94" s="385">
        <f t="shared" si="35"/>
        <v>41.206861763017585</v>
      </c>
      <c r="AA94" s="386">
        <f t="shared" si="36"/>
        <v>44.966488375030053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8.3609522288162333E-2</v>
      </c>
      <c r="AD94" s="231">
        <f>(INDEX(Models!$BJ94:$BT94,,AH94)*(1-AF94)+INDEX(Models!$BJ94:$BT94,,AH94+1)*AF94-ERP_i)*AE94*Ramure*Pc/MaxiM</f>
        <v>2.9430129796072685E-4</v>
      </c>
      <c r="AE94" s="305">
        <f t="shared" si="38"/>
        <v>0.7</v>
      </c>
      <c r="AF94" s="177">
        <f t="shared" si="39"/>
        <v>0.51666993412356721</v>
      </c>
      <c r="AG94" s="921">
        <f t="shared" si="47"/>
        <v>-1</v>
      </c>
      <c r="AH94" s="176">
        <f t="shared" si="40"/>
        <v>5</v>
      </c>
      <c r="AI94" s="225">
        <f t="shared" si="41"/>
        <v>-0.48333006587643274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20">
        <v>36.488999999999997</v>
      </c>
      <c r="C95" s="390"/>
      <c r="D95" s="393">
        <f t="shared" si="24"/>
        <v>37.324813509474275</v>
      </c>
      <c r="E95" s="385">
        <f t="shared" si="45"/>
        <v>40.731952849718184</v>
      </c>
      <c r="F95" s="385">
        <f t="shared" si="25"/>
        <v>40.739737791671722</v>
      </c>
      <c r="G95" s="110">
        <f t="shared" si="46"/>
        <v>0.7740334156887978</v>
      </c>
      <c r="H95" s="414" t="b">
        <f>Wh_hp&gt;='2020'!Maxi_hp</f>
        <v>0</v>
      </c>
      <c r="I95" s="380">
        <f>IF(H95,Wh_hp,'2020'!Maxi_hp)</f>
        <v>52.117627843898426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2.2392972151411228E-2</v>
      </c>
      <c r="M95" s="959"/>
      <c r="N95" s="959"/>
      <c r="O95" s="48">
        <f>IF(t&lt;Tnet,'2020'!Resal+('2020'!Salim-'2020'!Resal)*(1-EXP(('2020'!Tnet-t)/('2020'!Tau_j))),Resal+(Salim-Resal)*(1-EXP((Tnet-t)/(Tau_j))))*Salcycl</f>
        <v>8.3647826874755027E-2</v>
      </c>
      <c r="P95" s="169">
        <f>(INDEX(Models!$BJ95:$BT95,,T95)*(1-R95)+INDEX(Models!$BJ95:$BT95,,T95+1)*R95-ERP_i)*Q95*Ramure*Pc/MaxiM</f>
        <v>2.8213804464990668E-4</v>
      </c>
      <c r="Q95" s="305">
        <f t="shared" si="27"/>
        <v>0.7</v>
      </c>
      <c r="R95" s="177">
        <f t="shared" si="28"/>
        <v>0.51737073168474201</v>
      </c>
      <c r="S95" s="921">
        <f t="shared" si="29"/>
        <v>-1</v>
      </c>
      <c r="T95" s="176">
        <f t="shared" si="30"/>
        <v>5</v>
      </c>
      <c r="U95" s="251">
        <f t="shared" si="31"/>
        <v>-0.48262926831525804</v>
      </c>
      <c r="V95" s="383">
        <f t="shared" si="32"/>
        <v>47.137082663847508</v>
      </c>
      <c r="W95" s="402"/>
      <c r="X95" s="157">
        <f t="shared" si="33"/>
        <v>44277</v>
      </c>
      <c r="Y95" s="385">
        <f t="shared" si="34"/>
        <v>36.488999999999997</v>
      </c>
      <c r="Z95" s="385">
        <f t="shared" si="35"/>
        <v>37.324813509474275</v>
      </c>
      <c r="AA95" s="386">
        <f t="shared" si="36"/>
        <v>40.731952849718184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8.3647826874755027E-2</v>
      </c>
      <c r="AD95" s="231">
        <f>(INDEX(Models!$BJ95:$BT95,,AH95)*(1-AF95)+INDEX(Models!$BJ95:$BT95,,AH95+1)*AF95-ERP_i)*AE95*Ramure*Pc/MaxiM</f>
        <v>2.8213804464990668E-4</v>
      </c>
      <c r="AE95" s="305">
        <f t="shared" si="38"/>
        <v>0.7</v>
      </c>
      <c r="AF95" s="177">
        <f t="shared" si="39"/>
        <v>0.51737073168474201</v>
      </c>
      <c r="AG95" s="921">
        <f t="shared" si="47"/>
        <v>-1</v>
      </c>
      <c r="AH95" s="176">
        <f t="shared" si="40"/>
        <v>5</v>
      </c>
      <c r="AI95" s="225">
        <f t="shared" si="41"/>
        <v>-0.48262926831525804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20">
        <v>47.463999999999999</v>
      </c>
      <c r="C96" s="390"/>
      <c r="D96" s="393">
        <f t="shared" si="24"/>
        <v>48.552269218685019</v>
      </c>
      <c r="E96" s="385">
        <f t="shared" si="45"/>
        <v>52.986531343477232</v>
      </c>
      <c r="F96" s="385">
        <f t="shared" si="25"/>
        <v>53.000882324491272</v>
      </c>
      <c r="G96" s="110">
        <f t="shared" si="46"/>
        <v>1.0018208509752475</v>
      </c>
      <c r="H96" s="414" t="b">
        <f>Wh_hp&gt;='2020'!Maxi_hp</f>
        <v>1</v>
      </c>
      <c r="I96" s="380">
        <f>IF(H96,Wh_hp,'2020'!Maxi_hp)</f>
        <v>53.000882324491272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2.2414384254283437E-2</v>
      </c>
      <c r="M96" s="959"/>
      <c r="N96" s="959"/>
      <c r="O96" s="48">
        <f>IF(t&lt;Tnet,'2020'!Resal+('2020'!Salim-'2020'!Resal)*(1-EXP(('2020'!Tnet-t)/('2020'!Tau_j))),Resal+(Salim-Resal)*(1-EXP((Tnet-t)/(Tau_j))))*Salcycl</f>
        <v>8.3686590013748452E-2</v>
      </c>
      <c r="P96" s="169">
        <f>(INDEX(Models!$BJ96:$BT96,,T96)*(1-R96)+INDEX(Models!$BJ96:$BT96,,T96+1)*R96-ERP_i)*Q96*Ramure*Pc/MaxiM</f>
        <v>2.7076871902205794E-4</v>
      </c>
      <c r="Q96" s="305">
        <f t="shared" si="27"/>
        <v>0.7</v>
      </c>
      <c r="R96" s="177">
        <f t="shared" si="28"/>
        <v>0.51809877138703664</v>
      </c>
      <c r="S96" s="921">
        <f t="shared" si="29"/>
        <v>-1</v>
      </c>
      <c r="T96" s="176">
        <f t="shared" si="30"/>
        <v>5</v>
      </c>
      <c r="U96" s="251">
        <f t="shared" si="31"/>
        <v>-0.48190122861296336</v>
      </c>
      <c r="V96" s="383">
        <f t="shared" si="32"/>
        <v>47.377732210100213</v>
      </c>
      <c r="W96" s="402"/>
      <c r="X96" s="157">
        <f t="shared" si="33"/>
        <v>44278</v>
      </c>
      <c r="Y96" s="385">
        <f t="shared" si="34"/>
        <v>47.463999999999999</v>
      </c>
      <c r="Z96" s="385">
        <f t="shared" si="35"/>
        <v>48.552269218685019</v>
      </c>
      <c r="AA96" s="386">
        <f t="shared" si="36"/>
        <v>52.986531343477232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8.3686590013748452E-2</v>
      </c>
      <c r="AD96" s="231">
        <f>(INDEX(Models!$BJ96:$BT96,,AH96)*(1-AF96)+INDEX(Models!$BJ96:$BT96,,AH96+1)*AF96-ERP_i)*AE96*Ramure*Pc/MaxiM</f>
        <v>2.7076871902205794E-4</v>
      </c>
      <c r="AE96" s="305">
        <f t="shared" si="38"/>
        <v>0.7</v>
      </c>
      <c r="AF96" s="177">
        <f t="shared" si="39"/>
        <v>0.51809877138703664</v>
      </c>
      <c r="AG96" s="921">
        <f t="shared" si="47"/>
        <v>-1</v>
      </c>
      <c r="AH96" s="176">
        <f t="shared" si="40"/>
        <v>5</v>
      </c>
      <c r="AI96" s="225">
        <f t="shared" si="41"/>
        <v>-0.48190122861296336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20">
        <v>46.797000000000004</v>
      </c>
      <c r="C97" s="390"/>
      <c r="D97" s="393">
        <f t="shared" si="24"/>
        <v>47.871024535434863</v>
      </c>
      <c r="E97" s="385">
        <f t="shared" si="45"/>
        <v>52.245306980506342</v>
      </c>
      <c r="F97" s="385">
        <f t="shared" si="25"/>
        <v>52.258569742290085</v>
      </c>
      <c r="G97" s="110">
        <f t="shared" si="46"/>
        <v>0.98279272571051079</v>
      </c>
      <c r="H97" s="414" t="b">
        <f>Wh_hp&gt;='2020'!Maxi_hp</f>
        <v>0</v>
      </c>
      <c r="I97" s="380">
        <f>IF(H97,Wh_hp,'2020'!Maxi_hp)</f>
        <v>52.635831121779191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2.2435795888175569E-2</v>
      </c>
      <c r="M97" s="959"/>
      <c r="N97" s="959"/>
      <c r="O97" s="48">
        <f>IF(t&lt;Tnet,'2020'!Resal+('2020'!Salim-'2020'!Resal)*(1-EXP(('2020'!Tnet-t)/('2020'!Tau_j))),Resal+(Salim-Resal)*(1-EXP((Tnet-t)/(Tau_j))))*Salcycl</f>
        <v>8.3725844441943864E-2</v>
      </c>
      <c r="P97" s="169">
        <f>(INDEX(Models!$BJ97:$BT97,,T97)*(1-R97)+INDEX(Models!$BJ97:$BT97,,T97+1)*R97-ERP_i)*Q97*Ramure*Pc/MaxiM</f>
        <v>2.601846113276318E-4</v>
      </c>
      <c r="Q97" s="305">
        <f t="shared" si="27"/>
        <v>0.7</v>
      </c>
      <c r="R97" s="177">
        <f t="shared" si="28"/>
        <v>0.51885502183959642</v>
      </c>
      <c r="S97" s="921">
        <f t="shared" si="29"/>
        <v>-1</v>
      </c>
      <c r="T97" s="176">
        <f t="shared" si="30"/>
        <v>5</v>
      </c>
      <c r="U97" s="251">
        <f t="shared" si="31"/>
        <v>-0.48114497816040358</v>
      </c>
      <c r="V97" s="383">
        <f t="shared" si="32"/>
        <v>47.616043041785581</v>
      </c>
      <c r="W97" s="402"/>
      <c r="X97" s="157">
        <f t="shared" si="33"/>
        <v>44279</v>
      </c>
      <c r="Y97" s="385">
        <f t="shared" si="34"/>
        <v>46.797000000000004</v>
      </c>
      <c r="Z97" s="385">
        <f t="shared" si="35"/>
        <v>47.871024535434863</v>
      </c>
      <c r="AA97" s="386">
        <f t="shared" si="36"/>
        <v>52.245306980506342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8.3725844441943864E-2</v>
      </c>
      <c r="AD97" s="231">
        <f>(INDEX(Models!$BJ97:$BT97,,AH97)*(1-AF97)+INDEX(Models!$BJ97:$BT97,,AH97+1)*AF97-ERP_i)*AE97*Ramure*Pc/MaxiM</f>
        <v>2.601846113276318E-4</v>
      </c>
      <c r="AE97" s="305">
        <f t="shared" si="38"/>
        <v>0.7</v>
      </c>
      <c r="AF97" s="177">
        <f t="shared" si="39"/>
        <v>0.51885502183959642</v>
      </c>
      <c r="AG97" s="921">
        <f t="shared" si="47"/>
        <v>-1</v>
      </c>
      <c r="AH97" s="176">
        <f t="shared" si="40"/>
        <v>5</v>
      </c>
      <c r="AI97" s="225">
        <f t="shared" si="41"/>
        <v>-0.48114497816040358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20">
        <v>34.686</v>
      </c>
      <c r="C98" s="390"/>
      <c r="D98" s="393">
        <f t="shared" si="24"/>
        <v>35.482845610712893</v>
      </c>
      <c r="E98" s="385">
        <f t="shared" si="45"/>
        <v>38.726821981291991</v>
      </c>
      <c r="F98" s="385">
        <f t="shared" si="25"/>
        <v>38.732708116909073</v>
      </c>
      <c r="G98" s="110">
        <f t="shared" si="46"/>
        <v>0.72479866432811502</v>
      </c>
      <c r="H98" s="414" t="b">
        <f>Wh_hp&gt;='2020'!Maxi_hp</f>
        <v>0</v>
      </c>
      <c r="I98" s="380">
        <f>IF(H98,Wh_hp,'2020'!Maxi_hp)</f>
        <v>47.578792902284313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2.2457207053098061E-2</v>
      </c>
      <c r="M98" s="959"/>
      <c r="N98" s="959"/>
      <c r="O98" s="48">
        <f>IF(t&lt;Tnet,'2020'!Resal+('2020'!Salim-'2020'!Resal)*(1-EXP(('2020'!Tnet-t)/('2020'!Tau_j))),Resal+(Salim-Resal)*(1-EXP((Tnet-t)/(Tau_j))))*Salcycl</f>
        <v>8.3765623013068002E-2</v>
      </c>
      <c r="P98" s="169">
        <f>(INDEX(Models!$BJ98:$BT98,,T98)*(1-R98)+INDEX(Models!$BJ98:$BT98,,T98+1)*R98-ERP_i)*Q98*Ramure*Pc/MaxiM</f>
        <v>2.503769618526332E-4</v>
      </c>
      <c r="Q98" s="305">
        <f t="shared" si="27"/>
        <v>0.7</v>
      </c>
      <c r="R98" s="177">
        <f t="shared" si="28"/>
        <v>0.51964047867484364</v>
      </c>
      <c r="S98" s="921">
        <f t="shared" si="29"/>
        <v>-1</v>
      </c>
      <c r="T98" s="176">
        <f t="shared" si="30"/>
        <v>5</v>
      </c>
      <c r="U98" s="251">
        <f t="shared" si="31"/>
        <v>-0.4803595213251563</v>
      </c>
      <c r="V98" s="383">
        <f t="shared" si="32"/>
        <v>47.851338279111104</v>
      </c>
      <c r="W98" s="402"/>
      <c r="X98" s="157">
        <f t="shared" si="33"/>
        <v>44280</v>
      </c>
      <c r="Y98" s="385">
        <f t="shared" si="34"/>
        <v>34.686</v>
      </c>
      <c r="Z98" s="385">
        <f t="shared" si="35"/>
        <v>35.482845610712893</v>
      </c>
      <c r="AA98" s="386">
        <f t="shared" si="36"/>
        <v>38.726821981291991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8.3765623013068002E-2</v>
      </c>
      <c r="AD98" s="231">
        <f>(INDEX(Models!$BJ98:$BT98,,AH98)*(1-AF98)+INDEX(Models!$BJ98:$BT98,,AH98+1)*AF98-ERP_i)*AE98*Ramure*Pc/MaxiM</f>
        <v>2.503769618526332E-4</v>
      </c>
      <c r="AE98" s="305">
        <f t="shared" si="38"/>
        <v>0.7</v>
      </c>
      <c r="AF98" s="177">
        <f t="shared" si="39"/>
        <v>0.51964047867484364</v>
      </c>
      <c r="AG98" s="921">
        <f t="shared" si="47"/>
        <v>-1</v>
      </c>
      <c r="AH98" s="176">
        <f t="shared" si="40"/>
        <v>5</v>
      </c>
      <c r="AI98" s="225">
        <f t="shared" si="41"/>
        <v>-0.4803595213251563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20">
        <v>38.905999999999999</v>
      </c>
      <c r="C99" s="390"/>
      <c r="D99" s="393">
        <f t="shared" si="24"/>
        <v>39.800663910196143</v>
      </c>
      <c r="E99" s="385">
        <f t="shared" si="45"/>
        <v>43.441304038115476</v>
      </c>
      <c r="F99" s="385">
        <f t="shared" si="25"/>
        <v>43.448930890739376</v>
      </c>
      <c r="G99" s="110">
        <f t="shared" si="46"/>
        <v>0.80909026226793768</v>
      </c>
      <c r="H99" s="414" t="b">
        <f>Wh_hp&gt;='2020'!Maxi_hp</f>
        <v>0</v>
      </c>
      <c r="I99" s="380">
        <f>IF(H99,Wh_hp,'2020'!Maxi_hp)</f>
        <v>56.081839676566283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2.2478617749061014E-2</v>
      </c>
      <c r="M99" s="959"/>
      <c r="N99" s="959"/>
      <c r="O99" s="48">
        <f>IF(t&lt;Tnet,'2020'!Resal+('2020'!Salim-'2020'!Resal)*(1-EXP(('2020'!Tnet-t)/('2020'!Tau_j))),Resal+(Salim-Resal)*(1-EXP((Tnet-t)/(Tau_j))))*Salcycl</f>
        <v>8.3805958603936678E-2</v>
      </c>
      <c r="P99" s="169">
        <f>(INDEX(Models!$BJ99:$BT99,,T99)*(1-R99)+INDEX(Models!$BJ99:$BT99,,T99+1)*R99-ERP_i)*Q99*Ramure*Pc/MaxiM</f>
        <v>2.4133709684769222E-4</v>
      </c>
      <c r="Q99" s="305">
        <f t="shared" si="27"/>
        <v>0.7</v>
      </c>
      <c r="R99" s="177">
        <f t="shared" si="28"/>
        <v>0.52045616467624733</v>
      </c>
      <c r="S99" s="921">
        <f t="shared" si="29"/>
        <v>-1</v>
      </c>
      <c r="T99" s="176">
        <f t="shared" si="30"/>
        <v>5</v>
      </c>
      <c r="U99" s="251">
        <f t="shared" si="31"/>
        <v>-0.47954383532375272</v>
      </c>
      <c r="V99" s="383">
        <f t="shared" si="32"/>
        <v>48.082941185069842</v>
      </c>
      <c r="W99" s="402"/>
      <c r="X99" s="157">
        <f t="shared" si="33"/>
        <v>44281</v>
      </c>
      <c r="Y99" s="385">
        <f t="shared" si="34"/>
        <v>38.905999999999999</v>
      </c>
      <c r="Z99" s="385">
        <f t="shared" si="35"/>
        <v>39.800663910196143</v>
      </c>
      <c r="AA99" s="386">
        <f t="shared" si="36"/>
        <v>43.441304038115476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8.3805958603936678E-2</v>
      </c>
      <c r="AD99" s="231">
        <f>(INDEX(Models!$BJ99:$BT99,,AH99)*(1-AF99)+INDEX(Models!$BJ99:$BT99,,AH99+1)*AF99-ERP_i)*AE99*Ramure*Pc/MaxiM</f>
        <v>2.4133709684769222E-4</v>
      </c>
      <c r="AE99" s="305">
        <f t="shared" si="38"/>
        <v>0.7</v>
      </c>
      <c r="AF99" s="177">
        <f t="shared" si="39"/>
        <v>0.52045616467624733</v>
      </c>
      <c r="AG99" s="921">
        <f t="shared" si="47"/>
        <v>-1</v>
      </c>
      <c r="AH99" s="176">
        <f t="shared" si="40"/>
        <v>5</v>
      </c>
      <c r="AI99" s="225">
        <f t="shared" si="41"/>
        <v>-0.47954383532375272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20">
        <v>39.555999999999997</v>
      </c>
      <c r="C100" s="390"/>
      <c r="D100" s="393">
        <f t="shared" si="24"/>
        <v>40.466497321835043</v>
      </c>
      <c r="E100" s="385">
        <f t="shared" si="45"/>
        <v>44.170015487753567</v>
      </c>
      <c r="F100" s="385">
        <f t="shared" si="25"/>
        <v>44.177653254669181</v>
      </c>
      <c r="G100" s="110">
        <f t="shared" si="46"/>
        <v>0.81874303715802554</v>
      </c>
      <c r="H100" s="414" t="b">
        <f>Wh_hp&gt;='2020'!Maxi_hp</f>
        <v>0</v>
      </c>
      <c r="I100" s="380">
        <f>IF(H100,Wh_hp,'2020'!Maxi_hp)</f>
        <v>55.275486537639232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2.2500027976074866E-2</v>
      </c>
      <c r="M100" s="959"/>
      <c r="N100" s="959"/>
      <c r="O100" s="48">
        <f>IF(t&lt;Tnet,'2020'!Resal+('2020'!Salim-'2020'!Resal)*(1-EXP(('2020'!Tnet-t)/('2020'!Tau_j))),Resal+(Salim-Resal)*(1-EXP((Tnet-t)/(Tau_j))))*Salcycl</f>
        <v>8.384688402351477E-2</v>
      </c>
      <c r="P100" s="169">
        <f>(INDEX(Models!$BJ100:$BT100,,T100)*(1-R100)+INDEX(Models!$BJ100:$BT100,,T100+1)*R100-ERP_i)*Q100*Ramure*Pc/MaxiM</f>
        <v>2.3327495674485907E-4</v>
      </c>
      <c r="Q100" s="305">
        <f t="shared" si="27"/>
        <v>0.7</v>
      </c>
      <c r="R100" s="177">
        <f t="shared" si="28"/>
        <v>0.5213031298442119</v>
      </c>
      <c r="S100" s="921">
        <f t="shared" si="29"/>
        <v>-1</v>
      </c>
      <c r="T100" s="176">
        <f t="shared" si="30"/>
        <v>5</v>
      </c>
      <c r="U100" s="251">
        <f t="shared" si="31"/>
        <v>-0.4786968701557881</v>
      </c>
      <c r="V100" s="383">
        <f t="shared" si="32"/>
        <v>48.310164615992946</v>
      </c>
      <c r="W100" s="402"/>
      <c r="X100" s="157">
        <f t="shared" si="33"/>
        <v>44282</v>
      </c>
      <c r="Y100" s="385">
        <f t="shared" si="34"/>
        <v>39.555999999999997</v>
      </c>
      <c r="Z100" s="385">
        <f t="shared" si="35"/>
        <v>40.466497321835043</v>
      </c>
      <c r="AA100" s="386">
        <f t="shared" si="36"/>
        <v>44.170015487753567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8.384688402351477E-2</v>
      </c>
      <c r="AD100" s="231">
        <f>(INDEX(Models!$BJ100:$BT100,,AH100)*(1-AF100)+INDEX(Models!$BJ100:$BT100,,AH100+1)*AF100-ERP_i)*AE100*Ramure*Pc/MaxiM</f>
        <v>2.3327495674485907E-4</v>
      </c>
      <c r="AE100" s="305">
        <f t="shared" si="38"/>
        <v>0.7</v>
      </c>
      <c r="AF100" s="177">
        <f t="shared" si="39"/>
        <v>0.5213031298442119</v>
      </c>
      <c r="AG100" s="921">
        <f t="shared" si="47"/>
        <v>-1</v>
      </c>
      <c r="AH100" s="176">
        <f t="shared" si="40"/>
        <v>5</v>
      </c>
      <c r="AI100" s="225">
        <f t="shared" si="41"/>
        <v>-0.4786968701557881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20">
        <v>47.15</v>
      </c>
      <c r="C101" s="390"/>
      <c r="D101" s="393">
        <f t="shared" si="24"/>
        <v>48.23635199804653</v>
      </c>
      <c r="E101" s="385">
        <f t="shared" si="45"/>
        <v>52.653359786092622</v>
      </c>
      <c r="F101" s="385">
        <f t="shared" si="25"/>
        <v>52.664762380364031</v>
      </c>
      <c r="G101" s="110">
        <f t="shared" si="46"/>
        <v>0.97150790079704841</v>
      </c>
      <c r="H101" s="414" t="b">
        <f>Wh_hp&gt;='2020'!Maxi_hp</f>
        <v>0</v>
      </c>
      <c r="I101" s="380">
        <f>IF(H101,Wh_hp,'2020'!Maxi_hp)</f>
        <v>54.062253279945516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2.2521437734149719E-2</v>
      </c>
      <c r="M101" s="959"/>
      <c r="N101" s="959"/>
      <c r="O101" s="48">
        <f>IF(t&lt;Tnet,'2020'!Resal+('2020'!Salim-'2020'!Resal)*(1-EXP(('2020'!Tnet-t)/('2020'!Tau_j))),Resal+(Salim-Resal)*(1-EXP((Tnet-t)/(Tau_j))))*Salcycl</f>
        <v>8.3888431925150636E-2</v>
      </c>
      <c r="P101" s="169">
        <f>(INDEX(Models!$BJ101:$BT101,,T101)*(1-R101)+INDEX(Models!$BJ101:$BT101,,T101+1)*R101-ERP_i)*Q101*Ramure*Pc/MaxiM</f>
        <v>2.2569642715711833E-4</v>
      </c>
      <c r="Q101" s="305">
        <f t="shared" si="27"/>
        <v>0.7</v>
      </c>
      <c r="R101" s="177">
        <f t="shared" si="28"/>
        <v>0.52218245139387609</v>
      </c>
      <c r="S101" s="921">
        <f t="shared" si="29"/>
        <v>-1</v>
      </c>
      <c r="T101" s="176">
        <f t="shared" si="30"/>
        <v>5</v>
      </c>
      <c r="U101" s="251">
        <f t="shared" si="31"/>
        <v>-0.47781754860612391</v>
      </c>
      <c r="V101" s="383">
        <f t="shared" si="32"/>
        <v>48.532355587355752</v>
      </c>
      <c r="W101" s="402"/>
      <c r="X101" s="157">
        <f t="shared" si="33"/>
        <v>44283</v>
      </c>
      <c r="Y101" s="385">
        <f t="shared" si="34"/>
        <v>47.15</v>
      </c>
      <c r="Z101" s="385">
        <f t="shared" si="35"/>
        <v>48.23635199804653</v>
      </c>
      <c r="AA101" s="386">
        <f t="shared" si="36"/>
        <v>52.653359786092622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8.3888431925150636E-2</v>
      </c>
      <c r="AD101" s="231">
        <f>(INDEX(Models!$BJ101:$BT101,,AH101)*(1-AF101)+INDEX(Models!$BJ101:$BT101,,AH101+1)*AF101-ERP_i)*AE101*Ramure*Pc/MaxiM</f>
        <v>2.2569642715711833E-4</v>
      </c>
      <c r="AE101" s="305">
        <f t="shared" si="38"/>
        <v>0.7</v>
      </c>
      <c r="AF101" s="177">
        <f t="shared" si="39"/>
        <v>0.52218245139387609</v>
      </c>
      <c r="AG101" s="921">
        <f t="shared" si="47"/>
        <v>-1</v>
      </c>
      <c r="AH101" s="176">
        <f t="shared" si="40"/>
        <v>5</v>
      </c>
      <c r="AI101" s="225">
        <f t="shared" si="41"/>
        <v>-0.47781754860612391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20">
        <v>49.179000000000002</v>
      </c>
      <c r="C102" s="390"/>
      <c r="D102" s="393">
        <f t="shared" si="24"/>
        <v>50.313202834755963</v>
      </c>
      <c r="E102" s="385">
        <f t="shared" si="45"/>
        <v>54.922918221915964</v>
      </c>
      <c r="F102" s="385">
        <f t="shared" si="25"/>
        <v>54.934926813744624</v>
      </c>
      <c r="G102" s="110">
        <f t="shared" si="46"/>
        <v>1.008824048810715</v>
      </c>
      <c r="H102" s="414" t="b">
        <f>Wh_hp&gt;='2020'!Maxi_hp</f>
        <v>1</v>
      </c>
      <c r="I102" s="380">
        <f>IF(H102,Wh_hp,'2020'!Maxi_hp)</f>
        <v>54.934926813744624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2.2542847023295898E-2</v>
      </c>
      <c r="M102" s="959"/>
      <c r="N102" s="959"/>
      <c r="O102" s="48">
        <f>IF(t&lt;Tnet,'2020'!Resal+('2020'!Salim-'2020'!Resal)*(1-EXP(('2020'!Tnet-t)/('2020'!Tau_j))),Resal+(Salim-Resal)*(1-EXP((Tnet-t)/(Tau_j))))*Salcycl</f>
        <v>8.3930634722183775E-2</v>
      </c>
      <c r="P102" s="169">
        <f>(INDEX(Models!$BJ102:$BT102,,T102)*(1-R102)+INDEX(Models!$BJ102:$BT102,,T102+1)*R102-ERP_i)*Q102*Ramure*Pc/MaxiM</f>
        <v>2.1859666563995176E-4</v>
      </c>
      <c r="Q102" s="305">
        <f t="shared" si="27"/>
        <v>0.7</v>
      </c>
      <c r="R102" s="177">
        <f t="shared" si="28"/>
        <v>0.52309523367826249</v>
      </c>
      <c r="S102" s="921">
        <f t="shared" si="29"/>
        <v>-1</v>
      </c>
      <c r="T102" s="176">
        <f t="shared" si="30"/>
        <v>5</v>
      </c>
      <c r="U102" s="251">
        <f t="shared" si="31"/>
        <v>-0.47690476632173751</v>
      </c>
      <c r="V102" s="383">
        <f t="shared" si="32"/>
        <v>48.748837875124281</v>
      </c>
      <c r="W102" s="402"/>
      <c r="X102" s="157">
        <f t="shared" si="33"/>
        <v>44284</v>
      </c>
      <c r="Y102" s="385">
        <f t="shared" si="34"/>
        <v>49.179000000000002</v>
      </c>
      <c r="Z102" s="385">
        <f t="shared" si="35"/>
        <v>50.313202834755963</v>
      </c>
      <c r="AA102" s="386">
        <f t="shared" si="36"/>
        <v>54.922918221915964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8.3930634722183775E-2</v>
      </c>
      <c r="AD102" s="231">
        <f>(INDEX(Models!$BJ102:$BT102,,AH102)*(1-AF102)+INDEX(Models!$BJ102:$BT102,,AH102+1)*AF102-ERP_i)*AE102*Ramure*Pc/MaxiM</f>
        <v>2.1859666563995176E-4</v>
      </c>
      <c r="AE102" s="305">
        <f t="shared" si="38"/>
        <v>0.7</v>
      </c>
      <c r="AF102" s="177">
        <f t="shared" si="39"/>
        <v>0.52309523367826249</v>
      </c>
      <c r="AG102" s="921">
        <f t="shared" si="47"/>
        <v>-1</v>
      </c>
      <c r="AH102" s="176">
        <f t="shared" si="40"/>
        <v>5</v>
      </c>
      <c r="AI102" s="225">
        <f t="shared" si="41"/>
        <v>-0.47690476632173751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20">
        <v>45.963999999999999</v>
      </c>
      <c r="C103" s="390"/>
      <c r="D103" s="393">
        <f t="shared" si="24"/>
        <v>47.025086073219853</v>
      </c>
      <c r="E103" s="385">
        <f t="shared" si="45"/>
        <v>51.335946428746531</v>
      </c>
      <c r="F103" s="385">
        <f t="shared" si="25"/>
        <v>51.345879137357414</v>
      </c>
      <c r="G103" s="110">
        <f t="shared" si="46"/>
        <v>0.93881020871287879</v>
      </c>
      <c r="H103" s="414" t="b">
        <f>Wh_hp&gt;='2020'!Maxi_hp</f>
        <v>0</v>
      </c>
      <c r="I103" s="380">
        <f>IF(H103,Wh_hp,'2020'!Maxi_hp)</f>
        <v>56.1503147173473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2.2564255843523728E-2</v>
      </c>
      <c r="M103" s="959"/>
      <c r="N103" s="959"/>
      <c r="O103" s="48">
        <f>IF(t&lt;Tnet,'2020'!Resal+('2020'!Salim-'2020'!Resal)*(1-EXP(('2020'!Tnet-t)/('2020'!Tau_j))),Resal+(Salim-Resal)*(1-EXP((Tnet-t)/(Tau_j))))*Salcycl</f>
        <v>8.3973524507044636E-2</v>
      </c>
      <c r="P103" s="169">
        <f>(INDEX(Models!$BJ103:$BT103,,T103)*(1-R103)+INDEX(Models!$BJ103:$BT103,,T103+1)*R103-ERP_i)*Q103*Ramure*Pc/MaxiM</f>
        <v>2.119710093066893E-4</v>
      </c>
      <c r="Q103" s="305">
        <f t="shared" si="27"/>
        <v>0.7</v>
      </c>
      <c r="R103" s="177">
        <f t="shared" si="28"/>
        <v>0.52404260802988079</v>
      </c>
      <c r="S103" s="921">
        <f t="shared" si="29"/>
        <v>-1</v>
      </c>
      <c r="T103" s="176">
        <f t="shared" si="30"/>
        <v>5</v>
      </c>
      <c r="U103" s="251">
        <f t="shared" si="31"/>
        <v>-0.47595739197011916</v>
      </c>
      <c r="V103" s="383">
        <f t="shared" si="32"/>
        <v>48.958935441060021</v>
      </c>
      <c r="W103" s="402"/>
      <c r="X103" s="157">
        <f t="shared" si="33"/>
        <v>44285</v>
      </c>
      <c r="Y103" s="385">
        <f t="shared" si="34"/>
        <v>45.963999999999999</v>
      </c>
      <c r="Z103" s="385">
        <f t="shared" si="35"/>
        <v>47.025086073219853</v>
      </c>
      <c r="AA103" s="386">
        <f t="shared" si="36"/>
        <v>51.335946428746531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8.3973524507044636E-2</v>
      </c>
      <c r="AD103" s="231">
        <f>(INDEX(Models!$BJ103:$BT103,,AH103)*(1-AF103)+INDEX(Models!$BJ103:$BT103,,AH103+1)*AF103-ERP_i)*AE103*Ramure*Pc/MaxiM</f>
        <v>2.119710093066893E-4</v>
      </c>
      <c r="AE103" s="305">
        <f t="shared" si="38"/>
        <v>0.7</v>
      </c>
      <c r="AF103" s="177">
        <f t="shared" si="39"/>
        <v>0.52404260802988079</v>
      </c>
      <c r="AG103" s="921">
        <f t="shared" si="47"/>
        <v>-1</v>
      </c>
      <c r="AH103" s="176">
        <f t="shared" si="40"/>
        <v>5</v>
      </c>
      <c r="AI103" s="225">
        <f t="shared" si="41"/>
        <v>-0.47595739197011916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20">
        <v>44.314999999999998</v>
      </c>
      <c r="C104" s="390"/>
      <c r="D104" s="393">
        <f t="shared" si="24"/>
        <v>45.339011693024737</v>
      </c>
      <c r="E104" s="385">
        <f t="shared" si="45"/>
        <v>49.49766346637599</v>
      </c>
      <c r="F104" s="385">
        <f t="shared" si="25"/>
        <v>49.506417533337903</v>
      </c>
      <c r="G104" s="110">
        <f t="shared" si="46"/>
        <v>0.90138196181106645</v>
      </c>
      <c r="H104" s="414" t="b">
        <f>Wh_hp&gt;='2020'!Maxi_hp</f>
        <v>1</v>
      </c>
      <c r="I104" s="380">
        <f>IF(H104,Wh_hp,'2020'!Maxi_hp)</f>
        <v>49.506417533337903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2.2585664194843535E-2</v>
      </c>
      <c r="M104" s="959"/>
      <c r="N104" s="959"/>
      <c r="O104" s="48">
        <f>IF(t&lt;Tnet,'2020'!Resal+('2020'!Salim-'2020'!Resal)*(1-EXP(('2020'!Tnet-t)/('2020'!Tau_j))),Resal+(Salim-Resal)*(1-EXP((Tnet-t)/(Tau_j))))*Salcycl</f>
        <v>8.4017132973887715E-2</v>
      </c>
      <c r="P104" s="169">
        <f>(INDEX(Models!$BJ104:$BT104,,T104)*(1-R104)+INDEX(Models!$BJ104:$BT104,,T104+1)*R104-ERP_i)*Q104*Ramure*Pc/MaxiM</f>
        <v>2.0581505214607506E-4</v>
      </c>
      <c r="Q104" s="305">
        <f t="shared" si="27"/>
        <v>0.7</v>
      </c>
      <c r="R104" s="177">
        <f t="shared" si="28"/>
        <v>0.52502573251354512</v>
      </c>
      <c r="S104" s="921">
        <f t="shared" si="29"/>
        <v>-1</v>
      </c>
      <c r="T104" s="176">
        <f t="shared" si="30"/>
        <v>5</v>
      </c>
      <c r="U104" s="251">
        <f t="shared" si="31"/>
        <v>-0.47497426748645488</v>
      </c>
      <c r="V104" s="383">
        <f t="shared" si="32"/>
        <v>49.161972438812498</v>
      </c>
      <c r="W104" s="402"/>
      <c r="X104" s="157">
        <f t="shared" si="33"/>
        <v>44286</v>
      </c>
      <c r="Y104" s="385">
        <f t="shared" si="34"/>
        <v>44.314999999999998</v>
      </c>
      <c r="Z104" s="385">
        <f t="shared" si="35"/>
        <v>45.339011693024737</v>
      </c>
      <c r="AA104" s="386">
        <f t="shared" si="36"/>
        <v>49.49766346637599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8.4017132973887715E-2</v>
      </c>
      <c r="AD104" s="231">
        <f>(INDEX(Models!$BJ104:$BT104,,AH104)*(1-AF104)+INDEX(Models!$BJ104:$BT104,,AH104+1)*AF104-ERP_i)*AE104*Ramure*Pc/MaxiM</f>
        <v>2.0581505214607506E-4</v>
      </c>
      <c r="AE104" s="305">
        <f t="shared" si="38"/>
        <v>0.7</v>
      </c>
      <c r="AF104" s="177">
        <f t="shared" si="39"/>
        <v>0.52502573251354512</v>
      </c>
      <c r="AG104" s="921">
        <f t="shared" si="47"/>
        <v>-1</v>
      </c>
      <c r="AH104" s="176">
        <f t="shared" si="40"/>
        <v>5</v>
      </c>
      <c r="AI104" s="225">
        <f t="shared" si="41"/>
        <v>-0.47497426748645488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20">
        <v>44.258000000000003</v>
      </c>
      <c r="C105" s="390"/>
      <c r="D105" s="393">
        <f t="shared" si="24"/>
        <v>45.281686347027374</v>
      </c>
      <c r="E105" s="385">
        <f t="shared" si="45"/>
        <v>49.437474152612147</v>
      </c>
      <c r="F105" s="385">
        <f t="shared" si="25"/>
        <v>49.445909039564896</v>
      </c>
      <c r="G105" s="110">
        <f t="shared" si="46"/>
        <v>0.8966599986127074</v>
      </c>
      <c r="H105" s="414" t="b">
        <f>Wh_hp&gt;='2020'!Maxi_hp</f>
        <v>1</v>
      </c>
      <c r="I105" s="380">
        <f>IF(H105,Wh_hp,'2020'!Maxi_hp)</f>
        <v>49.445909039564896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2.2607072077265422E-2</v>
      </c>
      <c r="M105" s="959"/>
      <c r="N105" s="959"/>
      <c r="O105" s="48">
        <f>IF(t&lt;Tnet,'2020'!Resal+('2020'!Salim-'2020'!Resal)*(1-EXP(('2020'!Tnet-t)/('2020'!Tau_j))),Resal+(Salim-Resal)*(1-EXP((Tnet-t)/(Tau_j))))*Salcycl</f>
        <v>8.4061491344722947E-2</v>
      </c>
      <c r="P105" s="169">
        <f>(INDEX(Models!$BJ105:$BT105,,T105)*(1-R105)+INDEX(Models!$BJ105:$BT105,,T105+1)*R105-ERP_i)*Q105*Ramure*Pc/MaxiM</f>
        <v>2.0012472003355601E-4</v>
      </c>
      <c r="Q105" s="305">
        <f t="shared" si="27"/>
        <v>0.7</v>
      </c>
      <c r="R105" s="177">
        <f t="shared" si="28"/>
        <v>0.52604579158283027</v>
      </c>
      <c r="S105" s="921">
        <f t="shared" si="29"/>
        <v>-1</v>
      </c>
      <c r="T105" s="176">
        <f t="shared" si="30"/>
        <v>5</v>
      </c>
      <c r="U105" s="251">
        <f t="shared" si="31"/>
        <v>-0.47395420841716968</v>
      </c>
      <c r="V105" s="383">
        <f t="shared" si="32"/>
        <v>49.357273232485923</v>
      </c>
      <c r="W105" s="402"/>
      <c r="X105" s="157">
        <f t="shared" si="33"/>
        <v>44287</v>
      </c>
      <c r="Y105" s="385">
        <f t="shared" si="34"/>
        <v>44.258000000000003</v>
      </c>
      <c r="Z105" s="385">
        <f t="shared" si="35"/>
        <v>45.281686347027374</v>
      </c>
      <c r="AA105" s="386">
        <f t="shared" si="36"/>
        <v>49.437474152612147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8.4061491344722947E-2</v>
      </c>
      <c r="AD105" s="231">
        <f>(INDEX(Models!$BJ105:$BT105,,AH105)*(1-AF105)+INDEX(Models!$BJ105:$BT105,,AH105+1)*AF105-ERP_i)*AE105*Ramure*Pc/MaxiM</f>
        <v>2.0012472003355601E-4</v>
      </c>
      <c r="AE105" s="305">
        <f t="shared" si="38"/>
        <v>0.7</v>
      </c>
      <c r="AF105" s="177">
        <f t="shared" si="39"/>
        <v>0.52604579158283027</v>
      </c>
      <c r="AG105" s="921">
        <f t="shared" si="47"/>
        <v>-1</v>
      </c>
      <c r="AH105" s="176">
        <f t="shared" si="40"/>
        <v>5</v>
      </c>
      <c r="AI105" s="225">
        <f t="shared" si="41"/>
        <v>-0.47395420841716968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20">
        <v>38.447000000000003</v>
      </c>
      <c r="C106" s="390"/>
      <c r="D106" s="393">
        <f t="shared" si="24"/>
        <v>39.337139657977268</v>
      </c>
      <c r="E106" s="385">
        <f t="shared" si="45"/>
        <v>42.949475298436212</v>
      </c>
      <c r="F106" s="385">
        <f t="shared" si="25"/>
        <v>42.955168302221622</v>
      </c>
      <c r="G106" s="110">
        <f t="shared" si="46"/>
        <v>0.77596633309323504</v>
      </c>
      <c r="H106" s="414" t="b">
        <f>Wh_hp&gt;='2020'!Maxi_hp</f>
        <v>0</v>
      </c>
      <c r="I106" s="380">
        <f>IF(H106,Wh_hp,'2020'!Maxi_hp)</f>
        <v>44.480418756560418</v>
      </c>
      <c r="J106" s="85">
        <f>IF(H106,An,'2020'!An_max)</f>
        <v>2020</v>
      </c>
      <c r="K106" s="197">
        <f t="shared" si="26"/>
        <v>44288</v>
      </c>
      <c r="L106" s="147">
        <f>IF(t&lt;Tvie,1-EXP((T0-t)*PertePVj)+'2020'!Pspv,1-EXP((T0-t)*PertePVj)+Pspv)</f>
        <v>2.2628479490799713E-2</v>
      </c>
      <c r="M106" s="959"/>
      <c r="N106" s="959"/>
      <c r="O106" s="48">
        <f>IF(t&lt;Tnet,'2020'!Resal+('2020'!Salim-'2020'!Resal)*(1-EXP(('2020'!Tnet-t)/('2020'!Tau_j))),Resal+(Salim-Resal)*(1-EXP((Tnet-t)/(Tau_j))))*Salcycl</f>
        <v>8.4106630298938029E-2</v>
      </c>
      <c r="P106" s="169">
        <f>(INDEX(Models!$BJ106:$BT106,,T106)*(1-R106)+INDEX(Models!$BJ106:$BT106,,T106+1)*R106-ERP_i)*Q106*Ramure*Pc/MaxiM</f>
        <v>1.9489634388285653E-4</v>
      </c>
      <c r="Q106" s="305">
        <f t="shared" si="27"/>
        <v>0.7</v>
      </c>
      <c r="R106" s="177">
        <f t="shared" si="28"/>
        <v>0.52710399563226962</v>
      </c>
      <c r="S106" s="921">
        <f t="shared" si="29"/>
        <v>-1</v>
      </c>
      <c r="T106" s="176">
        <f t="shared" si="30"/>
        <v>5</v>
      </c>
      <c r="U106" s="251">
        <f t="shared" si="31"/>
        <v>-0.47289600436773033</v>
      </c>
      <c r="V106" s="383">
        <f t="shared" si="32"/>
        <v>49.544162398310078</v>
      </c>
      <c r="W106" s="402"/>
      <c r="X106" s="157">
        <f t="shared" si="33"/>
        <v>44288</v>
      </c>
      <c r="Y106" s="385">
        <f t="shared" si="34"/>
        <v>38.447000000000003</v>
      </c>
      <c r="Z106" s="385">
        <f t="shared" si="35"/>
        <v>39.337139657977268</v>
      </c>
      <c r="AA106" s="386">
        <f t="shared" si="36"/>
        <v>42.949475298436212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8.4106630298938029E-2</v>
      </c>
      <c r="AD106" s="231">
        <f>(INDEX(Models!$BJ106:$BT106,,AH106)*(1-AF106)+INDEX(Models!$BJ106:$BT106,,AH106+1)*AF106-ERP_i)*AE106*Ramure*Pc/MaxiM</f>
        <v>1.9489634388285653E-4</v>
      </c>
      <c r="AE106" s="305">
        <f t="shared" si="38"/>
        <v>0.7</v>
      </c>
      <c r="AF106" s="177">
        <f t="shared" si="39"/>
        <v>0.52710399563226962</v>
      </c>
      <c r="AG106" s="921">
        <f t="shared" si="47"/>
        <v>-1</v>
      </c>
      <c r="AH106" s="176">
        <f t="shared" si="40"/>
        <v>5</v>
      </c>
      <c r="AI106" s="225">
        <f t="shared" si="41"/>
        <v>-0.47289600436773033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20">
        <v>47.384999999999998</v>
      </c>
      <c r="C107" s="390"/>
      <c r="D107" s="393">
        <f t="shared" si="24"/>
        <v>48.483137559763264</v>
      </c>
      <c r="E107" s="385">
        <f t="shared" si="45"/>
        <v>52.938007462846862</v>
      </c>
      <c r="F107" s="385">
        <f t="shared" si="25"/>
        <v>52.947397962650761</v>
      </c>
      <c r="G107" s="110">
        <f t="shared" si="46"/>
        <v>0.95297486084066441</v>
      </c>
      <c r="H107" s="414" t="b">
        <f>Wh_hp&gt;='2020'!Maxi_hp</f>
        <v>1</v>
      </c>
      <c r="I107" s="380">
        <f>IF(H107,Wh_hp,'2020'!Maxi_hp)</f>
        <v>52.947397962650761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2.2649886435456734E-2</v>
      </c>
      <c r="M107" s="959"/>
      <c r="N107" s="959"/>
      <c r="O107" s="48">
        <f>IF(t&lt;Tnet,'2020'!Resal+('2020'!Salim-'2020'!Resal)*(1-EXP(('2020'!Tnet-t)/('2020'!Tau_j))),Resal+(Salim-Resal)*(1-EXP((Tnet-t)/(Tau_j))))*Salcycl</f>
        <v>8.4152579906036876E-2</v>
      </c>
      <c r="P107" s="169">
        <f>(INDEX(Models!$BJ107:$BT107,,T107)*(1-R107)+INDEX(Models!$BJ107:$BT107,,T107+1)*R107-ERP_i)*Q107*Ramure*Pc/MaxiM</f>
        <v>1.9012427440054486E-4</v>
      </c>
      <c r="Q107" s="305">
        <f t="shared" si="27"/>
        <v>0.7</v>
      </c>
      <c r="R107" s="177">
        <f t="shared" si="28"/>
        <v>0.52820158043708321</v>
      </c>
      <c r="S107" s="921">
        <f t="shared" si="29"/>
        <v>-1</v>
      </c>
      <c r="T107" s="176">
        <f t="shared" si="30"/>
        <v>5</v>
      </c>
      <c r="U107" s="251">
        <f t="shared" si="31"/>
        <v>-0.47179841956291674</v>
      </c>
      <c r="V107" s="383">
        <f t="shared" si="32"/>
        <v>49.722607363814845</v>
      </c>
      <c r="W107" s="402"/>
      <c r="X107" s="157">
        <f t="shared" si="33"/>
        <v>44289</v>
      </c>
      <c r="Y107" s="385">
        <f t="shared" si="34"/>
        <v>47.384999999999998</v>
      </c>
      <c r="Z107" s="385">
        <f t="shared" si="35"/>
        <v>48.483137559763264</v>
      </c>
      <c r="AA107" s="386">
        <f t="shared" si="36"/>
        <v>52.938007462846862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8.4152579906036876E-2</v>
      </c>
      <c r="AD107" s="231">
        <f>(INDEX(Models!$BJ107:$BT107,,AH107)*(1-AF107)+INDEX(Models!$BJ107:$BT107,,AH107+1)*AF107-ERP_i)*AE107*Ramure*Pc/MaxiM</f>
        <v>1.9012427440054486E-4</v>
      </c>
      <c r="AE107" s="305">
        <f t="shared" si="38"/>
        <v>0.7</v>
      </c>
      <c r="AF107" s="177">
        <f t="shared" si="39"/>
        <v>0.52820158043708321</v>
      </c>
      <c r="AG107" s="921">
        <f t="shared" si="47"/>
        <v>-1</v>
      </c>
      <c r="AH107" s="176">
        <f t="shared" si="40"/>
        <v>5</v>
      </c>
      <c r="AI107" s="225">
        <f t="shared" si="41"/>
        <v>-0.47179841956291674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20">
        <v>48.094000000000001</v>
      </c>
      <c r="C108" s="390"/>
      <c r="D108" s="393">
        <f t="shared" si="24"/>
        <v>49.209646305449709</v>
      </c>
      <c r="E108" s="385">
        <f t="shared" si="45"/>
        <v>53.734016629667131</v>
      </c>
      <c r="F108" s="385">
        <f t="shared" si="25"/>
        <v>53.743514616061141</v>
      </c>
      <c r="G108" s="110">
        <f t="shared" si="46"/>
        <v>0.96392739228138113</v>
      </c>
      <c r="H108" s="414" t="b">
        <f>Wh_hp&gt;='2020'!Maxi_hp</f>
        <v>0</v>
      </c>
      <c r="I108" s="380">
        <f>IF(H108,Wh_hp,'2020'!Maxi_hp)</f>
        <v>55.741875297523443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2.267129291124681E-2</v>
      </c>
      <c r="M108" s="959"/>
      <c r="N108" s="959"/>
      <c r="O108" s="48">
        <f>IF(t&lt;Tnet,'2020'!Resal+('2020'!Salim-'2020'!Resal)*(1-EXP(('2020'!Tnet-t)/('2020'!Tau_j))),Resal+(Salim-Resal)*(1-EXP((Tnet-t)/(Tau_j))))*Salcycl</f>
        <v>8.4199369561356555E-2</v>
      </c>
      <c r="P108" s="169">
        <f>(INDEX(Models!$BJ108:$BT108,,T108)*(1-R108)+INDEX(Models!$BJ108:$BT108,,T108+1)*R108-ERP_i)*Q108*Ramure*Pc/MaxiM</f>
        <v>1.863274661109495E-4</v>
      </c>
      <c r="Q108" s="305">
        <f t="shared" si="27"/>
        <v>0.7</v>
      </c>
      <c r="R108" s="177">
        <f t="shared" si="28"/>
        <v>0.5293398064719359</v>
      </c>
      <c r="S108" s="921">
        <f t="shared" si="29"/>
        <v>-1</v>
      </c>
      <c r="T108" s="176">
        <f t="shared" si="30"/>
        <v>5</v>
      </c>
      <c r="U108" s="251">
        <f t="shared" si="31"/>
        <v>-0.47066019352806404</v>
      </c>
      <c r="V108" s="383">
        <f t="shared" si="32"/>
        <v>49.89332041920872</v>
      </c>
      <c r="W108" s="402"/>
      <c r="X108" s="157">
        <f t="shared" si="33"/>
        <v>44290</v>
      </c>
      <c r="Y108" s="385">
        <f t="shared" si="34"/>
        <v>48.094000000000001</v>
      </c>
      <c r="Z108" s="385">
        <f t="shared" si="35"/>
        <v>49.209646305449709</v>
      </c>
      <c r="AA108" s="386">
        <f t="shared" si="36"/>
        <v>53.734016629667131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8.4199369561356555E-2</v>
      </c>
      <c r="AD108" s="231">
        <f>(INDEX(Models!$BJ108:$BT108,,AH108)*(1-AF108)+INDEX(Models!$BJ108:$BT108,,AH108+1)*AF108-ERP_i)*AE108*Ramure*Pc/MaxiM</f>
        <v>1.863274661109495E-4</v>
      </c>
      <c r="AE108" s="305">
        <f t="shared" si="38"/>
        <v>0.7</v>
      </c>
      <c r="AF108" s="177">
        <f t="shared" si="39"/>
        <v>0.5293398064719359</v>
      </c>
      <c r="AG108" s="921">
        <f t="shared" si="47"/>
        <v>-1</v>
      </c>
      <c r="AH108" s="176">
        <f t="shared" si="40"/>
        <v>5</v>
      </c>
      <c r="AI108" s="225">
        <f t="shared" si="41"/>
        <v>-0.47066019352806404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20">
        <v>47.372999999999998</v>
      </c>
      <c r="C109" s="390"/>
      <c r="D109" s="393">
        <f t="shared" si="24"/>
        <v>48.47298280444744</v>
      </c>
      <c r="E109" s="385">
        <f t="shared" si="45"/>
        <v>52.93237836245806</v>
      </c>
      <c r="F109" s="385">
        <f t="shared" si="25"/>
        <v>52.94134095115038</v>
      </c>
      <c r="G109" s="110">
        <f t="shared" si="46"/>
        <v>0.9463717859404337</v>
      </c>
      <c r="H109" s="414" t="b">
        <f>Wh_hp&gt;='2020'!Maxi_hp</f>
        <v>0</v>
      </c>
      <c r="I109" s="380">
        <f>IF(H109,Wh_hp,'2020'!Maxi_hp)</f>
        <v>58.256884739736201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2.2692698918180043E-2</v>
      </c>
      <c r="M109" s="959"/>
      <c r="N109" s="959"/>
      <c r="O109" s="48">
        <f>IF(t&lt;Tnet,'2020'!Resal+('2020'!Salim-'2020'!Resal)*(1-EXP(('2020'!Tnet-t)/('2020'!Tau_j))),Resal+(Salim-Resal)*(1-EXP((Tnet-t)/(Tau_j))))*Salcycl</f>
        <v>8.4247027924470072E-2</v>
      </c>
      <c r="P109" s="169">
        <f>(INDEX(Models!$BJ109:$BT109,,T109)*(1-R109)+INDEX(Models!$BJ109:$BT109,,T109+1)*R109-ERP_i)*Q109*Ramure*Pc/MaxiM</f>
        <v>1.8333494279596543E-4</v>
      </c>
      <c r="Q109" s="305">
        <f t="shared" si="27"/>
        <v>0.7</v>
      </c>
      <c r="R109" s="177">
        <f t="shared" si="28"/>
        <v>0.53051995809995467</v>
      </c>
      <c r="S109" s="921">
        <f t="shared" si="29"/>
        <v>-1</v>
      </c>
      <c r="T109" s="176">
        <f t="shared" si="30"/>
        <v>5</v>
      </c>
      <c r="U109" s="251">
        <f t="shared" si="31"/>
        <v>-0.46948004190004533</v>
      </c>
      <c r="V109" s="383">
        <f t="shared" si="32"/>
        <v>50.056790971020398</v>
      </c>
      <c r="W109" s="402"/>
      <c r="X109" s="157">
        <f t="shared" si="33"/>
        <v>44291</v>
      </c>
      <c r="Y109" s="385">
        <f t="shared" si="34"/>
        <v>47.372999999999998</v>
      </c>
      <c r="Z109" s="385">
        <f t="shared" si="35"/>
        <v>48.47298280444744</v>
      </c>
      <c r="AA109" s="386">
        <f t="shared" si="36"/>
        <v>52.93237836245806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8.4247027924470072E-2</v>
      </c>
      <c r="AD109" s="231">
        <f>(INDEX(Models!$BJ109:$BT109,,AH109)*(1-AF109)+INDEX(Models!$BJ109:$BT109,,AH109+1)*AF109-ERP_i)*AE109*Ramure*Pc/MaxiM</f>
        <v>1.8333494279596543E-4</v>
      </c>
      <c r="AE109" s="305">
        <f t="shared" si="38"/>
        <v>0.7</v>
      </c>
      <c r="AF109" s="177">
        <f t="shared" si="39"/>
        <v>0.53051995809995467</v>
      </c>
      <c r="AG109" s="921">
        <f t="shared" si="47"/>
        <v>-1</v>
      </c>
      <c r="AH109" s="176">
        <f t="shared" si="40"/>
        <v>5</v>
      </c>
      <c r="AI109" s="225">
        <f t="shared" si="41"/>
        <v>-0.46948004190004533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20">
        <v>26.823</v>
      </c>
      <c r="C110" s="390"/>
      <c r="D110" s="393">
        <f t="shared" si="24"/>
        <v>27.446420870605596</v>
      </c>
      <c r="E110" s="385">
        <f t="shared" si="45"/>
        <v>29.973013514913905</v>
      </c>
      <c r="F110" s="385">
        <f t="shared" si="25"/>
        <v>29.974829972165754</v>
      </c>
      <c r="G110" s="110">
        <f t="shared" si="46"/>
        <v>0.53411465861090923</v>
      </c>
      <c r="H110" s="414" t="b">
        <f>Wh_hp&gt;='2020'!Maxi_hp</f>
        <v>0</v>
      </c>
      <c r="I110" s="380">
        <f>IF(H110,Wh_hp,'2020'!Maxi_hp)</f>
        <v>57.685469912803519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2.2714104456266759E-2</v>
      </c>
      <c r="M110" s="959"/>
      <c r="N110" s="959"/>
      <c r="O110" s="48">
        <f>IF(t&lt;Tnet,'2020'!Resal+('2020'!Salim-'2020'!Resal)*(1-EXP(('2020'!Tnet-t)/('2020'!Tau_j))),Resal+(Salim-Resal)*(1-EXP((Tnet-t)/(Tau_j))))*Salcycl</f>
        <v>8.4295582859932799E-2</v>
      </c>
      <c r="P110" s="169">
        <f>(INDEX(Models!$BJ110:$BT110,,T110)*(1-R110)+INDEX(Models!$BJ110:$BT110,,T110+1)*R110-ERP_i)*Q110*Ramure*Pc/MaxiM</f>
        <v>1.8114170313127587E-4</v>
      </c>
      <c r="Q110" s="305">
        <f t="shared" si="27"/>
        <v>0.7</v>
      </c>
      <c r="R110" s="177">
        <f t="shared" si="28"/>
        <v>0.53174334262299494</v>
      </c>
      <c r="S110" s="921">
        <f t="shared" si="29"/>
        <v>-1</v>
      </c>
      <c r="T110" s="176">
        <f t="shared" si="30"/>
        <v>5</v>
      </c>
      <c r="U110" s="251">
        <f t="shared" si="31"/>
        <v>-0.46825665737700511</v>
      </c>
      <c r="V110" s="383">
        <f t="shared" si="32"/>
        <v>50.213500165094707</v>
      </c>
      <c r="W110" s="402"/>
      <c r="X110" s="157">
        <f t="shared" si="33"/>
        <v>44292</v>
      </c>
      <c r="Y110" s="385">
        <f t="shared" si="34"/>
        <v>26.823</v>
      </c>
      <c r="Z110" s="385">
        <f t="shared" si="35"/>
        <v>27.446420870605596</v>
      </c>
      <c r="AA110" s="386">
        <f t="shared" si="36"/>
        <v>29.973013514913905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8.4295582859932799E-2</v>
      </c>
      <c r="AD110" s="231">
        <f>(INDEX(Models!$BJ110:$BT110,,AH110)*(1-AF110)+INDEX(Models!$BJ110:$BT110,,AH110+1)*AF110-ERP_i)*AE110*Ramure*Pc/MaxiM</f>
        <v>1.8114170313127587E-4</v>
      </c>
      <c r="AE110" s="305">
        <f t="shared" si="38"/>
        <v>0.7</v>
      </c>
      <c r="AF110" s="177">
        <f t="shared" si="39"/>
        <v>0.53174334262299494</v>
      </c>
      <c r="AG110" s="921">
        <f t="shared" si="47"/>
        <v>-1</v>
      </c>
      <c r="AH110" s="176">
        <f t="shared" si="40"/>
        <v>5</v>
      </c>
      <c r="AI110" s="225">
        <f t="shared" si="41"/>
        <v>-0.46825665737700511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20">
        <v>50.341999999999999</v>
      </c>
      <c r="C111" s="390"/>
      <c r="D111" s="393">
        <f t="shared" si="24"/>
        <v>51.51317835723048</v>
      </c>
      <c r="E111" s="385">
        <f t="shared" si="45"/>
        <v>56.258287029900586</v>
      </c>
      <c r="F111" s="385">
        <f t="shared" si="25"/>
        <v>56.268394657199678</v>
      </c>
      <c r="G111" s="110">
        <f t="shared" si="46"/>
        <v>0.9995644766531141</v>
      </c>
      <c r="H111" s="414" t="b">
        <f>Wh_hp&gt;='2020'!Maxi_hp</f>
        <v>1</v>
      </c>
      <c r="I111" s="380">
        <f>IF(H111,Wh_hp,'2020'!Maxi_hp)</f>
        <v>56.268394657199678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2.2735509525517283E-2</v>
      </c>
      <c r="M111" s="959"/>
      <c r="N111" s="959"/>
      <c r="O111" s="48">
        <f>IF(t&lt;Tnet,'2020'!Resal+('2020'!Salim-'2020'!Resal)*(1-EXP(('2020'!Tnet-t)/('2020'!Tau_j))),Resal+(Salim-Resal)*(1-EXP((Tnet-t)/(Tau_j))))*Salcycl</f>
        <v>8.4345061379990871E-2</v>
      </c>
      <c r="P111" s="169">
        <f>(INDEX(Models!$BJ111:$BT111,,T111)*(1-R111)+INDEX(Models!$BJ111:$BT111,,T111+1)*R111-ERP_i)*Q111*Ramure*Pc/MaxiM</f>
        <v>1.7974421316077044E-4</v>
      </c>
      <c r="Q111" s="305">
        <f t="shared" si="27"/>
        <v>0.7</v>
      </c>
      <c r="R111" s="177">
        <f t="shared" si="28"/>
        <v>0.5330112891839438</v>
      </c>
      <c r="S111" s="921">
        <f t="shared" si="29"/>
        <v>-1</v>
      </c>
      <c r="T111" s="176">
        <f t="shared" si="30"/>
        <v>5</v>
      </c>
      <c r="U111" s="251">
        <f t="shared" si="31"/>
        <v>-0.46698871081605614</v>
      </c>
      <c r="V111" s="383">
        <f t="shared" si="32"/>
        <v>50.363929037494977</v>
      </c>
      <c r="W111" s="402"/>
      <c r="X111" s="157">
        <f t="shared" si="33"/>
        <v>44293</v>
      </c>
      <c r="Y111" s="385">
        <f t="shared" si="34"/>
        <v>50.341999999999999</v>
      </c>
      <c r="Z111" s="385">
        <f t="shared" si="35"/>
        <v>51.51317835723048</v>
      </c>
      <c r="AA111" s="386">
        <f t="shared" si="36"/>
        <v>56.258287029900586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8.4345061379990871E-2</v>
      </c>
      <c r="AD111" s="231">
        <f>(INDEX(Models!$BJ111:$BT111,,AH111)*(1-AF111)+INDEX(Models!$BJ111:$BT111,,AH111+1)*AF111-ERP_i)*AE111*Ramure*Pc/MaxiM</f>
        <v>1.7974421316077044E-4</v>
      </c>
      <c r="AE111" s="305">
        <f t="shared" si="38"/>
        <v>0.7</v>
      </c>
      <c r="AF111" s="177">
        <f t="shared" si="39"/>
        <v>0.5330112891839438</v>
      </c>
      <c r="AG111" s="921">
        <f t="shared" si="47"/>
        <v>-1</v>
      </c>
      <c r="AH111" s="176">
        <f t="shared" si="40"/>
        <v>5</v>
      </c>
      <c r="AI111" s="225">
        <f t="shared" si="41"/>
        <v>-0.46698871081605614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20">
        <v>50.286999999999999</v>
      </c>
      <c r="C112" s="390"/>
      <c r="D112" s="393">
        <f t="shared" si="24"/>
        <v>51.458025875949481</v>
      </c>
      <c r="E112" s="385">
        <f t="shared" si="45"/>
        <v>56.201149394558605</v>
      </c>
      <c r="F112" s="385">
        <f t="shared" si="25"/>
        <v>56.211155978326396</v>
      </c>
      <c r="G112" s="110">
        <f t="shared" si="46"/>
        <v>0.99561232821470236</v>
      </c>
      <c r="H112" s="414" t="b">
        <f>Wh_hp&gt;='2020'!Maxi_hp</f>
        <v>1</v>
      </c>
      <c r="I112" s="380">
        <f>IF(H112,Wh_hp,'2020'!Maxi_hp)</f>
        <v>56.211155978326396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2.2756914125941941E-2</v>
      </c>
      <c r="M112" s="959"/>
      <c r="N112" s="959"/>
      <c r="O112" s="48">
        <f>IF(t&lt;Tnet,'2020'!Resal+('2020'!Salim-'2020'!Resal)*(1-EXP(('2020'!Tnet-t)/('2020'!Tau_j))),Resal+(Salim-Resal)*(1-EXP((Tnet-t)/(Tau_j))))*Salcycl</f>
        <v>8.4395489588836664E-2</v>
      </c>
      <c r="P112" s="169">
        <f>(INDEX(Models!$BJ112:$BT112,,T112)*(1-R112)+INDEX(Models!$BJ112:$BT112,,T112+1)*R112-ERP_i)*Q112*Ramure*Pc/MaxiM</f>
        <v>1.7914033848360277E-4</v>
      </c>
      <c r="Q112" s="305">
        <f t="shared" si="27"/>
        <v>0.7</v>
      </c>
      <c r="R112" s="177">
        <f t="shared" si="28"/>
        <v>0.53432514751168747</v>
      </c>
      <c r="S112" s="921">
        <f t="shared" si="29"/>
        <v>-1</v>
      </c>
      <c r="T112" s="176">
        <f t="shared" si="30"/>
        <v>5</v>
      </c>
      <c r="U112" s="251">
        <f t="shared" si="31"/>
        <v>-0.46567485248831253</v>
      </c>
      <c r="V112" s="383">
        <f t="shared" si="32"/>
        <v>50.508558515685806</v>
      </c>
      <c r="W112" s="402"/>
      <c r="X112" s="157">
        <f t="shared" si="33"/>
        <v>44294</v>
      </c>
      <c r="Y112" s="385">
        <f t="shared" si="34"/>
        <v>50.286999999999999</v>
      </c>
      <c r="Z112" s="385">
        <f t="shared" si="35"/>
        <v>51.458025875949481</v>
      </c>
      <c r="AA112" s="386">
        <f t="shared" si="36"/>
        <v>56.201149394558605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8.4395489588836664E-2</v>
      </c>
      <c r="AD112" s="231">
        <f>(INDEX(Models!$BJ112:$BT112,,AH112)*(1-AF112)+INDEX(Models!$BJ112:$BT112,,AH112+1)*AF112-ERP_i)*AE112*Ramure*Pc/MaxiM</f>
        <v>1.7914033848360277E-4</v>
      </c>
      <c r="AE112" s="305">
        <f t="shared" si="38"/>
        <v>0.7</v>
      </c>
      <c r="AF112" s="177">
        <f t="shared" si="39"/>
        <v>0.53432514751168747</v>
      </c>
      <c r="AG112" s="921">
        <f t="shared" si="47"/>
        <v>-1</v>
      </c>
      <c r="AH112" s="176">
        <f t="shared" si="40"/>
        <v>5</v>
      </c>
      <c r="AI112" s="225">
        <f t="shared" si="41"/>
        <v>-0.46567485248831253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20">
        <v>30.346</v>
      </c>
      <c r="C113" s="390"/>
      <c r="D113" s="393">
        <f t="shared" si="24"/>
        <v>31.053342928178925</v>
      </c>
      <c r="E113" s="385">
        <f t="shared" si="45"/>
        <v>33.917576903117585</v>
      </c>
      <c r="F113" s="385">
        <f t="shared" si="25"/>
        <v>33.920176522143585</v>
      </c>
      <c r="G113" s="110">
        <f t="shared" si="46"/>
        <v>0.59909496459033662</v>
      </c>
      <c r="H113" s="414" t="b">
        <f>Wh_hp&gt;='2020'!Maxi_hp</f>
        <v>0</v>
      </c>
      <c r="I113" s="380">
        <f>IF(H113,Wh_hp,'2020'!Maxi_hp)</f>
        <v>45.992596170964376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2.2778318257550834E-2</v>
      </c>
      <c r="M113" s="959"/>
      <c r="N113" s="959"/>
      <c r="O113" s="48">
        <f>IF(t&lt;Tnet,'2020'!Resal+('2020'!Salim-'2020'!Resal)*(1-EXP(('2020'!Tnet-t)/('2020'!Tau_j))),Resal+(Salim-Resal)*(1-EXP((Tnet-t)/(Tau_j))))*Salcycl</f>
        <v>8.4446892627975251E-2</v>
      </c>
      <c r="P113" s="169">
        <f>(INDEX(Models!$BJ113:$BT113,,T113)*(1-R113)+INDEX(Models!$BJ113:$BT113,,T113+1)*R113-ERP_i)*Q113*Ramure*Pc/MaxiM</f>
        <v>1.7932927985247557E-4</v>
      </c>
      <c r="Q113" s="305">
        <f t="shared" si="27"/>
        <v>0.7</v>
      </c>
      <c r="R113" s="177">
        <f t="shared" si="28"/>
        <v>0.53568628649925354</v>
      </c>
      <c r="S113" s="921">
        <f t="shared" si="29"/>
        <v>-1</v>
      </c>
      <c r="T113" s="176">
        <f t="shared" si="30"/>
        <v>5</v>
      </c>
      <c r="U113" s="251">
        <f t="shared" si="31"/>
        <v>-0.46431371350074652</v>
      </c>
      <c r="V113" s="383">
        <f t="shared" si="32"/>
        <v>50.647869411105653</v>
      </c>
      <c r="W113" s="402"/>
      <c r="X113" s="157">
        <f t="shared" si="33"/>
        <v>44295</v>
      </c>
      <c r="Y113" s="385">
        <f t="shared" si="34"/>
        <v>30.345999999999997</v>
      </c>
      <c r="Z113" s="385">
        <f t="shared" si="35"/>
        <v>31.053342928178921</v>
      </c>
      <c r="AA113" s="386">
        <f t="shared" si="36"/>
        <v>33.917576903117585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8.4446892627975251E-2</v>
      </c>
      <c r="AD113" s="231">
        <f>(INDEX(Models!$BJ113:$BT113,,AH113)*(1-AF113)+INDEX(Models!$BJ113:$BT113,,AH113+1)*AF113-ERP_i)*AE113*Ramure*Pc/MaxiM</f>
        <v>1.7932927985247557E-4</v>
      </c>
      <c r="AE113" s="305">
        <f t="shared" si="38"/>
        <v>0.7</v>
      </c>
      <c r="AF113" s="177">
        <f t="shared" si="39"/>
        <v>0.53568628649925354</v>
      </c>
      <c r="AG113" s="921">
        <f t="shared" si="47"/>
        <v>-1</v>
      </c>
      <c r="AH113" s="176">
        <f t="shared" si="40"/>
        <v>5</v>
      </c>
      <c r="AI113" s="225">
        <f t="shared" si="41"/>
        <v>-0.46431371350074652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20">
        <v>30.972000000000001</v>
      </c>
      <c r="C114" s="390"/>
      <c r="D114" s="393">
        <f t="shared" si="24"/>
        <v>31.694628721212521</v>
      </c>
      <c r="E114" s="385">
        <f t="shared" si="45"/>
        <v>34.61999377502918</v>
      </c>
      <c r="F114" s="385">
        <f t="shared" si="25"/>
        <v>34.622774766467529</v>
      </c>
      <c r="G114" s="110">
        <f t="shared" si="46"/>
        <v>0.6098360457300851</v>
      </c>
      <c r="H114" s="414" t="b">
        <f>Wh_hp&gt;='2020'!Maxi_hp</f>
        <v>0</v>
      </c>
      <c r="I114" s="380">
        <f>IF(H114,Wh_hp,'2020'!Maxi_hp)</f>
        <v>56.468611933419304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2.2799721920354288E-2</v>
      </c>
      <c r="M114" s="959"/>
      <c r="N114" s="959"/>
      <c r="O114" s="48">
        <f>IF(t&lt;Tnet,'2020'!Resal+('2020'!Salim-'2020'!Resal)*(1-EXP(('2020'!Tnet-t)/('2020'!Tau_j))),Resal+(Salim-Resal)*(1-EXP((Tnet-t)/(Tau_j))))*Salcycl</f>
        <v>8.4499294622250129E-2</v>
      </c>
      <c r="P114" s="169">
        <f>(INDEX(Models!$BJ114:$BT114,,T114)*(1-R114)+INDEX(Models!$BJ114:$BT114,,T114+1)*R114-ERP_i)*Q114*Ramure*Pc/MaxiM</f>
        <v>1.8143348520629926E-4</v>
      </c>
      <c r="Q114" s="305">
        <f t="shared" si="27"/>
        <v>0.7</v>
      </c>
      <c r="R114" s="177">
        <f t="shared" si="28"/>
        <v>0.53709609260559599</v>
      </c>
      <c r="S114" s="921">
        <f t="shared" si="29"/>
        <v>-1</v>
      </c>
      <c r="T114" s="176">
        <f t="shared" si="30"/>
        <v>5</v>
      </c>
      <c r="U114" s="251">
        <f t="shared" si="31"/>
        <v>-0.46290390739440401</v>
      </c>
      <c r="V114" s="383">
        <f t="shared" si="32"/>
        <v>50.78228543405158</v>
      </c>
      <c r="W114" s="402"/>
      <c r="X114" s="157">
        <f t="shared" si="33"/>
        <v>44296</v>
      </c>
      <c r="Y114" s="385">
        <f t="shared" si="34"/>
        <v>30.972000000000005</v>
      </c>
      <c r="Z114" s="385">
        <f t="shared" si="35"/>
        <v>31.694628721212524</v>
      </c>
      <c r="AA114" s="386">
        <f t="shared" si="36"/>
        <v>34.61999377502918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8.4499294622250129E-2</v>
      </c>
      <c r="AD114" s="231">
        <f>(INDEX(Models!$BJ114:$BT114,,AH114)*(1-AF114)+INDEX(Models!$BJ114:$BT114,,AH114+1)*AF114-ERP_i)*AE114*Ramure*Pc/MaxiM</f>
        <v>1.8143348520629926E-4</v>
      </c>
      <c r="AE114" s="305">
        <f t="shared" si="38"/>
        <v>0.7</v>
      </c>
      <c r="AF114" s="177">
        <f t="shared" si="39"/>
        <v>0.53709609260559599</v>
      </c>
      <c r="AG114" s="921">
        <f t="shared" si="47"/>
        <v>-1</v>
      </c>
      <c r="AH114" s="176">
        <f t="shared" si="40"/>
        <v>5</v>
      </c>
      <c r="AI114" s="225">
        <f t="shared" si="41"/>
        <v>-0.46290390739440401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20">
        <v>7.3870000000000005</v>
      </c>
      <c r="C115" s="390"/>
      <c r="D115" s="393">
        <f t="shared" si="24"/>
        <v>7.5595166758640033</v>
      </c>
      <c r="E115" s="385">
        <f t="shared" si="45"/>
        <v>8.2577302152435266</v>
      </c>
      <c r="F115" s="385">
        <f t="shared" si="25"/>
        <v>8.2577302152435266</v>
      </c>
      <c r="G115" s="110">
        <f t="shared" si="46"/>
        <v>0.14506576941263097</v>
      </c>
      <c r="H115" s="414" t="b">
        <f>Wh_hp&gt;='2020'!Maxi_hp</f>
        <v>0</v>
      </c>
      <c r="I115" s="380">
        <f>IF(H115,Wh_hp,'2020'!Maxi_hp)</f>
        <v>56.926003902955259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2.2821125114362628E-2</v>
      </c>
      <c r="M115" s="959"/>
      <c r="N115" s="959"/>
      <c r="O115" s="48">
        <f>IF(t&lt;Tnet,'2020'!Resal+('2020'!Salim-'2020'!Resal)*(1-EXP(('2020'!Tnet-t)/('2020'!Tau_j))),Resal+(Salim-Resal)*(1-EXP((Tnet-t)/(Tau_j))))*Salcycl</f>
        <v>8.4552718626074927E-2</v>
      </c>
      <c r="P115" s="169">
        <f>(INDEX(Models!$BJ115:$BT115,,T115)*(1-R115)+INDEX(Models!$BJ115:$BT115,,T115+1)*R115-ERP_i)*Q115*Ramure*Pc/MaxiM</f>
        <v>1.8524160172088579E-4</v>
      </c>
      <c r="Q115" s="305">
        <f t="shared" si="27"/>
        <v>0.7</v>
      </c>
      <c r="R115" s="177">
        <f t="shared" si="28"/>
        <v>0.53855596807149309</v>
      </c>
      <c r="S115" s="921">
        <f t="shared" si="29"/>
        <v>-1</v>
      </c>
      <c r="T115" s="176">
        <f t="shared" si="30"/>
        <v>5</v>
      </c>
      <c r="U115" s="251">
        <f t="shared" si="31"/>
        <v>-0.46144403192850686</v>
      </c>
      <c r="V115" s="383">
        <f t="shared" si="32"/>
        <v>50.91229757504059</v>
      </c>
      <c r="W115" s="402"/>
      <c r="X115" s="157">
        <f t="shared" si="33"/>
        <v>44297</v>
      </c>
      <c r="Y115" s="385">
        <f t="shared" si="34"/>
        <v>7.3870000000000005</v>
      </c>
      <c r="Z115" s="385">
        <f t="shared" si="35"/>
        <v>7.5595166758640033</v>
      </c>
      <c r="AA115" s="386">
        <f t="shared" si="36"/>
        <v>8.2577302152435266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8.4552718626074927E-2</v>
      </c>
      <c r="AD115" s="231">
        <f>(INDEX(Models!$BJ115:$BT115,,AH115)*(1-AF115)+INDEX(Models!$BJ115:$BT115,,AH115+1)*AF115-ERP_i)*AE115*Ramure*Pc/MaxiM</f>
        <v>1.8524160172088579E-4</v>
      </c>
      <c r="AE115" s="305">
        <f t="shared" si="38"/>
        <v>0.7</v>
      </c>
      <c r="AF115" s="177">
        <f t="shared" si="39"/>
        <v>0.53855596807149309</v>
      </c>
      <c r="AG115" s="921">
        <f t="shared" si="47"/>
        <v>-1</v>
      </c>
      <c r="AH115" s="176">
        <f t="shared" si="40"/>
        <v>5</v>
      </c>
      <c r="AI115" s="225">
        <f t="shared" si="41"/>
        <v>-0.46144403192850686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20">
        <v>39.707999999999998</v>
      </c>
      <c r="C116" s="390"/>
      <c r="D116" s="393">
        <f t="shared" si="24"/>
        <v>40.636234313604454</v>
      </c>
      <c r="E116" s="385">
        <f t="shared" si="45"/>
        <v>44.392127311240095</v>
      </c>
      <c r="F116" s="385">
        <f t="shared" si="25"/>
        <v>44.39791072469356</v>
      </c>
      <c r="G116" s="110">
        <f t="shared" si="46"/>
        <v>0.77795558904680129</v>
      </c>
      <c r="H116" s="414" t="b">
        <f>Wh_hp&gt;='2020'!Maxi_hp</f>
        <v>0</v>
      </c>
      <c r="I116" s="380">
        <f>IF(H116,Wh_hp,'2020'!Maxi_hp)</f>
        <v>56.893751444283453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2.284252783958618E-2</v>
      </c>
      <c r="M116" s="959"/>
      <c r="N116" s="959"/>
      <c r="O116" s="48">
        <f>IF(t&lt;Tnet,'2020'!Resal+('2020'!Salim-'2020'!Resal)*(1-EXP(('2020'!Tnet-t)/('2020'!Tau_j))),Resal+(Salim-Resal)*(1-EXP((Tnet-t)/(Tau_j))))*Salcycl</f>
        <v>8.4607186569422357E-2</v>
      </c>
      <c r="P116" s="169">
        <f>(INDEX(Models!$BJ116:$BT116,,T116)*(1-R116)+INDEX(Models!$BJ116:$BT116,,T116+1)*R116-ERP_i)*Q116*Ramure*Pc/MaxiM</f>
        <v>1.9076093025048084E-4</v>
      </c>
      <c r="Q116" s="305">
        <f t="shared" si="27"/>
        <v>0.7</v>
      </c>
      <c r="R116" s="177">
        <f t="shared" si="28"/>
        <v>0.54006732894012144</v>
      </c>
      <c r="S116" s="921">
        <f t="shared" si="29"/>
        <v>-1</v>
      </c>
      <c r="T116" s="176">
        <f t="shared" si="30"/>
        <v>5</v>
      </c>
      <c r="U116" s="251">
        <f t="shared" si="31"/>
        <v>-0.45993267105987856</v>
      </c>
      <c r="V116" s="383">
        <f t="shared" si="32"/>
        <v>51.038385740490732</v>
      </c>
      <c r="W116" s="402"/>
      <c r="X116" s="157">
        <f t="shared" si="33"/>
        <v>44298</v>
      </c>
      <c r="Y116" s="385">
        <f t="shared" si="34"/>
        <v>39.707999999999998</v>
      </c>
      <c r="Z116" s="385">
        <f t="shared" si="35"/>
        <v>40.636234313604454</v>
      </c>
      <c r="AA116" s="386">
        <f t="shared" si="36"/>
        <v>44.392127311240095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8.4607186569422357E-2</v>
      </c>
      <c r="AD116" s="231">
        <f>(INDEX(Models!$BJ116:$BT116,,AH116)*(1-AF116)+INDEX(Models!$BJ116:$BT116,,AH116+1)*AF116-ERP_i)*AE116*Ramure*Pc/MaxiM</f>
        <v>1.9076093025048084E-4</v>
      </c>
      <c r="AE116" s="305">
        <f t="shared" si="38"/>
        <v>0.7</v>
      </c>
      <c r="AF116" s="177">
        <f t="shared" si="39"/>
        <v>0.54006732894012144</v>
      </c>
      <c r="AG116" s="921">
        <f t="shared" si="47"/>
        <v>-1</v>
      </c>
      <c r="AH116" s="176">
        <f t="shared" si="40"/>
        <v>5</v>
      </c>
      <c r="AI116" s="225">
        <f t="shared" si="41"/>
        <v>-0.45993267105987856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20">
        <v>46.335000000000001</v>
      </c>
      <c r="C117" s="390"/>
      <c r="D117" s="393">
        <f t="shared" si="24"/>
        <v>47.419189023033304</v>
      </c>
      <c r="E117" s="385">
        <f t="shared" si="45"/>
        <v>51.805154250629627</v>
      </c>
      <c r="F117" s="385">
        <f t="shared" si="25"/>
        <v>51.814030980051591</v>
      </c>
      <c r="G117" s="110">
        <f t="shared" si="46"/>
        <v>0.90564564042125473</v>
      </c>
      <c r="H117" s="414" t="b">
        <f>Wh_hp&gt;='2020'!Maxi_hp</f>
        <v>0</v>
      </c>
      <c r="I117" s="380">
        <f>IF(H117,Wh_hp,'2020'!Maxi_hp)</f>
        <v>58.336070770675065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2.2863930096035046E-2</v>
      </c>
      <c r="M117" s="959"/>
      <c r="N117" s="959"/>
      <c r="O117" s="48">
        <f>IF(t&lt;Tnet,'2020'!Resal+('2020'!Salim-'2020'!Resal)*(1-EXP(('2020'!Tnet-t)/('2020'!Tau_j))),Resal+(Salim-Resal)*(1-EXP((Tnet-t)/(Tau_j))))*Salcycl</f>
        <v>8.4662719203138281E-2</v>
      </c>
      <c r="P117" s="169">
        <f>(INDEX(Models!$BJ117:$BT117,,T117)*(1-R117)+INDEX(Models!$BJ117:$BT117,,T117+1)*R117-ERP_i)*Q117*Ramure*Pc/MaxiM</f>
        <v>1.9800115118395373E-4</v>
      </c>
      <c r="Q117" s="305">
        <f t="shared" si="27"/>
        <v>0.7</v>
      </c>
      <c r="R117" s="177">
        <f t="shared" si="28"/>
        <v>0.54163160287304302</v>
      </c>
      <c r="S117" s="921">
        <f t="shared" si="29"/>
        <v>-1</v>
      </c>
      <c r="T117" s="176">
        <f t="shared" si="30"/>
        <v>5</v>
      </c>
      <c r="U117" s="251">
        <f t="shared" si="31"/>
        <v>-0.45836839712695698</v>
      </c>
      <c r="V117" s="383">
        <f t="shared" si="32"/>
        <v>51.161029661035641</v>
      </c>
      <c r="W117" s="402"/>
      <c r="X117" s="157">
        <f t="shared" si="33"/>
        <v>44299</v>
      </c>
      <c r="Y117" s="385">
        <f t="shared" si="34"/>
        <v>46.335000000000001</v>
      </c>
      <c r="Z117" s="385">
        <f t="shared" si="35"/>
        <v>47.419189023033304</v>
      </c>
      <c r="AA117" s="386">
        <f t="shared" si="36"/>
        <v>51.805154250629627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8.4662719203138281E-2</v>
      </c>
      <c r="AD117" s="231">
        <f>(INDEX(Models!$BJ117:$BT117,,AH117)*(1-AF117)+INDEX(Models!$BJ117:$BT117,,AH117+1)*AF117-ERP_i)*AE117*Ramure*Pc/MaxiM</f>
        <v>1.9800115118395373E-4</v>
      </c>
      <c r="AE117" s="305">
        <f t="shared" si="38"/>
        <v>0.7</v>
      </c>
      <c r="AF117" s="177">
        <f t="shared" si="39"/>
        <v>0.54163160287304302</v>
      </c>
      <c r="AG117" s="921">
        <f t="shared" si="47"/>
        <v>-1</v>
      </c>
      <c r="AH117" s="176">
        <f t="shared" si="40"/>
        <v>5</v>
      </c>
      <c r="AI117" s="225">
        <f t="shared" si="41"/>
        <v>-0.45836839712695698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20">
        <v>50.622999999999998</v>
      </c>
      <c r="C118" s="390"/>
      <c r="D118" s="393">
        <f t="shared" si="24"/>
        <v>51.808658340574276</v>
      </c>
      <c r="E118" s="385">
        <f t="shared" si="45"/>
        <v>56.604121971288677</v>
      </c>
      <c r="F118" s="385">
        <f t="shared" si="25"/>
        <v>56.615625243922842</v>
      </c>
      <c r="G118" s="110">
        <f t="shared" si="46"/>
        <v>0.98717059646564687</v>
      </c>
      <c r="H118" s="414" t="b">
        <f>Wh_hp&gt;='2020'!Maxi_hp</f>
        <v>1</v>
      </c>
      <c r="I118" s="380">
        <f>IF(H118,Wh_hp,'2020'!Maxi_hp)</f>
        <v>56.615625243922842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2.2885331883719551E-2</v>
      </c>
      <c r="M118" s="959"/>
      <c r="N118" s="959"/>
      <c r="O118" s="48">
        <f>IF(t&lt;Tnet,'2020'!Resal+('2020'!Salim-'2020'!Resal)*(1-EXP(('2020'!Tnet-t)/('2020'!Tau_j))),Resal+(Salim-Resal)*(1-EXP((Tnet-t)/(Tau_j))))*Salcycl</f>
        <v>8.471933604317386E-2</v>
      </c>
      <c r="P118" s="169">
        <f>(INDEX(Models!$BJ118:$BT118,,T118)*(1-R118)+INDEX(Models!$BJ118:$BT118,,T118+1)*R118-ERP_i)*Q118*Ramure*Pc/MaxiM</f>
        <v>2.0697419900936971E-4</v>
      </c>
      <c r="Q118" s="305">
        <f t="shared" si="27"/>
        <v>0.7</v>
      </c>
      <c r="R118" s="177">
        <f t="shared" si="28"/>
        <v>0.54325022675260659</v>
      </c>
      <c r="S118" s="921">
        <f t="shared" si="29"/>
        <v>-1</v>
      </c>
      <c r="T118" s="176">
        <f t="shared" si="30"/>
        <v>5</v>
      </c>
      <c r="U118" s="251">
        <f t="shared" si="31"/>
        <v>-0.45674977324739341</v>
      </c>
      <c r="V118" s="383">
        <f t="shared" si="32"/>
        <v>51.280708893436021</v>
      </c>
      <c r="W118" s="402"/>
      <c r="X118" s="157">
        <f t="shared" si="33"/>
        <v>44300</v>
      </c>
      <c r="Y118" s="385">
        <f t="shared" si="34"/>
        <v>50.622999999999998</v>
      </c>
      <c r="Z118" s="385">
        <f t="shared" si="35"/>
        <v>51.808658340574276</v>
      </c>
      <c r="AA118" s="386">
        <f t="shared" si="36"/>
        <v>56.604121971288677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8.471933604317386E-2</v>
      </c>
      <c r="AD118" s="231">
        <f>(INDEX(Models!$BJ118:$BT118,,AH118)*(1-AF118)+INDEX(Models!$BJ118:$BT118,,AH118+1)*AF118-ERP_i)*AE118*Ramure*Pc/MaxiM</f>
        <v>2.0697419900936971E-4</v>
      </c>
      <c r="AE118" s="305">
        <f t="shared" si="38"/>
        <v>0.7</v>
      </c>
      <c r="AF118" s="177">
        <f t="shared" si="39"/>
        <v>0.54325022675260659</v>
      </c>
      <c r="AG118" s="921">
        <f t="shared" si="47"/>
        <v>-1</v>
      </c>
      <c r="AH118" s="176">
        <f t="shared" si="40"/>
        <v>5</v>
      </c>
      <c r="AI118" s="225">
        <f t="shared" si="41"/>
        <v>-0.45674977324739341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20">
        <v>50.953000000000003</v>
      </c>
      <c r="C119" s="390"/>
      <c r="D119" s="393">
        <f t="shared" si="24"/>
        <v>52.147529546498959</v>
      </c>
      <c r="E119" s="385">
        <f t="shared" si="45"/>
        <v>56.977952584387843</v>
      </c>
      <c r="F119" s="385">
        <f t="shared" si="25"/>
        <v>56.990205602590848</v>
      </c>
      <c r="G119" s="110">
        <f t="shared" si="46"/>
        <v>0.99134128077939743</v>
      </c>
      <c r="H119" s="414" t="b">
        <f>Wh_hp&gt;='2020'!Maxi_hp</f>
        <v>1</v>
      </c>
      <c r="I119" s="380">
        <f>IF(H119,Wh_hp,'2020'!Maxi_hp)</f>
        <v>56.990205602590848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2.2906733202649909E-2</v>
      </c>
      <c r="M119" s="959"/>
      <c r="N119" s="959"/>
      <c r="O119" s="48">
        <f>IF(t&lt;Tnet,'2020'!Resal+('2020'!Salim-'2020'!Resal)*(1-EXP(('2020'!Tnet-t)/('2020'!Tau_j))),Resal+(Salim-Resal)*(1-EXP((Tnet-t)/(Tau_j))))*Salcycl</f>
        <v>8.4777055313364144E-2</v>
      </c>
      <c r="P119" s="169">
        <f>(INDEX(Models!$BJ119:$BT119,,T119)*(1-R119)+INDEX(Models!$BJ119:$BT119,,T119+1)*R119-ERP_i)*Q119*Ramure*Pc/MaxiM</f>
        <v>2.1769413480412096E-4</v>
      </c>
      <c r="Q119" s="305">
        <f t="shared" si="27"/>
        <v>0.7</v>
      </c>
      <c r="R119" s="177">
        <f t="shared" si="28"/>
        <v>0.54492464406213803</v>
      </c>
      <c r="S119" s="921">
        <f t="shared" si="29"/>
        <v>-1</v>
      </c>
      <c r="T119" s="176">
        <f t="shared" si="30"/>
        <v>5</v>
      </c>
      <c r="U119" s="251">
        <f t="shared" si="31"/>
        <v>-0.45507535593786191</v>
      </c>
      <c r="V119" s="383">
        <f t="shared" si="32"/>
        <v>51.397902816128017</v>
      </c>
      <c r="W119" s="402"/>
      <c r="X119" s="157">
        <f t="shared" si="33"/>
        <v>44301</v>
      </c>
      <c r="Y119" s="385">
        <f t="shared" si="34"/>
        <v>50.953000000000003</v>
      </c>
      <c r="Z119" s="385">
        <f t="shared" si="35"/>
        <v>52.147529546498959</v>
      </c>
      <c r="AA119" s="386">
        <f t="shared" si="36"/>
        <v>56.977952584387843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8.4777055313364144E-2</v>
      </c>
      <c r="AD119" s="231">
        <f>(INDEX(Models!$BJ119:$BT119,,AH119)*(1-AF119)+INDEX(Models!$BJ119:$BT119,,AH119+1)*AF119-ERP_i)*AE119*Ramure*Pc/MaxiM</f>
        <v>2.1769413480412096E-4</v>
      </c>
      <c r="AE119" s="305">
        <f t="shared" si="38"/>
        <v>0.7</v>
      </c>
      <c r="AF119" s="177">
        <f t="shared" si="39"/>
        <v>0.54492464406213803</v>
      </c>
      <c r="AG119" s="921">
        <f t="shared" si="47"/>
        <v>-1</v>
      </c>
      <c r="AH119" s="176">
        <f t="shared" si="40"/>
        <v>5</v>
      </c>
      <c r="AI119" s="225">
        <f t="shared" si="41"/>
        <v>-0.45507535593786191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20">
        <v>42.841999999999999</v>
      </c>
      <c r="C120" s="390"/>
      <c r="D120" s="393">
        <f t="shared" si="24"/>
        <v>43.847337635158908</v>
      </c>
      <c r="E120" s="385">
        <f t="shared" si="45"/>
        <v>47.91199451797258</v>
      </c>
      <c r="F120" s="385">
        <f t="shared" si="25"/>
        <v>47.92037227893379</v>
      </c>
      <c r="G120" s="110">
        <f t="shared" si="46"/>
        <v>0.83162605369100384</v>
      </c>
      <c r="H120" s="414" t="b">
        <f>Wh_hp&gt;='2020'!Maxi_hp</f>
        <v>0</v>
      </c>
      <c r="I120" s="380">
        <f>IF(H120,Wh_hp,'2020'!Maxi_hp)</f>
        <v>53.394011325702145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2.2928134052836557E-2</v>
      </c>
      <c r="M120" s="959"/>
      <c r="N120" s="959"/>
      <c r="O120" s="48">
        <f>IF(t&lt;Tnet,'2020'!Resal+('2020'!Salim-'2020'!Resal)*(1-EXP(('2020'!Tnet-t)/('2020'!Tau_j))),Resal+(Salim-Resal)*(1-EXP((Tnet-t)/(Tau_j))))*Salcycl</f>
        <v>8.4835893886424429E-2</v>
      </c>
      <c r="P120" s="169">
        <f>(INDEX(Models!$BJ120:$BT120,,T120)*(1-R120)+INDEX(Models!$BJ120:$BT120,,T120+1)*R120-ERP_i)*Q120*Ramure*Pc/MaxiM</f>
        <v>2.3017701544223362E-4</v>
      </c>
      <c r="Q120" s="305">
        <f t="shared" si="27"/>
        <v>0.7</v>
      </c>
      <c r="R120" s="177">
        <f t="shared" si="28"/>
        <v>0.54665630203578042</v>
      </c>
      <c r="S120" s="921">
        <f t="shared" si="29"/>
        <v>-1</v>
      </c>
      <c r="T120" s="176">
        <f t="shared" si="30"/>
        <v>5</v>
      </c>
      <c r="U120" s="251">
        <f t="shared" si="31"/>
        <v>-0.45334369796421953</v>
      </c>
      <c r="V120" s="383">
        <f t="shared" si="32"/>
        <v>51.513090622134527</v>
      </c>
      <c r="W120" s="402"/>
      <c r="X120" s="157">
        <f t="shared" si="33"/>
        <v>44302</v>
      </c>
      <c r="Y120" s="385">
        <f t="shared" si="34"/>
        <v>42.841999999999999</v>
      </c>
      <c r="Z120" s="385">
        <f t="shared" si="35"/>
        <v>43.847337635158908</v>
      </c>
      <c r="AA120" s="386">
        <f t="shared" si="36"/>
        <v>47.91199451797258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8.4835893886424429E-2</v>
      </c>
      <c r="AD120" s="231">
        <f>(INDEX(Models!$BJ120:$BT120,,AH120)*(1-AF120)+INDEX(Models!$BJ120:$BT120,,AH120+1)*AF120-ERP_i)*AE120*Ramure*Pc/MaxiM</f>
        <v>2.3017701544223362E-4</v>
      </c>
      <c r="AE120" s="305">
        <f t="shared" si="38"/>
        <v>0.7</v>
      </c>
      <c r="AF120" s="177">
        <f t="shared" si="39"/>
        <v>0.54665630203578042</v>
      </c>
      <c r="AG120" s="921">
        <f t="shared" si="47"/>
        <v>-1</v>
      </c>
      <c r="AH120" s="176">
        <f t="shared" si="40"/>
        <v>5</v>
      </c>
      <c r="AI120" s="225">
        <f t="shared" si="41"/>
        <v>-0.45334369796421953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20">
        <v>46.285000000000004</v>
      </c>
      <c r="C121" s="390"/>
      <c r="D121" s="393">
        <f t="shared" si="24"/>
        <v>47.372169228946717</v>
      </c>
      <c r="E121" s="385">
        <f t="shared" si="45"/>
        <v>51.766971137136139</v>
      </c>
      <c r="F121" s="385">
        <f t="shared" si="25"/>
        <v>51.777757450254626</v>
      </c>
      <c r="G121" s="110">
        <f t="shared" si="46"/>
        <v>0.89651621228791112</v>
      </c>
      <c r="H121" s="414" t="b">
        <f>Wh_hp&gt;='2020'!Maxi_hp</f>
        <v>1</v>
      </c>
      <c r="I121" s="380">
        <f>IF(H121,Wh_hp,'2020'!Maxi_hp)</f>
        <v>51.777757450254626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2.2949534434289709E-2</v>
      </c>
      <c r="M121" s="959"/>
      <c r="N121" s="959"/>
      <c r="O121" s="48">
        <f>IF(t&lt;Tnet,'2020'!Resal+('2020'!Salim-'2020'!Resal)*(1-EXP(('2020'!Tnet-t)/('2020'!Tau_j))),Resal+(Salim-Resal)*(1-EXP((Tnet-t)/(Tau_j))))*Salcycl</f>
        <v>8.4895867222888638E-2</v>
      </c>
      <c r="P121" s="169">
        <f>(INDEX(Models!$BJ121:$BT121,,T121)*(1-R121)+INDEX(Models!$BJ121:$BT121,,T121+1)*R121-ERP_i)*Q121*Ramure*Pc/MaxiM</f>
        <v>2.4444546814532202E-4</v>
      </c>
      <c r="Q121" s="305">
        <f t="shared" si="27"/>
        <v>0.7</v>
      </c>
      <c r="R121" s="177">
        <f t="shared" si="28"/>
        <v>0.54844664857045733</v>
      </c>
      <c r="S121" s="921">
        <f t="shared" si="29"/>
        <v>-1</v>
      </c>
      <c r="T121" s="176">
        <f t="shared" si="30"/>
        <v>5</v>
      </c>
      <c r="U121" s="251">
        <f t="shared" si="31"/>
        <v>-0.45155335142954273</v>
      </c>
      <c r="V121" s="383">
        <f t="shared" si="32"/>
        <v>51.625756370858859</v>
      </c>
      <c r="W121" s="402"/>
      <c r="X121" s="157">
        <f t="shared" si="33"/>
        <v>44303</v>
      </c>
      <c r="Y121" s="385">
        <f t="shared" si="34"/>
        <v>46.285000000000004</v>
      </c>
      <c r="Z121" s="385">
        <f t="shared" si="35"/>
        <v>47.372169228946717</v>
      </c>
      <c r="AA121" s="386">
        <f t="shared" si="36"/>
        <v>51.766971137136139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8.4895867222888638E-2</v>
      </c>
      <c r="AD121" s="231">
        <f>(INDEX(Models!$BJ121:$BT121,,AH121)*(1-AF121)+INDEX(Models!$BJ121:$BT121,,AH121+1)*AF121-ERP_i)*AE121*Ramure*Pc/MaxiM</f>
        <v>2.4444546814532202E-4</v>
      </c>
      <c r="AE121" s="305">
        <f t="shared" si="38"/>
        <v>0.7</v>
      </c>
      <c r="AF121" s="177">
        <f t="shared" si="39"/>
        <v>0.54844664857045733</v>
      </c>
      <c r="AG121" s="921">
        <f t="shared" si="47"/>
        <v>-1</v>
      </c>
      <c r="AH121" s="176">
        <f t="shared" si="40"/>
        <v>5</v>
      </c>
      <c r="AI121" s="225">
        <f t="shared" si="41"/>
        <v>-0.45155335142954273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20">
        <v>37.783999999999999</v>
      </c>
      <c r="C122" s="390"/>
      <c r="D122" s="393">
        <f t="shared" si="24"/>
        <v>38.672339778088087</v>
      </c>
      <c r="E122" s="385">
        <f t="shared" si="45"/>
        <v>42.262865598888745</v>
      </c>
      <c r="F122" s="385">
        <f t="shared" si="25"/>
        <v>42.269665111428111</v>
      </c>
      <c r="G122" s="110">
        <f t="shared" si="46"/>
        <v>0.73026450549763711</v>
      </c>
      <c r="H122" s="414" t="b">
        <f>Wh_hp&gt;='2020'!Maxi_hp</f>
        <v>1</v>
      </c>
      <c r="I122" s="380">
        <f>IF(H122,Wh_hp,'2020'!Maxi_hp)</f>
        <v>42.269665111428111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2.2970934347019467E-2</v>
      </c>
      <c r="M122" s="959"/>
      <c r="N122" s="959"/>
      <c r="O122" s="48">
        <f>IF(t&lt;Tnet,'2020'!Resal+('2020'!Salim-'2020'!Resal)*(1-EXP(('2020'!Tnet-t)/('2020'!Tau_j))),Resal+(Salim-Resal)*(1-EXP((Tnet-t)/(Tau_j))))*Salcycl</f>
        <v>8.4956989307773401E-2</v>
      </c>
      <c r="P122" s="169">
        <f>(INDEX(Models!$BJ122:$BT122,,T122)*(1-R122)+INDEX(Models!$BJ122:$BT122,,T122+1)*R122-ERP_i)*Q122*Ramure*Pc/MaxiM</f>
        <v>2.6165990445150373E-4</v>
      </c>
      <c r="Q122" s="305">
        <f t="shared" si="27"/>
        <v>0.7</v>
      </c>
      <c r="R122" s="177">
        <f t="shared" si="28"/>
        <v>0.55029712889318017</v>
      </c>
      <c r="S122" s="921">
        <f t="shared" si="29"/>
        <v>-1</v>
      </c>
      <c r="T122" s="176">
        <f t="shared" si="30"/>
        <v>5</v>
      </c>
      <c r="U122" s="251">
        <f t="shared" si="31"/>
        <v>-0.44970287110681983</v>
      </c>
      <c r="V122" s="383">
        <f t="shared" si="32"/>
        <v>51.734940548169739</v>
      </c>
      <c r="W122" s="402"/>
      <c r="X122" s="157">
        <f t="shared" si="33"/>
        <v>44304</v>
      </c>
      <c r="Y122" s="385">
        <f t="shared" si="34"/>
        <v>37.783999999999999</v>
      </c>
      <c r="Z122" s="385">
        <f t="shared" si="35"/>
        <v>38.672339778088087</v>
      </c>
      <c r="AA122" s="386">
        <f t="shared" si="36"/>
        <v>42.262865598888745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8.4956989307773401E-2</v>
      </c>
      <c r="AD122" s="231">
        <f>(INDEX(Models!$BJ122:$BT122,,AH122)*(1-AF122)+INDEX(Models!$BJ122:$BT122,,AH122+1)*AF122-ERP_i)*AE122*Ramure*Pc/MaxiM</f>
        <v>2.6165990445150373E-4</v>
      </c>
      <c r="AE122" s="305">
        <f t="shared" si="38"/>
        <v>0.7</v>
      </c>
      <c r="AF122" s="177">
        <f t="shared" si="39"/>
        <v>0.55029712889318017</v>
      </c>
      <c r="AG122" s="921">
        <f t="shared" si="47"/>
        <v>-1</v>
      </c>
      <c r="AH122" s="176">
        <f t="shared" si="40"/>
        <v>5</v>
      </c>
      <c r="AI122" s="225">
        <f t="shared" si="41"/>
        <v>-0.44970287110681983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20">
        <v>50.079000000000001</v>
      </c>
      <c r="C123" s="390"/>
      <c r="D123" s="393">
        <f t="shared" si="24"/>
        <v>51.257530244690052</v>
      </c>
      <c r="E123" s="385">
        <f t="shared" si="45"/>
        <v>56.020338690075448</v>
      </c>
      <c r="F123" s="385">
        <f t="shared" si="25"/>
        <v>56.035337326864806</v>
      </c>
      <c r="G123" s="110">
        <f t="shared" si="46"/>
        <v>0.96600624194458462</v>
      </c>
      <c r="H123" s="414" t="b">
        <f>Wh_hp&gt;='2020'!Maxi_hp</f>
        <v>1</v>
      </c>
      <c r="I123" s="380">
        <f>IF(H123,Wh_hp,'2020'!Maxi_hp)</f>
        <v>56.035337326864806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2.2992333791036268E-2</v>
      </c>
      <c r="M123" s="959"/>
      <c r="N123" s="959"/>
      <c r="O123" s="48">
        <f>IF(t&lt;Tnet,'2020'!Resal+('2020'!Salim-'2020'!Resal)*(1-EXP(('2020'!Tnet-t)/('2020'!Tau_j))),Resal+(Salim-Resal)*(1-EXP((Tnet-t)/(Tau_j))))*Salcycl</f>
        <v>8.5019272584818742E-2</v>
      </c>
      <c r="P123" s="169">
        <f>(INDEX(Models!$BJ123:$BT123,,T123)*(1-R123)+INDEX(Models!$BJ123:$BT123,,T123+1)*R123-ERP_i)*Q123*Ramure*Pc/MaxiM</f>
        <v>2.81320210292446E-4</v>
      </c>
      <c r="Q123" s="305">
        <f t="shared" si="27"/>
        <v>0.7</v>
      </c>
      <c r="R123" s="177">
        <f t="shared" si="28"/>
        <v>0.55220918197781699</v>
      </c>
      <c r="S123" s="921">
        <f t="shared" si="29"/>
        <v>-1</v>
      </c>
      <c r="T123" s="176">
        <f t="shared" si="30"/>
        <v>5</v>
      </c>
      <c r="U123" s="251">
        <f t="shared" si="31"/>
        <v>-0.44779081802218296</v>
      </c>
      <c r="V123" s="383">
        <f t="shared" si="32"/>
        <v>51.840571776847781</v>
      </c>
      <c r="W123" s="402"/>
      <c r="X123" s="157">
        <f t="shared" si="33"/>
        <v>44305</v>
      </c>
      <c r="Y123" s="385">
        <f t="shared" si="34"/>
        <v>50.079000000000001</v>
      </c>
      <c r="Z123" s="385">
        <f t="shared" si="35"/>
        <v>51.257530244690052</v>
      </c>
      <c r="AA123" s="386">
        <f t="shared" si="36"/>
        <v>56.020338690075448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8.5019272584818742E-2</v>
      </c>
      <c r="AD123" s="231">
        <f>(INDEX(Models!$BJ123:$BT123,,AH123)*(1-AF123)+INDEX(Models!$BJ123:$BT123,,AH123+1)*AF123-ERP_i)*AE123*Ramure*Pc/MaxiM</f>
        <v>2.81320210292446E-4</v>
      </c>
      <c r="AE123" s="305">
        <f t="shared" si="38"/>
        <v>0.7</v>
      </c>
      <c r="AF123" s="177">
        <f t="shared" si="39"/>
        <v>0.55220918197781699</v>
      </c>
      <c r="AG123" s="921">
        <f t="shared" si="47"/>
        <v>-1</v>
      </c>
      <c r="AH123" s="176">
        <f t="shared" si="40"/>
        <v>5</v>
      </c>
      <c r="AI123" s="225">
        <f t="shared" si="41"/>
        <v>-0.44779081802218296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20">
        <v>39.698</v>
      </c>
      <c r="C124" s="390"/>
      <c r="D124" s="393">
        <f t="shared" si="24"/>
        <v>40.633119759610793</v>
      </c>
      <c r="E124" s="385">
        <f t="shared" si="45"/>
        <v>40.962999331923974</v>
      </c>
      <c r="F124" s="385">
        <f t="shared" si="25"/>
        <v>40.970191221222422</v>
      </c>
      <c r="G124" s="110">
        <f t="shared" si="46"/>
        <v>0.70482806350821803</v>
      </c>
      <c r="H124" s="414" t="b">
        <f>Wh_hp&gt;='2020'!Maxi_hp</f>
        <v>0</v>
      </c>
      <c r="I124" s="380">
        <f>IF(H124,Wh_hp,'2020'!Maxi_hp)</f>
        <v>54.638540839726012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2.3013732766350325E-2</v>
      </c>
      <c r="M124" s="959"/>
      <c r="N124" s="959"/>
      <c r="O124" s="48">
        <f>IF(t&lt;Tnet,'2020'!Resal+('2020'!Salim-'2020'!Resal)*(1-EXP(('2020'!Tnet-t)/('2020'!Tau_j))),Resal+(Salim-Resal)*(1-EXP((Tnet-t)/(Tau_j))))*Salcycl</f>
        <v>8.0531107998261017E-3</v>
      </c>
      <c r="P124" s="169">
        <f>(INDEX(Models!$BJ124:$BT124,,T124)*(1-R124)+INDEX(Models!$BJ124:$BT124,,T124+1)*R124-ERP_i)*Q124*Ramure*Pc/MaxiM</f>
        <v>3.0346295778911083E-4</v>
      </c>
      <c r="Q124" s="305">
        <f t="shared" si="27"/>
        <v>0.7</v>
      </c>
      <c r="R124" s="177">
        <f t="shared" si="28"/>
        <v>0.5541842367064862</v>
      </c>
      <c r="S124" s="921">
        <f t="shared" si="29"/>
        <v>-1</v>
      </c>
      <c r="T124" s="176">
        <f t="shared" si="30"/>
        <v>5</v>
      </c>
      <c r="U124" s="251">
        <f t="shared" si="31"/>
        <v>-0.44581576329351374</v>
      </c>
      <c r="V124" s="383">
        <f t="shared" si="32"/>
        <v>56.315749698936067</v>
      </c>
      <c r="W124" s="402"/>
      <c r="X124" s="157">
        <f t="shared" si="33"/>
        <v>44306</v>
      </c>
      <c r="Y124" s="385">
        <f t="shared" si="34"/>
        <v>36.615252554074665</v>
      </c>
      <c r="Z124" s="385">
        <f t="shared" si="35"/>
        <v>37.477755606280184</v>
      </c>
      <c r="AA124" s="386">
        <f t="shared" si="36"/>
        <v>40.962999331923974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8.5082727888228862E-2</v>
      </c>
      <c r="AD124" s="231">
        <f>(INDEX(Models!$BJ124:$BT124,,AH124)*(1-AF124)+INDEX(Models!$BJ124:$BT124,,AH124+1)*AF124-ERP_i)*AE124*Ramure*Pc/MaxiM</f>
        <v>3.0346295778911083E-4</v>
      </c>
      <c r="AE124" s="305">
        <f t="shared" si="38"/>
        <v>0.7</v>
      </c>
      <c r="AF124" s="177">
        <f t="shared" si="39"/>
        <v>0.5541842367064862</v>
      </c>
      <c r="AG124" s="921">
        <f t="shared" si="47"/>
        <v>-1</v>
      </c>
      <c r="AH124" s="176">
        <f t="shared" si="40"/>
        <v>5</v>
      </c>
      <c r="AI124" s="225">
        <f t="shared" si="41"/>
        <v>-0.44581576329351374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20">
        <v>47.753</v>
      </c>
      <c r="C125" s="390"/>
      <c r="D125" s="393">
        <f t="shared" si="24"/>
        <v>48.878932629605714</v>
      </c>
      <c r="E125" s="385">
        <f t="shared" si="45"/>
        <v>49.281021199285156</v>
      </c>
      <c r="F125" s="385">
        <f t="shared" si="25"/>
        <v>49.293646269634195</v>
      </c>
      <c r="G125" s="110">
        <f t="shared" si="46"/>
        <v>0.84632020573575517</v>
      </c>
      <c r="H125" s="414" t="b">
        <f>Wh_hp&gt;='2020'!Maxi_hp</f>
        <v>1</v>
      </c>
      <c r="I125" s="380">
        <f>IF(H125,Wh_hp,'2020'!Maxi_hp)</f>
        <v>49.293646269634195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2.3035131272971854E-2</v>
      </c>
      <c r="M125" s="959"/>
      <c r="N125" s="959"/>
      <c r="O125" s="48">
        <f>IF(t&lt;Tnet,'2020'!Resal+('2020'!Salim-'2020'!Resal)*(1-EXP(('2020'!Tnet-t)/('2020'!Tau_j))),Resal+(Salim-Resal)*(1-EXP((Tnet-t)/(Tau_j))))*Salcycl</f>
        <v>8.159095730858627E-3</v>
      </c>
      <c r="P125" s="169">
        <f>(INDEX(Models!$BJ125:$BT125,,T125)*(1-R125)+INDEX(Models!$BJ125:$BT125,,T125+1)*R125-ERP_i)*Q125*Ramure*Pc/MaxiM</f>
        <v>3.2812942648090569E-4</v>
      </c>
      <c r="Q125" s="305">
        <f t="shared" si="27"/>
        <v>0.7</v>
      </c>
      <c r="R125" s="177">
        <f t="shared" si="28"/>
        <v>0.55622370777195929</v>
      </c>
      <c r="S125" s="921">
        <f t="shared" si="29"/>
        <v>-1</v>
      </c>
      <c r="T125" s="176">
        <f t="shared" si="30"/>
        <v>5</v>
      </c>
      <c r="U125" s="251">
        <f t="shared" si="31"/>
        <v>-0.44377629222804071</v>
      </c>
      <c r="V125" s="383">
        <f t="shared" si="32"/>
        <v>56.420206101123632</v>
      </c>
      <c r="W125" s="402"/>
      <c r="X125" s="157">
        <f t="shared" si="33"/>
        <v>44307</v>
      </c>
      <c r="Y125" s="385">
        <f t="shared" si="34"/>
        <v>44.046336182655814</v>
      </c>
      <c r="Z125" s="385">
        <f t="shared" si="35"/>
        <v>45.084872130609554</v>
      </c>
      <c r="AA125" s="386">
        <f t="shared" si="36"/>
        <v>49.281021199285156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8.514736437191503E-2</v>
      </c>
      <c r="AD125" s="231">
        <f>(INDEX(Models!$BJ125:$BT125,,AH125)*(1-AF125)+INDEX(Models!$BJ125:$BT125,,AH125+1)*AF125-ERP_i)*AE125*Ramure*Pc/MaxiM</f>
        <v>3.2812942648090569E-4</v>
      </c>
      <c r="AE125" s="305">
        <f t="shared" si="38"/>
        <v>0.7</v>
      </c>
      <c r="AF125" s="177">
        <f t="shared" si="39"/>
        <v>0.55622370777195929</v>
      </c>
      <c r="AG125" s="921">
        <f t="shared" si="47"/>
        <v>-1</v>
      </c>
      <c r="AH125" s="176">
        <f t="shared" si="40"/>
        <v>5</v>
      </c>
      <c r="AI125" s="225">
        <f t="shared" si="41"/>
        <v>-0.44377629222804071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20">
        <v>58.203000000000003</v>
      </c>
      <c r="C126" s="390"/>
      <c r="D126" s="393">
        <f t="shared" si="24"/>
        <v>59.576630323294367</v>
      </c>
      <c r="E126" s="385">
        <f t="shared" si="45"/>
        <v>60.073145680232585</v>
      </c>
      <c r="F126" s="385">
        <f t="shared" si="25"/>
        <v>60.094501166563738</v>
      </c>
      <c r="G126" s="110">
        <f t="shared" si="46"/>
        <v>1.0297670695800889</v>
      </c>
      <c r="H126" s="414" t="b">
        <f>Wh_hp&gt;='2020'!Maxi_hp</f>
        <v>1</v>
      </c>
      <c r="I126" s="380">
        <f>IF(H126,Wh_hp,'2020'!Maxi_hp)</f>
        <v>60.094501166563738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2.3056529310911289E-2</v>
      </c>
      <c r="M126" s="959"/>
      <c r="N126" s="959"/>
      <c r="O126" s="48">
        <f>IF(t&lt;Tnet,'2020'!Resal+('2020'!Salim-'2020'!Resal)*(1-EXP(('2020'!Tnet-t)/('2020'!Tau_j))),Resal+(Salim-Resal)*(1-EXP((Tnet-t)/(Tau_j))))*Salcycl</f>
        <v>8.2651799121882634E-3</v>
      </c>
      <c r="P126" s="169">
        <f>(INDEX(Models!$BJ126:$BT126,,T126)*(1-R126)+INDEX(Models!$BJ126:$BT126,,T126+1)*R126-ERP_i)*Q126*Ramure*Pc/MaxiM</f>
        <v>3.5536506529872987E-4</v>
      </c>
      <c r="Q126" s="305">
        <f t="shared" si="27"/>
        <v>0.7</v>
      </c>
      <c r="R126" s="177">
        <f t="shared" si="28"/>
        <v>0.55832899131884173</v>
      </c>
      <c r="S126" s="921">
        <f t="shared" si="29"/>
        <v>-1</v>
      </c>
      <c r="T126" s="176">
        <f t="shared" si="30"/>
        <v>5</v>
      </c>
      <c r="U126" s="251">
        <f t="shared" si="31"/>
        <v>-0.44167100868115827</v>
      </c>
      <c r="V126" s="383">
        <f t="shared" si="32"/>
        <v>56.520548888530314</v>
      </c>
      <c r="W126" s="402"/>
      <c r="X126" s="157">
        <f t="shared" si="33"/>
        <v>44308</v>
      </c>
      <c r="Y126" s="385">
        <f t="shared" si="34"/>
        <v>53.687070027977086</v>
      </c>
      <c r="Z126" s="385">
        <f t="shared" si="35"/>
        <v>54.954121337347004</v>
      </c>
      <c r="AA126" s="386">
        <f t="shared" si="36"/>
        <v>60.073145680232585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8.5213189436324499E-2</v>
      </c>
      <c r="AD126" s="231">
        <f>(INDEX(Models!$BJ126:$BT126,,AH126)*(1-AF126)+INDEX(Models!$BJ126:$BT126,,AH126+1)*AF126-ERP_i)*AE126*Ramure*Pc/MaxiM</f>
        <v>3.5536506529872987E-4</v>
      </c>
      <c r="AE126" s="305">
        <f t="shared" si="38"/>
        <v>0.7</v>
      </c>
      <c r="AF126" s="177">
        <f t="shared" si="39"/>
        <v>0.55832899131884173</v>
      </c>
      <c r="AG126" s="921">
        <f t="shared" si="47"/>
        <v>-1</v>
      </c>
      <c r="AH126" s="176">
        <f t="shared" si="40"/>
        <v>5</v>
      </c>
      <c r="AI126" s="225">
        <f t="shared" si="41"/>
        <v>-0.44167100868115827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20">
        <v>58.597999999999999</v>
      </c>
      <c r="C127" s="390"/>
      <c r="D127" s="393">
        <f t="shared" si="24"/>
        <v>59.982266357096471</v>
      </c>
      <c r="E127" s="385">
        <f t="shared" si="45"/>
        <v>60.488639017620294</v>
      </c>
      <c r="F127" s="385">
        <f t="shared" si="25"/>
        <v>60.511949341362161</v>
      </c>
      <c r="G127" s="110">
        <f t="shared" si="46"/>
        <v>1.0349954909125973</v>
      </c>
      <c r="H127" s="414" t="b">
        <f>Wh_hp&gt;='2020'!Maxi_hp</f>
        <v>1</v>
      </c>
      <c r="I127" s="380">
        <f>IF(H127,Wh_hp,'2020'!Maxi_hp)</f>
        <v>60.511949341362161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2.3077926880178623E-2</v>
      </c>
      <c r="M127" s="959"/>
      <c r="N127" s="959"/>
      <c r="O127" s="48">
        <f>IF(t&lt;Tnet,'2020'!Resal+('2020'!Salim-'2020'!Resal)*(1-EXP(('2020'!Tnet-t)/('2020'!Tau_j))),Resal+(Salim-Resal)*(1-EXP((Tnet-t)/(Tau_j))))*Salcycl</f>
        <v>8.3713680576665197E-3</v>
      </c>
      <c r="P127" s="169">
        <f>(INDEX(Models!$BJ127:$BT127,,T127)*(1-R127)+INDEX(Models!$BJ127:$BT127,,T127+1)*R127-ERP_i)*Q127*Ramure*Pc/MaxiM</f>
        <v>3.8521852287994312E-4</v>
      </c>
      <c r="Q127" s="305">
        <f t="shared" si="27"/>
        <v>0.7</v>
      </c>
      <c r="R127" s="177">
        <f t="shared" si="28"/>
        <v>0.56050146032287507</v>
      </c>
      <c r="S127" s="921">
        <f t="shared" si="29"/>
        <v>-1</v>
      </c>
      <c r="T127" s="176">
        <f t="shared" si="30"/>
        <v>5</v>
      </c>
      <c r="U127" s="251">
        <f t="shared" si="31"/>
        <v>-0.43949853967712488</v>
      </c>
      <c r="V127" s="383">
        <f t="shared" si="32"/>
        <v>56.616671777315446</v>
      </c>
      <c r="W127" s="402"/>
      <c r="X127" s="157">
        <f t="shared" si="33"/>
        <v>44309</v>
      </c>
      <c r="Y127" s="385">
        <f t="shared" si="34"/>
        <v>54.053249983676452</v>
      </c>
      <c r="Z127" s="385">
        <f t="shared" si="35"/>
        <v>55.330155261060128</v>
      </c>
      <c r="AA127" s="386">
        <f t="shared" si="36"/>
        <v>60.488639017620294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8.528020865302495E-2</v>
      </c>
      <c r="AD127" s="231">
        <f>(INDEX(Models!$BJ127:$BT127,,AH127)*(1-AF127)+INDEX(Models!$BJ127:$BT127,,AH127+1)*AF127-ERP_i)*AE127*Ramure*Pc/MaxiM</f>
        <v>3.8521852287994312E-4</v>
      </c>
      <c r="AE127" s="305">
        <f t="shared" si="38"/>
        <v>0.7</v>
      </c>
      <c r="AF127" s="177">
        <f t="shared" si="39"/>
        <v>0.56050146032287507</v>
      </c>
      <c r="AG127" s="921">
        <f t="shared" si="47"/>
        <v>-1</v>
      </c>
      <c r="AH127" s="176">
        <f t="shared" si="40"/>
        <v>5</v>
      </c>
      <c r="AI127" s="225">
        <f t="shared" si="41"/>
        <v>-0.43949853967712488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20">
        <v>57.234000000000002</v>
      </c>
      <c r="C128" s="390"/>
      <c r="D128" s="393">
        <f t="shared" si="24"/>
        <v>58.587327662852609</v>
      </c>
      <c r="E128" s="385">
        <f t="shared" si="45"/>
        <v>59.088258102984319</v>
      </c>
      <c r="F128" s="385">
        <f t="shared" si="25"/>
        <v>59.112989516648078</v>
      </c>
      <c r="G128" s="110">
        <f t="shared" si="46"/>
        <v>1.0092678901215275</v>
      </c>
      <c r="H128" s="414" t="b">
        <f>Wh_hp&gt;='2020'!Maxi_hp</f>
        <v>1</v>
      </c>
      <c r="I128" s="380">
        <f>IF(H128,Wh_hp,'2020'!Maxi_hp)</f>
        <v>59.112989516648078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2.3099323980784403E-2</v>
      </c>
      <c r="M128" s="959"/>
      <c r="N128" s="959"/>
      <c r="O128" s="48">
        <f>IF(t&lt;Tnet,'2020'!Resal+('2020'!Salim-'2020'!Resal)*(1-EXP(('2020'!Tnet-t)/('2020'!Tau_j))),Resal+(Salim-Resal)*(1-EXP((Tnet-t)/(Tau_j))))*Salcycl</f>
        <v>8.4776647038510011E-3</v>
      </c>
      <c r="P128" s="169">
        <f>(INDEX(Models!$BJ128:$BT128,,T128)*(1-R128)+INDEX(Models!$BJ128:$BT128,,T128+1)*R128-ERP_i)*Q128*Ramure*Pc/MaxiM</f>
        <v>4.1837528208235044E-4</v>
      </c>
      <c r="Q128" s="305">
        <f t="shared" si="27"/>
        <v>0.7</v>
      </c>
      <c r="R128" s="177">
        <f t="shared" si="28"/>
        <v>0.56274245970945658</v>
      </c>
      <c r="S128" s="921">
        <f t="shared" si="29"/>
        <v>-1</v>
      </c>
      <c r="T128" s="176">
        <f t="shared" si="30"/>
        <v>5</v>
      </c>
      <c r="U128" s="251">
        <f t="shared" si="31"/>
        <v>-0.43725754029054337</v>
      </c>
      <c r="V128" s="383">
        <f t="shared" si="32"/>
        <v>56.70843247882221</v>
      </c>
      <c r="W128" s="402"/>
      <c r="X128" s="157">
        <f t="shared" si="33"/>
        <v>44310</v>
      </c>
      <c r="Y128" s="385">
        <f t="shared" si="34"/>
        <v>52.796761445194612</v>
      </c>
      <c r="Z128" s="385">
        <f t="shared" si="35"/>
        <v>54.045168297289727</v>
      </c>
      <c r="AA128" s="386">
        <f t="shared" si="36"/>
        <v>59.088258102984319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8.5348425687300611E-2</v>
      </c>
      <c r="AD128" s="231">
        <f>(INDEX(Models!$BJ128:$BT128,,AH128)*(1-AF128)+INDEX(Models!$BJ128:$BT128,,AH128+1)*AF128-ERP_i)*AE128*Ramure*Pc/MaxiM</f>
        <v>4.1837528208235044E-4</v>
      </c>
      <c r="AE128" s="305">
        <f t="shared" si="38"/>
        <v>0.7</v>
      </c>
      <c r="AF128" s="177">
        <f t="shared" si="39"/>
        <v>0.56274245970945658</v>
      </c>
      <c r="AG128" s="921">
        <f t="shared" si="47"/>
        <v>-1</v>
      </c>
      <c r="AH128" s="176">
        <f t="shared" si="40"/>
        <v>5</v>
      </c>
      <c r="AI128" s="225">
        <f t="shared" si="41"/>
        <v>-0.43725754029054337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20">
        <v>29.279</v>
      </c>
      <c r="C129" s="390"/>
      <c r="D129" s="393">
        <f t="shared" si="24"/>
        <v>29.971973628476377</v>
      </c>
      <c r="E129" s="385">
        <f t="shared" si="45"/>
        <v>30.231482920769214</v>
      </c>
      <c r="F129" s="385">
        <f t="shared" si="25"/>
        <v>30.235706625971741</v>
      </c>
      <c r="G129" s="110">
        <f t="shared" si="46"/>
        <v>0.51535164542126133</v>
      </c>
      <c r="H129" s="414" t="b">
        <f>Wh_hp&gt;='2020'!Maxi_hp</f>
        <v>0</v>
      </c>
      <c r="I129" s="380">
        <f>IF(H129,Wh_hp,'2020'!Maxi_hp)</f>
        <v>55.415664195239167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2.3120720612738732E-2</v>
      </c>
      <c r="M129" s="959"/>
      <c r="N129" s="959"/>
      <c r="O129" s="48">
        <f>IF(t&lt;Tnet,'2020'!Resal+('2020'!Salim-'2020'!Resal)*(1-EXP(('2020'!Tnet-t)/('2020'!Tau_j))),Resal+(Salim-Resal)*(1-EXP((Tnet-t)/(Tau_j))))*Salcycl</f>
        <v>8.5840741909008512E-3</v>
      </c>
      <c r="P129" s="169">
        <f>(INDEX(Models!$BJ129:$BT129,,T129)*(1-R129)+INDEX(Models!$BJ129:$BT129,,T129+1)*R129-ERP_i)*Q129*Ramure*Pc/MaxiM</f>
        <v>4.5372939743800036E-4</v>
      </c>
      <c r="Q129" s="305">
        <f t="shared" si="27"/>
        <v>0.7</v>
      </c>
      <c r="R129" s="177">
        <f t="shared" si="28"/>
        <v>0.56505330121442254</v>
      </c>
      <c r="S129" s="921">
        <f t="shared" si="29"/>
        <v>-1</v>
      </c>
      <c r="T129" s="176">
        <f t="shared" si="30"/>
        <v>5</v>
      </c>
      <c r="U129" s="251">
        <f t="shared" si="31"/>
        <v>-0.43494669878557751</v>
      </c>
      <c r="V129" s="383">
        <f t="shared" si="32"/>
        <v>56.795790394306614</v>
      </c>
      <c r="W129" s="402"/>
      <c r="X129" s="157">
        <f t="shared" si="33"/>
        <v>44311</v>
      </c>
      <c r="Y129" s="385">
        <f t="shared" si="34"/>
        <v>27.00990603496021</v>
      </c>
      <c r="Z129" s="385">
        <f t="shared" si="35"/>
        <v>27.649174882593407</v>
      </c>
      <c r="AA129" s="386">
        <f t="shared" si="36"/>
        <v>30.231482920769214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8.5417842219104215E-2</v>
      </c>
      <c r="AD129" s="231">
        <f>(INDEX(Models!$BJ129:$BT129,,AH129)*(1-AF129)+INDEX(Models!$BJ129:$BT129,,AH129+1)*AF129-ERP_i)*AE129*Ramure*Pc/MaxiM</f>
        <v>4.5372939743800036E-4</v>
      </c>
      <c r="AE129" s="305">
        <f t="shared" si="38"/>
        <v>0.7</v>
      </c>
      <c r="AF129" s="177">
        <f t="shared" si="39"/>
        <v>0.56505330121442254</v>
      </c>
      <c r="AG129" s="921">
        <f t="shared" si="47"/>
        <v>-1</v>
      </c>
      <c r="AH129" s="176">
        <f t="shared" si="40"/>
        <v>5</v>
      </c>
      <c r="AI129" s="225">
        <f t="shared" si="41"/>
        <v>-0.43494669878557751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20">
        <v>7.3280000000000003</v>
      </c>
      <c r="C130" s="390"/>
      <c r="D130" s="393">
        <f t="shared" si="24"/>
        <v>7.5016029719852604</v>
      </c>
      <c r="E130" s="385">
        <f t="shared" si="45"/>
        <v>7.5673679447102664</v>
      </c>
      <c r="F130" s="385">
        <f t="shared" si="25"/>
        <v>7.5673679447102664</v>
      </c>
      <c r="G130" s="110">
        <f t="shared" si="46"/>
        <v>0.12877241030660844</v>
      </c>
      <c r="H130" s="414" t="b">
        <f>Wh_hp&gt;='2020'!Maxi_hp</f>
        <v>0</v>
      </c>
      <c r="I130" s="380">
        <f>IF(H130,Wh_hp,'2020'!Maxi_hp)</f>
        <v>46.770572657066566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2.3142116776051824E-2</v>
      </c>
      <c r="M130" s="959"/>
      <c r="N130" s="959"/>
      <c r="O130" s="48">
        <f>IF(t&lt;Tnet,'2020'!Resal+('2020'!Salim-'2020'!Resal)*(1-EXP(('2020'!Tnet-t)/('2020'!Tau_j))),Resal+(Salim-Resal)*(1-EXP((Tnet-t)/(Tau_j))))*Salcycl</f>
        <v>8.6906006428532096E-3</v>
      </c>
      <c r="P130" s="169">
        <f>(INDEX(Models!$BJ130:$BT130,,T130)*(1-R130)+INDEX(Models!$BJ130:$BT130,,T130+1)*R130-ERP_i)*Q130*Ramure*Pc/MaxiM</f>
        <v>4.9133455479394913E-4</v>
      </c>
      <c r="Q130" s="305">
        <f t="shared" si="27"/>
        <v>0.7</v>
      </c>
      <c r="R130" s="177">
        <f t="shared" si="28"/>
        <v>0.56743525799228145</v>
      </c>
      <c r="S130" s="921">
        <f t="shared" si="29"/>
        <v>-1</v>
      </c>
      <c r="T130" s="176">
        <f t="shared" si="30"/>
        <v>5</v>
      </c>
      <c r="U130" s="251">
        <f t="shared" si="31"/>
        <v>-0.43256474200771855</v>
      </c>
      <c r="V130" s="383">
        <f t="shared" si="32"/>
        <v>56.878639476755922</v>
      </c>
      <c r="W130" s="402"/>
      <c r="X130" s="157">
        <f t="shared" si="33"/>
        <v>44312</v>
      </c>
      <c r="Y130" s="385">
        <f t="shared" si="34"/>
        <v>6.7602915750897825</v>
      </c>
      <c r="Z130" s="385">
        <f t="shared" si="35"/>
        <v>6.9204453290366308</v>
      </c>
      <c r="AA130" s="386">
        <f t="shared" si="36"/>
        <v>7.5673679447102664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8.5488457862795769E-2</v>
      </c>
      <c r="AD130" s="231">
        <f>(INDEX(Models!$BJ130:$BT130,,AH130)*(1-AF130)+INDEX(Models!$BJ130:$BT130,,AH130+1)*AF130-ERP_i)*AE130*Ramure*Pc/MaxiM</f>
        <v>4.9133455479394913E-4</v>
      </c>
      <c r="AE130" s="305">
        <f t="shared" si="38"/>
        <v>0.7</v>
      </c>
      <c r="AF130" s="177">
        <f t="shared" si="39"/>
        <v>0.56743525799228145</v>
      </c>
      <c r="AG130" s="921">
        <f t="shared" si="47"/>
        <v>-1</v>
      </c>
      <c r="AH130" s="176">
        <f t="shared" si="40"/>
        <v>5</v>
      </c>
      <c r="AI130" s="225">
        <f t="shared" si="41"/>
        <v>-0.43256474200771855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20">
        <v>20.125</v>
      </c>
      <c r="C131" s="390"/>
      <c r="D131" s="393">
        <f t="shared" si="24"/>
        <v>20.6022197746755</v>
      </c>
      <c r="E131" s="385">
        <f t="shared" si="45"/>
        <v>20.785071199621413</v>
      </c>
      <c r="F131" s="385">
        <f t="shared" si="25"/>
        <v>20.785912596505018</v>
      </c>
      <c r="G131" s="110">
        <f t="shared" si="46"/>
        <v>0.35316409778504665</v>
      </c>
      <c r="H131" s="414" t="b">
        <f>Wh_hp&gt;='2020'!Maxi_hp</f>
        <v>0</v>
      </c>
      <c r="I131" s="380">
        <f>IF(H131,Wh_hp,'2020'!Maxi_hp)</f>
        <v>28.874547316848894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2.3163512470734116E-2</v>
      </c>
      <c r="M131" s="959"/>
      <c r="N131" s="959"/>
      <c r="O131" s="48">
        <f>IF(t&lt;Tnet,'2020'!Resal+('2020'!Salim-'2020'!Resal)*(1-EXP(('2020'!Tnet-t)/('2020'!Tau_j))),Resal+(Salim-Resal)*(1-EXP((Tnet-t)/(Tau_j))))*Salcycl</f>
        <v>8.7972479473269732E-3</v>
      </c>
      <c r="P131" s="169">
        <f>(INDEX(Models!$BJ131:$BT131,,T131)*(1-R131)+INDEX(Models!$BJ131:$BT131,,T131+1)*R131-ERP_i)*Q131*Ramure*Pc/MaxiM</f>
        <v>5.3124773435686231E-4</v>
      </c>
      <c r="Q131" s="305">
        <f t="shared" si="27"/>
        <v>0.7</v>
      </c>
      <c r="R131" s="177">
        <f t="shared" si="28"/>
        <v>0.5698895589794164</v>
      </c>
      <c r="S131" s="921">
        <f t="shared" si="29"/>
        <v>-1</v>
      </c>
      <c r="T131" s="176">
        <f t="shared" si="30"/>
        <v>5</v>
      </c>
      <c r="U131" s="251">
        <f t="shared" si="31"/>
        <v>-0.4301104410205836</v>
      </c>
      <c r="V131" s="383">
        <f t="shared" si="32"/>
        <v>56.956873615871302</v>
      </c>
      <c r="W131" s="402"/>
      <c r="X131" s="157">
        <f t="shared" si="33"/>
        <v>44313</v>
      </c>
      <c r="Y131" s="385">
        <f t="shared" si="34"/>
        <v>18.566433079816125</v>
      </c>
      <c r="Z131" s="385">
        <f t="shared" si="35"/>
        <v>19.006694894021223</v>
      </c>
      <c r="AA131" s="386">
        <f t="shared" si="36"/>
        <v>20.785071199621413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8.5560270086184845E-2</v>
      </c>
      <c r="AD131" s="231">
        <f>(INDEX(Models!$BJ131:$BT131,,AH131)*(1-AF131)+INDEX(Models!$BJ131:$BT131,,AH131+1)*AF131-ERP_i)*AE131*Ramure*Pc/MaxiM</f>
        <v>5.3124773435686231E-4</v>
      </c>
      <c r="AE131" s="305">
        <f t="shared" si="38"/>
        <v>0.7</v>
      </c>
      <c r="AF131" s="177">
        <f t="shared" si="39"/>
        <v>0.5698895589794164</v>
      </c>
      <c r="AG131" s="921">
        <f t="shared" si="47"/>
        <v>-1</v>
      </c>
      <c r="AH131" s="176">
        <f t="shared" si="40"/>
        <v>5</v>
      </c>
      <c r="AI131" s="225">
        <f t="shared" si="41"/>
        <v>-0.4301104410205836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20">
        <v>18.164999999999999</v>
      </c>
      <c r="C132" s="390"/>
      <c r="D132" s="393">
        <f t="shared" si="24"/>
        <v>18.596150021770516</v>
      </c>
      <c r="E132" s="385">
        <f t="shared" si="45"/>
        <v>18.763218085894046</v>
      </c>
      <c r="F132" s="385">
        <f t="shared" si="25"/>
        <v>18.763502716322382</v>
      </c>
      <c r="G132" s="110">
        <f t="shared" si="46"/>
        <v>0.31833656246681008</v>
      </c>
      <c r="H132" s="414" t="b">
        <f>Wh_hp&gt;='2020'!Maxi_hp</f>
        <v>0</v>
      </c>
      <c r="I132" s="380">
        <f>IF(H132,Wh_hp,'2020'!Maxi_hp)</f>
        <v>44.927139058198264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2.318490769679582E-2</v>
      </c>
      <c r="M132" s="959"/>
      <c r="N132" s="959"/>
      <c r="O132" s="48">
        <f>IF(t&lt;Tnet,'2020'!Resal+('2020'!Salim-'2020'!Resal)*(1-EXP(('2020'!Tnet-t)/('2020'!Tau_j))),Resal+(Salim-Resal)*(1-EXP((Tnet-t)/(Tau_j))))*Salcycl</f>
        <v>8.9040197347131644E-3</v>
      </c>
      <c r="P132" s="169">
        <f>(INDEX(Models!$BJ132:$BT132,,T132)*(1-R132)+INDEX(Models!$BJ132:$BT132,,T132+1)*R132-ERP_i)*Q132*Ramure*Pc/MaxiM</f>
        <v>5.7352922857469588E-4</v>
      </c>
      <c r="Q132" s="305">
        <f t="shared" si="27"/>
        <v>0.7</v>
      </c>
      <c r="R132" s="177">
        <f t="shared" si="28"/>
        <v>0.57241738302229372</v>
      </c>
      <c r="S132" s="921">
        <f t="shared" si="29"/>
        <v>-1</v>
      </c>
      <c r="T132" s="176">
        <f t="shared" si="30"/>
        <v>5</v>
      </c>
      <c r="U132" s="251">
        <f t="shared" si="31"/>
        <v>-0.42758261697770628</v>
      </c>
      <c r="V132" s="383">
        <f t="shared" si="32"/>
        <v>57.030386640298303</v>
      </c>
      <c r="W132" s="402"/>
      <c r="X132" s="157">
        <f t="shared" si="33"/>
        <v>44314</v>
      </c>
      <c r="Y132" s="385">
        <f t="shared" si="34"/>
        <v>16.758691293442876</v>
      </c>
      <c r="Z132" s="385">
        <f t="shared" si="35"/>
        <v>17.156462287993566</v>
      </c>
      <c r="AA132" s="386">
        <f t="shared" si="36"/>
        <v>18.763218085894046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8.563327412947451E-2</v>
      </c>
      <c r="AD132" s="231">
        <f>(INDEX(Models!$BJ132:$BT132,,AH132)*(1-AF132)+INDEX(Models!$BJ132:$BT132,,AH132+1)*AF132-ERP_i)*AE132*Ramure*Pc/MaxiM</f>
        <v>5.7352922857469588E-4</v>
      </c>
      <c r="AE132" s="305">
        <f t="shared" si="38"/>
        <v>0.7</v>
      </c>
      <c r="AF132" s="177">
        <f t="shared" si="39"/>
        <v>0.57241738302229372</v>
      </c>
      <c r="AG132" s="921">
        <f t="shared" si="47"/>
        <v>-1</v>
      </c>
      <c r="AH132" s="176">
        <f t="shared" si="40"/>
        <v>5</v>
      </c>
      <c r="AI132" s="225">
        <f t="shared" si="41"/>
        <v>-0.42758261697770628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20">
        <v>25.065999999999999</v>
      </c>
      <c r="C133" s="390"/>
      <c r="D133" s="393">
        <f t="shared" si="24"/>
        <v>25.661508733092443</v>
      </c>
      <c r="E133" s="385">
        <f t="shared" si="45"/>
        <v>25.894845093994508</v>
      </c>
      <c r="F133" s="385">
        <f t="shared" si="25"/>
        <v>25.898024276022685</v>
      </c>
      <c r="G133" s="110">
        <f t="shared" si="46"/>
        <v>0.43877382992591862</v>
      </c>
      <c r="H133" s="414" t="b">
        <f>Wh_hp&gt;='2020'!Maxi_hp</f>
        <v>0</v>
      </c>
      <c r="I133" s="380">
        <f>IF(H133,Wh_hp,'2020'!Maxi_hp)</f>
        <v>53.012856919854819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2.3206302454247041E-2</v>
      </c>
      <c r="M133" s="959"/>
      <c r="N133" s="959"/>
      <c r="O133" s="48">
        <f>IF(t&lt;Tnet,'2020'!Resal+('2020'!Salim-'2020'!Resal)*(1-EXP(('2020'!Tnet-t)/('2020'!Tau_j))),Resal+(Salim-Resal)*(1-EXP((Tnet-t)/(Tau_j))))*Salcycl</f>
        <v>9.010919356925589E-3</v>
      </c>
      <c r="P133" s="169">
        <f>(INDEX(Models!$BJ133:$BT133,,T133)*(1-R133)+INDEX(Models!$BJ133:$BT133,,T133+1)*R133-ERP_i)*Q133*Ramure*Pc/MaxiM</f>
        <v>6.1824265388391475E-4</v>
      </c>
      <c r="Q133" s="305">
        <f t="shared" si="27"/>
        <v>0.7</v>
      </c>
      <c r="R133" s="177">
        <f t="shared" si="28"/>
        <v>0.57501985278342582</v>
      </c>
      <c r="S133" s="921">
        <f t="shared" si="29"/>
        <v>-1</v>
      </c>
      <c r="T133" s="176">
        <f t="shared" si="30"/>
        <v>5</v>
      </c>
      <c r="U133" s="251">
        <f t="shared" si="31"/>
        <v>-0.42498014721657418</v>
      </c>
      <c r="V133" s="383">
        <f t="shared" si="32"/>
        <v>57.099072325459012</v>
      </c>
      <c r="W133" s="402"/>
      <c r="X133" s="157">
        <f t="shared" si="33"/>
        <v>44315</v>
      </c>
      <c r="Y133" s="385">
        <f t="shared" si="34"/>
        <v>23.126043648690459</v>
      </c>
      <c r="Z133" s="385">
        <f t="shared" si="35"/>
        <v>23.675463618157956</v>
      </c>
      <c r="AA133" s="386">
        <f t="shared" si="36"/>
        <v>25.894845093994508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8.5707462924783678E-2</v>
      </c>
      <c r="AD133" s="231">
        <f>(INDEX(Models!$BJ133:$BT133,,AH133)*(1-AF133)+INDEX(Models!$BJ133:$BT133,,AH133+1)*AF133-ERP_i)*AE133*Ramure*Pc/MaxiM</f>
        <v>6.1824265388391475E-4</v>
      </c>
      <c r="AE133" s="305">
        <f t="shared" si="38"/>
        <v>0.7</v>
      </c>
      <c r="AF133" s="177">
        <f t="shared" si="39"/>
        <v>0.57501985278342582</v>
      </c>
      <c r="AG133" s="921">
        <f t="shared" si="47"/>
        <v>-1</v>
      </c>
      <c r="AH133" s="176">
        <f t="shared" si="40"/>
        <v>5</v>
      </c>
      <c r="AI133" s="225">
        <f t="shared" si="41"/>
        <v>-0.42498014721657418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20">
        <v>17.115000000000002</v>
      </c>
      <c r="C134" s="390"/>
      <c r="D134" s="393">
        <f t="shared" si="24"/>
        <v>17.521995600133813</v>
      </c>
      <c r="E134" s="385">
        <f t="shared" si="45"/>
        <v>17.683230408463551</v>
      </c>
      <c r="F134" s="385">
        <f t="shared" si="25"/>
        <v>17.683230408463551</v>
      </c>
      <c r="G134" s="110">
        <f t="shared" si="46"/>
        <v>0.29920863635302114</v>
      </c>
      <c r="H134" s="414" t="b">
        <f>Wh_hp&gt;='2020'!Maxi_hp</f>
        <v>0</v>
      </c>
      <c r="I134" s="380">
        <f>IF(H134,Wh_hp,'2020'!Maxi_hp)</f>
        <v>59.629748537925202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2.3227696743098325E-2</v>
      </c>
      <c r="M134" s="959"/>
      <c r="N134" s="959"/>
      <c r="O134" s="48">
        <f>IF(t&lt;Tnet,'2020'!Resal+('2020'!Salim-'2020'!Resal)*(1-EXP(('2020'!Tnet-t)/('2020'!Tau_j))),Resal+(Salim-Resal)*(1-EXP((Tnet-t)/(Tau_j))))*Salcycl</f>
        <v>9.1179498657985719E-3</v>
      </c>
      <c r="P134" s="169">
        <f>(INDEX(Models!$BJ134:$BT134,,T134)*(1-R134)+INDEX(Models!$BJ134:$BT134,,T134+1)*R134-ERP_i)*Q134*Ramure*Pc/MaxiM</f>
        <v>6.6545495600425677E-4</v>
      </c>
      <c r="Q134" s="305">
        <f t="shared" si="27"/>
        <v>0.7</v>
      </c>
      <c r="R134" s="177">
        <f t="shared" si="28"/>
        <v>0.57769802844070495</v>
      </c>
      <c r="S134" s="921">
        <f t="shared" si="29"/>
        <v>-1</v>
      </c>
      <c r="T134" s="176">
        <f t="shared" si="30"/>
        <v>5</v>
      </c>
      <c r="U134" s="251">
        <f t="shared" si="31"/>
        <v>-0.42230197155929505</v>
      </c>
      <c r="V134" s="383">
        <f t="shared" si="32"/>
        <v>57.162824398719238</v>
      </c>
      <c r="W134" s="402"/>
      <c r="X134" s="157">
        <f t="shared" si="33"/>
        <v>44316</v>
      </c>
      <c r="Y134" s="385">
        <f t="shared" si="34"/>
        <v>15.790806699430028</v>
      </c>
      <c r="Z134" s="385">
        <f t="shared" si="35"/>
        <v>16.16631291323263</v>
      </c>
      <c r="AA134" s="386">
        <f t="shared" si="36"/>
        <v>17.683230408463551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8.5782827016996424E-2</v>
      </c>
      <c r="AD134" s="231">
        <f>(INDEX(Models!$BJ134:$BT134,,AH134)*(1-AF134)+INDEX(Models!$BJ134:$BT134,,AH134+1)*AF134-ERP_i)*AE134*Ramure*Pc/MaxiM</f>
        <v>6.6545495600425677E-4</v>
      </c>
      <c r="AE134" s="305">
        <f t="shared" si="38"/>
        <v>0.7</v>
      </c>
      <c r="AF134" s="177">
        <f t="shared" si="39"/>
        <v>0.57769802844070495</v>
      </c>
      <c r="AG134" s="921">
        <f t="shared" si="47"/>
        <v>-1</v>
      </c>
      <c r="AH134" s="176">
        <f t="shared" si="40"/>
        <v>5</v>
      </c>
      <c r="AI134" s="225">
        <f t="shared" si="41"/>
        <v>-0.42230197155929505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20">
        <v>18.754000000000001</v>
      </c>
      <c r="C135" s="390"/>
      <c r="D135" s="393">
        <f t="shared" si="24"/>
        <v>19.200391644187697</v>
      </c>
      <c r="E135" s="385">
        <f t="shared" si="45"/>
        <v>19.379166665734203</v>
      </c>
      <c r="F135" s="385">
        <f t="shared" si="25"/>
        <v>19.379716085674431</v>
      </c>
      <c r="G135" s="110">
        <f t="shared" si="46"/>
        <v>0.32752098837481314</v>
      </c>
      <c r="H135" s="414" t="b">
        <f>Wh_hp&gt;='2020'!Maxi_hp</f>
        <v>0</v>
      </c>
      <c r="I135" s="380">
        <f>IF(H135,Wh_hp,'2020'!Maxi_hp)</f>
        <v>57.486763345827086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2.3249090563359665E-2</v>
      </c>
      <c r="M135" s="959"/>
      <c r="N135" s="959"/>
      <c r="O135" s="48">
        <f>IF(t&lt;Tnet,'2020'!Resal+('2020'!Salim-'2020'!Resal)*(1-EXP(('2020'!Tnet-t)/('2020'!Tau_j))),Resal+(Salim-Resal)*(1-EXP((Tnet-t)/(Tau_j))))*Salcycl</f>
        <v>9.2251139912333368E-3</v>
      </c>
      <c r="P135" s="169">
        <f>(INDEX(Models!$BJ135:$BT135,,T135)*(1-R135)+INDEX(Models!$BJ135:$BT135,,T135+1)*R135-ERP_i)*Q135*Ramure*Pc/MaxiM</f>
        <v>7.1524161522763699E-4</v>
      </c>
      <c r="Q135" s="305">
        <f t="shared" si="27"/>
        <v>0.7</v>
      </c>
      <c r="R135" s="177">
        <f t="shared" si="28"/>
        <v>0.58045290119876491</v>
      </c>
      <c r="S135" s="921">
        <f t="shared" si="29"/>
        <v>-1</v>
      </c>
      <c r="T135" s="176">
        <f t="shared" si="30"/>
        <v>5</v>
      </c>
      <c r="U135" s="251">
        <f t="shared" si="31"/>
        <v>-0.41954709880123509</v>
      </c>
      <c r="V135" s="383">
        <f t="shared" si="32"/>
        <v>57.221119682295459</v>
      </c>
      <c r="W135" s="402"/>
      <c r="X135" s="157">
        <f t="shared" si="33"/>
        <v>44317</v>
      </c>
      <c r="Y135" s="385">
        <f t="shared" si="34"/>
        <v>17.303419684987595</v>
      </c>
      <c r="Z135" s="385">
        <f t="shared" si="35"/>
        <v>17.71528392532306</v>
      </c>
      <c r="AA135" s="386">
        <f t="shared" si="36"/>
        <v>19.379166665734203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8.5859354486753109E-2</v>
      </c>
      <c r="AD135" s="231">
        <f>(INDEX(Models!$BJ135:$BT135,,AH135)*(1-AF135)+INDEX(Models!$BJ135:$BT135,,AH135+1)*AF135-ERP_i)*AE135*Ramure*Pc/MaxiM</f>
        <v>7.1524161522763699E-4</v>
      </c>
      <c r="AE135" s="305">
        <f t="shared" si="38"/>
        <v>0.7</v>
      </c>
      <c r="AF135" s="177">
        <f t="shared" si="39"/>
        <v>0.58045290119876491</v>
      </c>
      <c r="AG135" s="921">
        <f t="shared" si="47"/>
        <v>-1</v>
      </c>
      <c r="AH135" s="176">
        <f t="shared" si="40"/>
        <v>5</v>
      </c>
      <c r="AI135" s="225">
        <f t="shared" si="41"/>
        <v>-0.41954709880123509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20">
        <v>50.322000000000003</v>
      </c>
      <c r="C136" s="390"/>
      <c r="D136" s="393">
        <f t="shared" si="24"/>
        <v>51.520916662482492</v>
      </c>
      <c r="E136" s="385">
        <f t="shared" si="45"/>
        <v>52.006260623411606</v>
      </c>
      <c r="F136" s="385">
        <f t="shared" si="25"/>
        <v>52.039309618554178</v>
      </c>
      <c r="G136" s="110">
        <f t="shared" si="46"/>
        <v>0.87850639150119536</v>
      </c>
      <c r="H136" s="414" t="b">
        <f>Wh_hp&gt;='2020'!Maxi_hp</f>
        <v>1</v>
      </c>
      <c r="I136" s="380">
        <f>IF(H136,Wh_hp,'2020'!Maxi_hp)</f>
        <v>52.039309618554178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2.3270483915041384E-2</v>
      </c>
      <c r="M136" s="959"/>
      <c r="N136" s="959"/>
      <c r="O136" s="48">
        <f>IF(t&lt;Tnet,'2020'!Resal+('2020'!Salim-'2020'!Resal)*(1-EXP(('2020'!Tnet-t)/('2020'!Tau_j))),Resal+(Salim-Resal)*(1-EXP((Tnet-t)/(Tau_j))))*Salcycl</f>
        <v>9.3324141192075907E-3</v>
      </c>
      <c r="P136" s="169">
        <f>(INDEX(Models!$BJ136:$BT136,,T136)*(1-R136)+INDEX(Models!$BJ136:$BT136,,T136+1)*R136-ERP_i)*Q136*Ramure*Pc/MaxiM</f>
        <v>7.6829621518289257E-4</v>
      </c>
      <c r="Q136" s="305">
        <f t="shared" si="27"/>
        <v>0.7</v>
      </c>
      <c r="R136" s="177">
        <f t="shared" si="28"/>
        <v>0.58328538663420004</v>
      </c>
      <c r="S136" s="921">
        <f t="shared" si="29"/>
        <v>-1</v>
      </c>
      <c r="T136" s="176">
        <f t="shared" si="30"/>
        <v>5</v>
      </c>
      <c r="U136" s="251">
        <f t="shared" si="31"/>
        <v>-0.41671461336580001</v>
      </c>
      <c r="V136" s="383">
        <f t="shared" si="32"/>
        <v>57.273677681672289</v>
      </c>
      <c r="W136" s="402"/>
      <c r="X136" s="157">
        <f t="shared" si="33"/>
        <v>44318</v>
      </c>
      <c r="Y136" s="385">
        <f t="shared" si="34"/>
        <v>46.430788074426715</v>
      </c>
      <c r="Z136" s="385">
        <f t="shared" si="35"/>
        <v>47.53699699844848</v>
      </c>
      <c r="AA136" s="386">
        <f t="shared" si="36"/>
        <v>52.006260623411606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8.5937030876455614E-2</v>
      </c>
      <c r="AD136" s="231">
        <f>(INDEX(Models!$BJ136:$BT136,,AH136)*(1-AF136)+INDEX(Models!$BJ136:$BT136,,AH136+1)*AF136-ERP_i)*AE136*Ramure*Pc/MaxiM</f>
        <v>7.6829621518289257E-4</v>
      </c>
      <c r="AE136" s="305">
        <f t="shared" si="38"/>
        <v>0.7</v>
      </c>
      <c r="AF136" s="177">
        <f t="shared" si="39"/>
        <v>0.58328538663420004</v>
      </c>
      <c r="AG136" s="921">
        <f t="shared" si="47"/>
        <v>-1</v>
      </c>
      <c r="AH136" s="176">
        <f t="shared" si="40"/>
        <v>5</v>
      </c>
      <c r="AI136" s="225">
        <f t="shared" si="41"/>
        <v>-0.41671461336580001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20">
        <v>57.646000000000001</v>
      </c>
      <c r="C137" s="390"/>
      <c r="D137" s="393">
        <f t="shared" si="24"/>
        <v>59.020702941452761</v>
      </c>
      <c r="E137" s="385">
        <f t="shared" si="45"/>
        <v>59.583159161705851</v>
      </c>
      <c r="F137" s="385">
        <f t="shared" si="25"/>
        <v>59.632265422182535</v>
      </c>
      <c r="G137" s="110">
        <f t="shared" si="46"/>
        <v>1.0056719627413868</v>
      </c>
      <c r="H137" s="414" t="b">
        <f>Wh_hp&gt;='2020'!Maxi_hp</f>
        <v>1</v>
      </c>
      <c r="I137" s="380">
        <f>IF(H137,Wh_hp,'2020'!Maxi_hp)</f>
        <v>59.632265422182535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2.3291876798153921E-2</v>
      </c>
      <c r="M137" s="959"/>
      <c r="N137" s="959"/>
      <c r="O137" s="48">
        <f>IF(t&lt;Tnet,'2020'!Resal+('2020'!Salim-'2020'!Resal)*(1-EXP(('2020'!Tnet-t)/('2020'!Tau_j))),Resal+(Salim-Resal)*(1-EXP((Tnet-t)/(Tau_j))))*Salcycl</f>
        <v>9.4398522697766458E-3</v>
      </c>
      <c r="P137" s="169">
        <f>(INDEX(Models!$BJ137:$BT137,,T137)*(1-R137)+INDEX(Models!$BJ137:$BT137,,T137+1)*R137-ERP_i)*Q137*Ramure*Pc/MaxiM</f>
        <v>8.2348473815356592E-4</v>
      </c>
      <c r="Q137" s="305">
        <f t="shared" si="27"/>
        <v>0.7</v>
      </c>
      <c r="R137" s="177">
        <f t="shared" si="28"/>
        <v>0.58619631789976379</v>
      </c>
      <c r="S137" s="921">
        <f t="shared" si="29"/>
        <v>-1</v>
      </c>
      <c r="T137" s="176">
        <f t="shared" si="30"/>
        <v>5</v>
      </c>
      <c r="U137" s="251">
        <f t="shared" si="31"/>
        <v>-0.41380368210023621</v>
      </c>
      <c r="V137" s="383">
        <f t="shared" si="32"/>
        <v>57.320878115027988</v>
      </c>
      <c r="W137" s="402"/>
      <c r="X137" s="157">
        <f t="shared" si="33"/>
        <v>44319</v>
      </c>
      <c r="Y137" s="385">
        <f t="shared" si="34"/>
        <v>53.18963321793737</v>
      </c>
      <c r="Z137" s="385">
        <f t="shared" si="35"/>
        <v>54.458063728978757</v>
      </c>
      <c r="AA137" s="386">
        <f t="shared" si="36"/>
        <v>59.583159161705851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8.6015839120208909E-2</v>
      </c>
      <c r="AD137" s="231">
        <f>(INDEX(Models!$BJ137:$BT137,,AH137)*(1-AF137)+INDEX(Models!$BJ137:$BT137,,AH137+1)*AF137-ERP_i)*AE137*Ramure*Pc/MaxiM</f>
        <v>8.2348473815356592E-4</v>
      </c>
      <c r="AE137" s="305">
        <f t="shared" si="38"/>
        <v>0.7</v>
      </c>
      <c r="AF137" s="177">
        <f t="shared" si="39"/>
        <v>0.58619631789976379</v>
      </c>
      <c r="AG137" s="921">
        <f t="shared" si="47"/>
        <v>-1</v>
      </c>
      <c r="AH137" s="176">
        <f t="shared" si="40"/>
        <v>5</v>
      </c>
      <c r="AI137" s="225">
        <f t="shared" si="41"/>
        <v>-0.41380368210023621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20">
        <v>51.38</v>
      </c>
      <c r="C138" s="390"/>
      <c r="D138" s="393">
        <f t="shared" si="24"/>
        <v>52.606427813945366</v>
      </c>
      <c r="E138" s="385">
        <f t="shared" si="45"/>
        <v>53.113525484556902</v>
      </c>
      <c r="F138" s="385">
        <f t="shared" si="25"/>
        <v>53.153370244886226</v>
      </c>
      <c r="G138" s="110">
        <f t="shared" si="46"/>
        <v>0.89558116753823991</v>
      </c>
      <c r="H138" s="414" t="b">
        <f>Wh_hp&gt;='2020'!Maxi_hp</f>
        <v>0</v>
      </c>
      <c r="I138" s="380">
        <f>IF(H138,Wh_hp,'2020'!Maxi_hp)</f>
        <v>56.02715044671482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2.3313269212707377E-2</v>
      </c>
      <c r="M138" s="959"/>
      <c r="N138" s="959"/>
      <c r="O138" s="48">
        <f>IF(t&lt;Tnet,'2020'!Resal+('2020'!Salim-'2020'!Resal)*(1-EXP(('2020'!Tnet-t)/('2020'!Tau_j))),Resal+(Salim-Resal)*(1-EXP((Tnet-t)/(Tau_j))))*Salcycl</f>
        <v>9.5474300752070394E-3</v>
      </c>
      <c r="P138" s="169">
        <f>(INDEX(Models!$BJ138:$BT138,,T138)*(1-R138)+INDEX(Models!$BJ138:$BT138,,T138+1)*R138-ERP_i)*Q138*Ramure*Pc/MaxiM</f>
        <v>8.8086978723318039E-4</v>
      </c>
      <c r="Q138" s="305">
        <f t="shared" si="27"/>
        <v>0.7</v>
      </c>
      <c r="R138" s="177">
        <f t="shared" si="28"/>
        <v>0.58918643881605415</v>
      </c>
      <c r="S138" s="921">
        <f t="shared" si="29"/>
        <v>-1</v>
      </c>
      <c r="T138" s="176">
        <f t="shared" si="30"/>
        <v>5</v>
      </c>
      <c r="U138" s="251">
        <f t="shared" si="31"/>
        <v>-0.41081356118394585</v>
      </c>
      <c r="V138" s="383">
        <f t="shared" si="32"/>
        <v>57.363032098358296</v>
      </c>
      <c r="W138" s="402"/>
      <c r="X138" s="157">
        <f t="shared" si="33"/>
        <v>44320</v>
      </c>
      <c r="Y138" s="385">
        <f t="shared" si="34"/>
        <v>47.409034318071278</v>
      </c>
      <c r="Z138" s="385">
        <f t="shared" si="35"/>
        <v>48.540676169374763</v>
      </c>
      <c r="AA138" s="386">
        <f t="shared" si="36"/>
        <v>53.113525484556902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8.6095759478660841E-2</v>
      </c>
      <c r="AD138" s="231">
        <f>(INDEX(Models!$BJ138:$BT138,,AH138)*(1-AF138)+INDEX(Models!$BJ138:$BT138,,AH138+1)*AF138-ERP_i)*AE138*Ramure*Pc/MaxiM</f>
        <v>8.8086978723318039E-4</v>
      </c>
      <c r="AE138" s="305">
        <f t="shared" si="38"/>
        <v>0.7</v>
      </c>
      <c r="AF138" s="177">
        <f t="shared" si="39"/>
        <v>0.58918643881605415</v>
      </c>
      <c r="AG138" s="921">
        <f t="shared" si="47"/>
        <v>-1</v>
      </c>
      <c r="AH138" s="176">
        <f t="shared" si="40"/>
        <v>5</v>
      </c>
      <c r="AI138" s="225">
        <f t="shared" si="41"/>
        <v>-0.41081356118394585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20">
        <v>37.657000000000004</v>
      </c>
      <c r="C139" s="390"/>
      <c r="D139" s="393">
        <f t="shared" si="24"/>
        <v>38.556707709803774</v>
      </c>
      <c r="E139" s="385">
        <f t="shared" si="45"/>
        <v>38.932607829954243</v>
      </c>
      <c r="F139" s="385">
        <f t="shared" si="25"/>
        <v>38.951241042797534</v>
      </c>
      <c r="G139" s="110">
        <f t="shared" si="46"/>
        <v>0.6557368179060562</v>
      </c>
      <c r="H139" s="414" t="b">
        <f>Wh_hp&gt;='2020'!Maxi_hp</f>
        <v>0</v>
      </c>
      <c r="I139" s="380">
        <f>IF(H139,Wh_hp,'2020'!Maxi_hp)</f>
        <v>58.496922298592779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2.3334661158711967E-2</v>
      </c>
      <c r="M139" s="959"/>
      <c r="N139" s="959"/>
      <c r="O139" s="48">
        <f>IF(t&lt;Tnet,'2020'!Resal+('2020'!Salim-'2020'!Resal)*(1-EXP(('2020'!Tnet-t)/('2020'!Tau_j))),Resal+(Salim-Resal)*(1-EXP((Tnet-t)/(Tau_j))))*Salcycl</f>
        <v>9.655148758395217E-3</v>
      </c>
      <c r="P139" s="169">
        <f>(INDEX(Models!$BJ139:$BT139,,T139)*(1-R139)+INDEX(Models!$BJ139:$BT139,,T139+1)*R139-ERP_i)*Q139*Ramure*Pc/MaxiM</f>
        <v>9.4051454058288611E-4</v>
      </c>
      <c r="Q139" s="305">
        <f t="shared" si="27"/>
        <v>0.7</v>
      </c>
      <c r="R139" s="177">
        <f t="shared" si="28"/>
        <v>0.59225639688263054</v>
      </c>
      <c r="S139" s="921">
        <f t="shared" si="29"/>
        <v>-1</v>
      </c>
      <c r="T139" s="176">
        <f t="shared" si="30"/>
        <v>5</v>
      </c>
      <c r="U139" s="251">
        <f t="shared" si="31"/>
        <v>-0.40774360311736946</v>
      </c>
      <c r="V139" s="383">
        <f t="shared" si="32"/>
        <v>57.400450562272873</v>
      </c>
      <c r="W139" s="402"/>
      <c r="X139" s="157">
        <f t="shared" si="33"/>
        <v>44321</v>
      </c>
      <c r="Y139" s="385">
        <f t="shared" si="34"/>
        <v>34.747332051617498</v>
      </c>
      <c r="Z139" s="385">
        <f t="shared" si="35"/>
        <v>35.577521459747508</v>
      </c>
      <c r="AA139" s="386">
        <f t="shared" si="36"/>
        <v>38.932607829954243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8.6176769479730977E-2</v>
      </c>
      <c r="AD139" s="231">
        <f>(INDEX(Models!$BJ139:$BT139,,AH139)*(1-AF139)+INDEX(Models!$BJ139:$BT139,,AH139+1)*AF139-ERP_i)*AE139*Ramure*Pc/MaxiM</f>
        <v>9.4051454058288611E-4</v>
      </c>
      <c r="AE139" s="305">
        <f t="shared" si="38"/>
        <v>0.7</v>
      </c>
      <c r="AF139" s="177">
        <f t="shared" si="39"/>
        <v>0.59225639688263054</v>
      </c>
      <c r="AG139" s="921">
        <f t="shared" si="47"/>
        <v>-1</v>
      </c>
      <c r="AH139" s="176">
        <f t="shared" si="40"/>
        <v>5</v>
      </c>
      <c r="AI139" s="225">
        <f t="shared" si="41"/>
        <v>-0.40774360311736946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20">
        <v>35.331000000000003</v>
      </c>
      <c r="C140" s="390"/>
      <c r="D140" s="393">
        <f t="shared" si="24"/>
        <v>36.175926851711097</v>
      </c>
      <c r="E140" s="385">
        <f t="shared" si="45"/>
        <v>36.532594908679862</v>
      </c>
      <c r="F140" s="385">
        <f t="shared" si="25"/>
        <v>36.549091426123525</v>
      </c>
      <c r="G140" s="110">
        <f t="shared" si="46"/>
        <v>0.6148250323682446</v>
      </c>
      <c r="H140" s="414" t="b">
        <f>Wh_hp&gt;='2020'!Maxi_hp</f>
        <v>0</v>
      </c>
      <c r="I140" s="380">
        <f>IF(H140,Wh_hp,'2020'!Maxi_hp)</f>
        <v>61.787025291973102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2.3356052636178126E-2</v>
      </c>
      <c r="M140" s="959"/>
      <c r="N140" s="959"/>
      <c r="O140" s="48">
        <f>IF(t&lt;Tnet,'2020'!Resal+('2020'!Salim-'2020'!Resal)*(1-EXP(('2020'!Tnet-t)/('2020'!Tau_j))),Resal+(Salim-Resal)*(1-EXP((Tnet-t)/(Tau_j))))*Salcycl</f>
        <v>9.7630091117350496E-3</v>
      </c>
      <c r="P140" s="169">
        <f>(INDEX(Models!$BJ140:$BT140,,T140)*(1-R140)+INDEX(Models!$BJ140:$BT140,,T140+1)*R140-ERP_i)*Q140*Ramure*Pc/MaxiM</f>
        <v>1.0024825389147983E-3</v>
      </c>
      <c r="Q140" s="305">
        <f t="shared" si="27"/>
        <v>0.7</v>
      </c>
      <c r="R140" s="177">
        <f t="shared" si="28"/>
        <v>0.59540673624397189</v>
      </c>
      <c r="S140" s="921">
        <f t="shared" si="29"/>
        <v>-1</v>
      </c>
      <c r="T140" s="176">
        <f t="shared" si="30"/>
        <v>5</v>
      </c>
      <c r="U140" s="251">
        <f t="shared" si="31"/>
        <v>-0.40459326375602805</v>
      </c>
      <c r="V140" s="383">
        <f t="shared" si="32"/>
        <v>57.433444259341698</v>
      </c>
      <c r="W140" s="402"/>
      <c r="X140" s="157">
        <f t="shared" si="33"/>
        <v>44322</v>
      </c>
      <c r="Y140" s="385">
        <f t="shared" si="34"/>
        <v>32.601679279222864</v>
      </c>
      <c r="Z140" s="385">
        <f t="shared" si="35"/>
        <v>33.381335508423525</v>
      </c>
      <c r="AA140" s="386">
        <f t="shared" si="36"/>
        <v>36.532594908679862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8.625884386623793E-2</v>
      </c>
      <c r="AD140" s="231">
        <f>(INDEX(Models!$BJ140:$BT140,,AH140)*(1-AF140)+INDEX(Models!$BJ140:$BT140,,AH140+1)*AF140-ERP_i)*AE140*Ramure*Pc/MaxiM</f>
        <v>1.0024825389147983E-3</v>
      </c>
      <c r="AE140" s="305">
        <f t="shared" si="38"/>
        <v>0.7</v>
      </c>
      <c r="AF140" s="177">
        <f t="shared" si="39"/>
        <v>0.59540673624397189</v>
      </c>
      <c r="AG140" s="921">
        <f t="shared" si="47"/>
        <v>-1</v>
      </c>
      <c r="AH140" s="176">
        <f t="shared" si="40"/>
        <v>5</v>
      </c>
      <c r="AI140" s="225">
        <f t="shared" si="41"/>
        <v>-0.40459326375602805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20">
        <v>26.834</v>
      </c>
      <c r="C141" s="390"/>
      <c r="D141" s="393">
        <f t="shared" si="24"/>
        <v>27.476326268926655</v>
      </c>
      <c r="E141" s="385">
        <f t="shared" si="45"/>
        <v>27.750249298228184</v>
      </c>
      <c r="F141" s="385">
        <f t="shared" si="25"/>
        <v>27.757313338155342</v>
      </c>
      <c r="G141" s="110">
        <f t="shared" si="46"/>
        <v>0.4666047983605684</v>
      </c>
      <c r="H141" s="414" t="b">
        <f>Wh_hp&gt;='2020'!Maxi_hp</f>
        <v>0</v>
      </c>
      <c r="I141" s="380">
        <f>IF(H141,Wh_hp,'2020'!Maxi_hp)</f>
        <v>57.268675300754929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2.3377443645116069E-2</v>
      </c>
      <c r="M141" s="959"/>
      <c r="N141" s="959"/>
      <c r="O141" s="48">
        <f>IF(t&lt;Tnet,'2020'!Resal+('2020'!Salim-'2020'!Resal)*(1-EXP(('2020'!Tnet-t)/('2020'!Tau_j))),Resal+(Salim-Resal)*(1-EXP((Tnet-t)/(Tau_j))))*Salcycl</f>
        <v>9.8710114766073758E-3</v>
      </c>
      <c r="P141" s="169">
        <f>(INDEX(Models!$BJ141:$BT141,,T141)*(1-R141)+INDEX(Models!$BJ141:$BT141,,T141+1)*R141-ERP_i)*Q141*Ramure*Pc/MaxiM</f>
        <v>1.0668374551955797E-3</v>
      </c>
      <c r="Q141" s="305">
        <f t="shared" si="27"/>
        <v>0.7</v>
      </c>
      <c r="R141" s="177">
        <f t="shared" si="28"/>
        <v>0.59863789064912432</v>
      </c>
      <c r="S141" s="921">
        <f t="shared" si="29"/>
        <v>-1</v>
      </c>
      <c r="T141" s="176">
        <f t="shared" si="30"/>
        <v>5</v>
      </c>
      <c r="U141" s="251">
        <f t="shared" si="31"/>
        <v>-0.40136210935087574</v>
      </c>
      <c r="V141" s="383">
        <f t="shared" si="32"/>
        <v>57.462323774169043</v>
      </c>
      <c r="W141" s="402"/>
      <c r="X141" s="157">
        <f t="shared" si="33"/>
        <v>44323</v>
      </c>
      <c r="Y141" s="385">
        <f t="shared" si="34"/>
        <v>24.761521252023602</v>
      </c>
      <c r="Z141" s="385">
        <f t="shared" si="35"/>
        <v>25.354238534529394</v>
      </c>
      <c r="AA141" s="386">
        <f t="shared" si="36"/>
        <v>27.750249298228184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8.6341954551441516E-2</v>
      </c>
      <c r="AD141" s="231">
        <f>(INDEX(Models!$BJ141:$BT141,,AH141)*(1-AF141)+INDEX(Models!$BJ141:$BT141,,AH141+1)*AF141-ERP_i)*AE141*Ramure*Pc/MaxiM</f>
        <v>1.0668374551955797E-3</v>
      </c>
      <c r="AE141" s="305">
        <f t="shared" si="38"/>
        <v>0.7</v>
      </c>
      <c r="AF141" s="177">
        <f t="shared" si="39"/>
        <v>0.59863789064912432</v>
      </c>
      <c r="AG141" s="921">
        <f t="shared" si="47"/>
        <v>-1</v>
      </c>
      <c r="AH141" s="176">
        <f t="shared" si="40"/>
        <v>5</v>
      </c>
      <c r="AI141" s="225">
        <f t="shared" si="41"/>
        <v>-0.40136210935087574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20">
        <v>57.201999999999998</v>
      </c>
      <c r="C142" s="390"/>
      <c r="D142" s="393">
        <f t="shared" si="24"/>
        <v>58.572528891356356</v>
      </c>
      <c r="E142" s="385">
        <f t="shared" si="45"/>
        <v>59.16292493232401</v>
      </c>
      <c r="F142" s="385">
        <f t="shared" si="25"/>
        <v>59.229596839292704</v>
      </c>
      <c r="G142" s="110">
        <f t="shared" si="46"/>
        <v>0.99502748166394139</v>
      </c>
      <c r="H142" s="414" t="b">
        <f>Wh_hp&gt;='2020'!Maxi_hp</f>
        <v>1</v>
      </c>
      <c r="I142" s="380">
        <f>IF(H142,Wh_hp,'2020'!Maxi_hp)</f>
        <v>59.229596839292704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2.3398834185535899E-2</v>
      </c>
      <c r="M142" s="959"/>
      <c r="N142" s="959"/>
      <c r="O142" s="48">
        <f>IF(t&lt;Tnet,'2020'!Resal+('2020'!Salim-'2020'!Resal)*(1-EXP(('2020'!Tnet-t)/('2020'!Tau_j))),Resal+(Salim-Resal)*(1-EXP((Tnet-t)/(Tau_j))))*Salcycl</f>
        <v>9.9791557236732133E-3</v>
      </c>
      <c r="P142" s="169">
        <f>(INDEX(Models!$BJ142:$BT142,,T142)*(1-R142)+INDEX(Models!$BJ142:$BT142,,T142+1)*R142-ERP_i)*Q142*Ramure*Pc/MaxiM</f>
        <v>1.1336922003804286E-3</v>
      </c>
      <c r="Q142" s="305">
        <f t="shared" si="27"/>
        <v>0.7</v>
      </c>
      <c r="R142" s="177">
        <f t="shared" si="28"/>
        <v>0.60195017644725723</v>
      </c>
      <c r="S142" s="921">
        <f t="shared" si="29"/>
        <v>-1</v>
      </c>
      <c r="T142" s="176">
        <f t="shared" si="30"/>
        <v>5</v>
      </c>
      <c r="U142" s="251">
        <f t="shared" si="31"/>
        <v>-0.39804982355274277</v>
      </c>
      <c r="V142" s="383">
        <f t="shared" si="32"/>
        <v>57.487396693384845</v>
      </c>
      <c r="W142" s="402"/>
      <c r="X142" s="157">
        <f t="shared" si="33"/>
        <v>44324</v>
      </c>
      <c r="Y142" s="385">
        <f t="shared" si="34"/>
        <v>52.785005702259923</v>
      </c>
      <c r="Z142" s="385">
        <f t="shared" si="35"/>
        <v>54.049705806196101</v>
      </c>
      <c r="AA142" s="386">
        <f t="shared" si="36"/>
        <v>59.16292493232401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8.6426070583509457E-2</v>
      </c>
      <c r="AD142" s="231">
        <f>(INDEX(Models!$BJ142:$BT142,,AH142)*(1-AF142)+INDEX(Models!$BJ142:$BT142,,AH142+1)*AF142-ERP_i)*AE142*Ramure*Pc/MaxiM</f>
        <v>1.1336922003804286E-3</v>
      </c>
      <c r="AE142" s="305">
        <f t="shared" si="38"/>
        <v>0.7</v>
      </c>
      <c r="AF142" s="177">
        <f t="shared" si="39"/>
        <v>0.60195017644725723</v>
      </c>
      <c r="AG142" s="921">
        <f t="shared" si="47"/>
        <v>-1</v>
      </c>
      <c r="AH142" s="176">
        <f t="shared" si="40"/>
        <v>5</v>
      </c>
      <c r="AI142" s="225">
        <f t="shared" si="41"/>
        <v>-0.39804982355274277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20">
        <v>22.157</v>
      </c>
      <c r="C143" s="390"/>
      <c r="D143" s="393">
        <f t="shared" ref="D143:D206" si="48">Wh/(1-Ppv)</f>
        <v>22.688366634617953</v>
      </c>
      <c r="E143" s="385">
        <f t="shared" si="45"/>
        <v>22.919566413930873</v>
      </c>
      <c r="F143" s="385">
        <f t="shared" ref="F143:F206" si="49">Wh_sa/(1-Pvg*MEDIAN((-Sdif+Wh/Env_an)/Csdif,0,1))</f>
        <v>22.922924307467667</v>
      </c>
      <c r="G143" s="110">
        <f t="shared" si="46"/>
        <v>0.38487185027186388</v>
      </c>
      <c r="H143" s="414" t="b">
        <f>Wh_hp&gt;='2020'!Maxi_hp</f>
        <v>0</v>
      </c>
      <c r="I143" s="380">
        <f>IF(H143,Wh_hp,'2020'!Maxi_hp)</f>
        <v>51.928840969153235</v>
      </c>
      <c r="J143" s="85">
        <f>IF(H143,An,'2020'!An_max)</f>
        <v>2019</v>
      </c>
      <c r="K143" s="197">
        <f t="shared" ref="K143:K206" si="50">t</f>
        <v>44325</v>
      </c>
      <c r="L143" s="147">
        <f>IF(t&lt;Tvie,1-EXP((T0-t)*PertePVj)+'2020'!Pspv,1-EXP((T0-t)*PertePVj)+Pspv)</f>
        <v>2.3420224257448052E-2</v>
      </c>
      <c r="M143" s="959"/>
      <c r="N143" s="959"/>
      <c r="O143" s="48">
        <f>IF(t&lt;Tnet,'2020'!Resal+('2020'!Salim-'2020'!Resal)*(1-EXP(('2020'!Tnet-t)/('2020'!Tau_j))),Resal+(Salim-Resal)*(1-EXP((Tnet-t)/(Tau_j))))*Salcycl</f>
        <v>1.0087441234158525E-2</v>
      </c>
      <c r="P143" s="169">
        <f>(INDEX(Models!$BJ143:$BT143,,T143)*(1-R143)+INDEX(Models!$BJ143:$BT143,,T143+1)*R143-ERP_i)*Q143*Ramure*Pc/MaxiM</f>
        <v>1.2024144446339715E-3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0.60534378566460267</v>
      </c>
      <c r="S143" s="92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-0.39465621433539738</v>
      </c>
      <c r="V143" s="383">
        <f t="shared" ref="V143:V206" si="56">MaxiM*(1-Ppv)*(1-Pvg)*(1-Psa)</f>
        <v>57.509013340253723</v>
      </c>
      <c r="W143" s="402"/>
      <c r="X143" s="157">
        <f t="shared" ref="X143:X206" si="57">t</f>
        <v>44325</v>
      </c>
      <c r="Y143" s="385">
        <f t="shared" ref="Y143:Y206" si="58">Wh_pvt_s*(1-Ppv)</f>
        <v>20.446424373857297</v>
      </c>
      <c r="Z143" s="385">
        <f t="shared" ref="Z143:Z206" si="59">Wh_sa_s*(1-Psa_s)</f>
        <v>20.936768179855722</v>
      </c>
      <c r="AA143" s="386">
        <f t="shared" ref="AA143:AA206" si="60">Wh_hp*(1-Pvg_s*MEDIAN((-Sdif+Wh/Env_an)/Csdif,0,1))</f>
        <v>22.919566413930873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8.6511158119901232E-2</v>
      </c>
      <c r="AD143" s="231">
        <f>(INDEX(Models!$BJ143:$BT143,,AH143)*(1-AF143)+INDEX(Models!$BJ143:$BT143,,AH143+1)*AF143-ERP_i)*AE143*Ramure*Pc/MaxiM</f>
        <v>1.2024144446339715E-3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0.60534378566460267</v>
      </c>
      <c r="AG143" s="92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-0.39465621433539738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20">
        <v>40.494</v>
      </c>
      <c r="C144" s="390"/>
      <c r="D144" s="393">
        <f t="shared" si="48"/>
        <v>41.466030679532281</v>
      </c>
      <c r="E144" s="385">
        <f t="shared" ref="E144:E169" si="69">Wh_pvt/(1-Psa)</f>
        <v>41.893167842129486</v>
      </c>
      <c r="F144" s="385">
        <f t="shared" si="49"/>
        <v>41.923963632321716</v>
      </c>
      <c r="G144" s="110">
        <f t="shared" ref="G144:G169" si="70">+Wh_hp/MaxiM</f>
        <v>0.70352768887273398</v>
      </c>
      <c r="H144" s="414" t="b">
        <f>Wh_hp&gt;='2020'!Maxi_hp</f>
        <v>0</v>
      </c>
      <c r="I144" s="380">
        <f>IF(H144,Wh_hp,'2020'!Maxi_hp)</f>
        <v>48.84982797740755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2.3441613860862742E-2</v>
      </c>
      <c r="M144" s="959"/>
      <c r="N144" s="959"/>
      <c r="O144" s="48">
        <f>IF(t&lt;Tnet,'2020'!Resal+('2020'!Salim-'2020'!Resal)*(1-EXP(('2020'!Tnet-t)/('2020'!Tau_j))),Resal+(Salim-Resal)*(1-EXP((Tnet-t)/(Tau_j))))*Salcycl</f>
        <v>1.0195866882324012E-2</v>
      </c>
      <c r="P144" s="169">
        <f>(INDEX(Models!$BJ144:$BT144,,T144)*(1-R144)+INDEX(Models!$BJ144:$BT144,,T144+1)*R144-ERP_i)*Q144*Ramure*Pc/MaxiM</f>
        <v>1.2730505915646258E-3</v>
      </c>
      <c r="Q144" s="305">
        <f t="shared" si="51"/>
        <v>0.7</v>
      </c>
      <c r="R144" s="177">
        <f t="shared" si="52"/>
        <v>0.60881877921132088</v>
      </c>
      <c r="S144" s="921">
        <f t="shared" si="53"/>
        <v>-1</v>
      </c>
      <c r="T144" s="176">
        <f t="shared" si="54"/>
        <v>5</v>
      </c>
      <c r="U144" s="251">
        <f t="shared" si="55"/>
        <v>-0.39118122078867912</v>
      </c>
      <c r="V144" s="383">
        <f t="shared" si="56"/>
        <v>57.527484834020626</v>
      </c>
      <c r="W144" s="402"/>
      <c r="X144" s="157">
        <f t="shared" si="57"/>
        <v>44326</v>
      </c>
      <c r="Y144" s="385">
        <f t="shared" si="58"/>
        <v>37.368336359506344</v>
      </c>
      <c r="Z144" s="385">
        <f t="shared" si="59"/>
        <v>38.265337628447959</v>
      </c>
      <c r="AA144" s="386">
        <f t="shared" si="60"/>
        <v>41.893167842129486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8.6597180412631189E-2</v>
      </c>
      <c r="AD144" s="231">
        <f>(INDEX(Models!$BJ144:$BT144,,AH144)*(1-AF144)+INDEX(Models!$BJ144:$BT144,,AH144+1)*AF144-ERP_i)*AE144*Ramure*Pc/MaxiM</f>
        <v>1.2730505915646258E-3</v>
      </c>
      <c r="AE144" s="305">
        <f t="shared" si="62"/>
        <v>0.7</v>
      </c>
      <c r="AF144" s="177">
        <f t="shared" si="63"/>
        <v>0.60881877921132088</v>
      </c>
      <c r="AG144" s="921">
        <f t="shared" ref="AG144:AG207" si="71">INDEX(Echel_vg,AH144)</f>
        <v>-1</v>
      </c>
      <c r="AH144" s="176">
        <f t="shared" si="64"/>
        <v>5</v>
      </c>
      <c r="AI144" s="225">
        <f t="shared" si="65"/>
        <v>-0.39118122078867912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20">
        <v>31.297000000000001</v>
      </c>
      <c r="C145" s="390"/>
      <c r="D145" s="393">
        <f t="shared" si="48"/>
        <v>32.048964960889322</v>
      </c>
      <c r="E145" s="385">
        <f t="shared" si="69"/>
        <v>32.382649741371949</v>
      </c>
      <c r="F145" s="385">
        <f t="shared" si="49"/>
        <v>32.397839070159222</v>
      </c>
      <c r="G145" s="110">
        <f t="shared" si="70"/>
        <v>0.54341065420453183</v>
      </c>
      <c r="H145" s="414" t="b">
        <f>Wh_hp&gt;='2020'!Maxi_hp</f>
        <v>0</v>
      </c>
      <c r="I145" s="380">
        <f>IF(H145,Wh_hp,'2020'!Maxi_hp)</f>
        <v>38.038773139907207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2.3463002995790294E-2</v>
      </c>
      <c r="M145" s="959"/>
      <c r="N145" s="959"/>
      <c r="O145" s="48">
        <f>IF(t&lt;Tnet,'2020'!Resal+('2020'!Salim-'2020'!Resal)*(1-EXP(('2020'!Tnet-t)/('2020'!Tau_j))),Resal+(Salim-Resal)*(1-EXP((Tnet-t)/(Tau_j))))*Salcycl</f>
        <v>1.0304431019315776E-2</v>
      </c>
      <c r="P145" s="169">
        <f>(INDEX(Models!$BJ145:$BT145,,T145)*(1-R145)+INDEX(Models!$BJ145:$BT145,,T145+1)*R145-ERP_i)*Q145*Ramure*Pc/MaxiM</f>
        <v>1.345645208421906E-3</v>
      </c>
      <c r="Q145" s="305">
        <f t="shared" si="51"/>
        <v>0.7</v>
      </c>
      <c r="R145" s="177">
        <f t="shared" si="52"/>
        <v>0.61237508026968512</v>
      </c>
      <c r="S145" s="921">
        <f t="shared" si="53"/>
        <v>-1</v>
      </c>
      <c r="T145" s="176">
        <f t="shared" si="54"/>
        <v>5</v>
      </c>
      <c r="U145" s="251">
        <f t="shared" si="55"/>
        <v>-0.38762491973031488</v>
      </c>
      <c r="V145" s="383">
        <f t="shared" si="56"/>
        <v>57.54312220834526</v>
      </c>
      <c r="W145" s="402"/>
      <c r="X145" s="157">
        <f t="shared" si="57"/>
        <v>44327</v>
      </c>
      <c r="Y145" s="385">
        <f t="shared" si="58"/>
        <v>28.881656831530687</v>
      </c>
      <c r="Z145" s="385">
        <f t="shared" si="59"/>
        <v>29.57558896399517</v>
      </c>
      <c r="AA145" s="386">
        <f t="shared" si="60"/>
        <v>32.382649741371949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8.6684097805328431E-2</v>
      </c>
      <c r="AD145" s="231">
        <f>(INDEX(Models!$BJ145:$BT145,,AH145)*(1-AF145)+INDEX(Models!$BJ145:$BT145,,AH145+1)*AF145-ERP_i)*AE145*Ramure*Pc/MaxiM</f>
        <v>1.345645208421906E-3</v>
      </c>
      <c r="AE145" s="305">
        <f t="shared" si="62"/>
        <v>0.7</v>
      </c>
      <c r="AF145" s="177">
        <f t="shared" si="63"/>
        <v>0.61237508026968512</v>
      </c>
      <c r="AG145" s="921">
        <f t="shared" si="71"/>
        <v>-1</v>
      </c>
      <c r="AH145" s="176">
        <f t="shared" si="64"/>
        <v>5</v>
      </c>
      <c r="AI145" s="225">
        <f t="shared" si="65"/>
        <v>-0.38762491973031488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20">
        <v>38.800000000000004</v>
      </c>
      <c r="C146" s="390"/>
      <c r="D146" s="393">
        <f t="shared" si="48"/>
        <v>39.733107867109261</v>
      </c>
      <c r="E146" s="385">
        <f t="shared" si="69"/>
        <v>40.151207670806691</v>
      </c>
      <c r="F146" s="385">
        <f t="shared" si="49"/>
        <v>40.181708179640481</v>
      </c>
      <c r="G146" s="110">
        <f t="shared" si="70"/>
        <v>0.67367724645589722</v>
      </c>
      <c r="H146" s="414" t="b">
        <f>Wh_hp&gt;='2020'!Maxi_hp</f>
        <v>0</v>
      </c>
      <c r="I146" s="380">
        <f>IF(H146,Wh_hp,'2020'!Maxi_hp)</f>
        <v>54.342875304504368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2.3484391662240811E-2</v>
      </c>
      <c r="M146" s="959"/>
      <c r="N146" s="959"/>
      <c r="O146" s="48">
        <f>IF(t&lt;Tnet,'2020'!Resal+('2020'!Salim-'2020'!Resal)*(1-EXP(('2020'!Tnet-t)/('2020'!Tau_j))),Resal+(Salim-Resal)*(1-EXP((Tnet-t)/(Tau_j))))*Salcycl</f>
        <v>1.0413131458594333E-2</v>
      </c>
      <c r="P146" s="169">
        <f>(INDEX(Models!$BJ146:$BT146,,T146)*(1-R146)+INDEX(Models!$BJ146:$BT146,,T146+1)*R146-ERP_i)*Q146*Ramure*Pc/MaxiM</f>
        <v>1.4202407641083136E-3</v>
      </c>
      <c r="Q146" s="305">
        <f t="shared" si="51"/>
        <v>0.7</v>
      </c>
      <c r="R146" s="177">
        <f t="shared" si="52"/>
        <v>0.61601246791751385</v>
      </c>
      <c r="S146" s="921">
        <f t="shared" si="53"/>
        <v>-1</v>
      </c>
      <c r="T146" s="176">
        <f t="shared" si="54"/>
        <v>5</v>
      </c>
      <c r="U146" s="251">
        <f t="shared" si="55"/>
        <v>-0.38398753208248615</v>
      </c>
      <c r="V146" s="383">
        <f t="shared" si="56"/>
        <v>57.556236429185219</v>
      </c>
      <c r="W146" s="402"/>
      <c r="X146" s="157">
        <f t="shared" si="57"/>
        <v>44328</v>
      </c>
      <c r="Y146" s="385">
        <f t="shared" si="58"/>
        <v>35.806105212167836</v>
      </c>
      <c r="Z146" s="385">
        <f t="shared" si="59"/>
        <v>36.667212389075452</v>
      </c>
      <c r="AA146" s="386">
        <f t="shared" si="60"/>
        <v>40.151207670806691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8.6771867742957087E-2</v>
      </c>
      <c r="AD146" s="231">
        <f>(INDEX(Models!$BJ146:$BT146,,AH146)*(1-AF146)+INDEX(Models!$BJ146:$BT146,,AH146+1)*AF146-ERP_i)*AE146*Ramure*Pc/MaxiM</f>
        <v>1.4202407641083136E-3</v>
      </c>
      <c r="AE146" s="305">
        <f t="shared" si="62"/>
        <v>0.7</v>
      </c>
      <c r="AF146" s="177">
        <f t="shared" si="63"/>
        <v>0.61601246791751385</v>
      </c>
      <c r="AG146" s="921">
        <f t="shared" si="71"/>
        <v>-1</v>
      </c>
      <c r="AH146" s="176">
        <f t="shared" si="64"/>
        <v>5</v>
      </c>
      <c r="AI146" s="225">
        <f t="shared" si="65"/>
        <v>-0.38398753208248615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20">
        <v>48.884999999999998</v>
      </c>
      <c r="C147" s="390"/>
      <c r="D147" s="393">
        <f t="shared" si="48"/>
        <v>50.061740245633608</v>
      </c>
      <c r="E147" s="385">
        <f t="shared" si="69"/>
        <v>50.594089508076493</v>
      </c>
      <c r="F147" s="385">
        <f t="shared" si="49"/>
        <v>50.6535755243629</v>
      </c>
      <c r="G147" s="110">
        <f t="shared" si="70"/>
        <v>0.84890819704072162</v>
      </c>
      <c r="H147" s="414" t="b">
        <f>Wh_hp&gt;='2020'!Maxi_hp</f>
        <v>0</v>
      </c>
      <c r="I147" s="380">
        <f>IF(H147,Wh_hp,'2020'!Maxi_hp)</f>
        <v>61.987907498178245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2.3505779860224618E-2</v>
      </c>
      <c r="M147" s="959"/>
      <c r="N147" s="959"/>
      <c r="O147" s="48">
        <f>IF(t&lt;Tnet,'2020'!Resal+('2020'!Salim-'2020'!Resal)*(1-EXP(('2020'!Tnet-t)/('2020'!Tau_j))),Resal+(Salim-Resal)*(1-EXP((Tnet-t)/(Tau_j))))*Salcycl</f>
        <v>1.0521965463137922E-2</v>
      </c>
      <c r="P147" s="169">
        <f>(INDEX(Models!$BJ147:$BT147,,T147)*(1-R147)+INDEX(Models!$BJ147:$BT147,,T147+1)*R147-ERP_i)*Q147*Ramure*Pc/MaxiM</f>
        <v>1.4968773559134129E-3</v>
      </c>
      <c r="Q147" s="305">
        <f t="shared" si="51"/>
        <v>0.7</v>
      </c>
      <c r="R147" s="177">
        <f t="shared" si="52"/>
        <v>0.61973057104296592</v>
      </c>
      <c r="S147" s="921">
        <f t="shared" si="53"/>
        <v>-1</v>
      </c>
      <c r="T147" s="176">
        <f t="shared" si="54"/>
        <v>5</v>
      </c>
      <c r="U147" s="251">
        <f t="shared" si="55"/>
        <v>-0.38026942895703403</v>
      </c>
      <c r="V147" s="383">
        <f t="shared" si="56"/>
        <v>57.567138401105801</v>
      </c>
      <c r="W147" s="402"/>
      <c r="X147" s="157">
        <f t="shared" si="57"/>
        <v>44329</v>
      </c>
      <c r="Y147" s="385">
        <f t="shared" si="58"/>
        <v>45.113509949809682</v>
      </c>
      <c r="Z147" s="385">
        <f t="shared" si="59"/>
        <v>46.199464389407382</v>
      </c>
      <c r="AA147" s="386">
        <f t="shared" si="60"/>
        <v>50.594089508076493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8.6860444794990985E-2</v>
      </c>
      <c r="AD147" s="231">
        <f>(INDEX(Models!$BJ147:$BT147,,AH147)*(1-AF147)+INDEX(Models!$BJ147:$BT147,,AH147+1)*AF147-ERP_i)*AE147*Ramure*Pc/MaxiM</f>
        <v>1.4968773559134129E-3</v>
      </c>
      <c r="AE147" s="305">
        <f t="shared" si="62"/>
        <v>0.7</v>
      </c>
      <c r="AF147" s="177">
        <f t="shared" si="63"/>
        <v>0.61973057104296592</v>
      </c>
      <c r="AG147" s="921">
        <f t="shared" si="71"/>
        <v>-1</v>
      </c>
      <c r="AH147" s="176">
        <f t="shared" si="64"/>
        <v>5</v>
      </c>
      <c r="AI147" s="225">
        <f t="shared" si="65"/>
        <v>-0.38026942895703403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20">
        <v>40.997</v>
      </c>
      <c r="C148" s="390"/>
      <c r="D148" s="393">
        <f t="shared" si="48"/>
        <v>41.984783026483456</v>
      </c>
      <c r="E148" s="385">
        <f t="shared" si="69"/>
        <v>42.435916270579916</v>
      </c>
      <c r="F148" s="385">
        <f t="shared" si="49"/>
        <v>42.475310324965363</v>
      </c>
      <c r="G148" s="110">
        <f t="shared" si="70"/>
        <v>0.71158650926755573</v>
      </c>
      <c r="H148" s="414" t="b">
        <f>Wh_hp&gt;='2020'!Maxi_hp</f>
        <v>0</v>
      </c>
      <c r="I148" s="380">
        <f>IF(H148,Wh_hp,'2020'!Maxi_hp)</f>
        <v>60.924968033525275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2.352716758975204E-2</v>
      </c>
      <c r="M148" s="959"/>
      <c r="N148" s="959"/>
      <c r="O148" s="48">
        <f>IF(t&lt;Tnet,'2020'!Resal+('2020'!Salim-'2020'!Resal)*(1-EXP(('2020'!Tnet-t)/('2020'!Tau_j))),Resal+(Salim-Resal)*(1-EXP((Tnet-t)/(Tau_j))))*Salcycl</f>
        <v>1.063092973461314E-2</v>
      </c>
      <c r="P148" s="169">
        <f>(INDEX(Models!$BJ148:$BT148,,T148)*(1-R148)+INDEX(Models!$BJ148:$BT148,,T148+1)*R148-ERP_i)*Q148*Ramure*Pc/MaxiM</f>
        <v>1.5755924255647883E-3</v>
      </c>
      <c r="Q148" s="305">
        <f t="shared" si="51"/>
        <v>0.7</v>
      </c>
      <c r="R148" s="177">
        <f t="shared" si="52"/>
        <v>0.62352886260856832</v>
      </c>
      <c r="S148" s="921">
        <f t="shared" si="53"/>
        <v>-1</v>
      </c>
      <c r="T148" s="176">
        <f t="shared" si="54"/>
        <v>5</v>
      </c>
      <c r="U148" s="251">
        <f t="shared" si="55"/>
        <v>-0.37647113739143168</v>
      </c>
      <c r="V148" s="383">
        <f t="shared" si="56"/>
        <v>57.576138980869985</v>
      </c>
      <c r="W148" s="402"/>
      <c r="X148" s="157">
        <f t="shared" si="57"/>
        <v>44330</v>
      </c>
      <c r="Y148" s="385">
        <f t="shared" si="58"/>
        <v>37.834536136144038</v>
      </c>
      <c r="Z148" s="385">
        <f t="shared" si="59"/>
        <v>38.746122657356757</v>
      </c>
      <c r="AA148" s="386">
        <f t="shared" si="60"/>
        <v>42.435916270579916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8.6949780692757855E-2</v>
      </c>
      <c r="AD148" s="231">
        <f>(INDEX(Models!$BJ148:$BT148,,AH148)*(1-AF148)+INDEX(Models!$BJ148:$BT148,,AH148+1)*AF148-ERP_i)*AE148*Ramure*Pc/MaxiM</f>
        <v>1.5755924255647883E-3</v>
      </c>
      <c r="AE148" s="305">
        <f t="shared" si="62"/>
        <v>0.7</v>
      </c>
      <c r="AF148" s="177">
        <f t="shared" si="63"/>
        <v>0.62352886260856832</v>
      </c>
      <c r="AG148" s="921">
        <f t="shared" si="71"/>
        <v>-1</v>
      </c>
      <c r="AH148" s="176">
        <f t="shared" si="64"/>
        <v>5</v>
      </c>
      <c r="AI148" s="225">
        <f t="shared" si="65"/>
        <v>-0.37647113739143168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20">
        <v>22.206</v>
      </c>
      <c r="C149" s="390"/>
      <c r="D149" s="393">
        <f t="shared" si="48"/>
        <v>22.741530170614599</v>
      </c>
      <c r="E149" s="385">
        <f t="shared" si="69"/>
        <v>22.988426338562714</v>
      </c>
      <c r="F149" s="385">
        <f t="shared" si="49"/>
        <v>22.993085871759277</v>
      </c>
      <c r="G149" s="110">
        <f t="shared" si="70"/>
        <v>0.38507695312514051</v>
      </c>
      <c r="H149" s="414" t="b">
        <f>Wh_hp&gt;='2020'!Maxi_hp</f>
        <v>0</v>
      </c>
      <c r="I149" s="380">
        <f>IF(H149,Wh_hp,'2020'!Maxi_hp)</f>
        <v>61.115724809852011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2.3548554850833292E-2</v>
      </c>
      <c r="M149" s="959"/>
      <c r="N149" s="959"/>
      <c r="O149" s="48">
        <f>IF(t&lt;Tnet,'2020'!Resal+('2020'!Salim-'2020'!Resal)*(1-EXP(('2020'!Tnet-t)/('2020'!Tau_j))),Resal+(Salim-Resal)*(1-EXP((Tnet-t)/(Tau_j))))*Salcycl</f>
        <v>1.0740020404700316E-2</v>
      </c>
      <c r="P149" s="169">
        <f>(INDEX(Models!$BJ149:$BT149,,T149)*(1-R149)+INDEX(Models!$BJ149:$BT149,,T149+1)*R149-ERP_i)*Q149*Ramure*Pc/MaxiM</f>
        <v>1.6564493442798364E-3</v>
      </c>
      <c r="Q149" s="305">
        <f t="shared" si="51"/>
        <v>0.7</v>
      </c>
      <c r="R149" s="177">
        <f t="shared" si="52"/>
        <v>0.62740665432360798</v>
      </c>
      <c r="S149" s="921">
        <f t="shared" si="53"/>
        <v>-1</v>
      </c>
      <c r="T149" s="176">
        <f t="shared" si="54"/>
        <v>5</v>
      </c>
      <c r="U149" s="251">
        <f t="shared" si="55"/>
        <v>-0.37259334567639202</v>
      </c>
      <c r="V149" s="383">
        <f t="shared" si="56"/>
        <v>57.58254341948291</v>
      </c>
      <c r="W149" s="402"/>
      <c r="X149" s="157">
        <f t="shared" si="57"/>
        <v>44331</v>
      </c>
      <c r="Y149" s="385">
        <f t="shared" si="58"/>
        <v>20.493292034391558</v>
      </c>
      <c r="Z149" s="385">
        <f t="shared" si="59"/>
        <v>20.987517747245406</v>
      </c>
      <c r="AA149" s="386">
        <f t="shared" si="60"/>
        <v>22.988426338562714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8.7039824381576675E-2</v>
      </c>
      <c r="AD149" s="231">
        <f>(INDEX(Models!$BJ149:$BT149,,AH149)*(1-AF149)+INDEX(Models!$BJ149:$BT149,,AH149+1)*AF149-ERP_i)*AE149*Ramure*Pc/MaxiM</f>
        <v>1.6564493442798364E-3</v>
      </c>
      <c r="AE149" s="305">
        <f t="shared" si="62"/>
        <v>0.7</v>
      </c>
      <c r="AF149" s="177">
        <f t="shared" si="63"/>
        <v>0.62740665432360798</v>
      </c>
      <c r="AG149" s="921">
        <f t="shared" si="71"/>
        <v>-1</v>
      </c>
      <c r="AH149" s="176">
        <f t="shared" si="64"/>
        <v>5</v>
      </c>
      <c r="AI149" s="225">
        <f t="shared" si="65"/>
        <v>-0.37259334567639202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20">
        <v>10.608000000000001</v>
      </c>
      <c r="C150" s="390"/>
      <c r="D150" s="393">
        <f t="shared" si="48"/>
        <v>10.864065387186931</v>
      </c>
      <c r="E150" s="385">
        <f t="shared" si="69"/>
        <v>10.983224954121411</v>
      </c>
      <c r="F150" s="385">
        <f t="shared" si="49"/>
        <v>10.983224954121411</v>
      </c>
      <c r="G150" s="110">
        <f t="shared" si="70"/>
        <v>0.18389253778418993</v>
      </c>
      <c r="H150" s="414" t="b">
        <f>Wh_hp&gt;='2020'!Maxi_hp</f>
        <v>0</v>
      </c>
      <c r="I150" s="380">
        <f>IF(H150,Wh_hp,'2020'!Maxi_hp)</f>
        <v>53.059049152756259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2.3569941643478587E-2</v>
      </c>
      <c r="M150" s="959"/>
      <c r="N150" s="959"/>
      <c r="O150" s="48">
        <f>IF(t&lt;Tnet,'2020'!Resal+('2020'!Salim-'2020'!Resal)*(1-EXP(('2020'!Tnet-t)/('2020'!Tau_j))),Resal+(Salim-Resal)*(1-EXP((Tnet-t)/(Tau_j))))*Salcycl</f>
        <v>1.0849233028753227E-2</v>
      </c>
      <c r="P150" s="169">
        <f>(INDEX(Models!$BJ150:$BT150,,T150)*(1-R150)+INDEX(Models!$BJ150:$BT150,,T150+1)*R150-ERP_i)*Q150*Ramure*Pc/MaxiM</f>
        <v>1.739352545034907E-3</v>
      </c>
      <c r="Q150" s="305">
        <f t="shared" si="51"/>
        <v>0.7</v>
      </c>
      <c r="R150" s="177">
        <f t="shared" si="52"/>
        <v>0.63136309178473404</v>
      </c>
      <c r="S150" s="921">
        <f t="shared" si="53"/>
        <v>-1</v>
      </c>
      <c r="T150" s="176">
        <f t="shared" si="54"/>
        <v>5</v>
      </c>
      <c r="U150" s="251">
        <f t="shared" si="55"/>
        <v>-0.36863690821526596</v>
      </c>
      <c r="V150" s="383">
        <f t="shared" si="56"/>
        <v>57.585528351508245</v>
      </c>
      <c r="W150" s="402"/>
      <c r="X150" s="157">
        <f t="shared" si="57"/>
        <v>44332</v>
      </c>
      <c r="Y150" s="385">
        <f t="shared" si="58"/>
        <v>9.7899326826986659</v>
      </c>
      <c r="Z150" s="385">
        <f t="shared" si="59"/>
        <v>10.026250829656549</v>
      </c>
      <c r="AA150" s="386">
        <f t="shared" si="60"/>
        <v>10.983224954121411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8.7130522088210552E-2</v>
      </c>
      <c r="AD150" s="231">
        <f>(INDEX(Models!$BJ150:$BT150,,AH150)*(1-AF150)+INDEX(Models!$BJ150:$BT150,,AH150+1)*AF150-ERP_i)*AE150*Ramure*Pc/MaxiM</f>
        <v>1.739352545034907E-3</v>
      </c>
      <c r="AE150" s="305">
        <f t="shared" si="62"/>
        <v>0.7</v>
      </c>
      <c r="AF150" s="177">
        <f t="shared" si="63"/>
        <v>0.63136309178473404</v>
      </c>
      <c r="AG150" s="921">
        <f t="shared" si="71"/>
        <v>-1</v>
      </c>
      <c r="AH150" s="176">
        <f t="shared" si="64"/>
        <v>5</v>
      </c>
      <c r="AI150" s="225">
        <f t="shared" si="65"/>
        <v>-0.36863690821526596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20">
        <v>52.828000000000003</v>
      </c>
      <c r="C151" s="390"/>
      <c r="D151" s="393">
        <f t="shared" si="48"/>
        <v>54.104394515509121</v>
      </c>
      <c r="E151" s="385">
        <f t="shared" si="69"/>
        <v>54.703870301685718</v>
      </c>
      <c r="F151" s="385">
        <f t="shared" si="49"/>
        <v>54.791999008272171</v>
      </c>
      <c r="G151" s="110">
        <f t="shared" si="70"/>
        <v>0.91719013240263447</v>
      </c>
      <c r="H151" s="414" t="b">
        <f>Wh_hp&gt;='2020'!Maxi_hp</f>
        <v>1</v>
      </c>
      <c r="I151" s="380">
        <f>IF(H151,Wh_hp,'2020'!Maxi_hp)</f>
        <v>54.791999008272171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2.3591327967698361E-2</v>
      </c>
      <c r="M151" s="959"/>
      <c r="N151" s="959"/>
      <c r="O151" s="48">
        <f>IF(t&lt;Tnet,'2020'!Resal+('2020'!Salim-'2020'!Resal)*(1-EXP(('2020'!Tnet-t)/('2020'!Tau_j))),Resal+(Salim-Resal)*(1-EXP((Tnet-t)/(Tau_j))))*Salcycl</f>
        <v>1.0958562581962821E-2</v>
      </c>
      <c r="P151" s="169">
        <f>(INDEX(Models!$BJ151:$BT151,,T151)*(1-R151)+INDEX(Models!$BJ151:$BT151,,T151+1)*R151-ERP_i)*Q151*Ramure*Pc/MaxiM</f>
        <v>1.8236445069903309E-3</v>
      </c>
      <c r="Q151" s="305">
        <f t="shared" si="51"/>
        <v>0.7</v>
      </c>
      <c r="R151" s="177">
        <f t="shared" si="52"/>
        <v>0.63539715014470788</v>
      </c>
      <c r="S151" s="921">
        <f t="shared" si="53"/>
        <v>-1</v>
      </c>
      <c r="T151" s="176">
        <f t="shared" si="54"/>
        <v>5</v>
      </c>
      <c r="U151" s="251">
        <f t="shared" si="55"/>
        <v>-0.36460284985529212</v>
      </c>
      <c r="V151" s="383">
        <f t="shared" si="56"/>
        <v>57.585237881290389</v>
      </c>
      <c r="W151" s="402"/>
      <c r="X151" s="157">
        <f t="shared" si="57"/>
        <v>44333</v>
      </c>
      <c r="Y151" s="385">
        <f t="shared" si="58"/>
        <v>48.754525347351922</v>
      </c>
      <c r="Z151" s="385">
        <f t="shared" si="59"/>
        <v>49.932499314937488</v>
      </c>
      <c r="AA151" s="386">
        <f t="shared" si="60"/>
        <v>54.703870301685718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8.7221817404045762E-2</v>
      </c>
      <c r="AD151" s="231">
        <f>(INDEX(Models!$BJ151:$BT151,,AH151)*(1-AF151)+INDEX(Models!$BJ151:$BT151,,AH151+1)*AF151-ERP_i)*AE151*Ramure*Pc/MaxiM</f>
        <v>1.8236445069903309E-3</v>
      </c>
      <c r="AE151" s="305">
        <f t="shared" si="62"/>
        <v>0.7</v>
      </c>
      <c r="AF151" s="177">
        <f t="shared" si="63"/>
        <v>0.63539715014470788</v>
      </c>
      <c r="AG151" s="921">
        <f t="shared" si="71"/>
        <v>-1</v>
      </c>
      <c r="AH151" s="176">
        <f t="shared" si="64"/>
        <v>5</v>
      </c>
      <c r="AI151" s="225">
        <f t="shared" si="65"/>
        <v>-0.36460284985529212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20">
        <v>35.96</v>
      </c>
      <c r="C152" s="390"/>
      <c r="D152" s="393">
        <f t="shared" si="48"/>
        <v>36.829647936955688</v>
      </c>
      <c r="E152" s="385">
        <f t="shared" si="69"/>
        <v>37.241840759268342</v>
      </c>
      <c r="F152" s="385">
        <f t="shared" si="49"/>
        <v>37.274833639234735</v>
      </c>
      <c r="G152" s="110">
        <f t="shared" si="70"/>
        <v>0.62386293485358824</v>
      </c>
      <c r="H152" s="414" t="b">
        <f>Wh_hp&gt;='2020'!Maxi_hp</f>
        <v>0</v>
      </c>
      <c r="I152" s="380">
        <f>IF(H152,Wh_hp,'2020'!Maxi_hp)</f>
        <v>59.62470514235855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2.3612713823502607E-2</v>
      </c>
      <c r="M152" s="959"/>
      <c r="N152" s="959"/>
      <c r="O152" s="48">
        <f>IF(t&lt;Tnet,'2020'!Resal+('2020'!Salim-'2020'!Resal)*(1-EXP(('2020'!Tnet-t)/('2020'!Tau_j))),Resal+(Salim-Resal)*(1-EXP((Tnet-t)/(Tau_j))))*Salcycl</f>
        <v>1.1068003458182159E-2</v>
      </c>
      <c r="P152" s="169">
        <f>(INDEX(Models!$BJ152:$BT152,,T152)*(1-R152)+INDEX(Models!$BJ152:$BT152,,T152+1)*R152-ERP_i)*Q152*Ramure*Pc/MaxiM</f>
        <v>1.9093417343730467E-3</v>
      </c>
      <c r="Q152" s="305">
        <f t="shared" si="51"/>
        <v>0.7</v>
      </c>
      <c r="R152" s="177">
        <f t="shared" si="52"/>
        <v>0.63950763036866498</v>
      </c>
      <c r="S152" s="921">
        <f t="shared" si="53"/>
        <v>-1</v>
      </c>
      <c r="T152" s="176">
        <f t="shared" si="54"/>
        <v>5</v>
      </c>
      <c r="U152" s="251">
        <f t="shared" si="55"/>
        <v>-0.36049236963133502</v>
      </c>
      <c r="V152" s="383">
        <f t="shared" si="56"/>
        <v>57.581777219999864</v>
      </c>
      <c r="W152" s="402"/>
      <c r="X152" s="157">
        <f t="shared" si="57"/>
        <v>44334</v>
      </c>
      <c r="Y152" s="385">
        <f t="shared" si="58"/>
        <v>33.187520689986272</v>
      </c>
      <c r="Z152" s="385">
        <f t="shared" si="59"/>
        <v>33.990119658304423</v>
      </c>
      <c r="AA152" s="386">
        <f t="shared" si="60"/>
        <v>37.241840759268342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8.731365138428783E-2</v>
      </c>
      <c r="AD152" s="231">
        <f>(INDEX(Models!$BJ152:$BT152,,AH152)*(1-AF152)+INDEX(Models!$BJ152:$BT152,,AH152+1)*AF152-ERP_i)*AE152*Ramure*Pc/MaxiM</f>
        <v>1.9093417343730467E-3</v>
      </c>
      <c r="AE152" s="305">
        <f t="shared" si="62"/>
        <v>0.7</v>
      </c>
      <c r="AF152" s="177">
        <f t="shared" si="63"/>
        <v>0.63950763036866498</v>
      </c>
      <c r="AG152" s="921">
        <f t="shared" si="71"/>
        <v>-1</v>
      </c>
      <c r="AH152" s="176">
        <f t="shared" si="64"/>
        <v>5</v>
      </c>
      <c r="AI152" s="225">
        <f t="shared" si="65"/>
        <v>-0.36049236963133502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20">
        <v>46.426000000000002</v>
      </c>
      <c r="C153" s="390"/>
      <c r="D153" s="393">
        <f t="shared" si="48"/>
        <v>47.549796610551986</v>
      </c>
      <c r="E153" s="385">
        <f t="shared" si="69"/>
        <v>48.087294726308571</v>
      </c>
      <c r="F153" s="385">
        <f t="shared" si="49"/>
        <v>48.156840979506072</v>
      </c>
      <c r="G153" s="110">
        <f t="shared" si="70"/>
        <v>0.80590741025437973</v>
      </c>
      <c r="H153" s="414" t="b">
        <f>Wh_hp&gt;='2020'!Maxi_hp</f>
        <v>0</v>
      </c>
      <c r="I153" s="380">
        <f>IF(H153,Wh_hp,'2020'!Maxi_hp)</f>
        <v>59.775748831066402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2.363409921090176E-2</v>
      </c>
      <c r="M153" s="959"/>
      <c r="N153" s="959"/>
      <c r="O153" s="48">
        <f>IF(t&lt;Tnet,'2020'!Resal+('2020'!Salim-'2020'!Resal)*(1-EXP(('2020'!Tnet-t)/('2020'!Tau_j))),Resal+(Salim-Resal)*(1-EXP((Tnet-t)/(Tau_j))))*Salcycl</f>
        <v>1.1177549471555446E-2</v>
      </c>
      <c r="P153" s="169">
        <f>(INDEX(Models!$BJ153:$BT153,,T153)*(1-R153)+INDEX(Models!$BJ153:$BT153,,T153+1)*R153-ERP_i)*Q153*Ramure*Pc/MaxiM</f>
        <v>1.9964574413586732E-3</v>
      </c>
      <c r="Q153" s="305">
        <f t="shared" si="51"/>
        <v>0.7</v>
      </c>
      <c r="R153" s="177">
        <f t="shared" si="52"/>
        <v>0.64369315613596145</v>
      </c>
      <c r="S153" s="921">
        <f t="shared" si="53"/>
        <v>-1</v>
      </c>
      <c r="T153" s="176">
        <f t="shared" si="54"/>
        <v>5</v>
      </c>
      <c r="U153" s="251">
        <f t="shared" si="55"/>
        <v>-0.35630684386403855</v>
      </c>
      <c r="V153" s="383">
        <f t="shared" si="56"/>
        <v>57.575251738186061</v>
      </c>
      <c r="W153" s="402"/>
      <c r="X153" s="157">
        <f t="shared" si="57"/>
        <v>44335</v>
      </c>
      <c r="Y153" s="385">
        <f t="shared" si="58"/>
        <v>42.847015411866515</v>
      </c>
      <c r="Z153" s="385">
        <f t="shared" si="59"/>
        <v>43.884178438879921</v>
      </c>
      <c r="AA153" s="386">
        <f t="shared" si="60"/>
        <v>48.087294726308571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8.7405962663337736E-2</v>
      </c>
      <c r="AD153" s="231">
        <f>(INDEX(Models!$BJ153:$BT153,,AH153)*(1-AF153)+INDEX(Models!$BJ153:$BT153,,AH153+1)*AF153-ERP_i)*AE153*Ramure*Pc/MaxiM</f>
        <v>1.9964574413586732E-3</v>
      </c>
      <c r="AE153" s="305">
        <f t="shared" si="62"/>
        <v>0.7</v>
      </c>
      <c r="AF153" s="177">
        <f t="shared" si="63"/>
        <v>0.64369315613596145</v>
      </c>
      <c r="AG153" s="921">
        <f t="shared" si="71"/>
        <v>-1</v>
      </c>
      <c r="AH153" s="176">
        <f t="shared" si="64"/>
        <v>5</v>
      </c>
      <c r="AI153" s="225">
        <f t="shared" si="65"/>
        <v>-0.35630684386403855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20">
        <v>59.480000000000004</v>
      </c>
      <c r="C154" s="390"/>
      <c r="D154" s="393">
        <f t="shared" si="48"/>
        <v>60.92111855310921</v>
      </c>
      <c r="E154" s="385">
        <f t="shared" si="69"/>
        <v>61.616597028833525</v>
      </c>
      <c r="F154" s="385">
        <f t="shared" si="49"/>
        <v>61.745336141235896</v>
      </c>
      <c r="G154" s="110">
        <f t="shared" si="70"/>
        <v>1.0332529752972122</v>
      </c>
      <c r="H154" s="414" t="b">
        <f>Wh_hp&gt;='2020'!Maxi_hp</f>
        <v>1</v>
      </c>
      <c r="I154" s="380">
        <f>IF(H154,Wh_hp,'2020'!Maxi_hp)</f>
        <v>61.745336141235896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2.3655484129906146E-2</v>
      </c>
      <c r="M154" s="959"/>
      <c r="N154" s="959"/>
      <c r="O154" s="48">
        <f>IF(t&lt;Tnet,'2020'!Resal+('2020'!Salim-'2020'!Resal)*(1-EXP(('2020'!Tnet-t)/('2020'!Tau_j))),Resal+(Salim-Resal)*(1-EXP((Tnet-t)/(Tau_j))))*Salcycl</f>
        <v>1.128719386107708E-2</v>
      </c>
      <c r="P154" s="169">
        <f>(INDEX(Models!$BJ154:$BT154,,T154)*(1-R154)+INDEX(Models!$BJ154:$BT154,,T154+1)*R154-ERP_i)*Q154*Ramure*Pc/MaxiM</f>
        <v>2.0850014016912479E-3</v>
      </c>
      <c r="Q154" s="305">
        <f t="shared" si="51"/>
        <v>0.7</v>
      </c>
      <c r="R154" s="177">
        <f t="shared" si="52"/>
        <v>0.64795217144362216</v>
      </c>
      <c r="S154" s="921">
        <f t="shared" si="53"/>
        <v>-1</v>
      </c>
      <c r="T154" s="176">
        <f t="shared" si="54"/>
        <v>5</v>
      </c>
      <c r="U154" s="251">
        <f t="shared" si="55"/>
        <v>-0.35204782855637784</v>
      </c>
      <c r="V154" s="383">
        <f t="shared" si="56"/>
        <v>57.565766972885569</v>
      </c>
      <c r="W154" s="402"/>
      <c r="X154" s="157">
        <f t="shared" si="57"/>
        <v>44336</v>
      </c>
      <c r="Y154" s="385">
        <f t="shared" si="58"/>
        <v>54.895190722083257</v>
      </c>
      <c r="Z154" s="385">
        <f t="shared" si="59"/>
        <v>56.225225655271934</v>
      </c>
      <c r="AA154" s="386">
        <f t="shared" si="60"/>
        <v>61.616597028833525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8.7498687586377077E-2</v>
      </c>
      <c r="AD154" s="231">
        <f>(INDEX(Models!$BJ154:$BT154,,AH154)*(1-AF154)+INDEX(Models!$BJ154:$BT154,,AH154+1)*AF154-ERP_i)*AE154*Ramure*Pc/MaxiM</f>
        <v>2.0850014016912479E-3</v>
      </c>
      <c r="AE154" s="305">
        <f t="shared" si="62"/>
        <v>0.7</v>
      </c>
      <c r="AF154" s="177">
        <f t="shared" si="63"/>
        <v>0.64795217144362216</v>
      </c>
      <c r="AG154" s="921">
        <f t="shared" si="71"/>
        <v>-1</v>
      </c>
      <c r="AH154" s="176">
        <f t="shared" si="64"/>
        <v>5</v>
      </c>
      <c r="AI154" s="225">
        <f t="shared" si="65"/>
        <v>-0.35204782855637784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20">
        <v>42.017000000000003</v>
      </c>
      <c r="C155" s="390"/>
      <c r="D155" s="393">
        <f t="shared" si="48"/>
        <v>43.035956690805406</v>
      </c>
      <c r="E155" s="385">
        <f t="shared" si="69"/>
        <v>43.532088829396486</v>
      </c>
      <c r="F155" s="385">
        <f t="shared" si="49"/>
        <v>43.590335143022493</v>
      </c>
      <c r="G155" s="110">
        <f t="shared" si="70"/>
        <v>0.72943891794369908</v>
      </c>
      <c r="H155" s="414" t="b">
        <f>Wh_hp&gt;='2020'!Maxi_hp</f>
        <v>0</v>
      </c>
      <c r="I155" s="380">
        <f>IF(H155,Wh_hp,'2020'!Maxi_hp)</f>
        <v>58.246676654523853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2.3676868580525867E-2</v>
      </c>
      <c r="M155" s="959"/>
      <c r="N155" s="959"/>
      <c r="O155" s="48">
        <f>IF(t&lt;Tnet,'2020'!Resal+('2020'!Salim-'2020'!Resal)*(1-EXP(('2020'!Tnet-t)/('2020'!Tau_j))),Resal+(Salim-Resal)*(1-EXP((Tnet-t)/(Tau_j))))*Salcycl</f>
        <v>1.1396929298188283E-2</v>
      </c>
      <c r="P155" s="169">
        <f>(INDEX(Models!$BJ155:$BT155,,T155)*(1-R155)+INDEX(Models!$BJ155:$BT155,,T155+1)*R155-ERP_i)*Q155*Ramure*Pc/MaxiM</f>
        <v>2.1749798048317079E-3</v>
      </c>
      <c r="Q155" s="305">
        <f t="shared" si="51"/>
        <v>0.7</v>
      </c>
      <c r="R155" s="177">
        <f t="shared" si="52"/>
        <v>0.65228293896456502</v>
      </c>
      <c r="S155" s="921">
        <f t="shared" si="53"/>
        <v>-1</v>
      </c>
      <c r="T155" s="176">
        <f t="shared" si="54"/>
        <v>5</v>
      </c>
      <c r="U155" s="251">
        <f t="shared" si="55"/>
        <v>-0.34771706103543498</v>
      </c>
      <c r="V155" s="383">
        <f t="shared" si="56"/>
        <v>57.553428638061568</v>
      </c>
      <c r="W155" s="402"/>
      <c r="X155" s="157">
        <f t="shared" si="57"/>
        <v>44337</v>
      </c>
      <c r="Y155" s="385">
        <f t="shared" si="58"/>
        <v>38.778614128582937</v>
      </c>
      <c r="Z155" s="385">
        <f t="shared" si="59"/>
        <v>39.719036536810094</v>
      </c>
      <c r="AA155" s="386">
        <f t="shared" si="60"/>
        <v>43.532088829396486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8.7591760357051865E-2</v>
      </c>
      <c r="AD155" s="231">
        <f>(INDEX(Models!$BJ155:$BT155,,AH155)*(1-AF155)+INDEX(Models!$BJ155:$BT155,,AH155+1)*AF155-ERP_i)*AE155*Ramure*Pc/MaxiM</f>
        <v>2.1749798048317079E-3</v>
      </c>
      <c r="AE155" s="305">
        <f t="shared" si="62"/>
        <v>0.7</v>
      </c>
      <c r="AF155" s="177">
        <f t="shared" si="63"/>
        <v>0.65228293896456502</v>
      </c>
      <c r="AG155" s="921">
        <f t="shared" si="71"/>
        <v>-1</v>
      </c>
      <c r="AH155" s="176">
        <f t="shared" si="64"/>
        <v>5</v>
      </c>
      <c r="AI155" s="225">
        <f t="shared" si="65"/>
        <v>-0.34771706103543498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20">
        <v>33.207000000000001</v>
      </c>
      <c r="C156" s="390"/>
      <c r="D156" s="393">
        <f t="shared" si="48"/>
        <v>34.013049845672882</v>
      </c>
      <c r="E156" s="385">
        <f t="shared" si="69"/>
        <v>34.408985365684515</v>
      </c>
      <c r="F156" s="385">
        <f t="shared" si="49"/>
        <v>34.439891195354122</v>
      </c>
      <c r="G156" s="110">
        <f t="shared" si="70"/>
        <v>0.57633739388382088</v>
      </c>
      <c r="H156" s="414" t="b">
        <f>Wh_hp&gt;='2020'!Maxi_hp</f>
        <v>0</v>
      </c>
      <c r="I156" s="380">
        <f>IF(H156,Wh_hp,'2020'!Maxi_hp)</f>
        <v>58.677512490213942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2.3698252562771138E-2</v>
      </c>
      <c r="M156" s="959"/>
      <c r="N156" s="959"/>
      <c r="O156" s="48">
        <f>IF(t&lt;Tnet,'2020'!Resal+('2020'!Salim-'2020'!Resal)*(1-EXP(('2020'!Tnet-t)/('2020'!Tau_j))),Resal+(Salim-Resal)*(1-EXP((Tnet-t)/(Tau_j))))*Salcycl</f>
        <v>1.150674789749807E-2</v>
      </c>
      <c r="P156" s="169">
        <f>(INDEX(Models!$BJ156:$BT156,,T156)*(1-R156)+INDEX(Models!$BJ156:$BT156,,T156+1)*R156-ERP_i)*Q156*Ramure*Pc/MaxiM</f>
        <v>2.2667085042119553E-3</v>
      </c>
      <c r="Q156" s="305">
        <f t="shared" si="51"/>
        <v>0.7</v>
      </c>
      <c r="R156" s="177">
        <f t="shared" si="52"/>
        <v>0.65668353921012057</v>
      </c>
      <c r="S156" s="921">
        <f t="shared" si="53"/>
        <v>-1</v>
      </c>
      <c r="T156" s="176">
        <f t="shared" si="54"/>
        <v>5</v>
      </c>
      <c r="U156" s="251">
        <f t="shared" si="55"/>
        <v>-0.34331646078987943</v>
      </c>
      <c r="V156" s="383">
        <f t="shared" si="56"/>
        <v>57.538324552425578</v>
      </c>
      <c r="W156" s="402"/>
      <c r="X156" s="157">
        <f t="shared" si="57"/>
        <v>44338</v>
      </c>
      <c r="Y156" s="385">
        <f t="shared" si="58"/>
        <v>30.647898082760914</v>
      </c>
      <c r="Z156" s="385">
        <f t="shared" si="59"/>
        <v>31.391829588762889</v>
      </c>
      <c r="AA156" s="386">
        <f t="shared" si="60"/>
        <v>34.408985365684515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8.7685113201000753E-2</v>
      </c>
      <c r="AD156" s="231">
        <f>(INDEX(Models!$BJ156:$BT156,,AH156)*(1-AF156)+INDEX(Models!$BJ156:$BT156,,AH156+1)*AF156-ERP_i)*AE156*Ramure*Pc/MaxiM</f>
        <v>2.2667085042119553E-3</v>
      </c>
      <c r="AE156" s="305">
        <f t="shared" si="62"/>
        <v>0.7</v>
      </c>
      <c r="AF156" s="177">
        <f t="shared" si="63"/>
        <v>0.65668353921012057</v>
      </c>
      <c r="AG156" s="921">
        <f t="shared" si="71"/>
        <v>-1</v>
      </c>
      <c r="AH156" s="176">
        <f t="shared" si="64"/>
        <v>5</v>
      </c>
      <c r="AI156" s="225">
        <f t="shared" si="65"/>
        <v>-0.34331646078987943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20">
        <v>39.746000000000002</v>
      </c>
      <c r="C157" s="390"/>
      <c r="D157" s="393">
        <f t="shared" si="48"/>
        <v>40.711665899203368</v>
      </c>
      <c r="E157" s="385">
        <f t="shared" si="69"/>
        <v>41.190157177368718</v>
      </c>
      <c r="F157" s="385">
        <f t="shared" si="49"/>
        <v>41.244528222136665</v>
      </c>
      <c r="G157" s="110">
        <f t="shared" si="70"/>
        <v>0.69026679184472983</v>
      </c>
      <c r="H157" s="414" t="b">
        <f>Wh_hp&gt;='2020'!Maxi_hp</f>
        <v>0</v>
      </c>
      <c r="I157" s="380">
        <f>IF(H157,Wh_hp,'2020'!Maxi_hp)</f>
        <v>53.955691624579302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2.3719636076652395E-2</v>
      </c>
      <c r="M157" s="959"/>
      <c r="N157" s="959"/>
      <c r="O157" s="48">
        <f>IF(t&lt;Tnet,'2020'!Resal+('2020'!Salim-'2020'!Resal)*(1-EXP(('2020'!Tnet-t)/('2020'!Tau_j))),Resal+(Salim-Resal)*(1-EXP((Tnet-t)/(Tau_j))))*Salcycl</f>
        <v>1.1616641230693061E-2</v>
      </c>
      <c r="P157" s="169">
        <f>(INDEX(Models!$BJ157:$BT157,,T157)*(1-R157)+INDEX(Models!$BJ157:$BT157,,T157+1)*R157-ERP_i)*Q157*Ramure*Pc/MaxiM</f>
        <v>2.3601321696435505E-3</v>
      </c>
      <c r="Q157" s="305">
        <f t="shared" si="51"/>
        <v>0.7</v>
      </c>
      <c r="R157" s="177">
        <f t="shared" si="52"/>
        <v>0.66115187054189295</v>
      </c>
      <c r="S157" s="921">
        <f t="shared" si="53"/>
        <v>-1</v>
      </c>
      <c r="T157" s="176">
        <f t="shared" si="54"/>
        <v>5</v>
      </c>
      <c r="U157" s="251">
        <f t="shared" si="55"/>
        <v>-0.33884812945810705</v>
      </c>
      <c r="V157" s="383">
        <f t="shared" si="56"/>
        <v>57.520563915443972</v>
      </c>
      <c r="W157" s="402"/>
      <c r="X157" s="157">
        <f t="shared" si="57"/>
        <v>44339</v>
      </c>
      <c r="Y157" s="385">
        <f t="shared" si="58"/>
        <v>36.683285286384326</v>
      </c>
      <c r="Z157" s="385">
        <f t="shared" si="59"/>
        <v>37.574539693665805</v>
      </c>
      <c r="AA157" s="386">
        <f t="shared" si="60"/>
        <v>41.190157177368718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8.7778676544828863E-2</v>
      </c>
      <c r="AD157" s="231">
        <f>(INDEX(Models!$BJ157:$BT157,,AH157)*(1-AF157)+INDEX(Models!$BJ157:$BT157,,AH157+1)*AF157-ERP_i)*AE157*Ramure*Pc/MaxiM</f>
        <v>2.3601321696435505E-3</v>
      </c>
      <c r="AE157" s="305">
        <f t="shared" si="62"/>
        <v>0.7</v>
      </c>
      <c r="AF157" s="177">
        <f t="shared" si="63"/>
        <v>0.66115187054189295</v>
      </c>
      <c r="AG157" s="921">
        <f t="shared" si="71"/>
        <v>-1</v>
      </c>
      <c r="AH157" s="176">
        <f t="shared" si="64"/>
        <v>5</v>
      </c>
      <c r="AI157" s="225">
        <f t="shared" si="65"/>
        <v>-0.33884812945810705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20">
        <v>24.852</v>
      </c>
      <c r="C158" s="390"/>
      <c r="D158" s="393">
        <f t="shared" si="48"/>
        <v>25.456359927827648</v>
      </c>
      <c r="E158" s="385">
        <f t="shared" si="69"/>
        <v>25.75841860833269</v>
      </c>
      <c r="F158" s="385">
        <f t="shared" si="49"/>
        <v>25.770368698840517</v>
      </c>
      <c r="G158" s="110">
        <f t="shared" si="70"/>
        <v>0.43134564131307435</v>
      </c>
      <c r="H158" s="414" t="b">
        <f>Wh_hp&gt;='2020'!Maxi_hp</f>
        <v>1</v>
      </c>
      <c r="I158" s="380">
        <f>IF(H158,Wh_hp,'2020'!Maxi_hp)</f>
        <v>25.770368698840517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2.3741019122179852E-2</v>
      </c>
      <c r="M158" s="959"/>
      <c r="N158" s="959"/>
      <c r="O158" s="48">
        <f>IF(t&lt;Tnet,'2020'!Resal+('2020'!Salim-'2020'!Resal)*(1-EXP(('2020'!Tnet-t)/('2020'!Tau_j))),Resal+(Salim-Resal)*(1-EXP((Tnet-t)/(Tau_j))))*Salcycl</f>
        <v>1.172660034367666E-2</v>
      </c>
      <c r="P158" s="169">
        <f>(INDEX(Models!$BJ158:$BT158,,T158)*(1-R158)+INDEX(Models!$BJ158:$BT158,,T158+1)*R158-ERP_i)*Q158*Ramure*Pc/MaxiM</f>
        <v>2.4552449686065206E-3</v>
      </c>
      <c r="Q158" s="305">
        <f t="shared" si="51"/>
        <v>0.7</v>
      </c>
      <c r="R158" s="177">
        <f t="shared" si="52"/>
        <v>0.6656856500727224</v>
      </c>
      <c r="S158" s="921">
        <f t="shared" si="53"/>
        <v>-1</v>
      </c>
      <c r="T158" s="176">
        <f t="shared" si="54"/>
        <v>5</v>
      </c>
      <c r="U158" s="251">
        <f t="shared" si="55"/>
        <v>-0.3343143499272776</v>
      </c>
      <c r="V158" s="383">
        <f t="shared" si="56"/>
        <v>57.500253033209667</v>
      </c>
      <c r="W158" s="402"/>
      <c r="X158" s="157">
        <f t="shared" si="57"/>
        <v>44340</v>
      </c>
      <c r="Y158" s="385">
        <f t="shared" si="58"/>
        <v>22.93717066528</v>
      </c>
      <c r="Z158" s="385">
        <f t="shared" si="59"/>
        <v>23.494965080531856</v>
      </c>
      <c r="AA158" s="386">
        <f t="shared" si="60"/>
        <v>25.75841860833269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8.78723792099807E-2</v>
      </c>
      <c r="AD158" s="231">
        <f>(INDEX(Models!$BJ158:$BT158,,AH158)*(1-AF158)+INDEX(Models!$BJ158:$BT158,,AH158+1)*AF158-ERP_i)*AE158*Ramure*Pc/MaxiM</f>
        <v>2.4552449686065206E-3</v>
      </c>
      <c r="AE158" s="305">
        <f t="shared" si="62"/>
        <v>0.7</v>
      </c>
      <c r="AF158" s="177">
        <f t="shared" si="63"/>
        <v>0.6656856500727224</v>
      </c>
      <c r="AG158" s="921">
        <f t="shared" si="71"/>
        <v>-1</v>
      </c>
      <c r="AH158" s="176">
        <f t="shared" si="64"/>
        <v>5</v>
      </c>
      <c r="AI158" s="225">
        <f t="shared" si="65"/>
        <v>-0.3343143499272776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20">
        <v>53.055</v>
      </c>
      <c r="C159" s="390"/>
      <c r="D159" s="393">
        <f t="shared" si="48"/>
        <v>54.346401011756051</v>
      </c>
      <c r="E159" s="385">
        <f t="shared" si="69"/>
        <v>54.99738391388226</v>
      </c>
      <c r="F159" s="385">
        <f t="shared" si="49"/>
        <v>55.122596698708996</v>
      </c>
      <c r="G159" s="110">
        <f t="shared" si="70"/>
        <v>0.92279736306229521</v>
      </c>
      <c r="H159" s="414" t="b">
        <f>Wh_hp&gt;='2020'!Maxi_hp</f>
        <v>1</v>
      </c>
      <c r="I159" s="380">
        <f>IF(H159,Wh_hp,'2020'!Maxi_hp)</f>
        <v>55.122596698708996</v>
      </c>
      <c r="J159" s="85">
        <f>IF(H159,An,'2020'!An_max)</f>
        <v>2021</v>
      </c>
      <c r="K159" s="197">
        <f t="shared" si="50"/>
        <v>44341</v>
      </c>
      <c r="L159" s="147">
        <f>IF(t&lt;Tvie,1-EXP((T0-t)*PertePVj)+'2020'!Pspv,1-EXP((T0-t)*PertePVj)+Pspv)</f>
        <v>2.3762401699363722E-2</v>
      </c>
      <c r="M159" s="959"/>
      <c r="N159" s="959"/>
      <c r="O159" s="48">
        <f>IF(t&lt;Tnet,'2020'!Resal+('2020'!Salim-'2020'!Resal)*(1-EXP(('2020'!Tnet-t)/('2020'!Tau_j))),Resal+(Salim-Resal)*(1-EXP((Tnet-t)/(Tau_j))))*Salcycl</f>
        <v>1.1836615776953144E-2</v>
      </c>
      <c r="P159" s="169">
        <f>(INDEX(Models!$BJ159:$BT159,,T159)*(1-R159)+INDEX(Models!$BJ159:$BT159,,T159+1)*R159-ERP_i)*Q159*Ramure*Pc/MaxiM</f>
        <v>2.5520509817155016E-3</v>
      </c>
      <c r="Q159" s="305">
        <f t="shared" si="51"/>
        <v>0.7</v>
      </c>
      <c r="R159" s="177">
        <f t="shared" si="52"/>
        <v>0.67028241549043954</v>
      </c>
      <c r="S159" s="921">
        <f t="shared" si="53"/>
        <v>-1</v>
      </c>
      <c r="T159" s="176">
        <f t="shared" si="54"/>
        <v>5</v>
      </c>
      <c r="U159" s="251">
        <f t="shared" si="55"/>
        <v>-0.32971758450956046</v>
      </c>
      <c r="V159" s="383">
        <f t="shared" si="56"/>
        <v>57.477497601825732</v>
      </c>
      <c r="W159" s="402"/>
      <c r="X159" s="157">
        <f t="shared" si="57"/>
        <v>44341</v>
      </c>
      <c r="Y159" s="385">
        <f t="shared" si="58"/>
        <v>48.967566252181939</v>
      </c>
      <c r="Z159" s="385">
        <f t="shared" si="59"/>
        <v>50.159475866757369</v>
      </c>
      <c r="AA159" s="386">
        <f t="shared" si="60"/>
        <v>54.99738391388226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8.7966148620820514E-2</v>
      </c>
      <c r="AD159" s="231">
        <f>(INDEX(Models!$BJ159:$BT159,,AH159)*(1-AF159)+INDEX(Models!$BJ159:$BT159,,AH159+1)*AF159-ERP_i)*AE159*Ramure*Pc/MaxiM</f>
        <v>2.5520509817155016E-3</v>
      </c>
      <c r="AE159" s="305">
        <f t="shared" si="62"/>
        <v>0.7</v>
      </c>
      <c r="AF159" s="177">
        <f t="shared" si="63"/>
        <v>0.67028241549043954</v>
      </c>
      <c r="AG159" s="921">
        <f t="shared" si="71"/>
        <v>-1</v>
      </c>
      <c r="AH159" s="176">
        <f t="shared" si="64"/>
        <v>5</v>
      </c>
      <c r="AI159" s="225">
        <f t="shared" si="65"/>
        <v>-0.32971758450956046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20">
        <v>52.063000000000002</v>
      </c>
      <c r="C160" s="390"/>
      <c r="D160" s="393">
        <f t="shared" si="48"/>
        <v>53.331423035664663</v>
      </c>
      <c r="E160" s="385">
        <f t="shared" si="69"/>
        <v>53.976260011495285</v>
      </c>
      <c r="F160" s="385">
        <f t="shared" si="49"/>
        <v>54.100439613760074</v>
      </c>
      <c r="G160" s="110">
        <f t="shared" si="70"/>
        <v>0.90587097566139052</v>
      </c>
      <c r="H160" s="414" t="b">
        <f>Wh_hp&gt;='2020'!Maxi_hp</f>
        <v>0</v>
      </c>
      <c r="I160" s="380">
        <f>IF(H160,Wh_hp,'2020'!Maxi_hp)</f>
        <v>58.823190702914935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2.3783783808214221E-2</v>
      </c>
      <c r="M160" s="959"/>
      <c r="N160" s="959"/>
      <c r="O160" s="48">
        <f>IF(t&lt;Tnet,'2020'!Resal+('2020'!Salim-'2020'!Resal)*(1-EXP(('2020'!Tnet-t)/('2020'!Tau_j))),Resal+(Salim-Resal)*(1-EXP((Tnet-t)/(Tau_j))))*Salcycl</f>
        <v>1.1946677589245537E-2</v>
      </c>
      <c r="P160" s="169">
        <f>(INDEX(Models!$BJ160:$BT160,,T160)*(1-R160)+INDEX(Models!$BJ160:$BT160,,T160+1)*R160-ERP_i)*Q160*Ramure*Pc/MaxiM</f>
        <v>2.6505510148728865E-3</v>
      </c>
      <c r="Q160" s="305">
        <f t="shared" si="51"/>
        <v>0.7</v>
      </c>
      <c r="R160" s="177">
        <f t="shared" si="52"/>
        <v>0.67493952783127187</v>
      </c>
      <c r="S160" s="921">
        <f t="shared" si="53"/>
        <v>-1</v>
      </c>
      <c r="T160" s="176">
        <f t="shared" si="54"/>
        <v>5</v>
      </c>
      <c r="U160" s="251">
        <f t="shared" si="55"/>
        <v>-0.32506047216872813</v>
      </c>
      <c r="V160" s="383">
        <f t="shared" si="56"/>
        <v>57.45240346057593</v>
      </c>
      <c r="W160" s="402"/>
      <c r="X160" s="157">
        <f t="shared" si="57"/>
        <v>44342</v>
      </c>
      <c r="Y160" s="385">
        <f t="shared" si="58"/>
        <v>48.052403423335925</v>
      </c>
      <c r="Z160" s="385">
        <f t="shared" si="59"/>
        <v>49.223115357362218</v>
      </c>
      <c r="AA160" s="386">
        <f t="shared" si="60"/>
        <v>53.976260011495285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8.8059911026084181E-2</v>
      </c>
      <c r="AD160" s="231">
        <f>(INDEX(Models!$BJ160:$BT160,,AH160)*(1-AF160)+INDEX(Models!$BJ160:$BT160,,AH160+1)*AF160-ERP_i)*AE160*Ramure*Pc/MaxiM</f>
        <v>2.6505510148728865E-3</v>
      </c>
      <c r="AE160" s="305">
        <f t="shared" si="62"/>
        <v>0.7</v>
      </c>
      <c r="AF160" s="177">
        <f t="shared" si="63"/>
        <v>0.67493952783127187</v>
      </c>
      <c r="AG160" s="921">
        <f t="shared" si="71"/>
        <v>-1</v>
      </c>
      <c r="AH160" s="176">
        <f t="shared" si="64"/>
        <v>5</v>
      </c>
      <c r="AI160" s="225">
        <f t="shared" si="65"/>
        <v>-0.32506047216872813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20">
        <v>58.239000000000004</v>
      </c>
      <c r="C161" s="390"/>
      <c r="D161" s="393">
        <f t="shared" si="48"/>
        <v>59.659197056468315</v>
      </c>
      <c r="E161" s="385">
        <f t="shared" si="69"/>
        <v>60.387272841185471</v>
      </c>
      <c r="F161" s="385">
        <f t="shared" si="49"/>
        <v>60.55384086599669</v>
      </c>
      <c r="G161" s="110">
        <f t="shared" si="70"/>
        <v>1.0141736581096534</v>
      </c>
      <c r="H161" s="414" t="b">
        <f>Wh_hp&gt;='2020'!Maxi_hp</f>
        <v>1</v>
      </c>
      <c r="I161" s="380">
        <f>IF(H161,Wh_hp,'2020'!Maxi_hp)</f>
        <v>60.55384086599669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2.3805165448741672E-2</v>
      </c>
      <c r="M161" s="959"/>
      <c r="N161" s="959"/>
      <c r="O161" s="48">
        <f>IF(t&lt;Tnet,'2020'!Resal+('2020'!Salim-'2020'!Resal)*(1-EXP(('2020'!Tnet-t)/('2020'!Tau_j))),Resal+(Salim-Resal)*(1-EXP((Tnet-t)/(Tau_j))))*Salcycl</f>
        <v>1.205677538430896E-2</v>
      </c>
      <c r="P161" s="169">
        <f>(INDEX(Models!$BJ161:$BT161,,T161)*(1-R161)+INDEX(Models!$BJ161:$BT161,,T161+1)*R161-ERP_i)*Q161*Ramure*Pc/MaxiM</f>
        <v>2.7507425198647247E-3</v>
      </c>
      <c r="Q161" s="305">
        <f t="shared" si="51"/>
        <v>0.7</v>
      </c>
      <c r="R161" s="177">
        <f t="shared" si="52"/>
        <v>0.67965417522224769</v>
      </c>
      <c r="S161" s="921">
        <f t="shared" si="53"/>
        <v>-1</v>
      </c>
      <c r="T161" s="176">
        <f t="shared" si="54"/>
        <v>5</v>
      </c>
      <c r="U161" s="251">
        <f t="shared" si="55"/>
        <v>-0.32034582477775231</v>
      </c>
      <c r="V161" s="383">
        <f t="shared" si="56"/>
        <v>57.425076597387971</v>
      </c>
      <c r="W161" s="402"/>
      <c r="X161" s="157">
        <f t="shared" si="57"/>
        <v>44343</v>
      </c>
      <c r="Y161" s="385">
        <f t="shared" si="58"/>
        <v>53.753112170727796</v>
      </c>
      <c r="Z161" s="385">
        <f t="shared" si="59"/>
        <v>55.063917845290867</v>
      </c>
      <c r="AA161" s="386">
        <f t="shared" si="60"/>
        <v>60.387272841185471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8.8153591732726105E-2</v>
      </c>
      <c r="AD161" s="231">
        <f>(INDEX(Models!$BJ161:$BT161,,AH161)*(1-AF161)+INDEX(Models!$BJ161:$BT161,,AH161+1)*AF161-ERP_i)*AE161*Ramure*Pc/MaxiM</f>
        <v>2.7507425198647247E-3</v>
      </c>
      <c r="AE161" s="305">
        <f t="shared" si="62"/>
        <v>0.7</v>
      </c>
      <c r="AF161" s="177">
        <f t="shared" si="63"/>
        <v>0.67965417522224769</v>
      </c>
      <c r="AG161" s="921">
        <f t="shared" si="71"/>
        <v>-1</v>
      </c>
      <c r="AH161" s="176">
        <f t="shared" si="64"/>
        <v>5</v>
      </c>
      <c r="AI161" s="225">
        <f t="shared" si="65"/>
        <v>-0.32034582477775231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20">
        <v>48.469000000000001</v>
      </c>
      <c r="C162" s="390"/>
      <c r="D162" s="393">
        <f t="shared" si="48"/>
        <v>49.652036564018012</v>
      </c>
      <c r="E162" s="385">
        <f t="shared" si="69"/>
        <v>50.263588535982805</v>
      </c>
      <c r="F162" s="385">
        <f t="shared" si="49"/>
        <v>50.375362226355634</v>
      </c>
      <c r="G162" s="110">
        <f t="shared" si="70"/>
        <v>0.84393563897452994</v>
      </c>
      <c r="H162" s="414" t="b">
        <f>Wh_hp&gt;='2020'!Maxi_hp</f>
        <v>0</v>
      </c>
      <c r="I162" s="380">
        <f>IF(H162,Wh_hp,'2020'!Maxi_hp)</f>
        <v>57.676626455771242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2.3826546620956401E-2</v>
      </c>
      <c r="M162" s="959"/>
      <c r="N162" s="959"/>
      <c r="O162" s="48">
        <f>IF(t&lt;Tnet,'2020'!Resal+('2020'!Salim-'2020'!Resal)*(1-EXP(('2020'!Tnet-t)/('2020'!Tau_j))),Resal+(Salim-Resal)*(1-EXP((Tnet-t)/(Tau_j))))*Salcycl</f>
        <v>1.2166898340873502E-2</v>
      </c>
      <c r="P162" s="169">
        <f>(INDEX(Models!$BJ162:$BT162,,T162)*(1-R162)+INDEX(Models!$BJ162:$BT162,,T162+1)*R162-ERP_i)*Q162*Ramure*Pc/MaxiM</f>
        <v>2.8526195294602905E-3</v>
      </c>
      <c r="Q162" s="305">
        <f t="shared" si="51"/>
        <v>0.7</v>
      </c>
      <c r="R162" s="177">
        <f t="shared" si="52"/>
        <v>0.68442337760379002</v>
      </c>
      <c r="S162" s="921">
        <f t="shared" si="53"/>
        <v>-1</v>
      </c>
      <c r="T162" s="176">
        <f t="shared" si="54"/>
        <v>5</v>
      </c>
      <c r="U162" s="251">
        <f t="shared" si="55"/>
        <v>-0.31557662239620993</v>
      </c>
      <c r="V162" s="383">
        <f t="shared" si="56"/>
        <v>57.39562314482184</v>
      </c>
      <c r="W162" s="402"/>
      <c r="X162" s="157">
        <f t="shared" si="57"/>
        <v>44344</v>
      </c>
      <c r="Y162" s="385">
        <f t="shared" si="58"/>
        <v>44.73604953288887</v>
      </c>
      <c r="Z162" s="385">
        <f t="shared" si="59"/>
        <v>45.827971840490186</v>
      </c>
      <c r="AA162" s="386">
        <f t="shared" si="60"/>
        <v>50.263588535982805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8.8247115351050537E-2</v>
      </c>
      <c r="AD162" s="231">
        <f>(INDEX(Models!$BJ162:$BT162,,AH162)*(1-AF162)+INDEX(Models!$BJ162:$BT162,,AH162+1)*AF162-ERP_i)*AE162*Ramure*Pc/MaxiM</f>
        <v>2.8526195294602905E-3</v>
      </c>
      <c r="AE162" s="305">
        <f t="shared" si="62"/>
        <v>0.7</v>
      </c>
      <c r="AF162" s="177">
        <f t="shared" si="63"/>
        <v>0.68442337760379002</v>
      </c>
      <c r="AG162" s="921">
        <f t="shared" si="71"/>
        <v>-1</v>
      </c>
      <c r="AH162" s="176">
        <f t="shared" si="64"/>
        <v>5</v>
      </c>
      <c r="AI162" s="225">
        <f t="shared" si="65"/>
        <v>-0.31557662239620993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20">
        <v>34.067999999999998</v>
      </c>
      <c r="C163" s="390"/>
      <c r="D163" s="393">
        <f t="shared" si="48"/>
        <v>34.900299813570143</v>
      </c>
      <c r="E163" s="385">
        <f t="shared" si="69"/>
        <v>35.334097777354998</v>
      </c>
      <c r="F163" s="385">
        <f t="shared" si="49"/>
        <v>35.378006503992104</v>
      </c>
      <c r="G163" s="110">
        <f t="shared" si="70"/>
        <v>0.592870637303201</v>
      </c>
      <c r="H163" s="414" t="b">
        <f>Wh_hp&gt;='2020'!Maxi_hp</f>
        <v>0</v>
      </c>
      <c r="I163" s="380">
        <f>IF(H163,Wh_hp,'2020'!Maxi_hp)</f>
        <v>57.93436210419744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2.3847927324868512E-2</v>
      </c>
      <c r="M163" s="959"/>
      <c r="N163" s="959"/>
      <c r="O163" s="48">
        <f>IF(t&lt;Tnet,'2020'!Resal+('2020'!Salim-'2020'!Resal)*(1-EXP(('2020'!Tnet-t)/('2020'!Tau_j))),Resal+(Salim-Resal)*(1-EXP((Tnet-t)/(Tau_j))))*Salcycl</f>
        <v>1.2277035245622257E-2</v>
      </c>
      <c r="P163" s="169">
        <f>(INDEX(Models!$BJ163:$BT163,,T163)*(1-R163)+INDEX(Models!$BJ163:$BT163,,T163+1)*R163-ERP_i)*Q163*Ramure*Pc/MaxiM</f>
        <v>2.9561743857922651E-3</v>
      </c>
      <c r="Q163" s="305">
        <f t="shared" si="51"/>
        <v>0.7</v>
      </c>
      <c r="R163" s="177">
        <f t="shared" si="52"/>
        <v>0.689243992435012</v>
      </c>
      <c r="S163" s="921">
        <f t="shared" si="53"/>
        <v>-1</v>
      </c>
      <c r="T163" s="176">
        <f t="shared" si="54"/>
        <v>5</v>
      </c>
      <c r="U163" s="251">
        <f t="shared" si="55"/>
        <v>-0.31075600756498795</v>
      </c>
      <c r="V163" s="383">
        <f t="shared" si="56"/>
        <v>57.364114769055803</v>
      </c>
      <c r="W163" s="402"/>
      <c r="X163" s="157">
        <f t="shared" si="57"/>
        <v>44345</v>
      </c>
      <c r="Y163" s="385">
        <f t="shared" si="58"/>
        <v>31.444463837505197</v>
      </c>
      <c r="Z163" s="385">
        <f t="shared" si="59"/>
        <v>32.212669232297046</v>
      </c>
      <c r="AA163" s="386">
        <f t="shared" si="60"/>
        <v>35.334097777354998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8.8340406049887188E-2</v>
      </c>
      <c r="AD163" s="231">
        <f>(INDEX(Models!$BJ163:$BT163,,AH163)*(1-AF163)+INDEX(Models!$BJ163:$BT163,,AH163+1)*AF163-ERP_i)*AE163*Ramure*Pc/MaxiM</f>
        <v>2.9561743857922651E-3</v>
      </c>
      <c r="AE163" s="305">
        <f t="shared" si="62"/>
        <v>0.7</v>
      </c>
      <c r="AF163" s="177">
        <f t="shared" si="63"/>
        <v>0.689243992435012</v>
      </c>
      <c r="AG163" s="921">
        <f t="shared" si="71"/>
        <v>-1</v>
      </c>
      <c r="AH163" s="176">
        <f t="shared" si="64"/>
        <v>5</v>
      </c>
      <c r="AI163" s="225">
        <f t="shared" si="65"/>
        <v>-0.31075600756498795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20">
        <v>53.767000000000003</v>
      </c>
      <c r="C164" s="390"/>
      <c r="D164" s="393">
        <f t="shared" si="48"/>
        <v>55.081763555274961</v>
      </c>
      <c r="E164" s="385">
        <f t="shared" si="69"/>
        <v>55.772628842695127</v>
      </c>
      <c r="F164" s="385">
        <f t="shared" si="49"/>
        <v>55.928584408353991</v>
      </c>
      <c r="G164" s="110">
        <f t="shared" si="70"/>
        <v>0.93758642783423218</v>
      </c>
      <c r="H164" s="414" t="b">
        <f>Wh_hp&gt;='2020'!Maxi_hp</f>
        <v>0</v>
      </c>
      <c r="I164" s="380">
        <f>IF(H164,Wh_hp,'2020'!Maxi_hp)</f>
        <v>58.524365554999449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2.3869307560488329E-2</v>
      </c>
      <c r="M164" s="959"/>
      <c r="N164" s="959"/>
      <c r="O164" s="48">
        <f>IF(t&lt;Tnet,'2020'!Resal+('2020'!Salim-'2020'!Resal)*(1-EXP(('2020'!Tnet-t)/('2020'!Tau_j))),Resal+(Salim-Resal)*(1-EXP((Tnet-t)/(Tau_j))))*Salcycl</f>
        <v>1.2387174529081812E-2</v>
      </c>
      <c r="P164" s="169">
        <f>(INDEX(Models!$BJ164:$BT164,,T164)*(1-R164)+INDEX(Models!$BJ164:$BT164,,T164+1)*R164-ERP_i)*Q164*Ramure*Pc/MaxiM</f>
        <v>3.0602153292527143E-3</v>
      </c>
      <c r="Q164" s="305">
        <f t="shared" si="51"/>
        <v>0.7</v>
      </c>
      <c r="R164" s="177">
        <f t="shared" si="52"/>
        <v>0.69411272137509961</v>
      </c>
      <c r="S164" s="921">
        <f t="shared" si="53"/>
        <v>-1</v>
      </c>
      <c r="T164" s="176">
        <f t="shared" si="54"/>
        <v>5</v>
      </c>
      <c r="U164" s="251">
        <f t="shared" si="55"/>
        <v>-0.30588727862490039</v>
      </c>
      <c r="V164" s="383">
        <f t="shared" si="56"/>
        <v>57.33055320445817</v>
      </c>
      <c r="W164" s="402"/>
      <c r="X164" s="157">
        <f t="shared" si="57"/>
        <v>44346</v>
      </c>
      <c r="Y164" s="385">
        <f t="shared" si="58"/>
        <v>49.626939599217486</v>
      </c>
      <c r="Z164" s="385">
        <f t="shared" si="59"/>
        <v>50.840466326482961</v>
      </c>
      <c r="AA164" s="386">
        <f t="shared" si="60"/>
        <v>55.772628842695127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8.8433387820451598E-2</v>
      </c>
      <c r="AD164" s="231">
        <f>(INDEX(Models!$BJ164:$BT164,,AH164)*(1-AF164)+INDEX(Models!$BJ164:$BT164,,AH164+1)*AF164-ERP_i)*AE164*Ramure*Pc/MaxiM</f>
        <v>3.0602153292527143E-3</v>
      </c>
      <c r="AE164" s="305">
        <f t="shared" si="62"/>
        <v>0.7</v>
      </c>
      <c r="AF164" s="177">
        <f t="shared" si="63"/>
        <v>0.69411272137509961</v>
      </c>
      <c r="AG164" s="921">
        <f t="shared" si="71"/>
        <v>-1</v>
      </c>
      <c r="AH164" s="176">
        <f t="shared" si="64"/>
        <v>5</v>
      </c>
      <c r="AI164" s="225">
        <f t="shared" si="65"/>
        <v>-0.30588727862490039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20">
        <v>56.313000000000002</v>
      </c>
      <c r="C165" s="390"/>
      <c r="D165" s="393">
        <f t="shared" si="48"/>
        <v>57.69128443805014</v>
      </c>
      <c r="E165" s="385">
        <f t="shared" si="69"/>
        <v>58.421394381515988</v>
      </c>
      <c r="F165" s="385">
        <f t="shared" si="49"/>
        <v>58.602324885639291</v>
      </c>
      <c r="G165" s="110">
        <f t="shared" si="70"/>
        <v>0.9827872030029684</v>
      </c>
      <c r="H165" s="414" t="b">
        <f>Wh_hp&gt;='2020'!Maxi_hp</f>
        <v>0</v>
      </c>
      <c r="I165" s="380">
        <f>IF(H165,Wh_hp,'2020'!Maxi_hp)</f>
        <v>59.313017833892296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2.3890687327826177E-2</v>
      </c>
      <c r="M165" s="959"/>
      <c r="N165" s="959"/>
      <c r="O165" s="48">
        <f>IF(t&lt;Tnet,'2020'!Resal+('2020'!Salim-'2020'!Resal)*(1-EXP(('2020'!Tnet-t)/('2020'!Tau_j))),Resal+(Salim-Resal)*(1-EXP((Tnet-t)/(Tau_j))))*Salcycl</f>
        <v>1.2497304304274613E-2</v>
      </c>
      <c r="P165" s="169">
        <f>(INDEX(Models!$BJ165:$BT165,,T165)*(1-R165)+INDEX(Models!$BJ165:$BT165,,T165+1)*R165-ERP_i)*Q165*Ramure*Pc/MaxiM</f>
        <v>3.1649075661091025E-3</v>
      </c>
      <c r="Q165" s="305">
        <f t="shared" si="51"/>
        <v>0.7</v>
      </c>
      <c r="R165" s="177">
        <f t="shared" si="52"/>
        <v>0.69902611792472624</v>
      </c>
      <c r="S165" s="921">
        <f t="shared" si="53"/>
        <v>-1</v>
      </c>
      <c r="T165" s="176">
        <f t="shared" si="54"/>
        <v>5</v>
      </c>
      <c r="U165" s="251">
        <f t="shared" si="55"/>
        <v>-0.30097388207527376</v>
      </c>
      <c r="V165" s="383">
        <f t="shared" si="56"/>
        <v>57.294827661986602</v>
      </c>
      <c r="W165" s="402"/>
      <c r="X165" s="157">
        <f t="shared" si="57"/>
        <v>44347</v>
      </c>
      <c r="Y165" s="385">
        <f t="shared" si="58"/>
        <v>51.977413777849563</v>
      </c>
      <c r="Z165" s="385">
        <f t="shared" si="59"/>
        <v>53.24958291357494</v>
      </c>
      <c r="AA165" s="386">
        <f t="shared" si="60"/>
        <v>58.421394381515988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8.8525984747419226E-2</v>
      </c>
      <c r="AD165" s="231">
        <f>(INDEX(Models!$BJ165:$BT165,,AH165)*(1-AF165)+INDEX(Models!$BJ165:$BT165,,AH165+1)*AF165-ERP_i)*AE165*Ramure*Pc/MaxiM</f>
        <v>3.1649075661091025E-3</v>
      </c>
      <c r="AE165" s="305">
        <f t="shared" si="62"/>
        <v>0.7</v>
      </c>
      <c r="AF165" s="177">
        <f t="shared" si="63"/>
        <v>0.69902611792472624</v>
      </c>
      <c r="AG165" s="921">
        <f t="shared" si="71"/>
        <v>-1</v>
      </c>
      <c r="AH165" s="176">
        <f t="shared" si="64"/>
        <v>5</v>
      </c>
      <c r="AI165" s="225">
        <f t="shared" si="65"/>
        <v>-0.30097388207527376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20">
        <v>36.124000000000002</v>
      </c>
      <c r="C166" s="390"/>
      <c r="D166" s="393">
        <f t="shared" si="48"/>
        <v>37.008960734884596</v>
      </c>
      <c r="E166" s="385">
        <f t="shared" si="69"/>
        <v>37.481505532807759</v>
      </c>
      <c r="F166" s="385">
        <f t="shared" si="49"/>
        <v>37.539539196667768</v>
      </c>
      <c r="G166" s="110">
        <f t="shared" si="70"/>
        <v>0.62982197829068576</v>
      </c>
      <c r="H166" s="414" t="b">
        <f>Wh_hp&gt;='2020'!Maxi_hp</f>
        <v>0</v>
      </c>
      <c r="I166" s="380">
        <f>IF(H166,Wh_hp,'2020'!Maxi_hp)</f>
        <v>60.331915443766647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2.3912066626892159E-2</v>
      </c>
      <c r="M166" s="959"/>
      <c r="N166" s="959"/>
      <c r="O166" s="48">
        <f>IF(t&lt;Tnet,'2020'!Resal+('2020'!Salim-'2020'!Resal)*(1-EXP(('2020'!Tnet-t)/('2020'!Tau_j))),Resal+(Salim-Resal)*(1-EXP((Tnet-t)/(Tau_j))))*Salcycl</f>
        <v>1.2607412407955217E-2</v>
      </c>
      <c r="P166" s="169">
        <f>(INDEX(Models!$BJ166:$BT166,,T166)*(1-R166)+INDEX(Models!$BJ166:$BT166,,T166+1)*R166-ERP_i)*Q166*Ramure*Pc/MaxiM</f>
        <v>3.270221623962493E-3</v>
      </c>
      <c r="Q166" s="305">
        <f t="shared" si="51"/>
        <v>0.7</v>
      </c>
      <c r="R166" s="177">
        <f t="shared" si="52"/>
        <v>0.70398059600180862</v>
      </c>
      <c r="S166" s="921">
        <f t="shared" si="53"/>
        <v>-1</v>
      </c>
      <c r="T166" s="176">
        <f t="shared" si="54"/>
        <v>5</v>
      </c>
      <c r="U166" s="251">
        <f t="shared" si="55"/>
        <v>-0.29601940399819138</v>
      </c>
      <c r="V166" s="383">
        <f t="shared" si="56"/>
        <v>57.256838674636967</v>
      </c>
      <c r="W166" s="402"/>
      <c r="X166" s="157">
        <f t="shared" si="57"/>
        <v>44348</v>
      </c>
      <c r="Y166" s="385">
        <f t="shared" si="58"/>
        <v>33.343129572165623</v>
      </c>
      <c r="Z166" s="385">
        <f t="shared" si="59"/>
        <v>34.159964929532912</v>
      </c>
      <c r="AA166" s="386">
        <f t="shared" si="60"/>
        <v>37.481505532807759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8.8618121285642865E-2</v>
      </c>
      <c r="AD166" s="231">
        <f>(INDEX(Models!$BJ166:$BT166,,AH166)*(1-AF166)+INDEX(Models!$BJ166:$BT166,,AH166+1)*AF166-ERP_i)*AE166*Ramure*Pc/MaxiM</f>
        <v>3.270221623962493E-3</v>
      </c>
      <c r="AE166" s="305">
        <f t="shared" si="62"/>
        <v>0.7</v>
      </c>
      <c r="AF166" s="177">
        <f t="shared" si="63"/>
        <v>0.70398059600180862</v>
      </c>
      <c r="AG166" s="921">
        <f t="shared" si="71"/>
        <v>-1</v>
      </c>
      <c r="AH166" s="176">
        <f t="shared" si="64"/>
        <v>5</v>
      </c>
      <c r="AI166" s="225">
        <f t="shared" si="65"/>
        <v>-0.29601940399819138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20">
        <v>39.593000000000004</v>
      </c>
      <c r="C167" s="390"/>
      <c r="D167" s="393">
        <f t="shared" si="48"/>
        <v>40.563832267120283</v>
      </c>
      <c r="E167" s="385">
        <f t="shared" si="69"/>
        <v>41.086347332362337</v>
      </c>
      <c r="F167" s="385">
        <f t="shared" si="49"/>
        <v>41.164170770315209</v>
      </c>
      <c r="G167" s="110">
        <f t="shared" si="70"/>
        <v>0.69095592446819354</v>
      </c>
      <c r="H167" s="414" t="b">
        <f>Wh_hp&gt;='2020'!Maxi_hp</f>
        <v>0</v>
      </c>
      <c r="I167" s="380">
        <f>IF(H167,Wh_hp,'2020'!Maxi_hp)</f>
        <v>59.300139796564821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2.3933445457696712E-2</v>
      </c>
      <c r="M167" s="959"/>
      <c r="N167" s="959"/>
      <c r="O167" s="48">
        <f>IF(t&lt;Tnet,'2020'!Resal+('2020'!Salim-'2020'!Resal)*(1-EXP(('2020'!Tnet-t)/('2020'!Tau_j))),Resal+(Salim-Resal)*(1-EXP((Tnet-t)/(Tau_j))))*Salcycl</f>
        <v>1.2717486444225462E-2</v>
      </c>
      <c r="P167" s="169">
        <f>(INDEX(Models!$BJ167:$BT167,,T167)*(1-R167)+INDEX(Models!$BJ167:$BT167,,T167+1)*R167-ERP_i)*Q167*Ramure*Pc/MaxiM</f>
        <v>3.3761262548774613E-3</v>
      </c>
      <c r="Q167" s="305">
        <f t="shared" si="51"/>
        <v>0.7</v>
      </c>
      <c r="R167" s="177">
        <f t="shared" si="52"/>
        <v>0.70897243941622112</v>
      </c>
      <c r="S167" s="921">
        <f t="shared" si="53"/>
        <v>-1</v>
      </c>
      <c r="T167" s="176">
        <f t="shared" si="54"/>
        <v>5</v>
      </c>
      <c r="U167" s="251">
        <f t="shared" si="55"/>
        <v>-0.29102756058377882</v>
      </c>
      <c r="V167" s="383">
        <f t="shared" si="56"/>
        <v>57.216486992896627</v>
      </c>
      <c r="W167" s="402"/>
      <c r="X167" s="157">
        <f t="shared" si="57"/>
        <v>44349</v>
      </c>
      <c r="Y167" s="385">
        <f t="shared" si="58"/>
        <v>36.545482635454</v>
      </c>
      <c r="Z167" s="385">
        <f t="shared" si="59"/>
        <v>37.44158886029129</v>
      </c>
      <c r="AA167" s="386">
        <f t="shared" si="60"/>
        <v>41.086347332362337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8.8709722540854588E-2</v>
      </c>
      <c r="AD167" s="231">
        <f>(INDEX(Models!$BJ167:$BT167,,AH167)*(1-AF167)+INDEX(Models!$BJ167:$BT167,,AH167+1)*AF167-ERP_i)*AE167*Ramure*Pc/MaxiM</f>
        <v>3.3761262548774613E-3</v>
      </c>
      <c r="AE167" s="305">
        <f t="shared" si="62"/>
        <v>0.7</v>
      </c>
      <c r="AF167" s="177">
        <f t="shared" si="63"/>
        <v>0.70897243941622112</v>
      </c>
      <c r="AG167" s="921">
        <f t="shared" si="71"/>
        <v>-1</v>
      </c>
      <c r="AH167" s="176">
        <f t="shared" si="64"/>
        <v>5</v>
      </c>
      <c r="AI167" s="225">
        <f t="shared" si="65"/>
        <v>-0.29102756058377882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20">
        <v>46.945999999999998</v>
      </c>
      <c r="C168" s="390"/>
      <c r="D168" s="393">
        <f t="shared" si="48"/>
        <v>48.098183512106559</v>
      </c>
      <c r="E168" s="385">
        <f t="shared" si="69"/>
        <v>48.723180787514522</v>
      </c>
      <c r="F168" s="385">
        <f t="shared" si="49"/>
        <v>48.849828808302</v>
      </c>
      <c r="G168" s="110">
        <f t="shared" si="70"/>
        <v>0.82037950368196177</v>
      </c>
      <c r="H168" s="414" t="b">
        <f>Wh_hp&gt;='2020'!Maxi_hp</f>
        <v>0</v>
      </c>
      <c r="I168" s="380">
        <f>IF(H168,Wh_hp,'2020'!Maxi_hp)</f>
        <v>52.867021607372699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2.3954823820249938E-2</v>
      </c>
      <c r="M168" s="959"/>
      <c r="N168" s="959"/>
      <c r="O168" s="48">
        <f>IF(t&lt;Tnet,'2020'!Resal+('2020'!Salim-'2020'!Resal)*(1-EXP(('2020'!Tnet-t)/('2020'!Tau_j))),Resal+(Salim-Resal)*(1-EXP((Tnet-t)/(Tau_j))))*Salcycl</f>
        <v>1.2827513830298277E-2</v>
      </c>
      <c r="P168" s="169">
        <f>(INDEX(Models!$BJ168:$BT168,,T168)*(1-R168)+INDEX(Models!$BJ168:$BT168,,T168+1)*R168-ERP_i)*Q168*Ramure*Pc/MaxiM</f>
        <v>3.4825885937621467E-3</v>
      </c>
      <c r="Q168" s="305">
        <f t="shared" si="51"/>
        <v>0.7</v>
      </c>
      <c r="R168" s="177">
        <f t="shared" si="52"/>
        <v>0.71399781219849312</v>
      </c>
      <c r="S168" s="921">
        <f t="shared" si="53"/>
        <v>-1</v>
      </c>
      <c r="T168" s="176">
        <f t="shared" si="54"/>
        <v>5</v>
      </c>
      <c r="U168" s="251">
        <f t="shared" si="55"/>
        <v>-0.28600218780150688</v>
      </c>
      <c r="V168" s="383">
        <f t="shared" si="56"/>
        <v>57.173673570881675</v>
      </c>
      <c r="W168" s="402"/>
      <c r="X168" s="157">
        <f t="shared" si="57"/>
        <v>44350</v>
      </c>
      <c r="Y168" s="385">
        <f t="shared" si="58"/>
        <v>43.333016523374894</v>
      </c>
      <c r="Z168" s="385">
        <f t="shared" si="59"/>
        <v>44.396527518306812</v>
      </c>
      <c r="AA168" s="386">
        <f t="shared" si="60"/>
        <v>48.723180787514522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8.8800714552618606E-2</v>
      </c>
      <c r="AD168" s="231">
        <f>(INDEX(Models!$BJ168:$BT168,,AH168)*(1-AF168)+INDEX(Models!$BJ168:$BT168,,AH168+1)*AF168-ERP_i)*AE168*Ramure*Pc/MaxiM</f>
        <v>3.4825885937621467E-3</v>
      </c>
      <c r="AE168" s="305">
        <f t="shared" si="62"/>
        <v>0.7</v>
      </c>
      <c r="AF168" s="177">
        <f t="shared" si="63"/>
        <v>0.71399781219849312</v>
      </c>
      <c r="AG168" s="921">
        <f t="shared" si="71"/>
        <v>-1</v>
      </c>
      <c r="AH168" s="176">
        <f t="shared" si="64"/>
        <v>5</v>
      </c>
      <c r="AI168" s="225">
        <f t="shared" si="65"/>
        <v>-0.28600218780150688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20">
        <v>8.7149999999999999</v>
      </c>
      <c r="C169" s="390"/>
      <c r="D169" s="393">
        <f t="shared" si="48"/>
        <v>8.9290855564274896</v>
      </c>
      <c r="E169" s="385">
        <f t="shared" si="69"/>
        <v>9.0461195640474159</v>
      </c>
      <c r="F169" s="385">
        <f t="shared" si="49"/>
        <v>9.0461195640474159</v>
      </c>
      <c r="G169" s="110">
        <f t="shared" si="70"/>
        <v>0.15200376919357042</v>
      </c>
      <c r="H169" s="414" t="b">
        <f>Wh_hp&gt;='2020'!Maxi_hp</f>
        <v>0</v>
      </c>
      <c r="I169" s="380">
        <f>IF(H169,Wh_hp,'2020'!Maxi_hp)</f>
        <v>57.111684044434135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2.3976201714562162E-2</v>
      </c>
      <c r="M169" s="959"/>
      <c r="N169" s="959"/>
      <c r="O169" s="48">
        <f>IF(t&lt;Tnet,'2020'!Resal+('2020'!Salim-'2020'!Resal)*(1-EXP(('2020'!Tnet-t)/('2020'!Tau_j))),Resal+(Salim-Resal)*(1-EXP((Tnet-t)/(Tau_j))))*Salcycl</f>
        <v>1.2937481844155795E-2</v>
      </c>
      <c r="P169" s="169">
        <f>(INDEX(Models!$BJ169:$BT169,,T169)*(1-R169)+INDEX(Models!$BJ169:$BT169,,T169+1)*R169-ERP_i)*Q169*Ramure*Pc/MaxiM</f>
        <v>3.5895743336331856E-3</v>
      </c>
      <c r="Q169" s="305">
        <f t="shared" si="51"/>
        <v>0.7</v>
      </c>
      <c r="R169" s="177">
        <f t="shared" si="52"/>
        <v>0.71905276972815291</v>
      </c>
      <c r="S169" s="921">
        <f t="shared" si="53"/>
        <v>-1</v>
      </c>
      <c r="T169" s="176">
        <f t="shared" si="54"/>
        <v>5</v>
      </c>
      <c r="U169" s="251">
        <f t="shared" si="55"/>
        <v>-0.28094723027184709</v>
      </c>
      <c r="V169" s="383">
        <f t="shared" si="56"/>
        <v>57.128299553046197</v>
      </c>
      <c r="W169" s="402"/>
      <c r="X169" s="157">
        <f t="shared" si="57"/>
        <v>44351</v>
      </c>
      <c r="Y169" s="385">
        <f t="shared" si="58"/>
        <v>8.0443888555712739</v>
      </c>
      <c r="Z169" s="385">
        <f t="shared" si="59"/>
        <v>8.2420007275464968</v>
      </c>
      <c r="AA169" s="386">
        <f t="shared" si="60"/>
        <v>9.0461195640474159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8.8891024577740715E-2</v>
      </c>
      <c r="AD169" s="231">
        <f>(INDEX(Models!$BJ169:$BT169,,AH169)*(1-AF169)+INDEX(Models!$BJ169:$BT169,,AH169+1)*AF169-ERP_i)*AE169*Ramure*Pc/MaxiM</f>
        <v>3.5895743336331856E-3</v>
      </c>
      <c r="AE169" s="305">
        <f t="shared" si="62"/>
        <v>0.7</v>
      </c>
      <c r="AF169" s="177">
        <f t="shared" si="63"/>
        <v>0.71905276972815291</v>
      </c>
      <c r="AG169" s="921">
        <f t="shared" si="71"/>
        <v>-1</v>
      </c>
      <c r="AH169" s="176">
        <f t="shared" si="64"/>
        <v>5</v>
      </c>
      <c r="AI169" s="225">
        <f t="shared" si="65"/>
        <v>-0.28094723027184709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20">
        <v>41.055999999999997</v>
      </c>
      <c r="C170" s="390"/>
      <c r="D170" s="393">
        <f t="shared" si="48"/>
        <v>42.065469431777402</v>
      </c>
      <c r="E170" s="385">
        <f t="shared" ref="E170:E232" si="72">Wh_pvt/(1-Psa)</f>
        <v>42.621569141416501</v>
      </c>
      <c r="F170" s="385">
        <f t="shared" si="49"/>
        <v>42.716075181662134</v>
      </c>
      <c r="G170" s="110">
        <f t="shared" ref="G170:G232" si="73">+Wh_hp/MaxiM</f>
        <v>0.71819763265208991</v>
      </c>
      <c r="H170" s="414" t="b">
        <f>Wh_hp&gt;='2020'!Maxi_hp</f>
        <v>1</v>
      </c>
      <c r="I170" s="380">
        <f>IF(H170,Wh_hp,'2020'!Maxi_hp)</f>
        <v>42.716075181662134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2.399757914064371E-2</v>
      </c>
      <c r="M170" s="959"/>
      <c r="N170" s="959"/>
      <c r="O170" s="48">
        <f>IF(t&lt;Tnet,'2020'!Resal+('2020'!Salim-'2020'!Resal)*(1-EXP(('2020'!Tnet-t)/('2020'!Tau_j))),Resal+(Salim-Resal)*(1-EXP((Tnet-t)/(Tau_j))))*Salcycl</f>
        <v>1.3047377673824774E-2</v>
      </c>
      <c r="P170" s="169">
        <f>(INDEX(Models!$BJ170:$BT170,,T170)*(1-R170)+INDEX(Models!$BJ170:$BT170,,T170+1)*R170-ERP_i)*Q170*Ramure*Pc/MaxiM</f>
        <v>3.6938317962885814E-3</v>
      </c>
      <c r="Q170" s="305">
        <f t="shared" si="51"/>
        <v>0.7</v>
      </c>
      <c r="R170" s="177">
        <f t="shared" si="52"/>
        <v>0.72413327059842481</v>
      </c>
      <c r="S170" s="921">
        <f t="shared" si="53"/>
        <v>-1</v>
      </c>
      <c r="T170" s="176">
        <f t="shared" si="54"/>
        <v>5</v>
      </c>
      <c r="U170" s="251">
        <f t="shared" si="55"/>
        <v>-0.27586672940157519</v>
      </c>
      <c r="V170" s="383">
        <f t="shared" si="56"/>
        <v>57.08045051902802</v>
      </c>
      <c r="W170" s="402"/>
      <c r="X170" s="157">
        <f t="shared" si="57"/>
        <v>44352</v>
      </c>
      <c r="Y170" s="385">
        <f t="shared" si="58"/>
        <v>37.897273288583385</v>
      </c>
      <c r="Z170" s="385">
        <f t="shared" si="59"/>
        <v>38.829077140213826</v>
      </c>
      <c r="AA170" s="386">
        <f t="shared" si="60"/>
        <v>42.621569141416501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8.8980581372294143E-2</v>
      </c>
      <c r="AD170" s="231">
        <f>(INDEX(Models!$BJ170:$BT170,,AH170)*(1-AF170)+INDEX(Models!$BJ170:$BT170,,AH170+1)*AF170-ERP_i)*AE170*Ramure*Pc/MaxiM</f>
        <v>3.6938317962885814E-3</v>
      </c>
      <c r="AE170" s="305">
        <f t="shared" si="62"/>
        <v>0.7</v>
      </c>
      <c r="AF170" s="177">
        <f t="shared" si="63"/>
        <v>0.72413327059842481</v>
      </c>
      <c r="AG170" s="921">
        <f t="shared" si="71"/>
        <v>-1</v>
      </c>
      <c r="AH170" s="176">
        <f t="shared" si="64"/>
        <v>5</v>
      </c>
      <c r="AI170" s="225">
        <f t="shared" si="65"/>
        <v>-0.27586672940157519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20">
        <v>46.643999999999998</v>
      </c>
      <c r="C171" s="390"/>
      <c r="D171" s="393">
        <f t="shared" si="48"/>
        <v>47.79191183216026</v>
      </c>
      <c r="E171" s="385">
        <f t="shared" si="72"/>
        <v>48.429102663235227</v>
      </c>
      <c r="F171" s="385">
        <f t="shared" si="49"/>
        <v>48.565453136884855</v>
      </c>
      <c r="G171" s="110">
        <f t="shared" si="73"/>
        <v>0.81707477758607561</v>
      </c>
      <c r="H171" s="414" t="b">
        <f>Wh_hp&gt;='2020'!Maxi_hp</f>
        <v>0</v>
      </c>
      <c r="I171" s="380">
        <f>IF(H171,Wh_hp,'2020'!Maxi_hp)</f>
        <v>56.000265625104696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2.4018956098504685E-2</v>
      </c>
      <c r="M171" s="959"/>
      <c r="N171" s="959"/>
      <c r="O171" s="48">
        <f>IF(t&lt;Tnet,'2020'!Resal+('2020'!Salim-'2020'!Resal)*(1-EXP(('2020'!Tnet-t)/('2020'!Tau_j))),Resal+(Salim-Resal)*(1-EXP((Tnet-t)/(Tau_j))))*Salcycl</f>
        <v>1.3157188467972288E-2</v>
      </c>
      <c r="P171" s="169">
        <f>(INDEX(Models!$BJ171:$BT171,,T171)*(1-R171)+INDEX(Models!$BJ171:$BT171,,T171+1)*R171-ERP_i)*Q171*Ramure*Pc/MaxiM</f>
        <v>3.7948472683722277E-3</v>
      </c>
      <c r="Q171" s="305">
        <f t="shared" si="51"/>
        <v>0.7</v>
      </c>
      <c r="R171" s="177">
        <f t="shared" si="52"/>
        <v>0.72923518914556484</v>
      </c>
      <c r="S171" s="921">
        <f t="shared" si="53"/>
        <v>-1</v>
      </c>
      <c r="T171" s="176">
        <f t="shared" si="54"/>
        <v>5</v>
      </c>
      <c r="U171" s="251">
        <f t="shared" si="55"/>
        <v>-0.27076481085443521</v>
      </c>
      <c r="V171" s="383">
        <f t="shared" si="56"/>
        <v>57.030054829782003</v>
      </c>
      <c r="W171" s="402"/>
      <c r="X171" s="157">
        <f t="shared" si="57"/>
        <v>44353</v>
      </c>
      <c r="Y171" s="385">
        <f t="shared" si="58"/>
        <v>43.055946045993032</v>
      </c>
      <c r="Z171" s="385">
        <f t="shared" si="59"/>
        <v>44.11555564017555</v>
      </c>
      <c r="AA171" s="386">
        <f t="shared" si="60"/>
        <v>48.429102663235227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8.9069315470391527E-2</v>
      </c>
      <c r="AD171" s="231">
        <f>(INDEX(Models!$BJ171:$BT171,,AH171)*(1-AF171)+INDEX(Models!$BJ171:$BT171,,AH171+1)*AF171-ERP_i)*AE171*Ramure*Pc/MaxiM</f>
        <v>3.7948472683722277E-3</v>
      </c>
      <c r="AE171" s="305">
        <f t="shared" si="62"/>
        <v>0.7</v>
      </c>
      <c r="AF171" s="177">
        <f t="shared" si="63"/>
        <v>0.72923518914556484</v>
      </c>
      <c r="AG171" s="921">
        <f t="shared" si="71"/>
        <v>-1</v>
      </c>
      <c r="AH171" s="176">
        <f t="shared" si="64"/>
        <v>5</v>
      </c>
      <c r="AI171" s="225">
        <f t="shared" si="65"/>
        <v>-0.27076481085443521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20">
        <v>52.931000000000004</v>
      </c>
      <c r="C172" s="390"/>
      <c r="D172" s="393">
        <f t="shared" si="48"/>
        <v>54.234823187282075</v>
      </c>
      <c r="E172" s="385">
        <f t="shared" si="72"/>
        <v>54.96402549336289</v>
      </c>
      <c r="F172" s="385">
        <f t="shared" si="49"/>
        <v>55.156942491889488</v>
      </c>
      <c r="G172" s="110">
        <f t="shared" si="73"/>
        <v>0.92862044761476059</v>
      </c>
      <c r="H172" s="414" t="b">
        <f>Wh_hp&gt;='2020'!Maxi_hp</f>
        <v>1</v>
      </c>
      <c r="I172" s="380">
        <f>IF(H172,Wh_hp,'2020'!Maxi_hp)</f>
        <v>55.156942491889488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2.4040332588155522E-2</v>
      </c>
      <c r="M172" s="959"/>
      <c r="N172" s="959"/>
      <c r="O172" s="48">
        <f>IF(t&lt;Tnet,'2020'!Resal+('2020'!Salim-'2020'!Resal)*(1-EXP(('2020'!Tnet-t)/('2020'!Tau_j))),Resal+(Salim-Resal)*(1-EXP((Tnet-t)/(Tau_j))))*Salcycl</f>
        <v>1.3266901387506075E-2</v>
      </c>
      <c r="P172" s="169">
        <f>(INDEX(Models!$BJ172:$BT172,,T172)*(1-R172)+INDEX(Models!$BJ172:$BT172,,T172+1)*R172-ERP_i)*Q172*Ramure*Pc/MaxiM</f>
        <v>3.8924729345187416E-3</v>
      </c>
      <c r="Q172" s="305">
        <f t="shared" si="51"/>
        <v>0.7</v>
      </c>
      <c r="R172" s="177">
        <f t="shared" si="52"/>
        <v>0.73435432856339078</v>
      </c>
      <c r="S172" s="921">
        <f t="shared" si="53"/>
        <v>-1</v>
      </c>
      <c r="T172" s="176">
        <f t="shared" si="54"/>
        <v>5</v>
      </c>
      <c r="U172" s="251">
        <f t="shared" si="55"/>
        <v>-0.26564567143660922</v>
      </c>
      <c r="V172" s="383">
        <f t="shared" si="56"/>
        <v>56.977019868803488</v>
      </c>
      <c r="W172" s="402"/>
      <c r="X172" s="157">
        <f t="shared" si="57"/>
        <v>44354</v>
      </c>
      <c r="Y172" s="385">
        <f t="shared" si="58"/>
        <v>48.860043775294272</v>
      </c>
      <c r="Z172" s="385">
        <f t="shared" si="59"/>
        <v>50.063589108007534</v>
      </c>
      <c r="AA172" s="386">
        <f t="shared" si="60"/>
        <v>54.96402549336289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8.915715945781838E-2</v>
      </c>
      <c r="AD172" s="231">
        <f>(INDEX(Models!$BJ172:$BT172,,AH172)*(1-AF172)+INDEX(Models!$BJ172:$BT172,,AH172+1)*AF172-ERP_i)*AE172*Ramure*Pc/MaxiM</f>
        <v>3.8924729345187416E-3</v>
      </c>
      <c r="AE172" s="305">
        <f t="shared" si="62"/>
        <v>0.7</v>
      </c>
      <c r="AF172" s="177">
        <f t="shared" si="63"/>
        <v>0.73435432856339078</v>
      </c>
      <c r="AG172" s="921">
        <f t="shared" si="71"/>
        <v>-1</v>
      </c>
      <c r="AH172" s="176">
        <f t="shared" si="64"/>
        <v>5</v>
      </c>
      <c r="AI172" s="225">
        <f t="shared" si="65"/>
        <v>-0.26564567143660922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20">
        <v>57.52</v>
      </c>
      <c r="C173" s="390"/>
      <c r="D173" s="393">
        <f t="shared" si="48"/>
        <v>58.938152655177369</v>
      </c>
      <c r="E173" s="385">
        <f t="shared" si="72"/>
        <v>59.737227902727938</v>
      </c>
      <c r="F173" s="385">
        <f t="shared" si="49"/>
        <v>59.97632714408909</v>
      </c>
      <c r="G173" s="110">
        <f t="shared" si="73"/>
        <v>1.0105188643275052</v>
      </c>
      <c r="H173" s="414" t="b">
        <f>Wh_hp&gt;='2020'!Maxi_hp</f>
        <v>0</v>
      </c>
      <c r="I173" s="380">
        <f>IF(H173,Wh_hp,'2020'!Maxi_hp)</f>
        <v>61.487890344452325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2.4061708609606214E-2</v>
      </c>
      <c r="M173" s="959"/>
      <c r="N173" s="959"/>
      <c r="O173" s="48">
        <f>IF(t&lt;Tnet,'2020'!Resal+('2020'!Salim-'2020'!Resal)*(1-EXP(('2020'!Tnet-t)/('2020'!Tau_j))),Resal+(Salim-Resal)*(1-EXP((Tnet-t)/(Tau_j))))*Salcycl</f>
        <v>1.3376503657848442E-2</v>
      </c>
      <c r="P173" s="169">
        <f>(INDEX(Models!$BJ173:$BT173,,T173)*(1-R173)+INDEX(Models!$BJ173:$BT173,,T173+1)*R173-ERP_i)*Q173*Ramure*Pc/MaxiM</f>
        <v>3.9865602437897099E-3</v>
      </c>
      <c r="Q173" s="305">
        <f t="shared" si="51"/>
        <v>0.7</v>
      </c>
      <c r="R173" s="177">
        <f t="shared" si="52"/>
        <v>0.7394864345166573</v>
      </c>
      <c r="S173" s="921">
        <f t="shared" si="53"/>
        <v>-1</v>
      </c>
      <c r="T173" s="176">
        <f t="shared" si="54"/>
        <v>5</v>
      </c>
      <c r="U173" s="251">
        <f t="shared" si="55"/>
        <v>-0.2605135654833427</v>
      </c>
      <c r="V173" s="383">
        <f t="shared" si="56"/>
        <v>56.921253061692461</v>
      </c>
      <c r="W173" s="402"/>
      <c r="X173" s="157">
        <f t="shared" si="57"/>
        <v>44355</v>
      </c>
      <c r="Y173" s="385">
        <f t="shared" si="58"/>
        <v>53.096933672807914</v>
      </c>
      <c r="Z173" s="385">
        <f t="shared" si="59"/>
        <v>54.406035854133869</v>
      </c>
      <c r="AA173" s="386">
        <f t="shared" si="60"/>
        <v>59.737227902727938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8.9244048238646512E-2</v>
      </c>
      <c r="AD173" s="231">
        <f>(INDEX(Models!$BJ173:$BT173,,AH173)*(1-AF173)+INDEX(Models!$BJ173:$BT173,,AH173+1)*AF173-ERP_i)*AE173*Ramure*Pc/MaxiM</f>
        <v>3.9865602437897099E-3</v>
      </c>
      <c r="AE173" s="305">
        <f t="shared" si="62"/>
        <v>0.7</v>
      </c>
      <c r="AF173" s="177">
        <f t="shared" si="63"/>
        <v>0.7394864345166573</v>
      </c>
      <c r="AG173" s="921">
        <f t="shared" si="71"/>
        <v>-1</v>
      </c>
      <c r="AH173" s="176">
        <f t="shared" si="64"/>
        <v>5</v>
      </c>
      <c r="AI173" s="225">
        <f t="shared" si="65"/>
        <v>-0.2605135654833427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20">
        <v>56.350999999999999</v>
      </c>
      <c r="C174" s="390"/>
      <c r="D174" s="393">
        <f t="shared" si="48"/>
        <v>57.741595709162006</v>
      </c>
      <c r="E174" s="385">
        <f t="shared" si="72"/>
        <v>58.530942989135816</v>
      </c>
      <c r="F174" s="385">
        <f t="shared" si="49"/>
        <v>58.767455716335284</v>
      </c>
      <c r="G174" s="110">
        <f t="shared" si="73"/>
        <v>0.9909496499146826</v>
      </c>
      <c r="H174" s="414" t="b">
        <f>Wh_hp&gt;='2020'!Maxi_hp</f>
        <v>1</v>
      </c>
      <c r="I174" s="380">
        <f>IF(H174,Wh_hp,'2020'!Maxi_hp)</f>
        <v>58.767455716335284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2.4083084162867308E-2</v>
      </c>
      <c r="M174" s="959"/>
      <c r="N174" s="959"/>
      <c r="O174" s="48">
        <f>IF(t&lt;Tnet,'2020'!Resal+('2020'!Salim-'2020'!Resal)*(1-EXP(('2020'!Tnet-t)/('2020'!Tau_j))),Resal+(Salim-Resal)*(1-EXP((Tnet-t)/(Tau_j))))*Salcycl</f>
        <v>1.348598262153957E-2</v>
      </c>
      <c r="P174" s="169">
        <f>(INDEX(Models!$BJ174:$BT174,,T174)*(1-R174)+INDEX(Models!$BJ174:$BT174,,T174+1)*R174-ERP_i)*Q174*Ramure*Pc/MaxiM</f>
        <v>4.0769603815420203E-3</v>
      </c>
      <c r="Q174" s="305">
        <f t="shared" si="51"/>
        <v>0.7</v>
      </c>
      <c r="R174" s="177">
        <f t="shared" si="52"/>
        <v>0.74462720916096314</v>
      </c>
      <c r="S174" s="921">
        <f t="shared" si="53"/>
        <v>-1</v>
      </c>
      <c r="T174" s="176">
        <f t="shared" si="54"/>
        <v>5</v>
      </c>
      <c r="U174" s="251">
        <f t="shared" si="55"/>
        <v>-0.25537279083903686</v>
      </c>
      <c r="V174" s="383">
        <f t="shared" si="56"/>
        <v>56.86266184220667</v>
      </c>
      <c r="W174" s="402"/>
      <c r="X174" s="157">
        <f t="shared" si="57"/>
        <v>44356</v>
      </c>
      <c r="Y174" s="385">
        <f t="shared" si="58"/>
        <v>52.018692906453772</v>
      </c>
      <c r="Z174" s="385">
        <f t="shared" si="59"/>
        <v>53.30237857577518</v>
      </c>
      <c r="AA174" s="386">
        <f t="shared" si="60"/>
        <v>58.530942989135816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8.9329919292964952E-2</v>
      </c>
      <c r="AD174" s="231">
        <f>(INDEX(Models!$BJ174:$BT174,,AH174)*(1-AF174)+INDEX(Models!$BJ174:$BT174,,AH174+1)*AF174-ERP_i)*AE174*Ramure*Pc/MaxiM</f>
        <v>4.0769603815420203E-3</v>
      </c>
      <c r="AE174" s="305">
        <f t="shared" si="62"/>
        <v>0.7</v>
      </c>
      <c r="AF174" s="177">
        <f t="shared" si="63"/>
        <v>0.74462720916096314</v>
      </c>
      <c r="AG174" s="921">
        <f t="shared" si="71"/>
        <v>-1</v>
      </c>
      <c r="AH174" s="176">
        <f t="shared" si="64"/>
        <v>5</v>
      </c>
      <c r="AI174" s="225">
        <f t="shared" si="65"/>
        <v>-0.25537279083903686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20">
        <v>56.328000000000003</v>
      </c>
      <c r="C175" s="390"/>
      <c r="D175" s="393">
        <f t="shared" si="48"/>
        <v>57.719292329783727</v>
      </c>
      <c r="E175" s="385">
        <f t="shared" si="72"/>
        <v>58.514820376391839</v>
      </c>
      <c r="F175" s="385">
        <f t="shared" si="49"/>
        <v>58.756543550619334</v>
      </c>
      <c r="G175" s="110">
        <f t="shared" si="73"/>
        <v>0.99162066379178537</v>
      </c>
      <c r="H175" s="414" t="b">
        <f>Wh_hp&gt;='2020'!Maxi_hp</f>
        <v>1</v>
      </c>
      <c r="I175" s="380">
        <f>IF(H175,Wh_hp,'2020'!Maxi_hp)</f>
        <v>58.756543550619334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2.4104459247948906E-2</v>
      </c>
      <c r="M175" s="959"/>
      <c r="N175" s="959"/>
      <c r="O175" s="48">
        <f>IF(t&lt;Tnet,'2020'!Resal+('2020'!Salim-'2020'!Resal)*(1-EXP(('2020'!Tnet-t)/('2020'!Tau_j))),Resal+(Salim-Resal)*(1-EXP((Tnet-t)/(Tau_j))))*Salcycl</f>
        <v>1.3595325790815831E-2</v>
      </c>
      <c r="P175" s="169">
        <f>(INDEX(Models!$BJ175:$BT175,,T175)*(1-R175)+INDEX(Models!$BJ175:$BT175,,T175+1)*R175-ERP_i)*Q175*Ramure*Pc/MaxiM</f>
        <v>4.1635247393546253E-3</v>
      </c>
      <c r="Q175" s="305">
        <f t="shared" si="51"/>
        <v>0.7</v>
      </c>
      <c r="R175" s="177">
        <f t="shared" si="52"/>
        <v>0.7497723254719747</v>
      </c>
      <c r="S175" s="921">
        <f t="shared" si="53"/>
        <v>-1</v>
      </c>
      <c r="T175" s="176">
        <f t="shared" si="54"/>
        <v>5</v>
      </c>
      <c r="U175" s="251">
        <f t="shared" si="55"/>
        <v>-0.2502276745280253</v>
      </c>
      <c r="V175" s="383">
        <f t="shared" si="56"/>
        <v>56.801153610334978</v>
      </c>
      <c r="W175" s="402"/>
      <c r="X175" s="157">
        <f t="shared" si="57"/>
        <v>44357</v>
      </c>
      <c r="Y175" s="385">
        <f t="shared" si="58"/>
        <v>51.998383008011984</v>
      </c>
      <c r="Z175" s="385">
        <f t="shared" si="59"/>
        <v>53.28273451064306</v>
      </c>
      <c r="AA175" s="386">
        <f t="shared" si="60"/>
        <v>58.514820376391839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8.941471292390224E-2</v>
      </c>
      <c r="AD175" s="231">
        <f>(INDEX(Models!$BJ175:$BT175,,AH175)*(1-AF175)+INDEX(Models!$BJ175:$BT175,,AH175+1)*AF175-ERP_i)*AE175*Ramure*Pc/MaxiM</f>
        <v>4.1635247393546253E-3</v>
      </c>
      <c r="AE175" s="305">
        <f t="shared" si="62"/>
        <v>0.7</v>
      </c>
      <c r="AF175" s="177">
        <f t="shared" si="63"/>
        <v>0.7497723254719747</v>
      </c>
      <c r="AG175" s="921">
        <f t="shared" si="71"/>
        <v>-1</v>
      </c>
      <c r="AH175" s="176">
        <f t="shared" si="64"/>
        <v>5</v>
      </c>
      <c r="AI175" s="225">
        <f t="shared" si="65"/>
        <v>-0.2502276745280253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20">
        <v>46.664999999999999</v>
      </c>
      <c r="C176" s="390"/>
      <c r="D176" s="393">
        <f t="shared" si="48"/>
        <v>47.818665171568689</v>
      </c>
      <c r="E176" s="385">
        <f t="shared" si="72"/>
        <v>48.483102868111963</v>
      </c>
      <c r="F176" s="385">
        <f t="shared" si="49"/>
        <v>48.637249876003082</v>
      </c>
      <c r="G176" s="110">
        <f t="shared" si="73"/>
        <v>0.82159598428068137</v>
      </c>
      <c r="H176" s="414" t="b">
        <f>Wh_hp&gt;='2020'!Maxi_hp</f>
        <v>1</v>
      </c>
      <c r="I176" s="380">
        <f>IF(H176,Wh_hp,'2020'!Maxi_hp)</f>
        <v>48.637249876003082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2.4125833864861224E-2</v>
      </c>
      <c r="M176" s="959"/>
      <c r="N176" s="959"/>
      <c r="O176" s="48">
        <f>IF(t&lt;Tnet,'2020'!Resal+('2020'!Salim-'2020'!Resal)*(1-EXP(('2020'!Tnet-t)/('2020'!Tau_j))),Resal+(Salim-Resal)*(1-EXP((Tnet-t)/(Tau_j))))*Salcycl</f>
        <v>1.3704520899801658E-2</v>
      </c>
      <c r="P176" s="169">
        <f>(INDEX(Models!$BJ176:$BT176,,T176)*(1-R176)+INDEX(Models!$BJ176:$BT176,,T176+1)*R176-ERP_i)*Q176*Ramure*Pc/MaxiM</f>
        <v>4.2461053771762677E-3</v>
      </c>
      <c r="Q176" s="305">
        <f t="shared" si="51"/>
        <v>0.7</v>
      </c>
      <c r="R176" s="177">
        <f t="shared" si="52"/>
        <v>0.75491744178298625</v>
      </c>
      <c r="S176" s="921">
        <f t="shared" si="53"/>
        <v>-1</v>
      </c>
      <c r="T176" s="176">
        <f t="shared" si="54"/>
        <v>5</v>
      </c>
      <c r="U176" s="251">
        <f t="shared" si="55"/>
        <v>-0.2450825582170138</v>
      </c>
      <c r="V176" s="383">
        <f t="shared" si="56"/>
        <v>56.736635697428035</v>
      </c>
      <c r="W176" s="402"/>
      <c r="X176" s="157">
        <f t="shared" si="57"/>
        <v>44358</v>
      </c>
      <c r="Y176" s="385">
        <f t="shared" si="58"/>
        <v>43.078934607320214</v>
      </c>
      <c r="Z176" s="385">
        <f t="shared" si="59"/>
        <v>44.143944068045606</v>
      </c>
      <c r="AA176" s="386">
        <f t="shared" si="60"/>
        <v>48.483102868111963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8.9498372492167397E-2</v>
      </c>
      <c r="AD176" s="231">
        <f>(INDEX(Models!$BJ176:$BT176,,AH176)*(1-AF176)+INDEX(Models!$BJ176:$BT176,,AH176+1)*AF176-ERP_i)*AE176*Ramure*Pc/MaxiM</f>
        <v>4.2461053771762677E-3</v>
      </c>
      <c r="AE176" s="305">
        <f t="shared" si="62"/>
        <v>0.7</v>
      </c>
      <c r="AF176" s="177">
        <f t="shared" si="63"/>
        <v>0.75491744178298625</v>
      </c>
      <c r="AG176" s="921">
        <f t="shared" si="71"/>
        <v>-1</v>
      </c>
      <c r="AH176" s="176">
        <f t="shared" si="64"/>
        <v>5</v>
      </c>
      <c r="AI176" s="225">
        <f t="shared" si="65"/>
        <v>-0.2450825582170138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20">
        <v>46.716999999999999</v>
      </c>
      <c r="C177" s="390"/>
      <c r="D177" s="393">
        <f t="shared" si="48"/>
        <v>47.872999271648105</v>
      </c>
      <c r="E177" s="385">
        <f t="shared" si="72"/>
        <v>48.543558432354338</v>
      </c>
      <c r="F177" s="385">
        <f t="shared" si="49"/>
        <v>48.7013362289726</v>
      </c>
      <c r="G177" s="110">
        <f t="shared" si="73"/>
        <v>0.82349548352500135</v>
      </c>
      <c r="H177" s="414" t="b">
        <f>Wh_hp&gt;='2020'!Maxi_hp</f>
        <v>0</v>
      </c>
      <c r="I177" s="380">
        <f>IF(H177,Wh_hp,'2020'!Maxi_hp)</f>
        <v>53.061432092137871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2.4147208013614585E-2</v>
      </c>
      <c r="M177" s="959"/>
      <c r="N177" s="959"/>
      <c r="O177" s="48">
        <f>IF(t&lt;Tnet,'2020'!Resal+('2020'!Salim-'2020'!Resal)*(1-EXP(('2020'!Tnet-t)/('2020'!Tau_j))),Resal+(Salim-Resal)*(1-EXP((Tnet-t)/(Tau_j))))*Salcycl</f>
        <v>1.3813555955949561E-2</v>
      </c>
      <c r="P177" s="169">
        <f>(INDEX(Models!$BJ177:$BT177,,T177)*(1-R177)+INDEX(Models!$BJ177:$BT177,,T177+1)*R177-ERP_i)*Q177*Ramure*Pc/MaxiM</f>
        <v>4.3246040348795742E-3</v>
      </c>
      <c r="Q177" s="305">
        <f t="shared" si="51"/>
        <v>0.7</v>
      </c>
      <c r="R177" s="177">
        <f t="shared" si="52"/>
        <v>0.7600582164272921</v>
      </c>
      <c r="S177" s="921">
        <f t="shared" si="53"/>
        <v>-1</v>
      </c>
      <c r="T177" s="176">
        <f t="shared" si="54"/>
        <v>5</v>
      </c>
      <c r="U177" s="251">
        <f t="shared" si="55"/>
        <v>-0.2399417835727079</v>
      </c>
      <c r="V177" s="383">
        <f t="shared" si="56"/>
        <v>56.66837622494873</v>
      </c>
      <c r="W177" s="402"/>
      <c r="X177" s="157">
        <f t="shared" si="57"/>
        <v>44359</v>
      </c>
      <c r="Y177" s="385">
        <f t="shared" si="58"/>
        <v>43.12779995911324</v>
      </c>
      <c r="Z177" s="385">
        <f t="shared" si="59"/>
        <v>44.194985466327317</v>
      </c>
      <c r="AA177" s="386">
        <f t="shared" si="60"/>
        <v>48.543558432354338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8.9580844636405768E-2</v>
      </c>
      <c r="AD177" s="231">
        <f>(INDEX(Models!$BJ177:$BT177,,AH177)*(1-AF177)+INDEX(Models!$BJ177:$BT177,,AH177+1)*AF177-ERP_i)*AE177*Ramure*Pc/MaxiM</f>
        <v>4.3246040348795742E-3</v>
      </c>
      <c r="AE177" s="305">
        <f t="shared" si="62"/>
        <v>0.7</v>
      </c>
      <c r="AF177" s="177">
        <f t="shared" si="63"/>
        <v>0.7600582164272921</v>
      </c>
      <c r="AG177" s="921">
        <f t="shared" si="71"/>
        <v>-1</v>
      </c>
      <c r="AH177" s="176">
        <f t="shared" si="64"/>
        <v>5</v>
      </c>
      <c r="AI177" s="225">
        <f t="shared" si="65"/>
        <v>-0.2399417835727079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20">
        <v>55.536999999999999</v>
      </c>
      <c r="C178" s="390"/>
      <c r="D178" s="393">
        <f t="shared" si="48"/>
        <v>56.912494267116593</v>
      </c>
      <c r="E178" s="385">
        <f t="shared" si="72"/>
        <v>57.716041192376672</v>
      </c>
      <c r="F178" s="385">
        <f t="shared" si="49"/>
        <v>57.964134485463653</v>
      </c>
      <c r="G178" s="110">
        <f t="shared" si="73"/>
        <v>0.98117156033991793</v>
      </c>
      <c r="H178" s="414" t="b">
        <f>Wh_hp&gt;='2020'!Maxi_hp</f>
        <v>0</v>
      </c>
      <c r="I178" s="380">
        <f>IF(H178,Wh_hp,'2020'!Maxi_hp)</f>
        <v>61.924411785677407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2.4168581694219315E-2</v>
      </c>
      <c r="M178" s="959"/>
      <c r="N178" s="959"/>
      <c r="O178" s="48">
        <f>IF(t&lt;Tnet,'2020'!Resal+('2020'!Salim-'2020'!Resal)*(1-EXP(('2020'!Tnet-t)/('2020'!Tau_j))),Resal+(Salim-Resal)*(1-EXP((Tnet-t)/(Tau_j))))*Salcycl</f>
        <v>1.392241929036208E-2</v>
      </c>
      <c r="P178" s="169">
        <f>(INDEX(Models!$BJ178:$BT178,,T178)*(1-R178)+INDEX(Models!$BJ178:$BT178,,T178+1)*R178-ERP_i)*Q178*Ramure*Pc/MaxiM</f>
        <v>4.3976771301815019E-3</v>
      </c>
      <c r="Q178" s="305">
        <f t="shared" si="51"/>
        <v>0.7</v>
      </c>
      <c r="R178" s="177">
        <f t="shared" si="52"/>
        <v>0.76519032238055862</v>
      </c>
      <c r="S178" s="921">
        <f t="shared" si="53"/>
        <v>-1</v>
      </c>
      <c r="T178" s="176">
        <f t="shared" si="54"/>
        <v>5</v>
      </c>
      <c r="U178" s="251">
        <f t="shared" si="55"/>
        <v>-0.23480967761944138</v>
      </c>
      <c r="V178" s="383">
        <f t="shared" si="56"/>
        <v>56.596058485601844</v>
      </c>
      <c r="W178" s="402"/>
      <c r="X178" s="157">
        <f t="shared" si="57"/>
        <v>44360</v>
      </c>
      <c r="Y178" s="385">
        <f t="shared" si="58"/>
        <v>51.271257029959074</v>
      </c>
      <c r="Z178" s="385">
        <f t="shared" si="59"/>
        <v>52.54110091984456</v>
      </c>
      <c r="AA178" s="386">
        <f t="shared" si="60"/>
        <v>57.716041192376672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8.966207947775244E-2</v>
      </c>
      <c r="AD178" s="231">
        <f>(INDEX(Models!$BJ178:$BT178,,AH178)*(1-AF178)+INDEX(Models!$BJ178:$BT178,,AH178+1)*AF178-ERP_i)*AE178*Ramure*Pc/MaxiM</f>
        <v>4.3976771301815019E-3</v>
      </c>
      <c r="AE178" s="305">
        <f t="shared" si="62"/>
        <v>0.7</v>
      </c>
      <c r="AF178" s="177">
        <f t="shared" si="63"/>
        <v>0.76519032238055862</v>
      </c>
      <c r="AG178" s="921">
        <f t="shared" si="71"/>
        <v>-1</v>
      </c>
      <c r="AH178" s="176">
        <f t="shared" si="64"/>
        <v>5</v>
      </c>
      <c r="AI178" s="225">
        <f t="shared" si="65"/>
        <v>-0.23480967761944138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20">
        <v>55.152999999999999</v>
      </c>
      <c r="C179" s="390"/>
      <c r="D179" s="393">
        <f t="shared" si="48"/>
        <v>56.520221612112884</v>
      </c>
      <c r="E179" s="385">
        <f t="shared" si="72"/>
        <v>57.324548055788846</v>
      </c>
      <c r="F179" s="385">
        <f t="shared" si="49"/>
        <v>57.572810186062441</v>
      </c>
      <c r="G179" s="110">
        <f t="shared" si="73"/>
        <v>0.97566206676719858</v>
      </c>
      <c r="H179" s="414" t="b">
        <f>Wh_hp&gt;='2020'!Maxi_hp</f>
        <v>1</v>
      </c>
      <c r="I179" s="380">
        <f>IF(H179,Wh_hp,'2020'!Maxi_hp)</f>
        <v>57.572810186062441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2.4189954906685518E-2</v>
      </c>
      <c r="M179" s="959"/>
      <c r="N179" s="959"/>
      <c r="O179" s="48">
        <f>IF(t&lt;Tnet,'2020'!Resal+('2020'!Salim-'2020'!Resal)*(1-EXP(('2020'!Tnet-t)/('2020'!Tau_j))),Resal+(Salim-Resal)*(1-EXP((Tnet-t)/(Tau_j))))*Salcycl</f>
        <v>1.4031099606632361E-2</v>
      </c>
      <c r="P179" s="169">
        <f>(INDEX(Models!$BJ179:$BT179,,T179)*(1-R179)+INDEX(Models!$BJ179:$BT179,,T179+1)*R179-ERP_i)*Q179*Ramure*Pc/MaxiM</f>
        <v>4.4664692274009338E-3</v>
      </c>
      <c r="Q179" s="305">
        <f t="shared" si="51"/>
        <v>0.7</v>
      </c>
      <c r="R179" s="177">
        <f t="shared" si="52"/>
        <v>0.77030946179838455</v>
      </c>
      <c r="S179" s="921">
        <f t="shared" si="53"/>
        <v>-1</v>
      </c>
      <c r="T179" s="176">
        <f t="shared" si="54"/>
        <v>5</v>
      </c>
      <c r="U179" s="251">
        <f t="shared" si="55"/>
        <v>-0.22969053820161545</v>
      </c>
      <c r="V179" s="383">
        <f t="shared" si="56"/>
        <v>56.520032298100496</v>
      </c>
      <c r="W179" s="402"/>
      <c r="X179" s="157">
        <f t="shared" si="57"/>
        <v>44361</v>
      </c>
      <c r="Y179" s="385">
        <f t="shared" si="58"/>
        <v>50.917891786311351</v>
      </c>
      <c r="Z179" s="385">
        <f t="shared" si="59"/>
        <v>52.180126698165104</v>
      </c>
      <c r="AA179" s="386">
        <f t="shared" si="60"/>
        <v>57.324548055788846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8.9742030807066095E-2</v>
      </c>
      <c r="AD179" s="231">
        <f>(INDEX(Models!$BJ179:$BT179,,AH179)*(1-AF179)+INDEX(Models!$BJ179:$BT179,,AH179+1)*AF179-ERP_i)*AE179*Ramure*Pc/MaxiM</f>
        <v>4.4664692274009338E-3</v>
      </c>
      <c r="AE179" s="305">
        <f t="shared" si="62"/>
        <v>0.7</v>
      </c>
      <c r="AF179" s="177">
        <f t="shared" si="63"/>
        <v>0.77030946179838455</v>
      </c>
      <c r="AG179" s="921">
        <f t="shared" si="71"/>
        <v>-1</v>
      </c>
      <c r="AH179" s="176">
        <f t="shared" si="64"/>
        <v>5</v>
      </c>
      <c r="AI179" s="225">
        <f t="shared" si="65"/>
        <v>-0.22969053820161545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20">
        <v>49.941000000000003</v>
      </c>
      <c r="C180" s="390"/>
      <c r="D180" s="393">
        <f t="shared" si="48"/>
        <v>51.180139117396251</v>
      </c>
      <c r="E180" s="385">
        <f t="shared" si="72"/>
        <v>51.914184190827889</v>
      </c>
      <c r="F180" s="385">
        <f t="shared" si="49"/>
        <v>52.111448268178343</v>
      </c>
      <c r="G180" s="110">
        <f t="shared" si="73"/>
        <v>0.88417780117181122</v>
      </c>
      <c r="H180" s="414" t="b">
        <f>Wh_hp&gt;='2020'!Maxi_hp</f>
        <v>1</v>
      </c>
      <c r="I180" s="380">
        <f>IF(H180,Wh_hp,'2020'!Maxi_hp)</f>
        <v>52.111448268178343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2.4211327651023518E-2</v>
      </c>
      <c r="M180" s="959"/>
      <c r="N180" s="959"/>
      <c r="O180" s="48">
        <f>IF(t&lt;Tnet,'2020'!Resal+('2020'!Salim-'2020'!Resal)*(1-EXP(('2020'!Tnet-t)/('2020'!Tau_j))),Resal+(Salim-Resal)*(1-EXP((Tnet-t)/(Tau_j))))*Salcycl</f>
        <v>1.4139586027845716E-2</v>
      </c>
      <c r="P180" s="169">
        <f>(INDEX(Models!$BJ180:$BT180,,T180)*(1-R180)+INDEX(Models!$BJ180:$BT180,,T180+1)*R180-ERP_i)*Q180*Ramure*Pc/MaxiM</f>
        <v>4.5308109687396169E-3</v>
      </c>
      <c r="Q180" s="305">
        <f t="shared" si="51"/>
        <v>0.7</v>
      </c>
      <c r="R180" s="177">
        <f t="shared" si="52"/>
        <v>0.77541138034552459</v>
      </c>
      <c r="S180" s="921">
        <f t="shared" si="53"/>
        <v>-1</v>
      </c>
      <c r="T180" s="176">
        <f t="shared" si="54"/>
        <v>5</v>
      </c>
      <c r="U180" s="251">
        <f t="shared" si="55"/>
        <v>-0.22458861965447541</v>
      </c>
      <c r="V180" s="383">
        <f t="shared" si="56"/>
        <v>56.440721830582191</v>
      </c>
      <c r="W180" s="402"/>
      <c r="X180" s="157">
        <f t="shared" si="57"/>
        <v>44362</v>
      </c>
      <c r="Y180" s="385">
        <f t="shared" si="58"/>
        <v>46.107203374666319</v>
      </c>
      <c r="Z180" s="385">
        <f t="shared" si="59"/>
        <v>47.251218097945653</v>
      </c>
      <c r="AA180" s="386">
        <f t="shared" si="60"/>
        <v>51.914184190827889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8.9820656253442141E-2</v>
      </c>
      <c r="AD180" s="231">
        <f>(INDEX(Models!$BJ180:$BT180,,AH180)*(1-AF180)+INDEX(Models!$BJ180:$BT180,,AH180+1)*AF180-ERP_i)*AE180*Ramure*Pc/MaxiM</f>
        <v>4.5308109687396169E-3</v>
      </c>
      <c r="AE180" s="305">
        <f t="shared" si="62"/>
        <v>0.7</v>
      </c>
      <c r="AF180" s="177">
        <f t="shared" si="63"/>
        <v>0.77541138034552459</v>
      </c>
      <c r="AG180" s="921">
        <f t="shared" si="71"/>
        <v>-1</v>
      </c>
      <c r="AH180" s="176">
        <f t="shared" si="64"/>
        <v>5</v>
      </c>
      <c r="AI180" s="225">
        <f t="shared" si="65"/>
        <v>-0.22458861965447541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20">
        <v>49.451000000000001</v>
      </c>
      <c r="C181" s="390"/>
      <c r="D181" s="393">
        <f t="shared" si="48"/>
        <v>50.679091209874287</v>
      </c>
      <c r="E181" s="385">
        <f t="shared" si="72"/>
        <v>51.41159686291563</v>
      </c>
      <c r="F181" s="385">
        <f t="shared" si="49"/>
        <v>51.607020661541092</v>
      </c>
      <c r="G181" s="110">
        <f t="shared" si="73"/>
        <v>0.87672768849852178</v>
      </c>
      <c r="H181" s="414" t="b">
        <f>Wh_hp&gt;='2020'!Maxi_hp</f>
        <v>0</v>
      </c>
      <c r="I181" s="380">
        <f>IF(H181,Wh_hp,'2020'!Maxi_hp)</f>
        <v>59.636866753529013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2.4232699927243528E-2</v>
      </c>
      <c r="M181" s="959"/>
      <c r="N181" s="959"/>
      <c r="O181" s="48">
        <f>IF(t&lt;Tnet,'2020'!Resal+('2020'!Salim-'2020'!Resal)*(1-EXP(('2020'!Tnet-t)/('2020'!Tau_j))),Resal+(Salim-Resal)*(1-EXP((Tnet-t)/(Tau_j))))*Salcycl</f>
        <v>1.4247868141394339E-2</v>
      </c>
      <c r="P181" s="169">
        <f>(INDEX(Models!$BJ181:$BT181,,T181)*(1-R181)+INDEX(Models!$BJ181:$BT181,,T181+1)*R181-ERP_i)*Q181*Ramure*Pc/MaxiM</f>
        <v>4.5905331883756111E-3</v>
      </c>
      <c r="Q181" s="305">
        <f t="shared" si="51"/>
        <v>0.7</v>
      </c>
      <c r="R181" s="177">
        <f t="shared" si="52"/>
        <v>0.78049188121579649</v>
      </c>
      <c r="S181" s="921">
        <f t="shared" si="53"/>
        <v>-1</v>
      </c>
      <c r="T181" s="176">
        <f t="shared" si="54"/>
        <v>5</v>
      </c>
      <c r="U181" s="251">
        <f t="shared" si="55"/>
        <v>-0.21950811878420351</v>
      </c>
      <c r="V181" s="383">
        <f t="shared" si="56"/>
        <v>56.358550728964225</v>
      </c>
      <c r="W181" s="402"/>
      <c r="X181" s="157">
        <f t="shared" si="57"/>
        <v>44363</v>
      </c>
      <c r="Y181" s="385">
        <f t="shared" si="58"/>
        <v>45.655958156719841</v>
      </c>
      <c r="Z181" s="385">
        <f t="shared" si="59"/>
        <v>46.789801373048249</v>
      </c>
      <c r="AA181" s="386">
        <f t="shared" si="60"/>
        <v>51.41159686291563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8.9897917432733676E-2</v>
      </c>
      <c r="AD181" s="231">
        <f>(INDEX(Models!$BJ181:$BT181,,AH181)*(1-AF181)+INDEX(Models!$BJ181:$BT181,,AH181+1)*AF181-ERP_i)*AE181*Ramure*Pc/MaxiM</f>
        <v>4.5905331883756111E-3</v>
      </c>
      <c r="AE181" s="305">
        <f t="shared" si="62"/>
        <v>0.7</v>
      </c>
      <c r="AF181" s="177">
        <f t="shared" si="63"/>
        <v>0.78049188121579649</v>
      </c>
      <c r="AG181" s="921">
        <f t="shared" si="71"/>
        <v>-1</v>
      </c>
      <c r="AH181" s="176">
        <f t="shared" si="64"/>
        <v>5</v>
      </c>
      <c r="AI181" s="225">
        <f t="shared" si="65"/>
        <v>-0.21950811878420351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20">
        <v>14.087</v>
      </c>
      <c r="C182" s="390"/>
      <c r="D182" s="393">
        <f t="shared" si="48"/>
        <v>14.437159912164439</v>
      </c>
      <c r="E182" s="385">
        <f t="shared" si="72"/>
        <v>14.647437589365866</v>
      </c>
      <c r="F182" s="385">
        <f t="shared" si="49"/>
        <v>14.647437589365866</v>
      </c>
      <c r="G182" s="110">
        <f t="shared" si="73"/>
        <v>0.24916611090963575</v>
      </c>
      <c r="H182" s="414" t="b">
        <f>Wh_hp&gt;='2020'!Maxi_hp</f>
        <v>0</v>
      </c>
      <c r="I182" s="380">
        <f>IF(H182,Wh_hp,'2020'!Maxi_hp)</f>
        <v>58.647204437041879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2.4254071735355875E-2</v>
      </c>
      <c r="M182" s="959"/>
      <c r="N182" s="959"/>
      <c r="O182" s="48">
        <f>IF(t&lt;Tnet,'2020'!Resal+('2020'!Salim-'2020'!Resal)*(1-EXP(('2020'!Tnet-t)/('2020'!Tau_j))),Resal+(Salim-Resal)*(1-EXP((Tnet-t)/(Tau_j))))*Salcycl</f>
        <v>1.4355936041269694E-2</v>
      </c>
      <c r="P182" s="169">
        <f>(INDEX(Models!$BJ182:$BT182,,T182)*(1-R182)+INDEX(Models!$BJ182:$BT182,,T182+1)*R182-ERP_i)*Q182*Ramure*Pc/MaxiM</f>
        <v>4.645467577406766E-3</v>
      </c>
      <c r="Q182" s="305">
        <f t="shared" si="51"/>
        <v>0.7</v>
      </c>
      <c r="R182" s="177">
        <f t="shared" si="52"/>
        <v>0.78554683874545628</v>
      </c>
      <c r="S182" s="921">
        <f t="shared" si="53"/>
        <v>-1</v>
      </c>
      <c r="T182" s="176">
        <f t="shared" si="54"/>
        <v>5</v>
      </c>
      <c r="U182" s="251">
        <f t="shared" si="55"/>
        <v>-0.21445316125454372</v>
      </c>
      <c r="V182" s="383">
        <f t="shared" si="56"/>
        <v>56.273942098499191</v>
      </c>
      <c r="W182" s="402"/>
      <c r="X182" s="157">
        <f t="shared" si="57"/>
        <v>44364</v>
      </c>
      <c r="Y182" s="385">
        <f t="shared" si="58"/>
        <v>13.006256344299301</v>
      </c>
      <c r="Z182" s="385">
        <f t="shared" si="59"/>
        <v>13.329552261038708</v>
      </c>
      <c r="AA182" s="386">
        <f t="shared" si="60"/>
        <v>14.647437589365866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8.9973780074949813E-2</v>
      </c>
      <c r="AD182" s="231">
        <f>(INDEX(Models!$BJ182:$BT182,,AH182)*(1-AF182)+INDEX(Models!$BJ182:$BT182,,AH182+1)*AF182-ERP_i)*AE182*Ramure*Pc/MaxiM</f>
        <v>4.645467577406766E-3</v>
      </c>
      <c r="AE182" s="305">
        <f t="shared" si="62"/>
        <v>0.7</v>
      </c>
      <c r="AF182" s="177">
        <f t="shared" si="63"/>
        <v>0.78554683874545628</v>
      </c>
      <c r="AG182" s="921">
        <f t="shared" si="71"/>
        <v>-1</v>
      </c>
      <c r="AH182" s="176">
        <f t="shared" si="64"/>
        <v>5</v>
      </c>
      <c r="AI182" s="225">
        <f t="shared" si="65"/>
        <v>-0.21445316125454372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20">
        <v>43.697000000000003</v>
      </c>
      <c r="C183" s="390"/>
      <c r="D183" s="393">
        <f t="shared" si="48"/>
        <v>44.784155210490844</v>
      </c>
      <c r="E183" s="385">
        <f t="shared" si="72"/>
        <v>45.441409781155649</v>
      </c>
      <c r="F183" s="385">
        <f t="shared" si="49"/>
        <v>45.587486769611395</v>
      </c>
      <c r="G183" s="110">
        <f t="shared" si="73"/>
        <v>0.77653879960677852</v>
      </c>
      <c r="H183" s="414" t="b">
        <f>Wh_hp&gt;='2020'!Maxi_hp</f>
        <v>0</v>
      </c>
      <c r="I183" s="380">
        <f>IF(H183,Wh_hp,'2020'!Maxi_hp)</f>
        <v>56.677985927992459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2.4275443075370773E-2</v>
      </c>
      <c r="M183" s="959"/>
      <c r="N183" s="959"/>
      <c r="O183" s="48">
        <f>IF(t&lt;Tnet,'2020'!Resal+('2020'!Salim-'2020'!Resal)*(1-EXP(('2020'!Tnet-t)/('2020'!Tau_j))),Resal+(Salim-Resal)*(1-EXP((Tnet-t)/(Tau_j))))*Salcycl</f>
        <v>1.4463780367513227E-2</v>
      </c>
      <c r="P183" s="169">
        <f>(INDEX(Models!$BJ183:$BT183,,T183)*(1-R183)+INDEX(Models!$BJ183:$BT183,,T183+1)*R183-ERP_i)*Q183*Ramure*Pc/MaxiM</f>
        <v>4.6954473415553883E-3</v>
      </c>
      <c r="Q183" s="305">
        <f t="shared" si="51"/>
        <v>0.7</v>
      </c>
      <c r="R183" s="177">
        <f t="shared" si="52"/>
        <v>0.79057221152772827</v>
      </c>
      <c r="S183" s="921">
        <f t="shared" si="53"/>
        <v>-1</v>
      </c>
      <c r="T183" s="176">
        <f t="shared" si="54"/>
        <v>5</v>
      </c>
      <c r="U183" s="251">
        <f t="shared" si="55"/>
        <v>-0.20942778847227178</v>
      </c>
      <c r="V183" s="383">
        <f t="shared" si="56"/>
        <v>56.187318472971292</v>
      </c>
      <c r="W183" s="402"/>
      <c r="X183" s="157">
        <f t="shared" si="57"/>
        <v>44365</v>
      </c>
      <c r="Y183" s="385">
        <f t="shared" si="58"/>
        <v>40.345714744008511</v>
      </c>
      <c r="Z183" s="385">
        <f t="shared" si="59"/>
        <v>41.349491982833278</v>
      </c>
      <c r="AA183" s="386">
        <f t="shared" si="60"/>
        <v>45.441409781155649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9.0048214129555174E-2</v>
      </c>
      <c r="AD183" s="231">
        <f>(INDEX(Models!$BJ183:$BT183,,AH183)*(1-AF183)+INDEX(Models!$BJ183:$BT183,,AH183+1)*AF183-ERP_i)*AE183*Ramure*Pc/MaxiM</f>
        <v>4.6954473415553883E-3</v>
      </c>
      <c r="AE183" s="305">
        <f t="shared" si="62"/>
        <v>0.7</v>
      </c>
      <c r="AF183" s="177">
        <f t="shared" si="63"/>
        <v>0.79057221152772827</v>
      </c>
      <c r="AG183" s="921">
        <f t="shared" si="71"/>
        <v>-1</v>
      </c>
      <c r="AH183" s="176">
        <f t="shared" si="64"/>
        <v>5</v>
      </c>
      <c r="AI183" s="225">
        <f t="shared" si="65"/>
        <v>-0.20942778847227178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20">
        <v>35.896999999999998</v>
      </c>
      <c r="C184" s="390"/>
      <c r="D184" s="393">
        <f t="shared" si="48"/>
        <v>36.790901693397835</v>
      </c>
      <c r="E184" s="385">
        <f t="shared" si="72"/>
        <v>37.33492351196891</v>
      </c>
      <c r="F184" s="385">
        <f t="shared" si="49"/>
        <v>37.421030872895685</v>
      </c>
      <c r="G184" s="110">
        <f t="shared" si="73"/>
        <v>0.6383210171569117</v>
      </c>
      <c r="H184" s="414" t="b">
        <f>Wh_hp&gt;='2020'!Maxi_hp</f>
        <v>0</v>
      </c>
      <c r="I184" s="380">
        <f>IF(H184,Wh_hp,'2020'!Maxi_hp)</f>
        <v>49.581737815799464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2.4296813947298546E-2</v>
      </c>
      <c r="M184" s="959"/>
      <c r="N184" s="959"/>
      <c r="O184" s="48">
        <f>IF(t&lt;Tnet,'2020'!Resal+('2020'!Salim-'2020'!Resal)*(1-EXP(('2020'!Tnet-t)/('2020'!Tau_j))),Resal+(Salim-Resal)*(1-EXP((Tnet-t)/(Tau_j))))*Salcycl</f>
        <v>1.4571392342525514E-2</v>
      </c>
      <c r="P184" s="169">
        <f>(INDEX(Models!$BJ184:$BT184,,T184)*(1-R184)+INDEX(Models!$BJ184:$BT184,,T184+1)*R184-ERP_i)*Q184*Ramure*Pc/MaxiM</f>
        <v>4.7390469494576638E-3</v>
      </c>
      <c r="Q184" s="305">
        <f t="shared" si="51"/>
        <v>0.7</v>
      </c>
      <c r="R184" s="177">
        <f t="shared" si="52"/>
        <v>0.79556405494214077</v>
      </c>
      <c r="S184" s="921">
        <f t="shared" si="53"/>
        <v>-1</v>
      </c>
      <c r="T184" s="176">
        <f t="shared" si="54"/>
        <v>5</v>
      </c>
      <c r="U184" s="251">
        <f t="shared" si="55"/>
        <v>-0.20443594505785928</v>
      </c>
      <c r="V184" s="383">
        <f t="shared" si="56"/>
        <v>56.099172871121461</v>
      </c>
      <c r="W184" s="402"/>
      <c r="X184" s="157">
        <f t="shared" si="57"/>
        <v>44366</v>
      </c>
      <c r="Y184" s="385">
        <f t="shared" si="58"/>
        <v>33.144886651998277</v>
      </c>
      <c r="Z184" s="385">
        <f t="shared" si="59"/>
        <v>33.970255632851845</v>
      </c>
      <c r="AA184" s="386">
        <f t="shared" si="60"/>
        <v>37.33492351196891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9.0121193847856995E-2</v>
      </c>
      <c r="AD184" s="231">
        <f>(INDEX(Models!$BJ184:$BT184,,AH184)*(1-AF184)+INDEX(Models!$BJ184:$BT184,,AH184+1)*AF184-ERP_i)*AE184*Ramure*Pc/MaxiM</f>
        <v>4.7390469494576638E-3</v>
      </c>
      <c r="AE184" s="305">
        <f t="shared" si="62"/>
        <v>0.7</v>
      </c>
      <c r="AF184" s="177">
        <f t="shared" si="63"/>
        <v>0.79556405494214077</v>
      </c>
      <c r="AG184" s="921">
        <f t="shared" si="71"/>
        <v>-1</v>
      </c>
      <c r="AH184" s="176">
        <f t="shared" si="64"/>
        <v>5</v>
      </c>
      <c r="AI184" s="225">
        <f t="shared" si="65"/>
        <v>-0.20443594505785928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20">
        <v>33.497999999999998</v>
      </c>
      <c r="C185" s="390"/>
      <c r="D185" s="393">
        <f t="shared" si="48"/>
        <v>34.332914135253269</v>
      </c>
      <c r="E185" s="385">
        <f t="shared" si="72"/>
        <v>34.844386656883351</v>
      </c>
      <c r="F185" s="385">
        <f t="shared" si="49"/>
        <v>34.915451126250154</v>
      </c>
      <c r="G185" s="110">
        <f t="shared" si="73"/>
        <v>0.59643003479451995</v>
      </c>
      <c r="H185" s="414" t="b">
        <f>Wh_hp&gt;='2020'!Maxi_hp</f>
        <v>0</v>
      </c>
      <c r="I185" s="380">
        <f>IF(H185,Wh_hp,'2020'!Maxi_hp)</f>
        <v>50.746590499850917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2.4318184351149297E-2</v>
      </c>
      <c r="M185" s="959"/>
      <c r="N185" s="959"/>
      <c r="O185" s="48">
        <f>IF(t&lt;Tnet,'2020'!Resal+('2020'!Salim-'2020'!Resal)*(1-EXP(('2020'!Tnet-t)/('2020'!Tau_j))),Resal+(Salim-Resal)*(1-EXP((Tnet-t)/(Tau_j))))*Salcycl</f>
        <v>1.4678763803955261E-2</v>
      </c>
      <c r="P185" s="169">
        <f>(INDEX(Models!$BJ185:$BT185,,T185)*(1-R185)+INDEX(Models!$BJ185:$BT185,,T185+1)*R185-ERP_i)*Q185*Ramure*Pc/MaxiM</f>
        <v>4.779777565286988E-3</v>
      </c>
      <c r="Q185" s="305">
        <f t="shared" si="51"/>
        <v>0.7</v>
      </c>
      <c r="R185" s="177">
        <f t="shared" si="52"/>
        <v>0.80051853301922304</v>
      </c>
      <c r="S185" s="921">
        <f t="shared" si="53"/>
        <v>-1</v>
      </c>
      <c r="T185" s="176">
        <f t="shared" si="54"/>
        <v>5</v>
      </c>
      <c r="U185" s="251">
        <f t="shared" si="55"/>
        <v>-0.19948146698077696</v>
      </c>
      <c r="V185" s="383">
        <f t="shared" si="56"/>
        <v>56.009719588285186</v>
      </c>
      <c r="W185" s="402"/>
      <c r="X185" s="157">
        <f t="shared" si="57"/>
        <v>44367</v>
      </c>
      <c r="Y185" s="385">
        <f t="shared" si="58"/>
        <v>30.930750183923056</v>
      </c>
      <c r="Z185" s="385">
        <f t="shared" si="59"/>
        <v>31.701677419654892</v>
      </c>
      <c r="AA185" s="386">
        <f t="shared" si="60"/>
        <v>34.844386656883351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9.0192697841838282E-2</v>
      </c>
      <c r="AD185" s="231">
        <f>(INDEX(Models!$BJ185:$BT185,,AH185)*(1-AF185)+INDEX(Models!$BJ185:$BT185,,AH185+1)*AF185-ERP_i)*AE185*Ramure*Pc/MaxiM</f>
        <v>4.779777565286988E-3</v>
      </c>
      <c r="AE185" s="305">
        <f t="shared" si="62"/>
        <v>0.7</v>
      </c>
      <c r="AF185" s="177">
        <f t="shared" si="63"/>
        <v>0.80051853301922304</v>
      </c>
      <c r="AG185" s="921">
        <f t="shared" si="71"/>
        <v>-1</v>
      </c>
      <c r="AH185" s="176">
        <f t="shared" si="64"/>
        <v>5</v>
      </c>
      <c r="AI185" s="225">
        <f t="shared" si="65"/>
        <v>-0.19948146698077696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20">
        <v>37.448999999999998</v>
      </c>
      <c r="C186" s="390"/>
      <c r="D186" s="393">
        <f t="shared" si="48"/>
        <v>38.383230728012343</v>
      </c>
      <c r="E186" s="385">
        <f t="shared" si="72"/>
        <v>38.959278222525349</v>
      </c>
      <c r="F186" s="385">
        <f t="shared" si="49"/>
        <v>39.058656400795059</v>
      </c>
      <c r="G186" s="110">
        <f t="shared" si="73"/>
        <v>0.66817006397492207</v>
      </c>
      <c r="H186" s="414" t="b">
        <f>Wh_hp&gt;='2020'!Maxi_hp</f>
        <v>0</v>
      </c>
      <c r="I186" s="380">
        <f>IF(H186,Wh_hp,'2020'!Maxi_hp)</f>
        <v>50.271199376554243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2.4339554286933351E-2</v>
      </c>
      <c r="M186" s="959"/>
      <c r="N186" s="959"/>
      <c r="O186" s="48">
        <f>IF(t&lt;Tnet,'2020'!Resal+('2020'!Salim-'2020'!Resal)*(1-EXP(('2020'!Tnet-t)/('2020'!Tau_j))),Resal+(Salim-Resal)*(1-EXP((Tnet-t)/(Tau_j))))*Salcycl</f>
        <v>1.4785887233915754E-2</v>
      </c>
      <c r="P186" s="169">
        <f>(INDEX(Models!$BJ186:$BT186,,T186)*(1-R186)+INDEX(Models!$BJ186:$BT186,,T186+1)*R186-ERP_i)*Q186*Ramure*Pc/MaxiM</f>
        <v>4.8175546329617186E-3</v>
      </c>
      <c r="Q186" s="305">
        <f t="shared" si="51"/>
        <v>0.7</v>
      </c>
      <c r="R186" s="177">
        <f t="shared" si="52"/>
        <v>0.80543192956884968</v>
      </c>
      <c r="S186" s="921">
        <f t="shared" si="53"/>
        <v>-1</v>
      </c>
      <c r="T186" s="176">
        <f t="shared" si="54"/>
        <v>5</v>
      </c>
      <c r="U186" s="251">
        <f t="shared" si="55"/>
        <v>-0.19456807043115026</v>
      </c>
      <c r="V186" s="383">
        <f t="shared" si="56"/>
        <v>55.919375826925091</v>
      </c>
      <c r="W186" s="402"/>
      <c r="X186" s="157">
        <f t="shared" si="57"/>
        <v>44368</v>
      </c>
      <c r="Y186" s="385">
        <f t="shared" si="58"/>
        <v>34.580048503925894</v>
      </c>
      <c r="Z186" s="385">
        <f t="shared" si="59"/>
        <v>35.442708224840338</v>
      </c>
      <c r="AA186" s="386">
        <f t="shared" si="60"/>
        <v>38.959278222525349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9.0262709118974591E-2</v>
      </c>
      <c r="AD186" s="231">
        <f>(INDEX(Models!$BJ186:$BT186,,AH186)*(1-AF186)+INDEX(Models!$BJ186:$BT186,,AH186+1)*AF186-ERP_i)*AE186*Ramure*Pc/MaxiM</f>
        <v>4.8175546329617186E-3</v>
      </c>
      <c r="AE186" s="305">
        <f t="shared" si="62"/>
        <v>0.7</v>
      </c>
      <c r="AF186" s="177">
        <f t="shared" si="63"/>
        <v>0.80543192956884968</v>
      </c>
      <c r="AG186" s="921">
        <f t="shared" si="71"/>
        <v>-1</v>
      </c>
      <c r="AH186" s="176">
        <f t="shared" si="64"/>
        <v>5</v>
      </c>
      <c r="AI186" s="225">
        <f t="shared" si="65"/>
        <v>-0.19456807043115026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20">
        <v>40.597999999999999</v>
      </c>
      <c r="C187" s="390"/>
      <c r="D187" s="393">
        <f t="shared" si="48"/>
        <v>41.611699437293787</v>
      </c>
      <c r="E187" s="385">
        <f t="shared" si="72"/>
        <v>42.240781073966559</v>
      </c>
      <c r="F187" s="385">
        <f t="shared" si="49"/>
        <v>42.366236883768721</v>
      </c>
      <c r="G187" s="110">
        <f t="shared" si="73"/>
        <v>0.72581129411531475</v>
      </c>
      <c r="H187" s="414" t="b">
        <f>Wh_hp&gt;='2020'!Maxi_hp</f>
        <v>0</v>
      </c>
      <c r="I187" s="380">
        <f>IF(H187,Wh_hp,'2020'!Maxi_hp)</f>
        <v>58.651325061036623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2.4360923754661035E-2</v>
      </c>
      <c r="M187" s="959"/>
      <c r="N187" s="959"/>
      <c r="O187" s="48">
        <f>IF(t&lt;Tnet,'2020'!Resal+('2020'!Salim-'2020'!Resal)*(1-EXP(('2020'!Tnet-t)/('2020'!Tau_j))),Resal+(Salim-Resal)*(1-EXP((Tnet-t)/(Tau_j))))*Salcycl</f>
        <v>1.4892755784302634E-2</v>
      </c>
      <c r="P187" s="169">
        <f>(INDEX(Models!$BJ187:$BT187,,T187)*(1-R187)+INDEX(Models!$BJ187:$BT187,,T187+1)*R187-ERP_i)*Q187*Ramure*Pc/MaxiM</f>
        <v>4.8522960573547224E-3</v>
      </c>
      <c r="Q187" s="305">
        <f t="shared" si="51"/>
        <v>0.7</v>
      </c>
      <c r="R187" s="177">
        <f t="shared" si="52"/>
        <v>0.8103006585089374</v>
      </c>
      <c r="S187" s="921">
        <f t="shared" si="53"/>
        <v>-1</v>
      </c>
      <c r="T187" s="176">
        <f t="shared" si="54"/>
        <v>5</v>
      </c>
      <c r="U187" s="251">
        <f t="shared" si="55"/>
        <v>-0.18969934149106266</v>
      </c>
      <c r="V187" s="383">
        <f t="shared" si="56"/>
        <v>55.828558280114692</v>
      </c>
      <c r="W187" s="402"/>
      <c r="X187" s="157">
        <f t="shared" si="57"/>
        <v>44369</v>
      </c>
      <c r="Y187" s="385">
        <f t="shared" si="58"/>
        <v>37.489048574672765</v>
      </c>
      <c r="Z187" s="385">
        <f t="shared" si="59"/>
        <v>38.425119993088089</v>
      </c>
      <c r="AA187" s="386">
        <f t="shared" si="60"/>
        <v>42.240781073966559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9.033121509275556E-2</v>
      </c>
      <c r="AD187" s="231">
        <f>(INDEX(Models!$BJ187:$BT187,,AH187)*(1-AF187)+INDEX(Models!$BJ187:$BT187,,AH187+1)*AF187-ERP_i)*AE187*Ramure*Pc/MaxiM</f>
        <v>4.8522960573547224E-3</v>
      </c>
      <c r="AE187" s="305">
        <f t="shared" si="62"/>
        <v>0.7</v>
      </c>
      <c r="AF187" s="177">
        <f t="shared" si="63"/>
        <v>0.8103006585089374</v>
      </c>
      <c r="AG187" s="921">
        <f t="shared" si="71"/>
        <v>-1</v>
      </c>
      <c r="AH187" s="176">
        <f t="shared" si="64"/>
        <v>5</v>
      </c>
      <c r="AI187" s="225">
        <f t="shared" si="65"/>
        <v>-0.18969934149106266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20">
        <v>24.722999999999999</v>
      </c>
      <c r="C188" s="390"/>
      <c r="D188" s="393">
        <f t="shared" si="48"/>
        <v>25.340868473776915</v>
      </c>
      <c r="E188" s="385">
        <f t="shared" si="72"/>
        <v>25.726753394418314</v>
      </c>
      <c r="F188" s="385">
        <f t="shared" si="49"/>
        <v>25.752547441699534</v>
      </c>
      <c r="G188" s="110">
        <f t="shared" si="73"/>
        <v>0.44183611533688649</v>
      </c>
      <c r="H188" s="414" t="b">
        <f>Wh_hp&gt;='2020'!Maxi_hp</f>
        <v>0</v>
      </c>
      <c r="I188" s="380">
        <f>IF(H188,Wh_hp,'2020'!Maxi_hp)</f>
        <v>52.717054573900171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2.4382292754342449E-2</v>
      </c>
      <c r="M188" s="959"/>
      <c r="N188" s="959"/>
      <c r="O188" s="48">
        <f>IF(t&lt;Tnet,'2020'!Resal+('2020'!Salim-'2020'!Resal)*(1-EXP(('2020'!Tnet-t)/('2020'!Tau_j))),Resal+(Salim-Resal)*(1-EXP((Tnet-t)/(Tau_j))))*Salcycl</f>
        <v>1.4999363298018015E-2</v>
      </c>
      <c r="P188" s="169">
        <f>(INDEX(Models!$BJ188:$BT188,,T188)*(1-R188)+INDEX(Models!$BJ188:$BT188,,T188+1)*R188-ERP_i)*Q188*Ramure*Pc/MaxiM</f>
        <v>4.883872511587656E-3</v>
      </c>
      <c r="Q188" s="305">
        <f t="shared" si="51"/>
        <v>0.7</v>
      </c>
      <c r="R188" s="177">
        <f t="shared" si="52"/>
        <v>0.81512127334015927</v>
      </c>
      <c r="S188" s="921">
        <f t="shared" si="53"/>
        <v>-1</v>
      </c>
      <c r="T188" s="176">
        <f t="shared" si="54"/>
        <v>5</v>
      </c>
      <c r="U188" s="251">
        <f t="shared" si="55"/>
        <v>-0.18487872665984073</v>
      </c>
      <c r="V188" s="383">
        <f t="shared" si="56"/>
        <v>55.737685928320715</v>
      </c>
      <c r="W188" s="402"/>
      <c r="X188" s="157">
        <f t="shared" si="57"/>
        <v>44370</v>
      </c>
      <c r="Y188" s="385">
        <f t="shared" si="58"/>
        <v>22.830528505617547</v>
      </c>
      <c r="Z188" s="385">
        <f t="shared" si="59"/>
        <v>23.401101000997812</v>
      </c>
      <c r="AA188" s="386">
        <f t="shared" si="60"/>
        <v>25.726753394418314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9.0398207568821082E-2</v>
      </c>
      <c r="AD188" s="231">
        <f>(INDEX(Models!$BJ188:$BT188,,AH188)*(1-AF188)+INDEX(Models!$BJ188:$BT188,,AH188+1)*AF188-ERP_i)*AE188*Ramure*Pc/MaxiM</f>
        <v>4.883872511587656E-3</v>
      </c>
      <c r="AE188" s="305">
        <f t="shared" si="62"/>
        <v>0.7</v>
      </c>
      <c r="AF188" s="177">
        <f t="shared" si="63"/>
        <v>0.81512127334015927</v>
      </c>
      <c r="AG188" s="921">
        <f t="shared" si="71"/>
        <v>-1</v>
      </c>
      <c r="AH188" s="176">
        <f t="shared" si="64"/>
        <v>5</v>
      </c>
      <c r="AI188" s="225">
        <f t="shared" si="65"/>
        <v>-0.18487872665984073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20">
        <v>36.459000000000003</v>
      </c>
      <c r="C189" s="390"/>
      <c r="D189" s="393">
        <f t="shared" si="48"/>
        <v>37.370988956414749</v>
      </c>
      <c r="E189" s="385">
        <f t="shared" si="72"/>
        <v>37.944162252293282</v>
      </c>
      <c r="F189" s="385">
        <f t="shared" si="49"/>
        <v>38.038972001581541</v>
      </c>
      <c r="G189" s="110">
        <f t="shared" si="73"/>
        <v>0.65359216396647646</v>
      </c>
      <c r="H189" s="414" t="b">
        <f>Wh_hp&gt;='2020'!Maxi_hp</f>
        <v>0</v>
      </c>
      <c r="I189" s="380">
        <f>IF(H189,Wh_hp,'2020'!Maxi_hp)</f>
        <v>57.879746381610467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2.4403661285988032E-2</v>
      </c>
      <c r="M189" s="959"/>
      <c r="N189" s="959"/>
      <c r="O189" s="48">
        <f>IF(t&lt;Tnet,'2020'!Resal+('2020'!Salim-'2020'!Resal)*(1-EXP(('2020'!Tnet-t)/('2020'!Tau_j))),Resal+(Salim-Resal)*(1-EXP((Tnet-t)/(Tau_j))))*Salcycl</f>
        <v>1.5105704325937271E-2</v>
      </c>
      <c r="P189" s="169">
        <f>(INDEX(Models!$BJ189:$BT189,,T189)*(1-R189)+INDEX(Models!$BJ189:$BT189,,T189+1)*R189-ERP_i)*Q189*Ramure*Pc/MaxiM</f>
        <v>4.912153792592351E-3</v>
      </c>
      <c r="Q189" s="305">
        <f t="shared" si="51"/>
        <v>0.7</v>
      </c>
      <c r="R189" s="177">
        <f t="shared" si="52"/>
        <v>0.81989047572170159</v>
      </c>
      <c r="S189" s="921">
        <f t="shared" si="53"/>
        <v>-1</v>
      </c>
      <c r="T189" s="176">
        <f t="shared" si="54"/>
        <v>5</v>
      </c>
      <c r="U189" s="251">
        <f t="shared" si="55"/>
        <v>-0.18010952427829835</v>
      </c>
      <c r="V189" s="383">
        <f t="shared" si="56"/>
        <v>55.647177437212441</v>
      </c>
      <c r="W189" s="402"/>
      <c r="X189" s="157">
        <f t="shared" si="57"/>
        <v>44371</v>
      </c>
      <c r="Y189" s="385">
        <f t="shared" si="58"/>
        <v>33.669384357127498</v>
      </c>
      <c r="Z189" s="385">
        <f t="shared" si="59"/>
        <v>34.511593597726076</v>
      </c>
      <c r="AA189" s="386">
        <f t="shared" si="60"/>
        <v>37.944162252293282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9.0463682706810725E-2</v>
      </c>
      <c r="AD189" s="231">
        <f>(INDEX(Models!$BJ189:$BT189,,AH189)*(1-AF189)+INDEX(Models!$BJ189:$BT189,,AH189+1)*AF189-ERP_i)*AE189*Ramure*Pc/MaxiM</f>
        <v>4.912153792592351E-3</v>
      </c>
      <c r="AE189" s="305">
        <f t="shared" si="62"/>
        <v>0.7</v>
      </c>
      <c r="AF189" s="177">
        <f t="shared" si="63"/>
        <v>0.81989047572170159</v>
      </c>
      <c r="AG189" s="921">
        <f t="shared" si="71"/>
        <v>-1</v>
      </c>
      <c r="AH189" s="176">
        <f t="shared" si="64"/>
        <v>5</v>
      </c>
      <c r="AI189" s="225">
        <f t="shared" si="65"/>
        <v>-0.18010952427829835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20">
        <v>51.588999999999999</v>
      </c>
      <c r="C190" s="390"/>
      <c r="D190" s="393">
        <f t="shared" si="48"/>
        <v>52.880610462573536</v>
      </c>
      <c r="E190" s="385">
        <f t="shared" si="72"/>
        <v>53.697443850292075</v>
      </c>
      <c r="F190" s="385">
        <f t="shared" si="49"/>
        <v>53.936559282131775</v>
      </c>
      <c r="G190" s="110">
        <f t="shared" si="73"/>
        <v>0.92810047805678519</v>
      </c>
      <c r="H190" s="414" t="b">
        <f>Wh_hp&gt;='2020'!Maxi_hp</f>
        <v>0</v>
      </c>
      <c r="I190" s="380">
        <f>IF(H190,Wh_hp,'2020'!Maxi_hp)</f>
        <v>56.287194704165557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2.4425029349607885E-2</v>
      </c>
      <c r="M190" s="959"/>
      <c r="N190" s="959"/>
      <c r="O190" s="48">
        <f>IF(t&lt;Tnet,'2020'!Resal+('2020'!Salim-'2020'!Resal)*(1-EXP(('2020'!Tnet-t)/('2020'!Tau_j))),Resal+(Salim-Resal)*(1-EXP((Tnet-t)/(Tau_j))))*Salcycl</f>
        <v>1.5211774139489011E-2</v>
      </c>
      <c r="P190" s="169">
        <f>(INDEX(Models!$BJ190:$BT190,,T190)*(1-R190)+INDEX(Models!$BJ190:$BT190,,T190+1)*R190-ERP_i)*Q190*Ramure*Pc/MaxiM</f>
        <v>4.9370611350732906E-3</v>
      </c>
      <c r="Q190" s="305">
        <f t="shared" si="51"/>
        <v>0.7</v>
      </c>
      <c r="R190" s="177">
        <f t="shared" si="52"/>
        <v>0.82460512311267753</v>
      </c>
      <c r="S190" s="921">
        <f t="shared" si="53"/>
        <v>-1</v>
      </c>
      <c r="T190" s="176">
        <f t="shared" si="54"/>
        <v>5</v>
      </c>
      <c r="U190" s="251">
        <f t="shared" si="55"/>
        <v>-0.17539487688732247</v>
      </c>
      <c r="V190" s="383">
        <f t="shared" si="56"/>
        <v>55.557448252365688</v>
      </c>
      <c r="W190" s="402"/>
      <c r="X190" s="157">
        <f t="shared" si="57"/>
        <v>44372</v>
      </c>
      <c r="Y190" s="385">
        <f t="shared" si="58"/>
        <v>47.643511872421968</v>
      </c>
      <c r="Z190" s="385">
        <f t="shared" si="59"/>
        <v>48.836340933038898</v>
      </c>
      <c r="AA190" s="386">
        <f t="shared" si="60"/>
        <v>53.697443850292075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9.0527640958215486E-2</v>
      </c>
      <c r="AD190" s="231">
        <f>(INDEX(Models!$BJ190:$BT190,,AH190)*(1-AF190)+INDEX(Models!$BJ190:$BT190,,AH190+1)*AF190-ERP_i)*AE190*Ramure*Pc/MaxiM</f>
        <v>4.9370611350732906E-3</v>
      </c>
      <c r="AE190" s="305">
        <f t="shared" si="62"/>
        <v>0.7</v>
      </c>
      <c r="AF190" s="177">
        <f t="shared" si="63"/>
        <v>0.82460512311267753</v>
      </c>
      <c r="AG190" s="921">
        <f t="shared" si="71"/>
        <v>-1</v>
      </c>
      <c r="AH190" s="176">
        <f t="shared" si="64"/>
        <v>5</v>
      </c>
      <c r="AI190" s="225">
        <f t="shared" si="65"/>
        <v>-0.17539487688732247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20">
        <v>56.582999999999998</v>
      </c>
      <c r="C191" s="390"/>
      <c r="D191" s="393">
        <f t="shared" si="48"/>
        <v>58.000913350962485</v>
      </c>
      <c r="E191" s="385">
        <f t="shared" si="72"/>
        <v>58.903166655132772</v>
      </c>
      <c r="F191" s="385">
        <f t="shared" si="49"/>
        <v>59.196700093726733</v>
      </c>
      <c r="G191" s="110">
        <f t="shared" si="73"/>
        <v>1.0201039088688002</v>
      </c>
      <c r="H191" s="414" t="b">
        <f>Wh_hp&gt;='2020'!Maxi_hp</f>
        <v>1</v>
      </c>
      <c r="I191" s="380">
        <f>IF(H191,Wh_hp,'2020'!Maxi_hp)</f>
        <v>59.196700093726733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2.4446396945212223E-2</v>
      </c>
      <c r="M191" s="959"/>
      <c r="N191" s="959"/>
      <c r="O191" s="48">
        <f>IF(t&lt;Tnet,'2020'!Resal+('2020'!Salim-'2020'!Resal)*(1-EXP(('2020'!Tnet-t)/('2020'!Tau_j))),Resal+(Salim-Resal)*(1-EXP((Tnet-t)/(Tau_j))))*Salcycl</f>
        <v>1.5317568738754115E-2</v>
      </c>
      <c r="P191" s="169">
        <f>(INDEX(Models!$BJ191:$BT191,,T191)*(1-R191)+INDEX(Models!$BJ191:$BT191,,T191+1)*R191-ERP_i)*Q191*Ramure*Pc/MaxiM</f>
        <v>4.9586115126215337E-3</v>
      </c>
      <c r="Q191" s="305">
        <f t="shared" si="51"/>
        <v>0.7</v>
      </c>
      <c r="R191" s="177">
        <f t="shared" si="52"/>
        <v>0.82926223545350974</v>
      </c>
      <c r="S191" s="921">
        <f t="shared" si="53"/>
        <v>-1</v>
      </c>
      <c r="T191" s="176">
        <f t="shared" si="54"/>
        <v>5</v>
      </c>
      <c r="U191" s="251">
        <f t="shared" si="55"/>
        <v>-0.1707377645464902</v>
      </c>
      <c r="V191" s="383">
        <f t="shared" si="56"/>
        <v>55.467878819075651</v>
      </c>
      <c r="W191" s="402"/>
      <c r="X191" s="157">
        <f t="shared" si="57"/>
        <v>44373</v>
      </c>
      <c r="Y191" s="385">
        <f t="shared" si="58"/>
        <v>52.25760049609179</v>
      </c>
      <c r="Z191" s="385">
        <f t="shared" si="59"/>
        <v>53.567123664405109</v>
      </c>
      <c r="AA191" s="386">
        <f t="shared" si="60"/>
        <v>58.903166655132772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9.0590086980708848E-2</v>
      </c>
      <c r="AD191" s="231">
        <f>(INDEX(Models!$BJ191:$BT191,,AH191)*(1-AF191)+INDEX(Models!$BJ191:$BT191,,AH191+1)*AF191-ERP_i)*AE191*Ramure*Pc/MaxiM</f>
        <v>4.9586115126215337E-3</v>
      </c>
      <c r="AE191" s="305">
        <f t="shared" si="62"/>
        <v>0.7</v>
      </c>
      <c r="AF191" s="177">
        <f t="shared" si="63"/>
        <v>0.82926223545350974</v>
      </c>
      <c r="AG191" s="921">
        <f t="shared" si="71"/>
        <v>-1</v>
      </c>
      <c r="AH191" s="176">
        <f t="shared" si="64"/>
        <v>5</v>
      </c>
      <c r="AI191" s="225">
        <f t="shared" si="65"/>
        <v>-0.1707377645464902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20">
        <v>9.35</v>
      </c>
      <c r="C192" s="390"/>
      <c r="D192" s="393">
        <f t="shared" si="48"/>
        <v>9.5845115677939141</v>
      </c>
      <c r="E192" s="385">
        <f t="shared" si="72"/>
        <v>9.7346498992334993</v>
      </c>
      <c r="F192" s="385">
        <f t="shared" si="49"/>
        <v>9.7346498992334993</v>
      </c>
      <c r="G192" s="110">
        <f t="shared" si="73"/>
        <v>0.16800061461904975</v>
      </c>
      <c r="H192" s="414" t="b">
        <f>Wh_hp&gt;='2020'!Maxi_hp</f>
        <v>0</v>
      </c>
      <c r="I192" s="380">
        <f>IF(H192,Wh_hp,'2020'!Maxi_hp)</f>
        <v>57.199547222334189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2.4467764072811482E-2</v>
      </c>
      <c r="M192" s="959"/>
      <c r="N192" s="959"/>
      <c r="O192" s="48">
        <f>IF(t&lt;Tnet,'2020'!Resal+('2020'!Salim-'2020'!Resal)*(1-EXP(('2020'!Tnet-t)/('2020'!Tau_j))),Resal+(Salim-Resal)*(1-EXP((Tnet-t)/(Tau_j))))*Salcycl</f>
        <v>1.5423084856026319E-2</v>
      </c>
      <c r="P192" s="169">
        <f>(INDEX(Models!$BJ192:$BT192,,T192)*(1-R192)+INDEX(Models!$BJ192:$BT192,,T192+1)*R192-ERP_i)*Q192*Ramure*Pc/MaxiM</f>
        <v>4.972960750677987E-3</v>
      </c>
      <c r="Q192" s="305">
        <f t="shared" si="51"/>
        <v>0.7</v>
      </c>
      <c r="R192" s="177">
        <f t="shared" si="52"/>
        <v>0.833859000871227</v>
      </c>
      <c r="S192" s="921">
        <f t="shared" si="53"/>
        <v>-1</v>
      </c>
      <c r="T192" s="176">
        <f t="shared" si="54"/>
        <v>5</v>
      </c>
      <c r="U192" s="251">
        <f t="shared" si="55"/>
        <v>-0.16614099912877306</v>
      </c>
      <c r="V192" s="383">
        <f t="shared" si="56"/>
        <v>55.37779036152542</v>
      </c>
      <c r="W192" s="402"/>
      <c r="X192" s="157">
        <f t="shared" si="57"/>
        <v>44374</v>
      </c>
      <c r="Y192" s="385">
        <f t="shared" si="58"/>
        <v>8.6356004727723725</v>
      </c>
      <c r="Z192" s="385">
        <f t="shared" si="59"/>
        <v>8.8521938637575825</v>
      </c>
      <c r="AA192" s="386">
        <f t="shared" si="60"/>
        <v>9.7346498992334993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9.0651029529618801E-2</v>
      </c>
      <c r="AD192" s="231">
        <f>(INDEX(Models!$BJ192:$BT192,,AH192)*(1-AF192)+INDEX(Models!$BJ192:$BT192,,AH192+1)*AF192-ERP_i)*AE192*Ramure*Pc/MaxiM</f>
        <v>4.972960750677987E-3</v>
      </c>
      <c r="AE192" s="305">
        <f t="shared" si="62"/>
        <v>0.7</v>
      </c>
      <c r="AF192" s="177">
        <f t="shared" si="63"/>
        <v>0.833859000871227</v>
      </c>
      <c r="AG192" s="921">
        <f t="shared" si="71"/>
        <v>-1</v>
      </c>
      <c r="AH192" s="176">
        <f t="shared" si="64"/>
        <v>5</v>
      </c>
      <c r="AI192" s="225">
        <f t="shared" si="65"/>
        <v>-0.16614099912877306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20">
        <v>30.706</v>
      </c>
      <c r="C193" s="390"/>
      <c r="D193" s="393">
        <f t="shared" si="48"/>
        <v>31.476840461095154</v>
      </c>
      <c r="E193" s="385">
        <f t="shared" si="72"/>
        <v>31.973332599725374</v>
      </c>
      <c r="F193" s="385">
        <f t="shared" si="49"/>
        <v>32.031546951514215</v>
      </c>
      <c r="G193" s="110">
        <f t="shared" si="73"/>
        <v>0.55363121190359144</v>
      </c>
      <c r="H193" s="414" t="b">
        <f>Wh_hp&gt;='2020'!Maxi_hp</f>
        <v>0</v>
      </c>
      <c r="I193" s="380">
        <f>IF(H193,Wh_hp,'2020'!Maxi_hp)</f>
        <v>52.776466913247475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2.4489130732415765E-2</v>
      </c>
      <c r="M193" s="959"/>
      <c r="N193" s="959"/>
      <c r="O193" s="48">
        <f>IF(t&lt;Tnet,'2020'!Resal+('2020'!Salim-'2020'!Resal)*(1-EXP(('2020'!Tnet-t)/('2020'!Tau_j))),Resal+(Salim-Resal)*(1-EXP((Tnet-t)/(Tau_j))))*Salcycl</f>
        <v>1.5528319954813989E-2</v>
      </c>
      <c r="P193" s="169">
        <f>(INDEX(Models!$BJ193:$BT193,,T193)*(1-R193)+INDEX(Models!$BJ193:$BT193,,T193+1)*R193-ERP_i)*Q193*Ramure*Pc/MaxiM</f>
        <v>4.9813098385700898E-3</v>
      </c>
      <c r="Q193" s="305">
        <f t="shared" si="51"/>
        <v>0.7</v>
      </c>
      <c r="R193" s="177">
        <f t="shared" si="52"/>
        <v>0.83839278040205645</v>
      </c>
      <c r="S193" s="921">
        <f t="shared" si="53"/>
        <v>-1</v>
      </c>
      <c r="T193" s="176">
        <f t="shared" si="54"/>
        <v>5</v>
      </c>
      <c r="U193" s="251">
        <f t="shared" si="55"/>
        <v>-0.16160721959794355</v>
      </c>
      <c r="V193" s="383">
        <f t="shared" si="56"/>
        <v>55.287114692410604</v>
      </c>
      <c r="W193" s="402"/>
      <c r="X193" s="157">
        <f t="shared" si="57"/>
        <v>44375</v>
      </c>
      <c r="Y193" s="385">
        <f t="shared" si="58"/>
        <v>28.361043315212388</v>
      </c>
      <c r="Z193" s="385">
        <f t="shared" si="59"/>
        <v>29.073016209963836</v>
      </c>
      <c r="AA193" s="386">
        <f t="shared" si="60"/>
        <v>31.973332599725378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9.0710481327381395E-2</v>
      </c>
      <c r="AD193" s="231">
        <f>(INDEX(Models!$BJ193:$BT193,,AH193)*(1-AF193)+INDEX(Models!$BJ193:$BT193,,AH193+1)*AF193-ERP_i)*AE193*Ramure*Pc/MaxiM</f>
        <v>4.9813098385700898E-3</v>
      </c>
      <c r="AE193" s="305">
        <f t="shared" si="62"/>
        <v>0.7</v>
      </c>
      <c r="AF193" s="177">
        <f t="shared" si="63"/>
        <v>0.83839278040205645</v>
      </c>
      <c r="AG193" s="921">
        <f t="shared" si="71"/>
        <v>-1</v>
      </c>
      <c r="AH193" s="176">
        <f t="shared" si="64"/>
        <v>5</v>
      </c>
      <c r="AI193" s="225">
        <f t="shared" si="65"/>
        <v>-0.16160721959794355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20">
        <v>39.811999999999998</v>
      </c>
      <c r="C194" s="390"/>
      <c r="D194" s="393">
        <f t="shared" si="48"/>
        <v>40.812330501212685</v>
      </c>
      <c r="E194" s="385">
        <f t="shared" si="72"/>
        <v>41.460493685552834</v>
      </c>
      <c r="F194" s="385">
        <f t="shared" si="49"/>
        <v>41.585220202931382</v>
      </c>
      <c r="G194" s="110">
        <f t="shared" si="73"/>
        <v>0.71985050655192517</v>
      </c>
      <c r="H194" s="414" t="b">
        <f>Wh_hp&gt;='2020'!Maxi_hp</f>
        <v>0</v>
      </c>
      <c r="I194" s="380">
        <f>IF(H194,Wh_hp,'2020'!Maxi_hp)</f>
        <v>54.714006796227508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2.4510496924035396E-2</v>
      </c>
      <c r="M194" s="959"/>
      <c r="N194" s="959"/>
      <c r="O194" s="48">
        <f>IF(t&lt;Tnet,'2020'!Resal+('2020'!Salim-'2020'!Resal)*(1-EXP(('2020'!Tnet-t)/('2020'!Tau_j))),Resal+(Salim-Resal)*(1-EXP((Tnet-t)/(Tau_j))))*Salcycl</f>
        <v>1.5633272224300644E-2</v>
      </c>
      <c r="P194" s="169">
        <f>(INDEX(Models!$BJ194:$BT194,,T194)*(1-R194)+INDEX(Models!$BJ194:$BT194,,T194+1)*R194-ERP_i)*Q194*Ramure*Pc/MaxiM</f>
        <v>4.9835722818774705E-3</v>
      </c>
      <c r="Q194" s="305">
        <f t="shared" si="51"/>
        <v>0.7</v>
      </c>
      <c r="R194" s="177">
        <f t="shared" si="52"/>
        <v>0.84286111173382872</v>
      </c>
      <c r="S194" s="921">
        <f t="shared" si="53"/>
        <v>-1</v>
      </c>
      <c r="T194" s="176">
        <f t="shared" si="54"/>
        <v>5</v>
      </c>
      <c r="U194" s="251">
        <f t="shared" si="55"/>
        <v>-0.15713888826617123</v>
      </c>
      <c r="V194" s="383">
        <f t="shared" si="56"/>
        <v>55.19585539923267</v>
      </c>
      <c r="W194" s="402"/>
      <c r="X194" s="157">
        <f t="shared" si="57"/>
        <v>44376</v>
      </c>
      <c r="Y194" s="385">
        <f t="shared" si="58"/>
        <v>36.773211743544557</v>
      </c>
      <c r="Z194" s="385">
        <f t="shared" si="59"/>
        <v>37.697188567984938</v>
      </c>
      <c r="AA194" s="386">
        <f t="shared" si="60"/>
        <v>41.460493685552834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9.0768458911989411E-2</v>
      </c>
      <c r="AD194" s="231">
        <f>(INDEX(Models!$BJ194:$BT194,,AH194)*(1-AF194)+INDEX(Models!$BJ194:$BT194,,AH194+1)*AF194-ERP_i)*AE194*Ramure*Pc/MaxiM</f>
        <v>4.9835722818774705E-3</v>
      </c>
      <c r="AE194" s="305">
        <f t="shared" si="62"/>
        <v>0.7</v>
      </c>
      <c r="AF194" s="177">
        <f t="shared" si="63"/>
        <v>0.84286111173382872</v>
      </c>
      <c r="AG194" s="921">
        <f t="shared" si="71"/>
        <v>-1</v>
      </c>
      <c r="AH194" s="176">
        <f t="shared" si="64"/>
        <v>5</v>
      </c>
      <c r="AI194" s="225">
        <f t="shared" si="65"/>
        <v>-0.15713888826617123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20">
        <v>49.617000000000004</v>
      </c>
      <c r="C195" s="390"/>
      <c r="D195" s="393">
        <f t="shared" si="48"/>
        <v>50.864808495615009</v>
      </c>
      <c r="E195" s="385">
        <f t="shared" si="72"/>
        <v>51.678115607784761</v>
      </c>
      <c r="F195" s="385">
        <f t="shared" si="49"/>
        <v>51.899795502885659</v>
      </c>
      <c r="G195" s="110">
        <f t="shared" si="73"/>
        <v>0.8997838338370665</v>
      </c>
      <c r="H195" s="414" t="b">
        <f>Wh_hp&gt;='2020'!Maxi_hp</f>
        <v>1</v>
      </c>
      <c r="I195" s="380">
        <f>IF(H195,Wh_hp,'2020'!Maxi_hp)</f>
        <v>51.899795502885659</v>
      </c>
      <c r="J195" s="85">
        <f>IF(H195,An,'2020'!An_max)</f>
        <v>2021</v>
      </c>
      <c r="K195" s="197">
        <f t="shared" si="50"/>
        <v>44377</v>
      </c>
      <c r="L195" s="147">
        <f>IF(t&lt;Tvie,1-EXP((T0-t)*PertePVj)+'2020'!Pspv,1-EXP((T0-t)*PertePVj)+Pspv)</f>
        <v>2.4531862647680591E-2</v>
      </c>
      <c r="M195" s="959"/>
      <c r="N195" s="959"/>
      <c r="O195" s="48">
        <f>IF(t&lt;Tnet,'2020'!Resal+('2020'!Salim-'2020'!Resal)*(1-EXP(('2020'!Tnet-t)/('2020'!Tau_j))),Resal+(Salim-Resal)*(1-EXP((Tnet-t)/(Tau_j))))*Salcycl</f>
        <v>1.5737940569319778E-2</v>
      </c>
      <c r="P195" s="169">
        <f>(INDEX(Models!$BJ195:$BT195,,T195)*(1-R195)+INDEX(Models!$BJ195:$BT195,,T195+1)*R195-ERP_i)*Q195*Ramure*Pc/MaxiM</f>
        <v>4.9796677903368898E-3</v>
      </c>
      <c r="Q195" s="305">
        <f t="shared" si="51"/>
        <v>0.7</v>
      </c>
      <c r="R195" s="177">
        <f t="shared" si="52"/>
        <v>0.84726171197938438</v>
      </c>
      <c r="S195" s="921">
        <f t="shared" si="53"/>
        <v>-1</v>
      </c>
      <c r="T195" s="176">
        <f t="shared" si="54"/>
        <v>5</v>
      </c>
      <c r="U195" s="251">
        <f t="shared" si="55"/>
        <v>-0.15273828802061562</v>
      </c>
      <c r="V195" s="383">
        <f t="shared" si="56"/>
        <v>55.104015619673547</v>
      </c>
      <c r="W195" s="402"/>
      <c r="X195" s="157">
        <f t="shared" si="57"/>
        <v>44377</v>
      </c>
      <c r="Y195" s="385">
        <f t="shared" si="58"/>
        <v>45.831835549057601</v>
      </c>
      <c r="Z195" s="385">
        <f t="shared" si="59"/>
        <v>46.9844516638518</v>
      </c>
      <c r="AA195" s="386">
        <f t="shared" si="60"/>
        <v>51.678115607784761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9.0824982465612783E-2</v>
      </c>
      <c r="AD195" s="231">
        <f>(INDEX(Models!$BJ195:$BT195,,AH195)*(1-AF195)+INDEX(Models!$BJ195:$BT195,,AH195+1)*AF195-ERP_i)*AE195*Ramure*Pc/MaxiM</f>
        <v>4.9796677903368898E-3</v>
      </c>
      <c r="AE195" s="305">
        <f t="shared" si="62"/>
        <v>0.7</v>
      </c>
      <c r="AF195" s="177">
        <f t="shared" si="63"/>
        <v>0.84726171197938438</v>
      </c>
      <c r="AG195" s="921">
        <f t="shared" si="71"/>
        <v>-1</v>
      </c>
      <c r="AH195" s="176">
        <f t="shared" si="64"/>
        <v>5</v>
      </c>
      <c r="AI195" s="225">
        <f t="shared" si="65"/>
        <v>-0.15273828802061562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20">
        <v>52.904000000000003</v>
      </c>
      <c r="C196" s="390"/>
      <c r="D196" s="393">
        <f t="shared" si="48"/>
        <v>54.235660533570105</v>
      </c>
      <c r="E196" s="385">
        <f t="shared" si="72"/>
        <v>55.108710615199634</v>
      </c>
      <c r="F196" s="385">
        <f t="shared" si="49"/>
        <v>55.368807466601659</v>
      </c>
      <c r="G196" s="110">
        <f t="shared" si="73"/>
        <v>0.96142531205798054</v>
      </c>
      <c r="H196" s="414" t="b">
        <f>Wh_hp&gt;='2020'!Maxi_hp</f>
        <v>1</v>
      </c>
      <c r="I196" s="380">
        <f>IF(H196,Wh_hp,'2020'!Maxi_hp)</f>
        <v>55.368807466601659</v>
      </c>
      <c r="J196" s="85">
        <f>IF(H196,An,'2020'!An_max)</f>
        <v>2021</v>
      </c>
      <c r="K196" s="197">
        <f t="shared" si="50"/>
        <v>44378</v>
      </c>
      <c r="L196" s="147">
        <f>IF(t&lt;Tvie,1-EXP((T0-t)*PertePVj)+'2020'!Pspv,1-EXP((T0-t)*PertePVj)+Pspv)</f>
        <v>2.4553227903361563E-2</v>
      </c>
      <c r="M196" s="959"/>
      <c r="N196" s="959"/>
      <c r="O196" s="48">
        <f>IF(t&lt;Tnet,'2020'!Resal+('2020'!Salim-'2020'!Resal)*(1-EXP(('2020'!Tnet-t)/('2020'!Tau_j))),Resal+(Salim-Resal)*(1-EXP((Tnet-t)/(Tau_j))))*Salcycl</f>
        <v>1.5842324595936621E-2</v>
      </c>
      <c r="P196" s="169">
        <f>(INDEX(Models!$BJ196:$BT196,,T196)*(1-R196)+INDEX(Models!$BJ196:$BT196,,T196+1)*R196-ERP_i)*Q196*Ramure*Pc/MaxiM</f>
        <v>4.9695221585886028E-3</v>
      </c>
      <c r="Q196" s="305">
        <f t="shared" si="51"/>
        <v>0.7</v>
      </c>
      <c r="R196" s="177">
        <f t="shared" si="52"/>
        <v>0.85159247950032724</v>
      </c>
      <c r="S196" s="921">
        <f t="shared" si="53"/>
        <v>-1</v>
      </c>
      <c r="T196" s="176">
        <f t="shared" si="54"/>
        <v>5</v>
      </c>
      <c r="U196" s="251">
        <f t="shared" si="55"/>
        <v>-0.14840752049967276</v>
      </c>
      <c r="V196" s="383">
        <f t="shared" si="56"/>
        <v>55.011598049289731</v>
      </c>
      <c r="W196" s="402"/>
      <c r="X196" s="157">
        <f t="shared" si="57"/>
        <v>44378</v>
      </c>
      <c r="Y196" s="385">
        <f t="shared" si="58"/>
        <v>48.870299628972631</v>
      </c>
      <c r="Z196" s="385">
        <f t="shared" si="59"/>
        <v>50.100426826909427</v>
      </c>
      <c r="AA196" s="386">
        <f t="shared" si="60"/>
        <v>55.108710615199634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9.088007562472103E-2</v>
      </c>
      <c r="AD196" s="231">
        <f>(INDEX(Models!$BJ196:$BT196,,AH196)*(1-AF196)+INDEX(Models!$BJ196:$BT196,,AH196+1)*AF196-ERP_i)*AE196*Ramure*Pc/MaxiM</f>
        <v>4.9695221585886028E-3</v>
      </c>
      <c r="AE196" s="305">
        <f t="shared" si="62"/>
        <v>0.7</v>
      </c>
      <c r="AF196" s="177">
        <f t="shared" si="63"/>
        <v>0.85159247950032724</v>
      </c>
      <c r="AG196" s="921">
        <f t="shared" si="71"/>
        <v>-1</v>
      </c>
      <c r="AH196" s="176">
        <f t="shared" si="64"/>
        <v>5</v>
      </c>
      <c r="AI196" s="225">
        <f t="shared" si="65"/>
        <v>-0.14840752049967276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20">
        <v>52.893999999999998</v>
      </c>
      <c r="C197" s="390"/>
      <c r="D197" s="393">
        <f t="shared" si="48"/>
        <v>54.226596522566062</v>
      </c>
      <c r="E197" s="385">
        <f t="shared" si="72"/>
        <v>55.105329504163777</v>
      </c>
      <c r="F197" s="385">
        <f t="shared" si="49"/>
        <v>55.365114437078496</v>
      </c>
      <c r="G197" s="110">
        <f t="shared" si="73"/>
        <v>0.96288202153731761</v>
      </c>
      <c r="H197" s="414" t="b">
        <f>Wh_hp&gt;='2020'!Maxi_hp</f>
        <v>1</v>
      </c>
      <c r="I197" s="380">
        <f>IF(H197,Wh_hp,'2020'!Maxi_hp)</f>
        <v>55.365114437078496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2.4574592691088637E-2</v>
      </c>
      <c r="M197" s="959"/>
      <c r="N197" s="959"/>
      <c r="O197" s="48">
        <f>IF(t&lt;Tnet,'2020'!Resal+('2020'!Salim-'2020'!Resal)*(1-EXP(('2020'!Tnet-t)/('2020'!Tau_j))),Resal+(Salim-Resal)*(1-EXP((Tnet-t)/(Tau_j))))*Salcycl</f>
        <v>1.5946424592766809E-2</v>
      </c>
      <c r="P197" s="169">
        <f>(INDEX(Models!$BJ197:$BT197,,T197)*(1-R197)+INDEX(Models!$BJ197:$BT197,,T197+1)*R197-ERP_i)*Q197*Ramure*Pc/MaxiM</f>
        <v>4.9530671004859427E-3</v>
      </c>
      <c r="Q197" s="305">
        <f t="shared" si="51"/>
        <v>0.7</v>
      </c>
      <c r="R197" s="177">
        <f t="shared" si="52"/>
        <v>0.85585149480798783</v>
      </c>
      <c r="S197" s="921">
        <f t="shared" si="53"/>
        <v>-1</v>
      </c>
      <c r="T197" s="176">
        <f t="shared" si="54"/>
        <v>5</v>
      </c>
      <c r="U197" s="251">
        <f t="shared" si="55"/>
        <v>-0.14414850519201211</v>
      </c>
      <c r="V197" s="383">
        <f t="shared" si="56"/>
        <v>54.918604954822811</v>
      </c>
      <c r="W197" s="402"/>
      <c r="X197" s="157">
        <f t="shared" si="57"/>
        <v>44379</v>
      </c>
      <c r="Y197" s="385">
        <f t="shared" si="58"/>
        <v>48.863345067103346</v>
      </c>
      <c r="Z197" s="385">
        <f t="shared" si="59"/>
        <v>50.094394405730931</v>
      </c>
      <c r="AA197" s="386">
        <f t="shared" si="60"/>
        <v>55.105329504163777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9.0933765273179507E-2</v>
      </c>
      <c r="AD197" s="231">
        <f>(INDEX(Models!$BJ197:$BT197,,AH197)*(1-AF197)+INDEX(Models!$BJ197:$BT197,,AH197+1)*AF197-ERP_i)*AE197*Ramure*Pc/MaxiM</f>
        <v>4.9530671004859427E-3</v>
      </c>
      <c r="AE197" s="305">
        <f t="shared" si="62"/>
        <v>0.7</v>
      </c>
      <c r="AF197" s="177">
        <f t="shared" si="63"/>
        <v>0.85585149480798783</v>
      </c>
      <c r="AG197" s="921">
        <f t="shared" si="71"/>
        <v>-1</v>
      </c>
      <c r="AH197" s="176">
        <f t="shared" si="64"/>
        <v>5</v>
      </c>
      <c r="AI197" s="225">
        <f t="shared" si="65"/>
        <v>-0.14414850519201211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20">
        <v>34.003999999999998</v>
      </c>
      <c r="C198" s="390"/>
      <c r="D198" s="393">
        <f t="shared" si="48"/>
        <v>34.861450743831924</v>
      </c>
      <c r="E198" s="385">
        <f t="shared" si="72"/>
        <v>35.430112607850546</v>
      </c>
      <c r="F198" s="385">
        <f t="shared" si="49"/>
        <v>35.510178380384666</v>
      </c>
      <c r="G198" s="110">
        <f t="shared" si="73"/>
        <v>0.6185643894493752</v>
      </c>
      <c r="H198" s="414" t="b">
        <f>Wh_hp&gt;='2020'!Maxi_hp</f>
        <v>0</v>
      </c>
      <c r="I198" s="380">
        <f>IF(H198,Wh_hp,'2020'!Maxi_hp)</f>
        <v>49.441031489628365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2.4595957010872027E-2</v>
      </c>
      <c r="M198" s="959"/>
      <c r="N198" s="959"/>
      <c r="O198" s="48">
        <f>IF(t&lt;Tnet,'2020'!Resal+('2020'!Salim-'2020'!Resal)*(1-EXP(('2020'!Tnet-t)/('2020'!Tau_j))),Resal+(Salim-Resal)*(1-EXP((Tnet-t)/(Tau_j))))*Salcycl</f>
        <v>1.6050241508197279E-2</v>
      </c>
      <c r="P198" s="169">
        <f>(INDEX(Models!$BJ198:$BT198,,T198)*(1-R198)+INDEX(Models!$BJ198:$BT198,,T198+1)*R198-ERP_i)*Q198*Ramure*Pc/MaxiM</f>
        <v>4.9287257128867298E-3</v>
      </c>
      <c r="Q198" s="305">
        <f t="shared" si="51"/>
        <v>0.7</v>
      </c>
      <c r="R198" s="177">
        <f t="shared" si="52"/>
        <v>0.86003702057528431</v>
      </c>
      <c r="S198" s="921">
        <f t="shared" si="53"/>
        <v>-1</v>
      </c>
      <c r="T198" s="176">
        <f t="shared" si="54"/>
        <v>5</v>
      </c>
      <c r="U198" s="251">
        <f t="shared" si="55"/>
        <v>-0.13996297942471564</v>
      </c>
      <c r="V198" s="383">
        <f t="shared" si="56"/>
        <v>54.825121623670604</v>
      </c>
      <c r="W198" s="402"/>
      <c r="X198" s="157">
        <f t="shared" si="57"/>
        <v>44380</v>
      </c>
      <c r="Y198" s="385">
        <f t="shared" si="58"/>
        <v>31.414316660005511</v>
      </c>
      <c r="Z198" s="385">
        <f t="shared" si="59"/>
        <v>32.206465500938734</v>
      </c>
      <c r="AA198" s="386">
        <f t="shared" si="60"/>
        <v>35.430112607850546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9.0986081319919962E-2</v>
      </c>
      <c r="AD198" s="231">
        <f>(INDEX(Models!$BJ198:$BT198,,AH198)*(1-AF198)+INDEX(Models!$BJ198:$BT198,,AH198+1)*AF198-ERP_i)*AE198*Ramure*Pc/MaxiM</f>
        <v>4.9287257128867298E-3</v>
      </c>
      <c r="AE198" s="305">
        <f t="shared" si="62"/>
        <v>0.7</v>
      </c>
      <c r="AF198" s="177">
        <f t="shared" si="63"/>
        <v>0.86003702057528431</v>
      </c>
      <c r="AG198" s="921">
        <f t="shared" si="71"/>
        <v>-1</v>
      </c>
      <c r="AH198" s="176">
        <f t="shared" si="64"/>
        <v>5</v>
      </c>
      <c r="AI198" s="225">
        <f t="shared" si="65"/>
        <v>-0.13996297942471564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20">
        <v>32.94</v>
      </c>
      <c r="C199" s="390"/>
      <c r="D199" s="393">
        <f t="shared" si="48"/>
        <v>33.771360415314419</v>
      </c>
      <c r="E199" s="385">
        <f t="shared" si="72"/>
        <v>34.325852580617855</v>
      </c>
      <c r="F199" s="385">
        <f t="shared" si="49"/>
        <v>34.39850199561775</v>
      </c>
      <c r="G199" s="110">
        <f t="shared" si="73"/>
        <v>0.60017168904500984</v>
      </c>
      <c r="H199" s="414" t="b">
        <f>Wh_hp&gt;='2020'!Maxi_hp</f>
        <v>0</v>
      </c>
      <c r="I199" s="380">
        <f>IF(H199,Wh_hp,'2020'!Maxi_hp)</f>
        <v>55.745011407918014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2.4617320862721948E-2</v>
      </c>
      <c r="M199" s="959"/>
      <c r="N199" s="959"/>
      <c r="O199" s="48">
        <f>IF(t&lt;Tnet,'2020'!Resal+('2020'!Salim-'2020'!Resal)*(1-EXP(('2020'!Tnet-t)/('2020'!Tau_j))),Resal+(Salim-Resal)*(1-EXP((Tnet-t)/(Tau_j))))*Salcycl</f>
        <v>1.6153776923709291E-2</v>
      </c>
      <c r="P199" s="169">
        <f>(INDEX(Models!$BJ199:$BT199,,T199)*(1-R199)+INDEX(Models!$BJ199:$BT199,,T199+1)*R199-ERP_i)*Q199*Ramure*Pc/MaxiM</f>
        <v>4.8977519652569461E-3</v>
      </c>
      <c r="Q199" s="305">
        <f t="shared" si="51"/>
        <v>0.7</v>
      </c>
      <c r="R199" s="177">
        <f t="shared" si="52"/>
        <v>0.86414750079924141</v>
      </c>
      <c r="S199" s="921">
        <f t="shared" si="53"/>
        <v>-1</v>
      </c>
      <c r="T199" s="176">
        <f t="shared" si="54"/>
        <v>5</v>
      </c>
      <c r="U199" s="251">
        <f t="shared" si="55"/>
        <v>-0.13585249920075854</v>
      </c>
      <c r="V199" s="383">
        <f t="shared" si="56"/>
        <v>54.731076965501074</v>
      </c>
      <c r="W199" s="402"/>
      <c r="X199" s="157">
        <f t="shared" si="57"/>
        <v>44381</v>
      </c>
      <c r="Y199" s="385">
        <f t="shared" si="58"/>
        <v>30.432844745281237</v>
      </c>
      <c r="Z199" s="385">
        <f t="shared" si="59"/>
        <v>31.200928001098976</v>
      </c>
      <c r="AA199" s="386">
        <f t="shared" si="60"/>
        <v>34.325852580617855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9.1037056462899738E-2</v>
      </c>
      <c r="AD199" s="231">
        <f>(INDEX(Models!$BJ199:$BT199,,AH199)*(1-AF199)+INDEX(Models!$BJ199:$BT199,,AH199+1)*AF199-ERP_i)*AE199*Ramure*Pc/MaxiM</f>
        <v>4.8977519652569461E-3</v>
      </c>
      <c r="AE199" s="305">
        <f t="shared" si="62"/>
        <v>0.7</v>
      </c>
      <c r="AF199" s="177">
        <f t="shared" si="63"/>
        <v>0.86414750079924141</v>
      </c>
      <c r="AG199" s="921">
        <f t="shared" si="71"/>
        <v>-1</v>
      </c>
      <c r="AH199" s="176">
        <f t="shared" si="64"/>
        <v>5</v>
      </c>
      <c r="AI199" s="225">
        <f t="shared" si="65"/>
        <v>-0.13585249920075854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20">
        <v>56.114000000000004</v>
      </c>
      <c r="C200" s="390"/>
      <c r="D200" s="393">
        <f t="shared" si="48"/>
        <v>57.531500474425293</v>
      </c>
      <c r="E200" s="385">
        <f t="shared" si="72"/>
        <v>58.482248316598863</v>
      </c>
      <c r="F200" s="385">
        <f t="shared" si="49"/>
        <v>58.767865102105034</v>
      </c>
      <c r="G200" s="110">
        <f t="shared" si="73"/>
        <v>1.0270428783754282</v>
      </c>
      <c r="H200" s="414" t="b">
        <f>Wh_hp&gt;='2020'!Maxi_hp</f>
        <v>1</v>
      </c>
      <c r="I200" s="380">
        <f>IF(H200,Wh_hp,'2020'!Maxi_hp)</f>
        <v>58.767865102105034</v>
      </c>
      <c r="J200" s="85">
        <f>IF(H200,An,'2020'!An_max)</f>
        <v>2021</v>
      </c>
      <c r="K200" s="197">
        <f t="shared" si="50"/>
        <v>44382</v>
      </c>
      <c r="L200" s="147">
        <f>IF(t&lt;Tvie,1-EXP((T0-t)*PertePVj)+'2020'!Pspv,1-EXP((T0-t)*PertePVj)+Pspv)</f>
        <v>2.4638684246648723E-2</v>
      </c>
      <c r="M200" s="959"/>
      <c r="N200" s="959"/>
      <c r="O200" s="48">
        <f>IF(t&lt;Tnet,'2020'!Resal+('2020'!Salim-'2020'!Resal)*(1-EXP(('2020'!Tnet-t)/('2020'!Tau_j))),Resal+(Salim-Resal)*(1-EXP((Tnet-t)/(Tau_j))))*Salcycl</f>
        <v>1.6257033023535747E-2</v>
      </c>
      <c r="P200" s="169">
        <f>(INDEX(Models!$BJ200:$BT200,,T200)*(1-R200)+INDEX(Models!$BJ200:$BT200,,T200+1)*R200-ERP_i)*Q200*Ramure*Pc/MaxiM</f>
        <v>4.8600844187538707E-3</v>
      </c>
      <c r="Q200" s="305">
        <f t="shared" si="51"/>
        <v>0.7</v>
      </c>
      <c r="R200" s="177">
        <f t="shared" si="52"/>
        <v>0.86818155915921524</v>
      </c>
      <c r="S200" s="921">
        <f t="shared" si="53"/>
        <v>-1</v>
      </c>
      <c r="T200" s="176">
        <f t="shared" si="54"/>
        <v>5</v>
      </c>
      <c r="U200" s="251">
        <f t="shared" si="55"/>
        <v>-0.1318184408407847</v>
      </c>
      <c r="V200" s="383">
        <f t="shared" si="56"/>
        <v>54.636472518811374</v>
      </c>
      <c r="W200" s="402"/>
      <c r="X200" s="157">
        <f t="shared" si="57"/>
        <v>44382</v>
      </c>
      <c r="Y200" s="385">
        <f t="shared" si="58"/>
        <v>51.845615341266097</v>
      </c>
      <c r="Z200" s="385">
        <f t="shared" si="59"/>
        <v>53.155291791761798</v>
      </c>
      <c r="AA200" s="386">
        <f t="shared" si="60"/>
        <v>58.482248316598863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9.1086725941162683E-2</v>
      </c>
      <c r="AD200" s="231">
        <f>(INDEX(Models!$BJ200:$BT200,,AH200)*(1-AF200)+INDEX(Models!$BJ200:$BT200,,AH200+1)*AF200-ERP_i)*AE200*Ramure*Pc/MaxiM</f>
        <v>4.8600844187538707E-3</v>
      </c>
      <c r="AE200" s="305">
        <f t="shared" si="62"/>
        <v>0.7</v>
      </c>
      <c r="AF200" s="177">
        <f t="shared" si="63"/>
        <v>0.86818155915921524</v>
      </c>
      <c r="AG200" s="921">
        <f t="shared" si="71"/>
        <v>-1</v>
      </c>
      <c r="AH200" s="176">
        <f t="shared" si="64"/>
        <v>5</v>
      </c>
      <c r="AI200" s="225">
        <f t="shared" si="65"/>
        <v>-0.1318184408407847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20">
        <v>22.091999999999999</v>
      </c>
      <c r="C201" s="390"/>
      <c r="D201" s="393">
        <f t="shared" si="48"/>
        <v>22.650563975906767</v>
      </c>
      <c r="E201" s="385">
        <f t="shared" si="72"/>
        <v>23.027290741684581</v>
      </c>
      <c r="F201" s="385">
        <f t="shared" si="49"/>
        <v>23.043944585921292</v>
      </c>
      <c r="G201" s="110">
        <f t="shared" si="73"/>
        <v>0.40339172256556965</v>
      </c>
      <c r="H201" s="414" t="b">
        <f>Wh_hp&gt;='2020'!Maxi_hp</f>
        <v>0</v>
      </c>
      <c r="I201" s="380">
        <f>IF(H201,Wh_hp,'2020'!Maxi_hp)</f>
        <v>56.315415913154332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2.4660047162662568E-2</v>
      </c>
      <c r="M201" s="959"/>
      <c r="N201" s="959"/>
      <c r="O201" s="48">
        <f>IF(t&lt;Tnet,'2020'!Resal+('2020'!Salim-'2020'!Resal)*(1-EXP(('2020'!Tnet-t)/('2020'!Tau_j))),Resal+(Salim-Resal)*(1-EXP((Tnet-t)/(Tau_j))))*Salcycl</f>
        <v>1.6360012560915585E-2</v>
      </c>
      <c r="P201" s="169">
        <f>(INDEX(Models!$BJ201:$BT201,,T201)*(1-R201)+INDEX(Models!$BJ201:$BT201,,T201+1)*R201-ERP_i)*Q201*Ramure*Pc/MaxiM</f>
        <v>4.8156667964882761E-3</v>
      </c>
      <c r="Q201" s="305">
        <f t="shared" si="51"/>
        <v>0.7</v>
      </c>
      <c r="R201" s="177">
        <f t="shared" si="52"/>
        <v>0.87213799662034142</v>
      </c>
      <c r="S201" s="921">
        <f t="shared" si="53"/>
        <v>-1</v>
      </c>
      <c r="T201" s="176">
        <f t="shared" si="54"/>
        <v>5</v>
      </c>
      <c r="U201" s="251">
        <f t="shared" si="55"/>
        <v>-0.12786200337965858</v>
      </c>
      <c r="V201" s="383">
        <f t="shared" si="56"/>
        <v>54.541309446364906</v>
      </c>
      <c r="W201" s="402"/>
      <c r="X201" s="157">
        <f t="shared" si="57"/>
        <v>44383</v>
      </c>
      <c r="Y201" s="385">
        <f t="shared" si="58"/>
        <v>20.412593046846045</v>
      </c>
      <c r="Z201" s="385">
        <f t="shared" si="59"/>
        <v>20.928695669099039</v>
      </c>
      <c r="AA201" s="386">
        <f t="shared" si="60"/>
        <v>23.027290741684581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9.1135127276897168E-2</v>
      </c>
      <c r="AD201" s="231">
        <f>(INDEX(Models!$BJ201:$BT201,,AH201)*(1-AF201)+INDEX(Models!$BJ201:$BT201,,AH201+1)*AF201-ERP_i)*AE201*Ramure*Pc/MaxiM</f>
        <v>4.8156667964882761E-3</v>
      </c>
      <c r="AE201" s="305">
        <f t="shared" si="62"/>
        <v>0.7</v>
      </c>
      <c r="AF201" s="177">
        <f t="shared" si="63"/>
        <v>0.87213799662034142</v>
      </c>
      <c r="AG201" s="921">
        <f t="shared" si="71"/>
        <v>-1</v>
      </c>
      <c r="AH201" s="176">
        <f t="shared" si="64"/>
        <v>5</v>
      </c>
      <c r="AI201" s="225">
        <f t="shared" si="65"/>
        <v>-0.12786200337965858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20">
        <v>37.51</v>
      </c>
      <c r="C202" s="390"/>
      <c r="D202" s="393">
        <f t="shared" si="48"/>
        <v>38.459227958559318</v>
      </c>
      <c r="E202" s="385">
        <f t="shared" si="72"/>
        <v>39.102969144663362</v>
      </c>
      <c r="F202" s="385">
        <f t="shared" si="49"/>
        <v>39.206761017538582</v>
      </c>
      <c r="G202" s="110">
        <f t="shared" si="73"/>
        <v>0.68748223345095572</v>
      </c>
      <c r="H202" s="414" t="b">
        <f>Wh_hp&gt;='2020'!Maxi_hp</f>
        <v>0</v>
      </c>
      <c r="I202" s="380">
        <f>IF(H202,Wh_hp,'2020'!Maxi_hp)</f>
        <v>56.989181729783134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2.4681409610773697E-2</v>
      </c>
      <c r="M202" s="959"/>
      <c r="N202" s="959"/>
      <c r="O202" s="48">
        <f>IF(t&lt;Tnet,'2020'!Resal+('2020'!Salim-'2020'!Resal)*(1-EXP(('2020'!Tnet-t)/('2020'!Tau_j))),Resal+(Salim-Resal)*(1-EXP((Tnet-t)/(Tau_j))))*Salcycl</f>
        <v>1.6462718821235567E-2</v>
      </c>
      <c r="P202" s="169">
        <f>(INDEX(Models!$BJ202:$BT202,,T202)*(1-R202)+INDEX(Models!$BJ202:$BT202,,T202+1)*R202-ERP_i)*Q202*Ramure*Pc/MaxiM</f>
        <v>4.7644476411484137E-3</v>
      </c>
      <c r="Q202" s="305">
        <f t="shared" si="51"/>
        <v>0.7</v>
      </c>
      <c r="R202" s="177">
        <f t="shared" si="52"/>
        <v>0.87601578833538096</v>
      </c>
      <c r="S202" s="921">
        <f t="shared" si="53"/>
        <v>-1</v>
      </c>
      <c r="T202" s="176">
        <f t="shared" si="54"/>
        <v>5</v>
      </c>
      <c r="U202" s="251">
        <f t="shared" si="55"/>
        <v>-0.12398421166461898</v>
      </c>
      <c r="V202" s="383">
        <f t="shared" si="56"/>
        <v>54.445588557542116</v>
      </c>
      <c r="W202" s="402"/>
      <c r="X202" s="157">
        <f t="shared" si="57"/>
        <v>44384</v>
      </c>
      <c r="Y202" s="385">
        <f t="shared" si="58"/>
        <v>34.660355615385619</v>
      </c>
      <c r="Z202" s="385">
        <f t="shared" si="59"/>
        <v>35.537470480854367</v>
      </c>
      <c r="AA202" s="386">
        <f t="shared" si="60"/>
        <v>39.102969144663362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9.1182300009450906E-2</v>
      </c>
      <c r="AD202" s="231">
        <f>(INDEX(Models!$BJ202:$BT202,,AH202)*(1-AF202)+INDEX(Models!$BJ202:$BT202,,AH202+1)*AF202-ERP_i)*AE202*Ramure*Pc/MaxiM</f>
        <v>4.7644476411484137E-3</v>
      </c>
      <c r="AE202" s="305">
        <f t="shared" si="62"/>
        <v>0.7</v>
      </c>
      <c r="AF202" s="177">
        <f t="shared" si="63"/>
        <v>0.87601578833538096</v>
      </c>
      <c r="AG202" s="921">
        <f t="shared" si="71"/>
        <v>-1</v>
      </c>
      <c r="AH202" s="176">
        <f t="shared" si="64"/>
        <v>5</v>
      </c>
      <c r="AI202" s="225">
        <f t="shared" si="65"/>
        <v>-0.12398421166461898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20">
        <v>48.18</v>
      </c>
      <c r="C203" s="390"/>
      <c r="D203" s="393">
        <f t="shared" si="48"/>
        <v>49.400324943602619</v>
      </c>
      <c r="E203" s="385">
        <f t="shared" si="72"/>
        <v>50.232433011723053</v>
      </c>
      <c r="F203" s="385">
        <f t="shared" si="49"/>
        <v>50.431293281924347</v>
      </c>
      <c r="G203" s="110">
        <f t="shared" si="73"/>
        <v>0.88580855472014319</v>
      </c>
      <c r="H203" s="414" t="b">
        <f>Wh_hp&gt;='2020'!Maxi_hp</f>
        <v>0</v>
      </c>
      <c r="I203" s="380">
        <f>IF(H203,Wh_hp,'2020'!Maxi_hp)</f>
        <v>59.606340921073496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2.4702771590992434E-2</v>
      </c>
      <c r="M203" s="959"/>
      <c r="N203" s="959"/>
      <c r="O203" s="48">
        <f>IF(t&lt;Tnet,'2020'!Resal+('2020'!Salim-'2020'!Resal)*(1-EXP(('2020'!Tnet-t)/('2020'!Tau_j))),Resal+(Salim-Resal)*(1-EXP((Tnet-t)/(Tau_j))))*Salcycl</f>
        <v>1.6565155582375223E-2</v>
      </c>
      <c r="P203" s="169">
        <f>(INDEX(Models!$BJ203:$BT203,,T203)*(1-R203)+INDEX(Models!$BJ203:$BT203,,T203+1)*R203-ERP_i)*Q203*Ramure*Pc/MaxiM</f>
        <v>4.706379944320143E-3</v>
      </c>
      <c r="Q203" s="305">
        <f t="shared" si="51"/>
        <v>0.7</v>
      </c>
      <c r="R203" s="177">
        <f t="shared" si="52"/>
        <v>0.87981407990098348</v>
      </c>
      <c r="S203" s="921">
        <f t="shared" si="53"/>
        <v>-1</v>
      </c>
      <c r="T203" s="176">
        <f t="shared" si="54"/>
        <v>5</v>
      </c>
      <c r="U203" s="251">
        <f t="shared" si="55"/>
        <v>-0.12018592009901657</v>
      </c>
      <c r="V203" s="383">
        <f t="shared" si="56"/>
        <v>54.349310333081384</v>
      </c>
      <c r="W203" s="402"/>
      <c r="X203" s="157">
        <f t="shared" si="57"/>
        <v>44385</v>
      </c>
      <c r="Y203" s="385">
        <f t="shared" si="58"/>
        <v>44.522137340205298</v>
      </c>
      <c r="Z203" s="385">
        <f t="shared" si="59"/>
        <v>45.64981427542228</v>
      </c>
      <c r="AA203" s="386">
        <f t="shared" si="60"/>
        <v>50.232433011723053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9.1228285423310074E-2</v>
      </c>
      <c r="AD203" s="231">
        <f>(INDEX(Models!$BJ203:$BT203,,AH203)*(1-AF203)+INDEX(Models!$BJ203:$BT203,,AH203+1)*AF203-ERP_i)*AE203*Ramure*Pc/MaxiM</f>
        <v>4.706379944320143E-3</v>
      </c>
      <c r="AE203" s="305">
        <f t="shared" si="62"/>
        <v>0.7</v>
      </c>
      <c r="AF203" s="177">
        <f t="shared" si="63"/>
        <v>0.87981407990098348</v>
      </c>
      <c r="AG203" s="921">
        <f t="shared" si="71"/>
        <v>-1</v>
      </c>
      <c r="AH203" s="176">
        <f t="shared" si="64"/>
        <v>5</v>
      </c>
      <c r="AI203" s="225">
        <f t="shared" si="65"/>
        <v>-0.12018592009901657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20">
        <v>51.343000000000004</v>
      </c>
      <c r="C204" s="390"/>
      <c r="D204" s="393">
        <f t="shared" si="48"/>
        <v>52.644591897237738</v>
      </c>
      <c r="E204" s="385">
        <f t="shared" si="72"/>
        <v>53.536909071182798</v>
      </c>
      <c r="F204" s="385">
        <f t="shared" si="49"/>
        <v>53.767346889138295</v>
      </c>
      <c r="G204" s="110">
        <f t="shared" si="73"/>
        <v>0.94603360439653483</v>
      </c>
      <c r="H204" s="414" t="b">
        <f>Wh_hp&gt;='2020'!Maxi_hp</f>
        <v>0</v>
      </c>
      <c r="I204" s="380">
        <f>IF(H204,Wh_hp,'2020'!Maxi_hp)</f>
        <v>57.249241822105077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2.4724133103328882E-2</v>
      </c>
      <c r="M204" s="959"/>
      <c r="N204" s="959"/>
      <c r="O204" s="48">
        <f>IF(t&lt;Tnet,'2020'!Resal+('2020'!Salim-'2020'!Resal)*(1-EXP(('2020'!Tnet-t)/('2020'!Tau_j))),Resal+(Salim-Resal)*(1-EXP((Tnet-t)/(Tau_j))))*Salcycl</f>
        <v>1.6667327072592719E-2</v>
      </c>
      <c r="P204" s="169">
        <f>(INDEX(Models!$BJ204:$BT204,,T204)*(1-R204)+INDEX(Models!$BJ204:$BT204,,T204+1)*R204-ERP_i)*Q204*Ramure*Pc/MaxiM</f>
        <v>4.641420751963516E-3</v>
      </c>
      <c r="Q204" s="305">
        <f t="shared" si="51"/>
        <v>0.7</v>
      </c>
      <c r="R204" s="177">
        <f t="shared" si="52"/>
        <v>0.88353218302643555</v>
      </c>
      <c r="S204" s="921">
        <f t="shared" si="53"/>
        <v>-1</v>
      </c>
      <c r="T204" s="176">
        <f t="shared" si="54"/>
        <v>5</v>
      </c>
      <c r="U204" s="251">
        <f t="shared" si="55"/>
        <v>-0.11646781697356451</v>
      </c>
      <c r="V204" s="383">
        <f t="shared" si="56"/>
        <v>54.252474951207446</v>
      </c>
      <c r="W204" s="402"/>
      <c r="X204" s="157">
        <f t="shared" si="57"/>
        <v>44386</v>
      </c>
      <c r="Y204" s="385">
        <f t="shared" si="58"/>
        <v>47.447588351675819</v>
      </c>
      <c r="Z204" s="385">
        <f t="shared" si="59"/>
        <v>48.650428009311966</v>
      </c>
      <c r="AA204" s="386">
        <f t="shared" si="60"/>
        <v>53.536909071182798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9.1273126272078023E-2</v>
      </c>
      <c r="AD204" s="231">
        <f>(INDEX(Models!$BJ204:$BT204,,AH204)*(1-AF204)+INDEX(Models!$BJ204:$BT204,,AH204+1)*AF204-ERP_i)*AE204*Ramure*Pc/MaxiM</f>
        <v>4.641420751963516E-3</v>
      </c>
      <c r="AE204" s="305">
        <f t="shared" si="62"/>
        <v>0.7</v>
      </c>
      <c r="AF204" s="177">
        <f t="shared" si="63"/>
        <v>0.88353218302643555</v>
      </c>
      <c r="AG204" s="921">
        <f t="shared" si="71"/>
        <v>-1</v>
      </c>
      <c r="AH204" s="176">
        <f t="shared" si="64"/>
        <v>5</v>
      </c>
      <c r="AI204" s="225">
        <f t="shared" si="65"/>
        <v>-0.11646781697356451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20">
        <v>48.212000000000003</v>
      </c>
      <c r="C205" s="390"/>
      <c r="D205" s="393">
        <f t="shared" si="48"/>
        <v>49.435300950361587</v>
      </c>
      <c r="E205" s="385">
        <f t="shared" si="72"/>
        <v>50.278431938093163</v>
      </c>
      <c r="F205" s="385">
        <f t="shared" si="49"/>
        <v>50.472915494166976</v>
      </c>
      <c r="G205" s="110">
        <f t="shared" si="73"/>
        <v>0.88962524188492209</v>
      </c>
      <c r="H205" s="414" t="b">
        <f>Wh_hp&gt;='2020'!Maxi_hp</f>
        <v>0</v>
      </c>
      <c r="I205" s="380">
        <f>IF(H205,Wh_hp,'2020'!Maxi_hp)</f>
        <v>57.125082544615957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2.4745494147793479E-2</v>
      </c>
      <c r="M205" s="959"/>
      <c r="N205" s="959"/>
      <c r="O205" s="48">
        <f>IF(t&lt;Tnet,'2020'!Resal+('2020'!Salim-'2020'!Resal)*(1-EXP(('2020'!Tnet-t)/('2020'!Tau_j))),Resal+(Salim-Resal)*(1-EXP((Tnet-t)/(Tau_j))))*Salcycl</f>
        <v>1.6769237926308141E-2</v>
      </c>
      <c r="P205" s="169">
        <f>(INDEX(Models!$BJ205:$BT205,,T205)*(1-R205)+INDEX(Models!$BJ205:$BT205,,T205+1)*R205-ERP_i)*Q205*Ramure*Pc/MaxiM</f>
        <v>4.5695683362542393E-3</v>
      </c>
      <c r="Q205" s="305">
        <f t="shared" si="51"/>
        <v>0.7</v>
      </c>
      <c r="R205" s="177">
        <f t="shared" si="52"/>
        <v>0.88716957067426416</v>
      </c>
      <c r="S205" s="921">
        <f t="shared" si="53"/>
        <v>-1</v>
      </c>
      <c r="T205" s="176">
        <f t="shared" si="54"/>
        <v>5</v>
      </c>
      <c r="U205" s="251">
        <f t="shared" si="55"/>
        <v>-0.11283042932573578</v>
      </c>
      <c r="V205" s="383">
        <f t="shared" si="56"/>
        <v>54.15463483910203</v>
      </c>
      <c r="W205" s="402"/>
      <c r="X205" s="157">
        <f t="shared" si="57"/>
        <v>44387</v>
      </c>
      <c r="Y205" s="385">
        <f t="shared" si="58"/>
        <v>44.556611654298983</v>
      </c>
      <c r="Z205" s="385">
        <f t="shared" si="59"/>
        <v>45.687163080947862</v>
      </c>
      <c r="AA205" s="386">
        <f t="shared" si="60"/>
        <v>50.278431938093163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9.1316866500499486E-2</v>
      </c>
      <c r="AD205" s="231">
        <f>(INDEX(Models!$BJ205:$BT205,,AH205)*(1-AF205)+INDEX(Models!$BJ205:$BT205,,AH205+1)*AF205-ERP_i)*AE205*Ramure*Pc/MaxiM</f>
        <v>4.5695683362542393E-3</v>
      </c>
      <c r="AE205" s="305">
        <f t="shared" si="62"/>
        <v>0.7</v>
      </c>
      <c r="AF205" s="177">
        <f t="shared" si="63"/>
        <v>0.88716957067426416</v>
      </c>
      <c r="AG205" s="921">
        <f t="shared" si="71"/>
        <v>-1</v>
      </c>
      <c r="AH205" s="176">
        <f t="shared" si="64"/>
        <v>5</v>
      </c>
      <c r="AI205" s="225">
        <f t="shared" si="65"/>
        <v>-0.11283042932573578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20">
        <v>50.823</v>
      </c>
      <c r="C206" s="390"/>
      <c r="D206" s="393">
        <f t="shared" si="48"/>
        <v>52.113692244983405</v>
      </c>
      <c r="E206" s="385">
        <f t="shared" si="72"/>
        <v>53.00798428329594</v>
      </c>
      <c r="F206" s="385">
        <f t="shared" si="49"/>
        <v>53.226621331323216</v>
      </c>
      <c r="G206" s="110">
        <f t="shared" si="73"/>
        <v>0.93983897544674466</v>
      </c>
      <c r="H206" s="414" t="b">
        <f>Wh_hp&gt;='2020'!Maxi_hp</f>
        <v>0</v>
      </c>
      <c r="I206" s="380">
        <f>IF(H206,Wh_hp,'2020'!Maxi_hp)</f>
        <v>56.244702289420005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2.4766854724396326E-2</v>
      </c>
      <c r="M206" s="959"/>
      <c r="N206" s="959"/>
      <c r="O206" s="48">
        <f>IF(t&lt;Tnet,'2020'!Resal+('2020'!Salim-'2020'!Resal)*(1-EXP(('2020'!Tnet-t)/('2020'!Tau_j))),Resal+(Salim-Resal)*(1-EXP((Tnet-t)/(Tau_j))))*Salcycl</f>
        <v>1.6870893138155877E-2</v>
      </c>
      <c r="P206" s="169">
        <f>(INDEX(Models!$BJ206:$BT206,,T206)*(1-R206)+INDEX(Models!$BJ206:$BT206,,T206+1)*R206-ERP_i)*Q206*Ramure*Pc/MaxiM</f>
        <v>4.4913449448351662E-3</v>
      </c>
      <c r="Q206" s="305">
        <f t="shared" si="51"/>
        <v>0.7</v>
      </c>
      <c r="R206" s="177">
        <f t="shared" si="52"/>
        <v>0.89072587173262852</v>
      </c>
      <c r="S206" s="921">
        <f t="shared" si="53"/>
        <v>-1</v>
      </c>
      <c r="T206" s="176">
        <f t="shared" si="54"/>
        <v>5</v>
      </c>
      <c r="U206" s="251">
        <f t="shared" si="55"/>
        <v>-0.10927412826737148</v>
      </c>
      <c r="V206" s="383">
        <f t="shared" si="56"/>
        <v>54.055451044727448</v>
      </c>
      <c r="W206" s="402"/>
      <c r="X206" s="157">
        <f t="shared" si="57"/>
        <v>44388</v>
      </c>
      <c r="Y206" s="385">
        <f t="shared" si="58"/>
        <v>46.972298164004677</v>
      </c>
      <c r="Z206" s="385">
        <f t="shared" si="59"/>
        <v>48.16519864153117</v>
      </c>
      <c r="AA206" s="386">
        <f t="shared" si="60"/>
        <v>53.00798428329594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9.1359550966567227E-2</v>
      </c>
      <c r="AD206" s="231">
        <f>(INDEX(Models!$BJ206:$BT206,,AH206)*(1-AF206)+INDEX(Models!$BJ206:$BT206,,AH206+1)*AF206-ERP_i)*AE206*Ramure*Pc/MaxiM</f>
        <v>4.4913449448351662E-3</v>
      </c>
      <c r="AE206" s="305">
        <f t="shared" si="62"/>
        <v>0.7</v>
      </c>
      <c r="AF206" s="177">
        <f t="shared" si="63"/>
        <v>0.89072587173262852</v>
      </c>
      <c r="AG206" s="921">
        <f t="shared" si="71"/>
        <v>-1</v>
      </c>
      <c r="AH206" s="176">
        <f t="shared" si="64"/>
        <v>5</v>
      </c>
      <c r="AI206" s="225">
        <f t="shared" si="65"/>
        <v>-0.10927412826737148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20">
        <v>13.814</v>
      </c>
      <c r="C207" s="390"/>
      <c r="D207" s="393">
        <f t="shared" ref="D207:D270" si="74">Wh/(1-Ppv)</f>
        <v>14.165128242001829</v>
      </c>
      <c r="E207" s="385">
        <f t="shared" si="72"/>
        <v>14.409693860517391</v>
      </c>
      <c r="F207" s="385">
        <f t="shared" ref="F207:F270" si="75">Wh_sa/(1-Pvg*MEDIAN((-Sdif+Wh/Env_an)/Csdif,0,1))</f>
        <v>14.409693860517391</v>
      </c>
      <c r="G207" s="110">
        <f t="shared" si="73"/>
        <v>0.25489931921437148</v>
      </c>
      <c r="H207" s="414" t="b">
        <f>Wh_hp&gt;='2020'!Maxi_hp</f>
        <v>0</v>
      </c>
      <c r="I207" s="380">
        <f>IF(H207,Wh_hp,'2020'!Maxi_hp)</f>
        <v>57.631675116560842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2.4788214833147748E-2</v>
      </c>
      <c r="M207" s="959"/>
      <c r="N207" s="959"/>
      <c r="O207" s="48">
        <f>IF(t&lt;Tnet,'2020'!Resal+('2020'!Salim-'2020'!Resal)*(1-EXP(('2020'!Tnet-t)/('2020'!Tau_j))),Resal+(Salim-Resal)*(1-EXP((Tnet-t)/(Tau_j))))*Salcycl</f>
        <v>1.6972298015690085E-2</v>
      </c>
      <c r="P207" s="169">
        <f>(INDEX(Models!$BJ207:$BT207,,T207)*(1-R207)+INDEX(Models!$BJ207:$BT207,,T207+1)*R207-ERP_i)*Q207*Ramure*Pc/MaxiM</f>
        <v>4.4109438258041278E-3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0.89420086527934672</v>
      </c>
      <c r="S207" s="92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-0.10579913472065328</v>
      </c>
      <c r="V207" s="383">
        <f t="shared" ref="V207:V270" si="82">MaxiM*(1-Ppv)*(1-Pvg)*(1-Psa)</f>
        <v>53.954899779171058</v>
      </c>
      <c r="W207" s="402"/>
      <c r="X207" s="157">
        <f t="shared" ref="X207:X270" si="83">t</f>
        <v>44389</v>
      </c>
      <c r="Y207" s="385">
        <f t="shared" ref="Y207:Y270" si="84">Wh_pvt_s*(1-Ppv)</f>
        <v>12.768087257586833</v>
      </c>
      <c r="Z207" s="385">
        <f t="shared" ref="Z207:Z270" si="85">Wh_sa_s*(1-Psa_s)</f>
        <v>13.092630187403138</v>
      </c>
      <c r="AA207" s="386">
        <f t="shared" ref="AA207:AA270" si="86">Wh_hp*(1-Pvg_s*MEDIAN((-Sdif+Wh/Env_an)/Csdif,0,1))</f>
        <v>14.409693860517391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9.1401225165720731E-2</v>
      </c>
      <c r="AD207" s="231">
        <f>(INDEX(Models!$BJ207:$BT207,,AH207)*(1-AF207)+INDEX(Models!$BJ207:$BT207,,AH207+1)*AF207-ERP_i)*AE207*Ramure*Pc/MaxiM</f>
        <v>4.4109438258041278E-3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0.89420086527934672</v>
      </c>
      <c r="AG207" s="92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-0.10579913472065328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20">
        <v>26.422000000000001</v>
      </c>
      <c r="C208" s="390"/>
      <c r="D208" s="393">
        <f t="shared" si="74"/>
        <v>27.094195460081579</v>
      </c>
      <c r="E208" s="385">
        <f t="shared" si="72"/>
        <v>27.564822299504321</v>
      </c>
      <c r="F208" s="385">
        <f t="shared" si="75"/>
        <v>27.597352499780996</v>
      </c>
      <c r="G208" s="110">
        <f t="shared" si="73"/>
        <v>0.48908309009551243</v>
      </c>
      <c r="H208" s="414" t="b">
        <f>Wh_hp&gt;='2020'!Maxi_hp</f>
        <v>0</v>
      </c>
      <c r="I208" s="380">
        <f>IF(H208,Wh_hp,'2020'!Maxi_hp)</f>
        <v>54.575416488787674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2.480957447405796E-2</v>
      </c>
      <c r="M208" s="959"/>
      <c r="N208" s="959"/>
      <c r="O208" s="48">
        <f>IF(t&lt;Tnet,'2020'!Resal+('2020'!Salim-'2020'!Resal)*(1-EXP(('2020'!Tnet-t)/('2020'!Tau_j))),Resal+(Salim-Resal)*(1-EXP((Tnet-t)/(Tau_j))))*Salcycl</f>
        <v>1.7073458131134249E-2</v>
      </c>
      <c r="P208" s="169">
        <f>(INDEX(Models!$BJ208:$BT208,,T208)*(1-R208)+INDEX(Models!$BJ208:$BT208,,T208+1)*R208-ERP_i)*Q208*Ramure*Pc/MaxiM</f>
        <v>4.3283822093124367E-3</v>
      </c>
      <c r="Q208" s="305">
        <f t="shared" si="77"/>
        <v>0.7</v>
      </c>
      <c r="R208" s="177">
        <f t="shared" si="78"/>
        <v>0.89759447449669216</v>
      </c>
      <c r="S208" s="921">
        <f t="shared" si="79"/>
        <v>-1</v>
      </c>
      <c r="T208" s="176">
        <f t="shared" si="80"/>
        <v>5</v>
      </c>
      <c r="U208" s="251">
        <f t="shared" si="81"/>
        <v>-0.10240552550330784</v>
      </c>
      <c r="V208" s="383">
        <f t="shared" si="82"/>
        <v>53.853184804963036</v>
      </c>
      <c r="W208" s="402"/>
      <c r="X208" s="157">
        <f t="shared" si="83"/>
        <v>44390</v>
      </c>
      <c r="Y208" s="385">
        <f t="shared" si="84"/>
        <v>24.42290463422373</v>
      </c>
      <c r="Z208" s="385">
        <f t="shared" si="85"/>
        <v>25.044241611633861</v>
      </c>
      <c r="AA208" s="386">
        <f t="shared" si="86"/>
        <v>27.564822299504321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9.1441934959101301E-2</v>
      </c>
      <c r="AD208" s="231">
        <f>(INDEX(Models!$BJ208:$BT208,,AH208)*(1-AF208)+INDEX(Models!$BJ208:$BT208,,AH208+1)*AF208-ERP_i)*AE208*Ramure*Pc/MaxiM</f>
        <v>4.3283822093124367E-3</v>
      </c>
      <c r="AE208" s="305">
        <f t="shared" si="88"/>
        <v>0.7</v>
      </c>
      <c r="AF208" s="177">
        <f t="shared" si="89"/>
        <v>0.89759447449669216</v>
      </c>
      <c r="AG208" s="921">
        <f t="shared" ref="AG208:AG271" si="95">INDEX(Echel_vg,AH208)</f>
        <v>-1</v>
      </c>
      <c r="AH208" s="176">
        <f t="shared" si="90"/>
        <v>5</v>
      </c>
      <c r="AI208" s="225">
        <f t="shared" si="91"/>
        <v>-0.10240552550330784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20">
        <v>28.329000000000001</v>
      </c>
      <c r="C209" s="390"/>
      <c r="D209" s="393">
        <f t="shared" si="74"/>
        <v>29.050347244863502</v>
      </c>
      <c r="E209" s="385">
        <f t="shared" si="72"/>
        <v>29.557987329799307</v>
      </c>
      <c r="F209" s="385">
        <f t="shared" si="75"/>
        <v>29.598728318085175</v>
      </c>
      <c r="G209" s="110">
        <f t="shared" si="73"/>
        <v>0.52553291636871347</v>
      </c>
      <c r="H209" s="414" t="b">
        <f>Wh_hp&gt;='2020'!Maxi_hp</f>
        <v>0</v>
      </c>
      <c r="I209" s="380">
        <f>IF(H209,Wh_hp,'2020'!Maxi_hp)</f>
        <v>56.367501147703905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2.4830933647137288E-2</v>
      </c>
      <c r="M209" s="959"/>
      <c r="N209" s="959"/>
      <c r="O209" s="48">
        <f>IF(t&lt;Tnet,'2020'!Resal+('2020'!Salim-'2020'!Resal)*(1-EXP(('2020'!Tnet-t)/('2020'!Tau_j))),Resal+(Salim-Resal)*(1-EXP((Tnet-t)/(Tau_j))))*Salcycl</f>
        <v>1.7174379272570487E-2</v>
      </c>
      <c r="P209" s="169">
        <f>(INDEX(Models!$BJ209:$BT209,,T209)*(1-R209)+INDEX(Models!$BJ209:$BT209,,T209+1)*R209-ERP_i)*Q209*Ramure*Pc/MaxiM</f>
        <v>4.2436775678720753E-3</v>
      </c>
      <c r="Q209" s="305">
        <f t="shared" si="77"/>
        <v>0.7</v>
      </c>
      <c r="R209" s="177">
        <f t="shared" si="78"/>
        <v>0.90090676029482508</v>
      </c>
      <c r="S209" s="921">
        <f t="shared" si="79"/>
        <v>-1</v>
      </c>
      <c r="T209" s="176">
        <f t="shared" si="80"/>
        <v>5</v>
      </c>
      <c r="U209" s="251">
        <f t="shared" si="81"/>
        <v>-9.9093239705174918E-2</v>
      </c>
      <c r="V209" s="383">
        <f t="shared" si="82"/>
        <v>53.750509815710494</v>
      </c>
      <c r="W209" s="402"/>
      <c r="X209" s="157">
        <f t="shared" si="83"/>
        <v>44391</v>
      </c>
      <c r="Y209" s="385">
        <f t="shared" si="84"/>
        <v>26.187162435161213</v>
      </c>
      <c r="Z209" s="385">
        <f t="shared" si="85"/>
        <v>26.853971622686242</v>
      </c>
      <c r="AA209" s="386">
        <f t="shared" si="86"/>
        <v>29.557987329799307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9.1481726307764341E-2</v>
      </c>
      <c r="AD209" s="231">
        <f>(INDEX(Models!$BJ209:$BT209,,AH209)*(1-AF209)+INDEX(Models!$BJ209:$BT209,,AH209+1)*AF209-ERP_i)*AE209*Ramure*Pc/MaxiM</f>
        <v>4.2436775678720753E-3</v>
      </c>
      <c r="AE209" s="305">
        <f t="shared" si="88"/>
        <v>0.7</v>
      </c>
      <c r="AF209" s="177">
        <f t="shared" si="89"/>
        <v>0.90090676029482508</v>
      </c>
      <c r="AG209" s="921">
        <f t="shared" si="95"/>
        <v>-1</v>
      </c>
      <c r="AH209" s="176">
        <f t="shared" si="90"/>
        <v>5</v>
      </c>
      <c r="AI209" s="225">
        <f t="shared" si="91"/>
        <v>-9.9093239705174918E-2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20">
        <v>28.852</v>
      </c>
      <c r="C210" s="390"/>
      <c r="D210" s="393">
        <f t="shared" si="74"/>
        <v>29.587312541195498</v>
      </c>
      <c r="E210" s="385">
        <f t="shared" si="72"/>
        <v>30.107420255192459</v>
      </c>
      <c r="F210" s="385">
        <f t="shared" si="75"/>
        <v>30.149998294477093</v>
      </c>
      <c r="G210" s="110">
        <f t="shared" si="73"/>
        <v>0.53633302084485102</v>
      </c>
      <c r="H210" s="414" t="b">
        <f>Wh_hp&gt;='2020'!Maxi_hp</f>
        <v>0</v>
      </c>
      <c r="I210" s="380">
        <f>IF(H210,Wh_hp,'2020'!Maxi_hp)</f>
        <v>57.830639820469678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2.4852292352395833E-2</v>
      </c>
      <c r="M210" s="959"/>
      <c r="N210" s="959"/>
      <c r="O210" s="48">
        <f>IF(t&lt;Tnet,'2020'!Resal+('2020'!Salim-'2020'!Resal)*(1-EXP(('2020'!Tnet-t)/('2020'!Tau_j))),Resal+(Salim-Resal)*(1-EXP((Tnet-t)/(Tau_j))))*Salcycl</f>
        <v>1.7275067394964184E-2</v>
      </c>
      <c r="P210" s="169">
        <f>(INDEX(Models!$BJ210:$BT210,,T210)*(1-R210)+INDEX(Models!$BJ210:$BT210,,T210+1)*R210-ERP_i)*Q210*Ramure*Pc/MaxiM</f>
        <v>4.156847477721326E-3</v>
      </c>
      <c r="Q210" s="305">
        <f t="shared" si="77"/>
        <v>0.7</v>
      </c>
      <c r="R210" s="177">
        <f t="shared" si="78"/>
        <v>0.90413791469997751</v>
      </c>
      <c r="S210" s="921">
        <f t="shared" si="79"/>
        <v>-1</v>
      </c>
      <c r="T210" s="176">
        <f t="shared" si="80"/>
        <v>5</v>
      </c>
      <c r="U210" s="251">
        <f t="shared" si="81"/>
        <v>-9.5862085300022548E-2</v>
      </c>
      <c r="V210" s="383">
        <f t="shared" si="82"/>
        <v>53.647078450829696</v>
      </c>
      <c r="W210" s="402"/>
      <c r="X210" s="157">
        <f t="shared" si="83"/>
        <v>44392</v>
      </c>
      <c r="Y210" s="385">
        <f t="shared" si="84"/>
        <v>26.672210585473508</v>
      </c>
      <c r="Z210" s="385">
        <f t="shared" si="85"/>
        <v>27.351969733709538</v>
      </c>
      <c r="AA210" s="386">
        <f t="shared" si="86"/>
        <v>30.107420255192459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9.1520645014668875E-2</v>
      </c>
      <c r="AD210" s="231">
        <f>(INDEX(Models!$BJ210:$BT210,,AH210)*(1-AF210)+INDEX(Models!$BJ210:$BT210,,AH210+1)*AF210-ERP_i)*AE210*Ramure*Pc/MaxiM</f>
        <v>4.156847477721326E-3</v>
      </c>
      <c r="AE210" s="305">
        <f t="shared" si="88"/>
        <v>0.7</v>
      </c>
      <c r="AF210" s="177">
        <f t="shared" si="89"/>
        <v>0.90413791469997751</v>
      </c>
      <c r="AG210" s="921">
        <f t="shared" si="95"/>
        <v>-1</v>
      </c>
      <c r="AH210" s="176">
        <f t="shared" si="90"/>
        <v>5</v>
      </c>
      <c r="AI210" s="225">
        <f t="shared" si="91"/>
        <v>-9.5862085300022548E-2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20">
        <v>43.17</v>
      </c>
      <c r="C211" s="390"/>
      <c r="D211" s="393">
        <f t="shared" si="74"/>
        <v>44.271186012062017</v>
      </c>
      <c r="E211" s="385">
        <f t="shared" si="72"/>
        <v>45.054023484371946</v>
      </c>
      <c r="F211" s="385">
        <f t="shared" si="75"/>
        <v>45.186966512940216</v>
      </c>
      <c r="G211" s="110">
        <f t="shared" si="73"/>
        <v>0.80535603083583662</v>
      </c>
      <c r="H211" s="414" t="b">
        <f>Wh_hp&gt;='2020'!Maxi_hp</f>
        <v>0</v>
      </c>
      <c r="I211" s="380">
        <f>IF(H211,Wh_hp,'2020'!Maxi_hp)</f>
        <v>57.203978991704709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2.4873650589843921E-2</v>
      </c>
      <c r="M211" s="959"/>
      <c r="N211" s="959"/>
      <c r="O211" s="48">
        <f>IF(t&lt;Tnet,'2020'!Resal+('2020'!Salim-'2020'!Resal)*(1-EXP(('2020'!Tnet-t)/('2020'!Tau_j))),Resal+(Salim-Resal)*(1-EXP((Tnet-t)/(Tau_j))))*Salcycl</f>
        <v>1.7375528571415458E-2</v>
      </c>
      <c r="P211" s="169">
        <f>(INDEX(Models!$BJ211:$BT211,,T211)*(1-R211)+INDEX(Models!$BJ211:$BT211,,T211+1)*R211-ERP_i)*Q211*Ramure*Pc/MaxiM</f>
        <v>4.06790949736195E-3</v>
      </c>
      <c r="Q211" s="305">
        <f t="shared" si="77"/>
        <v>0.7</v>
      </c>
      <c r="R211" s="177">
        <f t="shared" si="78"/>
        <v>0.90728825406131886</v>
      </c>
      <c r="S211" s="921">
        <f t="shared" si="79"/>
        <v>-1</v>
      </c>
      <c r="T211" s="176">
        <f t="shared" si="80"/>
        <v>5</v>
      </c>
      <c r="U211" s="251">
        <f t="shared" si="81"/>
        <v>-9.2711745938681145E-2</v>
      </c>
      <c r="V211" s="383">
        <f t="shared" si="82"/>
        <v>53.543094311259267</v>
      </c>
      <c r="W211" s="402"/>
      <c r="X211" s="157">
        <f t="shared" si="83"/>
        <v>44393</v>
      </c>
      <c r="Y211" s="385">
        <f t="shared" si="84"/>
        <v>39.910882017122731</v>
      </c>
      <c r="Z211" s="385">
        <f t="shared" si="85"/>
        <v>40.928934020975241</v>
      </c>
      <c r="AA211" s="386">
        <f t="shared" si="86"/>
        <v>45.054023484371946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9.155873647616819E-2</v>
      </c>
      <c r="AD211" s="231">
        <f>(INDEX(Models!$BJ211:$BT211,,AH211)*(1-AF211)+INDEX(Models!$BJ211:$BT211,,AH211+1)*AF211-ERP_i)*AE211*Ramure*Pc/MaxiM</f>
        <v>4.06790949736195E-3</v>
      </c>
      <c r="AE211" s="305">
        <f t="shared" si="88"/>
        <v>0.7</v>
      </c>
      <c r="AF211" s="177">
        <f t="shared" si="89"/>
        <v>0.90728825406131886</v>
      </c>
      <c r="AG211" s="921">
        <f t="shared" si="95"/>
        <v>-1</v>
      </c>
      <c r="AH211" s="176">
        <f t="shared" si="90"/>
        <v>5</v>
      </c>
      <c r="AI211" s="225">
        <f t="shared" si="91"/>
        <v>-9.2711745938681145E-2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20">
        <v>54.588999999999999</v>
      </c>
      <c r="C212" s="390"/>
      <c r="D212" s="393">
        <f t="shared" si="74"/>
        <v>55.982689523678815</v>
      </c>
      <c r="E212" s="385">
        <f t="shared" si="72"/>
        <v>56.97843142613165</v>
      </c>
      <c r="F212" s="385">
        <f t="shared" si="75"/>
        <v>57.205914857920881</v>
      </c>
      <c r="G212" s="110">
        <f t="shared" si="73"/>
        <v>1.0215241158608572</v>
      </c>
      <c r="H212" s="414" t="b">
        <f>Wh_hp&gt;='2020'!Maxi_hp</f>
        <v>1</v>
      </c>
      <c r="I212" s="380">
        <f>IF(H212,Wh_hp,'2020'!Maxi_hp)</f>
        <v>57.205914857920881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2.4895008359491766E-2</v>
      </c>
      <c r="M212" s="959"/>
      <c r="N212" s="959"/>
      <c r="O212" s="48">
        <f>IF(t&lt;Tnet,'2020'!Resal+('2020'!Salim-'2020'!Resal)*(1-EXP(('2020'!Tnet-t)/('2020'!Tau_j))),Resal+(Salim-Resal)*(1-EXP((Tnet-t)/(Tau_j))))*Salcycl</f>
        <v>1.7475768945021532E-2</v>
      </c>
      <c r="P212" s="169">
        <f>(INDEX(Models!$BJ212:$BT212,,T212)*(1-R212)+INDEX(Models!$BJ212:$BT212,,T212+1)*R212-ERP_i)*Q212*Ramure*Pc/MaxiM</f>
        <v>3.9765718694337471E-3</v>
      </c>
      <c r="Q212" s="305">
        <f t="shared" si="77"/>
        <v>0.7</v>
      </c>
      <c r="R212" s="177">
        <f t="shared" si="78"/>
        <v>0.91035821212789525</v>
      </c>
      <c r="S212" s="921">
        <f t="shared" si="79"/>
        <v>-1</v>
      </c>
      <c r="T212" s="176">
        <f t="shared" si="80"/>
        <v>5</v>
      </c>
      <c r="U212" s="251">
        <f t="shared" si="81"/>
        <v>-8.9641787872104806E-2</v>
      </c>
      <c r="V212" s="383">
        <f t="shared" si="82"/>
        <v>53.438777560328901</v>
      </c>
      <c r="W212" s="402"/>
      <c r="X212" s="157">
        <f t="shared" si="83"/>
        <v>44394</v>
      </c>
      <c r="Y212" s="385">
        <f t="shared" si="84"/>
        <v>50.47088092878721</v>
      </c>
      <c r="Z212" s="385">
        <f t="shared" si="85"/>
        <v>51.759432431860937</v>
      </c>
      <c r="AA212" s="386">
        <f t="shared" si="86"/>
        <v>56.97843142613165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9.1596045444612861E-2</v>
      </c>
      <c r="AD212" s="231">
        <f>(INDEX(Models!$BJ212:$BT212,,AH212)*(1-AF212)+INDEX(Models!$BJ212:$BT212,,AH212+1)*AF212-ERP_i)*AE212*Ramure*Pc/MaxiM</f>
        <v>3.9765718694337471E-3</v>
      </c>
      <c r="AE212" s="305">
        <f t="shared" si="88"/>
        <v>0.7</v>
      </c>
      <c r="AF212" s="177">
        <f t="shared" si="89"/>
        <v>0.91035821212789525</v>
      </c>
      <c r="AG212" s="921">
        <f t="shared" si="95"/>
        <v>-1</v>
      </c>
      <c r="AH212" s="176">
        <f t="shared" si="90"/>
        <v>5</v>
      </c>
      <c r="AI212" s="225">
        <f t="shared" si="91"/>
        <v>-8.9641787872104806E-2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20">
        <v>51.027000000000001</v>
      </c>
      <c r="C213" s="390"/>
      <c r="D213" s="393">
        <f t="shared" si="74"/>
        <v>52.330895733481391</v>
      </c>
      <c r="E213" s="385">
        <f t="shared" si="72"/>
        <v>53.267107477800451</v>
      </c>
      <c r="F213" s="385">
        <f t="shared" si="75"/>
        <v>53.461943875077729</v>
      </c>
      <c r="G213" s="110">
        <f t="shared" si="73"/>
        <v>0.95650936517812568</v>
      </c>
      <c r="H213" s="414" t="b">
        <f>Wh_hp&gt;='2020'!Maxi_hp</f>
        <v>1</v>
      </c>
      <c r="I213" s="380">
        <f>IF(H213,Wh_hp,'2020'!Maxi_hp)</f>
        <v>53.461943875077729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2.4916365661349693E-2</v>
      </c>
      <c r="M213" s="959"/>
      <c r="N213" s="959"/>
      <c r="O213" s="48">
        <f>IF(t&lt;Tnet,'2020'!Resal+('2020'!Salim-'2020'!Resal)*(1-EXP(('2020'!Tnet-t)/('2020'!Tau_j))),Resal+(Salim-Resal)*(1-EXP((Tnet-t)/(Tau_j))))*Salcycl</f>
        <v>1.7575794681722337E-2</v>
      </c>
      <c r="P213" s="169">
        <f>(INDEX(Models!$BJ213:$BT213,,T213)*(1-R213)+INDEX(Models!$BJ213:$BT213,,T213+1)*R213-ERP_i)*Q213*Ramure*Pc/MaxiM</f>
        <v>3.8844541122110645E-3</v>
      </c>
      <c r="Q213" s="305">
        <f t="shared" si="77"/>
        <v>0.7</v>
      </c>
      <c r="R213" s="177">
        <f t="shared" si="78"/>
        <v>0.91334833304418561</v>
      </c>
      <c r="S213" s="921">
        <f t="shared" si="79"/>
        <v>-1</v>
      </c>
      <c r="T213" s="176">
        <f t="shared" si="80"/>
        <v>5</v>
      </c>
      <c r="U213" s="251">
        <f t="shared" si="81"/>
        <v>-8.6651666955814388E-2</v>
      </c>
      <c r="V213" s="383">
        <f t="shared" si="82"/>
        <v>53.334245867070003</v>
      </c>
      <c r="W213" s="402"/>
      <c r="X213" s="157">
        <f t="shared" si="83"/>
        <v>44395</v>
      </c>
      <c r="Y213" s="385">
        <f t="shared" si="84"/>
        <v>47.180497245968908</v>
      </c>
      <c r="Z213" s="385">
        <f t="shared" si="85"/>
        <v>48.386103083320684</v>
      </c>
      <c r="AA213" s="386">
        <f t="shared" si="86"/>
        <v>53.267107477800451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9.1632615803551476E-2</v>
      </c>
      <c r="AD213" s="231">
        <f>(INDEX(Models!$BJ213:$BT213,,AH213)*(1-AF213)+INDEX(Models!$BJ213:$BT213,,AH213+1)*AF213-ERP_i)*AE213*Ramure*Pc/MaxiM</f>
        <v>3.8844541122110645E-3</v>
      </c>
      <c r="AE213" s="305">
        <f t="shared" si="88"/>
        <v>0.7</v>
      </c>
      <c r="AF213" s="177">
        <f t="shared" si="89"/>
        <v>0.91334833304418561</v>
      </c>
      <c r="AG213" s="921">
        <f t="shared" si="95"/>
        <v>-1</v>
      </c>
      <c r="AH213" s="176">
        <f t="shared" si="90"/>
        <v>5</v>
      </c>
      <c r="AI213" s="225">
        <f t="shared" si="91"/>
        <v>-8.6651666955814388E-2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20">
        <v>55.117000000000004</v>
      </c>
      <c r="C214" s="390"/>
      <c r="D214" s="393">
        <f t="shared" si="74"/>
        <v>56.526645806725469</v>
      </c>
      <c r="E214" s="385">
        <f t="shared" si="72"/>
        <v>57.5437671027059</v>
      </c>
      <c r="F214" s="385">
        <f t="shared" si="75"/>
        <v>57.76277955645417</v>
      </c>
      <c r="G214" s="110">
        <f t="shared" si="73"/>
        <v>1.035455719107637</v>
      </c>
      <c r="H214" s="414" t="b">
        <f>Wh_hp&gt;='2020'!Maxi_hp</f>
        <v>1</v>
      </c>
      <c r="I214" s="380">
        <f>IF(H214,Wh_hp,'2020'!Maxi_hp)</f>
        <v>57.76277955645417</v>
      </c>
      <c r="J214" s="85">
        <f>IF(H214,An,'2020'!An_max)</f>
        <v>2021</v>
      </c>
      <c r="K214" s="197">
        <f t="shared" si="76"/>
        <v>44396</v>
      </c>
      <c r="L214" s="147">
        <f>IF(t&lt;Tvie,1-EXP((T0-t)*PertePVj)+'2020'!Pspv,1-EXP((T0-t)*PertePVj)+Pspv)</f>
        <v>2.4937722495427916E-2</v>
      </c>
      <c r="M214" s="959"/>
      <c r="N214" s="959"/>
      <c r="O214" s="48">
        <f>IF(t&lt;Tnet,'2020'!Resal+('2020'!Salim-'2020'!Resal)*(1-EXP(('2020'!Tnet-t)/('2020'!Tau_j))),Resal+(Salim-Resal)*(1-EXP((Tnet-t)/(Tau_j))))*Salcycl</f>
        <v>1.7675611924485992E-2</v>
      </c>
      <c r="P214" s="169">
        <f>(INDEX(Models!$BJ214:$BT214,,T214)*(1-R214)+INDEX(Models!$BJ214:$BT214,,T214+1)*R214-ERP_i)*Q214*Ramure*Pc/MaxiM</f>
        <v>3.7915843979464802E-3</v>
      </c>
      <c r="Q214" s="305">
        <f t="shared" si="77"/>
        <v>0.7</v>
      </c>
      <c r="R214" s="177">
        <f t="shared" si="78"/>
        <v>0.91625926430974935</v>
      </c>
      <c r="S214" s="921">
        <f t="shared" si="79"/>
        <v>-1</v>
      </c>
      <c r="T214" s="176">
        <f t="shared" si="80"/>
        <v>5</v>
      </c>
      <c r="U214" s="251">
        <f t="shared" si="81"/>
        <v>-8.3740735690250645E-2</v>
      </c>
      <c r="V214" s="383">
        <f t="shared" si="82"/>
        <v>53.229702615868717</v>
      </c>
      <c r="W214" s="402"/>
      <c r="X214" s="157">
        <f t="shared" si="83"/>
        <v>44396</v>
      </c>
      <c r="Y214" s="385">
        <f t="shared" si="84"/>
        <v>50.965351593359316</v>
      </c>
      <c r="Z214" s="385">
        <f t="shared" si="85"/>
        <v>52.268816842953235</v>
      </c>
      <c r="AA214" s="386">
        <f t="shared" si="86"/>
        <v>57.5437671027059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9.1668490356875187E-2</v>
      </c>
      <c r="AD214" s="231">
        <f>(INDEX(Models!$BJ214:$BT214,,AH214)*(1-AF214)+INDEX(Models!$BJ214:$BT214,,AH214+1)*AF214-ERP_i)*AE214*Ramure*Pc/MaxiM</f>
        <v>3.7915843979464802E-3</v>
      </c>
      <c r="AE214" s="305">
        <f t="shared" si="88"/>
        <v>0.7</v>
      </c>
      <c r="AF214" s="177">
        <f t="shared" si="89"/>
        <v>0.91625926430974935</v>
      </c>
      <c r="AG214" s="921">
        <f t="shared" si="95"/>
        <v>-1</v>
      </c>
      <c r="AH214" s="176">
        <f t="shared" si="90"/>
        <v>5</v>
      </c>
      <c r="AI214" s="225">
        <f t="shared" si="91"/>
        <v>-8.3740735690250645E-2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20">
        <v>47.179000000000002</v>
      </c>
      <c r="C215" s="390"/>
      <c r="D215" s="393">
        <f t="shared" si="74"/>
        <v>48.38668714019019</v>
      </c>
      <c r="E215" s="385">
        <f t="shared" si="72"/>
        <v>49.262336338806499</v>
      </c>
      <c r="F215" s="385">
        <f t="shared" si="75"/>
        <v>49.415855513346131</v>
      </c>
      <c r="G215" s="110">
        <f t="shared" si="73"/>
        <v>0.8875426605386737</v>
      </c>
      <c r="H215" s="414" t="b">
        <f>Wh_hp&gt;='2020'!Maxi_hp</f>
        <v>0</v>
      </c>
      <c r="I215" s="380">
        <f>IF(H215,Wh_hp,'2020'!Maxi_hp)</f>
        <v>55.682250887635263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2.495907886173665E-2</v>
      </c>
      <c r="M215" s="959"/>
      <c r="N215" s="959"/>
      <c r="O215" s="48">
        <f>IF(t&lt;Tnet,'2020'!Resal+('2020'!Salim-'2020'!Resal)*(1-EXP(('2020'!Tnet-t)/('2020'!Tau_j))),Resal+(Salim-Resal)*(1-EXP((Tnet-t)/(Tau_j))))*Salcycl</f>
        <v>1.7775226749173E-2</v>
      </c>
      <c r="P215" s="169">
        <f>(INDEX(Models!$BJ215:$BT215,,T215)*(1-R215)+INDEX(Models!$BJ215:$BT215,,T215+1)*R215-ERP_i)*Q215*Ramure*Pc/MaxiM</f>
        <v>3.6979901462824709E-3</v>
      </c>
      <c r="Q215" s="305">
        <f t="shared" si="77"/>
        <v>0.7</v>
      </c>
      <c r="R215" s="177">
        <f t="shared" si="78"/>
        <v>0.91909174974518448</v>
      </c>
      <c r="S215" s="921">
        <f t="shared" si="79"/>
        <v>-1</v>
      </c>
      <c r="T215" s="176">
        <f t="shared" si="80"/>
        <v>5</v>
      </c>
      <c r="U215" s="251">
        <f t="shared" si="81"/>
        <v>-8.0908250254815517E-2</v>
      </c>
      <c r="V215" s="383">
        <f t="shared" si="82"/>
        <v>53.125351224591398</v>
      </c>
      <c r="W215" s="402"/>
      <c r="X215" s="157">
        <f t="shared" si="83"/>
        <v>44397</v>
      </c>
      <c r="Y215" s="385">
        <f t="shared" si="84"/>
        <v>43.628008377566957</v>
      </c>
      <c r="Z215" s="385">
        <f t="shared" si="85"/>
        <v>44.744797302082041</v>
      </c>
      <c r="AA215" s="386">
        <f t="shared" si="86"/>
        <v>49.262336338806499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9.1703710633101995E-2</v>
      </c>
      <c r="AD215" s="231">
        <f>(INDEX(Models!$BJ215:$BT215,,AH215)*(1-AF215)+INDEX(Models!$BJ215:$BT215,,AH215+1)*AF215-ERP_i)*AE215*Ramure*Pc/MaxiM</f>
        <v>3.6979901462824709E-3</v>
      </c>
      <c r="AE215" s="305">
        <f t="shared" si="88"/>
        <v>0.7</v>
      </c>
      <c r="AF215" s="177">
        <f t="shared" si="89"/>
        <v>0.91909174974518448</v>
      </c>
      <c r="AG215" s="921">
        <f t="shared" si="95"/>
        <v>-1</v>
      </c>
      <c r="AH215" s="176">
        <f t="shared" si="90"/>
        <v>5</v>
      </c>
      <c r="AI215" s="225">
        <f t="shared" si="91"/>
        <v>-8.0908250254815517E-2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20">
        <v>43.883000000000003</v>
      </c>
      <c r="C216" s="390"/>
      <c r="D216" s="393">
        <f t="shared" si="74"/>
        <v>45.007301970613405</v>
      </c>
      <c r="E216" s="385">
        <f t="shared" si="72"/>
        <v>45.826433201311957</v>
      </c>
      <c r="F216" s="385">
        <f t="shared" si="75"/>
        <v>45.951255226114462</v>
      </c>
      <c r="G216" s="110">
        <f t="shared" si="73"/>
        <v>0.8269106566274077</v>
      </c>
      <c r="H216" s="414" t="b">
        <f>Wh_hp&gt;='2020'!Maxi_hp</f>
        <v>0</v>
      </c>
      <c r="I216" s="380">
        <f>IF(H216,Wh_hp,'2020'!Maxi_hp)</f>
        <v>50.544924605053268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2.4980434760286108E-2</v>
      </c>
      <c r="M216" s="959"/>
      <c r="N216" s="959"/>
      <c r="O216" s="48">
        <f>IF(t&lt;Tnet,'2020'!Resal+('2020'!Salim-'2020'!Resal)*(1-EXP(('2020'!Tnet-t)/('2020'!Tau_j))),Resal+(Salim-Resal)*(1-EXP((Tnet-t)/(Tau_j))))*Salcycl</f>
        <v>1.7874645122394204E-2</v>
      </c>
      <c r="P216" s="169">
        <f>(INDEX(Models!$BJ216:$BT216,,T216)*(1-R216)+INDEX(Models!$BJ216:$BT216,,T216+1)*R216-ERP_i)*Q216*Ramure*Pc/MaxiM</f>
        <v>3.6036980059185502E-3</v>
      </c>
      <c r="Q216" s="305">
        <f t="shared" si="77"/>
        <v>0.7</v>
      </c>
      <c r="R216" s="177">
        <f t="shared" si="78"/>
        <v>0.92184662250324445</v>
      </c>
      <c r="S216" s="921">
        <f t="shared" si="79"/>
        <v>-1</v>
      </c>
      <c r="T216" s="176">
        <f t="shared" si="80"/>
        <v>5</v>
      </c>
      <c r="U216" s="251">
        <f t="shared" si="81"/>
        <v>-7.8153377496755549E-2</v>
      </c>
      <c r="V216" s="383">
        <f t="shared" si="82"/>
        <v>53.02139514883239</v>
      </c>
      <c r="W216" s="402"/>
      <c r="X216" s="157">
        <f t="shared" si="83"/>
        <v>44398</v>
      </c>
      <c r="Y216" s="385">
        <f t="shared" si="84"/>
        <v>40.582647876924895</v>
      </c>
      <c r="Z216" s="385">
        <f t="shared" si="85"/>
        <v>41.622393358791143</v>
      </c>
      <c r="AA216" s="386">
        <f t="shared" si="86"/>
        <v>45.826433201311957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9.173831670583639E-2</v>
      </c>
      <c r="AD216" s="231">
        <f>(INDEX(Models!$BJ216:$BT216,,AH216)*(1-AF216)+INDEX(Models!$BJ216:$BT216,,AH216+1)*AF216-ERP_i)*AE216*Ramure*Pc/MaxiM</f>
        <v>3.6036980059185502E-3</v>
      </c>
      <c r="AE216" s="305">
        <f t="shared" si="88"/>
        <v>0.7</v>
      </c>
      <c r="AF216" s="177">
        <f t="shared" si="89"/>
        <v>0.92184662250324445</v>
      </c>
      <c r="AG216" s="921">
        <f t="shared" si="95"/>
        <v>-1</v>
      </c>
      <c r="AH216" s="176">
        <f t="shared" si="90"/>
        <v>5</v>
      </c>
      <c r="AI216" s="225">
        <f t="shared" si="91"/>
        <v>-7.8153377496755549E-2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20">
        <v>52.011000000000003</v>
      </c>
      <c r="C217" s="390"/>
      <c r="D217" s="393">
        <f t="shared" si="74"/>
        <v>53.344713330492638</v>
      </c>
      <c r="E217" s="385">
        <f t="shared" si="72"/>
        <v>54.321073397446916</v>
      </c>
      <c r="F217" s="385">
        <f t="shared" si="75"/>
        <v>54.507643131176636</v>
      </c>
      <c r="G217" s="110">
        <f t="shared" si="73"/>
        <v>0.98277483733610327</v>
      </c>
      <c r="H217" s="414" t="b">
        <f>Wh_hp&gt;='2020'!Maxi_hp</f>
        <v>1</v>
      </c>
      <c r="I217" s="380">
        <f>IF(H217,Wh_hp,'2020'!Maxi_hp)</f>
        <v>54.507643131176636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2.5001790191086615E-2</v>
      </c>
      <c r="M217" s="959"/>
      <c r="N217" s="959"/>
      <c r="O217" s="48">
        <f>IF(t&lt;Tnet,'2020'!Resal+('2020'!Salim-'2020'!Resal)*(1-EXP(('2020'!Tnet-t)/('2020'!Tau_j))),Resal+(Salim-Resal)*(1-EXP((Tnet-t)/(Tau_j))))*Salcycl</f>
        <v>1.7973872861653837E-2</v>
      </c>
      <c r="P217" s="169">
        <f>(INDEX(Models!$BJ217:$BT217,,T217)*(1-R217)+INDEX(Models!$BJ217:$BT217,,T217+1)*R217-ERP_i)*Q217*Ramure*Pc/MaxiM</f>
        <v>3.5087338537538389E-3</v>
      </c>
      <c r="Q217" s="305">
        <f t="shared" si="77"/>
        <v>0.7</v>
      </c>
      <c r="R217" s="177">
        <f t="shared" si="78"/>
        <v>0.92452479816052358</v>
      </c>
      <c r="S217" s="921">
        <f t="shared" si="79"/>
        <v>-1</v>
      </c>
      <c r="T217" s="176">
        <f t="shared" si="80"/>
        <v>5</v>
      </c>
      <c r="U217" s="251">
        <f t="shared" si="81"/>
        <v>-7.5475201839476425E-2</v>
      </c>
      <c r="V217" s="383">
        <f t="shared" si="82"/>
        <v>52.918037885365045</v>
      </c>
      <c r="W217" s="402"/>
      <c r="X217" s="157">
        <f t="shared" si="83"/>
        <v>44399</v>
      </c>
      <c r="Y217" s="385">
        <f t="shared" si="84"/>
        <v>48.102415152852387</v>
      </c>
      <c r="Z217" s="385">
        <f t="shared" si="85"/>
        <v>49.335900998505238</v>
      </c>
      <c r="AA217" s="386">
        <f t="shared" si="86"/>
        <v>54.321073397446916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9.1772347031271698E-2</v>
      </c>
      <c r="AD217" s="231">
        <f>(INDEX(Models!$BJ217:$BT217,,AH217)*(1-AF217)+INDEX(Models!$BJ217:$BT217,,AH217+1)*AF217-ERP_i)*AE217*Ramure*Pc/MaxiM</f>
        <v>3.5087338537538389E-3</v>
      </c>
      <c r="AE217" s="305">
        <f t="shared" si="88"/>
        <v>0.7</v>
      </c>
      <c r="AF217" s="177">
        <f t="shared" si="89"/>
        <v>0.92452479816052358</v>
      </c>
      <c r="AG217" s="921">
        <f t="shared" si="95"/>
        <v>-1</v>
      </c>
      <c r="AH217" s="176">
        <f t="shared" si="90"/>
        <v>5</v>
      </c>
      <c r="AI217" s="225">
        <f t="shared" si="91"/>
        <v>-7.5475201839476425E-2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20">
        <v>44.038000000000004</v>
      </c>
      <c r="C218" s="390"/>
      <c r="D218" s="393">
        <f t="shared" si="74"/>
        <v>45.168251719126829</v>
      </c>
      <c r="E218" s="385">
        <f t="shared" si="72"/>
        <v>45.999598581840132</v>
      </c>
      <c r="F218" s="385">
        <f t="shared" si="75"/>
        <v>46.11963838501714</v>
      </c>
      <c r="G218" s="110">
        <f t="shared" si="73"/>
        <v>0.83313110148702363</v>
      </c>
      <c r="H218" s="414" t="b">
        <f>Wh_hp&gt;='2020'!Maxi_hp</f>
        <v>0</v>
      </c>
      <c r="I218" s="380">
        <f>IF(H218,Wh_hp,'2020'!Maxi_hp)</f>
        <v>56.297408043792899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2.5023145154148385E-2</v>
      </c>
      <c r="M218" s="959"/>
      <c r="N218" s="959"/>
      <c r="O218" s="48">
        <f>IF(t&lt;Tnet,'2020'!Resal+('2020'!Salim-'2020'!Resal)*(1-EXP(('2020'!Tnet-t)/('2020'!Tau_j))),Resal+(Salim-Resal)*(1-EXP((Tnet-t)/(Tau_j))))*Salcycl</f>
        <v>1.8072915598039651E-2</v>
      </c>
      <c r="P218" s="169">
        <f>(INDEX(Models!$BJ218:$BT218,,T218)*(1-R218)+INDEX(Models!$BJ218:$BT218,,T218+1)*R218-ERP_i)*Q218*Ramure*Pc/MaxiM</f>
        <v>3.4131228108826429E-3</v>
      </c>
      <c r="Q218" s="305">
        <f t="shared" si="77"/>
        <v>0.7</v>
      </c>
      <c r="R218" s="177">
        <f t="shared" si="78"/>
        <v>0.92712726792165567</v>
      </c>
      <c r="S218" s="921">
        <f t="shared" si="79"/>
        <v>-1</v>
      </c>
      <c r="T218" s="176">
        <f t="shared" si="80"/>
        <v>5</v>
      </c>
      <c r="U218" s="251">
        <f t="shared" si="81"/>
        <v>-7.2872732078344327E-2</v>
      </c>
      <c r="V218" s="383">
        <f t="shared" si="82"/>
        <v>52.815482974553028</v>
      </c>
      <c r="W218" s="402"/>
      <c r="X218" s="157">
        <f t="shared" si="83"/>
        <v>44400</v>
      </c>
      <c r="Y218" s="385">
        <f t="shared" si="84"/>
        <v>40.731185775522768</v>
      </c>
      <c r="Z218" s="385">
        <f t="shared" si="85"/>
        <v>41.776566872413149</v>
      </c>
      <c r="AA218" s="386">
        <f t="shared" si="86"/>
        <v>45.999598581840132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9.180583830342752E-2</v>
      </c>
      <c r="AD218" s="231">
        <f>(INDEX(Models!$BJ218:$BT218,,AH218)*(1-AF218)+INDEX(Models!$BJ218:$BT218,,AH218+1)*AF218-ERP_i)*AE218*Ramure*Pc/MaxiM</f>
        <v>3.4131228108826429E-3</v>
      </c>
      <c r="AE218" s="305">
        <f t="shared" si="88"/>
        <v>0.7</v>
      </c>
      <c r="AF218" s="177">
        <f t="shared" si="89"/>
        <v>0.92712726792165567</v>
      </c>
      <c r="AG218" s="921">
        <f t="shared" si="95"/>
        <v>-1</v>
      </c>
      <c r="AH218" s="176">
        <f t="shared" si="90"/>
        <v>5</v>
      </c>
      <c r="AI218" s="225">
        <f t="shared" si="91"/>
        <v>-7.2872732078344327E-2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20">
        <v>26.408000000000001</v>
      </c>
      <c r="C219" s="390"/>
      <c r="D219" s="393">
        <f t="shared" si="74"/>
        <v>27.086364444844644</v>
      </c>
      <c r="E219" s="385">
        <f t="shared" si="72"/>
        <v>27.587681692558032</v>
      </c>
      <c r="F219" s="385">
        <f t="shared" si="75"/>
        <v>27.613978120138498</v>
      </c>
      <c r="G219" s="110">
        <f t="shared" si="73"/>
        <v>0.49978515254993211</v>
      </c>
      <c r="H219" s="414" t="b">
        <f>Wh_hp&gt;='2020'!Maxi_hp</f>
        <v>0</v>
      </c>
      <c r="I219" s="380">
        <f>IF(H219,Wh_hp,'2020'!Maxi_hp)</f>
        <v>53.622135078221874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2.5044499649481633E-2</v>
      </c>
      <c r="M219" s="959"/>
      <c r="N219" s="959"/>
      <c r="O219" s="48">
        <f>IF(t&lt;Tnet,'2020'!Resal+('2020'!Salim-'2020'!Resal)*(1-EXP(('2020'!Tnet-t)/('2020'!Tau_j))),Resal+(Salim-Resal)*(1-EXP((Tnet-t)/(Tau_j))))*Salcycl</f>
        <v>1.8171778741691832E-2</v>
      </c>
      <c r="P219" s="169">
        <f>(INDEX(Models!$BJ219:$BT219,,T219)*(1-R219)+INDEX(Models!$BJ219:$BT219,,T219+1)*R219-ERP_i)*Q219*Ramure*Pc/MaxiM</f>
        <v>3.3169022352522331E-3</v>
      </c>
      <c r="Q219" s="305">
        <f t="shared" si="77"/>
        <v>0.7</v>
      </c>
      <c r="R219" s="177">
        <f t="shared" si="78"/>
        <v>0.929655091964533</v>
      </c>
      <c r="S219" s="921">
        <f t="shared" si="79"/>
        <v>-1</v>
      </c>
      <c r="T219" s="176">
        <f t="shared" si="80"/>
        <v>5</v>
      </c>
      <c r="U219" s="251">
        <f t="shared" si="81"/>
        <v>-7.0344908035467058E-2</v>
      </c>
      <c r="V219" s="383">
        <f t="shared" si="82"/>
        <v>52.713642211761282</v>
      </c>
      <c r="W219" s="402"/>
      <c r="X219" s="157">
        <f t="shared" si="83"/>
        <v>44401</v>
      </c>
      <c r="Y219" s="385">
        <f t="shared" si="84"/>
        <v>24.426594980139829</v>
      </c>
      <c r="Z219" s="385">
        <f t="shared" si="85"/>
        <v>25.054061412400792</v>
      </c>
      <c r="AA219" s="386">
        <f t="shared" si="86"/>
        <v>27.587681692558032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9.1838825327635293E-2</v>
      </c>
      <c r="AD219" s="231">
        <f>(INDEX(Models!$BJ219:$BT219,,AH219)*(1-AF219)+INDEX(Models!$BJ219:$BT219,,AH219+1)*AF219-ERP_i)*AE219*Ramure*Pc/MaxiM</f>
        <v>3.3169022352522331E-3</v>
      </c>
      <c r="AE219" s="305">
        <f t="shared" si="88"/>
        <v>0.7</v>
      </c>
      <c r="AF219" s="177">
        <f t="shared" si="89"/>
        <v>0.929655091964533</v>
      </c>
      <c r="AG219" s="921">
        <f t="shared" si="95"/>
        <v>-1</v>
      </c>
      <c r="AH219" s="176">
        <f t="shared" si="90"/>
        <v>5</v>
      </c>
      <c r="AI219" s="225">
        <f t="shared" si="91"/>
        <v>-7.0344908035467058E-2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20">
        <v>36.480000000000004</v>
      </c>
      <c r="C220" s="390"/>
      <c r="D220" s="393">
        <f t="shared" si="74"/>
        <v>37.417911904705853</v>
      </c>
      <c r="E220" s="385">
        <f t="shared" si="72"/>
        <v>38.114277572483694</v>
      </c>
      <c r="F220" s="385">
        <f t="shared" si="75"/>
        <v>38.183375266322734</v>
      </c>
      <c r="G220" s="110">
        <f t="shared" si="73"/>
        <v>0.69239524559395249</v>
      </c>
      <c r="H220" s="414" t="b">
        <f>Wh_hp&gt;='2020'!Maxi_hp</f>
        <v>0</v>
      </c>
      <c r="I220" s="380">
        <f>IF(H220,Wh_hp,'2020'!Maxi_hp)</f>
        <v>54.530894378058939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2.5065853677096683E-2</v>
      </c>
      <c r="M220" s="959"/>
      <c r="N220" s="959"/>
      <c r="O220" s="48">
        <f>IF(t&lt;Tnet,'2020'!Resal+('2020'!Salim-'2020'!Resal)*(1-EXP(('2020'!Tnet-t)/('2020'!Tau_j))),Resal+(Salim-Resal)*(1-EXP((Tnet-t)/(Tau_j))))*Salcycl</f>
        <v>1.8270467450249628E-2</v>
      </c>
      <c r="P220" s="169">
        <f>(INDEX(Models!$BJ220:$BT220,,T220)*(1-R220)+INDEX(Models!$BJ220:$BT220,,T220+1)*R220-ERP_i)*Q220*Ramure*Pc/MaxiM</f>
        <v>3.2201822568593817E-3</v>
      </c>
      <c r="Q220" s="305">
        <f t="shared" si="77"/>
        <v>0.7</v>
      </c>
      <c r="R220" s="177">
        <f t="shared" si="78"/>
        <v>0.93210939295166795</v>
      </c>
      <c r="S220" s="921">
        <f t="shared" si="79"/>
        <v>-1</v>
      </c>
      <c r="T220" s="176">
        <f t="shared" si="80"/>
        <v>5</v>
      </c>
      <c r="U220" s="251">
        <f t="shared" si="81"/>
        <v>-6.7890607048332052E-2</v>
      </c>
      <c r="V220" s="383">
        <f t="shared" si="82"/>
        <v>52.61221811524738</v>
      </c>
      <c r="W220" s="402"/>
      <c r="X220" s="157">
        <f t="shared" si="83"/>
        <v>44402</v>
      </c>
      <c r="Y220" s="385">
        <f t="shared" si="84"/>
        <v>33.745071717937144</v>
      </c>
      <c r="Z220" s="385">
        <f t="shared" si="85"/>
        <v>34.612667783984456</v>
      </c>
      <c r="AA220" s="386">
        <f t="shared" si="86"/>
        <v>38.114277572483694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9.1871340912603322E-2</v>
      </c>
      <c r="AD220" s="231">
        <f>(INDEX(Models!$BJ220:$BT220,,AH220)*(1-AF220)+INDEX(Models!$BJ220:$BT220,,AH220+1)*AF220-ERP_i)*AE220*Ramure*Pc/MaxiM</f>
        <v>3.2201822568593817E-3</v>
      </c>
      <c r="AE220" s="305">
        <f t="shared" si="88"/>
        <v>0.7</v>
      </c>
      <c r="AF220" s="177">
        <f t="shared" si="89"/>
        <v>0.93210939295166795</v>
      </c>
      <c r="AG220" s="921">
        <f t="shared" si="95"/>
        <v>-1</v>
      </c>
      <c r="AH220" s="176">
        <f t="shared" si="90"/>
        <v>5</v>
      </c>
      <c r="AI220" s="225">
        <f t="shared" si="91"/>
        <v>-6.7890607048332052E-2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20">
        <v>32.29</v>
      </c>
      <c r="C221" s="390"/>
      <c r="D221" s="393">
        <f t="shared" si="74"/>
        <v>33.120911162204614</v>
      </c>
      <c r="E221" s="385">
        <f t="shared" si="72"/>
        <v>33.740693509163982</v>
      </c>
      <c r="F221" s="385">
        <f t="shared" si="75"/>
        <v>33.788156419094463</v>
      </c>
      <c r="G221" s="110">
        <f t="shared" si="73"/>
        <v>0.61385945689287047</v>
      </c>
      <c r="H221" s="414" t="b">
        <f>Wh_hp&gt;='2020'!Maxi_hp</f>
        <v>0</v>
      </c>
      <c r="I221" s="380">
        <f>IF(H221,Wh_hp,'2020'!Maxi_hp)</f>
        <v>54.739727703954557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2.5087207237003639E-2</v>
      </c>
      <c r="M221" s="959"/>
      <c r="N221" s="959"/>
      <c r="O221" s="48">
        <f>IF(t&lt;Tnet,'2020'!Resal+('2020'!Salim-'2020'!Resal)*(1-EXP(('2020'!Tnet-t)/('2020'!Tau_j))),Resal+(Salim-Resal)*(1-EXP((Tnet-t)/(Tau_j))))*Salcycl</f>
        <v>1.8368986600439535E-2</v>
      </c>
      <c r="P221" s="169">
        <f>(INDEX(Models!$BJ221:$BT221,,T221)*(1-R221)+INDEX(Models!$BJ221:$BT221,,T221+1)*R221-ERP_i)*Q221*Ramure*Pc/MaxiM</f>
        <v>3.1224215955271543E-3</v>
      </c>
      <c r="Q221" s="305">
        <f t="shared" si="77"/>
        <v>0.7</v>
      </c>
      <c r="R221" s="177">
        <f t="shared" si="78"/>
        <v>0.93449134972952685</v>
      </c>
      <c r="S221" s="921">
        <f t="shared" si="79"/>
        <v>-1</v>
      </c>
      <c r="T221" s="176">
        <f t="shared" si="80"/>
        <v>5</v>
      </c>
      <c r="U221" s="251">
        <f t="shared" si="81"/>
        <v>-6.5508650270473145E-2</v>
      </c>
      <c r="V221" s="383">
        <f t="shared" si="82"/>
        <v>52.511135964558825</v>
      </c>
      <c r="W221" s="402"/>
      <c r="X221" s="157">
        <f t="shared" si="83"/>
        <v>44403</v>
      </c>
      <c r="Y221" s="385">
        <f t="shared" si="84"/>
        <v>29.871141298680048</v>
      </c>
      <c r="Z221" s="385">
        <f t="shared" si="85"/>
        <v>30.639808524844945</v>
      </c>
      <c r="AA221" s="386">
        <f t="shared" si="86"/>
        <v>33.740693509163982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9.1903415781208947E-2</v>
      </c>
      <c r="AD221" s="231">
        <f>(INDEX(Models!$BJ221:$BT221,,AH221)*(1-AF221)+INDEX(Models!$BJ221:$BT221,,AH221+1)*AF221-ERP_i)*AE221*Ramure*Pc/MaxiM</f>
        <v>3.1224215955271543E-3</v>
      </c>
      <c r="AE221" s="305">
        <f t="shared" si="88"/>
        <v>0.7</v>
      </c>
      <c r="AF221" s="177">
        <f t="shared" si="89"/>
        <v>0.93449134972952685</v>
      </c>
      <c r="AG221" s="921">
        <f t="shared" si="95"/>
        <v>-1</v>
      </c>
      <c r="AH221" s="176">
        <f t="shared" si="90"/>
        <v>5</v>
      </c>
      <c r="AI221" s="225">
        <f t="shared" si="91"/>
        <v>-6.5508650270473145E-2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20">
        <v>48.93</v>
      </c>
      <c r="C222" s="390"/>
      <c r="D222" s="393">
        <f t="shared" si="74"/>
        <v>50.190203759018814</v>
      </c>
      <c r="E222" s="385">
        <f t="shared" si="72"/>
        <v>51.134522409097443</v>
      </c>
      <c r="F222" s="385">
        <f t="shared" si="75"/>
        <v>51.274852018176453</v>
      </c>
      <c r="G222" s="110">
        <f t="shared" si="73"/>
        <v>0.93332675156813949</v>
      </c>
      <c r="H222" s="414" t="b">
        <f>Wh_hp&gt;='2020'!Maxi_hp</f>
        <v>1</v>
      </c>
      <c r="I222" s="380">
        <f>IF(H222,Wh_hp,'2020'!Maxi_hp)</f>
        <v>51.274852018176453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2.5108560329212937E-2</v>
      </c>
      <c r="M222" s="959"/>
      <c r="N222" s="959"/>
      <c r="O222" s="48">
        <f>IF(t&lt;Tnet,'2020'!Resal+('2020'!Salim-'2020'!Resal)*(1-EXP(('2020'!Tnet-t)/('2020'!Tau_j))),Resal+(Salim-Resal)*(1-EXP((Tnet-t)/(Tau_j))))*Salcycl</f>
        <v>1.8467340762932879E-2</v>
      </c>
      <c r="P222" s="169">
        <f>(INDEX(Models!$BJ222:$BT222,,T222)*(1-R222)+INDEX(Models!$BJ222:$BT222,,T222+1)*R222-ERP_i)*Q222*Ramure*Pc/MaxiM</f>
        <v>3.0236464639679613E-3</v>
      </c>
      <c r="Q222" s="305">
        <f t="shared" si="77"/>
        <v>0.7</v>
      </c>
      <c r="R222" s="177">
        <f t="shared" si="78"/>
        <v>0.93680219123449271</v>
      </c>
      <c r="S222" s="921">
        <f t="shared" si="79"/>
        <v>-1</v>
      </c>
      <c r="T222" s="176">
        <f t="shared" si="80"/>
        <v>5</v>
      </c>
      <c r="U222" s="251">
        <f t="shared" si="81"/>
        <v>-6.3197808765507291E-2</v>
      </c>
      <c r="V222" s="383">
        <f t="shared" si="82"/>
        <v>52.410291005953859</v>
      </c>
      <c r="W222" s="402"/>
      <c r="X222" s="157">
        <f t="shared" si="83"/>
        <v>44404</v>
      </c>
      <c r="Y222" s="385">
        <f t="shared" si="84"/>
        <v>45.267588593060076</v>
      </c>
      <c r="Z222" s="385">
        <f t="shared" si="85"/>
        <v>46.433466077357878</v>
      </c>
      <c r="AA222" s="386">
        <f t="shared" si="86"/>
        <v>51.134522409097443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9.193507849998403E-2</v>
      </c>
      <c r="AD222" s="231">
        <f>(INDEX(Models!$BJ222:$BT222,,AH222)*(1-AF222)+INDEX(Models!$BJ222:$BT222,,AH222+1)*AF222-ERP_i)*AE222*Ramure*Pc/MaxiM</f>
        <v>3.0236464639679613E-3</v>
      </c>
      <c r="AE222" s="305">
        <f t="shared" si="88"/>
        <v>0.7</v>
      </c>
      <c r="AF222" s="177">
        <f t="shared" si="89"/>
        <v>0.93680219123449271</v>
      </c>
      <c r="AG222" s="921">
        <f t="shared" si="95"/>
        <v>-1</v>
      </c>
      <c r="AH222" s="176">
        <f t="shared" si="90"/>
        <v>5</v>
      </c>
      <c r="AI222" s="225">
        <f t="shared" si="91"/>
        <v>-6.3197808765507291E-2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20">
        <v>26.266999999999999</v>
      </c>
      <c r="C223" s="390"/>
      <c r="D223" s="393">
        <f t="shared" si="74"/>
        <v>26.944102962052849</v>
      </c>
      <c r="E223" s="385">
        <f t="shared" si="72"/>
        <v>27.453797375616109</v>
      </c>
      <c r="F223" s="385">
        <f t="shared" si="75"/>
        <v>27.476997707694768</v>
      </c>
      <c r="G223" s="110">
        <f t="shared" si="73"/>
        <v>0.50110002041560364</v>
      </c>
      <c r="H223" s="414" t="b">
        <f>Wh_hp&gt;='2020'!Maxi_hp</f>
        <v>0</v>
      </c>
      <c r="I223" s="380">
        <f>IF(H223,Wh_hp,'2020'!Maxi_hp)</f>
        <v>52.534108463708804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2.5129912953734568E-2</v>
      </c>
      <c r="M223" s="959"/>
      <c r="N223" s="959"/>
      <c r="O223" s="48">
        <f>IF(t&lt;Tnet,'2020'!Resal+('2020'!Salim-'2020'!Resal)*(1-EXP(('2020'!Tnet-t)/('2020'!Tau_j))),Resal+(Salim-Resal)*(1-EXP((Tnet-t)/(Tau_j))))*Salcycl</f>
        <v>1.856553418056325E-2</v>
      </c>
      <c r="P223" s="169">
        <f>(INDEX(Models!$BJ223:$BT223,,T223)*(1-R223)+INDEX(Models!$BJ223:$BT223,,T223+1)*R223-ERP_i)*Q223*Ramure*Pc/MaxiM</f>
        <v>2.9238809625046136E-3</v>
      </c>
      <c r="Q223" s="305">
        <f t="shared" si="77"/>
        <v>0.7</v>
      </c>
      <c r="R223" s="177">
        <f t="shared" si="78"/>
        <v>0.93904319062107422</v>
      </c>
      <c r="S223" s="921">
        <f t="shared" si="79"/>
        <v>-1</v>
      </c>
      <c r="T223" s="176">
        <f t="shared" si="80"/>
        <v>5</v>
      </c>
      <c r="U223" s="251">
        <f t="shared" si="81"/>
        <v>-6.095680937892578E-2</v>
      </c>
      <c r="V223" s="383">
        <f t="shared" si="82"/>
        <v>52.309578638126773</v>
      </c>
      <c r="W223" s="402"/>
      <c r="X223" s="157">
        <f t="shared" si="83"/>
        <v>44405</v>
      </c>
      <c r="Y223" s="385">
        <f t="shared" si="84"/>
        <v>24.302508799792864</v>
      </c>
      <c r="Z223" s="385">
        <f t="shared" si="85"/>
        <v>24.92897168834714</v>
      </c>
      <c r="AA223" s="386">
        <f t="shared" si="86"/>
        <v>27.453797375616109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9.1966355427080787E-2</v>
      </c>
      <c r="AD223" s="231">
        <f>(INDEX(Models!$BJ223:$BT223,,AH223)*(1-AF223)+INDEX(Models!$BJ223:$BT223,,AH223+1)*AF223-ERP_i)*AE223*Ramure*Pc/MaxiM</f>
        <v>2.9238809625046136E-3</v>
      </c>
      <c r="AE223" s="305">
        <f t="shared" si="88"/>
        <v>0.7</v>
      </c>
      <c r="AF223" s="177">
        <f t="shared" si="89"/>
        <v>0.93904319062107422</v>
      </c>
      <c r="AG223" s="921">
        <f t="shared" si="95"/>
        <v>-1</v>
      </c>
      <c r="AH223" s="176">
        <f t="shared" si="90"/>
        <v>5</v>
      </c>
      <c r="AI223" s="225">
        <f t="shared" si="91"/>
        <v>-6.095680937892578E-2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20">
        <v>52.262</v>
      </c>
      <c r="C224" s="390"/>
      <c r="D224" s="393">
        <f t="shared" si="74"/>
        <v>53.610368593162491</v>
      </c>
      <c r="E224" s="385">
        <f t="shared" si="72"/>
        <v>54.629958692283118</v>
      </c>
      <c r="F224" s="385">
        <f t="shared" si="75"/>
        <v>54.784623744211061</v>
      </c>
      <c r="G224" s="110">
        <f t="shared" si="73"/>
        <v>1.0010171751665651</v>
      </c>
      <c r="H224" s="414" t="b">
        <f>Wh_hp&gt;='2020'!Maxi_hp</f>
        <v>0</v>
      </c>
      <c r="I224" s="380">
        <f>IF(H224,Wh_hp,'2020'!Maxi_hp)</f>
        <v>55.721551124095164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2.515126511057908E-2</v>
      </c>
      <c r="M224" s="959"/>
      <c r="N224" s="959"/>
      <c r="O224" s="48">
        <f>IF(t&lt;Tnet,'2020'!Resal+('2020'!Salim-'2020'!Resal)*(1-EXP(('2020'!Tnet-t)/('2020'!Tau_j))),Resal+(Salim-Resal)*(1-EXP((Tnet-t)/(Tau_j))))*Salcycl</f>
        <v>1.8663570749956469E-2</v>
      </c>
      <c r="P224" s="169">
        <f>(INDEX(Models!$BJ224:$BT224,,T224)*(1-R224)+INDEX(Models!$BJ224:$BT224,,T224+1)*R224-ERP_i)*Q224*Ramure*Pc/MaxiM</f>
        <v>2.8231471051087787E-3</v>
      </c>
      <c r="Q224" s="305">
        <f t="shared" si="77"/>
        <v>0.7</v>
      </c>
      <c r="R224" s="177">
        <f t="shared" si="78"/>
        <v>0.94121565962510756</v>
      </c>
      <c r="S224" s="921">
        <f t="shared" si="79"/>
        <v>-1</v>
      </c>
      <c r="T224" s="176">
        <f t="shared" si="80"/>
        <v>5</v>
      </c>
      <c r="U224" s="251">
        <f t="shared" si="81"/>
        <v>-5.8784340374892385E-2</v>
      </c>
      <c r="V224" s="383">
        <f t="shared" si="82"/>
        <v>52.208894409133208</v>
      </c>
      <c r="W224" s="402"/>
      <c r="X224" s="157">
        <f t="shared" si="83"/>
        <v>44406</v>
      </c>
      <c r="Y224" s="385">
        <f t="shared" si="84"/>
        <v>48.356544427963797</v>
      </c>
      <c r="Z224" s="385">
        <f t="shared" si="85"/>
        <v>49.604151595323124</v>
      </c>
      <c r="AA224" s="386">
        <f t="shared" si="86"/>
        <v>54.629958692283118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9.19972706783308E-2</v>
      </c>
      <c r="AD224" s="231">
        <f>(INDEX(Models!$BJ224:$BT224,,AH224)*(1-AF224)+INDEX(Models!$BJ224:$BT224,,AH224+1)*AF224-ERP_i)*AE224*Ramure*Pc/MaxiM</f>
        <v>2.8231471051087787E-3</v>
      </c>
      <c r="AE224" s="305">
        <f t="shared" si="88"/>
        <v>0.7</v>
      </c>
      <c r="AF224" s="177">
        <f t="shared" si="89"/>
        <v>0.94121565962510756</v>
      </c>
      <c r="AG224" s="921">
        <f t="shared" si="95"/>
        <v>-1</v>
      </c>
      <c r="AH224" s="176">
        <f t="shared" si="90"/>
        <v>5</v>
      </c>
      <c r="AI224" s="225">
        <f t="shared" si="91"/>
        <v>-5.8784340374892385E-2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20">
        <v>16.852</v>
      </c>
      <c r="C225" s="390"/>
      <c r="D225" s="393">
        <f t="shared" si="74"/>
        <v>17.287163133104517</v>
      </c>
      <c r="E225" s="385">
        <f t="shared" si="72"/>
        <v>17.617696740197744</v>
      </c>
      <c r="F225" s="385">
        <f t="shared" si="75"/>
        <v>17.619299952058444</v>
      </c>
      <c r="G225" s="110">
        <f t="shared" si="73"/>
        <v>0.32255361955696943</v>
      </c>
      <c r="H225" s="414" t="b">
        <f>Wh_hp&gt;='2020'!Maxi_hp</f>
        <v>0</v>
      </c>
      <c r="I225" s="380">
        <f>IF(H225,Wh_hp,'2020'!Maxi_hp)</f>
        <v>53.533900381500366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2.5172616799756464E-2</v>
      </c>
      <c r="M225" s="959"/>
      <c r="N225" s="959"/>
      <c r="O225" s="48">
        <f>IF(t&lt;Tnet,'2020'!Resal+('2020'!Salim-'2020'!Resal)*(1-EXP(('2020'!Tnet-t)/('2020'!Tau_j))),Resal+(Salim-Resal)*(1-EXP((Tnet-t)/(Tau_j))))*Salcycl</f>
        <v>1.8761454006587578E-2</v>
      </c>
      <c r="P225" s="169">
        <f>(INDEX(Models!$BJ225:$BT225,,T225)*(1-R225)+INDEX(Models!$BJ225:$BT225,,T225+1)*R225-ERP_i)*Q225*Ramure*Pc/MaxiM</f>
        <v>2.7214648564392405E-3</v>
      </c>
      <c r="Q225" s="305">
        <f t="shared" si="77"/>
        <v>0.7</v>
      </c>
      <c r="R225" s="177">
        <f t="shared" si="78"/>
        <v>0.94332094317199</v>
      </c>
      <c r="S225" s="921">
        <f t="shared" si="79"/>
        <v>-1</v>
      </c>
      <c r="T225" s="176">
        <f t="shared" si="80"/>
        <v>5</v>
      </c>
      <c r="U225" s="251">
        <f t="shared" si="81"/>
        <v>-5.6679056828009944E-2</v>
      </c>
      <c r="V225" s="383">
        <f t="shared" si="82"/>
        <v>52.108134012762115</v>
      </c>
      <c r="W225" s="402"/>
      <c r="X225" s="157">
        <f t="shared" si="83"/>
        <v>44407</v>
      </c>
      <c r="Y225" s="385">
        <f t="shared" si="84"/>
        <v>15.593707360781583</v>
      </c>
      <c r="Z225" s="385">
        <f t="shared" si="85"/>
        <v>15.996378055763346</v>
      </c>
      <c r="AA225" s="386">
        <f t="shared" si="86"/>
        <v>17.617696740197744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9.2027846110841818E-2</v>
      </c>
      <c r="AD225" s="231">
        <f>(INDEX(Models!$BJ225:$BT225,,AH225)*(1-AF225)+INDEX(Models!$BJ225:$BT225,,AH225+1)*AF225-ERP_i)*AE225*Ramure*Pc/MaxiM</f>
        <v>2.7214648564392405E-3</v>
      </c>
      <c r="AE225" s="305">
        <f t="shared" si="88"/>
        <v>0.7</v>
      </c>
      <c r="AF225" s="177">
        <f t="shared" si="89"/>
        <v>0.94332094317199</v>
      </c>
      <c r="AG225" s="921">
        <f t="shared" si="95"/>
        <v>-1</v>
      </c>
      <c r="AH225" s="176">
        <f t="shared" si="90"/>
        <v>5</v>
      </c>
      <c r="AI225" s="225">
        <f t="shared" si="91"/>
        <v>-5.6679056828009944E-2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20">
        <v>12.197000000000001</v>
      </c>
      <c r="C226" s="390"/>
      <c r="D226" s="393">
        <f t="shared" si="74"/>
        <v>12.51223279285804</v>
      </c>
      <c r="E226" s="385">
        <f t="shared" si="72"/>
        <v>12.752739085477403</v>
      </c>
      <c r="F226" s="385">
        <f t="shared" si="75"/>
        <v>12.752739085477403</v>
      </c>
      <c r="G226" s="110">
        <f t="shared" si="73"/>
        <v>0.23391106290559216</v>
      </c>
      <c r="H226" s="414" t="b">
        <f>Wh_hp&gt;='2020'!Maxi_hp</f>
        <v>0</v>
      </c>
      <c r="I226" s="380">
        <f>IF(H226,Wh_hp,'2020'!Maxi_hp)</f>
        <v>54.478591093372515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2.5193968021277047E-2</v>
      </c>
      <c r="M226" s="959"/>
      <c r="N226" s="959"/>
      <c r="O226" s="48">
        <f>IF(t&lt;Tnet,'2020'!Resal+('2020'!Salim-'2020'!Resal)*(1-EXP(('2020'!Tnet-t)/('2020'!Tau_j))),Resal+(Salim-Resal)*(1-EXP((Tnet-t)/(Tau_j))))*Salcycl</f>
        <v>1.8859187113241277E-2</v>
      </c>
      <c r="P226" s="169">
        <f>(INDEX(Models!$BJ226:$BT226,,T226)*(1-R226)+INDEX(Models!$BJ226:$BT226,,T226+1)*R226-ERP_i)*Q226*Ramure*Pc/MaxiM</f>
        <v>2.6199741140139391E-3</v>
      </c>
      <c r="Q226" s="305">
        <f t="shared" si="77"/>
        <v>0.7</v>
      </c>
      <c r="R226" s="177">
        <f t="shared" si="78"/>
        <v>0.9453604142374632</v>
      </c>
      <c r="S226" s="921">
        <f t="shared" si="79"/>
        <v>-1</v>
      </c>
      <c r="T226" s="176">
        <f t="shared" si="80"/>
        <v>5</v>
      </c>
      <c r="U226" s="251">
        <f t="shared" si="81"/>
        <v>-5.4639585762536858E-2</v>
      </c>
      <c r="V226" s="383">
        <f t="shared" si="82"/>
        <v>52.00713478285229</v>
      </c>
      <c r="W226" s="402"/>
      <c r="X226" s="157">
        <f t="shared" si="83"/>
        <v>44408</v>
      </c>
      <c r="Y226" s="385">
        <f t="shared" si="84"/>
        <v>11.287031578653147</v>
      </c>
      <c r="Z226" s="385">
        <f t="shared" si="85"/>
        <v>11.578746138595406</v>
      </c>
      <c r="AA226" s="386">
        <f t="shared" si="86"/>
        <v>12.752739085477403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9.2058101323418379E-2</v>
      </c>
      <c r="AD226" s="231">
        <f>(INDEX(Models!$BJ226:$BT226,,AH226)*(1-AF226)+INDEX(Models!$BJ226:$BT226,,AH226+1)*AF226-ERP_i)*AE226*Ramure*Pc/MaxiM</f>
        <v>2.6199741140139391E-3</v>
      </c>
      <c r="AE226" s="305">
        <f t="shared" si="88"/>
        <v>0.7</v>
      </c>
      <c r="AF226" s="177">
        <f t="shared" si="89"/>
        <v>0.9453604142374632</v>
      </c>
      <c r="AG226" s="921">
        <f t="shared" si="95"/>
        <v>-1</v>
      </c>
      <c r="AH226" s="176">
        <f t="shared" si="90"/>
        <v>5</v>
      </c>
      <c r="AI226" s="225">
        <f t="shared" si="91"/>
        <v>-5.4639585762536858E-2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20">
        <v>45.404000000000003</v>
      </c>
      <c r="C227" s="390"/>
      <c r="D227" s="393">
        <f t="shared" si="74"/>
        <v>46.578491511528874</v>
      </c>
      <c r="E227" s="385">
        <f t="shared" si="72"/>
        <v>47.478531243652625</v>
      </c>
      <c r="F227" s="385">
        <f t="shared" si="75"/>
        <v>47.57693285766257</v>
      </c>
      <c r="G227" s="110">
        <f t="shared" si="73"/>
        <v>0.87434376245166767</v>
      </c>
      <c r="H227" s="414" t="b">
        <f>Wh_hp&gt;='2020'!Maxi_hp</f>
        <v>0</v>
      </c>
      <c r="I227" s="380">
        <f>IF(H227,Wh_hp,'2020'!Maxi_hp)</f>
        <v>52.564784252265206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2.5215318775151152E-2</v>
      </c>
      <c r="M227" s="959"/>
      <c r="N227" s="959"/>
      <c r="O227" s="48">
        <f>IF(t&lt;Tnet,'2020'!Resal+('2020'!Salim-'2020'!Resal)*(1-EXP(('2020'!Tnet-t)/('2020'!Tau_j))),Resal+(Salim-Resal)*(1-EXP((Tnet-t)/(Tau_j))))*Salcycl</f>
        <v>1.895677285181549E-2</v>
      </c>
      <c r="P227" s="169">
        <f>(INDEX(Models!$BJ227:$BT227,,T227)*(1-R227)+INDEX(Models!$BJ227:$BT227,,T227+1)*R227-ERP_i)*Q227*Ramure*Pc/MaxiM</f>
        <v>2.5190294319217274E-3</v>
      </c>
      <c r="Q227" s="305">
        <f t="shared" si="77"/>
        <v>0.7</v>
      </c>
      <c r="R227" s="177">
        <f t="shared" si="78"/>
        <v>0.94733546896613241</v>
      </c>
      <c r="S227" s="921">
        <f t="shared" si="79"/>
        <v>-1</v>
      </c>
      <c r="T227" s="176">
        <f t="shared" si="80"/>
        <v>5</v>
      </c>
      <c r="U227" s="251">
        <f t="shared" si="81"/>
        <v>-5.2664531033867645E-2</v>
      </c>
      <c r="V227" s="383">
        <f t="shared" si="82"/>
        <v>51.905775435022143</v>
      </c>
      <c r="W227" s="402"/>
      <c r="X227" s="157">
        <f t="shared" si="83"/>
        <v>44409</v>
      </c>
      <c r="Y227" s="385">
        <f t="shared" si="84"/>
        <v>42.019385966167142</v>
      </c>
      <c r="Z227" s="385">
        <f t="shared" si="85"/>
        <v>43.106325710174694</v>
      </c>
      <c r="AA227" s="386">
        <f t="shared" si="86"/>
        <v>47.478531243652625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9.2088053672941886E-2</v>
      </c>
      <c r="AD227" s="231">
        <f>(INDEX(Models!$BJ227:$BT227,,AH227)*(1-AF227)+INDEX(Models!$BJ227:$BT227,,AH227+1)*AF227-ERP_i)*AE227*Ramure*Pc/MaxiM</f>
        <v>2.5190294319217274E-3</v>
      </c>
      <c r="AE227" s="305">
        <f t="shared" si="88"/>
        <v>0.7</v>
      </c>
      <c r="AF227" s="177">
        <f t="shared" si="89"/>
        <v>0.94733546896613241</v>
      </c>
      <c r="AG227" s="921">
        <f t="shared" si="95"/>
        <v>-1</v>
      </c>
      <c r="AH227" s="176">
        <f t="shared" si="90"/>
        <v>5</v>
      </c>
      <c r="AI227" s="225">
        <f t="shared" si="91"/>
        <v>-5.2664531033867645E-2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20">
        <v>47.74</v>
      </c>
      <c r="C228" s="390"/>
      <c r="D228" s="393">
        <f t="shared" si="74"/>
        <v>48.975990873631439</v>
      </c>
      <c r="E228" s="385">
        <f t="shared" si="72"/>
        <v>49.92731663009328</v>
      </c>
      <c r="F228" s="385">
        <f t="shared" si="75"/>
        <v>50.034771275516441</v>
      </c>
      <c r="G228" s="110">
        <f t="shared" si="73"/>
        <v>0.92130098366852298</v>
      </c>
      <c r="H228" s="414" t="b">
        <f>Wh_hp&gt;='2020'!Maxi_hp</f>
        <v>0</v>
      </c>
      <c r="I228" s="380">
        <f>IF(H228,Wh_hp,'2020'!Maxi_hp)</f>
        <v>52.775979801874328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2.5236669061388883E-2</v>
      </c>
      <c r="M228" s="959"/>
      <c r="N228" s="959"/>
      <c r="O228" s="48">
        <f>IF(t&lt;Tnet,'2020'!Resal+('2020'!Salim-'2020'!Resal)*(1-EXP(('2020'!Tnet-t)/('2020'!Tau_j))),Resal+(Salim-Resal)*(1-EXP((Tnet-t)/(Tau_j))))*Salcycl</f>
        <v>1.9054213618370914E-2</v>
      </c>
      <c r="P228" s="169">
        <f>(INDEX(Models!$BJ228:$BT228,,T228)*(1-R228)+INDEX(Models!$BJ228:$BT228,,T228+1)*R228-ERP_i)*Q228*Ramure*Pc/MaxiM</f>
        <v>2.4186572418142828E-3</v>
      </c>
      <c r="Q228" s="305">
        <f t="shared" si="77"/>
        <v>0.7</v>
      </c>
      <c r="R228" s="177">
        <f t="shared" si="78"/>
        <v>0.94924752205076923</v>
      </c>
      <c r="S228" s="921">
        <f t="shared" si="79"/>
        <v>-1</v>
      </c>
      <c r="T228" s="176">
        <f t="shared" si="80"/>
        <v>5</v>
      </c>
      <c r="U228" s="251">
        <f t="shared" si="81"/>
        <v>-5.0752477949230823E-2</v>
      </c>
      <c r="V228" s="383">
        <f t="shared" si="82"/>
        <v>51.803951905941545</v>
      </c>
      <c r="W228" s="402"/>
      <c r="X228" s="157">
        <f t="shared" si="83"/>
        <v>44410</v>
      </c>
      <c r="Y228" s="385">
        <f t="shared" si="84"/>
        <v>44.184195222409087</v>
      </c>
      <c r="Z228" s="385">
        <f t="shared" si="85"/>
        <v>45.328126141002457</v>
      </c>
      <c r="AA228" s="386">
        <f t="shared" si="86"/>
        <v>49.92731663009328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9.211771830570803E-2</v>
      </c>
      <c r="AD228" s="231">
        <f>(INDEX(Models!$BJ228:$BT228,,AH228)*(1-AF228)+INDEX(Models!$BJ228:$BT228,,AH228+1)*AF228-ERP_i)*AE228*Ramure*Pc/MaxiM</f>
        <v>2.4186572418142828E-3</v>
      </c>
      <c r="AE228" s="305">
        <f t="shared" si="88"/>
        <v>0.7</v>
      </c>
      <c r="AF228" s="177">
        <f t="shared" si="89"/>
        <v>0.94924752205076923</v>
      </c>
      <c r="AG228" s="921">
        <f t="shared" si="95"/>
        <v>-1</v>
      </c>
      <c r="AH228" s="176">
        <f t="shared" si="90"/>
        <v>5</v>
      </c>
      <c r="AI228" s="225">
        <f t="shared" si="91"/>
        <v>-5.0752477949230823E-2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20">
        <v>35.694000000000003</v>
      </c>
      <c r="C229" s="390"/>
      <c r="D229" s="393">
        <f t="shared" si="74"/>
        <v>36.618921408295996</v>
      </c>
      <c r="E229" s="385">
        <f t="shared" si="72"/>
        <v>37.333922450508666</v>
      </c>
      <c r="F229" s="385">
        <f t="shared" si="75"/>
        <v>37.382266134121956</v>
      </c>
      <c r="G229" s="110">
        <f t="shared" si="73"/>
        <v>0.68967633867231248</v>
      </c>
      <c r="H229" s="414" t="b">
        <f>Wh_hp&gt;='2020'!Maxi_hp</f>
        <v>0</v>
      </c>
      <c r="I229" s="380">
        <f>IF(H229,Wh_hp,'2020'!Maxi_hp)</f>
        <v>53.74274506897126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2.5258018880000566E-2</v>
      </c>
      <c r="M229" s="959"/>
      <c r="N229" s="959"/>
      <c r="O229" s="48">
        <f>IF(t&lt;Tnet,'2020'!Resal+('2020'!Salim-'2020'!Resal)*(1-EXP(('2020'!Tnet-t)/('2020'!Tau_j))),Resal+(Salim-Resal)*(1-EXP((Tnet-t)/(Tau_j))))*Salcycl</f>
        <v>1.9151511421295276E-2</v>
      </c>
      <c r="P229" s="169">
        <f>(INDEX(Models!$BJ229:$BT229,,T229)*(1-R229)+INDEX(Models!$BJ229:$BT229,,T229+1)*R229-ERP_i)*Q229*Ramure*Pc/MaxiM</f>
        <v>2.3188819386340724E-3</v>
      </c>
      <c r="Q229" s="305">
        <f t="shared" si="77"/>
        <v>0.7</v>
      </c>
      <c r="R229" s="177">
        <f t="shared" si="78"/>
        <v>0.95109800237349207</v>
      </c>
      <c r="S229" s="921">
        <f t="shared" si="79"/>
        <v>-1</v>
      </c>
      <c r="T229" s="176">
        <f t="shared" si="80"/>
        <v>5</v>
      </c>
      <c r="U229" s="251">
        <f t="shared" si="81"/>
        <v>-4.8901997626507876E-2</v>
      </c>
      <c r="V229" s="383">
        <f t="shared" si="82"/>
        <v>51.70156028006172</v>
      </c>
      <c r="W229" s="402"/>
      <c r="X229" s="157">
        <f t="shared" si="83"/>
        <v>44411</v>
      </c>
      <c r="Y229" s="385">
        <f t="shared" si="84"/>
        <v>33.037621505409881</v>
      </c>
      <c r="Z229" s="385">
        <f t="shared" si="85"/>
        <v>33.893709458834373</v>
      </c>
      <c r="AA229" s="386">
        <f t="shared" si="86"/>
        <v>37.333922450508666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9.2147108202594447E-2</v>
      </c>
      <c r="AD229" s="231">
        <f>(INDEX(Models!$BJ229:$BT229,,AH229)*(1-AF229)+INDEX(Models!$BJ229:$BT229,,AH229+1)*AF229-ERP_i)*AE229*Ramure*Pc/MaxiM</f>
        <v>2.3188819386340724E-3</v>
      </c>
      <c r="AE229" s="305">
        <f t="shared" si="88"/>
        <v>0.7</v>
      </c>
      <c r="AF229" s="177">
        <f t="shared" si="89"/>
        <v>0.95109800237349207</v>
      </c>
      <c r="AG229" s="921">
        <f t="shared" si="95"/>
        <v>-1</v>
      </c>
      <c r="AH229" s="176">
        <f t="shared" si="90"/>
        <v>5</v>
      </c>
      <c r="AI229" s="225">
        <f t="shared" si="91"/>
        <v>-4.8901997626507876E-2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20">
        <v>31.626000000000001</v>
      </c>
      <c r="C230" s="390"/>
      <c r="D230" s="393">
        <f t="shared" si="74"/>
        <v>32.446219941607801</v>
      </c>
      <c r="E230" s="385">
        <f t="shared" si="72"/>
        <v>33.083024084761412</v>
      </c>
      <c r="F230" s="385">
        <f t="shared" si="75"/>
        <v>33.115884853687682</v>
      </c>
      <c r="G230" s="110">
        <f t="shared" si="73"/>
        <v>0.61217176310806365</v>
      </c>
      <c r="H230" s="414" t="b">
        <f>Wh_hp&gt;='2020'!Maxi_hp</f>
        <v>0</v>
      </c>
      <c r="I230" s="380">
        <f>IF(H230,Wh_hp,'2020'!Maxi_hp)</f>
        <v>52.072907124529117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2.5279368230996413E-2</v>
      </c>
      <c r="M230" s="959"/>
      <c r="N230" s="959"/>
      <c r="O230" s="48">
        <f>IF(t&lt;Tnet,'2020'!Resal+('2020'!Salim-'2020'!Resal)*(1-EXP(('2020'!Tnet-t)/('2020'!Tau_j))),Resal+(Salim-Resal)*(1-EXP((Tnet-t)/(Tau_j))))*Salcycl</f>
        <v>1.924866788241816E-2</v>
      </c>
      <c r="P230" s="169">
        <f>(INDEX(Models!$BJ230:$BT230,,T230)*(1-R230)+INDEX(Models!$BJ230:$BT230,,T230+1)*R230-ERP_i)*Q230*Ramure*Pc/MaxiM</f>
        <v>2.2197260007195047E-3</v>
      </c>
      <c r="Q230" s="305">
        <f t="shared" si="77"/>
        <v>0.7</v>
      </c>
      <c r="R230" s="177">
        <f t="shared" si="78"/>
        <v>0.95288834890816898</v>
      </c>
      <c r="S230" s="921">
        <f t="shared" si="79"/>
        <v>-1</v>
      </c>
      <c r="T230" s="176">
        <f t="shared" si="80"/>
        <v>5</v>
      </c>
      <c r="U230" s="251">
        <f t="shared" si="81"/>
        <v>-4.7111651091831075E-2</v>
      </c>
      <c r="V230" s="383">
        <f t="shared" si="82"/>
        <v>51.598496782949283</v>
      </c>
      <c r="W230" s="402"/>
      <c r="X230" s="157">
        <f t="shared" si="83"/>
        <v>44412</v>
      </c>
      <c r="Y230" s="385">
        <f t="shared" si="84"/>
        <v>29.27432619850288</v>
      </c>
      <c r="Z230" s="385">
        <f t="shared" si="85"/>
        <v>30.033555507462083</v>
      </c>
      <c r="AA230" s="386">
        <f t="shared" si="86"/>
        <v>33.083024084761412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9.2176234236820059E-2</v>
      </c>
      <c r="AD230" s="231">
        <f>(INDEX(Models!$BJ230:$BT230,,AH230)*(1-AF230)+INDEX(Models!$BJ230:$BT230,,AH230+1)*AF230-ERP_i)*AE230*Ramure*Pc/MaxiM</f>
        <v>2.2197260007195047E-3</v>
      </c>
      <c r="AE230" s="305">
        <f t="shared" si="88"/>
        <v>0.7</v>
      </c>
      <c r="AF230" s="177">
        <f t="shared" si="89"/>
        <v>0.95288834890816898</v>
      </c>
      <c r="AG230" s="921">
        <f t="shared" si="95"/>
        <v>-1</v>
      </c>
      <c r="AH230" s="176">
        <f t="shared" si="90"/>
        <v>5</v>
      </c>
      <c r="AI230" s="225">
        <f t="shared" si="91"/>
        <v>-4.7111651091831075E-2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20">
        <v>46.753999999999998</v>
      </c>
      <c r="C231" s="390"/>
      <c r="D231" s="393">
        <f t="shared" si="74"/>
        <v>47.967615059266294</v>
      </c>
      <c r="E231" s="385">
        <f t="shared" si="72"/>
        <v>48.913887685422409</v>
      </c>
      <c r="F231" s="385">
        <f t="shared" si="75"/>
        <v>49.004164979682308</v>
      </c>
      <c r="G231" s="110">
        <f t="shared" si="73"/>
        <v>0.9076850851642172</v>
      </c>
      <c r="H231" s="414" t="b">
        <f>Wh_hp&gt;='2020'!Maxi_hp</f>
        <v>0</v>
      </c>
      <c r="I231" s="380">
        <f>IF(H231,Wh_hp,'2020'!Maxi_hp)</f>
        <v>53.36011340472448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2.530071711438675E-2</v>
      </c>
      <c r="M231" s="959"/>
      <c r="N231" s="959"/>
      <c r="O231" s="48">
        <f>IF(t&lt;Tnet,'2020'!Resal+('2020'!Salim-'2020'!Resal)*(1-EXP(('2020'!Tnet-t)/('2020'!Tau_j))),Resal+(Salim-Resal)*(1-EXP((Tnet-t)/(Tau_j))))*Salcycl</f>
        <v>1.9345684240881303E-2</v>
      </c>
      <c r="P231" s="169">
        <f>(INDEX(Models!$BJ231:$BT231,,T231)*(1-R231)+INDEX(Models!$BJ231:$BT231,,T231+1)*R231-ERP_i)*Q231*Ramure*Pc/MaxiM</f>
        <v>2.1212101094174578E-3</v>
      </c>
      <c r="Q231" s="305">
        <f t="shared" si="77"/>
        <v>0.7</v>
      </c>
      <c r="R231" s="177">
        <f t="shared" si="78"/>
        <v>0.95462000688181126</v>
      </c>
      <c r="S231" s="921">
        <f t="shared" si="79"/>
        <v>-1</v>
      </c>
      <c r="T231" s="176">
        <f t="shared" si="80"/>
        <v>5</v>
      </c>
      <c r="U231" s="251">
        <f t="shared" si="81"/>
        <v>-4.5379993118188744E-2</v>
      </c>
      <c r="V231" s="383">
        <f t="shared" si="82"/>
        <v>51.494657773239155</v>
      </c>
      <c r="W231" s="402"/>
      <c r="X231" s="157">
        <f t="shared" si="83"/>
        <v>44413</v>
      </c>
      <c r="Y231" s="385">
        <f t="shared" si="84"/>
        <v>43.280330109612244</v>
      </c>
      <c r="Z231" s="385">
        <f t="shared" si="85"/>
        <v>44.403777523545635</v>
      </c>
      <c r="AA231" s="386">
        <f t="shared" si="86"/>
        <v>48.913887685422409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9.2205105242961508E-2</v>
      </c>
      <c r="AD231" s="231">
        <f>(INDEX(Models!$BJ231:$BT231,,AH231)*(1-AF231)+INDEX(Models!$BJ231:$BT231,,AH231+1)*AF231-ERP_i)*AE231*Ramure*Pc/MaxiM</f>
        <v>2.1212101094174578E-3</v>
      </c>
      <c r="AE231" s="305">
        <f t="shared" si="88"/>
        <v>0.7</v>
      </c>
      <c r="AF231" s="177">
        <f t="shared" si="89"/>
        <v>0.95462000688181126</v>
      </c>
      <c r="AG231" s="921">
        <f t="shared" si="95"/>
        <v>-1</v>
      </c>
      <c r="AH231" s="176">
        <f t="shared" si="90"/>
        <v>5</v>
      </c>
      <c r="AI231" s="225">
        <f t="shared" si="91"/>
        <v>-4.5379993118188744E-2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20">
        <v>17.541</v>
      </c>
      <c r="C232" s="390"/>
      <c r="D232" s="393">
        <f t="shared" si="74"/>
        <v>17.996713970488649</v>
      </c>
      <c r="E232" s="385">
        <f t="shared" si="72"/>
        <v>18.353554071693225</v>
      </c>
      <c r="F232" s="385">
        <f t="shared" si="75"/>
        <v>18.355747007095687</v>
      </c>
      <c r="G232" s="110">
        <f t="shared" si="73"/>
        <v>0.34068146525357423</v>
      </c>
      <c r="H232" s="414" t="b">
        <f>Wh_hp&gt;='2020'!Maxi_hp</f>
        <v>0</v>
      </c>
      <c r="I232" s="380">
        <f>IF(H232,Wh_hp,'2020'!Maxi_hp)</f>
        <v>54.203152791652954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2.5322065530181681E-2</v>
      </c>
      <c r="M232" s="959"/>
      <c r="N232" s="959"/>
      <c r="O232" s="48">
        <f>IF(t&lt;Tnet,'2020'!Resal+('2020'!Salim-'2020'!Resal)*(1-EXP(('2020'!Tnet-t)/('2020'!Tau_j))),Resal+(Salim-Resal)*(1-EXP((Tnet-t)/(Tau_j))))*Salcycl</f>
        <v>1.944256135954231E-2</v>
      </c>
      <c r="P232" s="169">
        <f>(INDEX(Models!$BJ232:$BT232,,T232)*(1-R232)+INDEX(Models!$BJ232:$BT232,,T232+1)*R232-ERP_i)*Q232*Ramure*Pc/MaxiM</f>
        <v>2.0233532668872188E-3</v>
      </c>
      <c r="Q232" s="305">
        <f t="shared" si="77"/>
        <v>0.7</v>
      </c>
      <c r="R232" s="177">
        <f t="shared" si="78"/>
        <v>0.95629442419134281</v>
      </c>
      <c r="S232" s="921">
        <f t="shared" si="79"/>
        <v>-1</v>
      </c>
      <c r="T232" s="176">
        <f t="shared" si="80"/>
        <v>5</v>
      </c>
      <c r="U232" s="251">
        <f t="shared" si="81"/>
        <v>-4.3705575808657193E-2</v>
      </c>
      <c r="V232" s="383">
        <f t="shared" si="82"/>
        <v>51.38993973674885</v>
      </c>
      <c r="W232" s="402"/>
      <c r="X232" s="157">
        <f t="shared" si="83"/>
        <v>44414</v>
      </c>
      <c r="Y232" s="385">
        <f t="shared" si="84"/>
        <v>16.238853072746814</v>
      </c>
      <c r="Z232" s="385">
        <f t="shared" si="85"/>
        <v>16.660737355852866</v>
      </c>
      <c r="AA232" s="386">
        <f t="shared" si="86"/>
        <v>18.353554071693225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9.2233728095813206E-2</v>
      </c>
      <c r="AD232" s="231">
        <f>(INDEX(Models!$BJ232:$BT232,,AH232)*(1-AF232)+INDEX(Models!$BJ232:$BT232,,AH232+1)*AF232-ERP_i)*AE232*Ramure*Pc/MaxiM</f>
        <v>2.0233532668872188E-3</v>
      </c>
      <c r="AE232" s="305">
        <f t="shared" si="88"/>
        <v>0.7</v>
      </c>
      <c r="AF232" s="177">
        <f t="shared" si="89"/>
        <v>0.95629442419134281</v>
      </c>
      <c r="AG232" s="921">
        <f t="shared" si="95"/>
        <v>-1</v>
      </c>
      <c r="AH232" s="176">
        <f t="shared" si="90"/>
        <v>5</v>
      </c>
      <c r="AI232" s="225">
        <f t="shared" si="91"/>
        <v>-4.3705575808657193E-2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20">
        <v>22.959</v>
      </c>
      <c r="C233" s="390"/>
      <c r="D233" s="393">
        <f t="shared" si="74"/>
        <v>23.555989173516956</v>
      </c>
      <c r="E233" s="385">
        <f t="shared" ref="E233:E296" si="96">Wh_pvt/(1-Psa)</f>
        <v>24.025429236600829</v>
      </c>
      <c r="F233" s="385">
        <f t="shared" si="75"/>
        <v>24.035196394507516</v>
      </c>
      <c r="G233" s="110">
        <f t="shared" ref="G233:G296" si="97">+Wh_hp/MaxiM</f>
        <v>0.44700009849666988</v>
      </c>
      <c r="H233" s="414" t="b">
        <f>Wh_hp&gt;='2020'!Maxi_hp</f>
        <v>0</v>
      </c>
      <c r="I233" s="380">
        <f>IF(H233,Wh_hp,'2020'!Maxi_hp)</f>
        <v>52.896291663476283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2.5343413478391641E-2</v>
      </c>
      <c r="M233" s="959"/>
      <c r="N233" s="959"/>
      <c r="O233" s="48">
        <f>IF(t&lt;Tnet,'2020'!Resal+('2020'!Salim-'2020'!Resal)*(1-EXP(('2020'!Tnet-t)/('2020'!Tau_j))),Resal+(Salim-Resal)*(1-EXP((Tnet-t)/(Tau_j))))*Salcycl</f>
        <v>1.9539299733663834E-2</v>
      </c>
      <c r="P233" s="169">
        <f>(INDEX(Models!$BJ233:$BT233,,T233)*(1-R233)+INDEX(Models!$BJ233:$BT233,,T233+1)*R233-ERP_i)*Q233*Ramure*Pc/MaxiM</f>
        <v>1.9261701697524261E-3</v>
      </c>
      <c r="Q233" s="305">
        <f t="shared" si="77"/>
        <v>0.7</v>
      </c>
      <c r="R233" s="177">
        <f t="shared" si="78"/>
        <v>0.95791304807090638</v>
      </c>
      <c r="S233" s="921">
        <f t="shared" si="79"/>
        <v>-1</v>
      </c>
      <c r="T233" s="176">
        <f t="shared" si="80"/>
        <v>5</v>
      </c>
      <c r="U233" s="251">
        <f t="shared" si="81"/>
        <v>-4.2086951929093619E-2</v>
      </c>
      <c r="V233" s="383">
        <f t="shared" si="82"/>
        <v>51.284312410705688</v>
      </c>
      <c r="W233" s="402"/>
      <c r="X233" s="157">
        <f t="shared" si="83"/>
        <v>44415</v>
      </c>
      <c r="Y233" s="385">
        <f t="shared" si="84"/>
        <v>21.256083248837324</v>
      </c>
      <c r="Z233" s="385">
        <f t="shared" si="85"/>
        <v>21.808792494489619</v>
      </c>
      <c r="AA233" s="386">
        <f t="shared" si="86"/>
        <v>24.025429236600829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9.2262107797613804E-2</v>
      </c>
      <c r="AD233" s="231">
        <f>(INDEX(Models!$BJ233:$BT233,,AH233)*(1-AF233)+INDEX(Models!$BJ233:$BT233,,AH233+1)*AF233-ERP_i)*AE233*Ramure*Pc/MaxiM</f>
        <v>1.9261701697524261E-3</v>
      </c>
      <c r="AE233" s="305">
        <f t="shared" si="88"/>
        <v>0.7</v>
      </c>
      <c r="AF233" s="177">
        <f t="shared" si="89"/>
        <v>0.95791304807090638</v>
      </c>
      <c r="AG233" s="921">
        <f t="shared" si="95"/>
        <v>-1</v>
      </c>
      <c r="AH233" s="176">
        <f t="shared" si="90"/>
        <v>5</v>
      </c>
      <c r="AI233" s="225">
        <f t="shared" si="91"/>
        <v>-4.2086951929093619E-2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20">
        <v>36.548999999999999</v>
      </c>
      <c r="C234" s="390"/>
      <c r="D234" s="393">
        <f t="shared" si="74"/>
        <v>37.500183182339761</v>
      </c>
      <c r="E234" s="385">
        <f t="shared" si="96"/>
        <v>38.251281501715603</v>
      </c>
      <c r="F234" s="385">
        <f t="shared" si="75"/>
        <v>38.292762322285348</v>
      </c>
      <c r="G234" s="110">
        <f t="shared" si="97"/>
        <v>0.71362268633149917</v>
      </c>
      <c r="H234" s="414" t="b">
        <f>Wh_hp&gt;='2020'!Maxi_hp</f>
        <v>0</v>
      </c>
      <c r="I234" s="380">
        <f>IF(H234,Wh_hp,'2020'!Maxi_hp)</f>
        <v>51.803831793657018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2.5364760959026622E-2</v>
      </c>
      <c r="M234" s="959"/>
      <c r="N234" s="959"/>
      <c r="O234" s="48">
        <f>IF(t&lt;Tnet,'2020'!Resal+('2020'!Salim-'2020'!Resal)*(1-EXP(('2020'!Tnet-t)/('2020'!Tau_j))),Resal+(Salim-Resal)*(1-EXP((Tnet-t)/(Tau_j))))*Salcycl</f>
        <v>1.9635899501619525E-2</v>
      </c>
      <c r="P234" s="169">
        <f>(INDEX(Models!$BJ234:$BT234,,T234)*(1-R234)+INDEX(Models!$BJ234:$BT234,,T234+1)*R234-ERP_i)*Q234*Ramure*Pc/MaxiM</f>
        <v>1.8308951281859613E-3</v>
      </c>
      <c r="Q234" s="305">
        <f t="shared" si="77"/>
        <v>0.7</v>
      </c>
      <c r="R234" s="177">
        <f t="shared" si="78"/>
        <v>0.95947732200382796</v>
      </c>
      <c r="S234" s="921">
        <f t="shared" si="79"/>
        <v>-1</v>
      </c>
      <c r="T234" s="176">
        <f t="shared" si="80"/>
        <v>5</v>
      </c>
      <c r="U234" s="251">
        <f t="shared" si="81"/>
        <v>-4.0522677996172096E-2</v>
      </c>
      <c r="V234" s="383">
        <f t="shared" si="82"/>
        <v>51.17780805245247</v>
      </c>
      <c r="W234" s="402"/>
      <c r="X234" s="157">
        <f t="shared" si="83"/>
        <v>44416</v>
      </c>
      <c r="Y234" s="385">
        <f t="shared" si="84"/>
        <v>33.840369842817871</v>
      </c>
      <c r="Z234" s="385">
        <f t="shared" si="85"/>
        <v>34.721061261971499</v>
      </c>
      <c r="AA234" s="386">
        <f t="shared" si="86"/>
        <v>38.251281501715603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9.2290247572117817E-2</v>
      </c>
      <c r="AD234" s="231">
        <f>(INDEX(Models!$BJ234:$BT234,,AH234)*(1-AF234)+INDEX(Models!$BJ234:$BT234,,AH234+1)*AF234-ERP_i)*AE234*Ramure*Pc/MaxiM</f>
        <v>1.8308951281859613E-3</v>
      </c>
      <c r="AE234" s="305">
        <f t="shared" si="88"/>
        <v>0.7</v>
      </c>
      <c r="AF234" s="177">
        <f t="shared" si="89"/>
        <v>0.95947732200382796</v>
      </c>
      <c r="AG234" s="921">
        <f t="shared" si="95"/>
        <v>-1</v>
      </c>
      <c r="AH234" s="176">
        <f t="shared" si="90"/>
        <v>5</v>
      </c>
      <c r="AI234" s="225">
        <f t="shared" si="91"/>
        <v>-4.0522677996172096E-2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20">
        <v>51.983000000000004</v>
      </c>
      <c r="C235" s="390"/>
      <c r="D235" s="393">
        <f t="shared" si="74"/>
        <v>53.337019331663434</v>
      </c>
      <c r="E235" s="385">
        <f t="shared" si="96"/>
        <v>54.410670290561697</v>
      </c>
      <c r="F235" s="385">
        <f t="shared" si="75"/>
        <v>54.505372378920782</v>
      </c>
      <c r="G235" s="110">
        <f t="shared" si="97"/>
        <v>1.0178671681605389</v>
      </c>
      <c r="H235" s="414" t="b">
        <f>Wh_hp&gt;='2020'!Maxi_hp</f>
        <v>1</v>
      </c>
      <c r="I235" s="380">
        <f>IF(H235,Wh_hp,'2020'!Maxi_hp)</f>
        <v>54.505372378920782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2.538610797209695E-2</v>
      </c>
      <c r="M235" s="959"/>
      <c r="N235" s="959"/>
      <c r="O235" s="48">
        <f>IF(t&lt;Tnet,'2020'!Resal+('2020'!Salim-'2020'!Resal)*(1-EXP(('2020'!Tnet-t)/('2020'!Tau_j))),Resal+(Salim-Resal)*(1-EXP((Tnet-t)/(Tau_j))))*Salcycl</f>
        <v>1.9732360457329304E-2</v>
      </c>
      <c r="P235" s="169">
        <f>(INDEX(Models!$BJ235:$BT235,,T235)*(1-R235)+INDEX(Models!$BJ235:$BT235,,T235+1)*R235-ERP_i)*Q235*Ramure*Pc/MaxiM</f>
        <v>1.7374817238330687E-3</v>
      </c>
      <c r="Q235" s="305">
        <f t="shared" si="77"/>
        <v>0.7</v>
      </c>
      <c r="R235" s="177">
        <f t="shared" si="78"/>
        <v>0.9609886828724562</v>
      </c>
      <c r="S235" s="921">
        <f t="shared" si="79"/>
        <v>-1</v>
      </c>
      <c r="T235" s="176">
        <f t="shared" si="80"/>
        <v>5</v>
      </c>
      <c r="U235" s="251">
        <f t="shared" si="81"/>
        <v>-3.9011317127543799E-2</v>
      </c>
      <c r="V235" s="383">
        <f t="shared" si="82"/>
        <v>51.070514528867484</v>
      </c>
      <c r="W235" s="402"/>
      <c r="X235" s="157">
        <f t="shared" si="83"/>
        <v>44417</v>
      </c>
      <c r="Y235" s="385">
        <f t="shared" si="84"/>
        <v>48.133819539752771</v>
      </c>
      <c r="Z235" s="385">
        <f t="shared" si="85"/>
        <v>49.387577925448561</v>
      </c>
      <c r="AA235" s="386">
        <f t="shared" si="86"/>
        <v>54.410670290561697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9.2318148963962732E-2</v>
      </c>
      <c r="AD235" s="231">
        <f>(INDEX(Models!$BJ235:$BT235,,AH235)*(1-AF235)+INDEX(Models!$BJ235:$BT235,,AH235+1)*AF235-ERP_i)*AE235*Ramure*Pc/MaxiM</f>
        <v>1.7374817238330687E-3</v>
      </c>
      <c r="AE235" s="305">
        <f t="shared" si="88"/>
        <v>0.7</v>
      </c>
      <c r="AF235" s="177">
        <f t="shared" si="89"/>
        <v>0.9609886828724562</v>
      </c>
      <c r="AG235" s="921">
        <f t="shared" si="95"/>
        <v>-1</v>
      </c>
      <c r="AH235" s="176">
        <f t="shared" si="90"/>
        <v>5</v>
      </c>
      <c r="AI235" s="225">
        <f t="shared" si="91"/>
        <v>-3.9011317127543799E-2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20">
        <v>50.408000000000001</v>
      </c>
      <c r="C236" s="390"/>
      <c r="D236" s="393">
        <f t="shared" si="74"/>
        <v>51.722127604669829</v>
      </c>
      <c r="E236" s="385">
        <f t="shared" si="96"/>
        <v>52.768456552667146</v>
      </c>
      <c r="F236" s="385">
        <f t="shared" si="75"/>
        <v>52.854099421104479</v>
      </c>
      <c r="G236" s="110">
        <f t="shared" si="97"/>
        <v>0.98909378514077395</v>
      </c>
      <c r="H236" s="414" t="b">
        <f>Wh_hp&gt;='2020'!Maxi_hp</f>
        <v>1</v>
      </c>
      <c r="I236" s="380">
        <f>IF(H236,Wh_hp,'2020'!Maxi_hp)</f>
        <v>52.854099421104479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2.540745451761306E-2</v>
      </c>
      <c r="M236" s="959"/>
      <c r="N236" s="959"/>
      <c r="O236" s="48">
        <f>IF(t&lt;Tnet,'2020'!Resal+('2020'!Salim-'2020'!Resal)*(1-EXP(('2020'!Tnet-t)/('2020'!Tau_j))),Resal+(Salim-Resal)*(1-EXP((Tnet-t)/(Tau_j))))*Salcycl</f>
        <v>1.9828682064122791E-2</v>
      </c>
      <c r="P236" s="169">
        <f>(INDEX(Models!$BJ236:$BT236,,T236)*(1-R236)+INDEX(Models!$BJ236:$BT236,,T236+1)*R236-ERP_i)*Q236*Ramure*Pc/MaxiM</f>
        <v>1.6459485650475126E-3</v>
      </c>
      <c r="Q236" s="305">
        <f t="shared" si="77"/>
        <v>0.7</v>
      </c>
      <c r="R236" s="177">
        <f t="shared" si="78"/>
        <v>0.9624485583383533</v>
      </c>
      <c r="S236" s="921">
        <f t="shared" si="79"/>
        <v>-1</v>
      </c>
      <c r="T236" s="176">
        <f t="shared" si="80"/>
        <v>5</v>
      </c>
      <c r="U236" s="251">
        <f t="shared" si="81"/>
        <v>-3.7551441661646645E-2</v>
      </c>
      <c r="V236" s="383">
        <f t="shared" si="82"/>
        <v>50.962516382557304</v>
      </c>
      <c r="W236" s="402"/>
      <c r="X236" s="157">
        <f t="shared" si="83"/>
        <v>44418</v>
      </c>
      <c r="Y236" s="385">
        <f t="shared" si="84"/>
        <v>46.678607580549688</v>
      </c>
      <c r="Z236" s="385">
        <f t="shared" si="85"/>
        <v>47.895510587396828</v>
      </c>
      <c r="AA236" s="386">
        <f t="shared" si="86"/>
        <v>52.768456552667146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9.2345811941774894E-2</v>
      </c>
      <c r="AD236" s="231">
        <f>(INDEX(Models!$BJ236:$BT236,,AH236)*(1-AF236)+INDEX(Models!$BJ236:$BT236,,AH236+1)*AF236-ERP_i)*AE236*Ramure*Pc/MaxiM</f>
        <v>1.6459485650475126E-3</v>
      </c>
      <c r="AE236" s="305">
        <f t="shared" si="88"/>
        <v>0.7</v>
      </c>
      <c r="AF236" s="177">
        <f t="shared" si="89"/>
        <v>0.9624485583383533</v>
      </c>
      <c r="AG236" s="921">
        <f t="shared" si="95"/>
        <v>-1</v>
      </c>
      <c r="AH236" s="176">
        <f t="shared" si="90"/>
        <v>5</v>
      </c>
      <c r="AI236" s="225">
        <f t="shared" si="91"/>
        <v>-3.7551441661646645E-2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20">
        <v>48.728999999999999</v>
      </c>
      <c r="C237" s="390"/>
      <c r="D237" s="393">
        <f t="shared" si="74"/>
        <v>50.000451511166673</v>
      </c>
      <c r="E237" s="385">
        <f t="shared" si="96"/>
        <v>51.01695742244943</v>
      </c>
      <c r="F237" s="385">
        <f t="shared" si="75"/>
        <v>51.091725813524789</v>
      </c>
      <c r="G237" s="110">
        <f t="shared" si="97"/>
        <v>0.9581264803228996</v>
      </c>
      <c r="H237" s="414" t="b">
        <f>Wh_hp&gt;='2020'!Maxi_hp</f>
        <v>0</v>
      </c>
      <c r="I237" s="380">
        <f>IF(H237,Wh_hp,'2020'!Maxi_hp)</f>
        <v>52.879735063277003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2.5428800595584944E-2</v>
      </c>
      <c r="M237" s="959"/>
      <c r="N237" s="959"/>
      <c r="O237" s="48">
        <f>IF(t&lt;Tnet,'2020'!Resal+('2020'!Salim-'2020'!Resal)*(1-EXP(('2020'!Tnet-t)/('2020'!Tau_j))),Resal+(Salim-Resal)*(1-EXP((Tnet-t)/(Tau_j))))*Salcycl</f>
        <v>1.992486346971865E-2</v>
      </c>
      <c r="P237" s="169">
        <f>(INDEX(Models!$BJ237:$BT237,,T237)*(1-R237)+INDEX(Models!$BJ237:$BT237,,T237+1)*R237-ERP_i)*Q237*Ramure*Pc/MaxiM</f>
        <v>1.5563143166585594E-3</v>
      </c>
      <c r="Q237" s="305">
        <f t="shared" si="77"/>
        <v>0.7</v>
      </c>
      <c r="R237" s="177">
        <f t="shared" si="78"/>
        <v>0.96385836444469586</v>
      </c>
      <c r="S237" s="921">
        <f t="shared" si="79"/>
        <v>-1</v>
      </c>
      <c r="T237" s="176">
        <f t="shared" si="80"/>
        <v>5</v>
      </c>
      <c r="U237" s="251">
        <f t="shared" si="81"/>
        <v>-3.6141635555304141E-2</v>
      </c>
      <c r="V237" s="383">
        <f t="shared" si="82"/>
        <v>50.853898174070984</v>
      </c>
      <c r="W237" s="402"/>
      <c r="X237" s="157">
        <f t="shared" si="83"/>
        <v>44419</v>
      </c>
      <c r="Y237" s="385">
        <f t="shared" si="84"/>
        <v>45.126891789229362</v>
      </c>
      <c r="Z237" s="385">
        <f t="shared" si="85"/>
        <v>46.304356025303782</v>
      </c>
      <c r="AA237" s="386">
        <f t="shared" si="86"/>
        <v>51.01695742244943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9.2373235003464213E-2</v>
      </c>
      <c r="AD237" s="231">
        <f>(INDEX(Models!$BJ237:$BT237,,AH237)*(1-AF237)+INDEX(Models!$BJ237:$BT237,,AH237+1)*AF237-ERP_i)*AE237*Ramure*Pc/MaxiM</f>
        <v>1.5563143166585594E-3</v>
      </c>
      <c r="AE237" s="305">
        <f t="shared" si="88"/>
        <v>0.7</v>
      </c>
      <c r="AF237" s="177">
        <f t="shared" si="89"/>
        <v>0.96385836444469586</v>
      </c>
      <c r="AG237" s="921">
        <f t="shared" si="95"/>
        <v>-1</v>
      </c>
      <c r="AH237" s="176">
        <f t="shared" si="90"/>
        <v>5</v>
      </c>
      <c r="AI237" s="225">
        <f t="shared" si="91"/>
        <v>-3.6141635555304141E-2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20">
        <v>47.204999999999998</v>
      </c>
      <c r="C238" s="390"/>
      <c r="D238" s="393">
        <f t="shared" si="74"/>
        <v>48.437747762444673</v>
      </c>
      <c r="E238" s="385">
        <f t="shared" si="96"/>
        <v>49.427327518033621</v>
      </c>
      <c r="F238" s="385">
        <f t="shared" si="75"/>
        <v>49.492769339078812</v>
      </c>
      <c r="G238" s="110">
        <f t="shared" si="97"/>
        <v>0.93010779737543281</v>
      </c>
      <c r="H238" s="414" t="b">
        <f>Wh_hp&gt;='2020'!Maxi_hp</f>
        <v>0</v>
      </c>
      <c r="I238" s="380">
        <f>IF(H238,Wh_hp,'2020'!Maxi_hp)</f>
        <v>51.227825043986797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2.5450146206022928E-2</v>
      </c>
      <c r="M238" s="959"/>
      <c r="N238" s="959"/>
      <c r="O238" s="48">
        <f>IF(t&lt;Tnet,'2020'!Resal+('2020'!Salim-'2020'!Resal)*(1-EXP(('2020'!Tnet-t)/('2020'!Tau_j))),Resal+(Salim-Resal)*(1-EXP((Tnet-t)/(Tau_j))))*Salcycl</f>
        <v>2.0020903522002004E-2</v>
      </c>
      <c r="P238" s="169">
        <f>(INDEX(Models!$BJ238:$BT238,,T238)*(1-R238)+INDEX(Models!$BJ238:$BT238,,T238+1)*R238-ERP_i)*Q238*Ramure*Pc/MaxiM</f>
        <v>1.4685977568924112E-3</v>
      </c>
      <c r="Q238" s="305">
        <f t="shared" si="77"/>
        <v>0.7</v>
      </c>
      <c r="R238" s="177">
        <f t="shared" si="78"/>
        <v>0.96521950343226193</v>
      </c>
      <c r="S238" s="921">
        <f t="shared" si="79"/>
        <v>-1</v>
      </c>
      <c r="T238" s="176">
        <f t="shared" si="80"/>
        <v>5</v>
      </c>
      <c r="U238" s="251">
        <f t="shared" si="81"/>
        <v>-3.4780496567738073E-2</v>
      </c>
      <c r="V238" s="383">
        <f t="shared" si="82"/>
        <v>50.744744477086314</v>
      </c>
      <c r="W238" s="402"/>
      <c r="X238" s="157">
        <f t="shared" si="83"/>
        <v>44420</v>
      </c>
      <c r="Y238" s="385">
        <f t="shared" si="84"/>
        <v>43.718522722148926</v>
      </c>
      <c r="Z238" s="385">
        <f t="shared" si="85"/>
        <v>44.860221929078612</v>
      </c>
      <c r="AA238" s="386">
        <f t="shared" si="86"/>
        <v>49.427327518033621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9.2400415282187717E-2</v>
      </c>
      <c r="AD238" s="231">
        <f>(INDEX(Models!$BJ238:$BT238,,AH238)*(1-AF238)+INDEX(Models!$BJ238:$BT238,,AH238+1)*AF238-ERP_i)*AE238*Ramure*Pc/MaxiM</f>
        <v>1.4685977568924112E-3</v>
      </c>
      <c r="AE238" s="305">
        <f t="shared" si="88"/>
        <v>0.7</v>
      </c>
      <c r="AF238" s="177">
        <f t="shared" si="89"/>
        <v>0.96521950343226193</v>
      </c>
      <c r="AG238" s="921">
        <f t="shared" si="95"/>
        <v>-1</v>
      </c>
      <c r="AH238" s="176">
        <f t="shared" si="90"/>
        <v>5</v>
      </c>
      <c r="AI238" s="225">
        <f t="shared" si="91"/>
        <v>-3.4780496567738073E-2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20">
        <v>31.372</v>
      </c>
      <c r="C239" s="390"/>
      <c r="D239" s="393">
        <f t="shared" si="74"/>
        <v>32.191977681006954</v>
      </c>
      <c r="E239" s="385">
        <f t="shared" si="96"/>
        <v>32.852872369692264</v>
      </c>
      <c r="F239" s="385">
        <f t="shared" si="75"/>
        <v>32.87362533535557</v>
      </c>
      <c r="G239" s="110">
        <f t="shared" si="97"/>
        <v>0.61910381644719359</v>
      </c>
      <c r="H239" s="414" t="b">
        <f>Wh_hp&gt;='2020'!Maxi_hp</f>
        <v>0</v>
      </c>
      <c r="I239" s="380">
        <f>IF(H239,Wh_hp,'2020'!Maxi_hp)</f>
        <v>48.536022746732414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2.5471491348937336E-2</v>
      </c>
      <c r="M239" s="959"/>
      <c r="N239" s="959"/>
      <c r="O239" s="48">
        <f>IF(t&lt;Tnet,'2020'!Resal+('2020'!Salim-'2020'!Resal)*(1-EXP(('2020'!Tnet-t)/('2020'!Tau_j))),Resal+(Salim-Resal)*(1-EXP((Tnet-t)/(Tau_j))))*Salcycl</f>
        <v>2.0116800785279321E-2</v>
      </c>
      <c r="P239" s="169">
        <f>(INDEX(Models!$BJ239:$BT239,,T239)*(1-R239)+INDEX(Models!$BJ239:$BT239,,T239+1)*R239-ERP_i)*Q239*Ramure*Pc/MaxiM</f>
        <v>1.3828178248187313E-3</v>
      </c>
      <c r="Q239" s="305">
        <f t="shared" si="77"/>
        <v>0.7</v>
      </c>
      <c r="R239" s="177">
        <f t="shared" si="78"/>
        <v>0.96653336176000559</v>
      </c>
      <c r="S239" s="921">
        <f t="shared" si="79"/>
        <v>-1</v>
      </c>
      <c r="T239" s="176">
        <f t="shared" si="80"/>
        <v>5</v>
      </c>
      <c r="U239" s="251">
        <f t="shared" si="81"/>
        <v>-3.3466638239994462E-2</v>
      </c>
      <c r="V239" s="383">
        <f t="shared" si="82"/>
        <v>50.635139874307214</v>
      </c>
      <c r="W239" s="402"/>
      <c r="X239" s="157">
        <f t="shared" si="83"/>
        <v>44421</v>
      </c>
      <c r="Y239" s="385">
        <f t="shared" si="84"/>
        <v>29.056901109155437</v>
      </c>
      <c r="Z239" s="385">
        <f t="shared" si="85"/>
        <v>29.816368480975328</v>
      </c>
      <c r="AA239" s="386">
        <f t="shared" si="86"/>
        <v>32.852872369692264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9.2427348651504787E-2</v>
      </c>
      <c r="AD239" s="231">
        <f>(INDEX(Models!$BJ239:$BT239,,AH239)*(1-AF239)+INDEX(Models!$BJ239:$BT239,,AH239+1)*AF239-ERP_i)*AE239*Ramure*Pc/MaxiM</f>
        <v>1.3828178248187313E-3</v>
      </c>
      <c r="AE239" s="305">
        <f t="shared" si="88"/>
        <v>0.7</v>
      </c>
      <c r="AF239" s="177">
        <f t="shared" si="89"/>
        <v>0.96653336176000559</v>
      </c>
      <c r="AG239" s="921">
        <f t="shared" si="95"/>
        <v>-1</v>
      </c>
      <c r="AH239" s="176">
        <f t="shared" si="90"/>
        <v>5</v>
      </c>
      <c r="AI239" s="225">
        <f t="shared" si="91"/>
        <v>-3.3466638239994462E-2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20">
        <v>47.983000000000004</v>
      </c>
      <c r="C240" s="390"/>
      <c r="D240" s="393">
        <f t="shared" si="74"/>
        <v>49.238221917472096</v>
      </c>
      <c r="E240" s="385">
        <f t="shared" si="96"/>
        <v>50.253983245253927</v>
      </c>
      <c r="F240" s="385">
        <f t="shared" si="75"/>
        <v>50.31474997170676</v>
      </c>
      <c r="G240" s="110">
        <f t="shared" si="97"/>
        <v>0.9495983226803677</v>
      </c>
      <c r="H240" s="414" t="b">
        <f>Wh_hp&gt;='2020'!Maxi_hp</f>
        <v>0</v>
      </c>
      <c r="I240" s="380">
        <f>IF(H240,Wh_hp,'2020'!Maxi_hp)</f>
        <v>53.538915966622881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2.5492836024338272E-2</v>
      </c>
      <c r="M240" s="959"/>
      <c r="N240" s="959"/>
      <c r="O240" s="48">
        <f>IF(t&lt;Tnet,'2020'!Resal+('2020'!Salim-'2020'!Resal)*(1-EXP(('2020'!Tnet-t)/('2020'!Tau_j))),Resal+(Salim-Resal)*(1-EXP((Tnet-t)/(Tau_j))))*Salcycl</f>
        <v>2.0212553556692714E-2</v>
      </c>
      <c r="P240" s="169">
        <f>(INDEX(Models!$BJ240:$BT240,,T240)*(1-R240)+INDEX(Models!$BJ240:$BT240,,T240+1)*R240-ERP_i)*Q240*Ramure*Pc/MaxiM</f>
        <v>1.3012604088185127E-3</v>
      </c>
      <c r="Q240" s="305">
        <f t="shared" si="77"/>
        <v>0.7</v>
      </c>
      <c r="R240" s="177">
        <f t="shared" si="78"/>
        <v>0.96780130832095446</v>
      </c>
      <c r="S240" s="921">
        <f t="shared" si="79"/>
        <v>-1</v>
      </c>
      <c r="T240" s="176">
        <f t="shared" si="80"/>
        <v>5</v>
      </c>
      <c r="U240" s="251">
        <f t="shared" si="81"/>
        <v>-3.2198691679045544E-2</v>
      </c>
      <c r="V240" s="383">
        <f t="shared" si="82"/>
        <v>50.525054275071227</v>
      </c>
      <c r="W240" s="402"/>
      <c r="X240" s="157">
        <f t="shared" si="83"/>
        <v>44422</v>
      </c>
      <c r="Y240" s="385">
        <f t="shared" si="84"/>
        <v>44.445127813002564</v>
      </c>
      <c r="Z240" s="385">
        <f t="shared" si="85"/>
        <v>45.607799979305824</v>
      </c>
      <c r="AA240" s="386">
        <f t="shared" si="86"/>
        <v>50.253983245253927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9.2454029828310136E-2</v>
      </c>
      <c r="AD240" s="231">
        <f>(INDEX(Models!$BJ240:$BT240,,AH240)*(1-AF240)+INDEX(Models!$BJ240:$BT240,,AH240+1)*AF240-ERP_i)*AE240*Ramure*Pc/MaxiM</f>
        <v>1.3012604088185127E-3</v>
      </c>
      <c r="AE240" s="305">
        <f t="shared" si="88"/>
        <v>0.7</v>
      </c>
      <c r="AF240" s="177">
        <f t="shared" si="89"/>
        <v>0.96780130832095446</v>
      </c>
      <c r="AG240" s="921">
        <f t="shared" si="95"/>
        <v>-1</v>
      </c>
      <c r="AH240" s="176">
        <f t="shared" si="90"/>
        <v>5</v>
      </c>
      <c r="AI240" s="225">
        <f t="shared" si="91"/>
        <v>-3.2198691679045544E-2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20">
        <v>19.454000000000001</v>
      </c>
      <c r="C241" s="390"/>
      <c r="D241" s="393">
        <f t="shared" si="74"/>
        <v>19.963348470926146</v>
      </c>
      <c r="E241" s="385">
        <f t="shared" si="96"/>
        <v>20.377171324129279</v>
      </c>
      <c r="F241" s="385">
        <f t="shared" si="75"/>
        <v>20.380228759251239</v>
      </c>
      <c r="G241" s="110">
        <f t="shared" si="97"/>
        <v>0.38546601806912262</v>
      </c>
      <c r="H241" s="414" t="b">
        <f>Wh_hp&gt;='2020'!Maxi_hp</f>
        <v>0</v>
      </c>
      <c r="I241" s="380">
        <f>IF(H241,Wh_hp,'2020'!Maxi_hp)</f>
        <v>53.803189402990363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2.5514180232236061E-2</v>
      </c>
      <c r="M241" s="959"/>
      <c r="N241" s="959"/>
      <c r="O241" s="48">
        <f>IF(t&lt;Tnet,'2020'!Resal+('2020'!Salim-'2020'!Resal)*(1-EXP(('2020'!Tnet-t)/('2020'!Tau_j))),Resal+(Salim-Resal)*(1-EXP((Tnet-t)/(Tau_j))))*Salcycl</f>
        <v>2.0308159882481452E-2</v>
      </c>
      <c r="P241" s="169">
        <f>(INDEX(Models!$BJ241:$BT241,,T241)*(1-R241)+INDEX(Models!$BJ241:$BT241,,T241+1)*R241-ERP_i)*Q241*Ramure*Pc/MaxiM</f>
        <v>1.2227959224786944E-3</v>
      </c>
      <c r="Q241" s="305">
        <f t="shared" si="77"/>
        <v>0.7</v>
      </c>
      <c r="R241" s="177">
        <f t="shared" si="78"/>
        <v>0.96902469284399473</v>
      </c>
      <c r="S241" s="921">
        <f t="shared" si="79"/>
        <v>-1</v>
      </c>
      <c r="T241" s="176">
        <f t="shared" si="80"/>
        <v>5</v>
      </c>
      <c r="U241" s="251">
        <f t="shared" si="81"/>
        <v>-3.0975307156005327E-2</v>
      </c>
      <c r="V241" s="383">
        <f t="shared" si="82"/>
        <v>50.414631039883517</v>
      </c>
      <c r="W241" s="402"/>
      <c r="X241" s="157">
        <f t="shared" si="83"/>
        <v>44423</v>
      </c>
      <c r="Y241" s="385">
        <f t="shared" si="84"/>
        <v>18.02085569630535</v>
      </c>
      <c r="Z241" s="385">
        <f t="shared" si="85"/>
        <v>18.492681299970087</v>
      </c>
      <c r="AA241" s="386">
        <f t="shared" si="86"/>
        <v>20.377171324129279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9.2480452472208749E-2</v>
      </c>
      <c r="AD241" s="231">
        <f>(INDEX(Models!$BJ241:$BT241,,AH241)*(1-AF241)+INDEX(Models!$BJ241:$BT241,,AH241+1)*AF241-ERP_i)*AE241*Ramure*Pc/MaxiM</f>
        <v>1.2227959224786944E-3</v>
      </c>
      <c r="AE241" s="305">
        <f t="shared" si="88"/>
        <v>0.7</v>
      </c>
      <c r="AF241" s="177">
        <f t="shared" si="89"/>
        <v>0.96902469284399473</v>
      </c>
      <c r="AG241" s="921">
        <f t="shared" si="95"/>
        <v>-1</v>
      </c>
      <c r="AH241" s="176">
        <f t="shared" si="90"/>
        <v>5</v>
      </c>
      <c r="AI241" s="225">
        <f t="shared" si="91"/>
        <v>-3.0975307156005327E-2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20">
        <v>28.868000000000002</v>
      </c>
      <c r="C242" s="390"/>
      <c r="D242" s="393">
        <f t="shared" si="74"/>
        <v>29.624476530624705</v>
      </c>
      <c r="E242" s="385">
        <f t="shared" si="96"/>
        <v>30.241512792495637</v>
      </c>
      <c r="F242" s="385">
        <f t="shared" si="75"/>
        <v>30.255095347103303</v>
      </c>
      <c r="G242" s="110">
        <f t="shared" si="97"/>
        <v>0.57347034227303539</v>
      </c>
      <c r="H242" s="414" t="b">
        <f>Wh_hp&gt;='2020'!Maxi_hp</f>
        <v>0</v>
      </c>
      <c r="I242" s="380">
        <f>IF(H242,Wh_hp,'2020'!Maxi_hp)</f>
        <v>53.769916943030935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2.5535523972640806E-2</v>
      </c>
      <c r="M242" s="959"/>
      <c r="N242" s="959"/>
      <c r="O242" s="48">
        <f>IF(t&lt;Tnet,'2020'!Resal+('2020'!Salim-'2020'!Resal)*(1-EXP(('2020'!Tnet-t)/('2020'!Tau_j))),Resal+(Salim-Resal)*(1-EXP((Tnet-t)/(Tau_j))))*Salcycl</f>
        <v>2.0403617573789203E-2</v>
      </c>
      <c r="P242" s="169">
        <f>(INDEX(Models!$BJ242:$BT242,,T242)*(1-R242)+INDEX(Models!$BJ242:$BT242,,T242+1)*R242-ERP_i)*Q242*Ramure*Pc/MaxiM</f>
        <v>1.1474514569925136E-3</v>
      </c>
      <c r="Q242" s="305">
        <f t="shared" si="77"/>
        <v>0.7</v>
      </c>
      <c r="R242" s="177">
        <f t="shared" si="78"/>
        <v>0.97020484447201349</v>
      </c>
      <c r="S242" s="921">
        <f t="shared" si="79"/>
        <v>-1</v>
      </c>
      <c r="T242" s="176">
        <f t="shared" si="80"/>
        <v>5</v>
      </c>
      <c r="U242" s="251">
        <f t="shared" si="81"/>
        <v>-2.9795155527986561E-2</v>
      </c>
      <c r="V242" s="383">
        <f t="shared" si="82"/>
        <v>50.303954760733795</v>
      </c>
      <c r="W242" s="402"/>
      <c r="X242" s="157">
        <f t="shared" si="83"/>
        <v>44424</v>
      </c>
      <c r="Y242" s="385">
        <f t="shared" si="84"/>
        <v>26.743176754509612</v>
      </c>
      <c r="Z242" s="385">
        <f t="shared" si="85"/>
        <v>27.443972984561388</v>
      </c>
      <c r="AA242" s="386">
        <f t="shared" si="86"/>
        <v>30.241512792495637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9.2506609280090316E-2</v>
      </c>
      <c r="AD242" s="231">
        <f>(INDEX(Models!$BJ242:$BT242,,AH242)*(1-AF242)+INDEX(Models!$BJ242:$BT242,,AH242+1)*AF242-ERP_i)*AE242*Ramure*Pc/MaxiM</f>
        <v>1.1474514569925136E-3</v>
      </c>
      <c r="AE242" s="305">
        <f t="shared" si="88"/>
        <v>0.7</v>
      </c>
      <c r="AF242" s="177">
        <f t="shared" si="89"/>
        <v>0.97020484447201349</v>
      </c>
      <c r="AG242" s="921">
        <f t="shared" si="95"/>
        <v>-1</v>
      </c>
      <c r="AH242" s="176">
        <f t="shared" si="90"/>
        <v>5</v>
      </c>
      <c r="AI242" s="225">
        <f t="shared" si="91"/>
        <v>-2.9795155527986561E-2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20">
        <v>43.895000000000003</v>
      </c>
      <c r="C243" s="390"/>
      <c r="D243" s="393">
        <f t="shared" si="74"/>
        <v>45.046240795933336</v>
      </c>
      <c r="E243" s="385">
        <f t="shared" si="96"/>
        <v>45.98896510669119</v>
      </c>
      <c r="F243" s="385">
        <f t="shared" si="75"/>
        <v>46.029586718933118</v>
      </c>
      <c r="G243" s="110">
        <f t="shared" si="97"/>
        <v>0.87435371169026821</v>
      </c>
      <c r="H243" s="414" t="b">
        <f>Wh_hp&gt;='2020'!Maxi_hp</f>
        <v>0</v>
      </c>
      <c r="I243" s="380">
        <f>IF(H243,Wh_hp,'2020'!Maxi_hp)</f>
        <v>51.890414604753857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2.5556867245563053E-2</v>
      </c>
      <c r="M243" s="959"/>
      <c r="N243" s="959"/>
      <c r="O243" s="48">
        <f>IF(t&lt;Tnet,'2020'!Resal+('2020'!Salim-'2020'!Resal)*(1-EXP(('2020'!Tnet-t)/('2020'!Tau_j))),Resal+(Salim-Resal)*(1-EXP((Tnet-t)/(Tau_j))))*Salcycl</f>
        <v>2.049892422173006E-2</v>
      </c>
      <c r="P243" s="169">
        <f>(INDEX(Models!$BJ243:$BT243,,T243)*(1-R243)+INDEX(Models!$BJ243:$BT243,,T243+1)*R243-ERP_i)*Q243*Ramure*Pc/MaxiM</f>
        <v>1.0752541821426004E-3</v>
      </c>
      <c r="Q243" s="305">
        <f t="shared" si="77"/>
        <v>0.7</v>
      </c>
      <c r="R243" s="177">
        <f t="shared" si="78"/>
        <v>0.97134307050686608</v>
      </c>
      <c r="S243" s="921">
        <f t="shared" si="79"/>
        <v>-1</v>
      </c>
      <c r="T243" s="176">
        <f t="shared" si="80"/>
        <v>5</v>
      </c>
      <c r="U243" s="251">
        <f t="shared" si="81"/>
        <v>-2.865692949313392E-2</v>
      </c>
      <c r="V243" s="383">
        <f t="shared" si="82"/>
        <v>50.19311003549204</v>
      </c>
      <c r="W243" s="402"/>
      <c r="X243" s="157">
        <f t="shared" si="83"/>
        <v>44425</v>
      </c>
      <c r="Y243" s="385">
        <f t="shared" si="84"/>
        <v>40.6669142540024</v>
      </c>
      <c r="Z243" s="385">
        <f t="shared" si="85"/>
        <v>41.733491557429453</v>
      </c>
      <c r="AA243" s="386">
        <f t="shared" si="86"/>
        <v>45.98896510669119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9.2532492074769157E-2</v>
      </c>
      <c r="AD243" s="231">
        <f>(INDEX(Models!$BJ243:$BT243,,AH243)*(1-AF243)+INDEX(Models!$BJ243:$BT243,,AH243+1)*AF243-ERP_i)*AE243*Ramure*Pc/MaxiM</f>
        <v>1.0752541821426004E-3</v>
      </c>
      <c r="AE243" s="305">
        <f t="shared" si="88"/>
        <v>0.7</v>
      </c>
      <c r="AF243" s="177">
        <f t="shared" si="89"/>
        <v>0.97134307050686608</v>
      </c>
      <c r="AG243" s="921">
        <f t="shared" si="95"/>
        <v>-1</v>
      </c>
      <c r="AH243" s="176">
        <f t="shared" si="90"/>
        <v>5</v>
      </c>
      <c r="AI243" s="225">
        <f t="shared" si="91"/>
        <v>-2.865692949313392E-2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20">
        <v>46.896000000000001</v>
      </c>
      <c r="C244" s="390"/>
      <c r="D244" s="393">
        <f t="shared" si="74"/>
        <v>48.127002581146186</v>
      </c>
      <c r="E244" s="385">
        <f t="shared" si="96"/>
        <v>49.138974414326</v>
      </c>
      <c r="F244" s="385">
        <f t="shared" si="75"/>
        <v>49.183966953911138</v>
      </c>
      <c r="G244" s="110">
        <f t="shared" si="97"/>
        <v>0.93629522574307611</v>
      </c>
      <c r="H244" s="414" t="b">
        <f>Wh_hp&gt;='2020'!Maxi_hp</f>
        <v>1</v>
      </c>
      <c r="I244" s="380">
        <f>IF(H244,Wh_hp,'2020'!Maxi_hp)</f>
        <v>49.183966953911138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2.5578210051012684E-2</v>
      </c>
      <c r="M244" s="959"/>
      <c r="N244" s="959"/>
      <c r="O244" s="48">
        <f>IF(t&lt;Tnet,'2020'!Resal+('2020'!Salim-'2020'!Resal)*(1-EXP(('2020'!Tnet-t)/('2020'!Tau_j))),Resal+(Salim-Resal)*(1-EXP((Tnet-t)/(Tau_j))))*Salcycl</f>
        <v>2.0594077211444232E-2</v>
      </c>
      <c r="P244" s="169">
        <f>(INDEX(Models!$BJ244:$BT244,,T244)*(1-R244)+INDEX(Models!$BJ244:$BT244,,T244+1)*R244-ERP_i)*Q244*Ramure*Pc/MaxiM</f>
        <v>1.0062313216667844E-3</v>
      </c>
      <c r="Q244" s="305">
        <f t="shared" si="77"/>
        <v>0.7</v>
      </c>
      <c r="R244" s="177">
        <f t="shared" si="78"/>
        <v>0.97244065531167967</v>
      </c>
      <c r="S244" s="921">
        <f t="shared" si="79"/>
        <v>-1</v>
      </c>
      <c r="T244" s="176">
        <f t="shared" si="80"/>
        <v>5</v>
      </c>
      <c r="U244" s="251">
        <f t="shared" si="81"/>
        <v>-2.7559344688320331E-2</v>
      </c>
      <c r="V244" s="383">
        <f t="shared" si="82"/>
        <v>50.082181465470541</v>
      </c>
      <c r="W244" s="402"/>
      <c r="X244" s="157">
        <f t="shared" si="83"/>
        <v>44426</v>
      </c>
      <c r="Y244" s="385">
        <f t="shared" si="84"/>
        <v>43.450212759301138</v>
      </c>
      <c r="Z244" s="385">
        <f t="shared" si="85"/>
        <v>44.590764705267759</v>
      </c>
      <c r="AA244" s="386">
        <f t="shared" si="86"/>
        <v>49.138974414326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9.2558091886676575E-2</v>
      </c>
      <c r="AD244" s="231">
        <f>(INDEX(Models!$BJ244:$BT244,,AH244)*(1-AF244)+INDEX(Models!$BJ244:$BT244,,AH244+1)*AF244-ERP_i)*AE244*Ramure*Pc/MaxiM</f>
        <v>1.0062313216667844E-3</v>
      </c>
      <c r="AE244" s="305">
        <f t="shared" si="88"/>
        <v>0.7</v>
      </c>
      <c r="AF244" s="177">
        <f t="shared" si="89"/>
        <v>0.97244065531167967</v>
      </c>
      <c r="AG244" s="921">
        <f t="shared" si="95"/>
        <v>-1</v>
      </c>
      <c r="AH244" s="176">
        <f t="shared" si="90"/>
        <v>5</v>
      </c>
      <c r="AI244" s="225">
        <f t="shared" si="91"/>
        <v>-2.7559344688320331E-2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20">
        <v>42.14</v>
      </c>
      <c r="C245" s="390"/>
      <c r="D245" s="393">
        <f t="shared" si="74"/>
        <v>43.247106570319566</v>
      </c>
      <c r="E245" s="385">
        <f t="shared" si="96"/>
        <v>44.160751616706079</v>
      </c>
      <c r="F245" s="385">
        <f t="shared" si="75"/>
        <v>44.193006864418827</v>
      </c>
      <c r="G245" s="110">
        <f t="shared" si="97"/>
        <v>0.84310715404406866</v>
      </c>
      <c r="H245" s="414" t="b">
        <f>Wh_hp&gt;='2020'!Maxi_hp</f>
        <v>0</v>
      </c>
      <c r="I245" s="380">
        <f>IF(H245,Wh_hp,'2020'!Maxi_hp)</f>
        <v>49.967163493960541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2.5599552389000135E-2</v>
      </c>
      <c r="M245" s="959"/>
      <c r="N245" s="959"/>
      <c r="O245" s="48">
        <f>IF(t&lt;Tnet,'2020'!Resal+('2020'!Salim-'2020'!Resal)*(1-EXP(('2020'!Tnet-t)/('2020'!Tau_j))),Resal+(Salim-Resal)*(1-EXP((Tnet-t)/(Tau_j))))*Salcycl</f>
        <v>2.0689073734897197E-2</v>
      </c>
      <c r="P245" s="169">
        <f>(INDEX(Models!$BJ245:$BT245,,T245)*(1-R245)+INDEX(Models!$BJ245:$BT245,,T245+1)*R245-ERP_i)*Q245*Ramure*Pc/MaxiM</f>
        <v>9.404101190938083E-4</v>
      </c>
      <c r="Q245" s="305">
        <f t="shared" si="77"/>
        <v>0.7</v>
      </c>
      <c r="R245" s="177">
        <f t="shared" si="78"/>
        <v>0.97349885936111902</v>
      </c>
      <c r="S245" s="921">
        <f t="shared" si="79"/>
        <v>-1</v>
      </c>
      <c r="T245" s="176">
        <f t="shared" si="80"/>
        <v>5</v>
      </c>
      <c r="U245" s="251">
        <f t="shared" si="81"/>
        <v>-2.6501140638880982E-2</v>
      </c>
      <c r="V245" s="383">
        <f t="shared" si="82"/>
        <v>49.971253654222537</v>
      </c>
      <c r="W245" s="402"/>
      <c r="X245" s="157">
        <f t="shared" si="83"/>
        <v>44427</v>
      </c>
      <c r="Y245" s="385">
        <f t="shared" si="84"/>
        <v>39.046368767482093</v>
      </c>
      <c r="Z245" s="385">
        <f t="shared" si="85"/>
        <v>40.072199128412329</v>
      </c>
      <c r="AA245" s="386">
        <f t="shared" si="86"/>
        <v>44.160751616706079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9.2583399027724902E-2</v>
      </c>
      <c r="AD245" s="231">
        <f>(INDEX(Models!$BJ245:$BT245,,AH245)*(1-AF245)+INDEX(Models!$BJ245:$BT245,,AH245+1)*AF245-ERP_i)*AE245*Ramure*Pc/MaxiM</f>
        <v>9.404101190938083E-4</v>
      </c>
      <c r="AE245" s="305">
        <f t="shared" si="88"/>
        <v>0.7</v>
      </c>
      <c r="AF245" s="177">
        <f t="shared" si="89"/>
        <v>0.97349885936111902</v>
      </c>
      <c r="AG245" s="921">
        <f t="shared" si="95"/>
        <v>-1</v>
      </c>
      <c r="AH245" s="176">
        <f t="shared" si="90"/>
        <v>5</v>
      </c>
      <c r="AI245" s="225">
        <f t="shared" si="91"/>
        <v>-2.6501140638880982E-2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20">
        <v>50.09</v>
      </c>
      <c r="C246" s="390"/>
      <c r="D246" s="393">
        <f t="shared" si="74"/>
        <v>51.407095764779243</v>
      </c>
      <c r="E246" s="385">
        <f t="shared" si="96"/>
        <v>52.498213961019935</v>
      </c>
      <c r="F246" s="385">
        <f t="shared" si="75"/>
        <v>52.544338316202321</v>
      </c>
      <c r="G246" s="110">
        <f t="shared" si="97"/>
        <v>1.0046046309747407</v>
      </c>
      <c r="H246" s="414" t="b">
        <f>Wh_hp&gt;='2020'!Maxi_hp</f>
        <v>1</v>
      </c>
      <c r="I246" s="380">
        <f>IF(H246,Wh_hp,'2020'!Maxi_hp)</f>
        <v>52.544338316202321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2.5620894259535731E-2</v>
      </c>
      <c r="M246" s="959"/>
      <c r="N246" s="959"/>
      <c r="O246" s="48">
        <f>IF(t&lt;Tnet,'2020'!Resal+('2020'!Salim-'2020'!Resal)*(1-EXP(('2020'!Tnet-t)/('2020'!Tau_j))),Resal+(Salim-Resal)*(1-EXP((Tnet-t)/(Tau_j))))*Salcycl</f>
        <v>2.0783910802200895E-2</v>
      </c>
      <c r="P246" s="169">
        <f>(INDEX(Models!$BJ246:$BT246,,T246)*(1-R246)+INDEX(Models!$BJ246:$BT246,,T246+1)*R246-ERP_i)*Q246*Ramure*Pc/MaxiM</f>
        <v>8.7781779465588366E-4</v>
      </c>
      <c r="Q246" s="305">
        <f t="shared" si="77"/>
        <v>0.7</v>
      </c>
      <c r="R246" s="177">
        <f t="shared" si="78"/>
        <v>0.97451891843040428</v>
      </c>
      <c r="S246" s="921">
        <f t="shared" si="79"/>
        <v>-1</v>
      </c>
      <c r="T246" s="176">
        <f t="shared" si="80"/>
        <v>5</v>
      </c>
      <c r="U246" s="251">
        <f t="shared" si="81"/>
        <v>-2.548108156959572E-2</v>
      </c>
      <c r="V246" s="383">
        <f t="shared" si="82"/>
        <v>49.860411206146878</v>
      </c>
      <c r="W246" s="402"/>
      <c r="X246" s="157">
        <f t="shared" si="83"/>
        <v>44428</v>
      </c>
      <c r="Y246" s="385">
        <f t="shared" si="84"/>
        <v>46.415950051556599</v>
      </c>
      <c r="Z246" s="385">
        <f t="shared" si="85"/>
        <v>47.636438197516071</v>
      </c>
      <c r="AA246" s="386">
        <f t="shared" si="86"/>
        <v>52.498213961019935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9.2608403156605484E-2</v>
      </c>
      <c r="AD246" s="231">
        <f>(INDEX(Models!$BJ246:$BT246,,AH246)*(1-AF246)+INDEX(Models!$BJ246:$BT246,,AH246+1)*AF246-ERP_i)*AE246*Ramure*Pc/MaxiM</f>
        <v>8.7781779465588366E-4</v>
      </c>
      <c r="AE246" s="305">
        <f t="shared" si="88"/>
        <v>0.7</v>
      </c>
      <c r="AF246" s="177">
        <f t="shared" si="89"/>
        <v>0.97451891843040428</v>
      </c>
      <c r="AG246" s="921">
        <f t="shared" si="95"/>
        <v>-1</v>
      </c>
      <c r="AH246" s="176">
        <f t="shared" si="90"/>
        <v>5</v>
      </c>
      <c r="AI246" s="225">
        <f t="shared" si="91"/>
        <v>-2.548108156959572E-2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20">
        <v>48.151000000000003</v>
      </c>
      <c r="C247" s="390"/>
      <c r="D247" s="393">
        <f t="shared" si="74"/>
        <v>49.418192949635859</v>
      </c>
      <c r="E247" s="385">
        <f t="shared" si="96"/>
        <v>50.471976411952632</v>
      </c>
      <c r="F247" s="385">
        <f t="shared" si="75"/>
        <v>50.51141951825646</v>
      </c>
      <c r="G247" s="110">
        <f t="shared" si="97"/>
        <v>0.96781197518467221</v>
      </c>
      <c r="H247" s="414" t="b">
        <f>Wh_hp&gt;='2020'!Maxi_hp</f>
        <v>0</v>
      </c>
      <c r="I247" s="380">
        <f>IF(H247,Wh_hp,'2020'!Maxi_hp)</f>
        <v>51.773522913939907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2.5642235662629465E-2</v>
      </c>
      <c r="M247" s="959"/>
      <c r="N247" s="959"/>
      <c r="O247" s="48">
        <f>IF(t&lt;Tnet,'2020'!Resal+('2020'!Salim-'2020'!Resal)*(1-EXP(('2020'!Tnet-t)/('2020'!Tau_j))),Resal+(Salim-Resal)*(1-EXP((Tnet-t)/(Tau_j))))*Salcycl</f>
        <v>2.0878585251264736E-2</v>
      </c>
      <c r="P247" s="169">
        <f>(INDEX(Models!$BJ247:$BT247,,T247)*(1-R247)+INDEX(Models!$BJ247:$BT247,,T247+1)*R247-ERP_i)*Q247*Ramure*Pc/MaxiM</f>
        <v>8.1846798151805186E-4</v>
      </c>
      <c r="Q247" s="305">
        <f t="shared" si="77"/>
        <v>0.7</v>
      </c>
      <c r="R247" s="177">
        <f t="shared" si="78"/>
        <v>0.9755020429140685</v>
      </c>
      <c r="S247" s="921">
        <f t="shared" si="79"/>
        <v>-1</v>
      </c>
      <c r="T247" s="176">
        <f t="shared" si="80"/>
        <v>5</v>
      </c>
      <c r="U247" s="251">
        <f t="shared" si="81"/>
        <v>-2.4497957085931499E-2</v>
      </c>
      <c r="V247" s="383">
        <f t="shared" si="82"/>
        <v>49.750560730638199</v>
      </c>
      <c r="W247" s="402"/>
      <c r="X247" s="157">
        <f t="shared" si="83"/>
        <v>44429</v>
      </c>
      <c r="Y247" s="385">
        <f t="shared" si="84"/>
        <v>44.622273871970826</v>
      </c>
      <c r="Z247" s="385">
        <f t="shared" si="85"/>
        <v>45.796601110185648</v>
      </c>
      <c r="AA247" s="386">
        <f t="shared" si="86"/>
        <v>50.471976411952632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9.2633093334933692E-2</v>
      </c>
      <c r="AD247" s="231">
        <f>(INDEX(Models!$BJ247:$BT247,,AH247)*(1-AF247)+INDEX(Models!$BJ247:$BT247,,AH247+1)*AF247-ERP_i)*AE247*Ramure*Pc/MaxiM</f>
        <v>8.1846798151805186E-4</v>
      </c>
      <c r="AE247" s="305">
        <f t="shared" si="88"/>
        <v>0.7</v>
      </c>
      <c r="AF247" s="177">
        <f t="shared" si="89"/>
        <v>0.9755020429140685</v>
      </c>
      <c r="AG247" s="921">
        <f t="shared" si="95"/>
        <v>-1</v>
      </c>
      <c r="AH247" s="176">
        <f t="shared" si="90"/>
        <v>5</v>
      </c>
      <c r="AI247" s="225">
        <f t="shared" si="91"/>
        <v>-2.4497957085931499E-2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20">
        <v>15.889000000000001</v>
      </c>
      <c r="C248" s="390"/>
      <c r="D248" s="393">
        <f t="shared" si="74"/>
        <v>16.30750900651606</v>
      </c>
      <c r="E248" s="385">
        <f t="shared" si="96"/>
        <v>16.656854783565453</v>
      </c>
      <c r="F248" s="385">
        <f t="shared" si="75"/>
        <v>16.657220012016662</v>
      </c>
      <c r="G248" s="110">
        <f t="shared" si="97"/>
        <v>0.31983320289058093</v>
      </c>
      <c r="H248" s="414" t="b">
        <f>Wh_hp&gt;='2020'!Maxi_hp</f>
        <v>0</v>
      </c>
      <c r="I248" s="380">
        <f>IF(H248,Wh_hp,'2020'!Maxi_hp)</f>
        <v>53.717329476513434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2.5663576598291771E-2</v>
      </c>
      <c r="M248" s="959"/>
      <c r="N248" s="959"/>
      <c r="O248" s="48">
        <f>IF(t&lt;Tnet,'2020'!Resal+('2020'!Salim-'2020'!Resal)*(1-EXP(('2020'!Tnet-t)/('2020'!Tau_j))),Resal+(Salim-Resal)*(1-EXP((Tnet-t)/(Tau_j))))*Salcycl</f>
        <v>2.0973093755615586E-2</v>
      </c>
      <c r="P248" s="169">
        <f>(INDEX(Models!$BJ248:$BT248,,T248)*(1-R248)+INDEX(Models!$BJ248:$BT248,,T248+1)*R248-ERP_i)*Q248*Ramure*Pc/MaxiM</f>
        <v>7.647019729223358E-4</v>
      </c>
      <c r="Q248" s="305">
        <f t="shared" si="77"/>
        <v>0.7</v>
      </c>
      <c r="R248" s="177">
        <f t="shared" si="78"/>
        <v>0.9764494172656869</v>
      </c>
      <c r="S248" s="921">
        <f t="shared" si="79"/>
        <v>-1</v>
      </c>
      <c r="T248" s="176">
        <f t="shared" si="80"/>
        <v>5</v>
      </c>
      <c r="U248" s="251">
        <f t="shared" si="81"/>
        <v>-2.3550582734313097E-2</v>
      </c>
      <c r="V248" s="383">
        <f t="shared" si="82"/>
        <v>49.642118555660254</v>
      </c>
      <c r="W248" s="402"/>
      <c r="X248" s="157">
        <f t="shared" si="83"/>
        <v>44430</v>
      </c>
      <c r="Y248" s="385">
        <f t="shared" si="84"/>
        <v>14.725607188845222</v>
      </c>
      <c r="Z248" s="385">
        <f t="shared" si="85"/>
        <v>15.113472959815663</v>
      </c>
      <c r="AA248" s="386">
        <f t="shared" si="86"/>
        <v>16.656854783565453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9.265745807381201E-2</v>
      </c>
      <c r="AD248" s="231">
        <f>(INDEX(Models!$BJ248:$BT248,,AH248)*(1-AF248)+INDEX(Models!$BJ248:$BT248,,AH248+1)*AF248-ERP_i)*AE248*Ramure*Pc/MaxiM</f>
        <v>7.647019729223358E-4</v>
      </c>
      <c r="AE248" s="305">
        <f t="shared" si="88"/>
        <v>0.7</v>
      </c>
      <c r="AF248" s="177">
        <f t="shared" si="89"/>
        <v>0.9764494172656869</v>
      </c>
      <c r="AG248" s="921">
        <f t="shared" si="95"/>
        <v>-1</v>
      </c>
      <c r="AH248" s="176">
        <f t="shared" si="90"/>
        <v>5</v>
      </c>
      <c r="AI248" s="225">
        <f t="shared" si="91"/>
        <v>-2.3550582734313097E-2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20">
        <v>45.564</v>
      </c>
      <c r="C249" s="390"/>
      <c r="D249" s="393">
        <f t="shared" si="74"/>
        <v>46.765159236595146</v>
      </c>
      <c r="E249" s="385">
        <f t="shared" si="96"/>
        <v>47.771583870992394</v>
      </c>
      <c r="F249" s="385">
        <f t="shared" si="75"/>
        <v>47.801861207918463</v>
      </c>
      <c r="G249" s="110">
        <f t="shared" si="97"/>
        <v>0.919765199143464</v>
      </c>
      <c r="H249" s="414" t="b">
        <f>Wh_hp&gt;='2020'!Maxi_hp</f>
        <v>0</v>
      </c>
      <c r="I249" s="380">
        <f>IF(H249,Wh_hp,'2020'!Maxi_hp)</f>
        <v>51.339633290441888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2.5684917066532753E-2</v>
      </c>
      <c r="M249" s="959"/>
      <c r="N249" s="959"/>
      <c r="O249" s="48">
        <f>IF(t&lt;Tnet,'2020'!Resal+('2020'!Salim-'2020'!Resal)*(1-EXP(('2020'!Tnet-t)/('2020'!Tau_j))),Resal+(Salim-Resal)*(1-EXP((Tnet-t)/(Tau_j))))*Salcycl</f>
        <v>2.1067432830259705E-2</v>
      </c>
      <c r="P249" s="169">
        <f>(INDEX(Models!$BJ249:$BT249,,T249)*(1-R249)+INDEX(Models!$BJ249:$BT249,,T249+1)*R249-ERP_i)*Q249*Ramure*Pc/MaxiM</f>
        <v>7.1530439375565064E-4</v>
      </c>
      <c r="Q249" s="305">
        <f t="shared" si="77"/>
        <v>0.7</v>
      </c>
      <c r="R249" s="177">
        <f t="shared" si="78"/>
        <v>0.9773621995500732</v>
      </c>
      <c r="S249" s="921">
        <f t="shared" si="79"/>
        <v>-1</v>
      </c>
      <c r="T249" s="176">
        <f t="shared" si="80"/>
        <v>5</v>
      </c>
      <c r="U249" s="251">
        <f t="shared" si="81"/>
        <v>-2.2637800449926804E-2</v>
      </c>
      <c r="V249" s="383">
        <f t="shared" si="82"/>
        <v>49.534669761526899</v>
      </c>
      <c r="W249" s="402"/>
      <c r="X249" s="157">
        <f t="shared" si="83"/>
        <v>44431</v>
      </c>
      <c r="Y249" s="385">
        <f t="shared" si="84"/>
        <v>42.230754381888147</v>
      </c>
      <c r="Z249" s="385">
        <f t="shared" si="85"/>
        <v>43.344042519325285</v>
      </c>
      <c r="AA249" s="386">
        <f t="shared" si="86"/>
        <v>47.771583870992394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9.2681485370544228E-2</v>
      </c>
      <c r="AD249" s="231">
        <f>(INDEX(Models!$BJ249:$BT249,,AH249)*(1-AF249)+INDEX(Models!$BJ249:$BT249,,AH249+1)*AF249-ERP_i)*AE249*Ramure*Pc/MaxiM</f>
        <v>7.1530439375565064E-4</v>
      </c>
      <c r="AE249" s="305">
        <f t="shared" si="88"/>
        <v>0.7</v>
      </c>
      <c r="AF249" s="177">
        <f t="shared" si="89"/>
        <v>0.9773621995500732</v>
      </c>
      <c r="AG249" s="921">
        <f t="shared" si="95"/>
        <v>-1</v>
      </c>
      <c r="AH249" s="176">
        <f t="shared" si="90"/>
        <v>5</v>
      </c>
      <c r="AI249" s="225">
        <f t="shared" si="91"/>
        <v>-2.2637800449926804E-2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20">
        <v>44.704999999999998</v>
      </c>
      <c r="C250" s="390"/>
      <c r="D250" s="393">
        <f t="shared" si="74"/>
        <v>45.884519247180371</v>
      </c>
      <c r="E250" s="385">
        <f t="shared" si="96"/>
        <v>46.876500955206211</v>
      </c>
      <c r="F250" s="385">
        <f t="shared" si="75"/>
        <v>46.903649753394539</v>
      </c>
      <c r="G250" s="110">
        <f t="shared" si="97"/>
        <v>0.90436888608272914</v>
      </c>
      <c r="H250" s="414" t="b">
        <f>Wh_hp&gt;='2020'!Maxi_hp</f>
        <v>0</v>
      </c>
      <c r="I250" s="380">
        <f>IF(H250,Wh_hp,'2020'!Maxi_hp)</f>
        <v>51.228164501997107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2.5706257067362737E-2</v>
      </c>
      <c r="M250" s="959"/>
      <c r="N250" s="959"/>
      <c r="O250" s="48">
        <f>IF(t&lt;Tnet,'2020'!Resal+('2020'!Salim-'2020'!Resal)*(1-EXP(('2020'!Tnet-t)/('2020'!Tau_j))),Resal+(Salim-Resal)*(1-EXP((Tnet-t)/(Tau_j))))*Salcycl</f>
        <v>2.1161598835496356E-2</v>
      </c>
      <c r="P250" s="169">
        <f>(INDEX(Models!$BJ250:$BT250,,T250)*(1-R250)+INDEX(Models!$BJ250:$BT250,,T250+1)*R250-ERP_i)*Q250*Ramure*Pc/MaxiM</f>
        <v>6.7031728140869986E-4</v>
      </c>
      <c r="Q250" s="305">
        <f t="shared" si="77"/>
        <v>0.7</v>
      </c>
      <c r="R250" s="177">
        <f t="shared" si="78"/>
        <v>0.9782415210997375</v>
      </c>
      <c r="S250" s="921">
        <f t="shared" si="79"/>
        <v>-1</v>
      </c>
      <c r="T250" s="176">
        <f t="shared" si="80"/>
        <v>5</v>
      </c>
      <c r="U250" s="251">
        <f t="shared" si="81"/>
        <v>-2.1758478900262557E-2</v>
      </c>
      <c r="V250" s="383">
        <f t="shared" si="82"/>
        <v>49.427736800016866</v>
      </c>
      <c r="W250" s="402"/>
      <c r="X250" s="157">
        <f t="shared" si="83"/>
        <v>44432</v>
      </c>
      <c r="Y250" s="385">
        <f t="shared" si="84"/>
        <v>41.437499439805215</v>
      </c>
      <c r="Z250" s="385">
        <f t="shared" si="85"/>
        <v>42.530807305687695</v>
      </c>
      <c r="AA250" s="386">
        <f t="shared" si="86"/>
        <v>46.876500955206211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9.2705162735399763E-2</v>
      </c>
      <c r="AD250" s="231">
        <f>(INDEX(Models!$BJ250:$BT250,,AH250)*(1-AF250)+INDEX(Models!$BJ250:$BT250,,AH250+1)*AF250-ERP_i)*AE250*Ramure*Pc/MaxiM</f>
        <v>6.7031728140869986E-4</v>
      </c>
      <c r="AE250" s="305">
        <f t="shared" si="88"/>
        <v>0.7</v>
      </c>
      <c r="AF250" s="177">
        <f t="shared" si="89"/>
        <v>0.9782415210997375</v>
      </c>
      <c r="AG250" s="921">
        <f t="shared" si="95"/>
        <v>-1</v>
      </c>
      <c r="AH250" s="176">
        <f t="shared" si="90"/>
        <v>5</v>
      </c>
      <c r="AI250" s="225">
        <f t="shared" si="91"/>
        <v>-2.1758478900262557E-2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20">
        <v>48.298000000000002</v>
      </c>
      <c r="C251" s="390"/>
      <c r="D251" s="393">
        <f t="shared" si="74"/>
        <v>49.573404554506197</v>
      </c>
      <c r="E251" s="385">
        <f t="shared" si="96"/>
        <v>50.650000087483313</v>
      </c>
      <c r="F251" s="385">
        <f t="shared" si="75"/>
        <v>50.680972332086561</v>
      </c>
      <c r="G251" s="110">
        <f t="shared" si="97"/>
        <v>0.97924317483081014</v>
      </c>
      <c r="H251" s="414" t="b">
        <f>Wh_hp&gt;='2020'!Maxi_hp</f>
        <v>1</v>
      </c>
      <c r="I251" s="380">
        <f>IF(H251,Wh_hp,'2020'!Maxi_hp)</f>
        <v>50.680972332086561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2.5727596600791935E-2</v>
      </c>
      <c r="M251" s="959"/>
      <c r="N251" s="959"/>
      <c r="O251" s="48">
        <f>IF(t&lt;Tnet,'2020'!Resal+('2020'!Salim-'2020'!Resal)*(1-EXP(('2020'!Tnet-t)/('2020'!Tau_j))),Resal+(Salim-Resal)*(1-EXP((Tnet-t)/(Tau_j))))*Salcycl</f>
        <v>2.125558797862992E-2</v>
      </c>
      <c r="P251" s="169">
        <f>(INDEX(Models!$BJ251:$BT251,,T251)*(1-R251)+INDEX(Models!$BJ251:$BT251,,T251+1)*R251-ERP_i)*Q251*Ramure*Pc/MaxiM</f>
        <v>6.2977992027687653E-4</v>
      </c>
      <c r="Q251" s="305">
        <f t="shared" si="77"/>
        <v>0.7</v>
      </c>
      <c r="R251" s="177">
        <f t="shared" si="78"/>
        <v>0.97908848626770206</v>
      </c>
      <c r="S251" s="921">
        <f t="shared" si="79"/>
        <v>-1</v>
      </c>
      <c r="T251" s="176">
        <f t="shared" si="80"/>
        <v>5</v>
      </c>
      <c r="U251" s="251">
        <f t="shared" si="81"/>
        <v>-2.0911513732297937E-2</v>
      </c>
      <c r="V251" s="383">
        <f t="shared" si="82"/>
        <v>49.32084239962289</v>
      </c>
      <c r="W251" s="402"/>
      <c r="X251" s="157">
        <f t="shared" si="83"/>
        <v>44433</v>
      </c>
      <c r="Y251" s="385">
        <f t="shared" si="84"/>
        <v>44.771034674195853</v>
      </c>
      <c r="Z251" s="385">
        <f t="shared" si="85"/>
        <v>45.953302708760937</v>
      </c>
      <c r="AA251" s="386">
        <f t="shared" si="86"/>
        <v>50.650000087483313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9.2728477208493199E-2</v>
      </c>
      <c r="AD251" s="231">
        <f>(INDEX(Models!$BJ251:$BT251,,AH251)*(1-AF251)+INDEX(Models!$BJ251:$BT251,,AH251+1)*AF251-ERP_i)*AE251*Ramure*Pc/MaxiM</f>
        <v>6.2977992027687653E-4</v>
      </c>
      <c r="AE251" s="305">
        <f t="shared" si="88"/>
        <v>0.7</v>
      </c>
      <c r="AF251" s="177">
        <f t="shared" si="89"/>
        <v>0.97908848626770206</v>
      </c>
      <c r="AG251" s="921">
        <f t="shared" si="95"/>
        <v>-1</v>
      </c>
      <c r="AH251" s="176">
        <f t="shared" si="90"/>
        <v>5</v>
      </c>
      <c r="AI251" s="225">
        <f t="shared" si="91"/>
        <v>-2.0911513732297937E-2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20">
        <v>49.276000000000003</v>
      </c>
      <c r="C252" s="390"/>
      <c r="D252" s="393">
        <f t="shared" si="74"/>
        <v>50.578338381110399</v>
      </c>
      <c r="E252" s="385">
        <f t="shared" si="96"/>
        <v>51.681711726932178</v>
      </c>
      <c r="F252" s="385">
        <f t="shared" si="75"/>
        <v>51.712414866985</v>
      </c>
      <c r="G252" s="110">
        <f t="shared" si="97"/>
        <v>1.0012697815122873</v>
      </c>
      <c r="H252" s="414" t="b">
        <f>Wh_hp&gt;='2020'!Maxi_hp</f>
        <v>0</v>
      </c>
      <c r="I252" s="380">
        <f>IF(H252,Wh_hp,'2020'!Maxi_hp)</f>
        <v>53.637175533284911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2.5748935666830564E-2</v>
      </c>
      <c r="M252" s="959"/>
      <c r="N252" s="959"/>
      <c r="O252" s="48">
        <f>IF(t&lt;Tnet,'2020'!Resal+('2020'!Salim-'2020'!Resal)*(1-EXP(('2020'!Tnet-t)/('2020'!Tau_j))),Resal+(Salim-Resal)*(1-EXP((Tnet-t)/(Tau_j))))*Salcycl</f>
        <v>2.1349396313566676E-2</v>
      </c>
      <c r="P252" s="169">
        <f>(INDEX(Models!$BJ252:$BT252,,T252)*(1-R252)+INDEX(Models!$BJ252:$BT252,,T252+1)*R252-ERP_i)*Q252*Ramure*Pc/MaxiM</f>
        <v>5.9372860717867503E-4</v>
      </c>
      <c r="Q252" s="305">
        <f t="shared" si="77"/>
        <v>0.7</v>
      </c>
      <c r="R252" s="177">
        <f t="shared" si="78"/>
        <v>0.97990417226910576</v>
      </c>
      <c r="S252" s="921">
        <f t="shared" si="79"/>
        <v>-1</v>
      </c>
      <c r="T252" s="176">
        <f t="shared" si="80"/>
        <v>5</v>
      </c>
      <c r="U252" s="251">
        <f t="shared" si="81"/>
        <v>-2.00958277308943E-2</v>
      </c>
      <c r="V252" s="383">
        <f t="shared" si="82"/>
        <v>49.213509595361039</v>
      </c>
      <c r="W252" s="402"/>
      <c r="X252" s="157">
        <f t="shared" si="83"/>
        <v>44434</v>
      </c>
      <c r="Y252" s="385">
        <f t="shared" si="84"/>
        <v>45.680839605039694</v>
      </c>
      <c r="Z252" s="385">
        <f t="shared" si="85"/>
        <v>46.888159815669432</v>
      </c>
      <c r="AA252" s="386">
        <f t="shared" si="86"/>
        <v>51.681711726932178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9.2751415367009662E-2</v>
      </c>
      <c r="AD252" s="231">
        <f>(INDEX(Models!$BJ252:$BT252,,AH252)*(1-AF252)+INDEX(Models!$BJ252:$BT252,,AH252+1)*AF252-ERP_i)*AE252*Ramure*Pc/MaxiM</f>
        <v>5.9372860717867503E-4</v>
      </c>
      <c r="AE252" s="305">
        <f t="shared" si="88"/>
        <v>0.7</v>
      </c>
      <c r="AF252" s="177">
        <f t="shared" si="89"/>
        <v>0.97990417226910576</v>
      </c>
      <c r="AG252" s="921">
        <f t="shared" si="95"/>
        <v>-1</v>
      </c>
      <c r="AH252" s="176">
        <f t="shared" si="90"/>
        <v>5</v>
      </c>
      <c r="AI252" s="225">
        <f t="shared" si="91"/>
        <v>-2.00958277308943E-2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20">
        <v>44.433999999999997</v>
      </c>
      <c r="C253" s="390"/>
      <c r="D253" s="393">
        <f t="shared" si="74"/>
        <v>45.609365867479987</v>
      </c>
      <c r="E253" s="385">
        <f t="shared" si="96"/>
        <v>46.608799270210618</v>
      </c>
      <c r="F253" s="385">
        <f t="shared" si="75"/>
        <v>46.631452684670315</v>
      </c>
      <c r="G253" s="110">
        <f t="shared" si="97"/>
        <v>0.90480331475931053</v>
      </c>
      <c r="H253" s="414" t="b">
        <f>Wh_hp&gt;='2020'!Maxi_hp</f>
        <v>0</v>
      </c>
      <c r="I253" s="380">
        <f>IF(H253,Wh_hp,'2020'!Maxi_hp)</f>
        <v>51.403994258295555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2.5770274265488946E-2</v>
      </c>
      <c r="M253" s="959"/>
      <c r="N253" s="959"/>
      <c r="O253" s="48">
        <f>IF(t&lt;Tnet,'2020'!Resal+('2020'!Salim-'2020'!Resal)*(1-EXP(('2020'!Tnet-t)/('2020'!Tau_j))),Resal+(Salim-Resal)*(1-EXP((Tnet-t)/(Tau_j))))*Salcycl</f>
        <v>2.144301973832231E-2</v>
      </c>
      <c r="P253" s="169">
        <f>(INDEX(Models!$BJ253:$BT253,,T253)*(1-R253)+INDEX(Models!$BJ253:$BT253,,T253+1)*R253-ERP_i)*Q253*Ramure*Pc/MaxiM</f>
        <v>5.6219753766560492E-4</v>
      </c>
      <c r="Q253" s="305">
        <f t="shared" si="77"/>
        <v>0.7</v>
      </c>
      <c r="R253" s="177">
        <f t="shared" si="78"/>
        <v>0.98068962910435298</v>
      </c>
      <c r="S253" s="921">
        <f t="shared" si="79"/>
        <v>-1</v>
      </c>
      <c r="T253" s="176">
        <f t="shared" si="80"/>
        <v>5</v>
      </c>
      <c r="U253" s="251">
        <f t="shared" si="81"/>
        <v>-1.9310370895647078E-2</v>
      </c>
      <c r="V253" s="383">
        <f t="shared" si="82"/>
        <v>49.105261705680874</v>
      </c>
      <c r="W253" s="402"/>
      <c r="X253" s="157">
        <f t="shared" si="83"/>
        <v>44435</v>
      </c>
      <c r="Y253" s="385">
        <f t="shared" si="84"/>
        <v>41.195027501534433</v>
      </c>
      <c r="Z253" s="385">
        <f t="shared" si="85"/>
        <v>42.284716236179143</v>
      </c>
      <c r="AA253" s="386">
        <f t="shared" si="86"/>
        <v>46.608799270210618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9.277396332316927E-2</v>
      </c>
      <c r="AD253" s="231">
        <f>(INDEX(Models!$BJ253:$BT253,,AH253)*(1-AF253)+INDEX(Models!$BJ253:$BT253,,AH253+1)*AF253-ERP_i)*AE253*Ramure*Pc/MaxiM</f>
        <v>5.6219753766560492E-4</v>
      </c>
      <c r="AE253" s="305">
        <f t="shared" si="88"/>
        <v>0.7</v>
      </c>
      <c r="AF253" s="177">
        <f t="shared" si="89"/>
        <v>0.98068962910435298</v>
      </c>
      <c r="AG253" s="921">
        <f t="shared" si="95"/>
        <v>-1</v>
      </c>
      <c r="AH253" s="176">
        <f t="shared" si="90"/>
        <v>5</v>
      </c>
      <c r="AI253" s="225">
        <f t="shared" si="91"/>
        <v>-1.9310370895647078E-2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20">
        <v>50.820999999999998</v>
      </c>
      <c r="C254" s="390"/>
      <c r="D254" s="393">
        <f t="shared" si="74"/>
        <v>52.16645704009116</v>
      </c>
      <c r="E254" s="385">
        <f t="shared" si="96"/>
        <v>53.314665889029435</v>
      </c>
      <c r="F254" s="385">
        <f t="shared" si="75"/>
        <v>53.343274555388398</v>
      </c>
      <c r="G254" s="110">
        <f t="shared" si="97"/>
        <v>1.0372570686188689</v>
      </c>
      <c r="H254" s="414" t="b">
        <f>Wh_hp&gt;='2020'!Maxi_hp</f>
        <v>1</v>
      </c>
      <c r="I254" s="380">
        <f>IF(H254,Wh_hp,'2020'!Maxi_hp)</f>
        <v>53.343274555388398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2.5791612396777186E-2</v>
      </c>
      <c r="M254" s="959"/>
      <c r="N254" s="959"/>
      <c r="O254" s="48">
        <f>IF(t&lt;Tnet,'2020'!Resal+('2020'!Salim-'2020'!Resal)*(1-EXP(('2020'!Tnet-t)/('2020'!Tau_j))),Resal+(Salim-Resal)*(1-EXP((Tnet-t)/(Tau_j))))*Salcycl</f>
        <v>2.1536453990505845E-2</v>
      </c>
      <c r="P254" s="169">
        <f>(INDEX(Models!$BJ254:$BT254,,T254)*(1-R254)+INDEX(Models!$BJ254:$BT254,,T254+1)*R254-ERP_i)*Q254*Ramure*Pc/MaxiM</f>
        <v>5.3631252669460421E-4</v>
      </c>
      <c r="Q254" s="305">
        <f t="shared" si="77"/>
        <v>0.7</v>
      </c>
      <c r="R254" s="177">
        <f t="shared" si="78"/>
        <v>0.98144587955691276</v>
      </c>
      <c r="S254" s="921">
        <f t="shared" si="79"/>
        <v>-1</v>
      </c>
      <c r="T254" s="176">
        <f t="shared" si="80"/>
        <v>5</v>
      </c>
      <c r="U254" s="251">
        <f t="shared" si="81"/>
        <v>-1.8554120443087241E-2</v>
      </c>
      <c r="V254" s="383">
        <f t="shared" si="82"/>
        <v>48.995568733669181</v>
      </c>
      <c r="W254" s="402"/>
      <c r="X254" s="157">
        <f t="shared" si="83"/>
        <v>44436</v>
      </c>
      <c r="Y254" s="385">
        <f t="shared" si="84"/>
        <v>47.119802519721887</v>
      </c>
      <c r="Z254" s="385">
        <f t="shared" si="85"/>
        <v>48.367272463797462</v>
      </c>
      <c r="AA254" s="386">
        <f t="shared" si="86"/>
        <v>53.314665889029435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9.2796106713481291E-2</v>
      </c>
      <c r="AD254" s="231">
        <f>(INDEX(Models!$BJ254:$BT254,,AH254)*(1-AF254)+INDEX(Models!$BJ254:$BT254,,AH254+1)*AF254-ERP_i)*AE254*Ramure*Pc/MaxiM</f>
        <v>5.3631252669460421E-4</v>
      </c>
      <c r="AE254" s="305">
        <f t="shared" si="88"/>
        <v>0.7</v>
      </c>
      <c r="AF254" s="177">
        <f t="shared" si="89"/>
        <v>0.98144587955691276</v>
      </c>
      <c r="AG254" s="921">
        <f t="shared" si="95"/>
        <v>-1</v>
      </c>
      <c r="AH254" s="176">
        <f t="shared" si="90"/>
        <v>5</v>
      </c>
      <c r="AI254" s="225">
        <f t="shared" si="91"/>
        <v>-1.8554120443087241E-2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20">
        <v>50.308</v>
      </c>
      <c r="C255" s="390"/>
      <c r="D255" s="393">
        <f t="shared" si="74"/>
        <v>51.641006727747921</v>
      </c>
      <c r="E255" s="385">
        <f t="shared" si="96"/>
        <v>52.782679977999649</v>
      </c>
      <c r="F255" s="385">
        <f t="shared" si="75"/>
        <v>52.809812213553279</v>
      </c>
      <c r="G255" s="110">
        <f t="shared" si="97"/>
        <v>1.0291287332153849</v>
      </c>
      <c r="H255" s="414" t="b">
        <f>Wh_hp&gt;='2020'!Maxi_hp</f>
        <v>1</v>
      </c>
      <c r="I255" s="380">
        <f>IF(H255,Wh_hp,'2020'!Maxi_hp)</f>
        <v>52.809812213553279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2.5812950060705608E-2</v>
      </c>
      <c r="M255" s="959"/>
      <c r="N255" s="959"/>
      <c r="O255" s="48">
        <f>IF(t&lt;Tnet,'2020'!Resal+('2020'!Salim-'2020'!Resal)*(1-EXP(('2020'!Tnet-t)/('2020'!Tau_j))),Resal+(Salim-Resal)*(1-EXP((Tnet-t)/(Tau_j))))*Salcycl</f>
        <v>2.1629694640885669E-2</v>
      </c>
      <c r="P255" s="169">
        <f>(INDEX(Models!$BJ255:$BT255,,T255)*(1-R255)+INDEX(Models!$BJ255:$BT255,,T255+1)*R255-ERP_i)*Q255*Ramure*Pc/MaxiM</f>
        <v>5.1377261945023428E-4</v>
      </c>
      <c r="Q255" s="305">
        <f t="shared" si="77"/>
        <v>0.7</v>
      </c>
      <c r="R255" s="177">
        <f t="shared" si="78"/>
        <v>0.98217391925920738</v>
      </c>
      <c r="S255" s="921">
        <f t="shared" si="79"/>
        <v>-1</v>
      </c>
      <c r="T255" s="176">
        <f t="shared" si="80"/>
        <v>5</v>
      </c>
      <c r="U255" s="251">
        <f t="shared" si="81"/>
        <v>-1.7826080740792616E-2</v>
      </c>
      <c r="V255" s="383">
        <f t="shared" si="82"/>
        <v>48.88406899574062</v>
      </c>
      <c r="W255" s="402"/>
      <c r="X255" s="157">
        <f t="shared" si="83"/>
        <v>44437</v>
      </c>
      <c r="Y255" s="385">
        <f t="shared" si="84"/>
        <v>46.647491572630329</v>
      </c>
      <c r="Z255" s="385">
        <f t="shared" si="85"/>
        <v>47.883506124965557</v>
      </c>
      <c r="AA255" s="386">
        <f t="shared" si="86"/>
        <v>52.782679977999649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9.2817830679990374E-2</v>
      </c>
      <c r="AD255" s="231">
        <f>(INDEX(Models!$BJ255:$BT255,,AH255)*(1-AF255)+INDEX(Models!$BJ255:$BT255,,AH255+1)*AF255-ERP_i)*AE255*Ramure*Pc/MaxiM</f>
        <v>5.1377261945023428E-4</v>
      </c>
      <c r="AE255" s="305">
        <f t="shared" si="88"/>
        <v>0.7</v>
      </c>
      <c r="AF255" s="177">
        <f t="shared" si="89"/>
        <v>0.98217391925920738</v>
      </c>
      <c r="AG255" s="921">
        <f t="shared" si="95"/>
        <v>-1</v>
      </c>
      <c r="AH255" s="176">
        <f t="shared" si="90"/>
        <v>5</v>
      </c>
      <c r="AI255" s="225">
        <f t="shared" si="91"/>
        <v>-1.7826080740792616E-2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20">
        <v>48.599000000000004</v>
      </c>
      <c r="C256" s="390"/>
      <c r="D256" s="393">
        <f t="shared" si="74"/>
        <v>49.887816173669172</v>
      </c>
      <c r="E256" s="385">
        <f t="shared" si="96"/>
        <v>50.995579744975728</v>
      </c>
      <c r="F256" s="385">
        <f t="shared" si="75"/>
        <v>51.020688029577649</v>
      </c>
      <c r="G256" s="110">
        <f t="shared" si="97"/>
        <v>0.99648541667786139</v>
      </c>
      <c r="H256" s="414" t="b">
        <f>Wh_hp&gt;='2020'!Maxi_hp</f>
        <v>1</v>
      </c>
      <c r="I256" s="380">
        <f>IF(H256,Wh_hp,'2020'!Maxi_hp)</f>
        <v>51.020688029577649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2.5834287257284427E-2</v>
      </c>
      <c r="M256" s="959"/>
      <c r="N256" s="959"/>
      <c r="O256" s="48">
        <f>IF(t&lt;Tnet,'2020'!Resal+('2020'!Salim-'2020'!Resal)*(1-EXP(('2020'!Tnet-t)/('2020'!Tau_j))),Resal+(Salim-Resal)*(1-EXP((Tnet-t)/(Tau_j))))*Salcycl</f>
        <v>2.1722737085182405E-2</v>
      </c>
      <c r="P256" s="169">
        <f>(INDEX(Models!$BJ256:$BT256,,T256)*(1-R256)+INDEX(Models!$BJ256:$BT256,,T256+1)*R256-ERP_i)*Q256*Ramure*Pc/MaxiM</f>
        <v>4.9460124101642806E-4</v>
      </c>
      <c r="Q256" s="305">
        <f t="shared" si="77"/>
        <v>0.7</v>
      </c>
      <c r="R256" s="177">
        <f t="shared" si="78"/>
        <v>0.98287471682038208</v>
      </c>
      <c r="S256" s="921">
        <f t="shared" si="79"/>
        <v>-1</v>
      </c>
      <c r="T256" s="176">
        <f t="shared" si="80"/>
        <v>5</v>
      </c>
      <c r="U256" s="251">
        <f t="shared" si="81"/>
        <v>-1.7125283179617923E-2</v>
      </c>
      <c r="V256" s="383">
        <f t="shared" si="82"/>
        <v>48.770286574987459</v>
      </c>
      <c r="W256" s="402"/>
      <c r="X256" s="157">
        <f t="shared" si="83"/>
        <v>44438</v>
      </c>
      <c r="Y256" s="385">
        <f t="shared" si="84"/>
        <v>45.066070004862048</v>
      </c>
      <c r="Z256" s="385">
        <f t="shared" si="85"/>
        <v>46.261195005499374</v>
      </c>
      <c r="AA256" s="386">
        <f t="shared" si="86"/>
        <v>50.995579744975728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9.2839119844358747E-2</v>
      </c>
      <c r="AD256" s="231">
        <f>(INDEX(Models!$BJ256:$BT256,,AH256)*(1-AF256)+INDEX(Models!$BJ256:$BT256,,AH256+1)*AF256-ERP_i)*AE256*Ramure*Pc/MaxiM</f>
        <v>4.9460124101642806E-4</v>
      </c>
      <c r="AE256" s="305">
        <f t="shared" si="88"/>
        <v>0.7</v>
      </c>
      <c r="AF256" s="177">
        <f t="shared" si="89"/>
        <v>0.98287471682038208</v>
      </c>
      <c r="AG256" s="921">
        <f t="shared" si="95"/>
        <v>-1</v>
      </c>
      <c r="AH256" s="176">
        <f t="shared" si="90"/>
        <v>5</v>
      </c>
      <c r="AI256" s="225">
        <f t="shared" si="91"/>
        <v>-1.7125283179617923E-2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20">
        <v>49.183</v>
      </c>
      <c r="C257" s="390"/>
      <c r="D257" s="393">
        <f t="shared" si="74"/>
        <v>50.488409327242898</v>
      </c>
      <c r="E257" s="385">
        <f t="shared" si="96"/>
        <v>51.614407381750524</v>
      </c>
      <c r="F257" s="385">
        <f t="shared" si="75"/>
        <v>51.639133296774915</v>
      </c>
      <c r="G257" s="110">
        <f t="shared" si="97"/>
        <v>1.0108779739107316</v>
      </c>
      <c r="H257" s="414" t="b">
        <f>Wh_hp&gt;='2020'!Maxi_hp</f>
        <v>1</v>
      </c>
      <c r="I257" s="380">
        <f>IF(H257,Wh_hp,'2020'!Maxi_hp)</f>
        <v>51.639133296774915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2.5855623986523857E-2</v>
      </c>
      <c r="M257" s="959"/>
      <c r="N257" s="959"/>
      <c r="O257" s="48">
        <f>IF(t&lt;Tnet,'2020'!Resal+('2020'!Salim-'2020'!Resal)*(1-EXP(('2020'!Tnet-t)/('2020'!Tau_j))),Resal+(Salim-Resal)*(1-EXP((Tnet-t)/(Tau_j))))*Salcycl</f>
        <v>2.1815576534271165E-2</v>
      </c>
      <c r="P257" s="169">
        <f>(INDEX(Models!$BJ257:$BT257,,T257)*(1-R257)+INDEX(Models!$BJ257:$BT257,,T257+1)*R257-ERP_i)*Q257*Ramure*Pc/MaxiM</f>
        <v>4.788212629806752E-4</v>
      </c>
      <c r="Q257" s="305">
        <f t="shared" si="77"/>
        <v>0.7</v>
      </c>
      <c r="R257" s="177">
        <f t="shared" si="78"/>
        <v>0.98354921401008233</v>
      </c>
      <c r="S257" s="921">
        <f t="shared" si="79"/>
        <v>-1</v>
      </c>
      <c r="T257" s="176">
        <f t="shared" si="80"/>
        <v>5</v>
      </c>
      <c r="U257" s="251">
        <f t="shared" si="81"/>
        <v>-1.6450785989917727E-2</v>
      </c>
      <c r="V257" s="383">
        <f t="shared" si="82"/>
        <v>48.653745822285806</v>
      </c>
      <c r="W257" s="402"/>
      <c r="X257" s="157">
        <f t="shared" si="83"/>
        <v>44439</v>
      </c>
      <c r="Y257" s="385">
        <f t="shared" si="84"/>
        <v>45.610896679430056</v>
      </c>
      <c r="Z257" s="385">
        <f t="shared" si="85"/>
        <v>46.821495665853007</v>
      </c>
      <c r="AA257" s="386">
        <f t="shared" si="86"/>
        <v>51.614407381750524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9.2859958275761642E-2</v>
      </c>
      <c r="AD257" s="231">
        <f>(INDEX(Models!$BJ257:$BT257,,AH257)*(1-AF257)+INDEX(Models!$BJ257:$BT257,,AH257+1)*AF257-ERP_i)*AE257*Ramure*Pc/MaxiM</f>
        <v>4.788212629806752E-4</v>
      </c>
      <c r="AE257" s="305">
        <f t="shared" si="88"/>
        <v>0.7</v>
      </c>
      <c r="AF257" s="177">
        <f t="shared" si="89"/>
        <v>0.98354921401008233</v>
      </c>
      <c r="AG257" s="921">
        <f t="shared" si="95"/>
        <v>-1</v>
      </c>
      <c r="AH257" s="176">
        <f t="shared" si="90"/>
        <v>5</v>
      </c>
      <c r="AI257" s="225">
        <f t="shared" si="91"/>
        <v>-1.6450785989917727E-2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20">
        <v>35.747</v>
      </c>
      <c r="C258" s="390"/>
      <c r="D258" s="393">
        <f t="shared" si="74"/>
        <v>36.696596365400296</v>
      </c>
      <c r="E258" s="385">
        <f t="shared" si="96"/>
        <v>37.518560799366455</v>
      </c>
      <c r="F258" s="385">
        <f t="shared" si="75"/>
        <v>37.529477822781715</v>
      </c>
      <c r="G258" s="110">
        <f t="shared" si="97"/>
        <v>0.7364063007845727</v>
      </c>
      <c r="H258" s="414" t="b">
        <f>Wh_hp&gt;='2020'!Maxi_hp</f>
        <v>0</v>
      </c>
      <c r="I258" s="380">
        <f>IF(H258,Wh_hp,'2020'!Maxi_hp)</f>
        <v>52.083506608695828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2.5876960248434222E-2</v>
      </c>
      <c r="M258" s="959"/>
      <c r="N258" s="959"/>
      <c r="O258" s="48">
        <f>IF(t&lt;Tnet,'2020'!Resal+('2020'!Salim-'2020'!Resal)*(1-EXP(('2020'!Tnet-t)/('2020'!Tau_j))),Resal+(Salim-Resal)*(1-EXP((Tnet-t)/(Tau_j))))*Salcycl</f>
        <v>2.1908208003011614E-2</v>
      </c>
      <c r="P258" s="169">
        <f>(INDEX(Models!$BJ258:$BT258,,T258)*(1-R258)+INDEX(Models!$BJ258:$BT258,,T258+1)*R258-ERP_i)*Q258*Ramure*Pc/MaxiM</f>
        <v>4.6645531553378763E-4</v>
      </c>
      <c r="Q258" s="305">
        <f t="shared" si="77"/>
        <v>0.7</v>
      </c>
      <c r="R258" s="177">
        <f t="shared" si="78"/>
        <v>0.98419832599270374</v>
      </c>
      <c r="S258" s="921">
        <f t="shared" si="79"/>
        <v>-1</v>
      </c>
      <c r="T258" s="176">
        <f t="shared" si="80"/>
        <v>5</v>
      </c>
      <c r="U258" s="251">
        <f t="shared" si="81"/>
        <v>-1.5801674007296262E-2</v>
      </c>
      <c r="V258" s="383">
        <f t="shared" si="82"/>
        <v>48.533971358709174</v>
      </c>
      <c r="W258" s="402"/>
      <c r="X258" s="157">
        <f t="shared" si="83"/>
        <v>44440</v>
      </c>
      <c r="Y258" s="385">
        <f t="shared" si="84"/>
        <v>33.153132587701634</v>
      </c>
      <c r="Z258" s="385">
        <f t="shared" si="85"/>
        <v>34.033824511692899</v>
      </c>
      <c r="AA258" s="386">
        <f t="shared" si="86"/>
        <v>37.518560799366455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9.2880329453692734E-2</v>
      </c>
      <c r="AD258" s="231">
        <f>(INDEX(Models!$BJ258:$BT258,,AH258)*(1-AF258)+INDEX(Models!$BJ258:$BT258,,AH258+1)*AF258-ERP_i)*AE258*Ramure*Pc/MaxiM</f>
        <v>4.6645531553378763E-4</v>
      </c>
      <c r="AE258" s="305">
        <f t="shared" si="88"/>
        <v>0.7</v>
      </c>
      <c r="AF258" s="177">
        <f t="shared" si="89"/>
        <v>0.98419832599270374</v>
      </c>
      <c r="AG258" s="921">
        <f t="shared" si="95"/>
        <v>-1</v>
      </c>
      <c r="AH258" s="176">
        <f t="shared" si="90"/>
        <v>5</v>
      </c>
      <c r="AI258" s="225">
        <f t="shared" si="91"/>
        <v>-1.5801674007296262E-2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20">
        <v>18.286000000000001</v>
      </c>
      <c r="C259" s="390"/>
      <c r="D259" s="393">
        <f t="shared" si="74"/>
        <v>18.772167142013014</v>
      </c>
      <c r="E259" s="385">
        <f t="shared" si="96"/>
        <v>19.194457222354178</v>
      </c>
      <c r="F259" s="385">
        <f t="shared" si="75"/>
        <v>19.195432422138307</v>
      </c>
      <c r="G259" s="110">
        <f t="shared" si="97"/>
        <v>0.37757442703838434</v>
      </c>
      <c r="H259" s="414" t="b">
        <f>Wh_hp&gt;='2020'!Maxi_hp</f>
        <v>0</v>
      </c>
      <c r="I259" s="380">
        <f>IF(H259,Wh_hp,'2020'!Maxi_hp)</f>
        <v>50.502495754224739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2.5898296043025626E-2</v>
      </c>
      <c r="M259" s="959"/>
      <c r="N259" s="959"/>
      <c r="O259" s="48">
        <f>IF(t&lt;Tnet,'2020'!Resal+('2020'!Salim-'2020'!Resal)*(1-EXP(('2020'!Tnet-t)/('2020'!Tau_j))),Resal+(Salim-Resal)*(1-EXP((Tnet-t)/(Tau_j))))*Salcycl</f>
        <v>2.2000626297958563E-2</v>
      </c>
      <c r="P259" s="169">
        <f>(INDEX(Models!$BJ259:$BT259,,T259)*(1-R259)+INDEX(Models!$BJ259:$BT259,,T259+1)*R259-ERP_i)*Q259*Ramure*Pc/MaxiM</f>
        <v>4.5752610487693199E-4</v>
      </c>
      <c r="Q259" s="305">
        <f t="shared" si="77"/>
        <v>0.7</v>
      </c>
      <c r="R259" s="177">
        <f t="shared" si="78"/>
        <v>0.98482294160691031</v>
      </c>
      <c r="S259" s="921">
        <f t="shared" si="79"/>
        <v>-1</v>
      </c>
      <c r="T259" s="176">
        <f t="shared" si="80"/>
        <v>5</v>
      </c>
      <c r="U259" s="251">
        <f t="shared" si="81"/>
        <v>-1.5177058393089637E-2</v>
      </c>
      <c r="V259" s="383">
        <f t="shared" si="82"/>
        <v>48.410488073492978</v>
      </c>
      <c r="W259" s="402"/>
      <c r="X259" s="157">
        <f t="shared" si="83"/>
        <v>44441</v>
      </c>
      <c r="Y259" s="385">
        <f t="shared" si="84"/>
        <v>16.960365305027974</v>
      </c>
      <c r="Z259" s="385">
        <f t="shared" si="85"/>
        <v>17.411287996039793</v>
      </c>
      <c r="AA259" s="386">
        <f t="shared" si="86"/>
        <v>19.194457222354178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9.2900216226884227E-2</v>
      </c>
      <c r="AD259" s="231">
        <f>(INDEX(Models!$BJ259:$BT259,,AH259)*(1-AF259)+INDEX(Models!$BJ259:$BT259,,AH259+1)*AF259-ERP_i)*AE259*Ramure*Pc/MaxiM</f>
        <v>4.5752610487693199E-4</v>
      </c>
      <c r="AE259" s="305">
        <f t="shared" si="88"/>
        <v>0.7</v>
      </c>
      <c r="AF259" s="177">
        <f t="shared" si="89"/>
        <v>0.98482294160691031</v>
      </c>
      <c r="AG259" s="921">
        <f t="shared" si="95"/>
        <v>-1</v>
      </c>
      <c r="AH259" s="176">
        <f t="shared" si="90"/>
        <v>5</v>
      </c>
      <c r="AI259" s="225">
        <f t="shared" si="91"/>
        <v>-1.5177058393089637E-2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20">
        <v>28.182000000000002</v>
      </c>
      <c r="C260" s="390"/>
      <c r="D260" s="393">
        <f t="shared" si="74"/>
        <v>28.931904294145294</v>
      </c>
      <c r="E260" s="385">
        <f t="shared" si="96"/>
        <v>29.585532311751543</v>
      </c>
      <c r="F260" s="385">
        <f t="shared" si="75"/>
        <v>29.590953463376607</v>
      </c>
      <c r="G260" s="110">
        <f t="shared" si="97"/>
        <v>0.58352890568433124</v>
      </c>
      <c r="H260" s="414" t="b">
        <f>Wh_hp&gt;='2020'!Maxi_hp</f>
        <v>0</v>
      </c>
      <c r="I260" s="380">
        <f>IF(H260,Wh_hp,'2020'!Maxi_hp)</f>
        <v>52.236523625300045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2.5919631370308505E-2</v>
      </c>
      <c r="M260" s="959"/>
      <c r="N260" s="959"/>
      <c r="O260" s="48">
        <f>IF(t&lt;Tnet,'2020'!Resal+('2020'!Salim-'2020'!Resal)*(1-EXP(('2020'!Tnet-t)/('2020'!Tau_j))),Resal+(Salim-Resal)*(1-EXP((Tnet-t)/(Tau_j))))*Salcycl</f>
        <v>2.2092826004236649E-2</v>
      </c>
      <c r="P260" s="169">
        <f>(INDEX(Models!$BJ260:$BT260,,T260)*(1-R260)+INDEX(Models!$BJ260:$BT260,,T260+1)*R260-ERP_i)*Q260*Ramure*Pc/MaxiM</f>
        <v>4.5205673610578694E-4</v>
      </c>
      <c r="Q260" s="305">
        <f t="shared" si="77"/>
        <v>0.7</v>
      </c>
      <c r="R260" s="177">
        <f t="shared" si="78"/>
        <v>0.98542392368553577</v>
      </c>
      <c r="S260" s="921">
        <f t="shared" si="79"/>
        <v>-1</v>
      </c>
      <c r="T260" s="176">
        <f t="shared" si="80"/>
        <v>5</v>
      </c>
      <c r="U260" s="251">
        <f t="shared" si="81"/>
        <v>-1.457607631446417E-2</v>
      </c>
      <c r="V260" s="383">
        <f t="shared" si="82"/>
        <v>48.282821127401434</v>
      </c>
      <c r="W260" s="402"/>
      <c r="X260" s="157">
        <f t="shared" si="83"/>
        <v>44442</v>
      </c>
      <c r="Y260" s="385">
        <f t="shared" si="84"/>
        <v>26.140865402037445</v>
      </c>
      <c r="Z260" s="385">
        <f t="shared" si="85"/>
        <v>26.836456460786362</v>
      </c>
      <c r="AA260" s="386">
        <f t="shared" si="86"/>
        <v>29.585532311751543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9.2919600769637997E-2</v>
      </c>
      <c r="AD260" s="231">
        <f>(INDEX(Models!$BJ260:$BT260,,AH260)*(1-AF260)+INDEX(Models!$BJ260:$BT260,,AH260+1)*AF260-ERP_i)*AE260*Ramure*Pc/MaxiM</f>
        <v>4.5205673610578694E-4</v>
      </c>
      <c r="AE260" s="305">
        <f t="shared" si="88"/>
        <v>0.7</v>
      </c>
      <c r="AF260" s="177">
        <f t="shared" si="89"/>
        <v>0.98542392368553577</v>
      </c>
      <c r="AG260" s="921">
        <f t="shared" si="95"/>
        <v>-1</v>
      </c>
      <c r="AH260" s="176">
        <f t="shared" si="90"/>
        <v>5</v>
      </c>
      <c r="AI260" s="225">
        <f t="shared" si="91"/>
        <v>-1.457607631446417E-2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20">
        <v>37.322000000000003</v>
      </c>
      <c r="C261" s="390"/>
      <c r="D261" s="393">
        <f t="shared" si="74"/>
        <v>38.315952838669418</v>
      </c>
      <c r="E261" s="385">
        <f t="shared" si="96"/>
        <v>39.185270280463904</v>
      </c>
      <c r="F261" s="385">
        <f t="shared" si="75"/>
        <v>39.197242918418198</v>
      </c>
      <c r="G261" s="110">
        <f t="shared" si="97"/>
        <v>0.7749693454396045</v>
      </c>
      <c r="H261" s="414" t="b">
        <f>Wh_hp&gt;='2020'!Maxi_hp</f>
        <v>0</v>
      </c>
      <c r="I261" s="380">
        <f>IF(H261,Wh_hp,'2020'!Maxi_hp)</f>
        <v>51.364733019215166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2.594096623029285E-2</v>
      </c>
      <c r="M261" s="959"/>
      <c r="N261" s="959"/>
      <c r="O261" s="48">
        <f>IF(t&lt;Tnet,'2020'!Resal+('2020'!Salim-'2020'!Resal)*(1-EXP(('2020'!Tnet-t)/('2020'!Tau_j))),Resal+(Salim-Resal)*(1-EXP((Tnet-t)/(Tau_j))))*Salcycl</f>
        <v>2.2184801471891193E-2</v>
      </c>
      <c r="P261" s="169">
        <f>(INDEX(Models!$BJ261:$BT261,,T261)*(1-R261)+INDEX(Models!$BJ261:$BT261,,T261+1)*R261-ERP_i)*Q261*Ramure*Pc/MaxiM</f>
        <v>4.5005364643135122E-4</v>
      </c>
      <c r="Q261" s="305">
        <f t="shared" si="77"/>
        <v>0.7</v>
      </c>
      <c r="R261" s="177">
        <f t="shared" si="78"/>
        <v>0.98600210941130007</v>
      </c>
      <c r="S261" s="921">
        <f t="shared" si="79"/>
        <v>-1</v>
      </c>
      <c r="T261" s="176">
        <f t="shared" si="80"/>
        <v>5</v>
      </c>
      <c r="U261" s="251">
        <f t="shared" si="81"/>
        <v>-1.3997890588699935E-2</v>
      </c>
      <c r="V261" s="383">
        <f t="shared" si="82"/>
        <v>48.152357923633595</v>
      </c>
      <c r="W261" s="402"/>
      <c r="X261" s="157">
        <f t="shared" si="83"/>
        <v>44443</v>
      </c>
      <c r="Y261" s="385">
        <f t="shared" si="84"/>
        <v>34.621419954927305</v>
      </c>
      <c r="Z261" s="385">
        <f t="shared" si="85"/>
        <v>35.543451428132542</v>
      </c>
      <c r="AA261" s="386">
        <f t="shared" si="86"/>
        <v>39.185270280463904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9.293846453694142E-2</v>
      </c>
      <c r="AD261" s="231">
        <f>(INDEX(Models!$BJ261:$BT261,,AH261)*(1-AF261)+INDEX(Models!$BJ261:$BT261,,AH261+1)*AF261-ERP_i)*AE261*Ramure*Pc/MaxiM</f>
        <v>4.5005364643135122E-4</v>
      </c>
      <c r="AE261" s="305">
        <f t="shared" si="88"/>
        <v>0.7</v>
      </c>
      <c r="AF261" s="177">
        <f t="shared" si="89"/>
        <v>0.98600210941130007</v>
      </c>
      <c r="AG261" s="921">
        <f t="shared" si="95"/>
        <v>-1</v>
      </c>
      <c r="AH261" s="176">
        <f t="shared" si="90"/>
        <v>5</v>
      </c>
      <c r="AI261" s="225">
        <f t="shared" si="91"/>
        <v>-1.3997890588699935E-2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20">
        <v>44.112000000000002</v>
      </c>
      <c r="C262" s="390"/>
      <c r="D262" s="393">
        <f t="shared" si="74"/>
        <v>45.287774824540968</v>
      </c>
      <c r="E262" s="385">
        <f t="shared" si="96"/>
        <v>46.319615916354714</v>
      </c>
      <c r="F262" s="385">
        <f t="shared" si="75"/>
        <v>46.338127041109445</v>
      </c>
      <c r="G262" s="110">
        <f t="shared" si="97"/>
        <v>0.9185580042624184</v>
      </c>
      <c r="H262" s="414" t="b">
        <f>Wh_hp&gt;='2020'!Maxi_hp</f>
        <v>0</v>
      </c>
      <c r="I262" s="380">
        <f>IF(H262,Wh_hp,'2020'!Maxi_hp)</f>
        <v>50.98450100113412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2.5962300622988987E-2</v>
      </c>
      <c r="M262" s="959"/>
      <c r="N262" s="959"/>
      <c r="O262" s="48">
        <f>IF(t&lt;Tnet,'2020'!Resal+('2020'!Salim-'2020'!Resal)*(1-EXP(('2020'!Tnet-t)/('2020'!Tau_j))),Resal+(Salim-Resal)*(1-EXP((Tnet-t)/(Tau_j))))*Salcycl</f>
        <v>2.2276546802051937E-2</v>
      </c>
      <c r="P262" s="169">
        <f>(INDEX(Models!$BJ262:$BT262,,T262)*(1-R262)+INDEX(Models!$BJ262:$BT262,,T262+1)*R262-ERP_i)*Q262*Ramure*Pc/MaxiM</f>
        <v>4.5204120938895711E-4</v>
      </c>
      <c r="Q262" s="305">
        <f t="shared" si="77"/>
        <v>0.7</v>
      </c>
      <c r="R262" s="177">
        <f t="shared" si="78"/>
        <v>0.98655831070407196</v>
      </c>
      <c r="S262" s="921">
        <f t="shared" si="79"/>
        <v>-1</v>
      </c>
      <c r="T262" s="176">
        <f t="shared" si="80"/>
        <v>5</v>
      </c>
      <c r="U262" s="251">
        <f t="shared" si="81"/>
        <v>-1.3441689295928039E-2</v>
      </c>
      <c r="V262" s="383">
        <f t="shared" si="82"/>
        <v>48.02057165672506</v>
      </c>
      <c r="W262" s="402"/>
      <c r="X262" s="157">
        <f t="shared" si="83"/>
        <v>44444</v>
      </c>
      <c r="Y262" s="385">
        <f t="shared" si="84"/>
        <v>40.92311586387558</v>
      </c>
      <c r="Z262" s="385">
        <f t="shared" si="85"/>
        <v>42.013893189195628</v>
      </c>
      <c r="AA262" s="386">
        <f t="shared" si="86"/>
        <v>46.319615916354714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9.2956788219800482E-2</v>
      </c>
      <c r="AD262" s="231">
        <f>(INDEX(Models!$BJ262:$BT262,,AH262)*(1-AF262)+INDEX(Models!$BJ262:$BT262,,AH262+1)*AF262-ERP_i)*AE262*Ramure*Pc/MaxiM</f>
        <v>4.5204120938895711E-4</v>
      </c>
      <c r="AE262" s="305">
        <f t="shared" si="88"/>
        <v>0.7</v>
      </c>
      <c r="AF262" s="177">
        <f t="shared" si="89"/>
        <v>0.98655831070407196</v>
      </c>
      <c r="AG262" s="921">
        <f t="shared" si="95"/>
        <v>-1</v>
      </c>
      <c r="AH262" s="176">
        <f t="shared" si="90"/>
        <v>5</v>
      </c>
      <c r="AI262" s="225">
        <f t="shared" si="91"/>
        <v>-1.3441689295928039E-2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20">
        <v>47.474000000000004</v>
      </c>
      <c r="C263" s="390"/>
      <c r="D263" s="393">
        <f t="shared" si="74"/>
        <v>48.740454148313169</v>
      </c>
      <c r="E263" s="385">
        <f t="shared" si="96"/>
        <v>49.855627610302989</v>
      </c>
      <c r="F263" s="385">
        <f t="shared" si="75"/>
        <v>49.878074841762292</v>
      </c>
      <c r="G263" s="110">
        <f t="shared" si="97"/>
        <v>0.99136440514842039</v>
      </c>
      <c r="H263" s="414" t="b">
        <f>Wh_hp&gt;='2020'!Maxi_hp</f>
        <v>0</v>
      </c>
      <c r="I263" s="380">
        <f>IF(H263,Wh_hp,'2020'!Maxi_hp)</f>
        <v>50.093779259666192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2.5983634548407242E-2</v>
      </c>
      <c r="M263" s="959"/>
      <c r="N263" s="959"/>
      <c r="O263" s="48">
        <f>IF(t&lt;Tnet,'2020'!Resal+('2020'!Salim-'2020'!Resal)*(1-EXP(('2020'!Tnet-t)/('2020'!Tau_j))),Resal+(Salim-Resal)*(1-EXP((Tnet-t)/(Tau_j))))*Salcycl</f>
        <v>2.2368055833266884E-2</v>
      </c>
      <c r="P263" s="169">
        <f>(INDEX(Models!$BJ263:$BT263,,T263)*(1-R263)+INDEX(Models!$BJ263:$BT263,,T263+1)*R263-ERP_i)*Q263*Ramure*Pc/MaxiM</f>
        <v>4.5565970649409898E-4</v>
      </c>
      <c r="Q263" s="305">
        <f t="shared" si="77"/>
        <v>0.7</v>
      </c>
      <c r="R263" s="177">
        <f t="shared" si="78"/>
        <v>0.9870933146357036</v>
      </c>
      <c r="S263" s="921">
        <f t="shared" si="79"/>
        <v>-1</v>
      </c>
      <c r="T263" s="176">
        <f t="shared" si="80"/>
        <v>5</v>
      </c>
      <c r="U263" s="251">
        <f t="shared" si="81"/>
        <v>-1.29066853642964E-2</v>
      </c>
      <c r="V263" s="383">
        <f t="shared" si="82"/>
        <v>47.88726823471054</v>
      </c>
      <c r="W263" s="402"/>
      <c r="X263" s="157">
        <f t="shared" si="83"/>
        <v>44445</v>
      </c>
      <c r="Y263" s="385">
        <f t="shared" si="84"/>
        <v>44.045334636838405</v>
      </c>
      <c r="Z263" s="385">
        <f t="shared" si="85"/>
        <v>45.22032298340001</v>
      </c>
      <c r="AA263" s="386">
        <f t="shared" si="86"/>
        <v>49.855627610302989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9.2974551702264832E-2</v>
      </c>
      <c r="AD263" s="231">
        <f>(INDEX(Models!$BJ263:$BT263,,AH263)*(1-AF263)+INDEX(Models!$BJ263:$BT263,,AH263+1)*AF263-ERP_i)*AE263*Ramure*Pc/MaxiM</f>
        <v>4.5565970649409898E-4</v>
      </c>
      <c r="AE263" s="305">
        <f t="shared" si="88"/>
        <v>0.7</v>
      </c>
      <c r="AF263" s="177">
        <f t="shared" si="89"/>
        <v>0.9870933146357036</v>
      </c>
      <c r="AG263" s="921">
        <f t="shared" si="95"/>
        <v>-1</v>
      </c>
      <c r="AH263" s="176">
        <f t="shared" si="90"/>
        <v>5</v>
      </c>
      <c r="AI263" s="225">
        <f t="shared" si="91"/>
        <v>-1.29066853642964E-2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20">
        <v>38.036999999999999</v>
      </c>
      <c r="C264" s="390"/>
      <c r="D264" s="393">
        <f t="shared" si="74"/>
        <v>39.052560588682852</v>
      </c>
      <c r="E264" s="385">
        <f t="shared" si="96"/>
        <v>39.949806154063332</v>
      </c>
      <c r="F264" s="385">
        <f t="shared" si="75"/>
        <v>39.962872340070923</v>
      </c>
      <c r="G264" s="110">
        <f t="shared" si="97"/>
        <v>0.79644395916970712</v>
      </c>
      <c r="H264" s="414" t="b">
        <f>Wh_hp&gt;='2020'!Maxi_hp</f>
        <v>0</v>
      </c>
      <c r="I264" s="380">
        <f>IF(H264,Wh_hp,'2020'!Maxi_hp)</f>
        <v>51.37719632099251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2.6004968006557716E-2</v>
      </c>
      <c r="M264" s="959"/>
      <c r="N264" s="959"/>
      <c r="O264" s="48">
        <f>IF(t&lt;Tnet,'2020'!Resal+('2020'!Salim-'2020'!Resal)*(1-EXP(('2020'!Tnet-t)/('2020'!Tau_j))),Resal+(Salim-Resal)*(1-EXP((Tnet-t)/(Tau_j))))*Salcycl</f>
        <v>2.245932212838091E-2</v>
      </c>
      <c r="P264" s="169">
        <f>(INDEX(Models!$BJ264:$BT264,,T264)*(1-R264)+INDEX(Models!$BJ264:$BT264,,T264+1)*R264-ERP_i)*Q264*Ramure*Pc/MaxiM</f>
        <v>4.6092108998037118E-4</v>
      </c>
      <c r="Q264" s="305">
        <f t="shared" si="77"/>
        <v>0.7</v>
      </c>
      <c r="R264" s="177">
        <f t="shared" si="78"/>
        <v>0.98760788386874121</v>
      </c>
      <c r="S264" s="921">
        <f t="shared" si="79"/>
        <v>-1</v>
      </c>
      <c r="T264" s="176">
        <f t="shared" si="80"/>
        <v>5</v>
      </c>
      <c r="U264" s="251">
        <f t="shared" si="81"/>
        <v>-1.239211613125879E-2</v>
      </c>
      <c r="V264" s="383">
        <f t="shared" si="82"/>
        <v>47.752139176196813</v>
      </c>
      <c r="W264" s="402"/>
      <c r="X264" s="157">
        <f t="shared" si="83"/>
        <v>44446</v>
      </c>
      <c r="Y264" s="385">
        <f t="shared" si="84"/>
        <v>35.292519476667394</v>
      </c>
      <c r="Z264" s="385">
        <f t="shared" si="85"/>
        <v>36.234804405968482</v>
      </c>
      <c r="AA264" s="386">
        <f t="shared" si="86"/>
        <v>39.949806154063332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9.2991734021642861E-2</v>
      </c>
      <c r="AD264" s="231">
        <f>(INDEX(Models!$BJ264:$BT264,,AH264)*(1-AF264)+INDEX(Models!$BJ264:$BT264,,AH264+1)*AF264-ERP_i)*AE264*Ramure*Pc/MaxiM</f>
        <v>4.6092108998037118E-4</v>
      </c>
      <c r="AE264" s="305">
        <f t="shared" si="88"/>
        <v>0.7</v>
      </c>
      <c r="AF264" s="177">
        <f t="shared" si="89"/>
        <v>0.98760788386874121</v>
      </c>
      <c r="AG264" s="921">
        <f t="shared" si="95"/>
        <v>-1</v>
      </c>
      <c r="AH264" s="176">
        <f t="shared" si="90"/>
        <v>5</v>
      </c>
      <c r="AI264" s="225">
        <f t="shared" si="91"/>
        <v>-1.239211613125879E-2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20">
        <v>30.847000000000001</v>
      </c>
      <c r="C265" s="390"/>
      <c r="D265" s="393">
        <f t="shared" si="74"/>
        <v>31.671286433699954</v>
      </c>
      <c r="E265" s="385">
        <f t="shared" si="96"/>
        <v>32.401961651997404</v>
      </c>
      <c r="F265" s="385">
        <f t="shared" si="75"/>
        <v>32.409496132834569</v>
      </c>
      <c r="G265" s="110">
        <f t="shared" si="97"/>
        <v>0.64769123944473839</v>
      </c>
      <c r="H265" s="414" t="b">
        <f>Wh_hp&gt;='2020'!Maxi_hp</f>
        <v>0</v>
      </c>
      <c r="I265" s="380">
        <f>IF(H265,Wh_hp,'2020'!Maxi_hp)</f>
        <v>49.21838095853591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2.6026300997450735E-2</v>
      </c>
      <c r="M265" s="959"/>
      <c r="N265" s="959"/>
      <c r="O265" s="48">
        <f>IF(t&lt;Tnet,'2020'!Resal+('2020'!Salim-'2020'!Resal)*(1-EXP(('2020'!Tnet-t)/('2020'!Tau_j))),Resal+(Salim-Resal)*(1-EXP((Tnet-t)/(Tau_j))))*Salcycl</f>
        <v>2.2550338962345096E-2</v>
      </c>
      <c r="P265" s="169">
        <f>(INDEX(Models!$BJ265:$BT265,,T265)*(1-R265)+INDEX(Models!$BJ265:$BT265,,T265+1)*R265-ERP_i)*Q265*Ramure*Pc/MaxiM</f>
        <v>4.6783734629516748E-4</v>
      </c>
      <c r="Q265" s="305">
        <f t="shared" si="77"/>
        <v>0.7</v>
      </c>
      <c r="R265" s="177">
        <f t="shared" si="78"/>
        <v>0.98810275711558704</v>
      </c>
      <c r="S265" s="921">
        <f t="shared" si="79"/>
        <v>-1</v>
      </c>
      <c r="T265" s="176">
        <f t="shared" si="80"/>
        <v>5</v>
      </c>
      <c r="U265" s="251">
        <f t="shared" si="81"/>
        <v>-1.1897242884412962E-2</v>
      </c>
      <c r="V265" s="383">
        <f t="shared" si="82"/>
        <v>47.614876179491091</v>
      </c>
      <c r="W265" s="402"/>
      <c r="X265" s="157">
        <f t="shared" si="83"/>
        <v>44447</v>
      </c>
      <c r="Y265" s="385">
        <f t="shared" si="84"/>
        <v>28.62344085208753</v>
      </c>
      <c r="Z265" s="385">
        <f t="shared" si="85"/>
        <v>29.388309850051311</v>
      </c>
      <c r="AA265" s="386">
        <f t="shared" si="86"/>
        <v>32.401961651997404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9.300831333340949E-2</v>
      </c>
      <c r="AD265" s="231">
        <f>(INDEX(Models!$BJ265:$BT265,,AH265)*(1-AF265)+INDEX(Models!$BJ265:$BT265,,AH265+1)*AF265-ERP_i)*AE265*Ramure*Pc/MaxiM</f>
        <v>4.6783734629516748E-4</v>
      </c>
      <c r="AE265" s="305">
        <f t="shared" si="88"/>
        <v>0.7</v>
      </c>
      <c r="AF265" s="177">
        <f t="shared" si="89"/>
        <v>0.98810275711558704</v>
      </c>
      <c r="AG265" s="921">
        <f t="shared" si="95"/>
        <v>-1</v>
      </c>
      <c r="AH265" s="176">
        <f t="shared" si="90"/>
        <v>5</v>
      </c>
      <c r="AI265" s="225">
        <f t="shared" si="91"/>
        <v>-1.1897242884412962E-2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20">
        <v>17.638999999999999</v>
      </c>
      <c r="C266" s="390"/>
      <c r="D266" s="393">
        <f t="shared" si="74"/>
        <v>18.110741969619799</v>
      </c>
      <c r="E266" s="385">
        <f t="shared" si="96"/>
        <v>18.530288061897153</v>
      </c>
      <c r="F266" s="385">
        <f t="shared" si="75"/>
        <v>18.531190368859015</v>
      </c>
      <c r="G266" s="110">
        <f t="shared" si="97"/>
        <v>0.37138265117051833</v>
      </c>
      <c r="H266" s="414" t="b">
        <f>Wh_hp&gt;='2020'!Maxi_hp</f>
        <v>0</v>
      </c>
      <c r="I266" s="380">
        <f>IF(H266,Wh_hp,'2020'!Maxi_hp)</f>
        <v>48.849649959056784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2.6047633521096514E-2</v>
      </c>
      <c r="M266" s="959"/>
      <c r="N266" s="959"/>
      <c r="O266" s="48">
        <f>IF(t&lt;Tnet,'2020'!Resal+('2020'!Salim-'2020'!Resal)*(1-EXP(('2020'!Tnet-t)/('2020'!Tau_j))),Resal+(Salim-Resal)*(1-EXP((Tnet-t)/(Tau_j))))*Salcycl</f>
        <v>2.2641099311350988E-2</v>
      </c>
      <c r="P266" s="169">
        <f>(INDEX(Models!$BJ266:$BT266,,T266)*(1-R266)+INDEX(Models!$BJ266:$BT266,,T266+1)*R266-ERP_i)*Q266*Ramure*Pc/MaxiM</f>
        <v>4.7642058130709976E-4</v>
      </c>
      <c r="Q266" s="305">
        <f t="shared" si="77"/>
        <v>0.7</v>
      </c>
      <c r="R266" s="177">
        <f t="shared" si="78"/>
        <v>0.98857864961494224</v>
      </c>
      <c r="S266" s="921">
        <f t="shared" si="79"/>
        <v>-1</v>
      </c>
      <c r="T266" s="176">
        <f t="shared" si="80"/>
        <v>5</v>
      </c>
      <c r="U266" s="251">
        <f t="shared" si="81"/>
        <v>-1.142135038505776E-2</v>
      </c>
      <c r="V266" s="383">
        <f t="shared" si="82"/>
        <v>47.475171119348126</v>
      </c>
      <c r="W266" s="402"/>
      <c r="X266" s="157">
        <f t="shared" si="83"/>
        <v>44448</v>
      </c>
      <c r="Y266" s="385">
        <f t="shared" si="84"/>
        <v>16.368751484424905</v>
      </c>
      <c r="Z266" s="385">
        <f t="shared" si="85"/>
        <v>16.806521599821448</v>
      </c>
      <c r="AA266" s="386">
        <f t="shared" si="86"/>
        <v>18.530288061897153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9.3024266882293885E-2</v>
      </c>
      <c r="AD266" s="231">
        <f>(INDEX(Models!$BJ266:$BT266,,AH266)*(1-AF266)+INDEX(Models!$BJ266:$BT266,,AH266+1)*AF266-ERP_i)*AE266*Ramure*Pc/MaxiM</f>
        <v>4.7642058130709976E-4</v>
      </c>
      <c r="AE266" s="305">
        <f t="shared" si="88"/>
        <v>0.7</v>
      </c>
      <c r="AF266" s="177">
        <f t="shared" si="89"/>
        <v>0.98857864961494224</v>
      </c>
      <c r="AG266" s="921">
        <f t="shared" si="95"/>
        <v>-1</v>
      </c>
      <c r="AH266" s="176">
        <f t="shared" si="90"/>
        <v>5</v>
      </c>
      <c r="AI266" s="225">
        <f t="shared" si="91"/>
        <v>-1.142135038505776E-2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20">
        <v>37.054000000000002</v>
      </c>
      <c r="C267" s="390"/>
      <c r="D267" s="393">
        <f t="shared" si="74"/>
        <v>38.045815042716718</v>
      </c>
      <c r="E267" s="385">
        <f t="shared" si="96"/>
        <v>38.930773655331748</v>
      </c>
      <c r="F267" s="385">
        <f t="shared" si="75"/>
        <v>38.94384714112666</v>
      </c>
      <c r="G267" s="110">
        <f t="shared" si="97"/>
        <v>0.7827229603015885</v>
      </c>
      <c r="H267" s="414" t="b">
        <f>Wh_hp&gt;='2020'!Maxi_hp</f>
        <v>1</v>
      </c>
      <c r="I267" s="380">
        <f>IF(H267,Wh_hp,'2020'!Maxi_hp)</f>
        <v>38.94384714112666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2.6068965577505265E-2</v>
      </c>
      <c r="M267" s="959"/>
      <c r="N267" s="959"/>
      <c r="O267" s="48">
        <f>IF(t&lt;Tnet,'2020'!Resal+('2020'!Salim-'2020'!Resal)*(1-EXP(('2020'!Tnet-t)/('2020'!Tau_j))),Resal+(Salim-Resal)*(1-EXP((Tnet-t)/(Tau_j))))*Salcycl</f>
        <v>2.2731595843686215E-2</v>
      </c>
      <c r="P267" s="169">
        <f>(INDEX(Models!$BJ267:$BT267,,T267)*(1-R267)+INDEX(Models!$BJ267:$BT267,,T267+1)*R267-ERP_i)*Q267*Ramure*Pc/MaxiM</f>
        <v>4.8668310628028141E-4</v>
      </c>
      <c r="Q267" s="305">
        <f t="shared" si="77"/>
        <v>0.7</v>
      </c>
      <c r="R267" s="177">
        <f t="shared" si="78"/>
        <v>0.98903625362260716</v>
      </c>
      <c r="S267" s="921">
        <f t="shared" si="79"/>
        <v>-1</v>
      </c>
      <c r="T267" s="176">
        <f t="shared" si="80"/>
        <v>5</v>
      </c>
      <c r="U267" s="251">
        <f t="shared" si="81"/>
        <v>-1.0963746377392891E-2</v>
      </c>
      <c r="V267" s="383">
        <f t="shared" si="82"/>
        <v>47.332716052618608</v>
      </c>
      <c r="W267" s="402"/>
      <c r="X267" s="157">
        <f t="shared" si="83"/>
        <v>44449</v>
      </c>
      <c r="Y267" s="385">
        <f t="shared" si="84"/>
        <v>34.388210642994068</v>
      </c>
      <c r="Z267" s="385">
        <f t="shared" si="85"/>
        <v>35.308671176481205</v>
      </c>
      <c r="AA267" s="386">
        <f t="shared" si="86"/>
        <v>38.930773655331748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9.3039570981001532E-2</v>
      </c>
      <c r="AD267" s="231">
        <f>(INDEX(Models!$BJ267:$BT267,,AH267)*(1-AF267)+INDEX(Models!$BJ267:$BT267,,AH267+1)*AF267-ERP_i)*AE267*Ramure*Pc/MaxiM</f>
        <v>4.8668310628028141E-4</v>
      </c>
      <c r="AE267" s="305">
        <f t="shared" si="88"/>
        <v>0.7</v>
      </c>
      <c r="AF267" s="177">
        <f t="shared" si="89"/>
        <v>0.98903625362260716</v>
      </c>
      <c r="AG267" s="921">
        <f t="shared" si="95"/>
        <v>-1</v>
      </c>
      <c r="AH267" s="176">
        <f t="shared" si="90"/>
        <v>5</v>
      </c>
      <c r="AI267" s="225">
        <f t="shared" si="91"/>
        <v>-1.0963746377392891E-2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20">
        <v>36.619999999999997</v>
      </c>
      <c r="C268" s="390"/>
      <c r="D268" s="393">
        <f t="shared" si="74"/>
        <v>37.601021833404616</v>
      </c>
      <c r="E268" s="385">
        <f t="shared" si="96"/>
        <v>38.479186946770326</v>
      </c>
      <c r="F268" s="385">
        <f t="shared" si="75"/>
        <v>38.492252096911933</v>
      </c>
      <c r="G268" s="110">
        <f t="shared" si="97"/>
        <v>0.77593425937155769</v>
      </c>
      <c r="H268" s="414" t="b">
        <f>Wh_hp&gt;='2020'!Maxi_hp</f>
        <v>0</v>
      </c>
      <c r="I268" s="380">
        <f>IF(H268,Wh_hp,'2020'!Maxi_hp)</f>
        <v>48.02648130757494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2.6090297166687204E-2</v>
      </c>
      <c r="M268" s="959"/>
      <c r="N268" s="959"/>
      <c r="O268" s="48">
        <f>IF(t&lt;Tnet,'2020'!Resal+('2020'!Salim-'2020'!Resal)*(1-EXP(('2020'!Tnet-t)/('2020'!Tau_j))),Resal+(Salim-Resal)*(1-EXP((Tnet-t)/(Tau_j))))*Salcycl</f>
        <v>2.2821820912705622E-2</v>
      </c>
      <c r="P268" s="169">
        <f>(INDEX(Models!$BJ268:$BT268,,T268)*(1-R268)+INDEX(Models!$BJ268:$BT268,,T268+1)*R268-ERP_i)*Q268*Ramure*Pc/MaxiM</f>
        <v>4.9909022241843284E-4</v>
      </c>
      <c r="Q268" s="305">
        <f t="shared" si="77"/>
        <v>0.7</v>
      </c>
      <c r="R268" s="177">
        <f t="shared" si="78"/>
        <v>0.98947623891394376</v>
      </c>
      <c r="S268" s="921">
        <f t="shared" si="79"/>
        <v>-1</v>
      </c>
      <c r="T268" s="176">
        <f t="shared" si="80"/>
        <v>5</v>
      </c>
      <c r="U268" s="251">
        <f t="shared" si="81"/>
        <v>-1.0523761086056183E-2</v>
      </c>
      <c r="V268" s="383">
        <f t="shared" si="82"/>
        <v>47.187181843744597</v>
      </c>
      <c r="W268" s="402"/>
      <c r="X268" s="157">
        <f t="shared" si="83"/>
        <v>44450</v>
      </c>
      <c r="Y268" s="385">
        <f t="shared" si="84"/>
        <v>33.988023750668845</v>
      </c>
      <c r="Z268" s="385">
        <f t="shared" si="85"/>
        <v>34.898536950387054</v>
      </c>
      <c r="AA268" s="386">
        <f t="shared" si="86"/>
        <v>38.479186946770326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9.3054200997971098E-2</v>
      </c>
      <c r="AD268" s="231">
        <f>(INDEX(Models!$BJ268:$BT268,,AH268)*(1-AF268)+INDEX(Models!$BJ268:$BT268,,AH268+1)*AF268-ERP_i)*AE268*Ramure*Pc/MaxiM</f>
        <v>4.9909022241843284E-4</v>
      </c>
      <c r="AE268" s="305">
        <f t="shared" si="88"/>
        <v>0.7</v>
      </c>
      <c r="AF268" s="177">
        <f t="shared" si="89"/>
        <v>0.98947623891394376</v>
      </c>
      <c r="AG268" s="921">
        <f t="shared" si="95"/>
        <v>-1</v>
      </c>
      <c r="AH268" s="176">
        <f t="shared" si="90"/>
        <v>5</v>
      </c>
      <c r="AI268" s="225">
        <f t="shared" si="91"/>
        <v>-1.0523761086056183E-2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20">
        <v>45.797000000000004</v>
      </c>
      <c r="C269" s="390"/>
      <c r="D269" s="393">
        <f t="shared" si="74"/>
        <v>47.024896620876646</v>
      </c>
      <c r="E269" s="385">
        <f t="shared" si="96"/>
        <v>48.127584604050945</v>
      </c>
      <c r="F269" s="385">
        <f t="shared" si="75"/>
        <v>48.151333349366546</v>
      </c>
      <c r="G269" s="110">
        <f t="shared" si="97"/>
        <v>0.9735917563127684</v>
      </c>
      <c r="H269" s="414" t="b">
        <f>Wh_hp&gt;='2020'!Maxi_hp</f>
        <v>0</v>
      </c>
      <c r="I269" s="380">
        <f>IF(H269,Wh_hp,'2020'!Maxi_hp)</f>
        <v>49.547587041399964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2.6111628288652544E-2</v>
      </c>
      <c r="M269" s="959"/>
      <c r="N269" s="959"/>
      <c r="O269" s="48">
        <f>IF(t&lt;Tnet,'2020'!Resal+('2020'!Salim-'2020'!Resal)*(1-EXP(('2020'!Tnet-t)/('2020'!Tau_j))),Resal+(Salim-Resal)*(1-EXP((Tnet-t)/(Tau_j))))*Salcycl</f>
        <v>2.291176655230448E-2</v>
      </c>
      <c r="P269" s="169">
        <f>(INDEX(Models!$BJ269:$BT269,,T269)*(1-R269)+INDEX(Models!$BJ269:$BT269,,T269+1)*R269-ERP_i)*Q269*Ramure*Pc/MaxiM</f>
        <v>5.1253259999519893E-4</v>
      </c>
      <c r="Q269" s="305">
        <f t="shared" si="77"/>
        <v>0.7</v>
      </c>
      <c r="R269" s="177">
        <f t="shared" si="78"/>
        <v>0.98989925329553086</v>
      </c>
      <c r="S269" s="921">
        <f t="shared" si="79"/>
        <v>-1</v>
      </c>
      <c r="T269" s="176">
        <f t="shared" si="80"/>
        <v>5</v>
      </c>
      <c r="U269" s="251">
        <f t="shared" si="81"/>
        <v>-1.0100746704469199E-2</v>
      </c>
      <c r="V269" s="383">
        <f t="shared" si="82"/>
        <v>47.038313927995091</v>
      </c>
      <c r="W269" s="402"/>
      <c r="X269" s="157">
        <f t="shared" si="83"/>
        <v>44451</v>
      </c>
      <c r="Y269" s="385">
        <f t="shared" si="84"/>
        <v>42.508708391416491</v>
      </c>
      <c r="Z269" s="385">
        <f t="shared" si="85"/>
        <v>43.648440238298406</v>
      </c>
      <c r="AA269" s="386">
        <f t="shared" si="86"/>
        <v>48.127584604050945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9.3068131355495562E-2</v>
      </c>
      <c r="AD269" s="231">
        <f>(INDEX(Models!$BJ269:$BT269,,AH269)*(1-AF269)+INDEX(Models!$BJ269:$BT269,,AH269+1)*AF269-ERP_i)*AE269*Ramure*Pc/MaxiM</f>
        <v>5.1253259999519893E-4</v>
      </c>
      <c r="AE269" s="305">
        <f t="shared" si="88"/>
        <v>0.7</v>
      </c>
      <c r="AF269" s="177">
        <f t="shared" si="89"/>
        <v>0.98989925329553086</v>
      </c>
      <c r="AG269" s="921">
        <f t="shared" si="95"/>
        <v>-1</v>
      </c>
      <c r="AH269" s="176">
        <f t="shared" si="90"/>
        <v>5</v>
      </c>
      <c r="AI269" s="225">
        <f t="shared" si="91"/>
        <v>-1.0100746704469199E-2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20">
        <v>33.241999999999997</v>
      </c>
      <c r="C270" s="390"/>
      <c r="D270" s="393">
        <f t="shared" si="74"/>
        <v>34.134023022212958</v>
      </c>
      <c r="E270" s="385">
        <f t="shared" si="96"/>
        <v>34.93763847493846</v>
      </c>
      <c r="F270" s="385">
        <f t="shared" si="75"/>
        <v>34.948400123087922</v>
      </c>
      <c r="G270" s="110">
        <f t="shared" si="97"/>
        <v>0.7088438582431561</v>
      </c>
      <c r="H270" s="414" t="b">
        <f>Wh_hp&gt;='2020'!Maxi_hp</f>
        <v>0</v>
      </c>
      <c r="I270" s="380">
        <f>IF(H270,Wh_hp,'2020'!Maxi_hp)</f>
        <v>47.552887947991515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2.6132958943411722E-2</v>
      </c>
      <c r="M270" s="959"/>
      <c r="N270" s="959"/>
      <c r="O270" s="48">
        <f>IF(t&lt;Tnet,'2020'!Resal+('2020'!Salim-'2020'!Resal)*(1-EXP(('2020'!Tnet-t)/('2020'!Tau_j))),Resal+(Salim-Resal)*(1-EXP((Tnet-t)/(Tau_j))))*Salcycl</f>
        <v>2.300142447526762E-2</v>
      </c>
      <c r="P270" s="169">
        <f>(INDEX(Models!$BJ270:$BT270,,T270)*(1-R270)+INDEX(Models!$BJ270:$BT270,,T270+1)*R270-ERP_i)*Q270*Ramure*Pc/MaxiM</f>
        <v>5.2701991603955865E-4</v>
      </c>
      <c r="Q270" s="305">
        <f t="shared" si="77"/>
        <v>0.7</v>
      </c>
      <c r="R270" s="177">
        <f t="shared" si="78"/>
        <v>0.99030592312374088</v>
      </c>
      <c r="S270" s="921">
        <f t="shared" si="79"/>
        <v>-1</v>
      </c>
      <c r="T270" s="176">
        <f t="shared" si="80"/>
        <v>5</v>
      </c>
      <c r="U270" s="251">
        <f t="shared" si="81"/>
        <v>-9.6940768762591167E-3</v>
      </c>
      <c r="V270" s="383">
        <f t="shared" si="82"/>
        <v>46.885804780702586</v>
      </c>
      <c r="W270" s="402"/>
      <c r="X270" s="157">
        <f t="shared" si="83"/>
        <v>44452</v>
      </c>
      <c r="Y270" s="385">
        <f t="shared" si="84"/>
        <v>30.857558034622262</v>
      </c>
      <c r="Z270" s="385">
        <f t="shared" si="85"/>
        <v>31.685596425096829</v>
      </c>
      <c r="AA270" s="386">
        <f t="shared" si="86"/>
        <v>34.93763847493846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9.3081335539446752E-2</v>
      </c>
      <c r="AD270" s="231">
        <f>(INDEX(Models!$BJ270:$BT270,,AH270)*(1-AF270)+INDEX(Models!$BJ270:$BT270,,AH270+1)*AF270-ERP_i)*AE270*Ramure*Pc/MaxiM</f>
        <v>5.2701991603955865E-4</v>
      </c>
      <c r="AE270" s="305">
        <f t="shared" si="88"/>
        <v>0.7</v>
      </c>
      <c r="AF270" s="177">
        <f t="shared" si="89"/>
        <v>0.99030592312374088</v>
      </c>
      <c r="AG270" s="921">
        <f t="shared" si="95"/>
        <v>-1</v>
      </c>
      <c r="AH270" s="176">
        <f t="shared" si="90"/>
        <v>5</v>
      </c>
      <c r="AI270" s="225">
        <f t="shared" si="91"/>
        <v>-9.6940768762591167E-3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20">
        <v>19.981000000000002</v>
      </c>
      <c r="C271" s="390"/>
      <c r="D271" s="393">
        <f t="shared" ref="D271:D334" si="98">Wh/(1-Ppv)</f>
        <v>20.51762386689537</v>
      </c>
      <c r="E271" s="385">
        <f t="shared" si="96"/>
        <v>21.002590183848376</v>
      </c>
      <c r="F271" s="385">
        <f t="shared" ref="F271:F334" si="99">Wh_sa/(1-Pvg*MEDIAN((-Sdif+Wh/Env_an)/Csdif,0,1))</f>
        <v>21.004667410514141</v>
      </c>
      <c r="G271" s="110">
        <f t="shared" si="97"/>
        <v>0.42740024076342009</v>
      </c>
      <c r="H271" s="414" t="b">
        <f>Wh_hp&gt;='2020'!Maxi_hp</f>
        <v>0</v>
      </c>
      <c r="I271" s="380">
        <f>IF(H271,Wh_hp,'2020'!Maxi_hp)</f>
        <v>47.223329847400791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2.6154289130974728E-2</v>
      </c>
      <c r="M271" s="959"/>
      <c r="N271" s="959"/>
      <c r="O271" s="48">
        <f>IF(t&lt;Tnet,'2020'!Resal+('2020'!Salim-'2020'!Resal)*(1-EXP(('2020'!Tnet-t)/('2020'!Tau_j))),Resal+(Salim-Resal)*(1-EXP((Tnet-t)/(Tau_j))))*Salcycl</f>
        <v>2.3090786074850791E-2</v>
      </c>
      <c r="P271" s="169">
        <f>(INDEX(Models!$BJ271:$BT271,,T271)*(1-R271)+INDEX(Models!$BJ271:$BT271,,T271+1)*R271-ERP_i)*Q271*Ramure*Pc/MaxiM</f>
        <v>5.4256227311459757E-4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0.9906968538281764</v>
      </c>
      <c r="S271" s="92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-9.3031461718235398E-3</v>
      </c>
      <c r="V271" s="383">
        <f t="shared" ref="V271:V334" si="106">MaxiM*(1-Ppv)*(1-Pvg)*(1-Psa)</f>
        <v>46.729347047884886</v>
      </c>
      <c r="W271" s="402"/>
      <c r="X271" s="157">
        <f t="shared" ref="X271:X334" si="107">t</f>
        <v>44453</v>
      </c>
      <c r="Y271" s="385">
        <f t="shared" ref="Y271:Y334" si="108">Wh_pvt_s*(1-Ppv)</f>
        <v>18.549208873456298</v>
      </c>
      <c r="Z271" s="385">
        <f t="shared" ref="Z271:Z334" si="109">Wh_sa_s*(1-Psa_s)</f>
        <v>19.047379545270722</v>
      </c>
      <c r="AA271" s="386">
        <f t="shared" ref="AA271:AA334" si="110">Wh_hp*(1-Pvg_s*MEDIAN((-Sdif+Wh/Env_an)/Csdif,0,1))</f>
        <v>21.002590183848376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9.3093786121736036E-2</v>
      </c>
      <c r="AD271" s="231">
        <f>(INDEX(Models!$BJ271:$BT271,,AH271)*(1-AF271)+INDEX(Models!$BJ271:$BT271,,AH271+1)*AF271-ERP_i)*AE271*Ramure*Pc/MaxiM</f>
        <v>5.4256227311459757E-4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0.9906968538281764</v>
      </c>
      <c r="AG271" s="92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-9.3031461718235398E-3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20">
        <v>28.574999999999999</v>
      </c>
      <c r="C272" s="390"/>
      <c r="D272" s="393">
        <f t="shared" si="98"/>
        <v>29.343073097322879</v>
      </c>
      <c r="E272" s="385">
        <f t="shared" si="96"/>
        <v>30.039381220711491</v>
      </c>
      <c r="F272" s="385">
        <f t="shared" si="99"/>
        <v>30.046908470686386</v>
      </c>
      <c r="G272" s="110">
        <f t="shared" si="97"/>
        <v>0.61342100550549261</v>
      </c>
      <c r="H272" s="414" t="b">
        <f>Wh_hp&gt;='2020'!Maxi_hp</f>
        <v>0</v>
      </c>
      <c r="I272" s="380">
        <f>IF(H272,Wh_hp,'2020'!Maxi_hp)</f>
        <v>48.01660304214726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2.6175618851351889E-2</v>
      </c>
      <c r="M272" s="959"/>
      <c r="N272" s="959"/>
      <c r="O272" s="48">
        <f>IF(t&lt;Tnet,'2020'!Resal+('2020'!Salim-'2020'!Resal)*(1-EXP(('2020'!Tnet-t)/('2020'!Tau_j))),Resal+(Salim-Resal)*(1-EXP((Tnet-t)/(Tau_j))))*Salcycl</f>
        <v>2.3179842429927284E-2</v>
      </c>
      <c r="P272" s="169">
        <f>(INDEX(Models!$BJ272:$BT272,,T272)*(1-R272)+INDEX(Models!$BJ272:$BT272,,T272+1)*R272-ERP_i)*Q272*Ramure*Pc/MaxiM</f>
        <v>5.5917025962403722E-4</v>
      </c>
      <c r="Q272" s="305">
        <f t="shared" si="101"/>
        <v>0.7</v>
      </c>
      <c r="R272" s="177">
        <f t="shared" si="102"/>
        <v>0.99107263043807459</v>
      </c>
      <c r="S272" s="921">
        <f t="shared" si="103"/>
        <v>-1</v>
      </c>
      <c r="T272" s="176">
        <f t="shared" si="104"/>
        <v>5</v>
      </c>
      <c r="U272" s="251">
        <f t="shared" si="105"/>
        <v>-8.9273695619254689E-3</v>
      </c>
      <c r="V272" s="383">
        <f t="shared" si="106"/>
        <v>46.568633541779839</v>
      </c>
      <c r="W272" s="402"/>
      <c r="X272" s="157">
        <f t="shared" si="107"/>
        <v>44454</v>
      </c>
      <c r="Y272" s="385">
        <f t="shared" si="108"/>
        <v>26.529460339612672</v>
      </c>
      <c r="Z272" s="385">
        <f t="shared" si="109"/>
        <v>27.242550970351111</v>
      </c>
      <c r="AA272" s="386">
        <f t="shared" si="110"/>
        <v>30.039381220711491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9.3105454796519785E-2</v>
      </c>
      <c r="AD272" s="231">
        <f>(INDEX(Models!$BJ272:$BT272,,AH272)*(1-AF272)+INDEX(Models!$BJ272:$BT272,,AH272+1)*AF272-ERP_i)*AE272*Ramure*Pc/MaxiM</f>
        <v>5.5917025962403722E-4</v>
      </c>
      <c r="AE272" s="305">
        <f t="shared" si="112"/>
        <v>0.7</v>
      </c>
      <c r="AF272" s="177">
        <f t="shared" si="113"/>
        <v>0.99107263043807459</v>
      </c>
      <c r="AG272" s="921">
        <f t="shared" ref="AG272:AG335" si="119">INDEX(Echel_vg,AH272)</f>
        <v>-1</v>
      </c>
      <c r="AH272" s="176">
        <f t="shared" si="114"/>
        <v>5</v>
      </c>
      <c r="AI272" s="225">
        <f t="shared" si="115"/>
        <v>-8.9273695619254689E-3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20">
        <v>22.664999999999999</v>
      </c>
      <c r="C273" s="390"/>
      <c r="D273" s="393">
        <f t="shared" si="98"/>
        <v>23.274726810399699</v>
      </c>
      <c r="E273" s="385">
        <f t="shared" si="96"/>
        <v>23.829198525423703</v>
      </c>
      <c r="F273" s="385">
        <f t="shared" si="99"/>
        <v>23.832899413071942</v>
      </c>
      <c r="G273" s="110">
        <f t="shared" si="97"/>
        <v>0.48822854577119718</v>
      </c>
      <c r="H273" s="414" t="b">
        <f>Wh_hp&gt;='2020'!Maxi_hp</f>
        <v>0</v>
      </c>
      <c r="I273" s="380">
        <f>IF(H273,Wh_hp,'2020'!Maxi_hp)</f>
        <v>47.259197332077989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2.6196948104553419E-2</v>
      </c>
      <c r="M273" s="959"/>
      <c r="N273" s="959"/>
      <c r="O273" s="48">
        <f>IF(t&lt;Tnet,'2020'!Resal+('2020'!Salim-'2020'!Resal)*(1-EXP(('2020'!Tnet-t)/('2020'!Tau_j))),Resal+(Salim-Resal)*(1-EXP((Tnet-t)/(Tau_j))))*Salcycl</f>
        <v>2.3268584314005806E-2</v>
      </c>
      <c r="P273" s="169">
        <f>(INDEX(Models!$BJ273:$BT273,,T273)*(1-R273)+INDEX(Models!$BJ273:$BT273,,T273+1)*R273-ERP_i)*Q273*Ramure*Pc/MaxiM</f>
        <v>5.7685501269656822E-4</v>
      </c>
      <c r="Q273" s="305">
        <f t="shared" si="101"/>
        <v>0.7</v>
      </c>
      <c r="R273" s="177">
        <f t="shared" si="102"/>
        <v>0.99143381810997022</v>
      </c>
      <c r="S273" s="921">
        <f t="shared" si="103"/>
        <v>-1</v>
      </c>
      <c r="T273" s="176">
        <f t="shared" si="104"/>
        <v>5</v>
      </c>
      <c r="U273" s="251">
        <f t="shared" si="105"/>
        <v>-8.5661818900298337E-3</v>
      </c>
      <c r="V273" s="383">
        <f t="shared" si="106"/>
        <v>46.403357247336089</v>
      </c>
      <c r="W273" s="402"/>
      <c r="X273" s="157">
        <f t="shared" si="107"/>
        <v>44455</v>
      </c>
      <c r="Y273" s="385">
        <f t="shared" si="108"/>
        <v>21.044187223480197</v>
      </c>
      <c r="Z273" s="385">
        <f t="shared" si="109"/>
        <v>21.61031143054954</v>
      </c>
      <c r="AA273" s="386">
        <f t="shared" si="110"/>
        <v>23.829198525423703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9.3116312431020254E-2</v>
      </c>
      <c r="AD273" s="231">
        <f>(INDEX(Models!$BJ273:$BT273,,AH273)*(1-AF273)+INDEX(Models!$BJ273:$BT273,,AH273+1)*AF273-ERP_i)*AE273*Ramure*Pc/MaxiM</f>
        <v>5.7685501269656822E-4</v>
      </c>
      <c r="AE273" s="305">
        <f t="shared" si="112"/>
        <v>0.7</v>
      </c>
      <c r="AF273" s="177">
        <f t="shared" si="113"/>
        <v>0.99143381810997022</v>
      </c>
      <c r="AG273" s="921">
        <f t="shared" si="119"/>
        <v>-1</v>
      </c>
      <c r="AH273" s="176">
        <f t="shared" si="114"/>
        <v>5</v>
      </c>
      <c r="AI273" s="225">
        <f t="shared" si="115"/>
        <v>-8.5661818900298337E-3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20">
        <v>42.658999999999999</v>
      </c>
      <c r="C274" s="390"/>
      <c r="D274" s="393">
        <f t="shared" si="98"/>
        <v>43.80755870400229</v>
      </c>
      <c r="E274" s="385">
        <f t="shared" si="96"/>
        <v>44.855242706966898</v>
      </c>
      <c r="F274" s="385">
        <f t="shared" si="99"/>
        <v>44.879021714590237</v>
      </c>
      <c r="G274" s="110">
        <f t="shared" si="97"/>
        <v>0.92263096441684267</v>
      </c>
      <c r="H274" s="414" t="b">
        <f>Wh_hp&gt;='2020'!Maxi_hp</f>
        <v>0</v>
      </c>
      <c r="I274" s="380">
        <f>IF(H274,Wh_hp,'2020'!Maxi_hp)</f>
        <v>45.090850708314242</v>
      </c>
      <c r="J274" s="85">
        <f>IF(H274,An,'2020'!An_max)</f>
        <v>2018</v>
      </c>
      <c r="K274" s="197">
        <f t="shared" si="100"/>
        <v>44456</v>
      </c>
      <c r="L274" s="147">
        <f>IF(t&lt;Tvie,1-EXP((T0-t)*PertePVj)+'2020'!Pspv,1-EXP((T0-t)*PertePVj)+Pspv)</f>
        <v>2.6218276890589531E-2</v>
      </c>
      <c r="M274" s="959"/>
      <c r="N274" s="959"/>
      <c r="O274" s="48">
        <f>IF(t&lt;Tnet,'2020'!Resal+('2020'!Salim-'2020'!Resal)*(1-EXP(('2020'!Tnet-t)/('2020'!Tau_j))),Resal+(Salim-Resal)*(1-EXP((Tnet-t)/(Tau_j))))*Salcycl</f>
        <v>2.335700220839251E-2</v>
      </c>
      <c r="P274" s="169">
        <f>(INDEX(Models!$BJ274:$BT274,,T274)*(1-R274)+INDEX(Models!$BJ274:$BT274,,T274+1)*R274-ERP_i)*Q274*Ramure*Pc/MaxiM</f>
        <v>5.9562828454107317E-4</v>
      </c>
      <c r="Q274" s="305">
        <f t="shared" si="101"/>
        <v>0.7</v>
      </c>
      <c r="R274" s="177">
        <f t="shared" si="102"/>
        <v>0.99178096265506843</v>
      </c>
      <c r="S274" s="921">
        <f t="shared" si="103"/>
        <v>-1</v>
      </c>
      <c r="T274" s="176">
        <f t="shared" si="104"/>
        <v>5</v>
      </c>
      <c r="U274" s="251">
        <f t="shared" si="105"/>
        <v>-8.2190373449315124E-3</v>
      </c>
      <c r="V274" s="383">
        <f t="shared" si="106"/>
        <v>46.233211312700497</v>
      </c>
      <c r="W274" s="402"/>
      <c r="X274" s="157">
        <f t="shared" si="107"/>
        <v>44456</v>
      </c>
      <c r="Y274" s="385">
        <f t="shared" si="108"/>
        <v>39.611530531677886</v>
      </c>
      <c r="Z274" s="385">
        <f t="shared" si="109"/>
        <v>40.67803861135652</v>
      </c>
      <c r="AA274" s="386">
        <f t="shared" si="110"/>
        <v>44.855242706966898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9.3126329131679828E-2</v>
      </c>
      <c r="AD274" s="231">
        <f>(INDEX(Models!$BJ274:$BT274,,AH274)*(1-AF274)+INDEX(Models!$BJ274:$BT274,,AH274+1)*AF274-ERP_i)*AE274*Ramure*Pc/MaxiM</f>
        <v>5.9562828454107317E-4</v>
      </c>
      <c r="AE274" s="305">
        <f t="shared" si="112"/>
        <v>0.7</v>
      </c>
      <c r="AF274" s="177">
        <f t="shared" si="113"/>
        <v>0.99178096265506843</v>
      </c>
      <c r="AG274" s="921">
        <f t="shared" si="119"/>
        <v>-1</v>
      </c>
      <c r="AH274" s="176">
        <f t="shared" si="114"/>
        <v>5</v>
      </c>
      <c r="AI274" s="225">
        <f t="shared" si="115"/>
        <v>-8.2190373449315124E-3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20">
        <v>7.9050000000000002</v>
      </c>
      <c r="C275" s="390"/>
      <c r="D275" s="393">
        <f t="shared" si="98"/>
        <v>8.1180134684985674</v>
      </c>
      <c r="E275" s="385">
        <f t="shared" si="96"/>
        <v>8.3129103696840225</v>
      </c>
      <c r="F275" s="385">
        <f t="shared" si="99"/>
        <v>8.3129103696840225</v>
      </c>
      <c r="G275" s="110">
        <f t="shared" si="97"/>
        <v>0.17152387224725027</v>
      </c>
      <c r="H275" s="414" t="b">
        <f>Wh_hp&gt;='2020'!Maxi_hp</f>
        <v>0</v>
      </c>
      <c r="I275" s="380">
        <f>IF(H275,Wh_hp,'2020'!Maxi_hp)</f>
        <v>43.498795639954182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2.6239605209470551E-2</v>
      </c>
      <c r="M275" s="959"/>
      <c r="N275" s="959"/>
      <c r="O275" s="48">
        <f>IF(t&lt;Tnet,'2020'!Resal+('2020'!Salim-'2020'!Resal)*(1-EXP(('2020'!Tnet-t)/('2020'!Tau_j))),Resal+(Salim-Resal)*(1-EXP((Tnet-t)/(Tau_j))))*Salcycl</f>
        <v>2.3445086319734135E-2</v>
      </c>
      <c r="P275" s="169">
        <f>(INDEX(Models!$BJ275:$BT275,,T275)*(1-R275)+INDEX(Models!$BJ275:$BT275,,T275+1)*R275-ERP_i)*Q275*Ramure*Pc/MaxiM</f>
        <v>6.1549417812387379E-4</v>
      </c>
      <c r="Q275" s="305">
        <f t="shared" si="101"/>
        <v>0.7</v>
      </c>
      <c r="R275" s="177">
        <f t="shared" si="102"/>
        <v>0.99211459106492628</v>
      </c>
      <c r="S275" s="921">
        <f t="shared" si="103"/>
        <v>-1</v>
      </c>
      <c r="T275" s="176">
        <f t="shared" si="104"/>
        <v>5</v>
      </c>
      <c r="U275" s="251">
        <f t="shared" si="105"/>
        <v>-7.8854089350736678E-3</v>
      </c>
      <c r="V275" s="383">
        <f t="shared" si="106"/>
        <v>46.058513109673449</v>
      </c>
      <c r="W275" s="402"/>
      <c r="X275" s="157">
        <f t="shared" si="107"/>
        <v>44457</v>
      </c>
      <c r="Y275" s="385">
        <f t="shared" si="108"/>
        <v>7.3408714400248272</v>
      </c>
      <c r="Z275" s="385">
        <f t="shared" si="109"/>
        <v>7.5386835193722979</v>
      </c>
      <c r="AA275" s="386">
        <f t="shared" si="110"/>
        <v>8.3129103696840225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9.3135474326201936E-2</v>
      </c>
      <c r="AD275" s="231">
        <f>(INDEX(Models!$BJ275:$BT275,,AH275)*(1-AF275)+INDEX(Models!$BJ275:$BT275,,AH275+1)*AF275-ERP_i)*AE275*Ramure*Pc/MaxiM</f>
        <v>6.1549417812387379E-4</v>
      </c>
      <c r="AE275" s="305">
        <f t="shared" si="112"/>
        <v>0.7</v>
      </c>
      <c r="AF275" s="177">
        <f t="shared" si="113"/>
        <v>0.99211459106492628</v>
      </c>
      <c r="AG275" s="921">
        <f t="shared" si="119"/>
        <v>-1</v>
      </c>
      <c r="AH275" s="176">
        <f t="shared" si="114"/>
        <v>5</v>
      </c>
      <c r="AI275" s="225">
        <f t="shared" si="115"/>
        <v>-7.8854089350736678E-3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20">
        <v>29.126999999999999</v>
      </c>
      <c r="C276" s="390"/>
      <c r="D276" s="393">
        <f t="shared" si="98"/>
        <v>29.912530973588684</v>
      </c>
      <c r="E276" s="385">
        <f t="shared" si="96"/>
        <v>30.633421981304842</v>
      </c>
      <c r="F276" s="385">
        <f t="shared" si="99"/>
        <v>30.64276530942087</v>
      </c>
      <c r="G276" s="110">
        <f t="shared" si="97"/>
        <v>0.63464357233811564</v>
      </c>
      <c r="H276" s="414" t="b">
        <f>Wh_hp&gt;='2020'!Maxi_hp</f>
        <v>0</v>
      </c>
      <c r="I276" s="380">
        <f>IF(H276,Wh_hp,'2020'!Maxi_hp)</f>
        <v>42.121990012430572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2.6260933061206693E-2</v>
      </c>
      <c r="M276" s="959"/>
      <c r="N276" s="959"/>
      <c r="O276" s="48">
        <f>IF(t&lt;Tnet,'2020'!Resal+('2020'!Salim-'2020'!Resal)*(1-EXP(('2020'!Tnet-t)/('2020'!Tau_j))),Resal+(Salim-Resal)*(1-EXP((Tnet-t)/(Tau_j))))*Salcycl</f>
        <v>2.3532826602137659E-2</v>
      </c>
      <c r="P276" s="169">
        <f>(INDEX(Models!$BJ276:$BT276,,T276)*(1-R276)+INDEX(Models!$BJ276:$BT276,,T276+1)*R276-ERP_i)*Q276*Ramure*Pc/MaxiM</f>
        <v>6.3740469551596475E-4</v>
      </c>
      <c r="Q276" s="305">
        <f t="shared" si="101"/>
        <v>0.7</v>
      </c>
      <c r="R276" s="177">
        <f t="shared" si="102"/>
        <v>0.99243521203418794</v>
      </c>
      <c r="S276" s="921">
        <f t="shared" si="103"/>
        <v>-1</v>
      </c>
      <c r="T276" s="176">
        <f t="shared" si="104"/>
        <v>5</v>
      </c>
      <c r="U276" s="251">
        <f t="shared" si="105"/>
        <v>-7.5647879658120587E-3</v>
      </c>
      <c r="V276" s="383">
        <f t="shared" si="106"/>
        <v>45.879787935687304</v>
      </c>
      <c r="W276" s="402"/>
      <c r="X276" s="157">
        <f t="shared" si="107"/>
        <v>44458</v>
      </c>
      <c r="Y276" s="385">
        <f t="shared" si="108"/>
        <v>27.050579557170931</v>
      </c>
      <c r="Z276" s="385">
        <f t="shared" si="109"/>
        <v>27.780111197768406</v>
      </c>
      <c r="AA276" s="386">
        <f t="shared" si="110"/>
        <v>30.633421981304842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9.3143716861856796E-2</v>
      </c>
      <c r="AD276" s="231">
        <f>(INDEX(Models!$BJ276:$BT276,,AH276)*(1-AF276)+INDEX(Models!$BJ276:$BT276,,AH276+1)*AF276-ERP_i)*AE276*Ramure*Pc/MaxiM</f>
        <v>6.3740469551596475E-4</v>
      </c>
      <c r="AE276" s="305">
        <f t="shared" si="112"/>
        <v>0.7</v>
      </c>
      <c r="AF276" s="177">
        <f t="shared" si="113"/>
        <v>0.99243521203418794</v>
      </c>
      <c r="AG276" s="921">
        <f t="shared" si="119"/>
        <v>-1</v>
      </c>
      <c r="AH276" s="176">
        <f t="shared" si="114"/>
        <v>5</v>
      </c>
      <c r="AI276" s="225">
        <f t="shared" si="115"/>
        <v>-7.5647879658120587E-3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20">
        <v>30.381</v>
      </c>
      <c r="C277" s="390"/>
      <c r="D277" s="393">
        <f t="shared" si="98"/>
        <v>31.201033693716695</v>
      </c>
      <c r="E277" s="385">
        <f t="shared" si="96"/>
        <v>31.955837372138067</v>
      </c>
      <c r="F277" s="385">
        <f t="shared" si="99"/>
        <v>31.966847473125533</v>
      </c>
      <c r="G277" s="110">
        <f t="shared" si="97"/>
        <v>0.66462342153255027</v>
      </c>
      <c r="H277" s="414" t="b">
        <f>Wh_hp&gt;='2020'!Maxi_hp</f>
        <v>0</v>
      </c>
      <c r="I277" s="380">
        <f>IF(H277,Wh_hp,'2020'!Maxi_hp)</f>
        <v>46.992391841113573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2.6282260445808059E-2</v>
      </c>
      <c r="M277" s="959"/>
      <c r="N277" s="959"/>
      <c r="O277" s="48">
        <f>IF(t&lt;Tnet,'2020'!Resal+('2020'!Salim-'2020'!Resal)*(1-EXP(('2020'!Tnet-t)/('2020'!Tau_j))),Resal+(Salim-Resal)*(1-EXP((Tnet-t)/(Tau_j))))*Salcycl</f>
        <v>2.3620212784017842E-2</v>
      </c>
      <c r="P277" s="169">
        <f>(INDEX(Models!$BJ277:$BT277,,T277)*(1-R277)+INDEX(Models!$BJ277:$BT277,,T277+1)*R277-ERP_i)*Q277*Ramure*Pc/MaxiM</f>
        <v>6.6083707291567258E-4</v>
      </c>
      <c r="Q277" s="305">
        <f t="shared" si="101"/>
        <v>0.7</v>
      </c>
      <c r="R277" s="177">
        <f t="shared" si="102"/>
        <v>0.99274331647924674</v>
      </c>
      <c r="S277" s="921">
        <f t="shared" si="103"/>
        <v>-1</v>
      </c>
      <c r="T277" s="176">
        <f t="shared" si="104"/>
        <v>5</v>
      </c>
      <c r="U277" s="251">
        <f t="shared" si="105"/>
        <v>-7.2566835207533154E-3</v>
      </c>
      <c r="V277" s="383">
        <f t="shared" si="106"/>
        <v>45.697131205888226</v>
      </c>
      <c r="W277" s="402"/>
      <c r="X277" s="157">
        <f t="shared" si="107"/>
        <v>44459</v>
      </c>
      <c r="Y277" s="385">
        <f t="shared" si="108"/>
        <v>28.217481626058436</v>
      </c>
      <c r="Z277" s="385">
        <f t="shared" si="109"/>
        <v>28.979118362347553</v>
      </c>
      <c r="AA277" s="386">
        <f t="shared" si="110"/>
        <v>31.955837372138067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9.3151025120245562E-2</v>
      </c>
      <c r="AD277" s="231">
        <f>(INDEX(Models!$BJ277:$BT277,,AH277)*(1-AF277)+INDEX(Models!$BJ277:$BT277,,AH277+1)*AF277-ERP_i)*AE277*Ramure*Pc/MaxiM</f>
        <v>6.6083707291567258E-4</v>
      </c>
      <c r="AE277" s="305">
        <f t="shared" si="112"/>
        <v>0.7</v>
      </c>
      <c r="AF277" s="177">
        <f t="shared" si="113"/>
        <v>0.99274331647924674</v>
      </c>
      <c r="AG277" s="921">
        <f t="shared" si="119"/>
        <v>-1</v>
      </c>
      <c r="AH277" s="176">
        <f t="shared" si="114"/>
        <v>5</v>
      </c>
      <c r="AI277" s="225">
        <f t="shared" si="115"/>
        <v>-7.2566835207533154E-3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20">
        <v>13.3</v>
      </c>
      <c r="C278" s="390"/>
      <c r="D278" s="393">
        <f t="shared" si="98"/>
        <v>13.659288282663331</v>
      </c>
      <c r="E278" s="385">
        <f t="shared" si="96"/>
        <v>13.990975621196588</v>
      </c>
      <c r="F278" s="385">
        <f t="shared" si="99"/>
        <v>13.990975621196588</v>
      </c>
      <c r="G278" s="110">
        <f t="shared" si="97"/>
        <v>0.29203910394097787</v>
      </c>
      <c r="H278" s="414" t="b">
        <f>Wh_hp&gt;='2020'!Maxi_hp</f>
        <v>0</v>
      </c>
      <c r="I278" s="380">
        <f>IF(H278,Wh_hp,'2020'!Maxi_hp)</f>
        <v>34.570937857482065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2.6303587363284975E-2</v>
      </c>
      <c r="M278" s="959"/>
      <c r="N278" s="959"/>
      <c r="O278" s="48">
        <f>IF(t&lt;Tnet,'2020'!Resal+('2020'!Salim-'2020'!Resal)*(1-EXP(('2020'!Tnet-t)/('2020'!Tau_j))),Resal+(Salim-Resal)*(1-EXP((Tnet-t)/(Tau_j))))*Salcycl</f>
        <v>2.3707234399775848E-2</v>
      </c>
      <c r="P278" s="169">
        <f>(INDEX(Models!$BJ278:$BT278,,T278)*(1-R278)+INDEX(Models!$BJ278:$BT278,,T278+1)*R278-ERP_i)*Q278*Ramure*Pc/MaxiM</f>
        <v>6.8579986738384841E-4</v>
      </c>
      <c r="Q278" s="305">
        <f t="shared" si="101"/>
        <v>0.7</v>
      </c>
      <c r="R278" s="177">
        <f t="shared" si="102"/>
        <v>0.99303937805183429</v>
      </c>
      <c r="S278" s="921">
        <f t="shared" si="103"/>
        <v>-1</v>
      </c>
      <c r="T278" s="176">
        <f t="shared" si="104"/>
        <v>5</v>
      </c>
      <c r="U278" s="251">
        <f t="shared" si="105"/>
        <v>-6.9606219481656573E-3</v>
      </c>
      <c r="V278" s="383">
        <f t="shared" si="106"/>
        <v>45.510613758251807</v>
      </c>
      <c r="W278" s="402"/>
      <c r="X278" s="157">
        <f t="shared" si="107"/>
        <v>44460</v>
      </c>
      <c r="Y278" s="385">
        <f t="shared" si="108"/>
        <v>12.353883427077854</v>
      </c>
      <c r="Z278" s="385">
        <f t="shared" si="109"/>
        <v>12.687613168486708</v>
      </c>
      <c r="AA278" s="386">
        <f t="shared" si="110"/>
        <v>13.990975621196588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9.3157367148525516E-2</v>
      </c>
      <c r="AD278" s="231">
        <f>(INDEX(Models!$BJ278:$BT278,,AH278)*(1-AF278)+INDEX(Models!$BJ278:$BT278,,AH278+1)*AF278-ERP_i)*AE278*Ramure*Pc/MaxiM</f>
        <v>6.8579986738384841E-4</v>
      </c>
      <c r="AE278" s="305">
        <f t="shared" si="112"/>
        <v>0.7</v>
      </c>
      <c r="AF278" s="177">
        <f t="shared" si="113"/>
        <v>0.99303937805183429</v>
      </c>
      <c r="AG278" s="921">
        <f t="shared" si="119"/>
        <v>-1</v>
      </c>
      <c r="AH278" s="176">
        <f t="shared" si="114"/>
        <v>5</v>
      </c>
      <c r="AI278" s="225">
        <f t="shared" si="115"/>
        <v>-6.9606219481656573E-3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20">
        <v>44.347999999999999</v>
      </c>
      <c r="C279" s="390"/>
      <c r="D279" s="393">
        <f t="shared" si="98"/>
        <v>45.547021413170071</v>
      </c>
      <c r="E279" s="385">
        <f t="shared" si="96"/>
        <v>46.657176715636417</v>
      </c>
      <c r="F279" s="385">
        <f t="shared" si="99"/>
        <v>46.689414371662046</v>
      </c>
      <c r="G279" s="110">
        <f t="shared" si="97"/>
        <v>0.9785245214702939</v>
      </c>
      <c r="H279" s="414" t="b">
        <f>Wh_hp&gt;='2020'!Maxi_hp</f>
        <v>1</v>
      </c>
      <c r="I279" s="380">
        <f>IF(H279,Wh_hp,'2020'!Maxi_hp)</f>
        <v>46.689414371662046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2.6324913813647766E-2</v>
      </c>
      <c r="M279" s="959"/>
      <c r="N279" s="959"/>
      <c r="O279" s="48">
        <f>IF(t&lt;Tnet,'2020'!Resal+('2020'!Salim-'2020'!Resal)*(1-EXP(('2020'!Tnet-t)/('2020'!Tau_j))),Resal+(Salim-Resal)*(1-EXP((Tnet-t)/(Tau_j))))*Salcycl</f>
        <v>2.3793880826361542E-2</v>
      </c>
      <c r="P279" s="169">
        <f>(INDEX(Models!$BJ279:$BT279,,T279)*(1-R279)+INDEX(Models!$BJ279:$BT279,,T279+1)*R279-ERP_i)*Q279*Ramure*Pc/MaxiM</f>
        <v>7.1230146975908193E-4</v>
      </c>
      <c r="Q279" s="305">
        <f t="shared" si="101"/>
        <v>0.7</v>
      </c>
      <c r="R279" s="177">
        <f t="shared" si="102"/>
        <v>0.99332385364664444</v>
      </c>
      <c r="S279" s="921">
        <f t="shared" si="103"/>
        <v>-1</v>
      </c>
      <c r="T279" s="176">
        <f t="shared" si="104"/>
        <v>5</v>
      </c>
      <c r="U279" s="251">
        <f t="shared" si="105"/>
        <v>-6.6761463533555054E-3</v>
      </c>
      <c r="V279" s="383">
        <f t="shared" si="106"/>
        <v>45.320306432045719</v>
      </c>
      <c r="W279" s="402"/>
      <c r="X279" s="157">
        <f t="shared" si="107"/>
        <v>44461</v>
      </c>
      <c r="Y279" s="385">
        <f t="shared" si="108"/>
        <v>41.196648239798783</v>
      </c>
      <c r="Z279" s="385">
        <f t="shared" si="109"/>
        <v>42.310467654211017</v>
      </c>
      <c r="AA279" s="386">
        <f t="shared" si="110"/>
        <v>46.657176715636417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9.3162710806902846E-2</v>
      </c>
      <c r="AD279" s="231">
        <f>(INDEX(Models!$BJ279:$BT279,,AH279)*(1-AF279)+INDEX(Models!$BJ279:$BT279,,AH279+1)*AF279-ERP_i)*AE279*Ramure*Pc/MaxiM</f>
        <v>7.1230146975908193E-4</v>
      </c>
      <c r="AE279" s="305">
        <f t="shared" si="112"/>
        <v>0.7</v>
      </c>
      <c r="AF279" s="177">
        <f t="shared" si="113"/>
        <v>0.99332385364664444</v>
      </c>
      <c r="AG279" s="921">
        <f t="shared" si="119"/>
        <v>-1</v>
      </c>
      <c r="AH279" s="176">
        <f t="shared" si="114"/>
        <v>5</v>
      </c>
      <c r="AI279" s="225">
        <f t="shared" si="115"/>
        <v>-6.6761463533555054E-3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20">
        <v>39.003</v>
      </c>
      <c r="C280" s="390"/>
      <c r="D280" s="393">
        <f t="shared" si="98"/>
        <v>40.058387893314766</v>
      </c>
      <c r="E280" s="385">
        <f t="shared" si="96"/>
        <v>41.038390457171012</v>
      </c>
      <c r="F280" s="385">
        <f t="shared" si="99"/>
        <v>41.062898414155768</v>
      </c>
      <c r="G280" s="110">
        <f t="shared" si="97"/>
        <v>0.86418378065088641</v>
      </c>
      <c r="H280" s="414" t="b">
        <f>Wh_hp&gt;='2020'!Maxi_hp</f>
        <v>0</v>
      </c>
      <c r="I280" s="380">
        <f>IF(H280,Wh_hp,'2020'!Maxi_hp)</f>
        <v>46.242324699542912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2.6346239796906423E-2</v>
      </c>
      <c r="M280" s="959"/>
      <c r="N280" s="959"/>
      <c r="O280" s="48">
        <f>IF(t&lt;Tnet,'2020'!Resal+('2020'!Salim-'2020'!Resal)*(1-EXP(('2020'!Tnet-t)/('2020'!Tau_j))),Resal+(Salim-Resal)*(1-EXP((Tnet-t)/(Tau_j))))*Salcycl</f>
        <v>2.3880141324719082E-2</v>
      </c>
      <c r="P280" s="169">
        <f>(INDEX(Models!$BJ280:$BT280,,T280)*(1-R280)+INDEX(Models!$BJ280:$BT280,,T280+1)*R280-ERP_i)*Q280*Ramure*Pc/MaxiM</f>
        <v>7.40353991251364E-4</v>
      </c>
      <c r="Q280" s="305">
        <f t="shared" si="101"/>
        <v>0.7</v>
      </c>
      <c r="R280" s="177">
        <f t="shared" si="102"/>
        <v>0.99359718390220975</v>
      </c>
      <c r="S280" s="921">
        <f t="shared" si="103"/>
        <v>-1</v>
      </c>
      <c r="T280" s="176">
        <f t="shared" si="104"/>
        <v>5</v>
      </c>
      <c r="U280" s="251">
        <f t="shared" si="105"/>
        <v>-6.4028160977902537E-3</v>
      </c>
      <c r="V280" s="383">
        <f t="shared" si="106"/>
        <v>45.126279886309156</v>
      </c>
      <c r="W280" s="402"/>
      <c r="X280" s="157">
        <f t="shared" si="107"/>
        <v>44462</v>
      </c>
      <c r="Y280" s="385">
        <f t="shared" si="108"/>
        <v>36.234491339599131</v>
      </c>
      <c r="Z280" s="385">
        <f t="shared" si="109"/>
        <v>37.214965751316988</v>
      </c>
      <c r="AA280" s="386">
        <f t="shared" si="110"/>
        <v>41.038390457171012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9.3167023932000229E-2</v>
      </c>
      <c r="AD280" s="231">
        <f>(INDEX(Models!$BJ280:$BT280,,AH280)*(1-AF280)+INDEX(Models!$BJ280:$BT280,,AH280+1)*AF280-ERP_i)*AE280*Ramure*Pc/MaxiM</f>
        <v>7.40353991251364E-4</v>
      </c>
      <c r="AE280" s="305">
        <f t="shared" si="112"/>
        <v>0.7</v>
      </c>
      <c r="AF280" s="177">
        <f t="shared" si="113"/>
        <v>0.99359718390220975</v>
      </c>
      <c r="AG280" s="921">
        <f t="shared" si="119"/>
        <v>-1</v>
      </c>
      <c r="AH280" s="176">
        <f t="shared" si="114"/>
        <v>5</v>
      </c>
      <c r="AI280" s="225">
        <f t="shared" si="115"/>
        <v>-6.4028160977902537E-3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20">
        <v>40.210999999999999</v>
      </c>
      <c r="C281" s="390"/>
      <c r="D281" s="393">
        <f t="shared" si="98"/>
        <v>41.299979917914136</v>
      </c>
      <c r="E281" s="385">
        <f t="shared" si="96"/>
        <v>42.314079359044968</v>
      </c>
      <c r="F281" s="385">
        <f t="shared" si="99"/>
        <v>42.341790799167022</v>
      </c>
      <c r="G281" s="110">
        <f t="shared" si="97"/>
        <v>0.8948943065047521</v>
      </c>
      <c r="H281" s="414" t="b">
        <f>Wh_hp&gt;='2020'!Maxi_hp</f>
        <v>1</v>
      </c>
      <c r="I281" s="380">
        <f>IF(H281,Wh_hp,'2020'!Maxi_hp)</f>
        <v>42.341790799167022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2.6367565313071384E-2</v>
      </c>
      <c r="M281" s="959"/>
      <c r="N281" s="959"/>
      <c r="O281" s="48">
        <f>IF(t&lt;Tnet,'2020'!Resal+('2020'!Salim-'2020'!Resal)*(1-EXP(('2020'!Tnet-t)/('2020'!Tau_j))),Resal+(Salim-Resal)*(1-EXP((Tnet-t)/(Tau_j))))*Salcycl</f>
        <v>2.3966005086060234E-2</v>
      </c>
      <c r="P281" s="169">
        <f>(INDEX(Models!$BJ281:$BT281,,T281)*(1-R281)+INDEX(Models!$BJ281:$BT281,,T281+1)*R281-ERP_i)*Q281*Ramure*Pc/MaxiM</f>
        <v>7.6996785539469386E-4</v>
      </c>
      <c r="Q281" s="305">
        <f t="shared" si="101"/>
        <v>0.7</v>
      </c>
      <c r="R281" s="177">
        <f t="shared" si="102"/>
        <v>0.99385979369434585</v>
      </c>
      <c r="S281" s="921">
        <f t="shared" si="103"/>
        <v>-1</v>
      </c>
      <c r="T281" s="176">
        <f t="shared" si="104"/>
        <v>5</v>
      </c>
      <c r="U281" s="251">
        <f t="shared" si="105"/>
        <v>-6.1402063056542056E-3</v>
      </c>
      <c r="V281" s="383">
        <f t="shared" si="106"/>
        <v>44.928604852926618</v>
      </c>
      <c r="W281" s="402"/>
      <c r="X281" s="157">
        <f t="shared" si="107"/>
        <v>44463</v>
      </c>
      <c r="Y281" s="385">
        <f t="shared" si="108"/>
        <v>37.35989758704271</v>
      </c>
      <c r="Z281" s="385">
        <f t="shared" si="109"/>
        <v>38.371664969291807</v>
      </c>
      <c r="AA281" s="386">
        <f t="shared" si="110"/>
        <v>42.314079359044968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9.3170274515506829E-2</v>
      </c>
      <c r="AD281" s="231">
        <f>(INDEX(Models!$BJ281:$BT281,,AH281)*(1-AF281)+INDEX(Models!$BJ281:$BT281,,AH281+1)*AF281-ERP_i)*AE281*Ramure*Pc/MaxiM</f>
        <v>7.6996785539469386E-4</v>
      </c>
      <c r="AE281" s="305">
        <f t="shared" si="112"/>
        <v>0.7</v>
      </c>
      <c r="AF281" s="177">
        <f t="shared" si="113"/>
        <v>0.99385979369434585</v>
      </c>
      <c r="AG281" s="921">
        <f t="shared" si="119"/>
        <v>-1</v>
      </c>
      <c r="AH281" s="176">
        <f t="shared" si="114"/>
        <v>5</v>
      </c>
      <c r="AI281" s="225">
        <f t="shared" si="115"/>
        <v>-6.1402063056542056E-3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20">
        <v>33.499000000000002</v>
      </c>
      <c r="C282" s="390"/>
      <c r="D282" s="393">
        <f t="shared" si="98"/>
        <v>34.40696153565932</v>
      </c>
      <c r="E282" s="385">
        <f t="shared" si="96"/>
        <v>35.254893235340262</v>
      </c>
      <c r="F282" s="385">
        <f t="shared" si="99"/>
        <v>35.273006111576798</v>
      </c>
      <c r="G282" s="110">
        <f t="shared" si="97"/>
        <v>0.74874450621273825</v>
      </c>
      <c r="H282" s="414" t="b">
        <f>Wh_hp&gt;='2020'!Maxi_hp</f>
        <v>0</v>
      </c>
      <c r="I282" s="380">
        <f>IF(H282,Wh_hp,'2020'!Maxi_hp)</f>
        <v>48.914209724554347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2.638889036215275E-2</v>
      </c>
      <c r="M282" s="959"/>
      <c r="N282" s="959"/>
      <c r="O282" s="48">
        <f>IF(t&lt;Tnet,'2020'!Resal+('2020'!Salim-'2020'!Resal)*(1-EXP(('2020'!Tnet-t)/('2020'!Tau_j))),Resal+(Salim-Resal)*(1-EXP((Tnet-t)/(Tau_j))))*Salcycl</f>
        <v>2.405146128285408E-2</v>
      </c>
      <c r="P282" s="169">
        <f>(INDEX(Models!$BJ282:$BT282,,T282)*(1-R282)+INDEX(Models!$BJ282:$BT282,,T282+1)*R282-ERP_i)*Q282*Ramure*Pc/MaxiM</f>
        <v>8.0063700493751349E-4</v>
      </c>
      <c r="Q282" s="305">
        <f t="shared" si="101"/>
        <v>0.7</v>
      </c>
      <c r="R282" s="177">
        <f t="shared" si="102"/>
        <v>0.99411209262156408</v>
      </c>
      <c r="S282" s="921">
        <f t="shared" si="103"/>
        <v>-1</v>
      </c>
      <c r="T282" s="176">
        <f t="shared" si="104"/>
        <v>5</v>
      </c>
      <c r="U282" s="251">
        <f t="shared" si="105"/>
        <v>-5.8879073784359193E-3</v>
      </c>
      <c r="V282" s="383">
        <f t="shared" si="106"/>
        <v>44.727375167367491</v>
      </c>
      <c r="W282" s="402"/>
      <c r="X282" s="157">
        <f t="shared" si="107"/>
        <v>44464</v>
      </c>
      <c r="Y282" s="385">
        <f t="shared" si="108"/>
        <v>31.126453426838875</v>
      </c>
      <c r="Z282" s="385">
        <f t="shared" si="109"/>
        <v>31.970109131578148</v>
      </c>
      <c r="AA282" s="386">
        <f t="shared" si="110"/>
        <v>35.254893235340262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9.3172430897319455E-2</v>
      </c>
      <c r="AD282" s="231">
        <f>(INDEX(Models!$BJ282:$BT282,,AH282)*(1-AF282)+INDEX(Models!$BJ282:$BT282,,AH282+1)*AF282-ERP_i)*AE282*Ramure*Pc/MaxiM</f>
        <v>8.0063700493751349E-4</v>
      </c>
      <c r="AE282" s="305">
        <f t="shared" si="112"/>
        <v>0.7</v>
      </c>
      <c r="AF282" s="177">
        <f t="shared" si="113"/>
        <v>0.99411209262156408</v>
      </c>
      <c r="AG282" s="921">
        <f t="shared" si="119"/>
        <v>-1</v>
      </c>
      <c r="AH282" s="176">
        <f t="shared" si="114"/>
        <v>5</v>
      </c>
      <c r="AI282" s="225">
        <f t="shared" si="115"/>
        <v>-5.8879073784359193E-3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20">
        <v>36.512999999999998</v>
      </c>
      <c r="C283" s="390"/>
      <c r="D283" s="393">
        <f t="shared" si="98"/>
        <v>37.503474831451562</v>
      </c>
      <c r="E283" s="385">
        <f t="shared" si="96"/>
        <v>38.431066227807428</v>
      </c>
      <c r="F283" s="385">
        <f t="shared" si="99"/>
        <v>38.454835057181363</v>
      </c>
      <c r="G283" s="110">
        <f t="shared" si="97"/>
        <v>0.81992339089692257</v>
      </c>
      <c r="H283" s="414" t="b">
        <f>Wh_hp&gt;='2020'!Maxi_hp</f>
        <v>0</v>
      </c>
      <c r="I283" s="380">
        <f>IF(H283,Wh_hp,'2020'!Maxi_hp)</f>
        <v>47.979649608380406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2.6410214944160959E-2</v>
      </c>
      <c r="M283" s="959"/>
      <c r="N283" s="959"/>
      <c r="O283" s="48">
        <f>IF(t&lt;Tnet,'2020'!Resal+('2020'!Salim-'2020'!Resal)*(1-EXP(('2020'!Tnet-t)/('2020'!Tau_j))),Resal+(Salim-Resal)*(1-EXP((Tnet-t)/(Tau_j))))*Salcycl</f>
        <v>2.4136499124364479E-2</v>
      </c>
      <c r="P283" s="169">
        <f>(INDEX(Models!$BJ283:$BT283,,T283)*(1-R283)+INDEX(Models!$BJ283:$BT283,,T283+1)*R283-ERP_i)*Q283*Ramure*Pc/MaxiM</f>
        <v>8.3189592876702859E-4</v>
      </c>
      <c r="Q283" s="305">
        <f t="shared" si="101"/>
        <v>0.7</v>
      </c>
      <c r="R283" s="177">
        <f t="shared" si="102"/>
        <v>0.994354475481942</v>
      </c>
      <c r="S283" s="921">
        <f t="shared" si="103"/>
        <v>-1</v>
      </c>
      <c r="T283" s="176">
        <f t="shared" si="104"/>
        <v>5</v>
      </c>
      <c r="U283" s="251">
        <f t="shared" si="105"/>
        <v>-5.6455245180579983E-3</v>
      </c>
      <c r="V283" s="383">
        <f t="shared" si="106"/>
        <v>44.522682420717146</v>
      </c>
      <c r="W283" s="402"/>
      <c r="X283" s="157">
        <f t="shared" si="107"/>
        <v>44465</v>
      </c>
      <c r="Y283" s="385">
        <f t="shared" si="108"/>
        <v>33.929906542563806</v>
      </c>
      <c r="Z283" s="385">
        <f t="shared" si="109"/>
        <v>34.850310740080126</v>
      </c>
      <c r="AA283" s="386">
        <f t="shared" si="110"/>
        <v>38.431066227807428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9.3173461972189342E-2</v>
      </c>
      <c r="AD283" s="231">
        <f>(INDEX(Models!$BJ283:$BT283,,AH283)*(1-AF283)+INDEX(Models!$BJ283:$BT283,,AH283+1)*AF283-ERP_i)*AE283*Ramure*Pc/MaxiM</f>
        <v>8.3189592876702859E-4</v>
      </c>
      <c r="AE283" s="305">
        <f t="shared" si="112"/>
        <v>0.7</v>
      </c>
      <c r="AF283" s="177">
        <f t="shared" si="113"/>
        <v>0.994354475481942</v>
      </c>
      <c r="AG283" s="921">
        <f t="shared" si="119"/>
        <v>-1</v>
      </c>
      <c r="AH283" s="176">
        <f t="shared" si="114"/>
        <v>5</v>
      </c>
      <c r="AI283" s="225">
        <f t="shared" si="115"/>
        <v>-5.6455245180579983E-3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20">
        <v>24.55</v>
      </c>
      <c r="C284" s="390"/>
      <c r="D284" s="393">
        <f t="shared" si="98"/>
        <v>25.216511200736655</v>
      </c>
      <c r="E284" s="385">
        <f t="shared" si="96"/>
        <v>25.842443821360177</v>
      </c>
      <c r="F284" s="385">
        <f t="shared" si="99"/>
        <v>25.850545578849289</v>
      </c>
      <c r="G284" s="110">
        <f t="shared" si="97"/>
        <v>0.55368854906254983</v>
      </c>
      <c r="H284" s="414" t="b">
        <f>Wh_hp&gt;='2020'!Maxi_hp</f>
        <v>0</v>
      </c>
      <c r="I284" s="380">
        <f>IF(H284,Wh_hp,'2020'!Maxi_hp)</f>
        <v>46.988763169188566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2.6431539059106002E-2</v>
      </c>
      <c r="M284" s="959"/>
      <c r="N284" s="959"/>
      <c r="O284" s="48">
        <f>IF(t&lt;Tnet,'2020'!Resal+('2020'!Salim-'2020'!Resal)*(1-EXP(('2020'!Tnet-t)/('2020'!Tau_j))),Resal+(Salim-Resal)*(1-EXP((Tnet-t)/(Tau_j))))*Salcycl</f>
        <v>2.4221107916510408E-2</v>
      </c>
      <c r="P284" s="169">
        <f>(INDEX(Models!$BJ284:$BT284,,T284)*(1-R284)+INDEX(Models!$BJ284:$BT284,,T284+1)*R284-ERP_i)*Q284*Ramure*Pc/MaxiM</f>
        <v>8.6374374742413315E-4</v>
      </c>
      <c r="Q284" s="305">
        <f t="shared" si="101"/>
        <v>0.7</v>
      </c>
      <c r="R284" s="177">
        <f t="shared" si="102"/>
        <v>0.99458732274101125</v>
      </c>
      <c r="S284" s="921">
        <f t="shared" si="103"/>
        <v>-1</v>
      </c>
      <c r="T284" s="176">
        <f t="shared" si="104"/>
        <v>5</v>
      </c>
      <c r="U284" s="251">
        <f t="shared" si="105"/>
        <v>-5.4126772589887517E-3</v>
      </c>
      <c r="V284" s="383">
        <f t="shared" si="106"/>
        <v>44.314597174642635</v>
      </c>
      <c r="W284" s="402"/>
      <c r="X284" s="157">
        <f t="shared" si="107"/>
        <v>44466</v>
      </c>
      <c r="Y284" s="385">
        <f t="shared" si="108"/>
        <v>22.815204086943503</v>
      </c>
      <c r="Z284" s="385">
        <f t="shared" si="109"/>
        <v>23.434617083727233</v>
      </c>
      <c r="AA284" s="386">
        <f t="shared" si="110"/>
        <v>25.842443821360177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9.3173337408699097E-2</v>
      </c>
      <c r="AD284" s="231">
        <f>(INDEX(Models!$BJ284:$BT284,,AH284)*(1-AF284)+INDEX(Models!$BJ284:$BT284,,AH284+1)*AF284-ERP_i)*AE284*Ramure*Pc/MaxiM</f>
        <v>8.6374374742413315E-4</v>
      </c>
      <c r="AE284" s="305">
        <f t="shared" si="112"/>
        <v>0.7</v>
      </c>
      <c r="AF284" s="177">
        <f t="shared" si="113"/>
        <v>0.99458732274101125</v>
      </c>
      <c r="AG284" s="921">
        <f t="shared" si="119"/>
        <v>-1</v>
      </c>
      <c r="AH284" s="176">
        <f t="shared" si="114"/>
        <v>5</v>
      </c>
      <c r="AI284" s="225">
        <f t="shared" si="115"/>
        <v>-5.4126772589887517E-3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20">
        <v>25.85</v>
      </c>
      <c r="C285" s="390"/>
      <c r="D285" s="393">
        <f t="shared" si="98"/>
        <v>26.552386638285707</v>
      </c>
      <c r="E285" s="385">
        <f t="shared" si="96"/>
        <v>27.213826226370095</v>
      </c>
      <c r="F285" s="385">
        <f t="shared" si="99"/>
        <v>27.22379867655286</v>
      </c>
      <c r="G285" s="110">
        <f t="shared" si="97"/>
        <v>0.58581472189344341</v>
      </c>
      <c r="H285" s="414" t="b">
        <f>Wh_hp&gt;='2020'!Maxi_hp</f>
        <v>0</v>
      </c>
      <c r="I285" s="380">
        <f>IF(H285,Wh_hp,'2020'!Maxi_hp)</f>
        <v>44.138858996476266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2.6452862706998204E-2</v>
      </c>
      <c r="M285" s="959"/>
      <c r="N285" s="959"/>
      <c r="O285" s="48">
        <f>IF(t&lt;Tnet,'2020'!Resal+('2020'!Salim-'2020'!Resal)*(1-EXP(('2020'!Tnet-t)/('2020'!Tau_j))),Resal+(Salim-Resal)*(1-EXP((Tnet-t)/(Tau_j))))*Salcycl</f>
        <v>2.4305277125766956E-2</v>
      </c>
      <c r="P285" s="169">
        <f>(INDEX(Models!$BJ285:$BT285,,T285)*(1-R285)+INDEX(Models!$BJ285:$BT285,,T285+1)*R285-ERP_i)*Q285*Ramure*Pc/MaxiM</f>
        <v>8.9617902140923938E-4</v>
      </c>
      <c r="Q285" s="305">
        <f t="shared" si="101"/>
        <v>0.7</v>
      </c>
      <c r="R285" s="177">
        <f t="shared" si="102"/>
        <v>0.99481100099029796</v>
      </c>
      <c r="S285" s="921">
        <f t="shared" si="103"/>
        <v>-1</v>
      </c>
      <c r="T285" s="176">
        <f t="shared" si="104"/>
        <v>5</v>
      </c>
      <c r="U285" s="251">
        <f t="shared" si="105"/>
        <v>-5.1889990097020999E-3</v>
      </c>
      <c r="V285" s="383">
        <f t="shared" si="106"/>
        <v>44.103189961604393</v>
      </c>
      <c r="W285" s="402"/>
      <c r="X285" s="157">
        <f t="shared" si="107"/>
        <v>44467</v>
      </c>
      <c r="Y285" s="385">
        <f t="shared" si="108"/>
        <v>24.025448257286467</v>
      </c>
      <c r="Z285" s="385">
        <f t="shared" si="109"/>
        <v>24.678258850506683</v>
      </c>
      <c r="AA285" s="386">
        <f t="shared" si="110"/>
        <v>27.213826226370095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9.3172027879212915E-2</v>
      </c>
      <c r="AD285" s="231">
        <f>(INDEX(Models!$BJ285:$BT285,,AH285)*(1-AF285)+INDEX(Models!$BJ285:$BT285,,AH285+1)*AF285-ERP_i)*AE285*Ramure*Pc/MaxiM</f>
        <v>8.9617902140923938E-4</v>
      </c>
      <c r="AE285" s="305">
        <f t="shared" si="112"/>
        <v>0.7</v>
      </c>
      <c r="AF285" s="177">
        <f t="shared" si="113"/>
        <v>0.99481100099029796</v>
      </c>
      <c r="AG285" s="921">
        <f t="shared" si="119"/>
        <v>-1</v>
      </c>
      <c r="AH285" s="176">
        <f t="shared" si="114"/>
        <v>5</v>
      </c>
      <c r="AI285" s="225">
        <f t="shared" si="115"/>
        <v>-5.1889990097020999E-3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20">
        <v>27.596</v>
      </c>
      <c r="C286" s="390"/>
      <c r="D286" s="393">
        <f t="shared" si="98"/>
        <v>28.346449164439807</v>
      </c>
      <c r="E286" s="385">
        <f t="shared" si="96"/>
        <v>29.055073242512094</v>
      </c>
      <c r="F286" s="385">
        <f t="shared" si="99"/>
        <v>29.067759135452263</v>
      </c>
      <c r="G286" s="110">
        <f t="shared" si="97"/>
        <v>0.6284647638523071</v>
      </c>
      <c r="H286" s="414" t="b">
        <f>Wh_hp&gt;='2020'!Maxi_hp</f>
        <v>0</v>
      </c>
      <c r="I286" s="380">
        <f>IF(H286,Wh_hp,'2020'!Maxi_hp)</f>
        <v>45.467806820564945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2.6474185887847779E-2</v>
      </c>
      <c r="M286" s="959"/>
      <c r="N286" s="959"/>
      <c r="O286" s="48">
        <f>IF(t&lt;Tnet,'2020'!Resal+('2020'!Salim-'2020'!Resal)*(1-EXP(('2020'!Tnet-t)/('2020'!Tau_j))),Resal+(Salim-Resal)*(1-EXP((Tnet-t)/(Tau_j))))*Salcycl</f>
        <v>2.4388996446770648E-2</v>
      </c>
      <c r="P286" s="169">
        <f>(INDEX(Models!$BJ286:$BT286,,T286)*(1-R286)+INDEX(Models!$BJ286:$BT286,,T286+1)*R286-ERP_i)*Q286*Ramure*Pc/MaxiM</f>
        <v>9.2919974397194819E-4</v>
      </c>
      <c r="Q286" s="305">
        <f t="shared" si="101"/>
        <v>0.7</v>
      </c>
      <c r="R286" s="177">
        <f t="shared" si="102"/>
        <v>0.99502586339620813</v>
      </c>
      <c r="S286" s="921">
        <f t="shared" si="103"/>
        <v>-1</v>
      </c>
      <c r="T286" s="176">
        <f t="shared" si="104"/>
        <v>5</v>
      </c>
      <c r="U286" s="251">
        <f t="shared" si="105"/>
        <v>-4.9741366037918677E-3</v>
      </c>
      <c r="V286" s="383">
        <f t="shared" si="106"/>
        <v>43.888531280706978</v>
      </c>
      <c r="W286" s="402"/>
      <c r="X286" s="157">
        <f t="shared" si="107"/>
        <v>44468</v>
      </c>
      <c r="Y286" s="385">
        <f t="shared" si="108"/>
        <v>25.650483892267754</v>
      </c>
      <c r="Z286" s="385">
        <f t="shared" si="109"/>
        <v>26.348026442073127</v>
      </c>
      <c r="AA286" s="386">
        <f t="shared" si="110"/>
        <v>29.055073242512094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9.3169505299271982E-2</v>
      </c>
      <c r="AD286" s="231">
        <f>(INDEX(Models!$BJ286:$BT286,,AH286)*(1-AF286)+INDEX(Models!$BJ286:$BT286,,AH286+1)*AF286-ERP_i)*AE286*Ramure*Pc/MaxiM</f>
        <v>9.2919974397194819E-4</v>
      </c>
      <c r="AE286" s="305">
        <f t="shared" si="112"/>
        <v>0.7</v>
      </c>
      <c r="AF286" s="177">
        <f t="shared" si="113"/>
        <v>0.99502586339620813</v>
      </c>
      <c r="AG286" s="921">
        <f t="shared" si="119"/>
        <v>-1</v>
      </c>
      <c r="AH286" s="176">
        <f t="shared" si="114"/>
        <v>5</v>
      </c>
      <c r="AI286" s="225">
        <f t="shared" si="115"/>
        <v>-4.9741366037918677E-3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20">
        <v>14.441000000000001</v>
      </c>
      <c r="C287" s="390"/>
      <c r="D287" s="393">
        <f t="shared" si="98"/>
        <v>14.834035310157685</v>
      </c>
      <c r="E287" s="385">
        <f t="shared" si="96"/>
        <v>15.206164457614982</v>
      </c>
      <c r="F287" s="385">
        <f t="shared" si="99"/>
        <v>15.206806147268132</v>
      </c>
      <c r="G287" s="110">
        <f t="shared" si="97"/>
        <v>0.33037500534681707</v>
      </c>
      <c r="H287" s="414" t="b">
        <f>Wh_hp&gt;='2020'!Maxi_hp</f>
        <v>0</v>
      </c>
      <c r="I287" s="380">
        <f>IF(H287,Wh_hp,'2020'!Maxi_hp)</f>
        <v>41.385817820684117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2.6495508601664941E-2</v>
      </c>
      <c r="M287" s="959"/>
      <c r="N287" s="959"/>
      <c r="O287" s="48">
        <f>IF(t&lt;Tnet,'2020'!Resal+('2020'!Salim-'2020'!Resal)*(1-EXP(('2020'!Tnet-t)/('2020'!Tau_j))),Resal+(Salim-Resal)*(1-EXP((Tnet-t)/(Tau_j))))*Salcycl</f>
        <v>2.447225587323848E-2</v>
      </c>
      <c r="P287" s="169">
        <f>(INDEX(Models!$BJ287:$BT287,,T287)*(1-R287)+INDEX(Models!$BJ287:$BT287,,T287+1)*R287-ERP_i)*Q287*Ramure*Pc/MaxiM</f>
        <v>9.6280333907938168E-4</v>
      </c>
      <c r="Q287" s="305">
        <f t="shared" si="101"/>
        <v>0.7</v>
      </c>
      <c r="R287" s="177">
        <f t="shared" si="102"/>
        <v>0.99523225013901717</v>
      </c>
      <c r="S287" s="921">
        <f t="shared" si="103"/>
        <v>-1</v>
      </c>
      <c r="T287" s="176">
        <f t="shared" si="104"/>
        <v>5</v>
      </c>
      <c r="U287" s="251">
        <f t="shared" si="105"/>
        <v>-4.7677498609828839E-3</v>
      </c>
      <c r="V287" s="383">
        <f t="shared" si="106"/>
        <v>43.67069159890822</v>
      </c>
      <c r="W287" s="402"/>
      <c r="X287" s="157">
        <f t="shared" si="107"/>
        <v>44469</v>
      </c>
      <c r="Y287" s="385">
        <f t="shared" si="108"/>
        <v>13.424111803175862</v>
      </c>
      <c r="Z287" s="385">
        <f t="shared" si="109"/>
        <v>13.789470846604479</v>
      </c>
      <c r="AA287" s="386">
        <f t="shared" si="110"/>
        <v>15.206164457614982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9.3165743074746732E-2</v>
      </c>
      <c r="AD287" s="231">
        <f>(INDEX(Models!$BJ287:$BT287,,AH287)*(1-AF287)+INDEX(Models!$BJ287:$BT287,,AH287+1)*AF287-ERP_i)*AE287*Ramure*Pc/MaxiM</f>
        <v>9.6280333907938168E-4</v>
      </c>
      <c r="AE287" s="305">
        <f t="shared" si="112"/>
        <v>0.7</v>
      </c>
      <c r="AF287" s="177">
        <f t="shared" si="113"/>
        <v>0.99523225013901717</v>
      </c>
      <c r="AG287" s="921">
        <f t="shared" si="119"/>
        <v>-1</v>
      </c>
      <c r="AH287" s="176">
        <f t="shared" si="114"/>
        <v>5</v>
      </c>
      <c r="AI287" s="225">
        <f t="shared" si="115"/>
        <v>-4.7677498609828839E-3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20">
        <v>31.411000000000001</v>
      </c>
      <c r="C288" s="390"/>
      <c r="D288" s="393">
        <f t="shared" si="98"/>
        <v>32.266608191466659</v>
      </c>
      <c r="E288" s="385">
        <f t="shared" si="96"/>
        <v>33.078861140858102</v>
      </c>
      <c r="F288" s="385">
        <f t="shared" si="99"/>
        <v>33.098798570151033</v>
      </c>
      <c r="G288" s="110">
        <f t="shared" si="97"/>
        <v>0.72264174595670316</v>
      </c>
      <c r="H288" s="414" t="b">
        <f>Wh_hp&gt;='2020'!Maxi_hp</f>
        <v>0</v>
      </c>
      <c r="I288" s="380">
        <f>IF(H288,Wh_hp,'2020'!Maxi_hp)</f>
        <v>43.981299080889379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2.6516830848460016E-2</v>
      </c>
      <c r="M288" s="959"/>
      <c r="N288" s="959"/>
      <c r="O288" s="48">
        <f>IF(t&lt;Tnet,'2020'!Resal+('2020'!Salim-'2020'!Resal)*(1-EXP(('2020'!Tnet-t)/('2020'!Tau_j))),Resal+(Salim-Resal)*(1-EXP((Tnet-t)/(Tau_j))))*Salcycl</f>
        <v>2.4555045771759241E-2</v>
      </c>
      <c r="P288" s="169">
        <f>(INDEX(Models!$BJ288:$BT288,,T288)*(1-R288)+INDEX(Models!$BJ288:$BT288,,T288+1)*R288-ERP_i)*Q288*Ramure*Pc/MaxiM</f>
        <v>9.9698666525996609E-4</v>
      </c>
      <c r="Q288" s="305">
        <f t="shared" si="101"/>
        <v>0.7</v>
      </c>
      <c r="R288" s="177">
        <f t="shared" si="102"/>
        <v>0.99543048884176533</v>
      </c>
      <c r="S288" s="921">
        <f t="shared" si="103"/>
        <v>-1</v>
      </c>
      <c r="T288" s="176">
        <f t="shared" si="104"/>
        <v>5</v>
      </c>
      <c r="U288" s="251">
        <f t="shared" si="105"/>
        <v>-4.5695111582346182E-3</v>
      </c>
      <c r="V288" s="383">
        <f t="shared" si="106"/>
        <v>43.449741343453134</v>
      </c>
      <c r="W288" s="402"/>
      <c r="X288" s="157">
        <f t="shared" si="107"/>
        <v>44470</v>
      </c>
      <c r="Y288" s="385">
        <f t="shared" si="108"/>
        <v>29.201779777632485</v>
      </c>
      <c r="Z288" s="385">
        <f t="shared" si="109"/>
        <v>29.99721074077112</v>
      </c>
      <c r="AA288" s="386">
        <f t="shared" si="110"/>
        <v>33.078861140858102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9.3160716354911424E-2</v>
      </c>
      <c r="AD288" s="231">
        <f>(INDEX(Models!$BJ288:$BT288,,AH288)*(1-AF288)+INDEX(Models!$BJ288:$BT288,,AH288+1)*AF288-ERP_i)*AE288*Ramure*Pc/MaxiM</f>
        <v>9.9698666525996609E-4</v>
      </c>
      <c r="AE288" s="305">
        <f t="shared" si="112"/>
        <v>0.7</v>
      </c>
      <c r="AF288" s="177">
        <f t="shared" si="113"/>
        <v>0.99543048884176533</v>
      </c>
      <c r="AG288" s="921">
        <f t="shared" si="119"/>
        <v>-1</v>
      </c>
      <c r="AH288" s="176">
        <f t="shared" si="114"/>
        <v>5</v>
      </c>
      <c r="AI288" s="225">
        <f t="shared" si="115"/>
        <v>-4.5695111582346182E-3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20">
        <v>39.789000000000001</v>
      </c>
      <c r="C289" s="390"/>
      <c r="D289" s="393">
        <f t="shared" si="98"/>
        <v>40.873712829553675</v>
      </c>
      <c r="E289" s="385">
        <f t="shared" si="96"/>
        <v>41.906170101075197</v>
      </c>
      <c r="F289" s="385">
        <f t="shared" si="99"/>
        <v>41.944532277589161</v>
      </c>
      <c r="G289" s="110">
        <f t="shared" si="97"/>
        <v>0.92039889566499755</v>
      </c>
      <c r="H289" s="414" t="b">
        <f>Wh_hp&gt;='2020'!Maxi_hp</f>
        <v>0</v>
      </c>
      <c r="I289" s="380">
        <f>IF(H289,Wh_hp,'2020'!Maxi_hp)</f>
        <v>47.647904130278036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2.6538152628243106E-2</v>
      </c>
      <c r="M289" s="959"/>
      <c r="N289" s="959"/>
      <c r="O289" s="48">
        <f>IF(t&lt;Tnet,'2020'!Resal+('2020'!Salim-'2020'!Resal)*(1-EXP(('2020'!Tnet-t)/('2020'!Tau_j))),Resal+(Salim-Resal)*(1-EXP((Tnet-t)/(Tau_j))))*Salcycl</f>
        <v>2.4637356957968089E-2</v>
      </c>
      <c r="P289" s="169">
        <f>(INDEX(Models!$BJ289:$BT289,,T289)*(1-R289)+INDEX(Models!$BJ289:$BT289,,T289+1)*R289-ERP_i)*Q289*Ramure*Pc/MaxiM</f>
        <v>1.0317615612012339E-3</v>
      </c>
      <c r="Q289" s="305">
        <f t="shared" si="101"/>
        <v>0.7</v>
      </c>
      <c r="R289" s="177">
        <f t="shared" si="102"/>
        <v>0.99562089498892181</v>
      </c>
      <c r="S289" s="921">
        <f t="shared" si="103"/>
        <v>-1</v>
      </c>
      <c r="T289" s="176">
        <f t="shared" si="104"/>
        <v>5</v>
      </c>
      <c r="U289" s="251">
        <f t="shared" si="105"/>
        <v>-4.3791050110782437E-3</v>
      </c>
      <c r="V289" s="383">
        <f t="shared" si="106"/>
        <v>43.225099357033208</v>
      </c>
      <c r="W289" s="402"/>
      <c r="X289" s="157">
        <f t="shared" si="107"/>
        <v>44471</v>
      </c>
      <c r="Y289" s="385">
        <f t="shared" si="108"/>
        <v>36.993911695005444</v>
      </c>
      <c r="Z289" s="385">
        <f t="shared" si="109"/>
        <v>38.002425873068425</v>
      </c>
      <c r="AA289" s="386">
        <f t="shared" si="110"/>
        <v>41.906170101075197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9.3154402289476038E-2</v>
      </c>
      <c r="AD289" s="231">
        <f>(INDEX(Models!$BJ289:$BT289,,AH289)*(1-AF289)+INDEX(Models!$BJ289:$BT289,,AH289+1)*AF289-ERP_i)*AE289*Ramure*Pc/MaxiM</f>
        <v>1.0317615612012339E-3</v>
      </c>
      <c r="AE289" s="305">
        <f t="shared" si="112"/>
        <v>0.7</v>
      </c>
      <c r="AF289" s="177">
        <f t="shared" si="113"/>
        <v>0.99562089498892181</v>
      </c>
      <c r="AG289" s="921">
        <f t="shared" si="119"/>
        <v>-1</v>
      </c>
      <c r="AH289" s="176">
        <f t="shared" si="114"/>
        <v>5</v>
      </c>
      <c r="AI289" s="225">
        <f t="shared" si="115"/>
        <v>-4.3791050110782437E-3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20">
        <v>6.6269999999999998</v>
      </c>
      <c r="C290" s="390"/>
      <c r="D290" s="393">
        <f t="shared" si="98"/>
        <v>6.807811902828572</v>
      </c>
      <c r="E290" s="385">
        <f t="shared" si="96"/>
        <v>6.9803607008649564</v>
      </c>
      <c r="F290" s="385">
        <f t="shared" si="99"/>
        <v>6.9803607008649564</v>
      </c>
      <c r="G290" s="110">
        <f t="shared" si="97"/>
        <v>0.1539651108223215</v>
      </c>
      <c r="H290" s="414" t="b">
        <f>Wh_hp&gt;='2020'!Maxi_hp</f>
        <v>0</v>
      </c>
      <c r="I290" s="380">
        <f>IF(H290,Wh_hp,'2020'!Maxi_hp)</f>
        <v>43.351504842538631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2.6559473941024536E-2</v>
      </c>
      <c r="M290" s="959"/>
      <c r="N290" s="959"/>
      <c r="O290" s="48">
        <f>IF(t&lt;Tnet,'2020'!Resal+('2020'!Salim-'2020'!Resal)*(1-EXP(('2020'!Tnet-t)/('2020'!Tau_j))),Resal+(Salim-Resal)*(1-EXP((Tnet-t)/(Tau_j))))*Salcycl</f>
        <v>2.4719180774569926E-2</v>
      </c>
      <c r="P290" s="169">
        <f>(INDEX(Models!$BJ290:$BT290,,T290)*(1-R290)+INDEX(Models!$BJ290:$BT290,,T290+1)*R290-ERP_i)*Q290*Ramure*Pc/MaxiM</f>
        <v>1.0653008401060276E-3</v>
      </c>
      <c r="Q290" s="305">
        <f t="shared" si="101"/>
        <v>0.7</v>
      </c>
      <c r="R290" s="177">
        <f t="shared" si="102"/>
        <v>0.99580377233470985</v>
      </c>
      <c r="S290" s="921">
        <f t="shared" si="103"/>
        <v>-1</v>
      </c>
      <c r="T290" s="176">
        <f t="shared" si="104"/>
        <v>5</v>
      </c>
      <c r="U290" s="251">
        <f t="shared" si="105"/>
        <v>-4.1962276652901531E-3</v>
      </c>
      <c r="V290" s="383">
        <f t="shared" si="106"/>
        <v>42.996365968730061</v>
      </c>
      <c r="W290" s="402"/>
      <c r="X290" s="157">
        <f t="shared" si="107"/>
        <v>44472</v>
      </c>
      <c r="Y290" s="385">
        <f t="shared" si="108"/>
        <v>6.1620367883454206</v>
      </c>
      <c r="Z290" s="385">
        <f t="shared" si="109"/>
        <v>6.3301625763340121</v>
      </c>
      <c r="AA290" s="386">
        <f t="shared" si="110"/>
        <v>6.9803607008649564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9.3146780287496636E-2</v>
      </c>
      <c r="AD290" s="231">
        <f>(INDEX(Models!$BJ290:$BT290,,AH290)*(1-AF290)+INDEX(Models!$BJ290:$BT290,,AH290+1)*AF290-ERP_i)*AE290*Ramure*Pc/MaxiM</f>
        <v>1.0653008401060276E-3</v>
      </c>
      <c r="AE290" s="305">
        <f t="shared" si="112"/>
        <v>0.7</v>
      </c>
      <c r="AF290" s="177">
        <f t="shared" si="113"/>
        <v>0.99580377233470985</v>
      </c>
      <c r="AG290" s="921">
        <f t="shared" si="119"/>
        <v>-1</v>
      </c>
      <c r="AH290" s="176">
        <f t="shared" si="114"/>
        <v>5</v>
      </c>
      <c r="AI290" s="225">
        <f t="shared" si="115"/>
        <v>-4.1962276652901531E-3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20">
        <v>33.783000000000001</v>
      </c>
      <c r="C291" s="390"/>
      <c r="D291" s="393">
        <f t="shared" si="98"/>
        <v>34.705499767288124</v>
      </c>
      <c r="E291" s="385">
        <f t="shared" si="96"/>
        <v>35.58810283808976</v>
      </c>
      <c r="F291" s="385">
        <f t="shared" si="99"/>
        <v>35.615441518160196</v>
      </c>
      <c r="G291" s="110">
        <f t="shared" si="97"/>
        <v>0.789730378639808</v>
      </c>
      <c r="H291" s="414" t="b">
        <f>Wh_hp&gt;='2020'!Maxi_hp</f>
        <v>0</v>
      </c>
      <c r="I291" s="380">
        <f>IF(H291,Wh_hp,'2020'!Maxi_hp)</f>
        <v>44.844605022343991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2.658079478681441E-2</v>
      </c>
      <c r="M291" s="959"/>
      <c r="N291" s="959"/>
      <c r="O291" s="48">
        <f>IF(t&lt;Tnet,'2020'!Resal+('2020'!Salim-'2020'!Resal)*(1-EXP(('2020'!Tnet-t)/('2020'!Tau_j))),Resal+(Salim-Resal)*(1-EXP((Tnet-t)/(Tau_j))))*Salcycl</f>
        <v>2.4800509170637461E-2</v>
      </c>
      <c r="P291" s="169">
        <f>(INDEX(Models!$BJ291:$BT291,,T291)*(1-R291)+INDEX(Models!$BJ291:$BT291,,T291+1)*R291-ERP_i)*Q291*Ramure*Pc/MaxiM</f>
        <v>1.0966034457216649E-3</v>
      </c>
      <c r="Q291" s="305">
        <f t="shared" si="101"/>
        <v>0.7</v>
      </c>
      <c r="R291" s="177">
        <f t="shared" si="102"/>
        <v>0.99597941330104023</v>
      </c>
      <c r="S291" s="921">
        <f t="shared" si="103"/>
        <v>-1</v>
      </c>
      <c r="T291" s="176">
        <f t="shared" si="104"/>
        <v>5</v>
      </c>
      <c r="U291" s="251">
        <f t="shared" si="105"/>
        <v>-4.0205866989597161E-3</v>
      </c>
      <c r="V291" s="383">
        <f t="shared" si="106"/>
        <v>42.763806363978532</v>
      </c>
      <c r="W291" s="402"/>
      <c r="X291" s="157">
        <f t="shared" si="107"/>
        <v>44473</v>
      </c>
      <c r="Y291" s="385">
        <f t="shared" si="108"/>
        <v>31.415648695802002</v>
      </c>
      <c r="Z291" s="385">
        <f t="shared" si="109"/>
        <v>32.273504084935077</v>
      </c>
      <c r="AA291" s="386">
        <f t="shared" si="110"/>
        <v>35.58810283808976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9.3137832275989846E-2</v>
      </c>
      <c r="AD291" s="231">
        <f>(INDEX(Models!$BJ291:$BT291,,AH291)*(1-AF291)+INDEX(Models!$BJ291:$BT291,,AH291+1)*AF291-ERP_i)*AE291*Ramure*Pc/MaxiM</f>
        <v>1.0966034457216649E-3</v>
      </c>
      <c r="AE291" s="305">
        <f t="shared" si="112"/>
        <v>0.7</v>
      </c>
      <c r="AF291" s="177">
        <f t="shared" si="113"/>
        <v>0.99597941330104023</v>
      </c>
      <c r="AG291" s="921">
        <f t="shared" si="119"/>
        <v>-1</v>
      </c>
      <c r="AH291" s="176">
        <f t="shared" si="114"/>
        <v>5</v>
      </c>
      <c r="AI291" s="225">
        <f t="shared" si="115"/>
        <v>-4.0205866989597161E-3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20">
        <v>11.889000000000001</v>
      </c>
      <c r="C292" s="390"/>
      <c r="D292" s="393">
        <f t="shared" si="98"/>
        <v>12.213916000056759</v>
      </c>
      <c r="E292" s="385">
        <f t="shared" si="96"/>
        <v>12.525568872503172</v>
      </c>
      <c r="F292" s="385">
        <f t="shared" si="99"/>
        <v>12.525568872503172</v>
      </c>
      <c r="G292" s="110">
        <f t="shared" si="97"/>
        <v>0.27924465988951691</v>
      </c>
      <c r="H292" s="414" t="b">
        <f>Wh_hp&gt;='2020'!Maxi_hp</f>
        <v>0</v>
      </c>
      <c r="I292" s="380">
        <f>IF(H292,Wh_hp,'2020'!Maxi_hp)</f>
        <v>44.683643039833356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2.6602115165623164E-2</v>
      </c>
      <c r="M292" s="959"/>
      <c r="N292" s="959"/>
      <c r="O292" s="48">
        <f>IF(t&lt;Tnet,'2020'!Resal+('2020'!Salim-'2020'!Resal)*(1-EXP(('2020'!Tnet-t)/('2020'!Tau_j))),Resal+(Salim-Resal)*(1-EXP((Tnet-t)/(Tau_j))))*Salcycl</f>
        <v>2.4881334781573894E-2</v>
      </c>
      <c r="P292" s="169">
        <f>(INDEX(Models!$BJ292:$BT292,,T292)*(1-R292)+INDEX(Models!$BJ292:$BT292,,T292+1)*R292-ERP_i)*Q292*Ramure*Pc/MaxiM</f>
        <v>1.1256450845222475E-3</v>
      </c>
      <c r="Q292" s="305">
        <f t="shared" si="101"/>
        <v>0.7</v>
      </c>
      <c r="R292" s="177">
        <f t="shared" si="102"/>
        <v>0.99614809936502202</v>
      </c>
      <c r="S292" s="921">
        <f t="shared" si="103"/>
        <v>-1</v>
      </c>
      <c r="T292" s="176">
        <f t="shared" si="104"/>
        <v>5</v>
      </c>
      <c r="U292" s="251">
        <f t="shared" si="105"/>
        <v>-3.8519006349780338E-3</v>
      </c>
      <c r="V292" s="383">
        <f t="shared" si="106"/>
        <v>42.527643000545474</v>
      </c>
      <c r="W292" s="402"/>
      <c r="X292" s="157">
        <f t="shared" si="107"/>
        <v>44474</v>
      </c>
      <c r="Y292" s="385">
        <f t="shared" si="108"/>
        <v>11.056917507963988</v>
      </c>
      <c r="Z292" s="385">
        <f t="shared" si="109"/>
        <v>11.359093419280766</v>
      </c>
      <c r="AA292" s="386">
        <f t="shared" si="110"/>
        <v>12.525568872503172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9.3127542956002299E-2</v>
      </c>
      <c r="AD292" s="231">
        <f>(INDEX(Models!$BJ292:$BT292,,AH292)*(1-AF292)+INDEX(Models!$BJ292:$BT292,,AH292+1)*AF292-ERP_i)*AE292*Ramure*Pc/MaxiM</f>
        <v>1.1256450845222475E-3</v>
      </c>
      <c r="AE292" s="305">
        <f t="shared" si="112"/>
        <v>0.7</v>
      </c>
      <c r="AF292" s="177">
        <f t="shared" si="113"/>
        <v>0.99614809936502202</v>
      </c>
      <c r="AG292" s="921">
        <f t="shared" si="119"/>
        <v>-1</v>
      </c>
      <c r="AH292" s="176">
        <f t="shared" si="114"/>
        <v>5</v>
      </c>
      <c r="AI292" s="225">
        <f t="shared" si="115"/>
        <v>-3.8519006349780338E-3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20">
        <v>39.137</v>
      </c>
      <c r="C293" s="390"/>
      <c r="D293" s="393">
        <f t="shared" si="98"/>
        <v>40.207460720111442</v>
      </c>
      <c r="E293" s="385">
        <f t="shared" si="96"/>
        <v>41.236799313302349</v>
      </c>
      <c r="F293" s="385">
        <f t="shared" si="99"/>
        <v>41.279305763767212</v>
      </c>
      <c r="G293" s="110">
        <f t="shared" si="97"/>
        <v>0.92537133952109651</v>
      </c>
      <c r="H293" s="414" t="b">
        <f>Wh_hp&gt;='2020'!Maxi_hp</f>
        <v>0</v>
      </c>
      <c r="I293" s="380">
        <f>IF(H293,Wh_hp,'2020'!Maxi_hp)</f>
        <v>42.282942542755286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2.6623435077460789E-2</v>
      </c>
      <c r="M293" s="959"/>
      <c r="N293" s="959"/>
      <c r="O293" s="48">
        <f>IF(t&lt;Tnet,'2020'!Resal+('2020'!Salim-'2020'!Resal)*(1-EXP(('2020'!Tnet-t)/('2020'!Tau_j))),Resal+(Salim-Resal)*(1-EXP((Tnet-t)/(Tau_j))))*Salcycl</f>
        <v>2.4961651009099039E-2</v>
      </c>
      <c r="P293" s="169">
        <f>(INDEX(Models!$BJ293:$BT293,,T293)*(1-R293)+INDEX(Models!$BJ293:$BT293,,T293+1)*R293-ERP_i)*Q293*Ramure*Pc/MaxiM</f>
        <v>1.1524009414007684E-3</v>
      </c>
      <c r="Q293" s="305">
        <f t="shared" si="101"/>
        <v>0.7</v>
      </c>
      <c r="R293" s="177">
        <f t="shared" si="102"/>
        <v>0.99631010143606114</v>
      </c>
      <c r="S293" s="921">
        <f t="shared" si="103"/>
        <v>-1</v>
      </c>
      <c r="T293" s="176">
        <f t="shared" si="104"/>
        <v>5</v>
      </c>
      <c r="U293" s="251">
        <f t="shared" si="105"/>
        <v>-3.6898985639388648E-3</v>
      </c>
      <c r="V293" s="383">
        <f t="shared" si="106"/>
        <v>42.288098110216914</v>
      </c>
      <c r="W293" s="402"/>
      <c r="X293" s="157">
        <f t="shared" si="107"/>
        <v>44475</v>
      </c>
      <c r="Y293" s="385">
        <f t="shared" si="108"/>
        <v>36.401361091413293</v>
      </c>
      <c r="Z293" s="385">
        <f t="shared" si="109"/>
        <v>37.396997629905023</v>
      </c>
      <c r="AA293" s="386">
        <f t="shared" si="110"/>
        <v>41.236799313302349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9.3115900053830358E-2</v>
      </c>
      <c r="AD293" s="231">
        <f>(INDEX(Models!$BJ293:$BT293,,AH293)*(1-AF293)+INDEX(Models!$BJ293:$BT293,,AH293+1)*AF293-ERP_i)*AE293*Ramure*Pc/MaxiM</f>
        <v>1.1524009414007684E-3</v>
      </c>
      <c r="AE293" s="305">
        <f t="shared" si="112"/>
        <v>0.7</v>
      </c>
      <c r="AF293" s="177">
        <f t="shared" si="113"/>
        <v>0.99631010143606114</v>
      </c>
      <c r="AG293" s="921">
        <f t="shared" si="119"/>
        <v>-1</v>
      </c>
      <c r="AH293" s="176">
        <f t="shared" si="114"/>
        <v>5</v>
      </c>
      <c r="AI293" s="225">
        <f t="shared" si="115"/>
        <v>-3.6898985639388648E-3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20">
        <v>42.261000000000003</v>
      </c>
      <c r="C294" s="390"/>
      <c r="D294" s="393">
        <f t="shared" si="98"/>
        <v>43.417858172902669</v>
      </c>
      <c r="E294" s="385">
        <f t="shared" si="96"/>
        <v>44.533029908244238</v>
      </c>
      <c r="F294" s="385">
        <f t="shared" si="99"/>
        <v>44.5855001708373</v>
      </c>
      <c r="G294" s="110">
        <f t="shared" si="97"/>
        <v>1.0051279410966996</v>
      </c>
      <c r="H294" s="414" t="b">
        <f>Wh_hp&gt;='2020'!Maxi_hp</f>
        <v>1</v>
      </c>
      <c r="I294" s="380">
        <f>IF(H294,Wh_hp,'2020'!Maxi_hp)</f>
        <v>44.5855001708373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2.6644754522337721E-2</v>
      </c>
      <c r="M294" s="959"/>
      <c r="N294" s="959"/>
      <c r="O294" s="48">
        <f>IF(t&lt;Tnet,'2020'!Resal+('2020'!Salim-'2020'!Resal)*(1-EXP(('2020'!Tnet-t)/('2020'!Tau_j))),Resal+(Salim-Resal)*(1-EXP((Tnet-t)/(Tau_j))))*Salcycl</f>
        <v>2.5041452100592984E-2</v>
      </c>
      <c r="P294" s="169">
        <f>(INDEX(Models!$BJ294:$BT294,,T294)*(1-R294)+INDEX(Models!$BJ294:$BT294,,T294+1)*R294-ERP_i)*Q294*Ramure*Pc/MaxiM</f>
        <v>1.1768458891794834E-3</v>
      </c>
      <c r="Q294" s="305">
        <f t="shared" si="101"/>
        <v>0.7</v>
      </c>
      <c r="R294" s="177">
        <f t="shared" si="102"/>
        <v>0.99646568022258397</v>
      </c>
      <c r="S294" s="921">
        <f t="shared" si="103"/>
        <v>-1</v>
      </c>
      <c r="T294" s="176">
        <f t="shared" si="104"/>
        <v>5</v>
      </c>
      <c r="U294" s="251">
        <f t="shared" si="105"/>
        <v>-3.5343197774160284E-3</v>
      </c>
      <c r="V294" s="383">
        <f t="shared" si="106"/>
        <v>42.045393697730496</v>
      </c>
      <c r="W294" s="402"/>
      <c r="X294" s="157">
        <f t="shared" si="107"/>
        <v>44476</v>
      </c>
      <c r="Y294" s="385">
        <f t="shared" si="108"/>
        <v>39.310777525221162</v>
      </c>
      <c r="Z294" s="385">
        <f t="shared" si="109"/>
        <v>40.386875920034598</v>
      </c>
      <c r="AA294" s="386">
        <f t="shared" si="110"/>
        <v>44.533029908244238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9.3102894565053482E-2</v>
      </c>
      <c r="AD294" s="231">
        <f>(INDEX(Models!$BJ294:$BT294,,AH294)*(1-AF294)+INDEX(Models!$BJ294:$BT294,,AH294+1)*AF294-ERP_i)*AE294*Ramure*Pc/MaxiM</f>
        <v>1.1768458891794834E-3</v>
      </c>
      <c r="AE294" s="305">
        <f t="shared" si="112"/>
        <v>0.7</v>
      </c>
      <c r="AF294" s="177">
        <f t="shared" si="113"/>
        <v>0.99646568022258397</v>
      </c>
      <c r="AG294" s="921">
        <f t="shared" si="119"/>
        <v>-1</v>
      </c>
      <c r="AH294" s="176">
        <f t="shared" si="114"/>
        <v>5</v>
      </c>
      <c r="AI294" s="225">
        <f t="shared" si="115"/>
        <v>-3.5343197774160284E-3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20">
        <v>39.582999999999998</v>
      </c>
      <c r="C295" s="390"/>
      <c r="D295" s="393">
        <f t="shared" si="98"/>
        <v>40.667440969972944</v>
      </c>
      <c r="E295" s="385">
        <f t="shared" si="96"/>
        <v>41.715361436081288</v>
      </c>
      <c r="F295" s="385">
        <f t="shared" si="99"/>
        <v>41.761638375375632</v>
      </c>
      <c r="G295" s="110">
        <f t="shared" si="97"/>
        <v>0.94688123931211809</v>
      </c>
      <c r="H295" s="414" t="b">
        <f>Wh_hp&gt;='2020'!Maxi_hp</f>
        <v>1</v>
      </c>
      <c r="I295" s="380">
        <f>IF(H295,Wh_hp,'2020'!Maxi_hp)</f>
        <v>41.761638375375632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2.6666073500264065E-2</v>
      </c>
      <c r="M295" s="959"/>
      <c r="N295" s="959"/>
      <c r="O295" s="48">
        <f>IF(t&lt;Tnet,'2020'!Resal+('2020'!Salim-'2020'!Resal)*(1-EXP(('2020'!Tnet-t)/('2020'!Tau_j))),Resal+(Salim-Resal)*(1-EXP((Tnet-t)/(Tau_j))))*Salcycl</f>
        <v>2.5120733227111756E-2</v>
      </c>
      <c r="P295" s="169">
        <f>(INDEX(Models!$BJ295:$BT295,,T295)*(1-R295)+INDEX(Models!$BJ295:$BT295,,T295+1)*R295-ERP_i)*Q295*Ramure*Pc/MaxiM</f>
        <v>1.1989546988361297E-3</v>
      </c>
      <c r="Q295" s="305">
        <f t="shared" si="101"/>
        <v>0.7</v>
      </c>
      <c r="R295" s="177">
        <f t="shared" si="102"/>
        <v>0.99661508658844511</v>
      </c>
      <c r="S295" s="921">
        <f t="shared" si="103"/>
        <v>-1</v>
      </c>
      <c r="T295" s="176">
        <f t="shared" si="104"/>
        <v>5</v>
      </c>
      <c r="U295" s="251">
        <f t="shared" si="105"/>
        <v>-3.3849134115548352E-3</v>
      </c>
      <c r="V295" s="383">
        <f t="shared" si="106"/>
        <v>41.799751530722737</v>
      </c>
      <c r="W295" s="402"/>
      <c r="X295" s="157">
        <f t="shared" si="107"/>
        <v>44477</v>
      </c>
      <c r="Y295" s="385">
        <f t="shared" si="108"/>
        <v>36.823305507895377</v>
      </c>
      <c r="Z295" s="385">
        <f t="shared" si="109"/>
        <v>37.832140137473537</v>
      </c>
      <c r="AA295" s="386">
        <f t="shared" si="110"/>
        <v>41.715361436081288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9.3088520989033016E-2</v>
      </c>
      <c r="AD295" s="231">
        <f>(INDEX(Models!$BJ295:$BT295,,AH295)*(1-AF295)+INDEX(Models!$BJ295:$BT295,,AH295+1)*AF295-ERP_i)*AE295*Ramure*Pc/MaxiM</f>
        <v>1.1989546988361297E-3</v>
      </c>
      <c r="AE295" s="305">
        <f t="shared" si="112"/>
        <v>0.7</v>
      </c>
      <c r="AF295" s="177">
        <f t="shared" si="113"/>
        <v>0.99661508658844511</v>
      </c>
      <c r="AG295" s="921">
        <f t="shared" si="119"/>
        <v>-1</v>
      </c>
      <c r="AH295" s="176">
        <f t="shared" si="114"/>
        <v>5</v>
      </c>
      <c r="AI295" s="225">
        <f t="shared" si="115"/>
        <v>-3.3849134115548352E-3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20">
        <v>14.613</v>
      </c>
      <c r="C296" s="390"/>
      <c r="D296" s="393">
        <f t="shared" si="98"/>
        <v>15.013675853019368</v>
      </c>
      <c r="E296" s="385">
        <f t="shared" si="96"/>
        <v>15.401793195240298</v>
      </c>
      <c r="F296" s="385">
        <f t="shared" si="99"/>
        <v>15.403178422759321</v>
      </c>
      <c r="G296" s="110">
        <f t="shared" si="97"/>
        <v>0.35128795173739014</v>
      </c>
      <c r="H296" s="414" t="b">
        <f>Wh_hp&gt;='2020'!Maxi_hp</f>
        <v>0</v>
      </c>
      <c r="I296" s="380">
        <f>IF(H296,Wh_hp,'2020'!Maxi_hp)</f>
        <v>37.398017587935655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2.6687392011250144E-2</v>
      </c>
      <c r="M296" s="959"/>
      <c r="N296" s="959"/>
      <c r="O296" s="48">
        <f>IF(t&lt;Tnet,'2020'!Resal+('2020'!Salim-'2020'!Resal)*(1-EXP(('2020'!Tnet-t)/('2020'!Tau_j))),Resal+(Salim-Resal)*(1-EXP((Tnet-t)/(Tau_j))))*Salcycl</f>
        <v>2.5199490559376595E-2</v>
      </c>
      <c r="P296" s="169">
        <f>(INDEX(Models!$BJ296:$BT296,,T296)*(1-R296)+INDEX(Models!$BJ296:$BT296,,T296+1)*R296-ERP_i)*Q296*Ramure*Pc/MaxiM</f>
        <v>1.217998376100134E-3</v>
      </c>
      <c r="Q296" s="305">
        <f t="shared" si="101"/>
        <v>0.7</v>
      </c>
      <c r="R296" s="177">
        <f t="shared" si="102"/>
        <v>0.99675856189910772</v>
      </c>
      <c r="S296" s="921">
        <f t="shared" si="103"/>
        <v>-1</v>
      </c>
      <c r="T296" s="176">
        <f t="shared" si="104"/>
        <v>5</v>
      </c>
      <c r="U296" s="251">
        <f t="shared" si="105"/>
        <v>-3.2414381008922799E-3</v>
      </c>
      <c r="V296" s="383">
        <f t="shared" si="106"/>
        <v>41.551422417712409</v>
      </c>
      <c r="W296" s="402"/>
      <c r="X296" s="157">
        <f t="shared" si="107"/>
        <v>44478</v>
      </c>
      <c r="Y296" s="385">
        <f t="shared" si="108"/>
        <v>13.595527878052037</v>
      </c>
      <c r="Z296" s="385">
        <f t="shared" si="109"/>
        <v>13.968305523284851</v>
      </c>
      <c r="AA296" s="386">
        <f t="shared" si="110"/>
        <v>15.401793195240298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9.3072777551541613E-2</v>
      </c>
      <c r="AD296" s="231">
        <f>(INDEX(Models!$BJ296:$BT296,,AH296)*(1-AF296)+INDEX(Models!$BJ296:$BT296,,AH296+1)*AF296-ERP_i)*AE296*Ramure*Pc/MaxiM</f>
        <v>1.217998376100134E-3</v>
      </c>
      <c r="AE296" s="305">
        <f t="shared" si="112"/>
        <v>0.7</v>
      </c>
      <c r="AF296" s="177">
        <f t="shared" si="113"/>
        <v>0.99675856189910772</v>
      </c>
      <c r="AG296" s="921">
        <f t="shared" si="119"/>
        <v>-1</v>
      </c>
      <c r="AH296" s="176">
        <f t="shared" si="114"/>
        <v>5</v>
      </c>
      <c r="AI296" s="225">
        <f t="shared" si="115"/>
        <v>-3.2414381008922799E-3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20">
        <v>30.475999999999999</v>
      </c>
      <c r="C297" s="390"/>
      <c r="D297" s="393">
        <f t="shared" si="98"/>
        <v>31.312311447615812</v>
      </c>
      <c r="E297" s="385">
        <f t="shared" ref="E297:E360" si="120">Wh_pvt/(1-Psa)</f>
        <v>32.124341602918491</v>
      </c>
      <c r="F297" s="385">
        <f t="shared" si="99"/>
        <v>32.149169345237013</v>
      </c>
      <c r="G297" s="110">
        <f t="shared" ref="G297:G360" si="121">+Wh_hp/MaxiM</f>
        <v>0.73756552724092506</v>
      </c>
      <c r="H297" s="414" t="b">
        <f>Wh_hp&gt;='2020'!Maxi_hp</f>
        <v>1</v>
      </c>
      <c r="I297" s="380">
        <f>IF(H297,Wh_hp,'2020'!Maxi_hp)</f>
        <v>32.149169345237013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2.6708710055306062E-2</v>
      </c>
      <c r="M297" s="959"/>
      <c r="N297" s="959"/>
      <c r="O297" s="48">
        <f>IF(t&lt;Tnet,'2020'!Resal+('2020'!Salim-'2020'!Resal)*(1-EXP(('2020'!Tnet-t)/('2020'!Tau_j))),Resal+(Salim-Resal)*(1-EXP((Tnet-t)/(Tau_j))))*Salcycl</f>
        <v>2.527772134103148E-2</v>
      </c>
      <c r="P297" s="169">
        <f>(INDEX(Models!$BJ297:$BT297,,T297)*(1-R297)+INDEX(Models!$BJ297:$BT297,,T297+1)*R297-ERP_i)*Q297*Ramure*Pc/MaxiM</f>
        <v>1.2344791634956919E-3</v>
      </c>
      <c r="Q297" s="305">
        <f t="shared" si="101"/>
        <v>0.7</v>
      </c>
      <c r="R297" s="177">
        <f t="shared" si="102"/>
        <v>0.99689633835769875</v>
      </c>
      <c r="S297" s="921">
        <f t="shared" si="103"/>
        <v>-1</v>
      </c>
      <c r="T297" s="176">
        <f t="shared" si="104"/>
        <v>5</v>
      </c>
      <c r="U297" s="251">
        <f t="shared" si="105"/>
        <v>-3.103661642301192E-3</v>
      </c>
      <c r="V297" s="383">
        <f t="shared" si="106"/>
        <v>41.300605315669834</v>
      </c>
      <c r="W297" s="402"/>
      <c r="X297" s="157">
        <f t="shared" si="107"/>
        <v>44479</v>
      </c>
      <c r="Y297" s="385">
        <f t="shared" si="108"/>
        <v>28.356831597630077</v>
      </c>
      <c r="Z297" s="385">
        <f t="shared" si="109"/>
        <v>29.134989586972896</v>
      </c>
      <c r="AA297" s="386">
        <f t="shared" si="110"/>
        <v>32.124341602918491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9.3055666413222674E-2</v>
      </c>
      <c r="AD297" s="231">
        <f>(INDEX(Models!$BJ297:$BT297,,AH297)*(1-AF297)+INDEX(Models!$BJ297:$BT297,,AH297+1)*AF297-ERP_i)*AE297*Ramure*Pc/MaxiM</f>
        <v>1.2344791634956919E-3</v>
      </c>
      <c r="AE297" s="305">
        <f t="shared" si="112"/>
        <v>0.7</v>
      </c>
      <c r="AF297" s="177">
        <f t="shared" si="113"/>
        <v>0.99689633835769875</v>
      </c>
      <c r="AG297" s="921">
        <f t="shared" si="119"/>
        <v>-1</v>
      </c>
      <c r="AH297" s="176">
        <f t="shared" si="114"/>
        <v>5</v>
      </c>
      <c r="AI297" s="225">
        <f t="shared" si="115"/>
        <v>-3.103661642301192E-3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20">
        <v>41.228000000000002</v>
      </c>
      <c r="C298" s="390"/>
      <c r="D298" s="393">
        <f t="shared" si="98"/>
        <v>42.360291769517509</v>
      </c>
      <c r="E298" s="385">
        <f t="shared" si="120"/>
        <v>43.462296729297407</v>
      </c>
      <c r="F298" s="385">
        <f t="shared" si="99"/>
        <v>43.516621662814977</v>
      </c>
      <c r="G298" s="110">
        <f t="shared" si="121"/>
        <v>1.0043968270975496</v>
      </c>
      <c r="H298" s="414" t="b">
        <f>Wh_hp&gt;='2020'!Maxi_hp</f>
        <v>1</v>
      </c>
      <c r="I298" s="380">
        <f>IF(H298,Wh_hp,'2020'!Maxi_hp)</f>
        <v>43.516621662814977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2.6730027632442033E-2</v>
      </c>
      <c r="M298" s="959"/>
      <c r="N298" s="959"/>
      <c r="O298" s="48">
        <f>IF(t&lt;Tnet,'2020'!Resal+('2020'!Salim-'2020'!Resal)*(1-EXP(('2020'!Tnet-t)/('2020'!Tau_j))),Resal+(Salim-Resal)*(1-EXP((Tnet-t)/(Tau_j))))*Salcycl</f>
        <v>2.5355423958464039E-2</v>
      </c>
      <c r="P298" s="169">
        <f>(INDEX(Models!$BJ298:$BT298,,T298)*(1-R298)+INDEX(Models!$BJ298:$BT298,,T298+1)*R298-ERP_i)*Q298*Ramure*Pc/MaxiM</f>
        <v>1.2483720344493012E-3</v>
      </c>
      <c r="Q298" s="305">
        <f t="shared" si="101"/>
        <v>0.7</v>
      </c>
      <c r="R298" s="177">
        <f t="shared" si="102"/>
        <v>0.99702863933106511</v>
      </c>
      <c r="S298" s="921">
        <f t="shared" si="103"/>
        <v>-1</v>
      </c>
      <c r="T298" s="176">
        <f t="shared" si="104"/>
        <v>5</v>
      </c>
      <c r="U298" s="251">
        <f t="shared" si="105"/>
        <v>-2.9713606689348859E-3</v>
      </c>
      <c r="V298" s="383">
        <f t="shared" si="106"/>
        <v>41.047521146734795</v>
      </c>
      <c r="W298" s="402"/>
      <c r="X298" s="157">
        <f t="shared" si="107"/>
        <v>44480</v>
      </c>
      <c r="Y298" s="385">
        <f t="shared" si="108"/>
        <v>38.365024020693689</v>
      </c>
      <c r="Z298" s="385">
        <f t="shared" si="109"/>
        <v>39.418686602821687</v>
      </c>
      <c r="AA298" s="386">
        <f t="shared" si="110"/>
        <v>43.462296729297407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9.3037193861639E-2</v>
      </c>
      <c r="AD298" s="231">
        <f>(INDEX(Models!$BJ298:$BT298,,AH298)*(1-AF298)+INDEX(Models!$BJ298:$BT298,,AH298+1)*AF298-ERP_i)*AE298*Ramure*Pc/MaxiM</f>
        <v>1.2483720344493012E-3</v>
      </c>
      <c r="AE298" s="305">
        <f t="shared" si="112"/>
        <v>0.7</v>
      </c>
      <c r="AF298" s="177">
        <f t="shared" si="113"/>
        <v>0.99702863933106511</v>
      </c>
      <c r="AG298" s="921">
        <f t="shared" si="119"/>
        <v>-1</v>
      </c>
      <c r="AH298" s="176">
        <f t="shared" si="114"/>
        <v>5</v>
      </c>
      <c r="AI298" s="225">
        <f t="shared" si="115"/>
        <v>-2.9713606689348859E-3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20">
        <v>40.552</v>
      </c>
      <c r="C299" s="390"/>
      <c r="D299" s="393">
        <f t="shared" si="98"/>
        <v>41.666638613826656</v>
      </c>
      <c r="E299" s="385">
        <f t="shared" si="120"/>
        <v>42.753983489080611</v>
      </c>
      <c r="F299" s="385">
        <f t="shared" si="99"/>
        <v>42.807452061099632</v>
      </c>
      <c r="G299" s="110">
        <f t="shared" si="121"/>
        <v>0.99409641988741404</v>
      </c>
      <c r="H299" s="414" t="b">
        <f>Wh_hp&gt;='2020'!Maxi_hp</f>
        <v>1</v>
      </c>
      <c r="I299" s="380">
        <f>IF(H299,Wh_hp,'2020'!Maxi_hp)</f>
        <v>42.807452061099632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2.6751344742668492E-2</v>
      </c>
      <c r="M299" s="959"/>
      <c r="N299" s="959"/>
      <c r="O299" s="48">
        <f>IF(t&lt;Tnet,'2020'!Resal+('2020'!Salim-'2020'!Resal)*(1-EXP(('2020'!Tnet-t)/('2020'!Tau_j))),Resal+(Salim-Resal)*(1-EXP((Tnet-t)/(Tau_j))))*Salcycl</f>
        <v>2.5432598006491301E-2</v>
      </c>
      <c r="P299" s="169">
        <f>(INDEX(Models!$BJ299:$BT299,,T299)*(1-R299)+INDEX(Models!$BJ299:$BT299,,T299+1)*R299-ERP_i)*Q299*Ramure*Pc/MaxiM</f>
        <v>1.2596527465541655E-3</v>
      </c>
      <c r="Q299" s="305">
        <f t="shared" si="101"/>
        <v>0.7</v>
      </c>
      <c r="R299" s="177">
        <f t="shared" si="102"/>
        <v>0.99715567966596663</v>
      </c>
      <c r="S299" s="921">
        <f t="shared" si="103"/>
        <v>-1</v>
      </c>
      <c r="T299" s="176">
        <f t="shared" si="104"/>
        <v>5</v>
      </c>
      <c r="U299" s="251">
        <f t="shared" si="105"/>
        <v>-2.8443203340334233E-3</v>
      </c>
      <c r="V299" s="383">
        <f t="shared" si="106"/>
        <v>40.792390573375165</v>
      </c>
      <c r="W299" s="402"/>
      <c r="X299" s="157">
        <f t="shared" si="107"/>
        <v>44481</v>
      </c>
      <c r="Y299" s="385">
        <f t="shared" si="108"/>
        <v>37.739780252107607</v>
      </c>
      <c r="Z299" s="385">
        <f t="shared" si="109"/>
        <v>38.777120367177936</v>
      </c>
      <c r="AA299" s="386">
        <f t="shared" si="110"/>
        <v>42.753983489080611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9.3017370484749534E-2</v>
      </c>
      <c r="AD299" s="231">
        <f>(INDEX(Models!$BJ299:$BT299,,AH299)*(1-AF299)+INDEX(Models!$BJ299:$BT299,,AH299+1)*AF299-ERP_i)*AE299*Ramure*Pc/MaxiM</f>
        <v>1.2596527465541655E-3</v>
      </c>
      <c r="AE299" s="305">
        <f t="shared" si="112"/>
        <v>0.7</v>
      </c>
      <c r="AF299" s="177">
        <f t="shared" si="113"/>
        <v>0.99715567966596663</v>
      </c>
      <c r="AG299" s="921">
        <f t="shared" si="119"/>
        <v>-1</v>
      </c>
      <c r="AH299" s="176">
        <f t="shared" si="114"/>
        <v>5</v>
      </c>
      <c r="AI299" s="225">
        <f t="shared" si="115"/>
        <v>-2.8443203340334233E-3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20">
        <v>38.447000000000003</v>
      </c>
      <c r="C300" s="390"/>
      <c r="D300" s="393">
        <f t="shared" si="98"/>
        <v>39.504644469557604</v>
      </c>
      <c r="E300" s="385">
        <f t="shared" si="120"/>
        <v>40.538757541292462</v>
      </c>
      <c r="F300" s="385">
        <f t="shared" si="99"/>
        <v>40.586444549486444</v>
      </c>
      <c r="G300" s="110">
        <f t="shared" si="121"/>
        <v>0.94839016141963539</v>
      </c>
      <c r="H300" s="414" t="b">
        <f>Wh_hp&gt;='2020'!Maxi_hp</f>
        <v>0</v>
      </c>
      <c r="I300" s="380">
        <f>IF(H300,Wh_hp,'2020'!Maxi_hp)</f>
        <v>41.038729599738197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2.6772661385995433E-2</v>
      </c>
      <c r="M300" s="959"/>
      <c r="N300" s="959"/>
      <c r="O300" s="48">
        <f>IF(t&lt;Tnet,'2020'!Resal+('2020'!Salim-'2020'!Resal)*(1-EXP(('2020'!Tnet-t)/('2020'!Tau_j))),Resal+(Salim-Resal)*(1-EXP((Tnet-t)/(Tau_j))))*Salcycl</f>
        <v>2.5509244349226131E-2</v>
      </c>
      <c r="P300" s="169">
        <f>(INDEX(Models!$BJ300:$BT300,,T300)*(1-R300)+INDEX(Models!$BJ300:$BT300,,T300+1)*R300-ERP_i)*Q300*Ramure*Pc/MaxiM</f>
        <v>1.2682980429245313E-3</v>
      </c>
      <c r="Q300" s="305">
        <f t="shared" si="101"/>
        <v>0.7</v>
      </c>
      <c r="R300" s="177">
        <f t="shared" si="102"/>
        <v>0.99727766599556067</v>
      </c>
      <c r="S300" s="921">
        <f t="shared" si="103"/>
        <v>-1</v>
      </c>
      <c r="T300" s="176">
        <f t="shared" si="104"/>
        <v>5</v>
      </c>
      <c r="U300" s="251">
        <f t="shared" si="105"/>
        <v>-2.7223340044392752E-3</v>
      </c>
      <c r="V300" s="383">
        <f t="shared" si="106"/>
        <v>40.535433998407527</v>
      </c>
      <c r="W300" s="402"/>
      <c r="X300" s="157">
        <f t="shared" si="107"/>
        <v>44482</v>
      </c>
      <c r="Y300" s="385">
        <f t="shared" si="108"/>
        <v>35.784407867417805</v>
      </c>
      <c r="Z300" s="385">
        <f t="shared" si="109"/>
        <v>36.768806678179843</v>
      </c>
      <c r="AA300" s="386">
        <f t="shared" si="110"/>
        <v>40.538757541292462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9.2996211323757919E-2</v>
      </c>
      <c r="AD300" s="231">
        <f>(INDEX(Models!$BJ300:$BT300,,AH300)*(1-AF300)+INDEX(Models!$BJ300:$BT300,,AH300+1)*AF300-ERP_i)*AE300*Ramure*Pc/MaxiM</f>
        <v>1.2682980429245313E-3</v>
      </c>
      <c r="AE300" s="305">
        <f t="shared" si="112"/>
        <v>0.7</v>
      </c>
      <c r="AF300" s="177">
        <f t="shared" si="113"/>
        <v>0.99727766599556067</v>
      </c>
      <c r="AG300" s="921">
        <f t="shared" si="119"/>
        <v>-1</v>
      </c>
      <c r="AH300" s="176">
        <f t="shared" si="114"/>
        <v>5</v>
      </c>
      <c r="AI300" s="225">
        <f t="shared" si="115"/>
        <v>-2.7223340044392752E-3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20">
        <v>42.094999999999999</v>
      </c>
      <c r="C301" s="390"/>
      <c r="D301" s="393">
        <f t="shared" si="98"/>
        <v>43.253945238199016</v>
      </c>
      <c r="E301" s="385">
        <f t="shared" si="120"/>
        <v>44.389671185498599</v>
      </c>
      <c r="F301" s="385">
        <f t="shared" si="99"/>
        <v>44.446308487241133</v>
      </c>
      <c r="G301" s="110">
        <f t="shared" si="121"/>
        <v>1.0451407560811183</v>
      </c>
      <c r="H301" s="414" t="b">
        <f>Wh_hp&gt;='2020'!Maxi_hp</f>
        <v>1</v>
      </c>
      <c r="I301" s="380">
        <f>IF(H301,Wh_hp,'2020'!Maxi_hp)</f>
        <v>44.446308487241133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2.679397756243318E-2</v>
      </c>
      <c r="M301" s="959"/>
      <c r="N301" s="959"/>
      <c r="O301" s="48">
        <f>IF(t&lt;Tnet,'2020'!Resal+('2020'!Salim-'2020'!Resal)*(1-EXP(('2020'!Tnet-t)/('2020'!Tau_j))),Resal+(Salim-Resal)*(1-EXP((Tnet-t)/(Tau_j))))*Salcycl</f>
        <v>2.5585365175460211E-2</v>
      </c>
      <c r="P301" s="169">
        <f>(INDEX(Models!$BJ301:$BT301,,T301)*(1-R301)+INDEX(Models!$BJ301:$BT301,,T301+1)*R301-ERP_i)*Q301*Ramure*Pc/MaxiM</f>
        <v>1.274285844431701E-3</v>
      </c>
      <c r="Q301" s="305">
        <f t="shared" si="101"/>
        <v>0.7</v>
      </c>
      <c r="R301" s="177">
        <f t="shared" si="102"/>
        <v>0.99739479703634148</v>
      </c>
      <c r="S301" s="921">
        <f t="shared" si="103"/>
        <v>-1</v>
      </c>
      <c r="T301" s="176">
        <f t="shared" si="104"/>
        <v>5</v>
      </c>
      <c r="U301" s="251">
        <f t="shared" si="105"/>
        <v>-2.6052029636584595E-3</v>
      </c>
      <c r="V301" s="383">
        <f t="shared" si="106"/>
        <v>40.27687156497494</v>
      </c>
      <c r="W301" s="402"/>
      <c r="X301" s="157">
        <f t="shared" si="107"/>
        <v>44483</v>
      </c>
      <c r="Y301" s="385">
        <f t="shared" si="108"/>
        <v>39.183802478307406</v>
      </c>
      <c r="Z301" s="385">
        <f t="shared" si="109"/>
        <v>40.262597615420255</v>
      </c>
      <c r="AA301" s="386">
        <f t="shared" si="110"/>
        <v>44.389671185498599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9.2973736003401378E-2</v>
      </c>
      <c r="AD301" s="231">
        <f>(INDEX(Models!$BJ301:$BT301,,AH301)*(1-AF301)+INDEX(Models!$BJ301:$BT301,,AH301+1)*AF301-ERP_i)*AE301*Ramure*Pc/MaxiM</f>
        <v>1.274285844431701E-3</v>
      </c>
      <c r="AE301" s="305">
        <f t="shared" si="112"/>
        <v>0.7</v>
      </c>
      <c r="AF301" s="177">
        <f t="shared" si="113"/>
        <v>0.99739479703634148</v>
      </c>
      <c r="AG301" s="921">
        <f t="shared" si="119"/>
        <v>-1</v>
      </c>
      <c r="AH301" s="176">
        <f t="shared" si="114"/>
        <v>5</v>
      </c>
      <c r="AI301" s="225">
        <f t="shared" si="115"/>
        <v>-2.6052029636584595E-3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20">
        <v>35.518000000000001</v>
      </c>
      <c r="C302" s="390"/>
      <c r="D302" s="393">
        <f t="shared" si="98"/>
        <v>36.496668879453324</v>
      </c>
      <c r="E302" s="385">
        <f t="shared" si="120"/>
        <v>37.457874038466187</v>
      </c>
      <c r="F302" s="385">
        <f t="shared" si="99"/>
        <v>37.498087119876288</v>
      </c>
      <c r="G302" s="110">
        <f t="shared" si="121"/>
        <v>0.88739216735312387</v>
      </c>
      <c r="H302" s="414" t="b">
        <f>Wh_hp&gt;='2020'!Maxi_hp</f>
        <v>1</v>
      </c>
      <c r="I302" s="380">
        <f>IF(H302,Wh_hp,'2020'!Maxi_hp)</f>
        <v>37.498087119876288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2.6815293271991947E-2</v>
      </c>
      <c r="M302" s="959"/>
      <c r="N302" s="959"/>
      <c r="O302" s="48">
        <f>IF(t&lt;Tnet,'2020'!Resal+('2020'!Salim-'2020'!Resal)*(1-EXP(('2020'!Tnet-t)/('2020'!Tau_j))),Resal+(Salim-Resal)*(1-EXP((Tnet-t)/(Tau_j))))*Salcycl</f>
        <v>2.5660964047927184E-2</v>
      </c>
      <c r="P302" s="169">
        <f>(INDEX(Models!$BJ302:$BT302,,T302)*(1-R302)+INDEX(Models!$BJ302:$BT302,,T302+1)*R302-ERP_i)*Q302*Ramure*Pc/MaxiM</f>
        <v>1.2775954311783624E-3</v>
      </c>
      <c r="Q302" s="305">
        <f t="shared" si="101"/>
        <v>0.7</v>
      </c>
      <c r="R302" s="177">
        <f t="shared" si="102"/>
        <v>0.99750726387570754</v>
      </c>
      <c r="S302" s="921">
        <f t="shared" si="103"/>
        <v>-1</v>
      </c>
      <c r="T302" s="176">
        <f t="shared" si="104"/>
        <v>5</v>
      </c>
      <c r="U302" s="251">
        <f t="shared" si="105"/>
        <v>-2.4927361242924606E-3</v>
      </c>
      <c r="V302" s="383">
        <f t="shared" si="106"/>
        <v>40.016923156187943</v>
      </c>
      <c r="W302" s="402"/>
      <c r="X302" s="157">
        <f t="shared" si="107"/>
        <v>44484</v>
      </c>
      <c r="Y302" s="385">
        <f t="shared" si="108"/>
        <v>33.065084963300592</v>
      </c>
      <c r="Z302" s="385">
        <f t="shared" si="109"/>
        <v>33.976165813856994</v>
      </c>
      <c r="AA302" s="386">
        <f t="shared" si="110"/>
        <v>37.457874038466187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9.294996883789397E-2</v>
      </c>
      <c r="AD302" s="231">
        <f>(INDEX(Models!$BJ302:$BT302,,AH302)*(1-AF302)+INDEX(Models!$BJ302:$BT302,,AH302+1)*AF302-ERP_i)*AE302*Ramure*Pc/MaxiM</f>
        <v>1.2775954311783624E-3</v>
      </c>
      <c r="AE302" s="305">
        <f t="shared" si="112"/>
        <v>0.7</v>
      </c>
      <c r="AF302" s="177">
        <f t="shared" si="113"/>
        <v>0.99750726387570754</v>
      </c>
      <c r="AG302" s="921">
        <f t="shared" si="119"/>
        <v>-1</v>
      </c>
      <c r="AH302" s="176">
        <f t="shared" si="114"/>
        <v>5</v>
      </c>
      <c r="AI302" s="225">
        <f t="shared" si="115"/>
        <v>-2.4927361242924606E-3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20">
        <v>37.274000000000001</v>
      </c>
      <c r="C303" s="390"/>
      <c r="D303" s="393">
        <f t="shared" si="98"/>
        <v>38.301892905270009</v>
      </c>
      <c r="E303" s="385">
        <f t="shared" si="120"/>
        <v>39.313671357629772</v>
      </c>
      <c r="F303" s="385">
        <f t="shared" si="99"/>
        <v>39.359495276629886</v>
      </c>
      <c r="G303" s="110">
        <f t="shared" si="121"/>
        <v>0.93747453707601003</v>
      </c>
      <c r="H303" s="414" t="b">
        <f>Wh_hp&gt;='2020'!Maxi_hp</f>
        <v>1</v>
      </c>
      <c r="I303" s="380">
        <f>IF(H303,Wh_hp,'2020'!Maxi_hp)</f>
        <v>39.359495276629886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2.6836608514682059E-2</v>
      </c>
      <c r="M303" s="959"/>
      <c r="N303" s="959"/>
      <c r="O303" s="48">
        <f>IF(t&lt;Tnet,'2020'!Resal+('2020'!Salim-'2020'!Resal)*(1-EXP(('2020'!Tnet-t)/('2020'!Tau_j))),Resal+(Salim-Resal)*(1-EXP((Tnet-t)/(Tau_j))))*Salcycl</f>
        <v>2.573604594584384E-2</v>
      </c>
      <c r="P303" s="169">
        <f>(INDEX(Models!$BJ303:$BT303,,T303)*(1-R303)+INDEX(Models!$BJ303:$BT303,,T303+1)*R303-ERP_i)*Q303*Ramure*Pc/MaxiM</f>
        <v>1.278218278814308E-3</v>
      </c>
      <c r="Q303" s="305">
        <f t="shared" si="101"/>
        <v>0.7</v>
      </c>
      <c r="R303" s="177">
        <f t="shared" si="102"/>
        <v>0.99761525025034059</v>
      </c>
      <c r="S303" s="921">
        <f t="shared" si="103"/>
        <v>-1</v>
      </c>
      <c r="T303" s="176">
        <f t="shared" si="104"/>
        <v>5</v>
      </c>
      <c r="U303" s="251">
        <f t="shared" si="105"/>
        <v>-2.384749749659465E-3</v>
      </c>
      <c r="V303" s="383">
        <f t="shared" si="106"/>
        <v>39.755476193620105</v>
      </c>
      <c r="W303" s="402"/>
      <c r="X303" s="157">
        <f t="shared" si="107"/>
        <v>44485</v>
      </c>
      <c r="Y303" s="385">
        <f t="shared" si="108"/>
        <v>34.703445289484193</v>
      </c>
      <c r="Z303" s="385">
        <f t="shared" si="109"/>
        <v>35.660450848358657</v>
      </c>
      <c r="AA303" s="386">
        <f t="shared" si="110"/>
        <v>39.313671357629772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9.2924938910904406E-2</v>
      </c>
      <c r="AD303" s="231">
        <f>(INDEX(Models!$BJ303:$BT303,,AH303)*(1-AF303)+INDEX(Models!$BJ303:$BT303,,AH303+1)*AF303-ERP_i)*AE303*Ramure*Pc/MaxiM</f>
        <v>1.278218278814308E-3</v>
      </c>
      <c r="AE303" s="305">
        <f t="shared" si="112"/>
        <v>0.7</v>
      </c>
      <c r="AF303" s="177">
        <f t="shared" si="113"/>
        <v>0.99761525025034059</v>
      </c>
      <c r="AG303" s="921">
        <f t="shared" si="119"/>
        <v>-1</v>
      </c>
      <c r="AH303" s="176">
        <f t="shared" si="114"/>
        <v>5</v>
      </c>
      <c r="AI303" s="225">
        <f t="shared" si="115"/>
        <v>-2.384749749659465E-3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20">
        <v>37.79</v>
      </c>
      <c r="C304" s="390"/>
      <c r="D304" s="393">
        <f t="shared" si="98"/>
        <v>38.832973010251926</v>
      </c>
      <c r="E304" s="385">
        <f t="shared" si="120"/>
        <v>39.861831487663771</v>
      </c>
      <c r="F304" s="385">
        <f t="shared" si="99"/>
        <v>39.909622414686694</v>
      </c>
      <c r="G304" s="110">
        <f t="shared" si="121"/>
        <v>0.9568223858009659</v>
      </c>
      <c r="H304" s="414" t="b">
        <f>Wh_hp&gt;='2020'!Maxi_hp</f>
        <v>1</v>
      </c>
      <c r="I304" s="380">
        <f>IF(H304,Wh_hp,'2020'!Maxi_hp)</f>
        <v>39.909622414686694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2.6857923290513508E-2</v>
      </c>
      <c r="M304" s="959"/>
      <c r="N304" s="959"/>
      <c r="O304" s="48">
        <f>IF(t&lt;Tnet,'2020'!Resal+('2020'!Salim-'2020'!Resal)*(1-EXP(('2020'!Tnet-t)/('2020'!Tau_j))),Resal+(Salim-Resal)*(1-EXP((Tnet-t)/(Tau_j))))*Salcycl</f>
        <v>2.5810617300167205E-2</v>
      </c>
      <c r="P304" s="169">
        <f>(INDEX(Models!$BJ304:$BT304,,T304)*(1-R304)+INDEX(Models!$BJ304:$BT304,,T304+1)*R304-ERP_i)*Q304*Ramure*Pc/MaxiM</f>
        <v>1.2760513750252188E-3</v>
      </c>
      <c r="Q304" s="305">
        <f t="shared" si="101"/>
        <v>0.7</v>
      </c>
      <c r="R304" s="177">
        <f t="shared" si="102"/>
        <v>0.99771893281558532</v>
      </c>
      <c r="S304" s="921">
        <f t="shared" si="103"/>
        <v>-1</v>
      </c>
      <c r="T304" s="176">
        <f t="shared" si="104"/>
        <v>5</v>
      </c>
      <c r="U304" s="251">
        <f t="shared" si="105"/>
        <v>-2.2810671844146202E-3</v>
      </c>
      <c r="V304" s="383">
        <f t="shared" si="106"/>
        <v>39.49220643612292</v>
      </c>
      <c r="W304" s="402"/>
      <c r="X304" s="157">
        <f t="shared" si="107"/>
        <v>44486</v>
      </c>
      <c r="Y304" s="385">
        <f t="shared" si="108"/>
        <v>35.187571828136051</v>
      </c>
      <c r="Z304" s="385">
        <f t="shared" si="109"/>
        <v>36.15871995496979</v>
      </c>
      <c r="AA304" s="386">
        <f t="shared" si="110"/>
        <v>39.861831487663771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9.2898680128132086E-2</v>
      </c>
      <c r="AD304" s="231">
        <f>(INDEX(Models!$BJ304:$BT304,,AH304)*(1-AF304)+INDEX(Models!$BJ304:$BT304,,AH304+1)*AF304-ERP_i)*AE304*Ramure*Pc/MaxiM</f>
        <v>1.2760513750252188E-3</v>
      </c>
      <c r="AE304" s="305">
        <f t="shared" si="112"/>
        <v>0.7</v>
      </c>
      <c r="AF304" s="177">
        <f t="shared" si="113"/>
        <v>0.99771893281558532</v>
      </c>
      <c r="AG304" s="921">
        <f t="shared" si="119"/>
        <v>-1</v>
      </c>
      <c r="AH304" s="176">
        <f t="shared" si="114"/>
        <v>5</v>
      </c>
      <c r="AI304" s="225">
        <f t="shared" si="115"/>
        <v>-2.2810671844146202E-3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20">
        <v>35.502000000000002</v>
      </c>
      <c r="C305" s="390"/>
      <c r="D305" s="393">
        <f t="shared" si="98"/>
        <v>36.482625149650843</v>
      </c>
      <c r="E305" s="385">
        <f t="shared" si="120"/>
        <v>37.452059962625043</v>
      </c>
      <c r="F305" s="385">
        <f t="shared" si="99"/>
        <v>37.493313615026771</v>
      </c>
      <c r="G305" s="110">
        <f t="shared" si="121"/>
        <v>0.90488492305084489</v>
      </c>
      <c r="H305" s="414" t="b">
        <f>Wh_hp&gt;='2020'!Maxi_hp</f>
        <v>0</v>
      </c>
      <c r="I305" s="380">
        <f>IF(H305,Wh_hp,'2020'!Maxi_hp)</f>
        <v>40.636688636439388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2.6879237599496841E-2</v>
      </c>
      <c r="M305" s="959"/>
      <c r="N305" s="959"/>
      <c r="O305" s="48">
        <f>IF(t&lt;Tnet,'2020'!Resal+('2020'!Salim-'2020'!Resal)*(1-EXP(('2020'!Tnet-t)/('2020'!Tau_j))),Resal+(Salim-Resal)*(1-EXP((Tnet-t)/(Tau_j))))*Salcycl</f>
        <v>2.5884686021052958E-2</v>
      </c>
      <c r="P305" s="169">
        <f>(INDEX(Models!$BJ305:$BT305,,T305)*(1-R305)+INDEX(Models!$BJ305:$BT305,,T305+1)*R305-ERP_i)*Q305*Ramure*Pc/MaxiM</f>
        <v>1.2729798814576721E-3</v>
      </c>
      <c r="Q305" s="305">
        <f t="shared" si="101"/>
        <v>0.7</v>
      </c>
      <c r="R305" s="177">
        <f t="shared" si="102"/>
        <v>0.9978184814060258</v>
      </c>
      <c r="S305" s="921">
        <f t="shared" si="103"/>
        <v>-1</v>
      </c>
      <c r="T305" s="176">
        <f t="shared" si="104"/>
        <v>5</v>
      </c>
      <c r="U305" s="251">
        <f t="shared" si="105"/>
        <v>-2.1815185939741411E-3</v>
      </c>
      <c r="V305" s="383">
        <f t="shared" si="106"/>
        <v>39.226935529405438</v>
      </c>
      <c r="W305" s="402"/>
      <c r="X305" s="157">
        <f t="shared" si="107"/>
        <v>44487</v>
      </c>
      <c r="Y305" s="385">
        <f t="shared" si="108"/>
        <v>33.060650095856452</v>
      </c>
      <c r="Z305" s="385">
        <f t="shared" si="109"/>
        <v>33.97384104137511</v>
      </c>
      <c r="AA305" s="386">
        <f t="shared" si="110"/>
        <v>37.452059962625043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9.2871231241245217E-2</v>
      </c>
      <c r="AD305" s="231">
        <f>(INDEX(Models!$BJ305:$BT305,,AH305)*(1-AF305)+INDEX(Models!$BJ305:$BT305,,AH305+1)*AF305-ERP_i)*AE305*Ramure*Pc/MaxiM</f>
        <v>1.2729798814576721E-3</v>
      </c>
      <c r="AE305" s="305">
        <f t="shared" si="112"/>
        <v>0.7</v>
      </c>
      <c r="AF305" s="177">
        <f t="shared" si="113"/>
        <v>0.9978184814060258</v>
      </c>
      <c r="AG305" s="921">
        <f t="shared" si="119"/>
        <v>-1</v>
      </c>
      <c r="AH305" s="176">
        <f t="shared" si="114"/>
        <v>5</v>
      </c>
      <c r="AI305" s="225">
        <f t="shared" si="115"/>
        <v>-2.1815185939741411E-3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20">
        <v>34.551000000000002</v>
      </c>
      <c r="C306" s="390"/>
      <c r="D306" s="393">
        <f t="shared" si="98"/>
        <v>35.506134600309487</v>
      </c>
      <c r="E306" s="385">
        <f t="shared" si="120"/>
        <v>36.452374880371806</v>
      </c>
      <c r="F306" s="385">
        <f t="shared" si="99"/>
        <v>36.491196711411874</v>
      </c>
      <c r="G306" s="110">
        <f t="shared" si="121"/>
        <v>0.88666053377500043</v>
      </c>
      <c r="H306" s="414" t="b">
        <f>Wh_hp&gt;='2020'!Maxi_hp</f>
        <v>0</v>
      </c>
      <c r="I306" s="380">
        <f>IF(H306,Wh_hp,'2020'!Maxi_hp)</f>
        <v>39.555235344496339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2.690055144164194E-2</v>
      </c>
      <c r="M306" s="959"/>
      <c r="N306" s="959"/>
      <c r="O306" s="48">
        <f>IF(t&lt;Tnet,'2020'!Resal+('2020'!Salim-'2020'!Resal)*(1-EXP(('2020'!Tnet-t)/('2020'!Tau_j))),Resal+(Salim-Resal)*(1-EXP((Tnet-t)/(Tau_j))))*Salcycl</f>
        <v>2.5958261517052422E-2</v>
      </c>
      <c r="P306" s="169">
        <f>(INDEX(Models!$BJ306:$BT306,,T306)*(1-R306)+INDEX(Models!$BJ306:$BT306,,T306+1)*R306-ERP_i)*Q306*Ramure*Pc/MaxiM</f>
        <v>1.2690077565620116E-3</v>
      </c>
      <c r="Q306" s="305">
        <f t="shared" si="101"/>
        <v>0.7</v>
      </c>
      <c r="R306" s="177">
        <f t="shared" si="102"/>
        <v>0.99791405928745602</v>
      </c>
      <c r="S306" s="921">
        <f t="shared" si="103"/>
        <v>-1</v>
      </c>
      <c r="T306" s="176">
        <f t="shared" si="104"/>
        <v>5</v>
      </c>
      <c r="U306" s="251">
        <f t="shared" si="105"/>
        <v>-2.0859407125440321E-3</v>
      </c>
      <c r="V306" s="383">
        <f t="shared" si="106"/>
        <v>38.959560469569645</v>
      </c>
      <c r="W306" s="402"/>
      <c r="X306" s="157">
        <f t="shared" si="107"/>
        <v>44488</v>
      </c>
      <c r="Y306" s="385">
        <f t="shared" si="108"/>
        <v>32.178491794236614</v>
      </c>
      <c r="Z306" s="385">
        <f t="shared" si="109"/>
        <v>33.068040313771512</v>
      </c>
      <c r="AA306" s="386">
        <f t="shared" si="110"/>
        <v>36.452374880371806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9.2842635842160987E-2</v>
      </c>
      <c r="AD306" s="231">
        <f>(INDEX(Models!$BJ306:$BT306,,AH306)*(1-AF306)+INDEX(Models!$BJ306:$BT306,,AH306+1)*AF306-ERP_i)*AE306*Ramure*Pc/MaxiM</f>
        <v>1.2690077565620116E-3</v>
      </c>
      <c r="AE306" s="305">
        <f t="shared" si="112"/>
        <v>0.7</v>
      </c>
      <c r="AF306" s="177">
        <f t="shared" si="113"/>
        <v>0.99791405928745602</v>
      </c>
      <c r="AG306" s="921">
        <f t="shared" si="119"/>
        <v>-1</v>
      </c>
      <c r="AH306" s="176">
        <f t="shared" si="114"/>
        <v>5</v>
      </c>
      <c r="AI306" s="225">
        <f t="shared" si="115"/>
        <v>-2.0859407125440321E-3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20">
        <v>28.432000000000002</v>
      </c>
      <c r="C307" s="390"/>
      <c r="D307" s="393">
        <f t="shared" si="98"/>
        <v>29.21861973052329</v>
      </c>
      <c r="E307" s="385">
        <f t="shared" si="120"/>
        <v>29.999548621704076</v>
      </c>
      <c r="F307" s="385">
        <f t="shared" si="99"/>
        <v>30.023126775449192</v>
      </c>
      <c r="G307" s="110">
        <f t="shared" si="121"/>
        <v>0.73451516885967327</v>
      </c>
      <c r="H307" s="414" t="b">
        <f>Wh_hp&gt;='2020'!Maxi_hp</f>
        <v>0</v>
      </c>
      <c r="I307" s="380">
        <f>IF(H307,Wh_hp,'2020'!Maxi_hp)</f>
        <v>32.753589060137877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2.6921864816959351E-2</v>
      </c>
      <c r="M307" s="959"/>
      <c r="N307" s="959"/>
      <c r="O307" s="48">
        <f>IF(t&lt;Tnet,'2020'!Resal+('2020'!Salim-'2020'!Resal)*(1-EXP(('2020'!Tnet-t)/('2020'!Tau_j))),Resal+(Salim-Resal)*(1-EXP((Tnet-t)/(Tau_j))))*Salcycl</f>
        <v>2.6031354705643772E-2</v>
      </c>
      <c r="P307" s="169">
        <f>(INDEX(Models!$BJ307:$BT307,,T307)*(1-R307)+INDEX(Models!$BJ307:$BT307,,T307+1)*R307-ERP_i)*Q307*Ramure*Pc/MaxiM</f>
        <v>1.2641399555927758E-3</v>
      </c>
      <c r="Q307" s="305">
        <f t="shared" si="101"/>
        <v>0.7</v>
      </c>
      <c r="R307" s="177">
        <f t="shared" si="102"/>
        <v>0.99800582340044941</v>
      </c>
      <c r="S307" s="921">
        <f t="shared" si="103"/>
        <v>-1</v>
      </c>
      <c r="T307" s="176">
        <f t="shared" si="104"/>
        <v>5</v>
      </c>
      <c r="U307" s="251">
        <f t="shared" si="105"/>
        <v>-1.9941765995506455E-3</v>
      </c>
      <c r="V307" s="383">
        <f t="shared" si="106"/>
        <v>38.689978188900788</v>
      </c>
      <c r="W307" s="402"/>
      <c r="X307" s="157">
        <f t="shared" si="107"/>
        <v>44489</v>
      </c>
      <c r="Y307" s="385">
        <f t="shared" si="108"/>
        <v>26.482518249822085</v>
      </c>
      <c r="Z307" s="385">
        <f t="shared" si="109"/>
        <v>27.215202245645564</v>
      </c>
      <c r="AA307" s="386">
        <f t="shared" si="110"/>
        <v>29.999548621704076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9.2812942326875369E-2</v>
      </c>
      <c r="AD307" s="231">
        <f>(INDEX(Models!$BJ307:$BT307,,AH307)*(1-AF307)+INDEX(Models!$BJ307:$BT307,,AH307+1)*AF307-ERP_i)*AE307*Ramure*Pc/MaxiM</f>
        <v>1.2641399555927758E-3</v>
      </c>
      <c r="AE307" s="305">
        <f t="shared" si="112"/>
        <v>0.7</v>
      </c>
      <c r="AF307" s="177">
        <f t="shared" si="113"/>
        <v>0.99800582340044941</v>
      </c>
      <c r="AG307" s="921">
        <f t="shared" si="119"/>
        <v>-1</v>
      </c>
      <c r="AH307" s="176">
        <f t="shared" si="114"/>
        <v>5</v>
      </c>
      <c r="AI307" s="225">
        <f t="shared" si="115"/>
        <v>-1.9941765995506455E-3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20">
        <v>13.711</v>
      </c>
      <c r="C308" s="390"/>
      <c r="D308" s="393">
        <f t="shared" si="98"/>
        <v>14.090646801026734</v>
      </c>
      <c r="E308" s="385">
        <f t="shared" si="120"/>
        <v>14.468327709464894</v>
      </c>
      <c r="F308" s="385">
        <f t="shared" si="99"/>
        <v>14.469807523722899</v>
      </c>
      <c r="G308" s="110">
        <f t="shared" si="121"/>
        <v>0.35647655810618095</v>
      </c>
      <c r="H308" s="414" t="b">
        <f>Wh_hp&gt;='2020'!Maxi_hp</f>
        <v>0</v>
      </c>
      <c r="I308" s="380">
        <f>IF(H308,Wh_hp,'2020'!Maxi_hp)</f>
        <v>25.301063614108177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2.6943177725459067E-2</v>
      </c>
      <c r="M308" s="959"/>
      <c r="N308" s="959"/>
      <c r="O308" s="48">
        <f>IF(t&lt;Tnet,'2020'!Resal+('2020'!Salim-'2020'!Resal)*(1-EXP(('2020'!Tnet-t)/('2020'!Tau_j))),Resal+(Salim-Resal)*(1-EXP((Tnet-t)/(Tau_j))))*Salcycl</f>
        <v>2.6103978014756335E-2</v>
      </c>
      <c r="P308" s="169">
        <f>(INDEX(Models!$BJ308:$BT308,,T308)*(1-R308)+INDEX(Models!$BJ308:$BT308,,T308+1)*R308-ERP_i)*Q308*Ramure*Pc/MaxiM</f>
        <v>1.2583823872086991E-3</v>
      </c>
      <c r="Q308" s="305">
        <f t="shared" si="101"/>
        <v>0.7</v>
      </c>
      <c r="R308" s="177">
        <f t="shared" si="102"/>
        <v>0.99809392459573465</v>
      </c>
      <c r="S308" s="921">
        <f t="shared" si="103"/>
        <v>-1</v>
      </c>
      <c r="T308" s="176">
        <f t="shared" si="104"/>
        <v>5</v>
      </c>
      <c r="U308" s="251">
        <f t="shared" si="105"/>
        <v>-1.9060754042653505E-3</v>
      </c>
      <c r="V308" s="383">
        <f t="shared" si="106"/>
        <v>38.41808556011808</v>
      </c>
      <c r="W308" s="402"/>
      <c r="X308" s="157">
        <f t="shared" si="107"/>
        <v>44490</v>
      </c>
      <c r="Y308" s="385">
        <f t="shared" si="108"/>
        <v>12.772270265519964</v>
      </c>
      <c r="Z308" s="385">
        <f t="shared" si="109"/>
        <v>13.125924378870817</v>
      </c>
      <c r="AA308" s="386">
        <f t="shared" si="110"/>
        <v>14.468327709464894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9.2782203828290555E-2</v>
      </c>
      <c r="AD308" s="231">
        <f>(INDEX(Models!$BJ308:$BT308,,AH308)*(1-AF308)+INDEX(Models!$BJ308:$BT308,,AH308+1)*AF308-ERP_i)*AE308*Ramure*Pc/MaxiM</f>
        <v>1.2583823872086991E-3</v>
      </c>
      <c r="AE308" s="305">
        <f t="shared" si="112"/>
        <v>0.7</v>
      </c>
      <c r="AF308" s="177">
        <f t="shared" si="113"/>
        <v>0.99809392459573465</v>
      </c>
      <c r="AG308" s="921">
        <f t="shared" si="119"/>
        <v>-1</v>
      </c>
      <c r="AH308" s="176">
        <f t="shared" si="114"/>
        <v>5</v>
      </c>
      <c r="AI308" s="225">
        <f t="shared" si="115"/>
        <v>-1.9060754042653505E-3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20">
        <v>14.129</v>
      </c>
      <c r="C309" s="390"/>
      <c r="D309" s="393">
        <f t="shared" si="98"/>
        <v>14.520538929177546</v>
      </c>
      <c r="E309" s="385">
        <f t="shared" si="120"/>
        <v>14.910847439416356</v>
      </c>
      <c r="F309" s="385">
        <f t="shared" si="99"/>
        <v>14.912725174836</v>
      </c>
      <c r="G309" s="110">
        <f t="shared" si="121"/>
        <v>0.36999718986441532</v>
      </c>
      <c r="H309" s="414" t="b">
        <f>Wh_hp&gt;='2020'!Maxi_hp</f>
        <v>0</v>
      </c>
      <c r="I309" s="380">
        <f>IF(H309,Wh_hp,'2020'!Maxi_hp)</f>
        <v>27.955272529178899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2.69644901671513E-2</v>
      </c>
      <c r="M309" s="959"/>
      <c r="N309" s="959"/>
      <c r="O309" s="48">
        <f>IF(t&lt;Tnet,'2020'!Resal+('2020'!Salim-'2020'!Resal)*(1-EXP(('2020'!Tnet-t)/('2020'!Tau_j))),Resal+(Salim-Resal)*(1-EXP((Tnet-t)/(Tau_j))))*Salcycl</f>
        <v>2.6176145375013459E-2</v>
      </c>
      <c r="P309" s="169">
        <f>(INDEX(Models!$BJ309:$BT309,,T309)*(1-R309)+INDEX(Models!$BJ309:$BT309,,T309+1)*R309-ERP_i)*Q309*Ramure*Pc/MaxiM</f>
        <v>1.2517418587081838E-3</v>
      </c>
      <c r="Q309" s="305">
        <f t="shared" si="101"/>
        <v>0.7</v>
      </c>
      <c r="R309" s="177">
        <f t="shared" si="102"/>
        <v>0.99817850786158058</v>
      </c>
      <c r="S309" s="921">
        <f t="shared" si="103"/>
        <v>-1</v>
      </c>
      <c r="T309" s="176">
        <f t="shared" si="104"/>
        <v>5</v>
      </c>
      <c r="U309" s="251">
        <f t="shared" si="105"/>
        <v>-1.8214921384194227E-3</v>
      </c>
      <c r="V309" s="383">
        <f t="shared" si="106"/>
        <v>38.143779399990031</v>
      </c>
      <c r="W309" s="402"/>
      <c r="X309" s="157">
        <f t="shared" si="107"/>
        <v>44491</v>
      </c>
      <c r="Y309" s="385">
        <f t="shared" si="108"/>
        <v>13.163087383611936</v>
      </c>
      <c r="Z309" s="385">
        <f t="shared" si="109"/>
        <v>13.527859210269865</v>
      </c>
      <c r="AA309" s="386">
        <f t="shared" si="110"/>
        <v>14.910847439416356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9.2750478117736262E-2</v>
      </c>
      <c r="AD309" s="231">
        <f>(INDEX(Models!$BJ309:$BT309,,AH309)*(1-AF309)+INDEX(Models!$BJ309:$BT309,,AH309+1)*AF309-ERP_i)*AE309*Ramure*Pc/MaxiM</f>
        <v>1.2517418587081838E-3</v>
      </c>
      <c r="AE309" s="305">
        <f t="shared" si="112"/>
        <v>0.7</v>
      </c>
      <c r="AF309" s="177">
        <f t="shared" si="113"/>
        <v>0.99817850786158058</v>
      </c>
      <c r="AG309" s="921">
        <f t="shared" si="119"/>
        <v>-1</v>
      </c>
      <c r="AH309" s="176">
        <f t="shared" si="114"/>
        <v>5</v>
      </c>
      <c r="AI309" s="225">
        <f t="shared" si="115"/>
        <v>-1.8214921384194227E-3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20">
        <v>38.247</v>
      </c>
      <c r="C310" s="390"/>
      <c r="D310" s="393">
        <f t="shared" si="98"/>
        <v>39.30775119643581</v>
      </c>
      <c r="E310" s="385">
        <f t="shared" si="120"/>
        <v>40.367307114742296</v>
      </c>
      <c r="F310" s="385">
        <f t="shared" si="99"/>
        <v>40.417600881584974</v>
      </c>
      <c r="G310" s="110">
        <f t="shared" si="121"/>
        <v>1.0100364123815417</v>
      </c>
      <c r="H310" s="414" t="b">
        <f>Wh_hp&gt;='2020'!Maxi_hp</f>
        <v>1</v>
      </c>
      <c r="I310" s="380">
        <f>IF(H310,Wh_hp,'2020'!Maxi_hp)</f>
        <v>40.417600881584974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2.6985802142046489E-2</v>
      </c>
      <c r="M310" s="959"/>
      <c r="N310" s="959"/>
      <c r="O310" s="48">
        <f>IF(t&lt;Tnet,'2020'!Resal+('2020'!Salim-'2020'!Resal)*(1-EXP(('2020'!Tnet-t)/('2020'!Tau_j))),Resal+(Salim-Resal)*(1-EXP((Tnet-t)/(Tau_j))))*Salcycl</f>
        <v>2.6247872202491623E-2</v>
      </c>
      <c r="P310" s="169">
        <f>(INDEX(Models!$BJ310:$BT310,,T310)*(1-R310)+INDEX(Models!$BJ310:$BT310,,T310+1)*R310-ERP_i)*Q310*Ramure*Pc/MaxiM</f>
        <v>1.2443530973060043E-3</v>
      </c>
      <c r="Q310" s="305">
        <f t="shared" si="101"/>
        <v>0.7</v>
      </c>
      <c r="R310" s="177">
        <f t="shared" si="102"/>
        <v>0.99825971254340229</v>
      </c>
      <c r="S310" s="921">
        <f t="shared" si="103"/>
        <v>-1</v>
      </c>
      <c r="T310" s="176">
        <f t="shared" si="104"/>
        <v>5</v>
      </c>
      <c r="U310" s="251">
        <f t="shared" si="105"/>
        <v>-1.7402874565976556E-3</v>
      </c>
      <c r="V310" s="383">
        <f t="shared" si="106"/>
        <v>37.866951657533093</v>
      </c>
      <c r="W310" s="402"/>
      <c r="X310" s="157">
        <f t="shared" si="107"/>
        <v>44492</v>
      </c>
      <c r="Y310" s="385">
        <f t="shared" si="108"/>
        <v>35.636195559384191</v>
      </c>
      <c r="Z310" s="385">
        <f t="shared" si="109"/>
        <v>36.624538098041789</v>
      </c>
      <c r="AA310" s="386">
        <f t="shared" si="110"/>
        <v>40.367307114742296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9.2717827475136044E-2</v>
      </c>
      <c r="AD310" s="231">
        <f>(INDEX(Models!$BJ310:$BT310,,AH310)*(1-AF310)+INDEX(Models!$BJ310:$BT310,,AH310+1)*AF310-ERP_i)*AE310*Ramure*Pc/MaxiM</f>
        <v>1.2443530973060043E-3</v>
      </c>
      <c r="AE310" s="305">
        <f t="shared" si="112"/>
        <v>0.7</v>
      </c>
      <c r="AF310" s="177">
        <f t="shared" si="113"/>
        <v>0.99825971254340229</v>
      </c>
      <c r="AG310" s="921">
        <f t="shared" si="119"/>
        <v>-1</v>
      </c>
      <c r="AH310" s="176">
        <f t="shared" si="114"/>
        <v>5</v>
      </c>
      <c r="AI310" s="225">
        <f t="shared" si="115"/>
        <v>-1.7402874565976556E-3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20">
        <v>39.352000000000004</v>
      </c>
      <c r="C311" s="390"/>
      <c r="D311" s="393">
        <f t="shared" si="98"/>
        <v>40.444283357124931</v>
      </c>
      <c r="E311" s="385">
        <f t="shared" si="120"/>
        <v>41.537516539438244</v>
      </c>
      <c r="F311" s="385">
        <f t="shared" si="99"/>
        <v>41.588960428568228</v>
      </c>
      <c r="G311" s="110">
        <f t="shared" si="121"/>
        <v>1.0469445923345255</v>
      </c>
      <c r="H311" s="414" t="b">
        <f>Wh_hp&gt;='2020'!Maxi_hp</f>
        <v>1</v>
      </c>
      <c r="I311" s="380">
        <f>IF(H311,Wh_hp,'2020'!Maxi_hp)</f>
        <v>41.588960428568228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2.7007113650154624E-2</v>
      </c>
      <c r="M311" s="959"/>
      <c r="N311" s="959"/>
      <c r="O311" s="48">
        <f>IF(t&lt;Tnet,'2020'!Resal+('2020'!Salim-'2020'!Resal)*(1-EXP(('2020'!Tnet-t)/('2020'!Tau_j))),Resal+(Salim-Resal)*(1-EXP((Tnet-t)/(Tau_j))))*Salcycl</f>
        <v>2.6319175371867395E-2</v>
      </c>
      <c r="P311" s="169">
        <f>(INDEX(Models!$BJ311:$BT311,,T311)*(1-R311)+INDEX(Models!$BJ311:$BT311,,T311+1)*R311-ERP_i)*Q311*Ramure*Pc/MaxiM</f>
        <v>1.2369602077056704E-3</v>
      </c>
      <c r="Q311" s="305">
        <f t="shared" si="101"/>
        <v>0.7</v>
      </c>
      <c r="R311" s="177">
        <f t="shared" si="102"/>
        <v>0.99833767255579509</v>
      </c>
      <c r="S311" s="921">
        <f t="shared" si="103"/>
        <v>-1</v>
      </c>
      <c r="T311" s="176">
        <f t="shared" si="104"/>
        <v>5</v>
      </c>
      <c r="U311" s="251">
        <f t="shared" si="105"/>
        <v>-1.6623274442049696E-3</v>
      </c>
      <c r="V311" s="383">
        <f t="shared" si="106"/>
        <v>37.58747147473305</v>
      </c>
      <c r="W311" s="402"/>
      <c r="X311" s="157">
        <f t="shared" si="107"/>
        <v>44493</v>
      </c>
      <c r="Y311" s="385">
        <f t="shared" si="108"/>
        <v>36.66980574555452</v>
      </c>
      <c r="Z311" s="385">
        <f t="shared" si="109"/>
        <v>37.687640125633635</v>
      </c>
      <c r="AA311" s="386">
        <f t="shared" si="110"/>
        <v>41.537516539438244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9.2684318528029969E-2</v>
      </c>
      <c r="AD311" s="231">
        <f>(INDEX(Models!$BJ311:$BT311,,AH311)*(1-AF311)+INDEX(Models!$BJ311:$BT311,,AH311+1)*AF311-ERP_i)*AE311*Ramure*Pc/MaxiM</f>
        <v>1.2369602077056704E-3</v>
      </c>
      <c r="AE311" s="305">
        <f t="shared" si="112"/>
        <v>0.7</v>
      </c>
      <c r="AF311" s="177">
        <f t="shared" si="113"/>
        <v>0.99833767255579509</v>
      </c>
      <c r="AG311" s="921">
        <f t="shared" si="119"/>
        <v>-1</v>
      </c>
      <c r="AH311" s="176">
        <f t="shared" si="114"/>
        <v>5</v>
      </c>
      <c r="AI311" s="225">
        <f t="shared" si="115"/>
        <v>-1.6623274442049696E-3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20">
        <v>34.616</v>
      </c>
      <c r="C312" s="390"/>
      <c r="D312" s="393">
        <f t="shared" si="98"/>
        <v>35.577606662377384</v>
      </c>
      <c r="E312" s="385">
        <f t="shared" si="120"/>
        <v>36.541951434880268</v>
      </c>
      <c r="F312" s="385">
        <f t="shared" si="99"/>
        <v>36.582300259815973</v>
      </c>
      <c r="G312" s="110">
        <f t="shared" si="121"/>
        <v>0.92779501802744635</v>
      </c>
      <c r="H312" s="414" t="b">
        <f>Wh_hp&gt;='2020'!Maxi_hp</f>
        <v>0</v>
      </c>
      <c r="I312" s="380">
        <f>IF(H312,Wh_hp,'2020'!Maxi_hp)</f>
        <v>39.380465592356508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2.7028424691486141E-2</v>
      </c>
      <c r="M312" s="959"/>
      <c r="N312" s="959"/>
      <c r="O312" s="48">
        <f>IF(t&lt;Tnet,'2020'!Resal+('2020'!Salim-'2020'!Resal)*(1-EXP(('2020'!Tnet-t)/('2020'!Tau_j))),Resal+(Salim-Resal)*(1-EXP((Tnet-t)/(Tau_j))))*Salcycl</f>
        <v>2.6390073179901049E-2</v>
      </c>
      <c r="P312" s="169">
        <f>(INDEX(Models!$BJ312:$BT312,,T312)*(1-R312)+INDEX(Models!$BJ312:$BT312,,T312+1)*R312-ERP_i)*Q312*Ramure*Pc/MaxiM</f>
        <v>1.2295853853054857E-3</v>
      </c>
      <c r="Q312" s="305">
        <f t="shared" si="101"/>
        <v>0.7</v>
      </c>
      <c r="R312" s="177">
        <f t="shared" si="102"/>
        <v>0.99841251658720331</v>
      </c>
      <c r="S312" s="921">
        <f t="shared" si="103"/>
        <v>-1</v>
      </c>
      <c r="T312" s="176">
        <f t="shared" si="104"/>
        <v>5</v>
      </c>
      <c r="U312" s="251">
        <f t="shared" si="105"/>
        <v>-1.5874834127967419E-3</v>
      </c>
      <c r="V312" s="383">
        <f t="shared" si="106"/>
        <v>37.305235783442001</v>
      </c>
      <c r="W312" s="402"/>
      <c r="X312" s="157">
        <f t="shared" si="107"/>
        <v>44494</v>
      </c>
      <c r="Y312" s="385">
        <f t="shared" si="108"/>
        <v>32.260175221259061</v>
      </c>
      <c r="Z312" s="385">
        <f t="shared" si="109"/>
        <v>33.156338828325865</v>
      </c>
      <c r="AA312" s="386">
        <f t="shared" si="110"/>
        <v>36.541951434880268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9.2650022059925952E-2</v>
      </c>
      <c r="AD312" s="231">
        <f>(INDEX(Models!$BJ312:$BT312,,AH312)*(1-AF312)+INDEX(Models!$BJ312:$BT312,,AH312+1)*AF312-ERP_i)*AE312*Ramure*Pc/MaxiM</f>
        <v>1.2295853853054857E-3</v>
      </c>
      <c r="AE312" s="305">
        <f t="shared" si="112"/>
        <v>0.7</v>
      </c>
      <c r="AF312" s="177">
        <f t="shared" si="113"/>
        <v>0.99841251658720331</v>
      </c>
      <c r="AG312" s="921">
        <f t="shared" si="119"/>
        <v>-1</v>
      </c>
      <c r="AH312" s="176">
        <f t="shared" si="114"/>
        <v>5</v>
      </c>
      <c r="AI312" s="225">
        <f t="shared" si="115"/>
        <v>-1.5874834127967419E-3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20">
        <v>29.347000000000001</v>
      </c>
      <c r="C313" s="390"/>
      <c r="D313" s="393">
        <f t="shared" si="98"/>
        <v>30.162898417037663</v>
      </c>
      <c r="E313" s="385">
        <f t="shared" si="120"/>
        <v>30.982719303984545</v>
      </c>
      <c r="F313" s="385">
        <f t="shared" si="99"/>
        <v>31.009397822625154</v>
      </c>
      <c r="G313" s="110">
        <f t="shared" si="121"/>
        <v>0.79244347915437086</v>
      </c>
      <c r="H313" s="414" t="b">
        <f>Wh_hp&gt;='2020'!Maxi_hp</f>
        <v>0</v>
      </c>
      <c r="I313" s="380">
        <f>IF(H313,Wh_hp,'2020'!Maxi_hp)</f>
        <v>38.95254653773808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2.7049735266051145E-2</v>
      </c>
      <c r="M313" s="959"/>
      <c r="N313" s="959"/>
      <c r="O313" s="48">
        <f>IF(t&lt;Tnet,'2020'!Resal+('2020'!Salim-'2020'!Resal)*(1-EXP(('2020'!Tnet-t)/('2020'!Tau_j))),Resal+(Salim-Resal)*(1-EXP((Tnet-t)/(Tau_j))))*Salcycl</f>
        <v>2.6460585299284814E-2</v>
      </c>
      <c r="P313" s="169">
        <f>(INDEX(Models!$BJ313:$BT313,,T313)*(1-R313)+INDEX(Models!$BJ313:$BT313,,T313+1)*R313-ERP_i)*Q313*Ramure*Pc/MaxiM</f>
        <v>1.222241055453056E-3</v>
      </c>
      <c r="Q313" s="305">
        <f t="shared" si="101"/>
        <v>0.7</v>
      </c>
      <c r="R313" s="177">
        <f t="shared" si="102"/>
        <v>0.9984843682974327</v>
      </c>
      <c r="S313" s="921">
        <f t="shared" si="103"/>
        <v>-1</v>
      </c>
      <c r="T313" s="176">
        <f t="shared" si="104"/>
        <v>5</v>
      </c>
      <c r="U313" s="251">
        <f t="shared" si="105"/>
        <v>-1.5156317025672439E-3</v>
      </c>
      <c r="V313" s="383">
        <f t="shared" si="106"/>
        <v>37.020141896716368</v>
      </c>
      <c r="W313" s="402"/>
      <c r="X313" s="157">
        <f t="shared" si="107"/>
        <v>44495</v>
      </c>
      <c r="Y313" s="385">
        <f t="shared" si="108"/>
        <v>27.352798271527526</v>
      </c>
      <c r="Z313" s="385">
        <f t="shared" si="109"/>
        <v>28.11325435941691</v>
      </c>
      <c r="AA313" s="386">
        <f t="shared" si="110"/>
        <v>30.982719303984545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9.261501278871305E-2</v>
      </c>
      <c r="AD313" s="231">
        <f>(INDEX(Models!$BJ313:$BT313,,AH313)*(1-AF313)+INDEX(Models!$BJ313:$BT313,,AH313+1)*AF313-ERP_i)*AE313*Ramure*Pc/MaxiM</f>
        <v>1.222241055453056E-3</v>
      </c>
      <c r="AE313" s="305">
        <f t="shared" si="112"/>
        <v>0.7</v>
      </c>
      <c r="AF313" s="177">
        <f t="shared" si="113"/>
        <v>0.9984843682974327</v>
      </c>
      <c r="AG313" s="921">
        <f t="shared" si="119"/>
        <v>-1</v>
      </c>
      <c r="AH313" s="176">
        <f t="shared" si="114"/>
        <v>5</v>
      </c>
      <c r="AI313" s="225">
        <f t="shared" si="115"/>
        <v>-1.5156317025672439E-3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20">
        <v>31.406000000000002</v>
      </c>
      <c r="C314" s="390"/>
      <c r="D314" s="393">
        <f t="shared" si="98"/>
        <v>32.279849264089528</v>
      </c>
      <c r="E314" s="385">
        <f t="shared" si="120"/>
        <v>33.159597687538621</v>
      </c>
      <c r="F314" s="385">
        <f t="shared" si="99"/>
        <v>33.191570367929572</v>
      </c>
      <c r="G314" s="110">
        <f t="shared" si="121"/>
        <v>0.85478640352178248</v>
      </c>
      <c r="H314" s="414" t="b">
        <f>Wh_hp&gt;='2020'!Maxi_hp</f>
        <v>1</v>
      </c>
      <c r="I314" s="380">
        <f>IF(H314,Wh_hp,'2020'!Maxi_hp)</f>
        <v>33.191570367929572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2.7071045373859848E-2</v>
      </c>
      <c r="M314" s="959"/>
      <c r="N314" s="959"/>
      <c r="O314" s="48">
        <f>IF(t&lt;Tnet,'2020'!Resal+('2020'!Salim-'2020'!Resal)*(1-EXP(('2020'!Tnet-t)/('2020'!Tau_j))),Resal+(Salim-Resal)*(1-EXP((Tnet-t)/(Tau_j))))*Salcycl</f>
        <v>2.6530732722963687E-2</v>
      </c>
      <c r="P314" s="169">
        <f>(INDEX(Models!$BJ314:$BT314,,T314)*(1-R314)+INDEX(Models!$BJ314:$BT314,,T314+1)*R314-ERP_i)*Q314*Ramure*Pc/MaxiM</f>
        <v>1.2149402143298267E-3</v>
      </c>
      <c r="Q314" s="305">
        <f t="shared" si="101"/>
        <v>0.7</v>
      </c>
      <c r="R314" s="177">
        <f t="shared" si="102"/>
        <v>0.99855334650821004</v>
      </c>
      <c r="S314" s="921">
        <f t="shared" si="103"/>
        <v>-1</v>
      </c>
      <c r="T314" s="176">
        <f t="shared" si="104"/>
        <v>5</v>
      </c>
      <c r="U314" s="251">
        <f t="shared" si="105"/>
        <v>-1.4466534917899621E-3</v>
      </c>
      <c r="V314" s="383">
        <f t="shared" si="106"/>
        <v>36.732087125797982</v>
      </c>
      <c r="W314" s="402"/>
      <c r="X314" s="157">
        <f t="shared" si="107"/>
        <v>44496</v>
      </c>
      <c r="Y314" s="385">
        <f t="shared" si="108"/>
        <v>29.275143336834883</v>
      </c>
      <c r="Z314" s="385">
        <f t="shared" si="109"/>
        <v>30.089703053481653</v>
      </c>
      <c r="AA314" s="386">
        <f t="shared" si="110"/>
        <v>33.159597687538621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9.2579369116128699E-2</v>
      </c>
      <c r="AD314" s="231">
        <f>(INDEX(Models!$BJ314:$BT314,,AH314)*(1-AF314)+INDEX(Models!$BJ314:$BT314,,AH314+1)*AF314-ERP_i)*AE314*Ramure*Pc/MaxiM</f>
        <v>1.2149402143298267E-3</v>
      </c>
      <c r="AE314" s="305">
        <f t="shared" si="112"/>
        <v>0.7</v>
      </c>
      <c r="AF314" s="177">
        <f t="shared" si="113"/>
        <v>0.99855334650821004</v>
      </c>
      <c r="AG314" s="921">
        <f t="shared" si="119"/>
        <v>-1</v>
      </c>
      <c r="AH314" s="176">
        <f t="shared" si="114"/>
        <v>5</v>
      </c>
      <c r="AI314" s="225">
        <f t="shared" si="115"/>
        <v>-1.4466534917899621E-3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20">
        <v>36.337000000000003</v>
      </c>
      <c r="C315" s="390"/>
      <c r="D315" s="393">
        <f t="shared" si="98"/>
        <v>37.348868813295574</v>
      </c>
      <c r="E315" s="385">
        <f t="shared" si="120"/>
        <v>38.369518640386154</v>
      </c>
      <c r="F315" s="385">
        <f t="shared" si="99"/>
        <v>38.41572407667438</v>
      </c>
      <c r="G315" s="110">
        <f t="shared" si="121"/>
        <v>0.99714201174397965</v>
      </c>
      <c r="H315" s="414" t="b">
        <f>Wh_hp&gt;='2020'!Maxi_hp</f>
        <v>1</v>
      </c>
      <c r="I315" s="380">
        <f>IF(H315,Wh_hp,'2020'!Maxi_hp)</f>
        <v>38.41572407667438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2.7092355014922465E-2</v>
      </c>
      <c r="M315" s="959"/>
      <c r="N315" s="959"/>
      <c r="O315" s="48">
        <f>IF(t&lt;Tnet,'2020'!Resal+('2020'!Salim-'2020'!Resal)*(1-EXP(('2020'!Tnet-t)/('2020'!Tau_j))),Resal+(Salim-Resal)*(1-EXP((Tnet-t)/(Tau_j))))*Salcycl</f>
        <v>2.660053769911741E-2</v>
      </c>
      <c r="P315" s="169">
        <f>(INDEX(Models!$BJ315:$BT315,,T315)*(1-R315)+INDEX(Models!$BJ315:$BT315,,T315+1)*R315-ERP_i)*Q315*Ramure*Pc/MaxiM</f>
        <v>1.2076964099294271E-3</v>
      </c>
      <c r="Q315" s="305">
        <f t="shared" si="101"/>
        <v>0.7</v>
      </c>
      <c r="R315" s="177">
        <f t="shared" si="102"/>
        <v>0.99861956538699215</v>
      </c>
      <c r="S315" s="921">
        <f t="shared" si="103"/>
        <v>-1</v>
      </c>
      <c r="T315" s="176">
        <f t="shared" si="104"/>
        <v>5</v>
      </c>
      <c r="U315" s="251">
        <f t="shared" si="105"/>
        <v>-1.3804346130078526E-3</v>
      </c>
      <c r="V315" s="383">
        <f t="shared" si="106"/>
        <v>36.440968781875291</v>
      </c>
      <c r="W315" s="402"/>
      <c r="X315" s="157">
        <f t="shared" si="107"/>
        <v>44497</v>
      </c>
      <c r="Y315" s="385">
        <f t="shared" si="108"/>
        <v>33.875361560426214</v>
      </c>
      <c r="Z315" s="385">
        <f t="shared" si="109"/>
        <v>34.818681644695879</v>
      </c>
      <c r="AA315" s="386">
        <f t="shared" si="110"/>
        <v>38.369518640386154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9.2543172849523722E-2</v>
      </c>
      <c r="AD315" s="231">
        <f>(INDEX(Models!$BJ315:$BT315,,AH315)*(1-AF315)+INDEX(Models!$BJ315:$BT315,,AH315+1)*AF315-ERP_i)*AE315*Ramure*Pc/MaxiM</f>
        <v>1.2076964099294271E-3</v>
      </c>
      <c r="AE315" s="305">
        <f t="shared" si="112"/>
        <v>0.7</v>
      </c>
      <c r="AF315" s="177">
        <f t="shared" si="113"/>
        <v>0.99861956538699215</v>
      </c>
      <c r="AG315" s="921">
        <f t="shared" si="119"/>
        <v>-1</v>
      </c>
      <c r="AH315" s="176">
        <f t="shared" si="114"/>
        <v>5</v>
      </c>
      <c r="AI315" s="225">
        <f t="shared" si="115"/>
        <v>-1.3804346130078526E-3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20">
        <v>17.423000000000002</v>
      </c>
      <c r="C316" s="390"/>
      <c r="D316" s="393">
        <f t="shared" si="98"/>
        <v>17.9085668681744</v>
      </c>
      <c r="E316" s="385">
        <f t="shared" si="120"/>
        <v>18.399275994213063</v>
      </c>
      <c r="F316" s="385">
        <f t="shared" si="99"/>
        <v>18.405021127395965</v>
      </c>
      <c r="G316" s="110">
        <f t="shared" si="121"/>
        <v>0.48157991333791733</v>
      </c>
      <c r="H316" s="414" t="b">
        <f>Wh_hp&gt;='2020'!Maxi_hp</f>
        <v>0</v>
      </c>
      <c r="I316" s="380">
        <f>IF(H316,Wh_hp,'2020'!Maxi_hp)</f>
        <v>30.720187323726929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2.711366418924932E-2</v>
      </c>
      <c r="M316" s="959"/>
      <c r="N316" s="959"/>
      <c r="O316" s="48">
        <f>IF(t&lt;Tnet,'2020'!Resal+('2020'!Salim-'2020'!Resal)*(1-EXP(('2020'!Tnet-t)/('2020'!Tau_j))),Resal+(Salim-Resal)*(1-EXP((Tnet-t)/(Tau_j))))*Salcycl</f>
        <v>2.6670023657072255E-2</v>
      </c>
      <c r="P316" s="169">
        <f>(INDEX(Models!$BJ316:$BT316,,T316)*(1-R316)+INDEX(Models!$BJ316:$BT316,,T316+1)*R316-ERP_i)*Q316*Ramure*Pc/MaxiM</f>
        <v>1.2005237213817243E-3</v>
      </c>
      <c r="Q316" s="305">
        <f t="shared" si="101"/>
        <v>0.7</v>
      </c>
      <c r="R316" s="177">
        <f t="shared" si="102"/>
        <v>0.99868313462422831</v>
      </c>
      <c r="S316" s="921">
        <f t="shared" si="103"/>
        <v>-1</v>
      </c>
      <c r="T316" s="176">
        <f t="shared" si="104"/>
        <v>5</v>
      </c>
      <c r="U316" s="251">
        <f t="shared" si="105"/>
        <v>-1.3168653757716919E-3</v>
      </c>
      <c r="V316" s="383">
        <f t="shared" si="106"/>
        <v>36.146684184795951</v>
      </c>
      <c r="W316" s="402"/>
      <c r="X316" s="157">
        <f t="shared" si="107"/>
        <v>44498</v>
      </c>
      <c r="Y316" s="385">
        <f t="shared" si="108"/>
        <v>16.24450030285481</v>
      </c>
      <c r="Z316" s="385">
        <f t="shared" si="109"/>
        <v>16.697223205748415</v>
      </c>
      <c r="AA316" s="386">
        <f t="shared" si="110"/>
        <v>18.399275994213063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9.2506508897414144E-2</v>
      </c>
      <c r="AD316" s="231">
        <f>(INDEX(Models!$BJ316:$BT316,,AH316)*(1-AF316)+INDEX(Models!$BJ316:$BT316,,AH316+1)*AF316-ERP_i)*AE316*Ramure*Pc/MaxiM</f>
        <v>1.2005237213817243E-3</v>
      </c>
      <c r="AE316" s="305">
        <f t="shared" si="112"/>
        <v>0.7</v>
      </c>
      <c r="AF316" s="177">
        <f t="shared" si="113"/>
        <v>0.99868313462422831</v>
      </c>
      <c r="AG316" s="921">
        <f t="shared" si="119"/>
        <v>-1</v>
      </c>
      <c r="AH316" s="176">
        <f t="shared" si="114"/>
        <v>5</v>
      </c>
      <c r="AI316" s="225">
        <f t="shared" si="115"/>
        <v>-1.3168653757716919E-3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20">
        <v>11.609</v>
      </c>
      <c r="C317" s="390"/>
      <c r="D317" s="393">
        <f t="shared" si="98"/>
        <v>11.932796098722479</v>
      </c>
      <c r="E317" s="385">
        <f t="shared" si="120"/>
        <v>12.260635879055599</v>
      </c>
      <c r="F317" s="385">
        <f t="shared" si="99"/>
        <v>12.261134585784506</v>
      </c>
      <c r="G317" s="110">
        <f t="shared" si="121"/>
        <v>0.32348159565757972</v>
      </c>
      <c r="H317" s="414" t="b">
        <f>Wh_hp&gt;='2020'!Maxi_hp</f>
        <v>0</v>
      </c>
      <c r="I317" s="380">
        <f>IF(H317,Wh_hp,'2020'!Maxi_hp)</f>
        <v>35.207799824990232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2.7134972896850518E-2</v>
      </c>
      <c r="M317" s="959"/>
      <c r="N317" s="959"/>
      <c r="O317" s="48">
        <f>IF(t&lt;Tnet,'2020'!Resal+('2020'!Salim-'2020'!Resal)*(1-EXP(('2020'!Tnet-t)/('2020'!Tau_j))),Resal+(Salim-Resal)*(1-EXP((Tnet-t)/(Tau_j))))*Salcycl</f>
        <v>2.6739215124490952E-2</v>
      </c>
      <c r="P317" s="169">
        <f>(INDEX(Models!$BJ317:$BT317,,T317)*(1-R317)+INDEX(Models!$BJ317:$BT317,,T317+1)*R317-ERP_i)*Q317*Ramure*Pc/MaxiM</f>
        <v>1.193531112171211E-3</v>
      </c>
      <c r="Q317" s="305">
        <f t="shared" si="101"/>
        <v>0.7</v>
      </c>
      <c r="R317" s="177">
        <f t="shared" si="102"/>
        <v>0.99874415960427099</v>
      </c>
      <c r="S317" s="921">
        <f t="shared" si="103"/>
        <v>-1</v>
      </c>
      <c r="T317" s="176">
        <f t="shared" si="104"/>
        <v>5</v>
      </c>
      <c r="U317" s="251">
        <f t="shared" si="105"/>
        <v>-1.2558403957290132E-3</v>
      </c>
      <c r="V317" s="383">
        <f t="shared" si="106"/>
        <v>35.846292619259067</v>
      </c>
      <c r="W317" s="402"/>
      <c r="X317" s="157">
        <f t="shared" si="107"/>
        <v>44499</v>
      </c>
      <c r="Y317" s="385">
        <f t="shared" si="108"/>
        <v>10.824973270502046</v>
      </c>
      <c r="Z317" s="385">
        <f t="shared" si="109"/>
        <v>11.126901439488494</v>
      </c>
      <c r="AA317" s="386">
        <f t="shared" si="110"/>
        <v>12.260635879055599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9.2469464940543797E-2</v>
      </c>
      <c r="AD317" s="231">
        <f>(INDEX(Models!$BJ317:$BT317,,AH317)*(1-AF317)+INDEX(Models!$BJ317:$BT317,,AH317+1)*AF317-ERP_i)*AE317*Ramure*Pc/MaxiM</f>
        <v>1.193531112171211E-3</v>
      </c>
      <c r="AE317" s="305">
        <f t="shared" si="112"/>
        <v>0.7</v>
      </c>
      <c r="AF317" s="177">
        <f t="shared" si="113"/>
        <v>0.99874415960427099</v>
      </c>
      <c r="AG317" s="921">
        <f t="shared" si="119"/>
        <v>-1</v>
      </c>
      <c r="AH317" s="176">
        <f t="shared" si="114"/>
        <v>5</v>
      </c>
      <c r="AI317" s="225">
        <f t="shared" si="115"/>
        <v>-1.2558403957290132E-3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20">
        <v>20.519000000000002</v>
      </c>
      <c r="C318" s="390"/>
      <c r="D318" s="393">
        <f t="shared" si="98"/>
        <v>21.091774148469479</v>
      </c>
      <c r="E318" s="385">
        <f t="shared" si="120"/>
        <v>21.672781045703339</v>
      </c>
      <c r="F318" s="385">
        <f t="shared" si="99"/>
        <v>21.682981269884813</v>
      </c>
      <c r="G318" s="110">
        <f t="shared" si="121"/>
        <v>0.57697018923820753</v>
      </c>
      <c r="H318" s="414" t="b">
        <f>Wh_hp&gt;='2020'!Maxi_hp</f>
        <v>0</v>
      </c>
      <c r="I318" s="380">
        <f>IF(H318,Wh_hp,'2020'!Maxi_hp)</f>
        <v>35.869115091380415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2.7156281137736382E-2</v>
      </c>
      <c r="M318" s="959"/>
      <c r="N318" s="959"/>
      <c r="O318" s="48">
        <f>IF(t&lt;Tnet,'2020'!Resal+('2020'!Salim-'2020'!Resal)*(1-EXP(('2020'!Tnet-t)/('2020'!Tau_j))),Resal+(Salim-Resal)*(1-EXP((Tnet-t)/(Tau_j))))*Salcycl</f>
        <v>2.6808137636265487E-2</v>
      </c>
      <c r="P318" s="169">
        <f>(INDEX(Models!$BJ318:$BT318,,T318)*(1-R318)+INDEX(Models!$BJ318:$BT318,,T318+1)*R318-ERP_i)*Q318*Ramure*Pc/MaxiM</f>
        <v>1.1871539013381042E-3</v>
      </c>
      <c r="Q318" s="305">
        <f t="shared" si="101"/>
        <v>0.7</v>
      </c>
      <c r="R318" s="177">
        <f t="shared" si="102"/>
        <v>0.99880274157013194</v>
      </c>
      <c r="S318" s="921">
        <f t="shared" si="103"/>
        <v>-1</v>
      </c>
      <c r="T318" s="176">
        <f t="shared" si="104"/>
        <v>5</v>
      </c>
      <c r="U318" s="251">
        <f t="shared" si="105"/>
        <v>-1.1972584298681199E-3</v>
      </c>
      <c r="V318" s="383">
        <f t="shared" si="106"/>
        <v>35.53786124107674</v>
      </c>
      <c r="W318" s="402"/>
      <c r="X318" s="157">
        <f t="shared" si="107"/>
        <v>44500</v>
      </c>
      <c r="Y318" s="385">
        <f t="shared" si="108"/>
        <v>19.135368700196754</v>
      </c>
      <c r="Z318" s="385">
        <f t="shared" si="109"/>
        <v>19.669519707209993</v>
      </c>
      <c r="AA318" s="386">
        <f t="shared" si="110"/>
        <v>21.672781045703339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9.2432131080403879E-2</v>
      </c>
      <c r="AD318" s="231">
        <f>(INDEX(Models!$BJ318:$BT318,,AH318)*(1-AF318)+INDEX(Models!$BJ318:$BT318,,AH318+1)*AF318-ERP_i)*AE318*Ramure*Pc/MaxiM</f>
        <v>1.1871539013381042E-3</v>
      </c>
      <c r="AE318" s="305">
        <f t="shared" si="112"/>
        <v>0.7</v>
      </c>
      <c r="AF318" s="177">
        <f t="shared" si="113"/>
        <v>0.99880274157013194</v>
      </c>
      <c r="AG318" s="921">
        <f t="shared" si="119"/>
        <v>-1</v>
      </c>
      <c r="AH318" s="176">
        <f t="shared" si="114"/>
        <v>5</v>
      </c>
      <c r="AI318" s="225">
        <f t="shared" si="115"/>
        <v>-1.1972584298681199E-3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20">
        <v>16.317</v>
      </c>
      <c r="C319" s="390"/>
      <c r="D319" s="393">
        <f t="shared" si="98"/>
        <v>16.772845499878805</v>
      </c>
      <c r="E319" s="385">
        <f t="shared" si="120"/>
        <v>17.236096933921566</v>
      </c>
      <c r="F319" s="385">
        <f t="shared" si="99"/>
        <v>17.240847411829012</v>
      </c>
      <c r="G319" s="110">
        <f t="shared" si="121"/>
        <v>0.46283109730060523</v>
      </c>
      <c r="H319" s="414" t="b">
        <f>Wh_hp&gt;='2020'!Maxi_hp</f>
        <v>0</v>
      </c>
      <c r="I319" s="380">
        <f>IF(H319,Wh_hp,'2020'!Maxi_hp)</f>
        <v>32.156200585342432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2.7177588911917017E-2</v>
      </c>
      <c r="M319" s="959"/>
      <c r="N319" s="959"/>
      <c r="O319" s="48">
        <f>IF(t&lt;Tnet,'2020'!Resal+('2020'!Salim-'2020'!Resal)*(1-EXP(('2020'!Tnet-t)/('2020'!Tau_j))),Resal+(Salim-Resal)*(1-EXP((Tnet-t)/(Tau_j))))*Salcycl</f>
        <v>2.6876817635613153E-2</v>
      </c>
      <c r="P319" s="169">
        <f>(INDEX(Models!$BJ319:$BT319,,T319)*(1-R319)+INDEX(Models!$BJ319:$BT319,,T319+1)*R319-ERP_i)*Q319*Ramure*Pc/MaxiM</f>
        <v>1.1814658919170244E-3</v>
      </c>
      <c r="Q319" s="305">
        <f t="shared" si="101"/>
        <v>0.7</v>
      </c>
      <c r="R319" s="177">
        <f t="shared" si="102"/>
        <v>0.99885897778227362</v>
      </c>
      <c r="S319" s="921">
        <f t="shared" si="103"/>
        <v>-1</v>
      </c>
      <c r="T319" s="176">
        <f t="shared" si="104"/>
        <v>5</v>
      </c>
      <c r="U319" s="251">
        <f t="shared" si="105"/>
        <v>-1.1410222177264395E-3</v>
      </c>
      <c r="V319" s="383">
        <f t="shared" si="106"/>
        <v>35.222814470532789</v>
      </c>
      <c r="W319" s="402"/>
      <c r="X319" s="157">
        <f t="shared" si="107"/>
        <v>44501</v>
      </c>
      <c r="Y319" s="385">
        <f t="shared" si="108"/>
        <v>15.218420020072697</v>
      </c>
      <c r="Z319" s="385">
        <f t="shared" si="109"/>
        <v>15.64357466133124</v>
      </c>
      <c r="AA319" s="386">
        <f t="shared" si="110"/>
        <v>17.236096933921566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9.2394599467362962E-2</v>
      </c>
      <c r="AD319" s="231">
        <f>(INDEX(Models!$BJ319:$BT319,,AH319)*(1-AF319)+INDEX(Models!$BJ319:$BT319,,AH319+1)*AF319-ERP_i)*AE319*Ramure*Pc/MaxiM</f>
        <v>1.1814658919170244E-3</v>
      </c>
      <c r="AE319" s="305">
        <f t="shared" si="112"/>
        <v>0.7</v>
      </c>
      <c r="AF319" s="177">
        <f t="shared" si="113"/>
        <v>0.99885897778227362</v>
      </c>
      <c r="AG319" s="921">
        <f t="shared" si="119"/>
        <v>-1</v>
      </c>
      <c r="AH319" s="176">
        <f t="shared" si="114"/>
        <v>5</v>
      </c>
      <c r="AI319" s="225">
        <f t="shared" si="115"/>
        <v>-1.1410222177264395E-3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20">
        <v>28.801000000000002</v>
      </c>
      <c r="C320" s="390"/>
      <c r="D320" s="393">
        <f t="shared" si="98"/>
        <v>29.606257525891639</v>
      </c>
      <c r="E320" s="385">
        <f t="shared" si="120"/>
        <v>30.426097309243843</v>
      </c>
      <c r="F320" s="385">
        <f t="shared" si="99"/>
        <v>30.452976140898151</v>
      </c>
      <c r="G320" s="110">
        <f t="shared" si="121"/>
        <v>0.82493989616071706</v>
      </c>
      <c r="H320" s="414" t="b">
        <f>Wh_hp&gt;='2020'!Maxi_hp</f>
        <v>0</v>
      </c>
      <c r="I320" s="380">
        <f>IF(H320,Wh_hp,'2020'!Maxi_hp)</f>
        <v>31.314634502139715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2.7198896219402746E-2</v>
      </c>
      <c r="M320" s="959"/>
      <c r="N320" s="959"/>
      <c r="O320" s="48">
        <f>IF(t&lt;Tnet,'2020'!Resal+('2020'!Salim-'2020'!Resal)*(1-EXP(('2020'!Tnet-t)/('2020'!Tau_j))),Resal+(Salim-Resal)*(1-EXP((Tnet-t)/(Tau_j))))*Salcycl</f>
        <v>2.694528236794692E-2</v>
      </c>
      <c r="P320" s="169">
        <f>(INDEX(Models!$BJ320:$BT320,,T320)*(1-R320)+INDEX(Models!$BJ320:$BT320,,T320+1)*R320-ERP_i)*Q320*Ramure*Pc/MaxiM</f>
        <v>1.176436246367334E-3</v>
      </c>
      <c r="Q320" s="305">
        <f t="shared" si="101"/>
        <v>0.7</v>
      </c>
      <c r="R320" s="177">
        <f t="shared" si="102"/>
        <v>0.99891296167162769</v>
      </c>
      <c r="S320" s="921">
        <f t="shared" si="103"/>
        <v>-1</v>
      </c>
      <c r="T320" s="176">
        <f t="shared" si="104"/>
        <v>5</v>
      </c>
      <c r="U320" s="251">
        <f t="shared" si="105"/>
        <v>-1.087038328372314E-3</v>
      </c>
      <c r="V320" s="383">
        <f t="shared" si="106"/>
        <v>34.902580005854581</v>
      </c>
      <c r="W320" s="402"/>
      <c r="X320" s="157">
        <f t="shared" si="107"/>
        <v>44502</v>
      </c>
      <c r="Y320" s="385">
        <f t="shared" si="108"/>
        <v>26.864909658956361</v>
      </c>
      <c r="Z320" s="385">
        <f t="shared" si="109"/>
        <v>27.616035338108944</v>
      </c>
      <c r="AA320" s="386">
        <f t="shared" si="110"/>
        <v>30.426097309243843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9.2356963910753195E-2</v>
      </c>
      <c r="AD320" s="231">
        <f>(INDEX(Models!$BJ320:$BT320,,AH320)*(1-AF320)+INDEX(Models!$BJ320:$BT320,,AH320+1)*AF320-ERP_i)*AE320*Ramure*Pc/MaxiM</f>
        <v>1.176436246367334E-3</v>
      </c>
      <c r="AE320" s="305">
        <f t="shared" si="112"/>
        <v>0.7</v>
      </c>
      <c r="AF320" s="177">
        <f t="shared" si="113"/>
        <v>0.99891296167162769</v>
      </c>
      <c r="AG320" s="921">
        <f t="shared" si="119"/>
        <v>-1</v>
      </c>
      <c r="AH320" s="176">
        <f t="shared" si="114"/>
        <v>5</v>
      </c>
      <c r="AI320" s="225">
        <f t="shared" si="115"/>
        <v>-1.087038328372314E-3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20">
        <v>18.747</v>
      </c>
      <c r="C321" s="390"/>
      <c r="D321" s="393">
        <f t="shared" si="98"/>
        <v>19.271576217942592</v>
      </c>
      <c r="E321" s="385">
        <f t="shared" si="120"/>
        <v>19.806623629154178</v>
      </c>
      <c r="F321" s="385">
        <f t="shared" si="99"/>
        <v>19.81465749838593</v>
      </c>
      <c r="G321" s="110">
        <f t="shared" si="121"/>
        <v>0.54174058933225666</v>
      </c>
      <c r="H321" s="414" t="b">
        <f>Wh_hp&gt;='2020'!Maxi_hp</f>
        <v>0</v>
      </c>
      <c r="I321" s="380">
        <f>IF(H321,Wh_hp,'2020'!Maxi_hp)</f>
        <v>31.18806335046073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2.7220203060203785E-2</v>
      </c>
      <c r="M321" s="959"/>
      <c r="N321" s="959"/>
      <c r="O321" s="48">
        <f>IF(t&lt;Tnet,'2020'!Resal+('2020'!Salim-'2020'!Resal)*(1-EXP(('2020'!Tnet-t)/('2020'!Tau_j))),Resal+(Salim-Resal)*(1-EXP((Tnet-t)/(Tau_j))))*Salcycl</f>
        <v>2.7013559768158845E-2</v>
      </c>
      <c r="P321" s="169">
        <f>(INDEX(Models!$BJ321:$BT321,,T321)*(1-R321)+INDEX(Models!$BJ321:$BT321,,T321+1)*R321-ERP_i)*Q321*Ramure*Pc/MaxiM</f>
        <v>1.1720343437800402E-3</v>
      </c>
      <c r="Q321" s="305">
        <f t="shared" si="101"/>
        <v>0.7</v>
      </c>
      <c r="R321" s="177">
        <f t="shared" si="102"/>
        <v>0.99896478298702096</v>
      </c>
      <c r="S321" s="921">
        <f t="shared" si="103"/>
        <v>-1</v>
      </c>
      <c r="T321" s="176">
        <f t="shared" si="104"/>
        <v>5</v>
      </c>
      <c r="U321" s="251">
        <f t="shared" si="105"/>
        <v>-1.035217012979095E-3</v>
      </c>
      <c r="V321" s="383">
        <f t="shared" si="106"/>
        <v>34.57858502481858</v>
      </c>
      <c r="W321" s="402"/>
      <c r="X321" s="157">
        <f t="shared" si="107"/>
        <v>44503</v>
      </c>
      <c r="Y321" s="385">
        <f t="shared" si="108"/>
        <v>17.488722364699154</v>
      </c>
      <c r="Z321" s="385">
        <f t="shared" si="109"/>
        <v>17.978089614644311</v>
      </c>
      <c r="AA321" s="386">
        <f t="shared" si="110"/>
        <v>19.806623629154178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9.2319319473429806E-2</v>
      </c>
      <c r="AD321" s="231">
        <f>(INDEX(Models!$BJ321:$BT321,,AH321)*(1-AF321)+INDEX(Models!$BJ321:$BT321,,AH321+1)*AF321-ERP_i)*AE321*Ramure*Pc/MaxiM</f>
        <v>1.1720343437800402E-3</v>
      </c>
      <c r="AE321" s="305">
        <f t="shared" si="112"/>
        <v>0.7</v>
      </c>
      <c r="AF321" s="177">
        <f t="shared" si="113"/>
        <v>0.99896478298702096</v>
      </c>
      <c r="AG321" s="921">
        <f t="shared" si="119"/>
        <v>-1</v>
      </c>
      <c r="AH321" s="176">
        <f t="shared" si="114"/>
        <v>5</v>
      </c>
      <c r="AI321" s="225">
        <f t="shared" si="115"/>
        <v>-1.035217012979095E-3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20">
        <v>16.022000000000002</v>
      </c>
      <c r="C322" s="390"/>
      <c r="D322" s="393">
        <f t="shared" si="98"/>
        <v>16.470686357806073</v>
      </c>
      <c r="E322" s="385">
        <f t="shared" si="120"/>
        <v>16.929156323973665</v>
      </c>
      <c r="F322" s="385">
        <f t="shared" si="99"/>
        <v>16.933897519927605</v>
      </c>
      <c r="G322" s="110">
        <f t="shared" si="121"/>
        <v>0.46734919970779581</v>
      </c>
      <c r="H322" s="414" t="b">
        <f>Wh_hp&gt;='2020'!Maxi_hp</f>
        <v>0</v>
      </c>
      <c r="I322" s="380">
        <f>IF(H322,Wh_hp,'2020'!Maxi_hp)</f>
        <v>29.822160701304174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2.7241509434330347E-2</v>
      </c>
      <c r="M322" s="959"/>
      <c r="N322" s="959"/>
      <c r="O322" s="48">
        <f>IF(t&lt;Tnet,'2020'!Resal+('2020'!Salim-'2020'!Resal)*(1-EXP(('2020'!Tnet-t)/('2020'!Tau_j))),Resal+(Salim-Resal)*(1-EXP((Tnet-t)/(Tau_j))))*Salcycl</f>
        <v>2.7081678342017808E-2</v>
      </c>
      <c r="P322" s="169">
        <f>(INDEX(Models!$BJ322:$BT322,,T322)*(1-R322)+INDEX(Models!$BJ322:$BT322,,T322+1)*R322-ERP_i)*Q322*Ramure*Pc/MaxiM</f>
        <v>1.1682294685437106E-3</v>
      </c>
      <c r="Q322" s="305">
        <f t="shared" si="101"/>
        <v>0.7</v>
      </c>
      <c r="R322" s="177">
        <f t="shared" si="102"/>
        <v>0.99901452793719325</v>
      </c>
      <c r="S322" s="921">
        <f t="shared" si="103"/>
        <v>-1</v>
      </c>
      <c r="T322" s="176">
        <f t="shared" si="104"/>
        <v>5</v>
      </c>
      <c r="U322" s="251">
        <f t="shared" si="105"/>
        <v>-9.8547206280674704E-4</v>
      </c>
      <c r="V322" s="383">
        <f t="shared" si="106"/>
        <v>34.252256198002172</v>
      </c>
      <c r="W322" s="402"/>
      <c r="X322" s="157">
        <f t="shared" si="107"/>
        <v>44504</v>
      </c>
      <c r="Y322" s="385">
        <f t="shared" si="108"/>
        <v>14.948286289434076</v>
      </c>
      <c r="Z322" s="385">
        <f t="shared" si="109"/>
        <v>15.366903948318647</v>
      </c>
      <c r="AA322" s="386">
        <f t="shared" si="110"/>
        <v>16.929156323973665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9.2281762053474908E-2</v>
      </c>
      <c r="AD322" s="231">
        <f>(INDEX(Models!$BJ322:$BT322,,AH322)*(1-AF322)+INDEX(Models!$BJ322:$BT322,,AH322+1)*AF322-ERP_i)*AE322*Ramure*Pc/MaxiM</f>
        <v>1.1682294685437106E-3</v>
      </c>
      <c r="AE322" s="305">
        <f t="shared" si="112"/>
        <v>0.7</v>
      </c>
      <c r="AF322" s="177">
        <f t="shared" si="113"/>
        <v>0.99901452793719325</v>
      </c>
      <c r="AG322" s="921">
        <f t="shared" si="119"/>
        <v>-1</v>
      </c>
      <c r="AH322" s="176">
        <f t="shared" si="114"/>
        <v>5</v>
      </c>
      <c r="AI322" s="225">
        <f t="shared" si="115"/>
        <v>-9.8547206280674704E-4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20">
        <v>10.355</v>
      </c>
      <c r="C323" s="390"/>
      <c r="D323" s="393">
        <f t="shared" si="98"/>
        <v>10.645218629776609</v>
      </c>
      <c r="E323" s="385">
        <f t="shared" si="120"/>
        <v>10.942298387681182</v>
      </c>
      <c r="F323" s="385">
        <f t="shared" si="99"/>
        <v>10.942393667401571</v>
      </c>
      <c r="G323" s="110">
        <f t="shared" si="121"/>
        <v>0.30487901486568886</v>
      </c>
      <c r="H323" s="414" t="b">
        <f>Wh_hp&gt;='2020'!Maxi_hp</f>
        <v>0</v>
      </c>
      <c r="I323" s="380">
        <f>IF(H323,Wh_hp,'2020'!Maxi_hp)</f>
        <v>15.481414009273431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2.7262815341792535E-2</v>
      </c>
      <c r="M323" s="959"/>
      <c r="N323" s="959"/>
      <c r="O323" s="48">
        <f>IF(t&lt;Tnet,'2020'!Resal+('2020'!Salim-'2020'!Resal)*(1-EXP(('2020'!Tnet-t)/('2020'!Tau_j))),Resal+(Salim-Resal)*(1-EXP((Tnet-t)/(Tau_j))))*Salcycl</f>
        <v>2.7149667042440061E-2</v>
      </c>
      <c r="P323" s="169">
        <f>(INDEX(Models!$BJ323:$BT323,,T323)*(1-R323)+INDEX(Models!$BJ323:$BT323,,T323+1)*R323-ERP_i)*Q323*Ramure*Pc/MaxiM</f>
        <v>1.1649905087851987E-3</v>
      </c>
      <c r="Q323" s="305">
        <f t="shared" si="101"/>
        <v>0.7</v>
      </c>
      <c r="R323" s="177">
        <f t="shared" si="102"/>
        <v>0.99906227932758274</v>
      </c>
      <c r="S323" s="921">
        <f t="shared" si="103"/>
        <v>-1</v>
      </c>
      <c r="T323" s="176">
        <f t="shared" si="104"/>
        <v>5</v>
      </c>
      <c r="U323" s="251">
        <f t="shared" si="105"/>
        <v>-9.3772067241731927E-4</v>
      </c>
      <c r="V323" s="383">
        <f t="shared" si="106"/>
        <v>33.925019695546347</v>
      </c>
      <c r="W323" s="402"/>
      <c r="X323" s="157">
        <f t="shared" si="107"/>
        <v>44505</v>
      </c>
      <c r="Y323" s="385">
        <f t="shared" si="108"/>
        <v>9.6621330581661802</v>
      </c>
      <c r="Z323" s="385">
        <f t="shared" si="109"/>
        <v>9.932932770079292</v>
      </c>
      <c r="AA323" s="386">
        <f t="shared" si="110"/>
        <v>10.942298387681182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9.2244387955845927E-2</v>
      </c>
      <c r="AD323" s="231">
        <f>(INDEX(Models!$BJ323:$BT323,,AH323)*(1-AF323)+INDEX(Models!$BJ323:$BT323,,AH323+1)*AF323-ERP_i)*AE323*Ramure*Pc/MaxiM</f>
        <v>1.1649905087851987E-3</v>
      </c>
      <c r="AE323" s="305">
        <f t="shared" si="112"/>
        <v>0.7</v>
      </c>
      <c r="AF323" s="177">
        <f t="shared" si="113"/>
        <v>0.99906227932758274</v>
      </c>
      <c r="AG323" s="921">
        <f t="shared" si="119"/>
        <v>-1</v>
      </c>
      <c r="AH323" s="176">
        <f t="shared" si="114"/>
        <v>5</v>
      </c>
      <c r="AI323" s="225">
        <f t="shared" si="115"/>
        <v>-9.3772067241731927E-4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20">
        <v>17.972999999999999</v>
      </c>
      <c r="C324" s="390"/>
      <c r="D324" s="393">
        <f t="shared" si="98"/>
        <v>18.477132309652657</v>
      </c>
      <c r="E324" s="385">
        <f t="shared" si="120"/>
        <v>18.994105421319802</v>
      </c>
      <c r="F324" s="385">
        <f t="shared" si="99"/>
        <v>19.001523669411036</v>
      </c>
      <c r="G324" s="110">
        <f t="shared" si="121"/>
        <v>0.53452468997066083</v>
      </c>
      <c r="H324" s="414" t="b">
        <f>Wh_hp&gt;='2020'!Maxi_hp</f>
        <v>0</v>
      </c>
      <c r="I324" s="380">
        <f>IF(H324,Wh_hp,'2020'!Maxi_hp)</f>
        <v>23.980630754996582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2.7284120782600785E-2</v>
      </c>
      <c r="M324" s="959"/>
      <c r="N324" s="959"/>
      <c r="O324" s="48">
        <f>IF(t&lt;Tnet,'2020'!Resal+('2020'!Salim-'2020'!Resal)*(1-EXP(('2020'!Tnet-t)/('2020'!Tau_j))),Resal+(Salim-Resal)*(1-EXP((Tnet-t)/(Tau_j))))*Salcycl</f>
        <v>2.7217555141442543E-2</v>
      </c>
      <c r="P324" s="169">
        <f>(INDEX(Models!$BJ324:$BT324,,T324)*(1-R324)+INDEX(Models!$BJ324:$BT324,,T324+1)*R324-ERP_i)*Q324*Ramure*Pc/MaxiM</f>
        <v>1.1632075949277144E-3</v>
      </c>
      <c r="Q324" s="305">
        <f t="shared" si="101"/>
        <v>0.7</v>
      </c>
      <c r="R324" s="177">
        <f t="shared" si="102"/>
        <v>0.99910811669205191</v>
      </c>
      <c r="S324" s="921">
        <f t="shared" si="103"/>
        <v>-1</v>
      </c>
      <c r="T324" s="176">
        <f t="shared" si="104"/>
        <v>5</v>
      </c>
      <c r="U324" s="251">
        <f t="shared" si="105"/>
        <v>-8.9188330794814918E-4</v>
      </c>
      <c r="V324" s="383">
        <f t="shared" si="106"/>
        <v>33.598270186145825</v>
      </c>
      <c r="W324" s="402"/>
      <c r="X324" s="157">
        <f t="shared" si="107"/>
        <v>44506</v>
      </c>
      <c r="Y324" s="385">
        <f t="shared" si="108"/>
        <v>16.772258176463943</v>
      </c>
      <c r="Z324" s="385">
        <f t="shared" si="109"/>
        <v>17.242710368785282</v>
      </c>
      <c r="AA324" s="386">
        <f t="shared" si="110"/>
        <v>18.994105421319802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9.220729345687842E-2</v>
      </c>
      <c r="AD324" s="231">
        <f>(INDEX(Models!$BJ324:$BT324,,AH324)*(1-AF324)+INDEX(Models!$BJ324:$BT324,,AH324+1)*AF324-ERP_i)*AE324*Ramure*Pc/MaxiM</f>
        <v>1.1632075949277144E-3</v>
      </c>
      <c r="AE324" s="305">
        <f t="shared" si="112"/>
        <v>0.7</v>
      </c>
      <c r="AF324" s="177">
        <f t="shared" si="113"/>
        <v>0.99910811669205191</v>
      </c>
      <c r="AG324" s="921">
        <f t="shared" si="119"/>
        <v>-1</v>
      </c>
      <c r="AH324" s="176">
        <f t="shared" si="114"/>
        <v>5</v>
      </c>
      <c r="AI324" s="225">
        <f t="shared" si="115"/>
        <v>-8.9188330794814918E-4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20">
        <v>9.7919999999999998</v>
      </c>
      <c r="C325" s="390"/>
      <c r="D325" s="393">
        <f t="shared" si="98"/>
        <v>10.066880456918621</v>
      </c>
      <c r="E325" s="385">
        <f t="shared" si="120"/>
        <v>10.349263975435361</v>
      </c>
      <c r="F325" s="385">
        <f t="shared" si="99"/>
        <v>10.349263975435361</v>
      </c>
      <c r="G325" s="110">
        <f t="shared" si="121"/>
        <v>0.29394662005710898</v>
      </c>
      <c r="H325" s="414" t="b">
        <f>Wh_hp&gt;='2020'!Maxi_hp</f>
        <v>0</v>
      </c>
      <c r="I325" s="380">
        <f>IF(H325,Wh_hp,'2020'!Maxi_hp)</f>
        <v>17.134956539555297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2.7305425756765089E-2</v>
      </c>
      <c r="M325" s="959"/>
      <c r="N325" s="959"/>
      <c r="O325" s="48">
        <f>IF(t&lt;Tnet,'2020'!Resal+('2020'!Salim-'2020'!Resal)*(1-EXP(('2020'!Tnet-t)/('2020'!Tau_j))),Resal+(Salim-Resal)*(1-EXP((Tnet-t)/(Tau_j))))*Salcycl</f>
        <v>2.728537209863377E-2</v>
      </c>
      <c r="P325" s="169">
        <f>(INDEX(Models!$BJ325:$BT325,,T325)*(1-R325)+INDEX(Models!$BJ325:$BT325,,T325+1)*R325-ERP_i)*Q325*Ramure*Pc/MaxiM</f>
        <v>1.1627245751205321E-3</v>
      </c>
      <c r="Q325" s="305">
        <f t="shared" si="101"/>
        <v>0.7</v>
      </c>
      <c r="R325" s="177">
        <f t="shared" si="102"/>
        <v>0.99915211641972301</v>
      </c>
      <c r="S325" s="921">
        <f t="shared" si="103"/>
        <v>-1</v>
      </c>
      <c r="T325" s="176">
        <f t="shared" si="104"/>
        <v>5</v>
      </c>
      <c r="U325" s="251">
        <f t="shared" si="105"/>
        <v>-8.4788358027704236E-4</v>
      </c>
      <c r="V325" s="383">
        <f t="shared" si="106"/>
        <v>33.273437874741369</v>
      </c>
      <c r="W325" s="402"/>
      <c r="X325" s="157">
        <f t="shared" si="107"/>
        <v>44507</v>
      </c>
      <c r="Y325" s="385">
        <f t="shared" si="108"/>
        <v>9.138821891679104</v>
      </c>
      <c r="Z325" s="385">
        <f t="shared" si="109"/>
        <v>9.3953663705682633</v>
      </c>
      <c r="AA325" s="386">
        <f t="shared" si="110"/>
        <v>10.349263975435361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9.2170574364634578E-2</v>
      </c>
      <c r="AD325" s="231">
        <f>(INDEX(Models!$BJ325:$BT325,,AH325)*(1-AF325)+INDEX(Models!$BJ325:$BT325,,AH325+1)*AF325-ERP_i)*AE325*Ramure*Pc/MaxiM</f>
        <v>1.1627245751205321E-3</v>
      </c>
      <c r="AE325" s="305">
        <f t="shared" si="112"/>
        <v>0.7</v>
      </c>
      <c r="AF325" s="177">
        <f t="shared" si="113"/>
        <v>0.99915211641972301</v>
      </c>
      <c r="AG325" s="921">
        <f t="shared" si="119"/>
        <v>-1</v>
      </c>
      <c r="AH325" s="176">
        <f t="shared" si="114"/>
        <v>5</v>
      </c>
      <c r="AI325" s="225">
        <f t="shared" si="115"/>
        <v>-8.4788358027704236E-4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20">
        <v>25.92</v>
      </c>
      <c r="C326" s="390"/>
      <c r="D326" s="393">
        <f t="shared" si="98"/>
        <v>26.648208403057087</v>
      </c>
      <c r="E326" s="385">
        <f t="shared" si="120"/>
        <v>27.397619529191616</v>
      </c>
      <c r="F326" s="385">
        <f t="shared" si="99"/>
        <v>27.419796880522092</v>
      </c>
      <c r="G326" s="110">
        <f t="shared" si="121"/>
        <v>0.78632069218952294</v>
      </c>
      <c r="H326" s="414" t="b">
        <f>Wh_hp&gt;='2020'!Maxi_hp</f>
        <v>1</v>
      </c>
      <c r="I326" s="380">
        <f>IF(H326,Wh_hp,'2020'!Maxi_hp)</f>
        <v>27.419796880522092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2.7326730264295884E-2</v>
      </c>
      <c r="M326" s="959"/>
      <c r="N326" s="959"/>
      <c r="O326" s="48">
        <f>IF(t&lt;Tnet,'2020'!Resal+('2020'!Salim-'2020'!Resal)*(1-EXP(('2020'!Tnet-t)/('2020'!Tau_j))),Resal+(Salim-Resal)*(1-EXP((Tnet-t)/(Tau_j))))*Salcycl</f>
        <v>2.7353147427134884E-2</v>
      </c>
      <c r="P326" s="169">
        <f>(INDEX(Models!$BJ326:$BT326,,T326)*(1-R326)+INDEX(Models!$BJ326:$BT326,,T326+1)*R326-ERP_i)*Q326*Ramure*Pc/MaxiM</f>
        <v>1.1635135402293727E-3</v>
      </c>
      <c r="Q326" s="305">
        <f t="shared" si="101"/>
        <v>0.7</v>
      </c>
      <c r="R326" s="177">
        <f t="shared" si="102"/>
        <v>0.99919435187708894</v>
      </c>
      <c r="S326" s="921">
        <f t="shared" si="103"/>
        <v>-1</v>
      </c>
      <c r="T326" s="176">
        <f t="shared" si="104"/>
        <v>5</v>
      </c>
      <c r="U326" s="251">
        <f t="shared" si="105"/>
        <v>-8.0564812291100685E-4</v>
      </c>
      <c r="V326" s="383">
        <f t="shared" si="106"/>
        <v>32.951948038294233</v>
      </c>
      <c r="W326" s="402"/>
      <c r="X326" s="157">
        <f t="shared" si="107"/>
        <v>44508</v>
      </c>
      <c r="Y326" s="385">
        <f t="shared" si="108"/>
        <v>24.193650777532859</v>
      </c>
      <c r="Z326" s="385">
        <f t="shared" si="109"/>
        <v>24.873358331422828</v>
      </c>
      <c r="AA326" s="386">
        <f t="shared" si="110"/>
        <v>27.397619529191616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9.2134325578148865E-2</v>
      </c>
      <c r="AD326" s="231">
        <f>(INDEX(Models!$BJ326:$BT326,,AH326)*(1-AF326)+INDEX(Models!$BJ326:$BT326,,AH326+1)*AF326-ERP_i)*AE326*Ramure*Pc/MaxiM</f>
        <v>1.1635135402293727E-3</v>
      </c>
      <c r="AE326" s="305">
        <f t="shared" si="112"/>
        <v>0.7</v>
      </c>
      <c r="AF326" s="177">
        <f t="shared" si="113"/>
        <v>0.99919435187708894</v>
      </c>
      <c r="AG326" s="921">
        <f t="shared" si="119"/>
        <v>-1</v>
      </c>
      <c r="AH326" s="176">
        <f t="shared" si="114"/>
        <v>5</v>
      </c>
      <c r="AI326" s="225">
        <f t="shared" si="115"/>
        <v>-8.0564812291100685E-4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20">
        <v>23.858000000000001</v>
      </c>
      <c r="C327" s="390"/>
      <c r="D327" s="393">
        <f t="shared" si="98"/>
        <v>24.528814870545659</v>
      </c>
      <c r="E327" s="385">
        <f t="shared" si="120"/>
        <v>25.220380673221094</v>
      </c>
      <c r="F327" s="385">
        <f t="shared" si="99"/>
        <v>25.238495016802947</v>
      </c>
      <c r="G327" s="110">
        <f t="shared" si="121"/>
        <v>0.73072295162604894</v>
      </c>
      <c r="H327" s="414" t="b">
        <f>Wh_hp&gt;='2020'!Maxi_hp</f>
        <v>0</v>
      </c>
      <c r="I327" s="380">
        <f>IF(H327,Wh_hp,'2020'!Maxi_hp)</f>
        <v>26.175340990445164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2.7348034305203162E-2</v>
      </c>
      <c r="M327" s="959"/>
      <c r="N327" s="959"/>
      <c r="O327" s="48">
        <f>IF(t&lt;Tnet,'2020'!Resal+('2020'!Salim-'2020'!Resal)*(1-EXP(('2020'!Tnet-t)/('2020'!Tau_j))),Resal+(Salim-Resal)*(1-EXP((Tnet-t)/(Tau_j))))*Salcycl</f>
        <v>2.7420910557854349E-2</v>
      </c>
      <c r="P327" s="169">
        <f>(INDEX(Models!$BJ327:$BT327,,T327)*(1-R327)+INDEX(Models!$BJ327:$BT327,,T327+1)*R327-ERP_i)*Q327*Ramure*Pc/MaxiM</f>
        <v>1.1655447934976254E-3</v>
      </c>
      <c r="Q327" s="305">
        <f t="shared" si="101"/>
        <v>0.7</v>
      </c>
      <c r="R327" s="177">
        <f t="shared" si="102"/>
        <v>0.9992348935255585</v>
      </c>
      <c r="S327" s="921">
        <f t="shared" si="103"/>
        <v>-1</v>
      </c>
      <c r="T327" s="176">
        <f t="shared" si="104"/>
        <v>5</v>
      </c>
      <c r="U327" s="251">
        <f t="shared" si="105"/>
        <v>-7.6510647444150148E-4</v>
      </c>
      <c r="V327" s="383">
        <f t="shared" si="106"/>
        <v>32.635225472072278</v>
      </c>
      <c r="W327" s="402"/>
      <c r="X327" s="157">
        <f t="shared" si="107"/>
        <v>44509</v>
      </c>
      <c r="Y327" s="385">
        <f t="shared" si="108"/>
        <v>22.271413056832863</v>
      </c>
      <c r="Z327" s="385">
        <f t="shared" si="109"/>
        <v>22.897617896575852</v>
      </c>
      <c r="AA327" s="386">
        <f t="shared" si="110"/>
        <v>25.220380673221094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9.2098640648653821E-2</v>
      </c>
      <c r="AD327" s="231">
        <f>(INDEX(Models!$BJ327:$BT327,,AH327)*(1-AF327)+INDEX(Models!$BJ327:$BT327,,AH327+1)*AF327-ERP_i)*AE327*Ramure*Pc/MaxiM</f>
        <v>1.1655447934976254E-3</v>
      </c>
      <c r="AE327" s="305">
        <f t="shared" si="112"/>
        <v>0.7</v>
      </c>
      <c r="AF327" s="177">
        <f t="shared" si="113"/>
        <v>0.9992348935255585</v>
      </c>
      <c r="AG327" s="921">
        <f t="shared" si="119"/>
        <v>-1</v>
      </c>
      <c r="AH327" s="176">
        <f t="shared" si="114"/>
        <v>5</v>
      </c>
      <c r="AI327" s="225">
        <f t="shared" si="115"/>
        <v>-7.6510647444150148E-4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20">
        <v>6.7869999999999999</v>
      </c>
      <c r="C328" s="390"/>
      <c r="D328" s="393">
        <f t="shared" si="98"/>
        <v>6.977982768097367</v>
      </c>
      <c r="E328" s="385">
        <f t="shared" si="120"/>
        <v>7.1752201762486365</v>
      </c>
      <c r="F328" s="385">
        <f t="shared" si="99"/>
        <v>7.1752201762486365</v>
      </c>
      <c r="G328" s="110">
        <f t="shared" si="121"/>
        <v>0.20971791242356264</v>
      </c>
      <c r="H328" s="414" t="b">
        <f>Wh_hp&gt;='2020'!Maxi_hp</f>
        <v>0</v>
      </c>
      <c r="I328" s="380">
        <f>IF(H328,Wh_hp,'2020'!Maxi_hp)</f>
        <v>21.661173331050904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2.7369337879497357E-2</v>
      </c>
      <c r="M328" s="959"/>
      <c r="N328" s="959"/>
      <c r="O328" s="48">
        <f>IF(t&lt;Tnet,'2020'!Resal+('2020'!Salim-'2020'!Resal)*(1-EXP(('2020'!Tnet-t)/('2020'!Tau_j))),Resal+(Salim-Resal)*(1-EXP((Tnet-t)/(Tau_j))))*Salcycl</f>
        <v>2.7488690703062167E-2</v>
      </c>
      <c r="P328" s="169">
        <f>(INDEX(Models!$BJ328:$BT328,,T328)*(1-R328)+INDEX(Models!$BJ328:$BT328,,T328+1)*R328-ERP_i)*Q328*Ramure*Pc/MaxiM</f>
        <v>1.1687863222357817E-3</v>
      </c>
      <c r="Q328" s="305">
        <f t="shared" si="101"/>
        <v>0.7</v>
      </c>
      <c r="R328" s="177">
        <f t="shared" si="102"/>
        <v>0.99927380903459362</v>
      </c>
      <c r="S328" s="921">
        <f t="shared" si="103"/>
        <v>-1</v>
      </c>
      <c r="T328" s="176">
        <f t="shared" si="104"/>
        <v>5</v>
      </c>
      <c r="U328" s="251">
        <f t="shared" si="105"/>
        <v>-7.2619096540632588E-4</v>
      </c>
      <c r="V328" s="383">
        <f t="shared" si="106"/>
        <v>32.324694485511813</v>
      </c>
      <c r="W328" s="402"/>
      <c r="X328" s="157">
        <f t="shared" si="107"/>
        <v>44510</v>
      </c>
      <c r="Y328" s="385">
        <f t="shared" si="108"/>
        <v>6.3363420156526331</v>
      </c>
      <c r="Z328" s="385">
        <f t="shared" si="109"/>
        <v>6.5146434946213958</v>
      </c>
      <c r="AA328" s="386">
        <f t="shared" si="110"/>
        <v>7.1752201762486365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9.206361134587572E-2</v>
      </c>
      <c r="AD328" s="231">
        <f>(INDEX(Models!$BJ328:$BT328,,AH328)*(1-AF328)+INDEX(Models!$BJ328:$BT328,,AH328+1)*AF328-ERP_i)*AE328*Ramure*Pc/MaxiM</f>
        <v>1.1687863222357817E-3</v>
      </c>
      <c r="AE328" s="305">
        <f t="shared" si="112"/>
        <v>0.7</v>
      </c>
      <c r="AF328" s="177">
        <f t="shared" si="113"/>
        <v>0.99927380903459362</v>
      </c>
      <c r="AG328" s="921">
        <f t="shared" si="119"/>
        <v>-1</v>
      </c>
      <c r="AH328" s="176">
        <f t="shared" si="114"/>
        <v>5</v>
      </c>
      <c r="AI328" s="225">
        <f t="shared" si="115"/>
        <v>-7.2619096540632588E-4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20">
        <v>9.1110000000000007</v>
      </c>
      <c r="C329" s="390"/>
      <c r="D329" s="393">
        <f t="shared" si="98"/>
        <v>9.3675841339297552</v>
      </c>
      <c r="E329" s="385">
        <f t="shared" si="120"/>
        <v>9.6330370813279131</v>
      </c>
      <c r="F329" s="385">
        <f t="shared" si="99"/>
        <v>9.6330370813279131</v>
      </c>
      <c r="G329" s="110">
        <f t="shared" si="121"/>
        <v>0.28419129902317208</v>
      </c>
      <c r="H329" s="414" t="b">
        <f>Wh_hp&gt;='2020'!Maxi_hp</f>
        <v>0</v>
      </c>
      <c r="I329" s="380">
        <f>IF(H329,Wh_hp,'2020'!Maxi_hp)</f>
        <v>29.153917771397072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2.7390640987188575E-2</v>
      </c>
      <c r="M329" s="959"/>
      <c r="N329" s="959"/>
      <c r="O329" s="48">
        <f>IF(t&lt;Tnet,'2020'!Resal+('2020'!Salim-'2020'!Resal)*(1-EXP(('2020'!Tnet-t)/('2020'!Tau_j))),Resal+(Salim-Resal)*(1-EXP((Tnet-t)/(Tau_j))))*Salcycl</f>
        <v>2.7556516720224848E-2</v>
      </c>
      <c r="P329" s="169">
        <f>(INDEX(Models!$BJ329:$BT329,,T329)*(1-R329)+INDEX(Models!$BJ329:$BT329,,T329+1)*R329-ERP_i)*Q329*Ramure*Pc/MaxiM</f>
        <v>1.1732032683466297E-3</v>
      </c>
      <c r="Q329" s="305">
        <f t="shared" si="101"/>
        <v>0.7</v>
      </c>
      <c r="R329" s="177">
        <f t="shared" si="102"/>
        <v>0.99931116339059078</v>
      </c>
      <c r="S329" s="921">
        <f t="shared" si="103"/>
        <v>-1</v>
      </c>
      <c r="T329" s="176">
        <f t="shared" si="104"/>
        <v>5</v>
      </c>
      <c r="U329" s="251">
        <f t="shared" si="105"/>
        <v>-6.8883660940921576E-4</v>
      </c>
      <c r="V329" s="383">
        <f t="shared" si="106"/>
        <v>32.021778908439011</v>
      </c>
      <c r="W329" s="402"/>
      <c r="X329" s="157">
        <f t="shared" si="107"/>
        <v>44511</v>
      </c>
      <c r="Y329" s="385">
        <f t="shared" si="108"/>
        <v>8.506942502904236</v>
      </c>
      <c r="Z329" s="385">
        <f t="shared" si="109"/>
        <v>8.746515159527867</v>
      </c>
      <c r="AA329" s="386">
        <f t="shared" si="110"/>
        <v>9.6330370813279131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9.2029327232470134E-2</v>
      </c>
      <c r="AD329" s="231">
        <f>(INDEX(Models!$BJ329:$BT329,,AH329)*(1-AF329)+INDEX(Models!$BJ329:$BT329,,AH329+1)*AF329-ERP_i)*AE329*Ramure*Pc/MaxiM</f>
        <v>1.1732032683466297E-3</v>
      </c>
      <c r="AE329" s="305">
        <f t="shared" si="112"/>
        <v>0.7</v>
      </c>
      <c r="AF329" s="177">
        <f t="shared" si="113"/>
        <v>0.99931116339059078</v>
      </c>
      <c r="AG329" s="921">
        <f t="shared" si="119"/>
        <v>-1</v>
      </c>
      <c r="AH329" s="176">
        <f t="shared" si="114"/>
        <v>5</v>
      </c>
      <c r="AI329" s="225">
        <f t="shared" si="115"/>
        <v>-6.8883660940921576E-4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20">
        <v>10.986000000000001</v>
      </c>
      <c r="C330" s="390"/>
      <c r="D330" s="393">
        <f t="shared" si="98"/>
        <v>11.29563531859913</v>
      </c>
      <c r="E330" s="385">
        <f t="shared" si="120"/>
        <v>11.616535334508443</v>
      </c>
      <c r="F330" s="385">
        <f t="shared" si="99"/>
        <v>11.617440258036734</v>
      </c>
      <c r="G330" s="110">
        <f t="shared" si="121"/>
        <v>0.34587553056452613</v>
      </c>
      <c r="H330" s="414" t="b">
        <f>Wh_hp&gt;='2020'!Maxi_hp</f>
        <v>0</v>
      </c>
      <c r="I330" s="380">
        <f>IF(H330,Wh_hp,'2020'!Maxi_hp)</f>
        <v>32.840746587016881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2.7411943628287139E-2</v>
      </c>
      <c r="M330" s="959"/>
      <c r="N330" s="959"/>
      <c r="O330" s="48">
        <f>IF(t&lt;Tnet,'2020'!Resal+('2020'!Salim-'2020'!Resal)*(1-EXP(('2020'!Tnet-t)/('2020'!Tau_j))),Resal+(Salim-Resal)*(1-EXP((Tnet-t)/(Tau_j))))*Salcycl</f>
        <v>2.7624416977068588E-2</v>
      </c>
      <c r="P330" s="169">
        <f>(INDEX(Models!$BJ330:$BT330,,T330)*(1-R330)+INDEX(Models!$BJ330:$BT330,,T330+1)*R330-ERP_i)*Q330*Ramure*Pc/MaxiM</f>
        <v>1.1787574034010536E-3</v>
      </c>
      <c r="Q330" s="305">
        <f t="shared" si="101"/>
        <v>0.7</v>
      </c>
      <c r="R330" s="177">
        <f t="shared" si="102"/>
        <v>0.99934701900165401</v>
      </c>
      <c r="S330" s="921">
        <f t="shared" si="103"/>
        <v>-1</v>
      </c>
      <c r="T330" s="176">
        <f t="shared" si="104"/>
        <v>5</v>
      </c>
      <c r="U330" s="251">
        <f t="shared" si="105"/>
        <v>-6.5298099834598666E-4</v>
      </c>
      <c r="V330" s="383">
        <f t="shared" si="106"/>
        <v>31.727902085303523</v>
      </c>
      <c r="W330" s="402"/>
      <c r="X330" s="157">
        <f t="shared" si="107"/>
        <v>44512</v>
      </c>
      <c r="Y330" s="385">
        <f t="shared" si="108"/>
        <v>10.258724600525497</v>
      </c>
      <c r="Z330" s="385">
        <f t="shared" si="109"/>
        <v>10.547861999042194</v>
      </c>
      <c r="AA330" s="386">
        <f t="shared" si="110"/>
        <v>11.616535334508443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9.1995875249620634E-2</v>
      </c>
      <c r="AD330" s="231">
        <f>(INDEX(Models!$BJ330:$BT330,,AH330)*(1-AF330)+INDEX(Models!$BJ330:$BT330,,AH330+1)*AF330-ERP_i)*AE330*Ramure*Pc/MaxiM</f>
        <v>1.1787574034010536E-3</v>
      </c>
      <c r="AE330" s="305">
        <f t="shared" si="112"/>
        <v>0.7</v>
      </c>
      <c r="AF330" s="177">
        <f t="shared" si="113"/>
        <v>0.99934701900165401</v>
      </c>
      <c r="AG330" s="921">
        <f t="shared" si="119"/>
        <v>-1</v>
      </c>
      <c r="AH330" s="176">
        <f t="shared" si="114"/>
        <v>5</v>
      </c>
      <c r="AI330" s="225">
        <f t="shared" si="115"/>
        <v>-6.5298099834598666E-4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20">
        <v>5.7940000000000005</v>
      </c>
      <c r="C331" s="390"/>
      <c r="D331" s="393">
        <f t="shared" si="98"/>
        <v>5.95743168784609</v>
      </c>
      <c r="E331" s="385">
        <f t="shared" si="120"/>
        <v>6.1271060779551059</v>
      </c>
      <c r="F331" s="385">
        <f t="shared" si="99"/>
        <v>6.1271060779551059</v>
      </c>
      <c r="G331" s="110">
        <f t="shared" si="121"/>
        <v>0.18406881058413677</v>
      </c>
      <c r="H331" s="414" t="b">
        <f>Wh_hp&gt;='2020'!Maxi_hp</f>
        <v>0</v>
      </c>
      <c r="I331" s="380">
        <f>IF(H331,Wh_hp,'2020'!Maxi_hp)</f>
        <v>30.808485289546699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2.7433245802803041E-2</v>
      </c>
      <c r="M331" s="959"/>
      <c r="N331" s="959"/>
      <c r="O331" s="48">
        <f>IF(t&lt;Tnet,'2020'!Resal+('2020'!Salim-'2020'!Resal)*(1-EXP(('2020'!Tnet-t)/('2020'!Tau_j))),Resal+(Salim-Resal)*(1-EXP((Tnet-t)/(Tau_j))))*Salcycl</f>
        <v>2.7692419218836788E-2</v>
      </c>
      <c r="P331" s="169">
        <f>(INDEX(Models!$BJ331:$BT331,,T331)*(1-R331)+INDEX(Models!$BJ331:$BT331,,T331+1)*R331-ERP_i)*Q331*Ramure*Pc/MaxiM</f>
        <v>1.1855740758764681E-3</v>
      </c>
      <c r="Q331" s="305">
        <f t="shared" si="101"/>
        <v>0.7</v>
      </c>
      <c r="R331" s="177">
        <f t="shared" si="102"/>
        <v>0.99938143579840477</v>
      </c>
      <c r="S331" s="921">
        <f t="shared" si="103"/>
        <v>-1</v>
      </c>
      <c r="T331" s="176">
        <f t="shared" si="104"/>
        <v>5</v>
      </c>
      <c r="U331" s="251">
        <f t="shared" si="105"/>
        <v>-6.1856420159528414E-4</v>
      </c>
      <c r="V331" s="383">
        <f t="shared" si="106"/>
        <v>31.440040088481531</v>
      </c>
      <c r="W331" s="402"/>
      <c r="X331" s="157">
        <f t="shared" si="107"/>
        <v>44513</v>
      </c>
      <c r="Y331" s="385">
        <f t="shared" si="108"/>
        <v>5.411008322872334</v>
      </c>
      <c r="Z331" s="385">
        <f t="shared" si="109"/>
        <v>5.5636369426783858</v>
      </c>
      <c r="AA331" s="386">
        <f t="shared" si="110"/>
        <v>6.1271060779551059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9.1963339316752143E-2</v>
      </c>
      <c r="AD331" s="231">
        <f>(INDEX(Models!$BJ331:$BT331,,AH331)*(1-AF331)+INDEX(Models!$BJ331:$BT331,,AH331+1)*AF331-ERP_i)*AE331*Ramure*Pc/MaxiM</f>
        <v>1.1855740758764681E-3</v>
      </c>
      <c r="AE331" s="305">
        <f t="shared" si="112"/>
        <v>0.7</v>
      </c>
      <c r="AF331" s="177">
        <f t="shared" si="113"/>
        <v>0.99938143579840477</v>
      </c>
      <c r="AG331" s="921">
        <f t="shared" si="119"/>
        <v>-1</v>
      </c>
      <c r="AH331" s="176">
        <f t="shared" si="114"/>
        <v>5</v>
      </c>
      <c r="AI331" s="225">
        <f t="shared" si="115"/>
        <v>-6.1856420159528414E-4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20">
        <v>4.8479999999999999</v>
      </c>
      <c r="C332" s="390"/>
      <c r="D332" s="393">
        <f t="shared" si="98"/>
        <v>4.9848569931527917</v>
      </c>
      <c r="E332" s="385">
        <f t="shared" si="120"/>
        <v>5.1271906271670815</v>
      </c>
      <c r="F332" s="385">
        <f t="shared" si="99"/>
        <v>5.1271906271670815</v>
      </c>
      <c r="G332" s="110">
        <f t="shared" si="121"/>
        <v>0.15542582157348658</v>
      </c>
      <c r="H332" s="414" t="b">
        <f>Wh_hp&gt;='2020'!Maxi_hp</f>
        <v>0</v>
      </c>
      <c r="I332" s="380">
        <f>IF(H332,Wh_hp,'2020'!Maxi_hp)</f>
        <v>20.754830581758107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2.745454751074683E-2</v>
      </c>
      <c r="M332" s="959"/>
      <c r="N332" s="959"/>
      <c r="O332" s="48">
        <f>IF(t&lt;Tnet,'2020'!Resal+('2020'!Salim-'2020'!Resal)*(1-EXP(('2020'!Tnet-t)/('2020'!Tau_j))),Resal+(Salim-Resal)*(1-EXP((Tnet-t)/(Tau_j))))*Salcycl</f>
        <v>2.7760550438697768E-2</v>
      </c>
      <c r="P332" s="169">
        <f>(INDEX(Models!$BJ332:$BT332,,T332)*(1-R332)+INDEX(Models!$BJ332:$BT332,,T332+1)*R332-ERP_i)*Q332*Ramure*Pc/MaxiM</f>
        <v>1.1993568877609266E-3</v>
      </c>
      <c r="Q332" s="305">
        <f t="shared" si="101"/>
        <v>0.7</v>
      </c>
      <c r="R332" s="177">
        <f t="shared" si="102"/>
        <v>0.99941447133096639</v>
      </c>
      <c r="S332" s="921">
        <f t="shared" si="103"/>
        <v>-1</v>
      </c>
      <c r="T332" s="176">
        <f t="shared" si="104"/>
        <v>5</v>
      </c>
      <c r="U332" s="251">
        <f t="shared" si="105"/>
        <v>-5.8552866903360812E-4</v>
      </c>
      <c r="V332" s="383">
        <f t="shared" si="106"/>
        <v>31.15431830301576</v>
      </c>
      <c r="W332" s="402"/>
      <c r="X332" s="157">
        <f t="shared" si="107"/>
        <v>44514</v>
      </c>
      <c r="Y332" s="385">
        <f t="shared" si="108"/>
        <v>4.5280148175817141</v>
      </c>
      <c r="Z332" s="385">
        <f t="shared" si="109"/>
        <v>4.6558387641340078</v>
      </c>
      <c r="AA332" s="386">
        <f t="shared" si="110"/>
        <v>5.1271906271670815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9.1931799948212364E-2</v>
      </c>
      <c r="AD332" s="231">
        <f>(INDEX(Models!$BJ332:$BT332,,AH332)*(1-AF332)+INDEX(Models!$BJ332:$BT332,,AH332+1)*AF332-ERP_i)*AE332*Ramure*Pc/MaxiM</f>
        <v>1.1993568877609266E-3</v>
      </c>
      <c r="AE332" s="305">
        <f t="shared" si="112"/>
        <v>0.7</v>
      </c>
      <c r="AF332" s="177">
        <f t="shared" si="113"/>
        <v>0.99941447133096639</v>
      </c>
      <c r="AG332" s="921">
        <f t="shared" si="119"/>
        <v>-1</v>
      </c>
      <c r="AH332" s="176">
        <f t="shared" si="114"/>
        <v>5</v>
      </c>
      <c r="AI332" s="225">
        <f t="shared" si="115"/>
        <v>-5.8552866903360812E-4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20">
        <v>7.1920000000000002</v>
      </c>
      <c r="C333" s="390"/>
      <c r="D333" s="393">
        <f t="shared" si="98"/>
        <v>7.3951890971260239</v>
      </c>
      <c r="E333" s="385">
        <f t="shared" si="120"/>
        <v>7.6068797107915715</v>
      </c>
      <c r="F333" s="385">
        <f t="shared" si="99"/>
        <v>7.6068797107915715</v>
      </c>
      <c r="G333" s="110">
        <f t="shared" si="121"/>
        <v>0.23268409052822983</v>
      </c>
      <c r="H333" s="414" t="b">
        <f>Wh_hp&gt;='2020'!Maxi_hp</f>
        <v>0</v>
      </c>
      <c r="I333" s="380">
        <f>IF(H333,Wh_hp,'2020'!Maxi_hp)</f>
        <v>29.501536808911666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2.7475848752128385E-2</v>
      </c>
      <c r="M333" s="959"/>
      <c r="N333" s="959"/>
      <c r="O333" s="48">
        <f>IF(t&lt;Tnet,'2020'!Resal+('2020'!Salim-'2020'!Resal)*(1-EXP(('2020'!Tnet-t)/('2020'!Tau_j))),Resal+(Salim-Resal)*(1-EXP((Tnet-t)/(Tau_j))))*Salcycl</f>
        <v>2.7828836752240294E-2</v>
      </c>
      <c r="P333" s="169">
        <f>(INDEX(Models!$BJ333:$BT333,,T333)*(1-R333)+INDEX(Models!$BJ333:$BT333,,T333+1)*R333-ERP_i)*Q333*Ramure*Pc/MaxiM</f>
        <v>1.2197788029712289E-3</v>
      </c>
      <c r="Q333" s="305">
        <f t="shared" si="101"/>
        <v>0.7</v>
      </c>
      <c r="R333" s="177">
        <f t="shared" si="102"/>
        <v>0.99944618086226145</v>
      </c>
      <c r="S333" s="921">
        <f t="shared" si="103"/>
        <v>-1</v>
      </c>
      <c r="T333" s="176">
        <f t="shared" si="104"/>
        <v>5</v>
      </c>
      <c r="U333" s="251">
        <f t="shared" si="105"/>
        <v>-5.5381913773849822E-4</v>
      </c>
      <c r="V333" s="383">
        <f t="shared" si="106"/>
        <v>30.871158120617377</v>
      </c>
      <c r="W333" s="402"/>
      <c r="X333" s="157">
        <f t="shared" si="107"/>
        <v>44515</v>
      </c>
      <c r="Y333" s="385">
        <f t="shared" si="108"/>
        <v>6.7179997242946126</v>
      </c>
      <c r="Z333" s="385">
        <f t="shared" si="109"/>
        <v>6.9077973186316948</v>
      </c>
      <c r="AA333" s="386">
        <f t="shared" si="110"/>
        <v>7.6068797107915715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9.1901333889652187E-2</v>
      </c>
      <c r="AD333" s="231">
        <f>(INDEX(Models!$BJ333:$BT333,,AH333)*(1-AF333)+INDEX(Models!$BJ333:$BT333,,AH333+1)*AF333-ERP_i)*AE333*Ramure*Pc/MaxiM</f>
        <v>1.2197788029712289E-3</v>
      </c>
      <c r="AE333" s="305">
        <f t="shared" si="112"/>
        <v>0.7</v>
      </c>
      <c r="AF333" s="177">
        <f t="shared" si="113"/>
        <v>0.99944618086226145</v>
      </c>
      <c r="AG333" s="921">
        <f t="shared" si="119"/>
        <v>-1</v>
      </c>
      <c r="AH333" s="176">
        <f t="shared" si="114"/>
        <v>5</v>
      </c>
      <c r="AI333" s="225">
        <f t="shared" si="115"/>
        <v>-5.5381913773849822E-4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20">
        <v>7.6710000000000003</v>
      </c>
      <c r="C334" s="390"/>
      <c r="D334" s="393">
        <f t="shared" si="98"/>
        <v>7.8878946177573628</v>
      </c>
      <c r="E334" s="385">
        <f t="shared" si="120"/>
        <v>8.1142606067728593</v>
      </c>
      <c r="F334" s="385">
        <f t="shared" si="99"/>
        <v>8.1142606067728593</v>
      </c>
      <c r="G334" s="110">
        <f t="shared" si="121"/>
        <v>0.2504476128817783</v>
      </c>
      <c r="H334" s="414" t="b">
        <f>Wh_hp&gt;='2020'!Maxi_hp</f>
        <v>0</v>
      </c>
      <c r="I334" s="380">
        <f>IF(H334,Wh_hp,'2020'!Maxi_hp)</f>
        <v>26.374163427809396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2.7497149526958142E-2</v>
      </c>
      <c r="M334" s="959"/>
      <c r="N334" s="959"/>
      <c r="O334" s="48">
        <f>IF(t&lt;Tnet,'2020'!Resal+('2020'!Salim-'2020'!Resal)*(1-EXP(('2020'!Tnet-t)/('2020'!Tau_j))),Resal+(Salim-Resal)*(1-EXP((Tnet-t)/(Tau_j))))*Salcycl</f>
        <v>2.7897303276967968E-2</v>
      </c>
      <c r="P334" s="169">
        <f>(INDEX(Models!$BJ334:$BT334,,T334)*(1-R334)+INDEX(Models!$BJ334:$BT334,,T334+1)*R334-ERP_i)*Q334*Ramure*Pc/MaxiM</f>
        <v>1.2468837850821055E-3</v>
      </c>
      <c r="Q334" s="305">
        <f t="shared" si="101"/>
        <v>0.7</v>
      </c>
      <c r="R334" s="177">
        <f t="shared" si="102"/>
        <v>0.99947661745775107</v>
      </c>
      <c r="S334" s="921">
        <f t="shared" si="103"/>
        <v>-1</v>
      </c>
      <c r="T334" s="176">
        <f t="shared" si="104"/>
        <v>5</v>
      </c>
      <c r="U334" s="251">
        <f t="shared" si="105"/>
        <v>-5.2338254224892911E-4</v>
      </c>
      <c r="V334" s="383">
        <f t="shared" si="106"/>
        <v>30.59096897082885</v>
      </c>
      <c r="W334" s="402"/>
      <c r="X334" s="157">
        <f t="shared" si="107"/>
        <v>44516</v>
      </c>
      <c r="Y334" s="385">
        <f t="shared" si="108"/>
        <v>7.1661665025745771</v>
      </c>
      <c r="Z334" s="385">
        <f t="shared" si="109"/>
        <v>7.3687871445197644</v>
      </c>
      <c r="AA334" s="386">
        <f t="shared" si="110"/>
        <v>8.1142606067728593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9.1872013776690756E-2</v>
      </c>
      <c r="AD334" s="231">
        <f>(INDEX(Models!$BJ334:$BT334,,AH334)*(1-AF334)+INDEX(Models!$BJ334:$BT334,,AH334+1)*AF334-ERP_i)*AE334*Ramure*Pc/MaxiM</f>
        <v>1.2468837850821055E-3</v>
      </c>
      <c r="AE334" s="305">
        <f t="shared" si="112"/>
        <v>0.7</v>
      </c>
      <c r="AF334" s="177">
        <f t="shared" si="113"/>
        <v>0.99947661745775107</v>
      </c>
      <c r="AG334" s="921">
        <f t="shared" si="119"/>
        <v>-1</v>
      </c>
      <c r="AH334" s="176">
        <f t="shared" si="114"/>
        <v>5</v>
      </c>
      <c r="AI334" s="225">
        <f t="shared" si="115"/>
        <v>-5.2338254224892911E-4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20">
        <v>3.1619999999999999</v>
      </c>
      <c r="C335" s="390"/>
      <c r="D335" s="393">
        <f t="shared" ref="D335:D379" si="122">Wh/(1-Ppv)</f>
        <v>3.2514755672889706</v>
      </c>
      <c r="E335" s="385">
        <f t="shared" si="120"/>
        <v>3.3450223761488704</v>
      </c>
      <c r="F335" s="385">
        <f t="shared" ref="F335:F379" si="123">Wh_sa/(1-Pvg*MEDIAN((-Sdif+Wh/Env_an)/Csdif,0,1))</f>
        <v>3.3450223761488704</v>
      </c>
      <c r="G335" s="110">
        <f t="shared" si="121"/>
        <v>0.1041741011111141</v>
      </c>
      <c r="H335" s="414" t="b">
        <f>Wh_hp&gt;='2020'!Maxi_hp</f>
        <v>0</v>
      </c>
      <c r="I335" s="380">
        <f>IF(H335,Wh_hp,'2020'!Maxi_hp)</f>
        <v>31.482813740825435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2.7518449835246317E-2</v>
      </c>
      <c r="M335" s="959"/>
      <c r="N335" s="959"/>
      <c r="O335" s="48">
        <f>IF(t&lt;Tnet,'2020'!Resal+('2020'!Salim-'2020'!Resal)*(1-EXP(('2020'!Tnet-t)/('2020'!Tau_j))),Resal+(Salim-Resal)*(1-EXP((Tnet-t)/(Tau_j))))*Salcycl</f>
        <v>2.7965974017668722E-2</v>
      </c>
      <c r="P335" s="169">
        <f>(INDEX(Models!$BJ335:$BT335,,T335)*(1-R335)+INDEX(Models!$BJ335:$BT335,,T335+1)*R335-ERP_i)*Q335*Ramure*Pc/MaxiM</f>
        <v>1.280717197705338E-3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0.99950583207174537</v>
      </c>
      <c r="S335" s="921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-4.9416792825468514E-4</v>
      </c>
      <c r="V335" s="383">
        <f t="shared" ref="V335:V379" si="130">MaxiM*(1-Ppv)*(1-Pvg)*(1-Psa)</f>
        <v>30.314160031508461</v>
      </c>
      <c r="W335" s="402"/>
      <c r="X335" s="157">
        <f t="shared" ref="X335:X379" si="131">t</f>
        <v>44517</v>
      </c>
      <c r="Y335" s="385">
        <f t="shared" ref="Y335:Y379" si="132">Wh_pvt_s*(1-Ppv)</f>
        <v>2.9542068350710093</v>
      </c>
      <c r="Z335" s="385">
        <f t="shared" ref="Z335:Z379" si="133">Wh_sa_s*(1-Psa_s)</f>
        <v>3.037802449383765</v>
      </c>
      <c r="AA335" s="386">
        <f t="shared" ref="AA335:AA379" si="134">Wh_hp*(1-Pvg_s*MEDIAN((-Sdif+Wh/Env_an)/Csdif,0,1))</f>
        <v>3.3450223761488704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9.1843907818281459E-2</v>
      </c>
      <c r="AD335" s="231">
        <f>(INDEX(Models!$BJ335:$BT335,,AH335)*(1-AF335)+INDEX(Models!$BJ335:$BT335,,AH335+1)*AF335-ERP_i)*AE335*Ramure*Pc/MaxiM</f>
        <v>1.280717197705338E-3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0.99950583207174537</v>
      </c>
      <c r="AG335" s="921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-4.9416792825468514E-4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20">
        <v>18.077000000000002</v>
      </c>
      <c r="C336" s="390"/>
      <c r="D336" s="393">
        <f t="shared" si="122"/>
        <v>18.588934605806081</v>
      </c>
      <c r="E336" s="385">
        <f t="shared" si="120"/>
        <v>19.125104456615077</v>
      </c>
      <c r="F336" s="385">
        <f t="shared" si="123"/>
        <v>19.136003740735831</v>
      </c>
      <c r="G336" s="110">
        <f t="shared" si="121"/>
        <v>0.60128885356715311</v>
      </c>
      <c r="H336" s="414" t="b">
        <f>Wh_hp&gt;='2020'!Maxi_hp</f>
        <v>0</v>
      </c>
      <c r="I336" s="380">
        <f>IF(H336,Wh_hp,'2020'!Maxi_hp)</f>
        <v>29.94043779612808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2.7539749677003011E-2</v>
      </c>
      <c r="M336" s="959"/>
      <c r="N336" s="959"/>
      <c r="O336" s="48">
        <f>IF(t&lt;Tnet,'2020'!Resal+('2020'!Salim-'2020'!Resal)*(1-EXP(('2020'!Tnet-t)/('2020'!Tau_j))),Resal+(Salim-Resal)*(1-EXP((Tnet-t)/(Tau_j))))*Salcycl</f>
        <v>2.8034871758493562E-2</v>
      </c>
      <c r="P336" s="169">
        <f>(INDEX(Models!$BJ336:$BT336,,T336)*(1-R336)+INDEX(Models!$BJ336:$BT336,,T336+1)*R336-ERP_i)*Q336*Ramure*Pc/MaxiM</f>
        <v>1.3213253255482135E-3</v>
      </c>
      <c r="Q336" s="305">
        <f t="shared" si="125"/>
        <v>0.7</v>
      </c>
      <c r="R336" s="177">
        <f t="shared" si="126"/>
        <v>0.99953387363040869</v>
      </c>
      <c r="S336" s="921">
        <f t="shared" si="127"/>
        <v>-1</v>
      </c>
      <c r="T336" s="176">
        <f t="shared" si="128"/>
        <v>5</v>
      </c>
      <c r="U336" s="251">
        <f t="shared" si="129"/>
        <v>-4.6612636959131315E-4</v>
      </c>
      <c r="V336" s="383">
        <f t="shared" si="130"/>
        <v>30.041140224446405</v>
      </c>
      <c r="W336" s="402"/>
      <c r="X336" s="157">
        <f t="shared" si="131"/>
        <v>44518</v>
      </c>
      <c r="Y336" s="385">
        <f t="shared" si="132"/>
        <v>16.890752740742997</v>
      </c>
      <c r="Z336" s="385">
        <f t="shared" si="133"/>
        <v>17.369093220142243</v>
      </c>
      <c r="AA336" s="386">
        <f t="shared" si="134"/>
        <v>19.125104456615077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9.1817079507006585E-2</v>
      </c>
      <c r="AD336" s="231">
        <f>(INDEX(Models!$BJ336:$BT336,,AH336)*(1-AF336)+INDEX(Models!$BJ336:$BT336,,AH336+1)*AF336-ERP_i)*AE336*Ramure*Pc/MaxiM</f>
        <v>1.3213253255482135E-3</v>
      </c>
      <c r="AE336" s="305">
        <f t="shared" si="136"/>
        <v>0.7</v>
      </c>
      <c r="AF336" s="177">
        <f t="shared" si="137"/>
        <v>0.99953387363040869</v>
      </c>
      <c r="AG336" s="921">
        <f t="shared" ref="AG336:AG379" si="143">INDEX(Echel_vg,AH336)</f>
        <v>-1</v>
      </c>
      <c r="AH336" s="176">
        <f t="shared" si="138"/>
        <v>5</v>
      </c>
      <c r="AI336" s="225">
        <f t="shared" si="139"/>
        <v>-4.6612636959131315E-4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20">
        <v>29.777000000000001</v>
      </c>
      <c r="C337" s="390"/>
      <c r="D337" s="393">
        <f t="shared" si="122"/>
        <v>30.620945377577328</v>
      </c>
      <c r="E337" s="385">
        <f t="shared" si="120"/>
        <v>31.506401861425473</v>
      </c>
      <c r="F337" s="385">
        <f t="shared" si="123"/>
        <v>31.549585507891482</v>
      </c>
      <c r="G337" s="110">
        <f t="shared" si="121"/>
        <v>1.0001572536678087</v>
      </c>
      <c r="H337" s="414" t="b">
        <f>Wh_hp&gt;='2020'!Maxi_hp</f>
        <v>1</v>
      </c>
      <c r="I337" s="380">
        <f>IF(H337,Wh_hp,'2020'!Maxi_hp)</f>
        <v>31.549585507891482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2.7561049052238551E-2</v>
      </c>
      <c r="M337" s="959"/>
      <c r="N337" s="959"/>
      <c r="O337" s="48">
        <f>IF(t&lt;Tnet,'2020'!Resal+('2020'!Salim-'2020'!Resal)*(1-EXP(('2020'!Tnet-t)/('2020'!Tau_j))),Resal+(Salim-Resal)*(1-EXP((Tnet-t)/(Tau_j))))*Salcycl</f>
        <v>2.8104017962528541E-2</v>
      </c>
      <c r="P337" s="169">
        <f>(INDEX(Models!$BJ337:$BT337,,T337)*(1-R337)+INDEX(Models!$BJ337:$BT337,,T337+1)*R337-ERP_i)*Q337*Ramure*Pc/MaxiM</f>
        <v>1.3687547956916382E-3</v>
      </c>
      <c r="Q337" s="305">
        <f t="shared" si="125"/>
        <v>0.7</v>
      </c>
      <c r="R337" s="177">
        <f t="shared" si="126"/>
        <v>0.9995607891115792</v>
      </c>
      <c r="S337" s="921">
        <f t="shared" si="127"/>
        <v>-1</v>
      </c>
      <c r="T337" s="176">
        <f t="shared" si="128"/>
        <v>5</v>
      </c>
      <c r="U337" s="251">
        <f t="shared" si="129"/>
        <v>-4.3921088842080458E-4</v>
      </c>
      <c r="V337" s="383">
        <f t="shared" si="130"/>
        <v>29.772318193764857</v>
      </c>
      <c r="W337" s="402"/>
      <c r="X337" s="157">
        <f t="shared" si="131"/>
        <v>44519</v>
      </c>
      <c r="Y337" s="385">
        <f t="shared" si="132"/>
        <v>27.825736913262226</v>
      </c>
      <c r="Z337" s="385">
        <f t="shared" si="133"/>
        <v>28.614379222616105</v>
      </c>
      <c r="AA337" s="386">
        <f t="shared" si="134"/>
        <v>31.506401861425473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9.1791587358319882E-2</v>
      </c>
      <c r="AD337" s="231">
        <f>(INDEX(Models!$BJ337:$BT337,,AH337)*(1-AF337)+INDEX(Models!$BJ337:$BT337,,AH337+1)*AF337-ERP_i)*AE337*Ramure*Pc/MaxiM</f>
        <v>1.3687547956916382E-3</v>
      </c>
      <c r="AE337" s="305">
        <f t="shared" si="136"/>
        <v>0.7</v>
      </c>
      <c r="AF337" s="177">
        <f t="shared" si="137"/>
        <v>0.9995607891115792</v>
      </c>
      <c r="AG337" s="921">
        <f t="shared" si="143"/>
        <v>-1</v>
      </c>
      <c r="AH337" s="176">
        <f t="shared" si="138"/>
        <v>5</v>
      </c>
      <c r="AI337" s="225">
        <f t="shared" si="139"/>
        <v>-4.3921088842080458E-4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20">
        <v>22.193000000000001</v>
      </c>
      <c r="C338" s="390"/>
      <c r="D338" s="393">
        <f t="shared" si="122"/>
        <v>22.822498083476873</v>
      </c>
      <c r="E338" s="385">
        <f t="shared" si="120"/>
        <v>23.484126541636581</v>
      </c>
      <c r="F338" s="385">
        <f t="shared" si="123"/>
        <v>23.505765203340307</v>
      </c>
      <c r="G338" s="110">
        <f t="shared" si="121"/>
        <v>0.7517202521265357</v>
      </c>
      <c r="H338" s="414" t="b">
        <f>Wh_hp&gt;='2020'!Maxi_hp</f>
        <v>0</v>
      </c>
      <c r="I338" s="380">
        <f>IF(H338,Wh_hp,'2020'!Maxi_hp)</f>
        <v>31.724603682982458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2.7582347960963038E-2</v>
      </c>
      <c r="M338" s="959"/>
      <c r="N338" s="959"/>
      <c r="O338" s="48">
        <f>IF(t&lt;Tnet,'2020'!Resal+('2020'!Salim-'2020'!Resal)*(1-EXP(('2020'!Tnet-t)/('2020'!Tau_j))),Resal+(Salim-Resal)*(1-EXP((Tnet-t)/(Tau_j))))*Salcycl</f>
        <v>2.8173432679587398E-2</v>
      </c>
      <c r="P338" s="169">
        <f>(INDEX(Models!$BJ338:$BT338,,T338)*(1-R338)+INDEX(Models!$BJ338:$BT338,,T338+1)*R338-ERP_i)*Q338*Ramure*Pc/MaxiM</f>
        <v>1.4253427241711768E-3</v>
      </c>
      <c r="Q338" s="305">
        <f t="shared" si="125"/>
        <v>0.7</v>
      </c>
      <c r="R338" s="177">
        <f t="shared" si="126"/>
        <v>0.99958662362151829</v>
      </c>
      <c r="S338" s="921">
        <f t="shared" si="127"/>
        <v>-1</v>
      </c>
      <c r="T338" s="176">
        <f t="shared" si="128"/>
        <v>5</v>
      </c>
      <c r="U338" s="251">
        <f t="shared" si="129"/>
        <v>-4.1337637848176678E-4</v>
      </c>
      <c r="V338" s="383">
        <f t="shared" si="130"/>
        <v>29.508034612274852</v>
      </c>
      <c r="W338" s="402"/>
      <c r="X338" s="157">
        <f t="shared" si="131"/>
        <v>44520</v>
      </c>
      <c r="Y338" s="385">
        <f t="shared" si="132"/>
        <v>20.740742114163059</v>
      </c>
      <c r="Z338" s="385">
        <f t="shared" si="133"/>
        <v>21.329047318991321</v>
      </c>
      <c r="AA338" s="386">
        <f t="shared" si="134"/>
        <v>23.484126541636581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9.1767484680529893E-2</v>
      </c>
      <c r="AD338" s="231">
        <f>(INDEX(Models!$BJ338:$BT338,,AH338)*(1-AF338)+INDEX(Models!$BJ338:$BT338,,AH338+1)*AF338-ERP_i)*AE338*Ramure*Pc/MaxiM</f>
        <v>1.4253427241711768E-3</v>
      </c>
      <c r="AE338" s="305">
        <f t="shared" si="136"/>
        <v>0.7</v>
      </c>
      <c r="AF338" s="177">
        <f t="shared" si="137"/>
        <v>0.99958662362151829</v>
      </c>
      <c r="AG338" s="921">
        <f t="shared" si="143"/>
        <v>-1</v>
      </c>
      <c r="AH338" s="176">
        <f t="shared" si="138"/>
        <v>5</v>
      </c>
      <c r="AI338" s="225">
        <f t="shared" si="139"/>
        <v>-4.1337637848176678E-4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20">
        <v>10.013</v>
      </c>
      <c r="C339" s="390"/>
      <c r="D339" s="393">
        <f t="shared" si="122"/>
        <v>10.297241410832884</v>
      </c>
      <c r="E339" s="385">
        <f t="shared" si="120"/>
        <v>10.59652036020489</v>
      </c>
      <c r="F339" s="385">
        <f t="shared" si="123"/>
        <v>10.597475562923528</v>
      </c>
      <c r="G339" s="110">
        <f t="shared" si="121"/>
        <v>0.34186034796809472</v>
      </c>
      <c r="H339" s="414" t="b">
        <f>Wh_hp&gt;='2020'!Maxi_hp</f>
        <v>0</v>
      </c>
      <c r="I339" s="380">
        <f>IF(H339,Wh_hp,'2020'!Maxi_hp)</f>
        <v>30.885830486283265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2.7603646403186799E-2</v>
      </c>
      <c r="M339" s="959"/>
      <c r="N339" s="959"/>
      <c r="O339" s="48">
        <f>IF(t&lt;Tnet,'2020'!Resal+('2020'!Salim-'2020'!Resal)*(1-EXP(('2020'!Tnet-t)/('2020'!Tau_j))),Resal+(Salim-Resal)*(1-EXP((Tnet-t)/(Tau_j))))*Salcycl</f>
        <v>2.8243134462888887E-2</v>
      </c>
      <c r="P339" s="169">
        <f>(INDEX(Models!$BJ339:$BT339,,T339)*(1-R339)+INDEX(Models!$BJ339:$BT339,,T339+1)*R339-ERP_i)*Q339*Ramure*Pc/MaxiM</f>
        <v>1.490196417099338E-3</v>
      </c>
      <c r="Q339" s="305">
        <f t="shared" si="125"/>
        <v>0.7</v>
      </c>
      <c r="R339" s="177">
        <f t="shared" si="126"/>
        <v>0.99961142046870333</v>
      </c>
      <c r="S339" s="921">
        <f t="shared" si="127"/>
        <v>-1</v>
      </c>
      <c r="T339" s="176">
        <f t="shared" si="128"/>
        <v>5</v>
      </c>
      <c r="U339" s="251">
        <f t="shared" si="129"/>
        <v>-3.8857953129667333E-4</v>
      </c>
      <c r="V339" s="383">
        <f t="shared" si="130"/>
        <v>29.248726797541767</v>
      </c>
      <c r="W339" s="402"/>
      <c r="X339" s="157">
        <f t="shared" si="131"/>
        <v>44521</v>
      </c>
      <c r="Y339" s="385">
        <f t="shared" si="132"/>
        <v>9.3586775109128624</v>
      </c>
      <c r="Z339" s="385">
        <f t="shared" si="133"/>
        <v>9.6243445137323818</v>
      </c>
      <c r="AA339" s="386">
        <f t="shared" si="134"/>
        <v>10.59652036020489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9.1744819377076153E-2</v>
      </c>
      <c r="AD339" s="231">
        <f>(INDEX(Models!$BJ339:$BT339,,AH339)*(1-AF339)+INDEX(Models!$BJ339:$BT339,,AH339+1)*AF339-ERP_i)*AE339*Ramure*Pc/MaxiM</f>
        <v>1.490196417099338E-3</v>
      </c>
      <c r="AE339" s="305">
        <f t="shared" si="136"/>
        <v>0.7</v>
      </c>
      <c r="AF339" s="177">
        <f t="shared" si="137"/>
        <v>0.99961142046870333</v>
      </c>
      <c r="AG339" s="921">
        <f t="shared" si="143"/>
        <v>-1</v>
      </c>
      <c r="AH339" s="176">
        <f t="shared" si="138"/>
        <v>5</v>
      </c>
      <c r="AI339" s="225">
        <f t="shared" si="139"/>
        <v>-3.8857953129667333E-4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20">
        <v>17.687999999999999</v>
      </c>
      <c r="C340" s="390"/>
      <c r="D340" s="393">
        <f t="shared" si="122"/>
        <v>18.190511878878091</v>
      </c>
      <c r="E340" s="385">
        <f t="shared" si="120"/>
        <v>18.720549421039458</v>
      </c>
      <c r="F340" s="385">
        <f t="shared" si="123"/>
        <v>18.7335212510995</v>
      </c>
      <c r="G340" s="110">
        <f t="shared" si="121"/>
        <v>0.60950868298572614</v>
      </c>
      <c r="H340" s="414" t="b">
        <f>Wh_hp&gt;='2020'!Maxi_hp</f>
        <v>0</v>
      </c>
      <c r="I340" s="380">
        <f>IF(H340,Wh_hp,'2020'!Maxi_hp)</f>
        <v>31.571381737013635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2.7624944378920047E-2</v>
      </c>
      <c r="M340" s="959"/>
      <c r="N340" s="959"/>
      <c r="O340" s="48">
        <f>IF(t&lt;Tnet,'2020'!Resal+('2020'!Salim-'2020'!Resal)*(1-EXP(('2020'!Tnet-t)/('2020'!Tau_j))),Resal+(Salim-Resal)*(1-EXP((Tnet-t)/(Tau_j))))*Salcycl</f>
        <v>2.8313140295213483E-2</v>
      </c>
      <c r="P340" s="169">
        <f>(INDEX(Models!$BJ340:$BT340,,T340)*(1-R340)+INDEX(Models!$BJ340:$BT340,,T340+1)*R340-ERP_i)*Q340*Ramure*Pc/MaxiM</f>
        <v>1.5633695526812012E-3</v>
      </c>
      <c r="Q340" s="305">
        <f t="shared" si="125"/>
        <v>0.7</v>
      </c>
      <c r="R340" s="177">
        <f t="shared" si="126"/>
        <v>0.99963522123477189</v>
      </c>
      <c r="S340" s="921">
        <f t="shared" si="127"/>
        <v>-1</v>
      </c>
      <c r="T340" s="176">
        <f t="shared" si="128"/>
        <v>5</v>
      </c>
      <c r="U340" s="251">
        <f t="shared" si="129"/>
        <v>-3.6477876522805763E-4</v>
      </c>
      <c r="V340" s="383">
        <f t="shared" si="130"/>
        <v>28.994803204773977</v>
      </c>
      <c r="W340" s="402"/>
      <c r="X340" s="157">
        <f t="shared" si="131"/>
        <v>44522</v>
      </c>
      <c r="Y340" s="385">
        <f t="shared" si="132"/>
        <v>16.533713721865045</v>
      </c>
      <c r="Z340" s="385">
        <f t="shared" si="133"/>
        <v>17.003432601738794</v>
      </c>
      <c r="AA340" s="386">
        <f t="shared" si="134"/>
        <v>18.720549421039458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9.1723633782395828E-2</v>
      </c>
      <c r="AD340" s="231">
        <f>(INDEX(Models!$BJ340:$BT340,,AH340)*(1-AF340)+INDEX(Models!$BJ340:$BT340,,AH340+1)*AF340-ERP_i)*AE340*Ramure*Pc/MaxiM</f>
        <v>1.5633695526812012E-3</v>
      </c>
      <c r="AE340" s="305">
        <f t="shared" si="136"/>
        <v>0.7</v>
      </c>
      <c r="AF340" s="177">
        <f t="shared" si="137"/>
        <v>0.99963522123477189</v>
      </c>
      <c r="AG340" s="921">
        <f t="shared" si="143"/>
        <v>-1</v>
      </c>
      <c r="AH340" s="176">
        <f t="shared" si="138"/>
        <v>5</v>
      </c>
      <c r="AI340" s="225">
        <f t="shared" si="139"/>
        <v>-3.6477876522805763E-4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20">
        <v>10.934000000000001</v>
      </c>
      <c r="C341" s="390"/>
      <c r="D341" s="393">
        <f t="shared" si="122"/>
        <v>11.244878634739148</v>
      </c>
      <c r="E341" s="385">
        <f t="shared" si="120"/>
        <v>11.573371011863086</v>
      </c>
      <c r="F341" s="385">
        <f t="shared" si="123"/>
        <v>11.575556800125788</v>
      </c>
      <c r="G341" s="110">
        <f t="shared" si="121"/>
        <v>0.37980313622448764</v>
      </c>
      <c r="H341" s="414" t="b">
        <f>Wh_hp&gt;='2020'!Maxi_hp</f>
        <v>0</v>
      </c>
      <c r="I341" s="380">
        <f>IF(H341,Wh_hp,'2020'!Maxi_hp)</f>
        <v>31.553325364511156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2.7646241888172995E-2</v>
      </c>
      <c r="M341" s="959"/>
      <c r="N341" s="959"/>
      <c r="O341" s="48">
        <f>IF(t&lt;Tnet,'2020'!Resal+('2020'!Salim-'2020'!Resal)*(1-EXP(('2020'!Tnet-t)/('2020'!Tau_j))),Resal+(Salim-Resal)*(1-EXP((Tnet-t)/(Tau_j))))*Salcycl</f>
        <v>2.8383465525059437E-2</v>
      </c>
      <c r="P341" s="169">
        <f>(INDEX(Models!$BJ341:$BT341,,T341)*(1-R341)+INDEX(Models!$BJ341:$BT341,,T341+1)*R341-ERP_i)*Q341*Ramure*Pc/MaxiM</f>
        <v>1.6449024642527566E-3</v>
      </c>
      <c r="Q341" s="305">
        <f t="shared" si="125"/>
        <v>0.7</v>
      </c>
      <c r="R341" s="177">
        <f t="shared" si="126"/>
        <v>0.99965806584272165</v>
      </c>
      <c r="S341" s="921">
        <f t="shared" si="127"/>
        <v>-1</v>
      </c>
      <c r="T341" s="176">
        <f t="shared" si="128"/>
        <v>5</v>
      </c>
      <c r="U341" s="251">
        <f t="shared" si="129"/>
        <v>-3.419341572783452E-4</v>
      </c>
      <c r="V341" s="383">
        <f t="shared" si="130"/>
        <v>28.746672243348701</v>
      </c>
      <c r="W341" s="402"/>
      <c r="X341" s="157">
        <f t="shared" si="131"/>
        <v>44523</v>
      </c>
      <c r="Y341" s="385">
        <f t="shared" si="132"/>
        <v>10.221428412773419</v>
      </c>
      <c r="Z341" s="385">
        <f t="shared" si="133"/>
        <v>10.512047007070741</v>
      </c>
      <c r="AA341" s="386">
        <f t="shared" si="134"/>
        <v>11.573371011863086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9.1703964532412655E-2</v>
      </c>
      <c r="AD341" s="231">
        <f>(INDEX(Models!$BJ341:$BT341,,AH341)*(1-AF341)+INDEX(Models!$BJ341:$BT341,,AH341+1)*AF341-ERP_i)*AE341*Ramure*Pc/MaxiM</f>
        <v>1.6449024642527566E-3</v>
      </c>
      <c r="AE341" s="305">
        <f t="shared" si="136"/>
        <v>0.7</v>
      </c>
      <c r="AF341" s="177">
        <f t="shared" si="137"/>
        <v>0.99965806584272165</v>
      </c>
      <c r="AG341" s="921">
        <f t="shared" si="143"/>
        <v>-1</v>
      </c>
      <c r="AH341" s="176">
        <f t="shared" si="138"/>
        <v>5</v>
      </c>
      <c r="AI341" s="225">
        <f t="shared" si="139"/>
        <v>-3.419341572783452E-4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20">
        <v>1.48</v>
      </c>
      <c r="C342" s="390"/>
      <c r="D342" s="393">
        <f t="shared" si="122"/>
        <v>1.5221131241188777</v>
      </c>
      <c r="E342" s="385">
        <f t="shared" si="120"/>
        <v>1.5666919714517742</v>
      </c>
      <c r="F342" s="385">
        <f t="shared" si="123"/>
        <v>1.5666919714517742</v>
      </c>
      <c r="G342" s="110">
        <f t="shared" si="121"/>
        <v>5.1831111196642743E-2</v>
      </c>
      <c r="H342" s="414" t="b">
        <f>Wh_hp&gt;='2020'!Maxi_hp</f>
        <v>0</v>
      </c>
      <c r="I342" s="380">
        <f>IF(H342,Wh_hp,'2020'!Maxi_hp)</f>
        <v>29.21125181785667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2.7667538930955748E-2</v>
      </c>
      <c r="M342" s="959"/>
      <c r="N342" s="959"/>
      <c r="O342" s="48">
        <f>IF(t&lt;Tnet,'2020'!Resal+('2020'!Salim-'2020'!Resal)*(1-EXP(('2020'!Tnet-t)/('2020'!Tau_j))),Resal+(Salim-Resal)*(1-EXP((Tnet-t)/(Tau_j))))*Salcycl</f>
        <v>2.845412381323904E-2</v>
      </c>
      <c r="P342" s="169">
        <f>(INDEX(Models!$BJ342:$BT342,,T342)*(1-R342)+INDEX(Models!$BJ342:$BT342,,T342+1)*R342-ERP_i)*Q342*Ramure*Pc/MaxiM</f>
        <v>1.7348359568873603E-3</v>
      </c>
      <c r="Q342" s="305">
        <f t="shared" si="125"/>
        <v>0.7</v>
      </c>
      <c r="R342" s="177">
        <f t="shared" si="126"/>
        <v>0.99967999262246965</v>
      </c>
      <c r="S342" s="921">
        <f t="shared" si="127"/>
        <v>-1</v>
      </c>
      <c r="T342" s="176">
        <f t="shared" si="128"/>
        <v>5</v>
      </c>
      <c r="U342" s="251">
        <f t="shared" si="129"/>
        <v>-3.2000737753035136E-4</v>
      </c>
      <c r="V342" s="383">
        <f t="shared" si="130"/>
        <v>28.504741817680813</v>
      </c>
      <c r="W342" s="402"/>
      <c r="X342" s="157">
        <f t="shared" si="131"/>
        <v>44524</v>
      </c>
      <c r="Y342" s="385">
        <f t="shared" si="132"/>
        <v>1.3836762484341827</v>
      </c>
      <c r="Z342" s="385">
        <f t="shared" si="133"/>
        <v>1.4230484981575962</v>
      </c>
      <c r="AA342" s="386">
        <f t="shared" si="134"/>
        <v>1.5666919714517742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9.1685842470406592E-2</v>
      </c>
      <c r="AD342" s="231">
        <f>(INDEX(Models!$BJ342:$BT342,,AH342)*(1-AF342)+INDEX(Models!$BJ342:$BT342,,AH342+1)*AF342-ERP_i)*AE342*Ramure*Pc/MaxiM</f>
        <v>1.7348359568873603E-3</v>
      </c>
      <c r="AE342" s="305">
        <f t="shared" si="136"/>
        <v>0.7</v>
      </c>
      <c r="AF342" s="177">
        <f t="shared" si="137"/>
        <v>0.99967999262246965</v>
      </c>
      <c r="AG342" s="921">
        <f t="shared" si="143"/>
        <v>-1</v>
      </c>
      <c r="AH342" s="176">
        <f t="shared" si="138"/>
        <v>5</v>
      </c>
      <c r="AI342" s="225">
        <f t="shared" si="139"/>
        <v>-3.2000737753035136E-4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20">
        <v>13.215</v>
      </c>
      <c r="C343" s="390"/>
      <c r="D343" s="393">
        <f t="shared" si="122"/>
        <v>13.591328046607991</v>
      </c>
      <c r="E343" s="385">
        <f t="shared" si="120"/>
        <v>13.99040616037728</v>
      </c>
      <c r="F343" s="385">
        <f t="shared" si="123"/>
        <v>13.99654467213146</v>
      </c>
      <c r="G343" s="110">
        <f t="shared" si="121"/>
        <v>0.46681403794359139</v>
      </c>
      <c r="H343" s="414" t="b">
        <f>Wh_hp&gt;='2020'!Maxi_hp</f>
        <v>0</v>
      </c>
      <c r="I343" s="380">
        <f>IF(H343,Wh_hp,'2020'!Maxi_hp)</f>
        <v>27.276647569608237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2.7688835507278631E-2</v>
      </c>
      <c r="M343" s="959"/>
      <c r="N343" s="959"/>
      <c r="O343" s="48">
        <f>IF(t&lt;Tnet,'2020'!Resal+('2020'!Salim-'2020'!Resal)*(1-EXP(('2020'!Tnet-t)/('2020'!Tau_j))),Resal+(Salim-Resal)*(1-EXP((Tnet-t)/(Tau_j))))*Salcycl</f>
        <v>2.8525127090272228E-2</v>
      </c>
      <c r="P343" s="169">
        <f>(INDEX(Models!$BJ343:$BT343,,T343)*(1-R343)+INDEX(Models!$BJ343:$BT343,,T343+1)*R343-ERP_i)*Q343*Ramure*Pc/MaxiM</f>
        <v>1.8332130797286685E-3</v>
      </c>
      <c r="Q343" s="305">
        <f t="shared" si="125"/>
        <v>0.7</v>
      </c>
      <c r="R343" s="177">
        <f t="shared" si="126"/>
        <v>0.99970103837386692</v>
      </c>
      <c r="S343" s="921">
        <f t="shared" si="127"/>
        <v>-1</v>
      </c>
      <c r="T343" s="176">
        <f t="shared" si="128"/>
        <v>5</v>
      </c>
      <c r="U343" s="251">
        <f t="shared" si="129"/>
        <v>-2.989616261330208E-4</v>
      </c>
      <c r="V343" s="383">
        <f t="shared" si="130"/>
        <v>28.269419248472985</v>
      </c>
      <c r="W343" s="402"/>
      <c r="X343" s="157">
        <f t="shared" si="131"/>
        <v>44525</v>
      </c>
      <c r="Y343" s="385">
        <f t="shared" si="132"/>
        <v>12.35604814202455</v>
      </c>
      <c r="Z343" s="385">
        <f t="shared" si="133"/>
        <v>12.707915524626321</v>
      </c>
      <c r="AA343" s="386">
        <f t="shared" si="134"/>
        <v>13.99040616037728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9.1669292588741694E-2</v>
      </c>
      <c r="AD343" s="231">
        <f>(INDEX(Models!$BJ343:$BT343,,AH343)*(1-AF343)+INDEX(Models!$BJ343:$BT343,,AH343+1)*AF343-ERP_i)*AE343*Ramure*Pc/MaxiM</f>
        <v>1.8332130797286685E-3</v>
      </c>
      <c r="AE343" s="305">
        <f t="shared" si="136"/>
        <v>0.7</v>
      </c>
      <c r="AF343" s="177">
        <f t="shared" si="137"/>
        <v>0.99970103837386692</v>
      </c>
      <c r="AG343" s="921">
        <f t="shared" si="143"/>
        <v>-1</v>
      </c>
      <c r="AH343" s="176">
        <f t="shared" si="138"/>
        <v>5</v>
      </c>
      <c r="AI343" s="225">
        <f t="shared" si="139"/>
        <v>-2.989616261330208E-4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20">
        <v>7.7940000000000005</v>
      </c>
      <c r="C344" s="390"/>
      <c r="D344" s="393">
        <f t="shared" si="122"/>
        <v>8.0161279608552292</v>
      </c>
      <c r="E344" s="385">
        <f t="shared" si="120"/>
        <v>8.2521092845606354</v>
      </c>
      <c r="F344" s="385">
        <f t="shared" si="123"/>
        <v>8.2521092845606354</v>
      </c>
      <c r="G344" s="110">
        <f t="shared" si="121"/>
        <v>0.27740979879653049</v>
      </c>
      <c r="H344" s="414" t="b">
        <f>Wh_hp&gt;='2020'!Maxi_hp</f>
        <v>0</v>
      </c>
      <c r="I344" s="380">
        <f>IF(H344,Wh_hp,'2020'!Maxi_hp)</f>
        <v>27.777098112719983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2.7710131617151856E-2</v>
      </c>
      <c r="M344" s="959"/>
      <c r="N344" s="959"/>
      <c r="O344" s="48">
        <f>IF(t&lt;Tnet,'2020'!Resal+('2020'!Salim-'2020'!Resal)*(1-EXP(('2020'!Tnet-t)/('2020'!Tau_j))),Resal+(Salim-Resal)*(1-EXP((Tnet-t)/(Tau_j))))*Salcycl</f>
        <v>2.8596485524848645E-2</v>
      </c>
      <c r="P344" s="169">
        <f>(INDEX(Models!$BJ344:$BT344,,T344)*(1-R344)+INDEX(Models!$BJ344:$BT344,,T344+1)*R344-ERP_i)*Q344*Ramure*Pc/MaxiM</f>
        <v>1.9400700387113856E-3</v>
      </c>
      <c r="Q344" s="305">
        <f t="shared" si="125"/>
        <v>0.7</v>
      </c>
      <c r="R344" s="177">
        <f t="shared" si="126"/>
        <v>0.99972123842726535</v>
      </c>
      <c r="S344" s="921">
        <f t="shared" si="127"/>
        <v>-1</v>
      </c>
      <c r="T344" s="176">
        <f t="shared" si="128"/>
        <v>5</v>
      </c>
      <c r="U344" s="251">
        <f t="shared" si="129"/>
        <v>-2.7876157273465374E-4</v>
      </c>
      <c r="V344" s="383">
        <f t="shared" si="130"/>
        <v>28.041111481515451</v>
      </c>
      <c r="W344" s="402"/>
      <c r="X344" s="157">
        <f t="shared" si="131"/>
        <v>44526</v>
      </c>
      <c r="Y344" s="385">
        <f t="shared" si="132"/>
        <v>7.2880589942865459</v>
      </c>
      <c r="Z344" s="385">
        <f t="shared" si="133"/>
        <v>7.4957677039341579</v>
      </c>
      <c r="AA344" s="386">
        <f t="shared" si="134"/>
        <v>8.2521092845606354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9.1654334006647464E-2</v>
      </c>
      <c r="AD344" s="231">
        <f>(INDEX(Models!$BJ344:$BT344,,AH344)*(1-AF344)+INDEX(Models!$BJ344:$BT344,,AH344+1)*AF344-ERP_i)*AE344*Ramure*Pc/MaxiM</f>
        <v>1.9400700387113856E-3</v>
      </c>
      <c r="AE344" s="305">
        <f t="shared" si="136"/>
        <v>0.7</v>
      </c>
      <c r="AF344" s="177">
        <f t="shared" si="137"/>
        <v>0.99972123842726535</v>
      </c>
      <c r="AG344" s="921">
        <f t="shared" si="143"/>
        <v>-1</v>
      </c>
      <c r="AH344" s="176">
        <f t="shared" si="138"/>
        <v>5</v>
      </c>
      <c r="AI344" s="225">
        <f t="shared" si="139"/>
        <v>-2.7876157273465374E-4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20">
        <v>13.575000000000001</v>
      </c>
      <c r="C345" s="390"/>
      <c r="D345" s="393">
        <f t="shared" si="122"/>
        <v>13.962191497923021</v>
      </c>
      <c r="E345" s="385">
        <f t="shared" si="120"/>
        <v>14.374276231645018</v>
      </c>
      <c r="F345" s="385">
        <f t="shared" si="123"/>
        <v>14.382218620284819</v>
      </c>
      <c r="G345" s="110">
        <f t="shared" si="121"/>
        <v>0.48730371641485154</v>
      </c>
      <c r="H345" s="414" t="b">
        <f>Wh_hp&gt;='2020'!Maxi_hp</f>
        <v>0</v>
      </c>
      <c r="I345" s="380">
        <f>IF(H345,Wh_hp,'2020'!Maxi_hp)</f>
        <v>27.662208875171967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2.7731427260585639E-2</v>
      </c>
      <c r="M345" s="959"/>
      <c r="N345" s="959"/>
      <c r="O345" s="48">
        <f>IF(t&lt;Tnet,'2020'!Resal+('2020'!Salim-'2020'!Resal)*(1-EXP(('2020'!Tnet-t)/('2020'!Tau_j))),Resal+(Salim-Resal)*(1-EXP((Tnet-t)/(Tau_j))))*Salcycl</f>
        <v>2.8668207503539586E-2</v>
      </c>
      <c r="P345" s="169">
        <f>(INDEX(Models!$BJ345:$BT345,,T345)*(1-R345)+INDEX(Models!$BJ345:$BT345,,T345+1)*R345-ERP_i)*Q345*Ramure*Pc/MaxiM</f>
        <v>2.055785842138556E-3</v>
      </c>
      <c r="Q345" s="305">
        <f t="shared" si="125"/>
        <v>0.7</v>
      </c>
      <c r="R345" s="177">
        <f t="shared" si="126"/>
        <v>0.99974062670172592</v>
      </c>
      <c r="S345" s="921">
        <f t="shared" si="127"/>
        <v>-1</v>
      </c>
      <c r="T345" s="176">
        <f t="shared" si="128"/>
        <v>5</v>
      </c>
      <c r="U345" s="251">
        <f t="shared" si="129"/>
        <v>-2.5937329827407929E-4</v>
      </c>
      <c r="V345" s="383">
        <f t="shared" si="130"/>
        <v>27.815462073779397</v>
      </c>
      <c r="W345" s="402"/>
      <c r="X345" s="157">
        <f t="shared" si="131"/>
        <v>44527</v>
      </c>
      <c r="Y345" s="385">
        <f t="shared" si="132"/>
        <v>12.694914129213624</v>
      </c>
      <c r="Z345" s="385">
        <f t="shared" si="133"/>
        <v>13.057003471216889</v>
      </c>
      <c r="AA345" s="386">
        <f t="shared" si="134"/>
        <v>14.374276231645018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9.1640979983962478E-2</v>
      </c>
      <c r="AD345" s="231">
        <f>(INDEX(Models!$BJ345:$BT345,,AH345)*(1-AF345)+INDEX(Models!$BJ345:$BT345,,AH345+1)*AF345-ERP_i)*AE345*Ramure*Pc/MaxiM</f>
        <v>2.055785842138556E-3</v>
      </c>
      <c r="AE345" s="305">
        <f t="shared" si="136"/>
        <v>0.7</v>
      </c>
      <c r="AF345" s="177">
        <f t="shared" si="137"/>
        <v>0.99974062670172592</v>
      </c>
      <c r="AG345" s="921">
        <f t="shared" si="143"/>
        <v>-1</v>
      </c>
      <c r="AH345" s="176">
        <f t="shared" si="138"/>
        <v>5</v>
      </c>
      <c r="AI345" s="225">
        <f t="shared" si="139"/>
        <v>-2.5937329827407929E-4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20">
        <v>6.0659999999999998</v>
      </c>
      <c r="C346" s="390"/>
      <c r="D346" s="393">
        <f t="shared" si="122"/>
        <v>6.2391534951977432</v>
      </c>
      <c r="E346" s="385">
        <f t="shared" si="120"/>
        <v>6.4237747049204241</v>
      </c>
      <c r="F346" s="385">
        <f t="shared" si="123"/>
        <v>6.4237747049204241</v>
      </c>
      <c r="G346" s="110">
        <f t="shared" si="121"/>
        <v>0.21939077570201071</v>
      </c>
      <c r="H346" s="414" t="b">
        <f>Wh_hp&gt;='2020'!Maxi_hp</f>
        <v>0</v>
      </c>
      <c r="I346" s="380">
        <f>IF(H346,Wh_hp,'2020'!Maxi_hp)</f>
        <v>20.343286490073936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2.7752722437590083E-2</v>
      </c>
      <c r="M346" s="959"/>
      <c r="N346" s="959"/>
      <c r="O346" s="48">
        <f>IF(t&lt;Tnet,'2020'!Resal+('2020'!Salim-'2020'!Resal)*(1-EXP(('2020'!Tnet-t)/('2020'!Tau_j))),Resal+(Salim-Resal)*(1-EXP((Tnet-t)/(Tau_j))))*Salcycl</f>
        <v>2.874029962185105E-2</v>
      </c>
      <c r="P346" s="169">
        <f>(INDEX(Models!$BJ346:$BT346,,T346)*(1-R346)+INDEX(Models!$BJ346:$BT346,,T346+1)*R346-ERP_i)*Q346*Ramure*Pc/MaxiM</f>
        <v>2.1732706362030756E-3</v>
      </c>
      <c r="Q346" s="305">
        <f t="shared" si="125"/>
        <v>0.7</v>
      </c>
      <c r="R346" s="177">
        <f t="shared" si="126"/>
        <v>0.9997592357609606</v>
      </c>
      <c r="S346" s="921">
        <f t="shared" si="127"/>
        <v>-1</v>
      </c>
      <c r="T346" s="176">
        <f t="shared" si="128"/>
        <v>5</v>
      </c>
      <c r="U346" s="251">
        <f t="shared" si="129"/>
        <v>-2.4076423903934829E-4</v>
      </c>
      <c r="V346" s="383">
        <f t="shared" si="130"/>
        <v>27.58920433620272</v>
      </c>
      <c r="W346" s="402"/>
      <c r="X346" s="157">
        <f t="shared" si="131"/>
        <v>44528</v>
      </c>
      <c r="Y346" s="385">
        <f t="shared" si="132"/>
        <v>5.6732272947449784</v>
      </c>
      <c r="Z346" s="385">
        <f t="shared" si="133"/>
        <v>5.8351691238146008</v>
      </c>
      <c r="AA346" s="386">
        <f t="shared" si="134"/>
        <v>6.4237747049204241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9.1629237970467556E-2</v>
      </c>
      <c r="AD346" s="231">
        <f>(INDEX(Models!$BJ346:$BT346,,AH346)*(1-AF346)+INDEX(Models!$BJ346:$BT346,,AH346+1)*AF346-ERP_i)*AE346*Ramure*Pc/MaxiM</f>
        <v>2.1732706362030756E-3</v>
      </c>
      <c r="AE346" s="305">
        <f t="shared" si="136"/>
        <v>0.7</v>
      </c>
      <c r="AF346" s="177">
        <f t="shared" si="137"/>
        <v>0.9997592357609606</v>
      </c>
      <c r="AG346" s="921">
        <f t="shared" si="143"/>
        <v>-1</v>
      </c>
      <c r="AH346" s="176">
        <f t="shared" si="138"/>
        <v>5</v>
      </c>
      <c r="AI346" s="225">
        <f t="shared" si="139"/>
        <v>-2.4076423903934829E-4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20">
        <v>8.2360000000000007</v>
      </c>
      <c r="C347" s="390"/>
      <c r="D347" s="393">
        <f t="shared" si="122"/>
        <v>8.4712815181521819</v>
      </c>
      <c r="E347" s="385">
        <f t="shared" si="120"/>
        <v>8.7226038683095748</v>
      </c>
      <c r="F347" s="385">
        <f t="shared" si="123"/>
        <v>8.722631705669551</v>
      </c>
      <c r="G347" s="110">
        <f t="shared" si="121"/>
        <v>0.30028963576858186</v>
      </c>
      <c r="H347" s="414" t="b">
        <f>Wh_hp&gt;='2020'!Maxi_hp</f>
        <v>0</v>
      </c>
      <c r="I347" s="380">
        <f>IF(H347,Wh_hp,'2020'!Maxi_hp)</f>
        <v>29.549892661364552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2.7774017148175623E-2</v>
      </c>
      <c r="M347" s="959"/>
      <c r="N347" s="959"/>
      <c r="O347" s="48">
        <f>IF(t&lt;Tnet,'2020'!Resal+('2020'!Salim-'2020'!Resal)*(1-EXP(('2020'!Tnet-t)/('2020'!Tau_j))),Resal+(Salim-Resal)*(1-EXP((Tnet-t)/(Tau_j))))*Salcycl</f>
        <v>2.8812766686617704E-2</v>
      </c>
      <c r="P347" s="169">
        <f>(INDEX(Models!$BJ347:$BT347,,T347)*(1-R347)+INDEX(Models!$BJ347:$BT347,,T347+1)*R347-ERP_i)*Q347*Ramure*Pc/MaxiM</f>
        <v>2.2867301094097372E-3</v>
      </c>
      <c r="Q347" s="305">
        <f t="shared" si="125"/>
        <v>0.7</v>
      </c>
      <c r="R347" s="177">
        <f t="shared" si="126"/>
        <v>0.99977709686708982</v>
      </c>
      <c r="S347" s="921">
        <f t="shared" si="127"/>
        <v>-1</v>
      </c>
      <c r="T347" s="176">
        <f t="shared" si="128"/>
        <v>5</v>
      </c>
      <c r="U347" s="251">
        <f t="shared" si="129"/>
        <v>-2.2290313291017938E-4</v>
      </c>
      <c r="V347" s="383">
        <f t="shared" si="130"/>
        <v>27.364223524038561</v>
      </c>
      <c r="W347" s="402"/>
      <c r="X347" s="157">
        <f t="shared" si="131"/>
        <v>44529</v>
      </c>
      <c r="Y347" s="385">
        <f t="shared" si="132"/>
        <v>7.7033807240933694</v>
      </c>
      <c r="Z347" s="385">
        <f t="shared" si="133"/>
        <v>7.9234466677151447</v>
      </c>
      <c r="AA347" s="386">
        <f t="shared" si="134"/>
        <v>8.7226038683095748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9.1619109690155534E-2</v>
      </c>
      <c r="AD347" s="231">
        <f>(INDEX(Models!$BJ347:$BT347,,AH347)*(1-AF347)+INDEX(Models!$BJ347:$BT347,,AH347+1)*AF347-ERP_i)*AE347*Ramure*Pc/MaxiM</f>
        <v>2.2867301094097372E-3</v>
      </c>
      <c r="AE347" s="305">
        <f t="shared" si="136"/>
        <v>0.7</v>
      </c>
      <c r="AF347" s="177">
        <f t="shared" si="137"/>
        <v>0.99977709686708982</v>
      </c>
      <c r="AG347" s="921">
        <f t="shared" si="143"/>
        <v>-1</v>
      </c>
      <c r="AH347" s="176">
        <f t="shared" si="138"/>
        <v>5</v>
      </c>
      <c r="AI347" s="225">
        <f t="shared" si="139"/>
        <v>-2.2290313291017938E-4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20">
        <v>21.177</v>
      </c>
      <c r="C348" s="390"/>
      <c r="D348" s="393">
        <f t="shared" si="122"/>
        <v>21.782449980084795</v>
      </c>
      <c r="E348" s="385">
        <f t="shared" si="120"/>
        <v>22.430364788314357</v>
      </c>
      <c r="F348" s="385">
        <f t="shared" si="123"/>
        <v>22.467295773603123</v>
      </c>
      <c r="G348" s="110">
        <f t="shared" si="121"/>
        <v>0.77963497809151416</v>
      </c>
      <c r="H348" s="414" t="b">
        <f>Wh_hp&gt;='2020'!Maxi_hp</f>
        <v>0</v>
      </c>
      <c r="I348" s="380">
        <f>IF(H348,Wh_hp,'2020'!Maxi_hp)</f>
        <v>27.333508248606524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2.7795311392352251E-2</v>
      </c>
      <c r="M348" s="959"/>
      <c r="N348" s="959"/>
      <c r="O348" s="48">
        <f>IF(t&lt;Tnet,'2020'!Resal+('2020'!Salim-'2020'!Resal)*(1-EXP(('2020'!Tnet-t)/('2020'!Tau_j))),Resal+(Salim-Resal)*(1-EXP((Tnet-t)/(Tau_j))))*Salcycl</f>
        <v>2.8885611729645575E-2</v>
      </c>
      <c r="P348" s="169">
        <f>(INDEX(Models!$BJ348:$BT348,,T348)*(1-R348)+INDEX(Models!$BJ348:$BT348,,T348+1)*R348-ERP_i)*Q348*Ramure*Pc/MaxiM</f>
        <v>2.3960466759826902E-3</v>
      </c>
      <c r="Q348" s="305">
        <f t="shared" si="125"/>
        <v>0.7</v>
      </c>
      <c r="R348" s="177">
        <f t="shared" si="126"/>
        <v>0.99979424003229889</v>
      </c>
      <c r="S348" s="921">
        <f t="shared" si="127"/>
        <v>-1</v>
      </c>
      <c r="T348" s="176">
        <f t="shared" si="128"/>
        <v>5</v>
      </c>
      <c r="U348" s="251">
        <f t="shared" si="129"/>
        <v>-2.0575996770111349E-4</v>
      </c>
      <c r="V348" s="383">
        <f t="shared" si="130"/>
        <v>27.142243902145267</v>
      </c>
      <c r="W348" s="402"/>
      <c r="X348" s="157">
        <f t="shared" si="131"/>
        <v>44530</v>
      </c>
      <c r="Y348" s="385">
        <f t="shared" si="132"/>
        <v>19.809162279183322</v>
      </c>
      <c r="Z348" s="385">
        <f t="shared" si="133"/>
        <v>20.375505807890317</v>
      </c>
      <c r="AA348" s="386">
        <f t="shared" si="134"/>
        <v>22.430364788314357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9.1610591259513E-2</v>
      </c>
      <c r="AD348" s="231">
        <f>(INDEX(Models!$BJ348:$BT348,,AH348)*(1-AF348)+INDEX(Models!$BJ348:$BT348,,AH348+1)*AF348-ERP_i)*AE348*Ramure*Pc/MaxiM</f>
        <v>2.3960466759826902E-3</v>
      </c>
      <c r="AE348" s="305">
        <f t="shared" si="136"/>
        <v>0.7</v>
      </c>
      <c r="AF348" s="177">
        <f t="shared" si="137"/>
        <v>0.99979424003229889</v>
      </c>
      <c r="AG348" s="921">
        <f t="shared" si="143"/>
        <v>-1</v>
      </c>
      <c r="AH348" s="176">
        <f t="shared" si="138"/>
        <v>5</v>
      </c>
      <c r="AI348" s="225">
        <f t="shared" si="139"/>
        <v>-2.0575996770111349E-4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20">
        <v>4.0410000000000004</v>
      </c>
      <c r="C349" s="390"/>
      <c r="D349" s="393">
        <f t="shared" si="122"/>
        <v>4.1566231448616415</v>
      </c>
      <c r="E349" s="385">
        <f t="shared" si="120"/>
        <v>4.2805838713140529</v>
      </c>
      <c r="F349" s="385">
        <f t="shared" si="123"/>
        <v>4.2805838713140529</v>
      </c>
      <c r="G349" s="110">
        <f t="shared" si="121"/>
        <v>0.14970825598759888</v>
      </c>
      <c r="H349" s="414" t="b">
        <f>Wh_hp&gt;='2020'!Maxi_hp</f>
        <v>0</v>
      </c>
      <c r="I349" s="380">
        <f>IF(H349,Wh_hp,'2020'!Maxi_hp)</f>
        <v>28.263329653266126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2.7816605170130293E-2</v>
      </c>
      <c r="M349" s="959"/>
      <c r="N349" s="959"/>
      <c r="O349" s="48">
        <f>IF(t&lt;Tnet,'2020'!Resal+('2020'!Salim-'2020'!Resal)*(1-EXP(('2020'!Tnet-t)/('2020'!Tau_j))),Resal+(Salim-Resal)*(1-EXP((Tnet-t)/(Tau_j))))*Salcycl</f>
        <v>2.8958836032421293E-2</v>
      </c>
      <c r="P349" s="169">
        <f>(INDEX(Models!$BJ349:$BT349,,T349)*(1-R349)+INDEX(Models!$BJ349:$BT349,,T349+1)*R349-ERP_i)*Q349*Ramure*Pc/MaxiM</f>
        <v>2.5010652668072631E-3</v>
      </c>
      <c r="Q349" s="305">
        <f t="shared" si="125"/>
        <v>0.7</v>
      </c>
      <c r="R349" s="177">
        <f t="shared" si="126"/>
        <v>0.99981069406847434</v>
      </c>
      <c r="S349" s="921">
        <f t="shared" si="127"/>
        <v>-1</v>
      </c>
      <c r="T349" s="176">
        <f t="shared" si="128"/>
        <v>5</v>
      </c>
      <c r="U349" s="251">
        <f t="shared" si="129"/>
        <v>-1.8930593152560737E-4</v>
      </c>
      <c r="V349" s="383">
        <f t="shared" si="130"/>
        <v>26.924989331187803</v>
      </c>
      <c r="W349" s="402"/>
      <c r="X349" s="157">
        <f t="shared" si="131"/>
        <v>44531</v>
      </c>
      <c r="Y349" s="385">
        <f t="shared" si="132"/>
        <v>3.7803027227393429</v>
      </c>
      <c r="Z349" s="385">
        <f t="shared" si="133"/>
        <v>3.8884666646676154</v>
      </c>
      <c r="AA349" s="386">
        <f t="shared" si="134"/>
        <v>4.2805838713140529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9.1603673338624653E-2</v>
      </c>
      <c r="AD349" s="231">
        <f>(INDEX(Models!$BJ349:$BT349,,AH349)*(1-AF349)+INDEX(Models!$BJ349:$BT349,,AH349+1)*AF349-ERP_i)*AE349*Ramure*Pc/MaxiM</f>
        <v>2.5010652668072631E-3</v>
      </c>
      <c r="AE349" s="305">
        <f t="shared" si="136"/>
        <v>0.7</v>
      </c>
      <c r="AF349" s="177">
        <f t="shared" si="137"/>
        <v>0.99981069406847434</v>
      </c>
      <c r="AG349" s="921">
        <f t="shared" si="143"/>
        <v>-1</v>
      </c>
      <c r="AH349" s="176">
        <f t="shared" si="138"/>
        <v>5</v>
      </c>
      <c r="AI349" s="225">
        <f t="shared" si="139"/>
        <v>-1.8930593152560737E-4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20">
        <v>10.811999999999999</v>
      </c>
      <c r="C350" s="390"/>
      <c r="D350" s="393">
        <f t="shared" si="122"/>
        <v>11.121602028213267</v>
      </c>
      <c r="E350" s="385">
        <f t="shared" si="120"/>
        <v>11.454143760076084</v>
      </c>
      <c r="F350" s="385">
        <f t="shared" si="123"/>
        <v>11.458603807529059</v>
      </c>
      <c r="G350" s="110">
        <f t="shared" si="121"/>
        <v>0.40383306923828899</v>
      </c>
      <c r="H350" s="414" t="b">
        <f>Wh_hp&gt;='2020'!Maxi_hp</f>
        <v>1</v>
      </c>
      <c r="I350" s="380">
        <f>IF(H350,Wh_hp,'2020'!Maxi_hp)</f>
        <v>11.458603807529059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2.7837898481519963E-2</v>
      </c>
      <c r="M350" s="959"/>
      <c r="N350" s="959"/>
      <c r="O350" s="48">
        <f>IF(t&lt;Tnet,'2020'!Resal+('2020'!Salim-'2020'!Resal)*(1-EXP(('2020'!Tnet-t)/('2020'!Tau_j))),Resal+(Salim-Resal)*(1-EXP((Tnet-t)/(Tau_j))))*Salcycl</f>
        <v>2.9032439161616335E-2</v>
      </c>
      <c r="P350" s="169">
        <f>(INDEX(Models!$BJ350:$BT350,,T350)*(1-R350)+INDEX(Models!$BJ350:$BT350,,T350+1)*R350-ERP_i)*Q350*Ramure*Pc/MaxiM</f>
        <v>2.6015943751255878E-3</v>
      </c>
      <c r="Q350" s="305">
        <f t="shared" si="125"/>
        <v>0.7</v>
      </c>
      <c r="R350" s="177">
        <f t="shared" si="126"/>
        <v>0.99982648663489626</v>
      </c>
      <c r="S350" s="921">
        <f t="shared" si="127"/>
        <v>-1</v>
      </c>
      <c r="T350" s="176">
        <f t="shared" si="128"/>
        <v>5</v>
      </c>
      <c r="U350" s="251">
        <f t="shared" si="129"/>
        <v>-1.7351336510368354E-4</v>
      </c>
      <c r="V350" s="383">
        <f t="shared" si="130"/>
        <v>26.714183256216415</v>
      </c>
      <c r="W350" s="402"/>
      <c r="X350" s="157">
        <f t="shared" si="131"/>
        <v>44532</v>
      </c>
      <c r="Y350" s="385">
        <f t="shared" si="132"/>
        <v>10.115310881484234</v>
      </c>
      <c r="Z350" s="385">
        <f t="shared" si="133"/>
        <v>10.404963190484905</v>
      </c>
      <c r="AA350" s="386">
        <f t="shared" si="134"/>
        <v>11.454143760076084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9.1598341313660209E-2</v>
      </c>
      <c r="AD350" s="231">
        <f>(INDEX(Models!$BJ350:$BT350,,AH350)*(1-AF350)+INDEX(Models!$BJ350:$BT350,,AH350+1)*AF350-ERP_i)*AE350*Ramure*Pc/MaxiM</f>
        <v>2.6015943751255878E-3</v>
      </c>
      <c r="AE350" s="305">
        <f t="shared" si="136"/>
        <v>0.7</v>
      </c>
      <c r="AF350" s="177">
        <f t="shared" si="137"/>
        <v>0.99982648663489626</v>
      </c>
      <c r="AG350" s="921">
        <f t="shared" si="143"/>
        <v>-1</v>
      </c>
      <c r="AH350" s="176">
        <f t="shared" si="138"/>
        <v>5</v>
      </c>
      <c r="AI350" s="225">
        <f t="shared" si="139"/>
        <v>-1.7351336510368354E-4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20">
        <v>15.72</v>
      </c>
      <c r="C351" s="390"/>
      <c r="D351" s="393">
        <f t="shared" si="122"/>
        <v>16.17049696890173</v>
      </c>
      <c r="E351" s="385">
        <f t="shared" si="120"/>
        <v>16.65527230337311</v>
      </c>
      <c r="F351" s="385">
        <f t="shared" si="123"/>
        <v>16.674095051480148</v>
      </c>
      <c r="G351" s="110">
        <f t="shared" si="121"/>
        <v>0.59201802073762977</v>
      </c>
      <c r="H351" s="414" t="b">
        <f>Wh_hp&gt;='2020'!Maxi_hp</f>
        <v>1</v>
      </c>
      <c r="I351" s="380">
        <f>IF(H351,Wh_hp,'2020'!Maxi_hp)</f>
        <v>16.674095051480148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2.7859191326531474E-2</v>
      </c>
      <c r="M351" s="959"/>
      <c r="N351" s="959"/>
      <c r="O351" s="48">
        <f>IF(t&lt;Tnet,'2020'!Resal+('2020'!Salim-'2020'!Resal)*(1-EXP(('2020'!Tnet-t)/('2020'!Tau_j))),Resal+(Salim-Resal)*(1-EXP((Tnet-t)/(Tau_j))))*Salcycl</f>
        <v>2.9106419015028664E-2</v>
      </c>
      <c r="P351" s="169">
        <f>(INDEX(Models!$BJ351:$BT351,,T351)*(1-R351)+INDEX(Models!$BJ351:$BT351,,T351+1)*R351-ERP_i)*Q351*Ramure*Pc/MaxiM</f>
        <v>2.6974075609193082E-3</v>
      </c>
      <c r="Q351" s="305">
        <f t="shared" si="125"/>
        <v>0.7</v>
      </c>
      <c r="R351" s="177">
        <f t="shared" si="126"/>
        <v>0.99984164428405897</v>
      </c>
      <c r="S351" s="921">
        <f t="shared" si="127"/>
        <v>-1</v>
      </c>
      <c r="T351" s="176">
        <f t="shared" si="128"/>
        <v>5</v>
      </c>
      <c r="U351" s="251">
        <f t="shared" si="129"/>
        <v>-1.5835571594108311E-4</v>
      </c>
      <c r="V351" s="383">
        <f t="shared" si="130"/>
        <v>26.511548709064073</v>
      </c>
      <c r="W351" s="402"/>
      <c r="X351" s="157">
        <f t="shared" si="131"/>
        <v>44533</v>
      </c>
      <c r="Y351" s="385">
        <f t="shared" si="132"/>
        <v>14.708237393546595</v>
      </c>
      <c r="Z351" s="385">
        <f t="shared" si="133"/>
        <v>15.12973970675778</v>
      </c>
      <c r="AA351" s="386">
        <f t="shared" si="134"/>
        <v>16.65527230337311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9.1594575509063872E-2</v>
      </c>
      <c r="AD351" s="231">
        <f>(INDEX(Models!$BJ351:$BT351,,AH351)*(1-AF351)+INDEX(Models!$BJ351:$BT351,,AH351+1)*AF351-ERP_i)*AE351*Ramure*Pc/MaxiM</f>
        <v>2.6974075609193082E-3</v>
      </c>
      <c r="AE351" s="305">
        <f t="shared" si="136"/>
        <v>0.7</v>
      </c>
      <c r="AF351" s="177">
        <f t="shared" si="137"/>
        <v>0.99984164428405897</v>
      </c>
      <c r="AG351" s="921">
        <f t="shared" si="143"/>
        <v>-1</v>
      </c>
      <c r="AH351" s="176">
        <f t="shared" si="138"/>
        <v>5</v>
      </c>
      <c r="AI351" s="225">
        <f t="shared" si="139"/>
        <v>-1.5835571594108311E-4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20">
        <v>7.1550000000000002</v>
      </c>
      <c r="C352" s="390"/>
      <c r="D352" s="393">
        <f t="shared" si="122"/>
        <v>7.3602061064166806</v>
      </c>
      <c r="E352" s="385">
        <f t="shared" si="120"/>
        <v>7.5814383287926699</v>
      </c>
      <c r="F352" s="385">
        <f t="shared" si="123"/>
        <v>7.5814383287926699</v>
      </c>
      <c r="G352" s="110">
        <f t="shared" si="121"/>
        <v>0.27110080451427321</v>
      </c>
      <c r="H352" s="414" t="b">
        <f>Wh_hp&gt;='2020'!Maxi_hp</f>
        <v>0</v>
      </c>
      <c r="I352" s="380">
        <f>IF(H352,Wh_hp,'2020'!Maxi_hp)</f>
        <v>13.794125294942017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2.7880483705175041E-2</v>
      </c>
      <c r="M352" s="959"/>
      <c r="N352" s="959"/>
      <c r="O352" s="48">
        <f>IF(t&lt;Tnet,'2020'!Resal+('2020'!Salim-'2020'!Resal)*(1-EXP(('2020'!Tnet-t)/('2020'!Tau_j))),Resal+(Salim-Resal)*(1-EXP((Tnet-t)/(Tau_j))))*Salcycl</f>
        <v>2.9180771877520596E-2</v>
      </c>
      <c r="P352" s="169">
        <f>(INDEX(Models!$BJ352:$BT352,,T352)*(1-R352)+INDEX(Models!$BJ352:$BT352,,T352+1)*R352-ERP_i)*Q352*Ramure*Pc/MaxiM</f>
        <v>2.7847333856652191E-3</v>
      </c>
      <c r="Q352" s="305">
        <f t="shared" si="125"/>
        <v>0.7</v>
      </c>
      <c r="R352" s="177">
        <f t="shared" si="126"/>
        <v>0.99985619250569391</v>
      </c>
      <c r="S352" s="921">
        <f t="shared" si="127"/>
        <v>-1</v>
      </c>
      <c r="T352" s="176">
        <f t="shared" si="128"/>
        <v>5</v>
      </c>
      <c r="U352" s="251">
        <f t="shared" si="129"/>
        <v>-1.4380749430609185E-4</v>
      </c>
      <c r="V352" s="383">
        <f t="shared" si="130"/>
        <v>26.318900991125275</v>
      </c>
      <c r="W352" s="402"/>
      <c r="X352" s="157">
        <f t="shared" si="131"/>
        <v>44534</v>
      </c>
      <c r="Y352" s="385">
        <f t="shared" si="132"/>
        <v>6.6950226543266647</v>
      </c>
      <c r="Z352" s="385">
        <f t="shared" si="133"/>
        <v>6.8870365650556433</v>
      </c>
      <c r="AA352" s="386">
        <f t="shared" si="134"/>
        <v>7.5814383287926699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9.1592351427543489E-2</v>
      </c>
      <c r="AD352" s="231">
        <f>(INDEX(Models!$BJ352:$BT352,,AH352)*(1-AF352)+INDEX(Models!$BJ352:$BT352,,AH352+1)*AF352-ERP_i)*AE352*Ramure*Pc/MaxiM</f>
        <v>2.7847333856652191E-3</v>
      </c>
      <c r="AE352" s="305">
        <f t="shared" si="136"/>
        <v>0.7</v>
      </c>
      <c r="AF352" s="177">
        <f t="shared" si="137"/>
        <v>0.99985619250569391</v>
      </c>
      <c r="AG352" s="921">
        <f t="shared" si="143"/>
        <v>-1</v>
      </c>
      <c r="AH352" s="176">
        <f t="shared" si="138"/>
        <v>5</v>
      </c>
      <c r="AI352" s="225">
        <f t="shared" si="139"/>
        <v>-1.4380749430609185E-4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20">
        <v>6.5369999999999999</v>
      </c>
      <c r="C353" s="390"/>
      <c r="D353" s="393">
        <f t="shared" si="122"/>
        <v>6.7246290920366567</v>
      </c>
      <c r="E353" s="385">
        <f t="shared" si="120"/>
        <v>6.9272903838115978</v>
      </c>
      <c r="F353" s="385">
        <f t="shared" si="123"/>
        <v>6.9272903838115978</v>
      </c>
      <c r="G353" s="110">
        <f t="shared" si="121"/>
        <v>0.24937992958510288</v>
      </c>
      <c r="H353" s="414" t="b">
        <f>Wh_hp&gt;='2020'!Maxi_hp</f>
        <v>0</v>
      </c>
      <c r="I353" s="380">
        <f>IF(H353,Wh_hp,'2020'!Maxi_hp)</f>
        <v>21.606623524518486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2.7901775617460878E-2</v>
      </c>
      <c r="M353" s="959"/>
      <c r="N353" s="959"/>
      <c r="O353" s="48">
        <f>IF(t&lt;Tnet,'2020'!Resal+('2020'!Salim-'2020'!Resal)*(1-EXP(('2020'!Tnet-t)/('2020'!Tau_j))),Resal+(Salim-Resal)*(1-EXP((Tnet-t)/(Tau_j))))*Salcycl</f>
        <v>2.9255492486433176E-2</v>
      </c>
      <c r="P353" s="169">
        <f>(INDEX(Models!$BJ353:$BT353,,T353)*(1-R353)+INDEX(Models!$BJ353:$BT353,,T353+1)*R353-ERP_i)*Q353*Ramure*Pc/MaxiM</f>
        <v>2.8608570898012789E-3</v>
      </c>
      <c r="Q353" s="305">
        <f t="shared" si="125"/>
        <v>0.7</v>
      </c>
      <c r="R353" s="177">
        <f t="shared" si="126"/>
        <v>0.9998701557690628</v>
      </c>
      <c r="S353" s="921">
        <f t="shared" si="127"/>
        <v>-1</v>
      </c>
      <c r="T353" s="176">
        <f t="shared" si="128"/>
        <v>5</v>
      </c>
      <c r="U353" s="251">
        <f t="shared" si="129"/>
        <v>-1.2984423093714836E-4</v>
      </c>
      <c r="V353" s="383">
        <f t="shared" si="130"/>
        <v>26.138023970287261</v>
      </c>
      <c r="W353" s="402"/>
      <c r="X353" s="157">
        <f t="shared" si="131"/>
        <v>44535</v>
      </c>
      <c r="Y353" s="385">
        <f t="shared" si="132"/>
        <v>6.1172279660145676</v>
      </c>
      <c r="Z353" s="385">
        <f t="shared" si="133"/>
        <v>6.2928084966929454</v>
      </c>
      <c r="AA353" s="386">
        <f t="shared" si="134"/>
        <v>6.9272903838115978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9.1591640015752054E-2</v>
      </c>
      <c r="AD353" s="231">
        <f>(INDEX(Models!$BJ353:$BT353,,AH353)*(1-AF353)+INDEX(Models!$BJ353:$BT353,,AH353+1)*AF353-ERP_i)*AE353*Ramure*Pc/MaxiM</f>
        <v>2.8608570898012789E-3</v>
      </c>
      <c r="AE353" s="305">
        <f t="shared" si="136"/>
        <v>0.7</v>
      </c>
      <c r="AF353" s="177">
        <f t="shared" si="137"/>
        <v>0.9998701557690628</v>
      </c>
      <c r="AG353" s="921">
        <f t="shared" si="143"/>
        <v>-1</v>
      </c>
      <c r="AH353" s="176">
        <f t="shared" si="138"/>
        <v>5</v>
      </c>
      <c r="AI353" s="225">
        <f t="shared" si="139"/>
        <v>-1.2984423093714836E-4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20">
        <v>10.399000000000001</v>
      </c>
      <c r="C354" s="390"/>
      <c r="D354" s="393">
        <f t="shared" si="122"/>
        <v>10.697712956303869</v>
      </c>
      <c r="E354" s="385">
        <f t="shared" si="120"/>
        <v>11.020964162387038</v>
      </c>
      <c r="F354" s="385">
        <f t="shared" si="123"/>
        <v>11.025591004146349</v>
      </c>
      <c r="G354" s="110">
        <f t="shared" si="121"/>
        <v>0.39940996584033622</v>
      </c>
      <c r="H354" s="414" t="b">
        <f>Wh_hp&gt;='2020'!Maxi_hp</f>
        <v>0</v>
      </c>
      <c r="I354" s="380">
        <f>IF(H354,Wh_hp,'2020'!Maxi_hp)</f>
        <v>23.022498392650729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2.7923067063399198E-2</v>
      </c>
      <c r="M354" s="959"/>
      <c r="N354" s="959"/>
      <c r="O354" s="48">
        <f>IF(t&lt;Tnet,'2020'!Resal+('2020'!Salim-'2020'!Resal)*(1-EXP(('2020'!Tnet-t)/('2020'!Tau_j))),Resal+(Salim-Resal)*(1-EXP((Tnet-t)/(Tau_j))))*Salcycl</f>
        <v>2.9330574105882554E-2</v>
      </c>
      <c r="P354" s="169">
        <f>(INDEX(Models!$BJ354:$BT354,,T354)*(1-R354)+INDEX(Models!$BJ354:$BT354,,T354+1)*R354-ERP_i)*Q354*Ramure*Pc/MaxiM</f>
        <v>2.9254164527463943E-3</v>
      </c>
      <c r="Q354" s="305">
        <f t="shared" si="125"/>
        <v>0.7</v>
      </c>
      <c r="R354" s="177">
        <f t="shared" si="126"/>
        <v>0.99988355756358582</v>
      </c>
      <c r="S354" s="921">
        <f t="shared" si="127"/>
        <v>-1</v>
      </c>
      <c r="T354" s="176">
        <f t="shared" si="128"/>
        <v>5</v>
      </c>
      <c r="U354" s="251">
        <f t="shared" si="129"/>
        <v>-1.1644243641417695E-4</v>
      </c>
      <c r="V354" s="383">
        <f t="shared" si="130"/>
        <v>25.970637784451466</v>
      </c>
      <c r="W354" s="402"/>
      <c r="X354" s="157">
        <f t="shared" si="131"/>
        <v>44536</v>
      </c>
      <c r="Y354" s="385">
        <f t="shared" si="132"/>
        <v>9.7319749625279606</v>
      </c>
      <c r="Z354" s="385">
        <f t="shared" si="133"/>
        <v>10.01152751678625</v>
      </c>
      <c r="AA354" s="386">
        <f t="shared" si="134"/>
        <v>11.020964162387038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9.1592407953366678E-2</v>
      </c>
      <c r="AD354" s="231">
        <f>(INDEX(Models!$BJ354:$BT354,,AH354)*(1-AF354)+INDEX(Models!$BJ354:$BT354,,AH354+1)*AF354-ERP_i)*AE354*Ramure*Pc/MaxiM</f>
        <v>2.9254164527463943E-3</v>
      </c>
      <c r="AE354" s="305">
        <f t="shared" si="136"/>
        <v>0.7</v>
      </c>
      <c r="AF354" s="177">
        <f t="shared" si="137"/>
        <v>0.99988355756358582</v>
      </c>
      <c r="AG354" s="921">
        <f t="shared" si="143"/>
        <v>-1</v>
      </c>
      <c r="AH354" s="176">
        <f t="shared" si="138"/>
        <v>5</v>
      </c>
      <c r="AI354" s="225">
        <f t="shared" si="139"/>
        <v>-1.1644243641417695E-4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20">
        <v>5.9539999999999997</v>
      </c>
      <c r="C355" s="390"/>
      <c r="D355" s="393">
        <f t="shared" si="122"/>
        <v>6.1251637694453951</v>
      </c>
      <c r="E355" s="385">
        <f t="shared" si="120"/>
        <v>6.3107373667839193</v>
      </c>
      <c r="F355" s="385">
        <f t="shared" si="123"/>
        <v>6.3107373667839193</v>
      </c>
      <c r="G355" s="110">
        <f t="shared" si="121"/>
        <v>0.22992340449641135</v>
      </c>
      <c r="H355" s="414" t="b">
        <f>Wh_hp&gt;='2020'!Maxi_hp</f>
        <v>0</v>
      </c>
      <c r="I355" s="380">
        <f>IF(H355,Wh_hp,'2020'!Maxi_hp)</f>
        <v>23.615013833101326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2.7944358043000217E-2</v>
      </c>
      <c r="M355" s="959"/>
      <c r="N355" s="959"/>
      <c r="O355" s="48">
        <f>IF(t&lt;Tnet,'2020'!Resal+('2020'!Salim-'2020'!Resal)*(1-EXP(('2020'!Tnet-t)/('2020'!Tau_j))),Resal+(Salim-Resal)*(1-EXP((Tnet-t)/(Tau_j))))*Salcycl</f>
        <v>2.9406008609275447E-2</v>
      </c>
      <c r="P355" s="169">
        <f>(INDEX(Models!$BJ355:$BT355,,T355)*(1-R355)+INDEX(Models!$BJ355:$BT355,,T355+1)*R355-ERP_i)*Q355*Ramure*Pc/MaxiM</f>
        <v>2.9780399775537858E-3</v>
      </c>
      <c r="Q355" s="305">
        <f t="shared" si="125"/>
        <v>0.7</v>
      </c>
      <c r="R355" s="177">
        <f t="shared" si="126"/>
        <v>0.99989642043787086</v>
      </c>
      <c r="S355" s="921">
        <f t="shared" si="127"/>
        <v>-1</v>
      </c>
      <c r="T355" s="176">
        <f t="shared" si="128"/>
        <v>5</v>
      </c>
      <c r="U355" s="251">
        <f t="shared" si="129"/>
        <v>-1.0357956212914132E-4</v>
      </c>
      <c r="V355" s="383">
        <f t="shared" si="130"/>
        <v>25.818462296065636</v>
      </c>
      <c r="W355" s="402"/>
      <c r="X355" s="157">
        <f t="shared" si="131"/>
        <v>44537</v>
      </c>
      <c r="Y355" s="385">
        <f t="shared" si="132"/>
        <v>5.5725109496070955</v>
      </c>
      <c r="Z355" s="385">
        <f t="shared" si="133"/>
        <v>5.7327077886078488</v>
      </c>
      <c r="AA355" s="386">
        <f t="shared" si="134"/>
        <v>6.3107373667839193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9.1594617963105987E-2</v>
      </c>
      <c r="AD355" s="231">
        <f>(INDEX(Models!$BJ355:$BT355,,AH355)*(1-AF355)+INDEX(Models!$BJ355:$BT355,,AH355+1)*AF355-ERP_i)*AE355*Ramure*Pc/MaxiM</f>
        <v>2.9780399775537858E-3</v>
      </c>
      <c r="AE355" s="305">
        <f t="shared" si="136"/>
        <v>0.7</v>
      </c>
      <c r="AF355" s="177">
        <f t="shared" si="137"/>
        <v>0.99989642043787086</v>
      </c>
      <c r="AG355" s="921">
        <f t="shared" si="143"/>
        <v>-1</v>
      </c>
      <c r="AH355" s="176">
        <f t="shared" si="138"/>
        <v>5</v>
      </c>
      <c r="AI355" s="225">
        <f t="shared" si="139"/>
        <v>-1.0357956212914132E-4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20">
        <v>8.4930000000000003</v>
      </c>
      <c r="C356" s="390"/>
      <c r="D356" s="393">
        <f t="shared" si="122"/>
        <v>8.737345534533496</v>
      </c>
      <c r="E356" s="385">
        <f t="shared" si="120"/>
        <v>9.0027630740157623</v>
      </c>
      <c r="F356" s="385">
        <f t="shared" si="123"/>
        <v>9.0039543210650557</v>
      </c>
      <c r="G356" s="110">
        <f t="shared" si="121"/>
        <v>0.32972837725251081</v>
      </c>
      <c r="H356" s="414" t="b">
        <f>Wh_hp&gt;='2020'!Maxi_hp</f>
        <v>0</v>
      </c>
      <c r="I356" s="380">
        <f>IF(H356,Wh_hp,'2020'!Maxi_hp)</f>
        <v>18.625313050324355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2.7965648556274147E-2</v>
      </c>
      <c r="M356" s="959"/>
      <c r="N356" s="959"/>
      <c r="O356" s="48">
        <f>IF(t&lt;Tnet,'2020'!Resal+('2020'!Salim-'2020'!Resal)*(1-EXP(('2020'!Tnet-t)/('2020'!Tau_j))),Resal+(Salim-Resal)*(1-EXP((Tnet-t)/(Tau_j))))*Salcycl</f>
        <v>2.948178656931771E-2</v>
      </c>
      <c r="P356" s="169">
        <f>(INDEX(Models!$BJ356:$BT356,,T356)*(1-R356)+INDEX(Models!$BJ356:$BT356,,T356+1)*R356-ERP_i)*Q356*Ramure*Pc/MaxiM</f>
        <v>3.0183568480469602E-3</v>
      </c>
      <c r="Q356" s="305">
        <f t="shared" si="125"/>
        <v>0.7</v>
      </c>
      <c r="R356" s="177">
        <f t="shared" si="126"/>
        <v>0.99990876603720491</v>
      </c>
      <c r="S356" s="921">
        <f t="shared" si="127"/>
        <v>-1</v>
      </c>
      <c r="T356" s="176">
        <f t="shared" si="128"/>
        <v>5</v>
      </c>
      <c r="U356" s="251">
        <f t="shared" si="129"/>
        <v>-9.1233962795089774E-5</v>
      </c>
      <c r="V356" s="383">
        <f t="shared" si="130"/>
        <v>25.683217104202701</v>
      </c>
      <c r="W356" s="402"/>
      <c r="X356" s="157">
        <f t="shared" si="131"/>
        <v>44538</v>
      </c>
      <c r="Y356" s="385">
        <f t="shared" si="132"/>
        <v>7.949419323775313</v>
      </c>
      <c r="Z356" s="385">
        <f t="shared" si="133"/>
        <v>8.178125919077182</v>
      </c>
      <c r="AA356" s="386">
        <f t="shared" si="134"/>
        <v>9.0027630740157623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9.1598229139084025E-2</v>
      </c>
      <c r="AD356" s="231">
        <f>(INDEX(Models!$BJ356:$BT356,,AH356)*(1-AF356)+INDEX(Models!$BJ356:$BT356,,AH356+1)*AF356-ERP_i)*AE356*Ramure*Pc/MaxiM</f>
        <v>3.0183568480469602E-3</v>
      </c>
      <c r="AE356" s="305">
        <f t="shared" si="136"/>
        <v>0.7</v>
      </c>
      <c r="AF356" s="177">
        <f t="shared" si="137"/>
        <v>0.99990876603720491</v>
      </c>
      <c r="AG356" s="921">
        <f t="shared" si="143"/>
        <v>-1</v>
      </c>
      <c r="AH356" s="176">
        <f t="shared" si="138"/>
        <v>5</v>
      </c>
      <c r="AI356" s="225">
        <f t="shared" si="139"/>
        <v>-9.1233962795089774E-5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20">
        <v>8.0850000000000009</v>
      </c>
      <c r="C357" s="390"/>
      <c r="D357" s="393">
        <f t="shared" si="122"/>
        <v>8.3177894630160338</v>
      </c>
      <c r="E357" s="385">
        <f t="shared" si="120"/>
        <v>8.5711341669359804</v>
      </c>
      <c r="F357" s="385">
        <f t="shared" si="123"/>
        <v>8.5717396344948984</v>
      </c>
      <c r="G357" s="110">
        <f t="shared" si="121"/>
        <v>0.31529165510729978</v>
      </c>
      <c r="H357" s="414" t="b">
        <f>Wh_hp&gt;='2020'!Maxi_hp</f>
        <v>0</v>
      </c>
      <c r="I357" s="380">
        <f>IF(H357,Wh_hp,'2020'!Maxi_hp)</f>
        <v>9.4747658981708156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2.7986938603231093E-2</v>
      </c>
      <c r="M357" s="959"/>
      <c r="N357" s="959"/>
      <c r="O357" s="48">
        <f>IF(t&lt;Tnet,'2020'!Resal+('2020'!Salim-'2020'!Resal)*(1-EXP(('2020'!Tnet-t)/('2020'!Tau_j))),Resal+(Salim-Resal)*(1-EXP((Tnet-t)/(Tau_j))))*Salcycl</f>
        <v>2.955789735473404E-2</v>
      </c>
      <c r="P357" s="169">
        <f>(INDEX(Models!$BJ357:$BT357,,T357)*(1-R357)+INDEX(Models!$BJ357:$BT357,,T357+1)*R357-ERP_i)*Q357*Ramure*Pc/MaxiM</f>
        <v>3.0460078546035835E-3</v>
      </c>
      <c r="Q357" s="305">
        <f t="shared" si="125"/>
        <v>0.7</v>
      </c>
      <c r="R357" s="177">
        <f t="shared" si="126"/>
        <v>0.99992061513956498</v>
      </c>
      <c r="S357" s="921">
        <f t="shared" si="127"/>
        <v>-1</v>
      </c>
      <c r="T357" s="176">
        <f t="shared" si="128"/>
        <v>5</v>
      </c>
      <c r="U357" s="251">
        <f t="shared" si="129"/>
        <v>-7.9384860435016691E-5</v>
      </c>
      <c r="V357" s="383">
        <f t="shared" si="130"/>
        <v>25.566621517422636</v>
      </c>
      <c r="W357" s="402"/>
      <c r="X357" s="157">
        <f t="shared" si="131"/>
        <v>44539</v>
      </c>
      <c r="Y357" s="385">
        <f t="shared" si="132"/>
        <v>7.5680848243130194</v>
      </c>
      <c r="Z357" s="385">
        <f t="shared" si="133"/>
        <v>7.7859908728364093</v>
      </c>
      <c r="AA357" s="386">
        <f t="shared" si="134"/>
        <v>8.5711341669359804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9.1603197290778704E-2</v>
      </c>
      <c r="AD357" s="231">
        <f>(INDEX(Models!$BJ357:$BT357,,AH357)*(1-AF357)+INDEX(Models!$BJ357:$BT357,,AH357+1)*AF357-ERP_i)*AE357*Ramure*Pc/MaxiM</f>
        <v>3.0460078546035835E-3</v>
      </c>
      <c r="AE357" s="305">
        <f t="shared" si="136"/>
        <v>0.7</v>
      </c>
      <c r="AF357" s="177">
        <f t="shared" si="137"/>
        <v>0.99992061513956498</v>
      </c>
      <c r="AG357" s="921">
        <f t="shared" si="143"/>
        <v>-1</v>
      </c>
      <c r="AH357" s="176">
        <f t="shared" si="138"/>
        <v>5</v>
      </c>
      <c r="AI357" s="225">
        <f t="shared" si="139"/>
        <v>-7.9384860435016691E-5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20">
        <v>2.6230000000000002</v>
      </c>
      <c r="C358" s="390"/>
      <c r="D358" s="393">
        <f t="shared" si="122"/>
        <v>2.6985825148489218</v>
      </c>
      <c r="E358" s="385">
        <f t="shared" si="120"/>
        <v>2.7809954495973987</v>
      </c>
      <c r="F358" s="385">
        <f t="shared" si="123"/>
        <v>2.7809954495973987</v>
      </c>
      <c r="G358" s="110">
        <f t="shared" si="121"/>
        <v>0.10266711396760125</v>
      </c>
      <c r="H358" s="414" t="b">
        <f>Wh_hp&gt;='2020'!Maxi_hp</f>
        <v>0</v>
      </c>
      <c r="I358" s="380">
        <f>IF(H358,Wh_hp,'2020'!Maxi_hp)</f>
        <v>22.134135091685113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2.8008228183881489E-2</v>
      </c>
      <c r="M358" s="959"/>
      <c r="N358" s="959"/>
      <c r="O358" s="48">
        <f>IF(t&lt;Tnet,'2020'!Resal+('2020'!Salim-'2020'!Resal)*(1-EXP(('2020'!Tnet-t)/('2020'!Tau_j))),Resal+(Salim-Resal)*(1-EXP((Tnet-t)/(Tau_j))))*Salcycl</f>
        <v>2.9634329232867934E-2</v>
      </c>
      <c r="P358" s="169">
        <f>(INDEX(Models!$BJ358:$BT358,,T358)*(1-R358)+INDEX(Models!$BJ358:$BT358,,T358+1)*R358-ERP_i)*Q358*Ramure*Pc/MaxiM</f>
        <v>3.0606571550446013E-3</v>
      </c>
      <c r="Q358" s="305">
        <f t="shared" si="125"/>
        <v>0.7</v>
      </c>
      <c r="R358" s="177">
        <f t="shared" si="126"/>
        <v>0.99993198769020952</v>
      </c>
      <c r="S358" s="921">
        <f t="shared" si="127"/>
        <v>-1</v>
      </c>
      <c r="T358" s="176">
        <f t="shared" si="128"/>
        <v>5</v>
      </c>
      <c r="U358" s="251">
        <f t="shared" si="129"/>
        <v>-6.8012309790477232E-5</v>
      </c>
      <c r="V358" s="383">
        <f t="shared" si="130"/>
        <v>25.470394513159562</v>
      </c>
      <c r="W358" s="402"/>
      <c r="X358" s="157">
        <f t="shared" si="131"/>
        <v>44540</v>
      </c>
      <c r="Y358" s="385">
        <f t="shared" si="132"/>
        <v>2.4554746917262178</v>
      </c>
      <c r="Z358" s="385">
        <f t="shared" si="133"/>
        <v>2.5262299156486527</v>
      </c>
      <c r="AA358" s="386">
        <f t="shared" si="134"/>
        <v>2.7809954495973987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9.1609475299798876E-2</v>
      </c>
      <c r="AD358" s="231">
        <f>(INDEX(Models!$BJ358:$BT358,,AH358)*(1-AF358)+INDEX(Models!$BJ358:$BT358,,AH358+1)*AF358-ERP_i)*AE358*Ramure*Pc/MaxiM</f>
        <v>3.0606571550446013E-3</v>
      </c>
      <c r="AE358" s="305">
        <f t="shared" si="136"/>
        <v>0.7</v>
      </c>
      <c r="AF358" s="177">
        <f t="shared" si="137"/>
        <v>0.99993198769020952</v>
      </c>
      <c r="AG358" s="921">
        <f t="shared" si="143"/>
        <v>-1</v>
      </c>
      <c r="AH358" s="176">
        <f t="shared" si="138"/>
        <v>5</v>
      </c>
      <c r="AI358" s="225">
        <f t="shared" si="139"/>
        <v>-6.8012309790477232E-5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20">
        <v>15.167</v>
      </c>
      <c r="C359" s="390"/>
      <c r="D359" s="393">
        <f t="shared" si="122"/>
        <v>15.604383332547949</v>
      </c>
      <c r="E359" s="385">
        <f t="shared" si="120"/>
        <v>16.08220277659111</v>
      </c>
      <c r="F359" s="385">
        <f t="shared" si="123"/>
        <v>16.103146578141981</v>
      </c>
      <c r="G359" s="110">
        <f t="shared" si="121"/>
        <v>0.596237056834655</v>
      </c>
      <c r="H359" s="414" t="b">
        <f>Wh_hp&gt;='2020'!Maxi_hp</f>
        <v>0</v>
      </c>
      <c r="I359" s="380">
        <f>IF(H359,Wh_hp,'2020'!Maxi_hp)</f>
        <v>23.016717284204159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2.802951729823544E-2</v>
      </c>
      <c r="M359" s="959"/>
      <c r="N359" s="959"/>
      <c r="O359" s="48">
        <f>IF(t&lt;Tnet,'2020'!Resal+('2020'!Salim-'2020'!Resal)*(1-EXP(('2020'!Tnet-t)/('2020'!Tau_j))),Resal+(Salim-Resal)*(1-EXP((Tnet-t)/(Tau_j))))*Salcycl</f>
        <v>2.971106947728969E-2</v>
      </c>
      <c r="P359" s="169">
        <f>(INDEX(Models!$BJ359:$BT359,,T359)*(1-R359)+INDEX(Models!$BJ359:$BT359,,T359+1)*R359-ERP_i)*Q359*Ramure*Pc/MaxiM</f>
        <v>3.0623966450569386E-3</v>
      </c>
      <c r="Q359" s="305">
        <f t="shared" si="125"/>
        <v>0.7</v>
      </c>
      <c r="R359" s="177">
        <f t="shared" si="126"/>
        <v>0.99994290283490084</v>
      </c>
      <c r="S359" s="921">
        <f t="shared" si="127"/>
        <v>-1</v>
      </c>
      <c r="T359" s="176">
        <f t="shared" si="128"/>
        <v>5</v>
      </c>
      <c r="U359" s="251">
        <f t="shared" si="129"/>
        <v>-5.7097165099162517E-5</v>
      </c>
      <c r="V359" s="383">
        <f t="shared" si="130"/>
        <v>25.392994118956903</v>
      </c>
      <c r="W359" s="402"/>
      <c r="X359" s="157">
        <f t="shared" si="131"/>
        <v>44541</v>
      </c>
      <c r="Y359" s="385">
        <f t="shared" si="132"/>
        <v>14.199321792764508</v>
      </c>
      <c r="Z359" s="385">
        <f t="shared" si="133"/>
        <v>14.608799387914509</v>
      </c>
      <c r="AA359" s="386">
        <f t="shared" si="134"/>
        <v>16.08220277659111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9.1617013486563773E-2</v>
      </c>
      <c r="AD359" s="231">
        <f>(INDEX(Models!$BJ359:$BT359,,AH359)*(1-AF359)+INDEX(Models!$BJ359:$BT359,,AH359+1)*AF359-ERP_i)*AE359*Ramure*Pc/MaxiM</f>
        <v>3.0623966450569386E-3</v>
      </c>
      <c r="AE359" s="305">
        <f t="shared" si="136"/>
        <v>0.7</v>
      </c>
      <c r="AF359" s="177">
        <f t="shared" si="137"/>
        <v>0.99994290283490084</v>
      </c>
      <c r="AG359" s="921">
        <f t="shared" si="143"/>
        <v>-1</v>
      </c>
      <c r="AH359" s="176">
        <f t="shared" si="138"/>
        <v>5</v>
      </c>
      <c r="AI359" s="225">
        <f t="shared" si="139"/>
        <v>-5.7097165099162517E-5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20">
        <v>25.039000000000001</v>
      </c>
      <c r="C360" s="390"/>
      <c r="D360" s="393">
        <f t="shared" si="122"/>
        <v>25.761634613400052</v>
      </c>
      <c r="E360" s="385">
        <f t="shared" si="120"/>
        <v>26.552585813823281</v>
      </c>
      <c r="F360" s="385">
        <f t="shared" si="123"/>
        <v>26.632515874966092</v>
      </c>
      <c r="G360" s="110">
        <f t="shared" si="121"/>
        <v>0.98840698386997072</v>
      </c>
      <c r="H360" s="414" t="b">
        <f>Wh_hp&gt;='2020'!Maxi_hp</f>
        <v>1</v>
      </c>
      <c r="I360" s="380">
        <f>IF(H360,Wh_hp,'2020'!Maxi_hp)</f>
        <v>26.632515874966092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2.8050805946303048E-2</v>
      </c>
      <c r="M360" s="959"/>
      <c r="N360" s="959"/>
      <c r="O360" s="48">
        <f>IF(t&lt;Tnet,'2020'!Resal+('2020'!Salim-'2020'!Resal)*(1-EXP(('2020'!Tnet-t)/('2020'!Tau_j))),Resal+(Salim-Resal)*(1-EXP((Tnet-t)/(Tau_j))))*Salcycl</f>
        <v>2.9788104479506486E-2</v>
      </c>
      <c r="P360" s="169">
        <f>(INDEX(Models!$BJ360:$BT360,,T360)*(1-R360)+INDEX(Models!$BJ360:$BT360,,T360+1)*R360-ERP_i)*Q360*Ramure*Pc/MaxiM</f>
        <v>3.0515412889385498E-3</v>
      </c>
      <c r="Q360" s="305">
        <f t="shared" si="125"/>
        <v>0.7</v>
      </c>
      <c r="R360" s="177">
        <f t="shared" si="126"/>
        <v>0.99995337895181557</v>
      </c>
      <c r="S360" s="921">
        <f t="shared" si="127"/>
        <v>-1</v>
      </c>
      <c r="T360" s="176">
        <f t="shared" si="128"/>
        <v>5</v>
      </c>
      <c r="U360" s="251">
        <f t="shared" si="129"/>
        <v>-4.6621048184425362E-5</v>
      </c>
      <c r="V360" s="383">
        <f t="shared" si="130"/>
        <v>25.331403603515373</v>
      </c>
      <c r="W360" s="402"/>
      <c r="X360" s="157">
        <f t="shared" si="131"/>
        <v>44542</v>
      </c>
      <c r="Y360" s="385">
        <f t="shared" si="132"/>
        <v>23.443108356818822</v>
      </c>
      <c r="Z360" s="385">
        <f t="shared" si="133"/>
        <v>24.119684959092286</v>
      </c>
      <c r="AA360" s="386">
        <f t="shared" si="134"/>
        <v>26.552585813823281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9.1625759983964605E-2</v>
      </c>
      <c r="AD360" s="231">
        <f>(INDEX(Models!$BJ360:$BT360,,AH360)*(1-AF360)+INDEX(Models!$BJ360:$BT360,,AH360+1)*AF360-ERP_i)*AE360*Ramure*Pc/MaxiM</f>
        <v>3.0515412889385498E-3</v>
      </c>
      <c r="AE360" s="305">
        <f t="shared" si="136"/>
        <v>0.7</v>
      </c>
      <c r="AF360" s="177">
        <f t="shared" si="137"/>
        <v>0.99995337895181557</v>
      </c>
      <c r="AG360" s="921">
        <f t="shared" si="143"/>
        <v>-1</v>
      </c>
      <c r="AH360" s="176">
        <f t="shared" si="138"/>
        <v>5</v>
      </c>
      <c r="AI360" s="225">
        <f t="shared" si="139"/>
        <v>-4.6621048184425362E-5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20">
        <v>26.179000000000002</v>
      </c>
      <c r="C361" s="390"/>
      <c r="D361" s="393">
        <f t="shared" si="122"/>
        <v>26.93512537487554</v>
      </c>
      <c r="E361" s="385">
        <f t="shared" ref="E361:E379" si="144">Wh_pvt/(1-Psa)</f>
        <v>27.76431840115962</v>
      </c>
      <c r="F361" s="385">
        <f t="shared" si="123"/>
        <v>27.848923412804474</v>
      </c>
      <c r="G361" s="110">
        <f t="shared" ref="G361:G379" si="145">+Wh_hp/MaxiM</f>
        <v>1.03536185034025</v>
      </c>
      <c r="H361" s="414" t="b">
        <f>Wh_hp&gt;='2020'!Maxi_hp</f>
        <v>1</v>
      </c>
      <c r="I361" s="380">
        <f>IF(H361,Wh_hp,'2020'!Maxi_hp)</f>
        <v>27.848923412804474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2.8072094128094638E-2</v>
      </c>
      <c r="M361" s="959"/>
      <c r="N361" s="959"/>
      <c r="O361" s="48">
        <f>IF(t&lt;Tnet,'2020'!Resal+('2020'!Salim-'2020'!Resal)*(1-EXP(('2020'!Tnet-t)/('2020'!Tau_j))),Resal+(Salim-Resal)*(1-EXP((Tnet-t)/(Tau_j))))*Salcycl</f>
        <v>2.9865419863843945E-2</v>
      </c>
      <c r="P361" s="169">
        <f>(INDEX(Models!$BJ361:$BT361,,T361)*(1-R361)+INDEX(Models!$BJ361:$BT361,,T361+1)*R361-ERP_i)*Q361*Ramure*Pc/MaxiM</f>
        <v>3.0379993650295131E-3</v>
      </c>
      <c r="Q361" s="305">
        <f t="shared" si="125"/>
        <v>0.7</v>
      </c>
      <c r="R361" s="177">
        <f t="shared" si="126"/>
        <v>0.99996343368219143</v>
      </c>
      <c r="S361" s="921">
        <f t="shared" si="127"/>
        <v>-1</v>
      </c>
      <c r="T361" s="176">
        <f t="shared" si="128"/>
        <v>5</v>
      </c>
      <c r="U361" s="251">
        <f t="shared" si="129"/>
        <v>-3.6566317808517379E-5</v>
      </c>
      <c r="V361" s="383">
        <f t="shared" si="130"/>
        <v>25.284879862433431</v>
      </c>
      <c r="W361" s="402"/>
      <c r="X361" s="157">
        <f t="shared" si="131"/>
        <v>44543</v>
      </c>
      <c r="Y361" s="385">
        <f t="shared" si="132"/>
        <v>24.512135238320617</v>
      </c>
      <c r="Z361" s="385">
        <f t="shared" si="133"/>
        <v>25.220116729060333</v>
      </c>
      <c r="AA361" s="386">
        <f t="shared" si="134"/>
        <v>27.76431840115962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9.1635661115059885E-2</v>
      </c>
      <c r="AD361" s="231">
        <f>(INDEX(Models!$BJ361:$BT361,,AH361)*(1-AF361)+INDEX(Models!$BJ361:$BT361,,AH361+1)*AF361-ERP_i)*AE361*Ramure*Pc/MaxiM</f>
        <v>3.0379993650295131E-3</v>
      </c>
      <c r="AE361" s="305">
        <f t="shared" si="136"/>
        <v>0.7</v>
      </c>
      <c r="AF361" s="177">
        <f t="shared" si="137"/>
        <v>0.99996343368219143</v>
      </c>
      <c r="AG361" s="921">
        <f t="shared" si="143"/>
        <v>-1</v>
      </c>
      <c r="AH361" s="176">
        <f t="shared" si="138"/>
        <v>5</v>
      </c>
      <c r="AI361" s="225">
        <f t="shared" si="139"/>
        <v>-3.6566317808517379E-5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20">
        <v>26.242000000000001</v>
      </c>
      <c r="C362" s="390"/>
      <c r="D362" s="393">
        <f t="shared" si="122"/>
        <v>27.000536378462719</v>
      </c>
      <c r="E362" s="385">
        <f t="shared" si="144"/>
        <v>27.833968926866955</v>
      </c>
      <c r="F362" s="385">
        <f t="shared" si="123"/>
        <v>27.918333223458241</v>
      </c>
      <c r="G362" s="110">
        <f t="shared" si="145"/>
        <v>1.0391664619110799</v>
      </c>
      <c r="H362" s="414" t="b">
        <f>Wh_hp&gt;='2020'!Maxi_hp</f>
        <v>1</v>
      </c>
      <c r="I362" s="380">
        <f>IF(H362,Wh_hp,'2020'!Maxi_hp)</f>
        <v>27.918333223458241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2.8093381843620424E-2</v>
      </c>
      <c r="M362" s="959"/>
      <c r="N362" s="959"/>
      <c r="O362" s="48">
        <f>IF(t&lt;Tnet,'2020'!Resal+('2020'!Salim-'2020'!Resal)*(1-EXP(('2020'!Tnet-t)/('2020'!Tau_j))),Resal+(Salim-Resal)*(1-EXP((Tnet-t)/(Tau_j))))*Salcycl</f>
        <v>2.9943000604551181E-2</v>
      </c>
      <c r="P362" s="169">
        <f>(INDEX(Models!$BJ362:$BT362,,T362)*(1-R362)+INDEX(Models!$BJ362:$BT362,,T362+1)*R362-ERP_i)*Q362*Ramure*Pc/MaxiM</f>
        <v>3.0218242584911549E-3</v>
      </c>
      <c r="Q362" s="305">
        <f t="shared" si="125"/>
        <v>0.7</v>
      </c>
      <c r="R362" s="177">
        <f t="shared" si="126"/>
        <v>0.99997308395976081</v>
      </c>
      <c r="S362" s="921">
        <f t="shared" si="127"/>
        <v>-1</v>
      </c>
      <c r="T362" s="176">
        <f t="shared" si="128"/>
        <v>5</v>
      </c>
      <c r="U362" s="251">
        <f t="shared" si="129"/>
        <v>-2.691604023918881E-5</v>
      </c>
      <c r="V362" s="383">
        <f t="shared" si="130"/>
        <v>25.252932000653324</v>
      </c>
      <c r="W362" s="402"/>
      <c r="X362" s="157">
        <f t="shared" si="131"/>
        <v>44544</v>
      </c>
      <c r="Y362" s="385">
        <f t="shared" si="132"/>
        <v>24.572791409822585</v>
      </c>
      <c r="Z362" s="385">
        <f t="shared" si="133"/>
        <v>25.283078590857819</v>
      </c>
      <c r="AA362" s="386">
        <f t="shared" si="134"/>
        <v>27.833968926866955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9.1646661771863508E-2</v>
      </c>
      <c r="AD362" s="231">
        <f>(INDEX(Models!$BJ362:$BT362,,AH362)*(1-AF362)+INDEX(Models!$BJ362:$BT362,,AH362+1)*AF362-ERP_i)*AE362*Ramure*Pc/MaxiM</f>
        <v>3.0218242584911549E-3</v>
      </c>
      <c r="AE362" s="305">
        <f t="shared" si="136"/>
        <v>0.7</v>
      </c>
      <c r="AF362" s="177">
        <f t="shared" si="137"/>
        <v>0.99997308395976081</v>
      </c>
      <c r="AG362" s="921">
        <f t="shared" si="143"/>
        <v>-1</v>
      </c>
      <c r="AH362" s="176">
        <f t="shared" si="138"/>
        <v>5</v>
      </c>
      <c r="AI362" s="225">
        <f t="shared" si="139"/>
        <v>-2.691604023918881E-5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20">
        <v>24.663</v>
      </c>
      <c r="C363" s="390"/>
      <c r="D363" s="393">
        <f t="shared" si="122"/>
        <v>25.376450508807235</v>
      </c>
      <c r="E363" s="385">
        <f t="shared" si="144"/>
        <v>26.161851020719283</v>
      </c>
      <c r="F363" s="385">
        <f t="shared" si="123"/>
        <v>26.238094222517823</v>
      </c>
      <c r="G363" s="110">
        <f t="shared" si="145"/>
        <v>0.97723505599140537</v>
      </c>
      <c r="H363" s="414" t="b">
        <f>Wh_hp&gt;='2020'!Maxi_hp</f>
        <v>0</v>
      </c>
      <c r="I363" s="380">
        <f>IF(H363,Wh_hp,'2020'!Maxi_hp)</f>
        <v>27.64680505166011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2.8114669092890732E-2</v>
      </c>
      <c r="M363" s="959"/>
      <c r="N363" s="959"/>
      <c r="O363" s="48">
        <f>IF(t&lt;Tnet,'2020'!Resal+('2020'!Salim-'2020'!Resal)*(1-EXP(('2020'!Tnet-t)/('2020'!Tau_j))),Resal+(Salim-Resal)*(1-EXP((Tnet-t)/(Tau_j))))*Salcycl</f>
        <v>3.0020831144173876E-2</v>
      </c>
      <c r="P363" s="169">
        <f>(INDEX(Models!$BJ363:$BT363,,T363)*(1-R363)+INDEX(Models!$BJ363:$BT363,,T363+1)*R363-ERP_i)*Q363*Ramure*Pc/MaxiM</f>
        <v>3.003075986840215E-3</v>
      </c>
      <c r="Q363" s="305">
        <f t="shared" si="125"/>
        <v>0.7</v>
      </c>
      <c r="R363" s="177">
        <f t="shared" si="126"/>
        <v>0.99998234603901737</v>
      </c>
      <c r="S363" s="921">
        <f t="shared" si="127"/>
        <v>-1</v>
      </c>
      <c r="T363" s="176">
        <f t="shared" si="128"/>
        <v>5</v>
      </c>
      <c r="U363" s="251">
        <f t="shared" si="129"/>
        <v>-1.7653960982688677E-5</v>
      </c>
      <c r="V363" s="383">
        <f t="shared" si="130"/>
        <v>25.235069347598316</v>
      </c>
      <c r="W363" s="402"/>
      <c r="X363" s="157">
        <f t="shared" si="131"/>
        <v>44545</v>
      </c>
      <c r="Y363" s="385">
        <f t="shared" si="132"/>
        <v>23.095775722142204</v>
      </c>
      <c r="Z363" s="385">
        <f t="shared" si="133"/>
        <v>23.763889615028717</v>
      </c>
      <c r="AA363" s="386">
        <f t="shared" si="134"/>
        <v>26.161851020719283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9.1658705792318079E-2</v>
      </c>
      <c r="AD363" s="231">
        <f>(INDEX(Models!$BJ363:$BT363,,AH363)*(1-AF363)+INDEX(Models!$BJ363:$BT363,,AH363+1)*AF363-ERP_i)*AE363*Ramure*Pc/MaxiM</f>
        <v>3.003075986840215E-3</v>
      </c>
      <c r="AE363" s="305">
        <f t="shared" si="136"/>
        <v>0.7</v>
      </c>
      <c r="AF363" s="177">
        <f t="shared" si="137"/>
        <v>0.99998234603901737</v>
      </c>
      <c r="AG363" s="921">
        <f t="shared" si="143"/>
        <v>-1</v>
      </c>
      <c r="AH363" s="176">
        <f t="shared" si="138"/>
        <v>5</v>
      </c>
      <c r="AI363" s="225">
        <f t="shared" si="139"/>
        <v>-1.7653960982688677E-5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20">
        <v>25.949000000000002</v>
      </c>
      <c r="C364" s="390"/>
      <c r="D364" s="393">
        <f t="shared" si="122"/>
        <v>26.700236681136975</v>
      </c>
      <c r="E364" s="385">
        <f t="shared" si="144"/>
        <v>27.528823874510714</v>
      </c>
      <c r="F364" s="385">
        <f t="shared" si="123"/>
        <v>27.611155388131891</v>
      </c>
      <c r="G364" s="110">
        <f t="shared" si="145"/>
        <v>1.0284651502658102</v>
      </c>
      <c r="H364" s="414" t="b">
        <f>Wh_hp&gt;='2020'!Maxi_hp</f>
        <v>1</v>
      </c>
      <c r="I364" s="380">
        <f>IF(H364,Wh_hp,'2020'!Maxi_hp)</f>
        <v>27.611155388131891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2.8135955875915553E-2</v>
      </c>
      <c r="M364" s="959"/>
      <c r="N364" s="959"/>
      <c r="O364" s="48">
        <f>IF(t&lt;Tnet,'2020'!Resal+('2020'!Salim-'2020'!Resal)*(1-EXP(('2020'!Tnet-t)/('2020'!Tau_j))),Resal+(Salim-Resal)*(1-EXP((Tnet-t)/(Tau_j))))*Salcycl</f>
        <v>3.009889551223938E-2</v>
      </c>
      <c r="P364" s="169">
        <f>(INDEX(Models!$BJ364:$BT364,,T364)*(1-R364)+INDEX(Models!$BJ364:$BT364,,T364+1)*R364-ERP_i)*Q364*Ramure*Pc/MaxiM</f>
        <v>2.9818206613898314E-3</v>
      </c>
      <c r="Q364" s="305">
        <f t="shared" si="125"/>
        <v>0.7</v>
      </c>
      <c r="R364" s="177">
        <f t="shared" si="126"/>
        <v>0.99999123552236258</v>
      </c>
      <c r="S364" s="921">
        <f t="shared" si="127"/>
        <v>-1</v>
      </c>
      <c r="T364" s="176">
        <f t="shared" si="128"/>
        <v>5</v>
      </c>
      <c r="U364" s="251">
        <f t="shared" si="129"/>
        <v>-8.7644776374795619E-6</v>
      </c>
      <c r="V364" s="383">
        <f t="shared" si="130"/>
        <v>25.230801445526275</v>
      </c>
      <c r="W364" s="402"/>
      <c r="X364" s="157">
        <f t="shared" si="131"/>
        <v>44546</v>
      </c>
      <c r="Y364" s="385">
        <f t="shared" si="132"/>
        <v>24.301663339535573</v>
      </c>
      <c r="Z364" s="385">
        <f t="shared" si="133"/>
        <v>25.005208790739886</v>
      </c>
      <c r="AA364" s="386">
        <f t="shared" si="134"/>
        <v>27.528823874510714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9.167173633260349E-2</v>
      </c>
      <c r="AD364" s="231">
        <f>(INDEX(Models!$BJ364:$BT364,,AH364)*(1-AF364)+INDEX(Models!$BJ364:$BT364,,AH364+1)*AF364-ERP_i)*AE364*Ramure*Pc/MaxiM</f>
        <v>2.9818206613898314E-3</v>
      </c>
      <c r="AE364" s="305">
        <f t="shared" si="136"/>
        <v>0.7</v>
      </c>
      <c r="AF364" s="177">
        <f t="shared" si="137"/>
        <v>0.99999123552236258</v>
      </c>
      <c r="AG364" s="921">
        <f t="shared" si="143"/>
        <v>-1</v>
      </c>
      <c r="AH364" s="176">
        <f t="shared" si="138"/>
        <v>5</v>
      </c>
      <c r="AI364" s="225">
        <f t="shared" si="139"/>
        <v>-8.7644776374795619E-6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20">
        <v>26.283999999999999</v>
      </c>
      <c r="C365" s="390"/>
      <c r="D365" s="393">
        <f t="shared" si="122"/>
        <v>27.04552746712119</v>
      </c>
      <c r="E365" s="385">
        <f t="shared" si="144"/>
        <v>27.88708085444155</v>
      </c>
      <c r="F365" s="385">
        <f t="shared" si="123"/>
        <v>27.969819213232515</v>
      </c>
      <c r="G365" s="110">
        <f t="shared" si="145"/>
        <v>1.0413778494310415</v>
      </c>
      <c r="H365" s="414" t="b">
        <f>Wh_hp&gt;='2020'!Maxi_hp</f>
        <v>1</v>
      </c>
      <c r="I365" s="380">
        <f>IF(H365,Wh_hp,'2020'!Maxi_hp)</f>
        <v>27.969819213232515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2.8157242192705101E-2</v>
      </c>
      <c r="M365" s="959"/>
      <c r="N365" s="959"/>
      <c r="O365" s="48">
        <f>IF(t&lt;Tnet,'2020'!Resal+('2020'!Salim-'2020'!Resal)*(1-EXP(('2020'!Tnet-t)/('2020'!Tau_j))),Resal+(Salim-Resal)*(1-EXP((Tnet-t)/(Tau_j))))*Salcycl</f>
        <v>3.0177177443307893E-2</v>
      </c>
      <c r="P365" s="169">
        <f>(INDEX(Models!$BJ365:$BT365,,T365)*(1-R365)+INDEX(Models!$BJ365:$BT365,,T365+1)*R365-ERP_i)*Q365*Ramure*Pc/MaxiM</f>
        <v>2.9581299099646205E-3</v>
      </c>
      <c r="Q365" s="305">
        <f t="shared" si="125"/>
        <v>0.7</v>
      </c>
      <c r="R365" s="177">
        <f t="shared" si="126"/>
        <v>0.99999976738617491</v>
      </c>
      <c r="S365" s="921">
        <f t="shared" si="127"/>
        <v>-1</v>
      </c>
      <c r="T365" s="176">
        <f t="shared" si="128"/>
        <v>5</v>
      </c>
      <c r="U365" s="251">
        <f t="shared" si="129"/>
        <v>-2.3261382503525496E-7</v>
      </c>
      <c r="V365" s="383">
        <f t="shared" si="130"/>
        <v>25.239638056792078</v>
      </c>
      <c r="W365" s="402"/>
      <c r="X365" s="157">
        <f t="shared" si="131"/>
        <v>44547</v>
      </c>
      <c r="Y365" s="385">
        <f t="shared" si="132"/>
        <v>24.617004884768171</v>
      </c>
      <c r="Z365" s="385">
        <f t="shared" si="133"/>
        <v>25.330234430423605</v>
      </c>
      <c r="AA365" s="386">
        <f t="shared" si="134"/>
        <v>27.88708085444155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9.1685696232014155E-2</v>
      </c>
      <c r="AD365" s="231">
        <f>(INDEX(Models!$BJ365:$BT365,,AH365)*(1-AF365)+INDEX(Models!$BJ365:$BT365,,AH365+1)*AF365-ERP_i)*AE365*Ramure*Pc/MaxiM</f>
        <v>2.9581299099646205E-3</v>
      </c>
      <c r="AE365" s="305">
        <f t="shared" si="136"/>
        <v>0.7</v>
      </c>
      <c r="AF365" s="177">
        <f t="shared" si="137"/>
        <v>0.99999976738617491</v>
      </c>
      <c r="AG365" s="921">
        <f t="shared" si="143"/>
        <v>-1</v>
      </c>
      <c r="AH365" s="176">
        <f t="shared" si="138"/>
        <v>5</v>
      </c>
      <c r="AI365" s="225">
        <f t="shared" si="139"/>
        <v>-2.3261382503525496E-7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20">
        <v>26.341000000000001</v>
      </c>
      <c r="C366" s="390"/>
      <c r="D366" s="393">
        <f t="shared" si="122"/>
        <v>27.104772594665228</v>
      </c>
      <c r="E366" s="385">
        <f t="shared" si="144"/>
        <v>27.950431356431174</v>
      </c>
      <c r="F366" s="385">
        <f t="shared" si="123"/>
        <v>28.032685021410803</v>
      </c>
      <c r="G366" s="110">
        <f t="shared" si="145"/>
        <v>1.0427521944805132</v>
      </c>
      <c r="H366" s="414" t="b">
        <f>Wh_hp&gt;='2020'!Maxi_hp</f>
        <v>1</v>
      </c>
      <c r="I366" s="380">
        <f>IF(H366,Wh_hp,'2020'!Maxi_hp)</f>
        <v>28.032685021410803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2.8178528043269813E-2</v>
      </c>
      <c r="M366" s="959"/>
      <c r="N366" s="959"/>
      <c r="O366" s="48">
        <f>IF(t&lt;Tnet,'2020'!Resal+('2020'!Salim-'2020'!Resal)*(1-EXP(('2020'!Tnet-t)/('2020'!Tau_j))),Resal+(Salim-Resal)*(1-EXP((Tnet-t)/(Tau_j))))*Salcycl</f>
        <v>3.0255660493460148E-2</v>
      </c>
      <c r="P366" s="169">
        <f>(INDEX(Models!$BJ366:$BT366,,T366)*(1-R366)+INDEX(Models!$BJ366:$BT366,,T366+1)*R366-ERP_i)*Q366*Ramure*Pc/MaxiM</f>
        <v>2.9342057286629534E-3</v>
      </c>
      <c r="Q366" s="305">
        <f t="shared" si="125"/>
        <v>0.7</v>
      </c>
      <c r="R366" s="177">
        <f t="shared" si="126"/>
        <v>7.956005844245162E-6</v>
      </c>
      <c r="S366" s="921">
        <f t="shared" si="127"/>
        <v>0</v>
      </c>
      <c r="T366" s="176">
        <f t="shared" si="128"/>
        <v>6</v>
      </c>
      <c r="U366" s="251">
        <f t="shared" si="129"/>
        <v>7.956005844245162E-6</v>
      </c>
      <c r="V366" s="383">
        <f t="shared" si="130"/>
        <v>25.261035305826208</v>
      </c>
      <c r="W366" s="402"/>
      <c r="X366" s="157">
        <f t="shared" si="131"/>
        <v>44548</v>
      </c>
      <c r="Y366" s="385">
        <f t="shared" si="132"/>
        <v>24.671983539950244</v>
      </c>
      <c r="Z366" s="385">
        <f t="shared" si="133"/>
        <v>25.387362032940089</v>
      </c>
      <c r="AA366" s="386">
        <f t="shared" si="134"/>
        <v>27.950431356431174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9.1700528367743547E-2</v>
      </c>
      <c r="AD366" s="231">
        <f>(INDEX(Models!$BJ366:$BT366,,AH366)*(1-AF366)+INDEX(Models!$BJ366:$BT366,,AH366+1)*AF366-ERP_i)*AE366*Ramure*Pc/MaxiM</f>
        <v>2.9342057286629534E-3</v>
      </c>
      <c r="AE366" s="305">
        <f t="shared" si="136"/>
        <v>0.7</v>
      </c>
      <c r="AF366" s="177">
        <f t="shared" si="137"/>
        <v>7.956005844245162E-6</v>
      </c>
      <c r="AG366" s="921">
        <f t="shared" si="143"/>
        <v>0</v>
      </c>
      <c r="AH366" s="176">
        <f t="shared" si="138"/>
        <v>6</v>
      </c>
      <c r="AI366" s="225">
        <f t="shared" si="139"/>
        <v>7.956005844245162E-6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20">
        <v>25.818000000000001</v>
      </c>
      <c r="C367" s="390"/>
      <c r="D367" s="393">
        <f t="shared" si="122"/>
        <v>26.567189795530112</v>
      </c>
      <c r="E367" s="385">
        <f t="shared" si="144"/>
        <v>27.398298781642513</v>
      </c>
      <c r="F367" s="385">
        <f t="shared" si="123"/>
        <v>27.478360183893841</v>
      </c>
      <c r="G367" s="110">
        <f t="shared" si="145"/>
        <v>1.0206996413857079</v>
      </c>
      <c r="H367" s="414" t="b">
        <f>Wh_hp&gt;='2020'!Maxi_hp</f>
        <v>1</v>
      </c>
      <c r="I367" s="380">
        <f>IF(H367,Wh_hp,'2020'!Maxi_hp)</f>
        <v>27.478360183893841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2.819981342761968E-2</v>
      </c>
      <c r="M367" s="959"/>
      <c r="N367" s="959"/>
      <c r="O367" s="48">
        <f>IF(t&lt;Tnet,'2020'!Resal+('2020'!Salim-'2020'!Resal)*(1-EXP(('2020'!Tnet-t)/('2020'!Tau_j))),Resal+(Salim-Resal)*(1-EXP((Tnet-t)/(Tau_j))))*Salcycl</f>
        <v>3.0334328154318302E-2</v>
      </c>
      <c r="P367" s="169">
        <f>(INDEX(Models!$BJ367:$BT367,,T367)*(1-R367)+INDEX(Models!$BJ367:$BT367,,T367+1)*R367-ERP_i)*Q367*Ramure*Pc/MaxiM</f>
        <v>2.9136164500185632E-3</v>
      </c>
      <c r="Q367" s="305">
        <f t="shared" si="125"/>
        <v>0.7</v>
      </c>
      <c r="R367" s="177">
        <f t="shared" si="126"/>
        <v>1.5815179810474422E-5</v>
      </c>
      <c r="S367" s="921">
        <f t="shared" si="127"/>
        <v>0</v>
      </c>
      <c r="T367" s="176">
        <f t="shared" si="128"/>
        <v>6</v>
      </c>
      <c r="U367" s="251">
        <f t="shared" si="129"/>
        <v>1.5815179810474422E-5</v>
      </c>
      <c r="V367" s="383">
        <f t="shared" si="130"/>
        <v>25.294414686919389</v>
      </c>
      <c r="W367" s="402"/>
      <c r="X367" s="157">
        <f t="shared" si="131"/>
        <v>44549</v>
      </c>
      <c r="Y367" s="385">
        <f t="shared" si="132"/>
        <v>24.183667060702465</v>
      </c>
      <c r="Z367" s="385">
        <f t="shared" si="133"/>
        <v>24.885431588565815</v>
      </c>
      <c r="AA367" s="386">
        <f t="shared" si="134"/>
        <v>27.398298781642513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9.1716175997043223E-2</v>
      </c>
      <c r="AD367" s="231">
        <f>(INDEX(Models!$BJ367:$BT367,,AH367)*(1-AF367)+INDEX(Models!$BJ367:$BT367,,AH367+1)*AF367-ERP_i)*AE367*Ramure*Pc/MaxiM</f>
        <v>2.9136164500185632E-3</v>
      </c>
      <c r="AE367" s="305">
        <f t="shared" si="136"/>
        <v>0.7</v>
      </c>
      <c r="AF367" s="177">
        <f t="shared" si="137"/>
        <v>1.5815179810474422E-5</v>
      </c>
      <c r="AG367" s="921">
        <f t="shared" si="143"/>
        <v>0</v>
      </c>
      <c r="AH367" s="176">
        <f t="shared" si="138"/>
        <v>6</v>
      </c>
      <c r="AI367" s="225">
        <f t="shared" si="139"/>
        <v>1.5815179810474422E-5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20">
        <v>26.382000000000001</v>
      </c>
      <c r="C368" s="390"/>
      <c r="D368" s="393">
        <f t="shared" si="122"/>
        <v>27.148150628801041</v>
      </c>
      <c r="E368" s="385">
        <f t="shared" si="144"/>
        <v>27.999710412513782</v>
      </c>
      <c r="F368" s="385">
        <f t="shared" si="123"/>
        <v>28.081044157306998</v>
      </c>
      <c r="G368" s="110">
        <f t="shared" si="145"/>
        <v>1.0411500488225389</v>
      </c>
      <c r="H368" s="414" t="b">
        <f>Wh_hp&gt;='2020'!Maxi_hp</f>
        <v>1</v>
      </c>
      <c r="I368" s="380">
        <f>IF(H368,Wh_hp,'2020'!Maxi_hp)</f>
        <v>28.081044157306998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2.8221098345765139E-2</v>
      </c>
      <c r="M368" s="959"/>
      <c r="N368" s="959"/>
      <c r="O368" s="48">
        <f>IF(t&lt;Tnet,'2020'!Resal+('2020'!Salim-'2020'!Resal)*(1-EXP(('2020'!Tnet-t)/('2020'!Tau_j))),Resal+(Salim-Resal)*(1-EXP((Tnet-t)/(Tau_j))))*Salcycl</f>
        <v>3.0413163963730037E-2</v>
      </c>
      <c r="P368" s="169">
        <f>(INDEX(Models!$BJ368:$BT368,,T368)*(1-R368)+INDEX(Models!$BJ368:$BT368,,T368+1)*R368-ERP_i)*Q368*Ramure*Pc/MaxiM</f>
        <v>2.8963931803102747E-3</v>
      </c>
      <c r="Q368" s="305">
        <f t="shared" si="125"/>
        <v>0.7</v>
      </c>
      <c r="R368" s="177">
        <f t="shared" si="126"/>
        <v>2.3358152648811359E-5</v>
      </c>
      <c r="S368" s="921">
        <f t="shared" si="127"/>
        <v>0</v>
      </c>
      <c r="T368" s="176">
        <f t="shared" si="128"/>
        <v>6</v>
      </c>
      <c r="U368" s="251">
        <f t="shared" si="129"/>
        <v>2.3358152648811359E-5</v>
      </c>
      <c r="V368" s="383">
        <f t="shared" si="130"/>
        <v>25.339287098757787</v>
      </c>
      <c r="W368" s="402"/>
      <c r="X368" s="157">
        <f t="shared" si="131"/>
        <v>44550</v>
      </c>
      <c r="Y368" s="385">
        <f t="shared" si="132"/>
        <v>24.713527558837168</v>
      </c>
      <c r="Z368" s="385">
        <f t="shared" si="133"/>
        <v>25.431224650759496</v>
      </c>
      <c r="AA368" s="386">
        <f t="shared" si="134"/>
        <v>27.999710412513782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9.1732583084372279E-2</v>
      </c>
      <c r="AD368" s="231">
        <f>(INDEX(Models!$BJ368:$BT368,,AH368)*(1-AF368)+INDEX(Models!$BJ368:$BT368,,AH368+1)*AF368-ERP_i)*AE368*Ramure*Pc/MaxiM</f>
        <v>2.8963931803102747E-3</v>
      </c>
      <c r="AE368" s="305">
        <f t="shared" si="136"/>
        <v>0.7</v>
      </c>
      <c r="AF368" s="177">
        <f t="shared" si="137"/>
        <v>2.3358152648811359E-5</v>
      </c>
      <c r="AG368" s="921">
        <f t="shared" si="143"/>
        <v>0</v>
      </c>
      <c r="AH368" s="176">
        <f t="shared" si="138"/>
        <v>6</v>
      </c>
      <c r="AI368" s="225">
        <f t="shared" si="139"/>
        <v>2.3358152648811359E-5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20">
        <v>20.23</v>
      </c>
      <c r="C369" s="390"/>
      <c r="D369" s="393">
        <f t="shared" si="122"/>
        <v>20.817948469745687</v>
      </c>
      <c r="E369" s="385">
        <f t="shared" si="144"/>
        <v>21.47269720855364</v>
      </c>
      <c r="F369" s="385">
        <f t="shared" si="123"/>
        <v>21.516698973693472</v>
      </c>
      <c r="G369" s="110">
        <f t="shared" si="145"/>
        <v>0.79593980639054496</v>
      </c>
      <c r="H369" s="414" t="b">
        <f>Wh_hp&gt;='2020'!Maxi_hp</f>
        <v>0</v>
      </c>
      <c r="I369" s="380">
        <f>IF(H369,Wh_hp,'2020'!Maxi_hp)</f>
        <v>22.604541758183334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2.824238279771607E-2</v>
      </c>
      <c r="M369" s="959"/>
      <c r="N369" s="959"/>
      <c r="O369" s="48">
        <f>IF(t&lt;Tnet,'2020'!Resal+('2020'!Salim-'2020'!Resal)*(1-EXP(('2020'!Tnet-t)/('2020'!Tau_j))),Resal+(Salim-Resal)*(1-EXP((Tnet-t)/(Tau_j))))*Salcycl</f>
        <v>3.0492151612287081E-2</v>
      </c>
      <c r="P369" s="169">
        <f>(INDEX(Models!$BJ369:$BT369,,T369)*(1-R369)+INDEX(Models!$BJ369:$BT369,,T369+1)*R369-ERP_i)*Q369*Ramure*Pc/MaxiM</f>
        <v>2.8825606476531834E-3</v>
      </c>
      <c r="Q369" s="305">
        <f t="shared" si="125"/>
        <v>0.7</v>
      </c>
      <c r="R369" s="177">
        <f t="shared" si="126"/>
        <v>3.0597637235729724E-5</v>
      </c>
      <c r="S369" s="921">
        <f t="shared" si="127"/>
        <v>0</v>
      </c>
      <c r="T369" s="176">
        <f t="shared" si="128"/>
        <v>6</v>
      </c>
      <c r="U369" s="251">
        <f t="shared" si="129"/>
        <v>3.0597637235729724E-5</v>
      </c>
      <c r="V369" s="383">
        <f t="shared" si="130"/>
        <v>25.395163520628088</v>
      </c>
      <c r="W369" s="402"/>
      <c r="X369" s="157">
        <f t="shared" si="131"/>
        <v>44551</v>
      </c>
      <c r="Y369" s="385">
        <f t="shared" si="132"/>
        <v>18.951784360042762</v>
      </c>
      <c r="Z369" s="385">
        <f t="shared" si="133"/>
        <v>19.502583797187466</v>
      </c>
      <c r="AA369" s="386">
        <f t="shared" si="134"/>
        <v>21.47269720855364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9.1749694611321611E-2</v>
      </c>
      <c r="AD369" s="231">
        <f>(INDEX(Models!$BJ369:$BT369,,AH369)*(1-AF369)+INDEX(Models!$BJ369:$BT369,,AH369+1)*AF369-ERP_i)*AE369*Ramure*Pc/MaxiM</f>
        <v>2.8825606476531834E-3</v>
      </c>
      <c r="AE369" s="305">
        <f t="shared" si="136"/>
        <v>0.7</v>
      </c>
      <c r="AF369" s="177">
        <f t="shared" si="137"/>
        <v>3.0597637235729724E-5</v>
      </c>
      <c r="AG369" s="921">
        <f t="shared" si="143"/>
        <v>0</v>
      </c>
      <c r="AH369" s="176">
        <f t="shared" si="138"/>
        <v>6</v>
      </c>
      <c r="AI369" s="225">
        <f t="shared" si="139"/>
        <v>3.0597637235729724E-5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20">
        <v>25.417000000000002</v>
      </c>
      <c r="C370" s="390"/>
      <c r="D370" s="393">
        <f t="shared" si="122"/>
        <v>26.156272160646612</v>
      </c>
      <c r="E370" s="385">
        <f t="shared" si="144"/>
        <v>26.98111938230219</v>
      </c>
      <c r="F370" s="385">
        <f t="shared" si="123"/>
        <v>27.058641236912877</v>
      </c>
      <c r="G370" s="110">
        <f t="shared" si="145"/>
        <v>0.99824291827310518</v>
      </c>
      <c r="H370" s="414" t="b">
        <f>Wh_hp&gt;='2020'!Maxi_hp</f>
        <v>1</v>
      </c>
      <c r="I370" s="380">
        <f>IF(H370,Wh_hp,'2020'!Maxi_hp)</f>
        <v>27.058641236912877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2.8263666783483021E-2</v>
      </c>
      <c r="M370" s="959"/>
      <c r="N370" s="959"/>
      <c r="O370" s="48">
        <f>IF(t&lt;Tnet,'2020'!Resal+('2020'!Salim-'2020'!Resal)*(1-EXP(('2020'!Tnet-t)/('2020'!Tau_j))),Resal+(Salim-Resal)*(1-EXP((Tnet-t)/(Tau_j))))*Salcycl</f>
        <v>3.0571275044897581E-2</v>
      </c>
      <c r="P370" s="169">
        <f>(INDEX(Models!$BJ370:$BT370,,T370)*(1-R370)+INDEX(Models!$BJ370:$BT370,,T370+1)*R370-ERP_i)*Q370*Ramure*Pc/MaxiM</f>
        <v>2.8721373135997879E-3</v>
      </c>
      <c r="Q370" s="305">
        <f t="shared" si="125"/>
        <v>0.7</v>
      </c>
      <c r="R370" s="177">
        <f t="shared" si="126"/>
        <v>3.7545836032992774E-5</v>
      </c>
      <c r="S370" s="921">
        <f t="shared" si="127"/>
        <v>0</v>
      </c>
      <c r="T370" s="176">
        <f t="shared" si="128"/>
        <v>6</v>
      </c>
      <c r="U370" s="251">
        <f t="shared" si="129"/>
        <v>3.7545836032992774E-5</v>
      </c>
      <c r="V370" s="383">
        <f t="shared" si="130"/>
        <v>25.461555017016639</v>
      </c>
      <c r="W370" s="402"/>
      <c r="X370" s="157">
        <f t="shared" si="131"/>
        <v>44552</v>
      </c>
      <c r="Y370" s="385">
        <f t="shared" si="132"/>
        <v>23.812525825323974</v>
      </c>
      <c r="Z370" s="385">
        <f t="shared" si="133"/>
        <v>24.505130673155758</v>
      </c>
      <c r="AA370" s="386">
        <f t="shared" si="134"/>
        <v>26.98111938230219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9.1767456867283034E-2</v>
      </c>
      <c r="AD370" s="231">
        <f>(INDEX(Models!$BJ370:$BT370,,AH370)*(1-AF370)+INDEX(Models!$BJ370:$BT370,,AH370+1)*AF370-ERP_i)*AE370*Ramure*Pc/MaxiM</f>
        <v>2.8721373135997879E-3</v>
      </c>
      <c r="AE370" s="305">
        <f t="shared" si="136"/>
        <v>0.7</v>
      </c>
      <c r="AF370" s="177">
        <f t="shared" si="137"/>
        <v>3.7545836032992774E-5</v>
      </c>
      <c r="AG370" s="921">
        <f t="shared" si="143"/>
        <v>0</v>
      </c>
      <c r="AH370" s="176">
        <f t="shared" si="138"/>
        <v>6</v>
      </c>
      <c r="AI370" s="225">
        <f t="shared" si="139"/>
        <v>3.7545836032992774E-5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20">
        <v>9.1560000000000006</v>
      </c>
      <c r="C371" s="390"/>
      <c r="D371" s="393">
        <f t="shared" si="122"/>
        <v>9.4225153792315339</v>
      </c>
      <c r="E371" s="385">
        <f t="shared" si="144"/>
        <v>9.7204522822892283</v>
      </c>
      <c r="F371" s="385">
        <f t="shared" si="123"/>
        <v>9.7227813117538915</v>
      </c>
      <c r="G371" s="110">
        <f t="shared" si="145"/>
        <v>0.35758336853166617</v>
      </c>
      <c r="H371" s="414" t="b">
        <f>Wh_hp&gt;='2020'!Maxi_hp</f>
        <v>0</v>
      </c>
      <c r="I371" s="380">
        <f>IF(H371,Wh_hp,'2020'!Maxi_hp)</f>
        <v>22.375250435644084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2.8284950303075984E-2</v>
      </c>
      <c r="M371" s="959"/>
      <c r="N371" s="959"/>
      <c r="O371" s="48">
        <f>IF(t&lt;Tnet,'2020'!Resal+('2020'!Salim-'2020'!Resal)*(1-EXP(('2020'!Tnet-t)/('2020'!Tau_j))),Resal+(Salim-Resal)*(1-EXP((Tnet-t)/(Tau_j))))*Salcycl</f>
        <v>3.0650518556686716E-2</v>
      </c>
      <c r="P371" s="169">
        <f>(INDEX(Models!$BJ371:$BT371,,T371)*(1-R371)+INDEX(Models!$BJ371:$BT371,,T371+1)*R371-ERP_i)*Q371*Ramure*Pc/MaxiM</f>
        <v>2.8651121934083145E-3</v>
      </c>
      <c r="Q371" s="305">
        <f t="shared" si="125"/>
        <v>0.7</v>
      </c>
      <c r="R371" s="177">
        <f t="shared" si="126"/>
        <v>3.7545836032992774E-5</v>
      </c>
      <c r="S371" s="921">
        <f t="shared" si="127"/>
        <v>0</v>
      </c>
      <c r="T371" s="176">
        <f t="shared" si="128"/>
        <v>6</v>
      </c>
      <c r="U371" s="251">
        <f t="shared" si="129"/>
        <v>3.7545836032992774E-5</v>
      </c>
      <c r="V371" s="383">
        <f t="shared" si="130"/>
        <v>25.53797334305969</v>
      </c>
      <c r="W371" s="402"/>
      <c r="X371" s="157">
        <f t="shared" si="131"/>
        <v>44553</v>
      </c>
      <c r="Y371" s="385">
        <f t="shared" si="132"/>
        <v>8.5785459343135866</v>
      </c>
      <c r="Z371" s="385">
        <f t="shared" si="133"/>
        <v>8.8282526209604537</v>
      </c>
      <c r="AA371" s="386">
        <f t="shared" si="134"/>
        <v>9.7204522822892283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9.1785817719034671E-2</v>
      </c>
      <c r="AD371" s="231">
        <f>(INDEX(Models!$BJ371:$BT371,,AH371)*(1-AF371)+INDEX(Models!$BJ371:$BT371,,AH371+1)*AF371-ERP_i)*AE371*Ramure*Pc/MaxiM</f>
        <v>2.8651121934083145E-3</v>
      </c>
      <c r="AE371" s="305">
        <f t="shared" si="136"/>
        <v>0.7</v>
      </c>
      <c r="AF371" s="177">
        <f t="shared" si="137"/>
        <v>3.7545836032992774E-5</v>
      </c>
      <c r="AG371" s="921">
        <f t="shared" si="143"/>
        <v>0</v>
      </c>
      <c r="AH371" s="176">
        <f t="shared" si="138"/>
        <v>6</v>
      </c>
      <c r="AI371" s="225">
        <f t="shared" si="139"/>
        <v>3.7545836032992774E-5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20">
        <v>16.818999999999999</v>
      </c>
      <c r="C372" s="390"/>
      <c r="D372" s="393">
        <f t="shared" si="122"/>
        <v>17.30895121216799</v>
      </c>
      <c r="E372" s="385">
        <f t="shared" si="144"/>
        <v>17.857716461867707</v>
      </c>
      <c r="F372" s="385">
        <f t="shared" si="123"/>
        <v>17.883770104835254</v>
      </c>
      <c r="G372" s="110">
        <f t="shared" si="145"/>
        <v>0.65545529897609967</v>
      </c>
      <c r="H372" s="414" t="b">
        <f>Wh_hp&gt;='2020'!Maxi_hp</f>
        <v>1</v>
      </c>
      <c r="I372" s="380">
        <f>IF(H372,Wh_hp,'2020'!Maxi_hp)</f>
        <v>17.883770104835254</v>
      </c>
      <c r="J372" s="85">
        <f>IF(H372,An,'2020'!An_max)</f>
        <v>2021</v>
      </c>
      <c r="K372" s="197">
        <f t="shared" si="124"/>
        <v>44554</v>
      </c>
      <c r="L372" s="147">
        <f>IF(t&lt;Tvie,1-EXP((T0-t)*PertePVj)+'2020'!Pspv,1-EXP((T0-t)*PertePVj)+Pspv)</f>
        <v>2.8306233356505284E-2</v>
      </c>
      <c r="M372" s="959"/>
      <c r="N372" s="959"/>
      <c r="O372" s="48">
        <f>IF(t&lt;Tnet,'2020'!Resal+('2020'!Salim-'2020'!Resal)*(1-EXP(('2020'!Tnet-t)/('2020'!Tau_j))),Resal+(Salim-Resal)*(1-EXP((Tnet-t)/(Tau_j))))*Salcycl</f>
        <v>3.0729866882561203E-2</v>
      </c>
      <c r="P372" s="169">
        <f>(INDEX(Models!$BJ372:$BT372,,T372)*(1-R372)+INDEX(Models!$BJ372:$BT372,,T372+1)*R372-ERP_i)*Q372*Ramure*Pc/MaxiM</f>
        <v>2.8615131382827993E-3</v>
      </c>
      <c r="Q372" s="305">
        <f t="shared" si="125"/>
        <v>0.7</v>
      </c>
      <c r="R372" s="177">
        <f t="shared" si="126"/>
        <v>3.7545836032992774E-5</v>
      </c>
      <c r="S372" s="921">
        <f t="shared" si="127"/>
        <v>0</v>
      </c>
      <c r="T372" s="176">
        <f t="shared" si="128"/>
        <v>6</v>
      </c>
      <c r="U372" s="251">
        <f t="shared" si="129"/>
        <v>3.7545836032992774E-5</v>
      </c>
      <c r="V372" s="383">
        <f t="shared" si="130"/>
        <v>25.623929229878293</v>
      </c>
      <c r="W372" s="402"/>
      <c r="X372" s="157">
        <f t="shared" si="131"/>
        <v>44554</v>
      </c>
      <c r="Y372" s="385">
        <f t="shared" si="132"/>
        <v>15.759214874240621</v>
      </c>
      <c r="Z372" s="385">
        <f t="shared" si="133"/>
        <v>16.218293679784949</v>
      </c>
      <c r="AA372" s="386">
        <f t="shared" si="134"/>
        <v>17.857716461867707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9.1804726857629415E-2</v>
      </c>
      <c r="AD372" s="231">
        <f>(INDEX(Models!$BJ372:$BT372,,AH372)*(1-AF372)+INDEX(Models!$BJ372:$BT372,,AH372+1)*AF372-ERP_i)*AE372*Ramure*Pc/MaxiM</f>
        <v>2.8615131382827993E-3</v>
      </c>
      <c r="AE372" s="305">
        <f t="shared" si="136"/>
        <v>0.7</v>
      </c>
      <c r="AF372" s="177">
        <f t="shared" si="137"/>
        <v>3.7545836032992774E-5</v>
      </c>
      <c r="AG372" s="921">
        <f t="shared" si="143"/>
        <v>0</v>
      </c>
      <c r="AH372" s="176">
        <f t="shared" si="138"/>
        <v>6</v>
      </c>
      <c r="AI372" s="225">
        <f t="shared" si="139"/>
        <v>3.7545836032992774E-5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20">
        <v>11.063000000000001</v>
      </c>
      <c r="C373" s="390"/>
      <c r="D373" s="393">
        <f t="shared" si="122"/>
        <v>11.38552360134541</v>
      </c>
      <c r="E373" s="385">
        <f t="shared" si="144"/>
        <v>11.747454513719624</v>
      </c>
      <c r="F373" s="385">
        <f t="shared" si="123"/>
        <v>11.753702649345914</v>
      </c>
      <c r="G373" s="110">
        <f t="shared" si="145"/>
        <v>0.42906987781284406</v>
      </c>
      <c r="H373" s="414" t="b">
        <f>Wh_hp&gt;='2020'!Maxi_hp</f>
        <v>0</v>
      </c>
      <c r="I373" s="380">
        <f>IF(H373,Wh_hp,'2020'!Maxi_hp)</f>
        <v>18.791308820692279</v>
      </c>
      <c r="J373" s="85">
        <f>IF(H373,An,'2020'!An_max)</f>
        <v>2019</v>
      </c>
      <c r="K373" s="197">
        <f t="shared" si="124"/>
        <v>44555</v>
      </c>
      <c r="L373" s="147">
        <f>IF(t&lt;Tvie,1-EXP((T0-t)*PertePVj)+'2020'!Pspv,1-EXP((T0-t)*PertePVj)+Pspv)</f>
        <v>2.8327515943781134E-2</v>
      </c>
      <c r="M373" s="959"/>
      <c r="N373" s="959"/>
      <c r="O373" s="48">
        <f>IF(t&lt;Tnet,'2020'!Resal+('2020'!Salim-'2020'!Resal)*(1-EXP(('2020'!Tnet-t)/('2020'!Tau_j))),Resal+(Salim-Resal)*(1-EXP((Tnet-t)/(Tau_j))))*Salcycl</f>
        <v>3.0809305279839407E-2</v>
      </c>
      <c r="P373" s="169">
        <f>(INDEX(Models!$BJ373:$BT373,,T373)*(1-R373)+INDEX(Models!$BJ373:$BT373,,T373+1)*R373-ERP_i)*Q373*Ramure*Pc/MaxiM</f>
        <v>2.8608131006139475E-3</v>
      </c>
      <c r="Q373" s="305">
        <f t="shared" si="125"/>
        <v>0.7</v>
      </c>
      <c r="R373" s="177">
        <f t="shared" si="126"/>
        <v>3.7545836032992774E-5</v>
      </c>
      <c r="S373" s="921">
        <f t="shared" si="127"/>
        <v>0</v>
      </c>
      <c r="T373" s="176">
        <f t="shared" si="128"/>
        <v>6</v>
      </c>
      <c r="U373" s="251">
        <f t="shared" si="129"/>
        <v>3.7545836032992774E-5</v>
      </c>
      <c r="V373" s="383">
        <f t="shared" si="130"/>
        <v>25.723591088357637</v>
      </c>
      <c r="W373" s="402"/>
      <c r="X373" s="157">
        <f t="shared" si="131"/>
        <v>44555</v>
      </c>
      <c r="Y373" s="385">
        <f t="shared" si="132"/>
        <v>10.366535335028606</v>
      </c>
      <c r="Z373" s="385">
        <f t="shared" si="133"/>
        <v>10.668754652548976</v>
      </c>
      <c r="AA373" s="386">
        <f t="shared" si="134"/>
        <v>11.747454513719624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9.1824136021199765E-2</v>
      </c>
      <c r="AD373" s="231">
        <f>(INDEX(Models!$BJ373:$BT373,,AH373)*(1-AF373)+INDEX(Models!$BJ373:$BT373,,AH373+1)*AF373-ERP_i)*AE373*Ramure*Pc/MaxiM</f>
        <v>2.8608131006139475E-3</v>
      </c>
      <c r="AE373" s="305">
        <f t="shared" si="136"/>
        <v>0.7</v>
      </c>
      <c r="AF373" s="177">
        <f t="shared" si="137"/>
        <v>3.7545836032992774E-5</v>
      </c>
      <c r="AG373" s="921">
        <f t="shared" si="143"/>
        <v>0</v>
      </c>
      <c r="AH373" s="176">
        <f t="shared" si="138"/>
        <v>6</v>
      </c>
      <c r="AI373" s="225">
        <f t="shared" si="139"/>
        <v>3.7545836032992774E-5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20">
        <v>11.221</v>
      </c>
      <c r="C374" s="390"/>
      <c r="D374" s="393">
        <f t="shared" si="122"/>
        <v>11.548382771155824</v>
      </c>
      <c r="E374" s="385">
        <f t="shared" si="144"/>
        <v>11.916468414315473</v>
      </c>
      <c r="F374" s="385">
        <f t="shared" si="123"/>
        <v>11.923013708206716</v>
      </c>
      <c r="G374" s="110">
        <f t="shared" si="145"/>
        <v>0.43323616638857015</v>
      </c>
      <c r="H374" s="414" t="b">
        <f>Wh_hp&gt;='2020'!Maxi_hp</f>
        <v>0</v>
      </c>
      <c r="I374" s="380">
        <f>IF(H374,Wh_hp,'2020'!Maxi_hp)</f>
        <v>26.329619230701343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2.8348798064913638E-2</v>
      </c>
      <c r="M374" s="959"/>
      <c r="N374" s="959"/>
      <c r="O374" s="48">
        <f>IF(t&lt;Tnet,'2020'!Resal+('2020'!Salim-'2020'!Resal)*(1-EXP(('2020'!Tnet-t)/('2020'!Tau_j))),Resal+(Salim-Resal)*(1-EXP((Tnet-t)/(Tau_j))))*Salcycl</f>
        <v>3.0888819603420509E-2</v>
      </c>
      <c r="P374" s="169">
        <f>(INDEX(Models!$BJ374:$BT374,,T374)*(1-R374)+INDEX(Models!$BJ374:$BT374,,T374+1)*R374-ERP_i)*Q374*Ramure*Pc/MaxiM</f>
        <v>2.8625609748419828E-3</v>
      </c>
      <c r="Q374" s="305">
        <f t="shared" si="125"/>
        <v>0.7</v>
      </c>
      <c r="R374" s="177">
        <f t="shared" si="126"/>
        <v>3.7545836032992774E-5</v>
      </c>
      <c r="S374" s="921">
        <f t="shared" si="127"/>
        <v>0</v>
      </c>
      <c r="T374" s="176">
        <f t="shared" si="128"/>
        <v>6</v>
      </c>
      <c r="U374" s="251">
        <f t="shared" si="129"/>
        <v>3.7545836032992774E-5</v>
      </c>
      <c r="V374" s="383">
        <f t="shared" si="130"/>
        <v>25.840466994108446</v>
      </c>
      <c r="W374" s="402"/>
      <c r="X374" s="157">
        <f t="shared" si="131"/>
        <v>44556</v>
      </c>
      <c r="Y374" s="385">
        <f t="shared" si="132"/>
        <v>10.515221257575963</v>
      </c>
      <c r="Z374" s="385">
        <f t="shared" si="133"/>
        <v>10.8220122988933</v>
      </c>
      <c r="AA374" s="386">
        <f t="shared" si="134"/>
        <v>11.916468414315473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9.1843999192527739E-2</v>
      </c>
      <c r="AD374" s="231">
        <f>(INDEX(Models!$BJ374:$BT374,,AH374)*(1-AF374)+INDEX(Models!$BJ374:$BT374,,AH374+1)*AF374-ERP_i)*AE374*Ramure*Pc/MaxiM</f>
        <v>2.8625609748419828E-3</v>
      </c>
      <c r="AE374" s="305">
        <f t="shared" si="136"/>
        <v>0.7</v>
      </c>
      <c r="AF374" s="177">
        <f t="shared" si="137"/>
        <v>3.7545836032992774E-5</v>
      </c>
      <c r="AG374" s="921">
        <f t="shared" si="143"/>
        <v>0</v>
      </c>
      <c r="AH374" s="176">
        <f t="shared" si="138"/>
        <v>6</v>
      </c>
      <c r="AI374" s="225">
        <f t="shared" si="139"/>
        <v>3.7545836032992774E-5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20">
        <v>9.3030000000000008</v>
      </c>
      <c r="C375" s="390"/>
      <c r="D375" s="393">
        <f t="shared" si="122"/>
        <v>9.5746331044625226</v>
      </c>
      <c r="E375" s="385">
        <f t="shared" si="144"/>
        <v>9.8806200629844501</v>
      </c>
      <c r="F375" s="385">
        <f t="shared" si="123"/>
        <v>9.8829720427114669</v>
      </c>
      <c r="G375" s="110">
        <f t="shared" si="145"/>
        <v>0.35723673610474177</v>
      </c>
      <c r="H375" s="414" t="b">
        <f>Wh_hp&gt;='2020'!Maxi_hp</f>
        <v>0</v>
      </c>
      <c r="I375" s="380">
        <f>IF(H375,Wh_hp,'2020'!Maxi_hp)</f>
        <v>27.615988001355355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2.8370079719913122E-2</v>
      </c>
      <c r="M375" s="959"/>
      <c r="N375" s="959"/>
      <c r="O375" s="48">
        <f>IF(t&lt;Tnet,'2020'!Resal+('2020'!Salim-'2020'!Resal)*(1-EXP(('2020'!Tnet-t)/('2020'!Tau_j))),Resal+(Salim-Resal)*(1-EXP((Tnet-t)/(Tau_j))))*Salcycl</f>
        <v>3.0968396373041426E-2</v>
      </c>
      <c r="P375" s="169">
        <f>(INDEX(Models!$BJ375:$BT375,,T375)*(1-R375)+INDEX(Models!$BJ375:$BT375,,T375+1)*R375-ERP_i)*Q375*Ramure*Pc/MaxiM</f>
        <v>2.8634536427694611E-3</v>
      </c>
      <c r="Q375" s="305">
        <f t="shared" si="125"/>
        <v>0.7</v>
      </c>
      <c r="R375" s="177">
        <f t="shared" si="126"/>
        <v>3.7545836032992774E-5</v>
      </c>
      <c r="S375" s="921">
        <f t="shared" si="127"/>
        <v>0</v>
      </c>
      <c r="T375" s="176">
        <f t="shared" si="128"/>
        <v>6</v>
      </c>
      <c r="U375" s="251">
        <f t="shared" si="129"/>
        <v>3.7545836032992774E-5</v>
      </c>
      <c r="V375" s="383">
        <f t="shared" si="130"/>
        <v>25.973167077076969</v>
      </c>
      <c r="W375" s="402"/>
      <c r="X375" s="157">
        <f t="shared" si="131"/>
        <v>44557</v>
      </c>
      <c r="Y375" s="385">
        <f t="shared" si="132"/>
        <v>8.7183809473242047</v>
      </c>
      <c r="Z375" s="385">
        <f t="shared" si="133"/>
        <v>8.9729440863770442</v>
      </c>
      <c r="AA375" s="386">
        <f t="shared" si="134"/>
        <v>9.8806200629844501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9.1864272770472502E-2</v>
      </c>
      <c r="AD375" s="231">
        <f>(INDEX(Models!$BJ375:$BT375,,AH375)*(1-AF375)+INDEX(Models!$BJ375:$BT375,,AH375+1)*AF375-ERP_i)*AE375*Ramure*Pc/MaxiM</f>
        <v>2.8634536427694611E-3</v>
      </c>
      <c r="AE375" s="305">
        <f t="shared" si="136"/>
        <v>0.7</v>
      </c>
      <c r="AF375" s="177">
        <f t="shared" si="137"/>
        <v>3.7545836032992774E-5</v>
      </c>
      <c r="AG375" s="921">
        <f t="shared" si="143"/>
        <v>0</v>
      </c>
      <c r="AH375" s="176">
        <f t="shared" si="138"/>
        <v>6</v>
      </c>
      <c r="AI375" s="225">
        <f t="shared" si="139"/>
        <v>3.7545836032992774E-5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20">
        <v>4.5680000000000005</v>
      </c>
      <c r="C376" s="390"/>
      <c r="D376" s="393">
        <f t="shared" si="122"/>
        <v>4.7014814568473353</v>
      </c>
      <c r="E376" s="385">
        <f t="shared" si="144"/>
        <v>4.8521305158897308</v>
      </c>
      <c r="F376" s="385">
        <f t="shared" si="123"/>
        <v>4.8521305158897308</v>
      </c>
      <c r="G376" s="110">
        <f t="shared" si="145"/>
        <v>0.17438291287850188</v>
      </c>
      <c r="H376" s="414" t="b">
        <f>Wh_hp&gt;='2020'!Maxi_hp</f>
        <v>0</v>
      </c>
      <c r="I376" s="380">
        <f>IF(H376,Wh_hp,'2020'!Maxi_hp)</f>
        <v>6.7936585629445601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2.8391360908789687E-2</v>
      </c>
      <c r="M376" s="959"/>
      <c r="N376" s="959"/>
      <c r="O376" s="48">
        <f>IF(t&lt;Tnet,'2020'!Resal+('2020'!Salim-'2020'!Resal)*(1-EXP(('2020'!Tnet-t)/('2020'!Tau_j))),Resal+(Salim-Resal)*(1-EXP((Tnet-t)/(Tau_j))))*Salcycl</f>
        <v>3.1048022832248768E-2</v>
      </c>
      <c r="P376" s="169">
        <f>(INDEX(Models!$BJ376:$BT376,,T376)*(1-R376)+INDEX(Models!$BJ376:$BT376,,T376+1)*R376-ERP_i)*Q376*Ramure*Pc/MaxiM</f>
        <v>2.8616168741462502E-3</v>
      </c>
      <c r="Q376" s="305">
        <f t="shared" si="125"/>
        <v>0.7</v>
      </c>
      <c r="R376" s="177">
        <f t="shared" si="126"/>
        <v>3.7545836032992774E-5</v>
      </c>
      <c r="S376" s="921">
        <f t="shared" si="127"/>
        <v>0</v>
      </c>
      <c r="T376" s="176">
        <f t="shared" si="128"/>
        <v>6</v>
      </c>
      <c r="U376" s="251">
        <f t="shared" si="129"/>
        <v>3.7545836032992774E-5</v>
      </c>
      <c r="V376" s="383">
        <f t="shared" si="130"/>
        <v>26.120266366306563</v>
      </c>
      <c r="W376" s="402"/>
      <c r="X376" s="157">
        <f t="shared" si="131"/>
        <v>44558</v>
      </c>
      <c r="Y376" s="385">
        <f t="shared" si="132"/>
        <v>4.2811922600551711</v>
      </c>
      <c r="Z376" s="385">
        <f t="shared" si="133"/>
        <v>4.40629291240099</v>
      </c>
      <c r="AA376" s="386">
        <f t="shared" si="134"/>
        <v>4.8521305158897308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9.1884915714594798E-2</v>
      </c>
      <c r="AD376" s="231">
        <f>(INDEX(Models!$BJ376:$BT376,,AH376)*(1-AF376)+INDEX(Models!$BJ376:$BT376,,AH376+1)*AF376-ERP_i)*AE376*Ramure*Pc/MaxiM</f>
        <v>2.8616168741462502E-3</v>
      </c>
      <c r="AE376" s="305">
        <f t="shared" si="136"/>
        <v>0.7</v>
      </c>
      <c r="AF376" s="177">
        <f t="shared" si="137"/>
        <v>3.7545836032992774E-5</v>
      </c>
      <c r="AG376" s="921">
        <f t="shared" si="143"/>
        <v>0</v>
      </c>
      <c r="AH376" s="176">
        <f t="shared" si="138"/>
        <v>6</v>
      </c>
      <c r="AI376" s="225">
        <f t="shared" si="139"/>
        <v>3.7545836032992774E-5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20">
        <v>4.0549999999999997</v>
      </c>
      <c r="C377" s="390"/>
      <c r="D377" s="393">
        <f t="shared" si="122"/>
        <v>4.1735825040060455</v>
      </c>
      <c r="E377" s="385">
        <f t="shared" si="144"/>
        <v>4.3076703173381459</v>
      </c>
      <c r="F377" s="385">
        <f t="shared" si="123"/>
        <v>4.3076703173381459</v>
      </c>
      <c r="G377" s="110">
        <f t="shared" si="145"/>
        <v>0.15385729365425324</v>
      </c>
      <c r="H377" s="414" t="b">
        <f>Wh_hp&gt;='2020'!Maxi_hp</f>
        <v>0</v>
      </c>
      <c r="I377" s="380">
        <f>IF(H377,Wh_hp,'2020'!Maxi_hp)</f>
        <v>27.222037432287717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2.8412641631553659E-2</v>
      </c>
      <c r="M377" s="959"/>
      <c r="N377" s="959"/>
      <c r="O377" s="48">
        <f>IF(t&lt;Tnet,'2020'!Resal+('2020'!Salim-'2020'!Resal)*(1-EXP(('2020'!Tnet-t)/('2020'!Tau_j))),Resal+(Salim-Resal)*(1-EXP((Tnet-t)/(Tau_j))))*Salcycl</f>
        <v>3.112768699879475E-2</v>
      </c>
      <c r="P377" s="169">
        <f>(INDEX(Models!$BJ377:$BT377,,T377)*(1-R377)+INDEX(Models!$BJ377:$BT377,,T377+1)*R377-ERP_i)*Q377*Ramure*Pc/MaxiM</f>
        <v>2.8572418870626854E-3</v>
      </c>
      <c r="Q377" s="305">
        <f t="shared" si="125"/>
        <v>0.7</v>
      </c>
      <c r="R377" s="177">
        <f t="shared" si="126"/>
        <v>3.7545836032992774E-5</v>
      </c>
      <c r="S377" s="921">
        <f t="shared" si="127"/>
        <v>0</v>
      </c>
      <c r="T377" s="176">
        <f t="shared" si="128"/>
        <v>6</v>
      </c>
      <c r="U377" s="251">
        <f t="shared" si="129"/>
        <v>3.7545836032992774E-5</v>
      </c>
      <c r="V377" s="383">
        <f t="shared" si="130"/>
        <v>26.280287324137419</v>
      </c>
      <c r="W377" s="402"/>
      <c r="X377" s="157">
        <f t="shared" si="131"/>
        <v>44559</v>
      </c>
      <c r="Y377" s="385">
        <f t="shared" si="132"/>
        <v>3.8006263240321401</v>
      </c>
      <c r="Z377" s="385">
        <f t="shared" si="133"/>
        <v>3.9117700444501491</v>
      </c>
      <c r="AA377" s="386">
        <f t="shared" si="134"/>
        <v>4.3076703173381459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9.1905889662567533E-2</v>
      </c>
      <c r="AD377" s="231">
        <f>(INDEX(Models!$BJ377:$BT377,,AH377)*(1-AF377)+INDEX(Models!$BJ377:$BT377,,AH377+1)*AF377-ERP_i)*AE377*Ramure*Pc/MaxiM</f>
        <v>2.8572418870626854E-3</v>
      </c>
      <c r="AE377" s="305">
        <f t="shared" si="136"/>
        <v>0.7</v>
      </c>
      <c r="AF377" s="177">
        <f t="shared" si="137"/>
        <v>3.7545836032992774E-5</v>
      </c>
      <c r="AG377" s="921">
        <f t="shared" si="143"/>
        <v>0</v>
      </c>
      <c r="AH377" s="176">
        <f t="shared" si="138"/>
        <v>6</v>
      </c>
      <c r="AI377" s="225">
        <f t="shared" si="139"/>
        <v>3.7545836032992774E-5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20">
        <v>20.003</v>
      </c>
      <c r="C378" s="390"/>
      <c r="D378" s="393">
        <f t="shared" si="122"/>
        <v>20.58840921955133</v>
      </c>
      <c r="E378" s="385">
        <f t="shared" si="144"/>
        <v>21.251616440684085</v>
      </c>
      <c r="F378" s="385">
        <f t="shared" si="123"/>
        <v>21.291170207200807</v>
      </c>
      <c r="G378" s="110">
        <f t="shared" si="145"/>
        <v>0.7554548349767638</v>
      </c>
      <c r="H378" s="414" t="b">
        <f>Wh_hp&gt;='2020'!Maxi_hp</f>
        <v>0</v>
      </c>
      <c r="I378" s="380">
        <f>IF(H378,Wh_hp,'2020'!Maxi_hp)</f>
        <v>27.784365944966957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2.8433921888215141E-2</v>
      </c>
      <c r="M378" s="959"/>
      <c r="N378" s="959"/>
      <c r="O378" s="48">
        <f>IF(t&lt;Tnet,'2020'!Resal+('2020'!Salim-'2020'!Resal)*(1-EXP(('2020'!Tnet-t)/('2020'!Tau_j))),Resal+(Salim-Resal)*(1-EXP((Tnet-t)/(Tau_j))))*Salcycl</f>
        <v>3.1207377706248811E-2</v>
      </c>
      <c r="P378" s="169">
        <f>(INDEX(Models!$BJ378:$BT378,,T378)*(1-R378)+INDEX(Models!$BJ378:$BT378,,T378+1)*R378-ERP_i)*Q378*Ramure*Pc/MaxiM</f>
        <v>2.8505222639115093E-3</v>
      </c>
      <c r="Q378" s="305">
        <f t="shared" si="125"/>
        <v>0.7</v>
      </c>
      <c r="R378" s="177">
        <f t="shared" si="126"/>
        <v>3.7545836032992774E-5</v>
      </c>
      <c r="S378" s="921">
        <f t="shared" si="127"/>
        <v>0</v>
      </c>
      <c r="T378" s="176">
        <f t="shared" si="128"/>
        <v>6</v>
      </c>
      <c r="U378" s="251">
        <f t="shared" si="129"/>
        <v>3.7545836032992774E-5</v>
      </c>
      <c r="V378" s="383">
        <f t="shared" si="130"/>
        <v>26.451753010170922</v>
      </c>
      <c r="W378" s="402"/>
      <c r="X378" s="157">
        <f t="shared" si="131"/>
        <v>44560</v>
      </c>
      <c r="Y378" s="385">
        <f t="shared" si="132"/>
        <v>18.749297445218435</v>
      </c>
      <c r="Z378" s="385">
        <f t="shared" si="133"/>
        <v>19.298015716704768</v>
      </c>
      <c r="AA378" s="386">
        <f t="shared" si="134"/>
        <v>21.251616440684085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9.1927159020212021E-2</v>
      </c>
      <c r="AD378" s="231">
        <f>(INDEX(Models!$BJ378:$BT378,,AH378)*(1-AF378)+INDEX(Models!$BJ378:$BT378,,AH378+1)*AF378-ERP_i)*AE378*Ramure*Pc/MaxiM</f>
        <v>2.8505222639115093E-3</v>
      </c>
      <c r="AE378" s="305">
        <f t="shared" si="136"/>
        <v>0.7</v>
      </c>
      <c r="AF378" s="177">
        <f t="shared" si="137"/>
        <v>3.7545836032992774E-5</v>
      </c>
      <c r="AG378" s="921">
        <f t="shared" si="143"/>
        <v>0</v>
      </c>
      <c r="AH378" s="176">
        <f t="shared" si="138"/>
        <v>6</v>
      </c>
      <c r="AI378" s="225">
        <f t="shared" si="139"/>
        <v>3.7545836032992774E-5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20">
        <v>26.315999999999999</v>
      </c>
      <c r="C379" s="390"/>
      <c r="D379" s="393">
        <f t="shared" si="122"/>
        <v>27.086759195739432</v>
      </c>
      <c r="E379" s="385">
        <f t="shared" si="144"/>
        <v>27.961596016897332</v>
      </c>
      <c r="F379" s="385">
        <f t="shared" si="123"/>
        <v>28.039920073924794</v>
      </c>
      <c r="G379" s="110">
        <f t="shared" si="145"/>
        <v>0.98804262815170918</v>
      </c>
      <c r="H379" s="414" t="b">
        <f>Wh_hp&gt;='2020'!Maxi_hp</f>
        <v>1</v>
      </c>
      <c r="I379" s="380">
        <f>IF(H379,Wh_hp,'2020'!Maxi_hp)</f>
        <v>28.039920073924794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2.8455201678784348E-2</v>
      </c>
      <c r="M379" s="959"/>
      <c r="N379" s="959"/>
      <c r="O379" s="48">
        <f>IF(t&lt;Tnet,'2020'!Resal+('2020'!Salim-'2020'!Resal)*(1-EXP(('2020'!Tnet-t)/('2020'!Tau_j))),Resal+(Salim-Resal)*(1-EXP((Tnet-t)/(Tau_j))))*Salcycl</f>
        <v>3.1287084636700706E-2</v>
      </c>
      <c r="P379" s="169">
        <f>(INDEX(Models!$BJ379:$BT379,,T379)*(1-R379)+INDEX(Models!$BJ379:$BT379,,T379+1)*R379-ERP_i)*Q379*Ramure*Pc/MaxiM</f>
        <v>2.8416518015240947E-3</v>
      </c>
      <c r="Q379" s="306">
        <f t="shared" si="125"/>
        <v>0.7</v>
      </c>
      <c r="R379" s="177">
        <f t="shared" si="126"/>
        <v>3.7545836032992774E-5</v>
      </c>
      <c r="S379" s="921">
        <f t="shared" si="127"/>
        <v>0</v>
      </c>
      <c r="T379" s="176">
        <f t="shared" si="128"/>
        <v>6</v>
      </c>
      <c r="U379" s="307">
        <f t="shared" si="129"/>
        <v>3.7545836032992774E-5</v>
      </c>
      <c r="V379" s="383">
        <f t="shared" si="130"/>
        <v>26.633187070627493</v>
      </c>
      <c r="W379" s="402"/>
      <c r="X379" s="157">
        <f t="shared" si="131"/>
        <v>44561</v>
      </c>
      <c r="Y379" s="385">
        <f t="shared" si="132"/>
        <v>24.668070248701145</v>
      </c>
      <c r="Z379" s="385">
        <f t="shared" si="133"/>
        <v>25.390563864194863</v>
      </c>
      <c r="AA379" s="386">
        <f t="shared" si="134"/>
        <v>27.961596016897332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9.1948691024245521E-2</v>
      </c>
      <c r="AD379" s="231">
        <f>(INDEX(Models!$BJ379:$BT379,,AH379)*(1-AF379)+INDEX(Models!$BJ379:$BT379,,AH379+1)*AF379-ERP_i)*AE379*Ramure*Pc/MaxiM</f>
        <v>2.8416518015240947E-3</v>
      </c>
      <c r="AE379" s="306">
        <f t="shared" si="136"/>
        <v>0.7</v>
      </c>
      <c r="AF379" s="177">
        <f t="shared" si="137"/>
        <v>3.7545836032992774E-5</v>
      </c>
      <c r="AG379" s="921">
        <f t="shared" si="143"/>
        <v>0</v>
      </c>
      <c r="AH379" s="176">
        <f t="shared" si="138"/>
        <v>6</v>
      </c>
      <c r="AI379" s="222">
        <f t="shared" si="139"/>
        <v>3.7545836032992774E-5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86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15.624559392660943</v>
      </c>
      <c r="J380" s="85">
        <f>IF(H380,An,'2020'!An_max)</f>
        <v>2020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1.48</v>
      </c>
      <c r="C381" s="375"/>
      <c r="D381" s="373">
        <f>MIN(D15:D380)</f>
        <v>1.5221131241188777</v>
      </c>
      <c r="E381" s="373">
        <f>MIN(E15:E380)</f>
        <v>1.5666919714517742</v>
      </c>
      <c r="F381" s="374">
        <f>MIN(F15:F380)</f>
        <v>1.5666919714517742</v>
      </c>
      <c r="G381" s="125">
        <f>+MIN(G15:G380)</f>
        <v>5.1831111196642743E-2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2.0678483516328505E-2</v>
      </c>
      <c r="M381" s="961"/>
      <c r="N381" s="961"/>
      <c r="O381" s="47">
        <f t="shared" si="146"/>
        <v>8.0531107998261017E-3</v>
      </c>
      <c r="P381" s="168">
        <f t="shared" si="146"/>
        <v>1.7914033848360277E-4</v>
      </c>
      <c r="Q381" s="310">
        <f t="shared" si="146"/>
        <v>0.7</v>
      </c>
      <c r="R381" s="311">
        <f t="shared" si="146"/>
        <v>7.956005844245162E-6</v>
      </c>
      <c r="S381" s="921">
        <f t="shared" si="146"/>
        <v>-1</v>
      </c>
      <c r="T381" s="176">
        <f t="shared" si="146"/>
        <v>5</v>
      </c>
      <c r="U381" s="252">
        <f>+MIN(U15:U380)</f>
        <v>-0.49996118112779597</v>
      </c>
      <c r="V381" s="57">
        <f>MIN(V15:V380)</f>
        <v>25.230801445526275</v>
      </c>
      <c r="W381" s="58"/>
      <c r="X381" s="112" t="s">
        <v>7</v>
      </c>
      <c r="Y381" s="373">
        <f>MIN(Y15:Y380)</f>
        <v>1.3836762484341827</v>
      </c>
      <c r="Z381" s="373">
        <f>MIN(Z15:Z380)</f>
        <v>1.4230484981575962</v>
      </c>
      <c r="AA381" s="373">
        <f>MIN(AA15:AA380)</f>
        <v>1.5666919714517742</v>
      </c>
      <c r="AB381" s="200" t="s">
        <v>7</v>
      </c>
      <c r="AC381" s="47">
        <f t="shared" ref="AC381:AH381" si="147">MIN(AC15:AC380)</f>
        <v>8.0854451332278879E-2</v>
      </c>
      <c r="AD381" s="168">
        <f t="shared" si="147"/>
        <v>1.7914033848360277E-4</v>
      </c>
      <c r="AE381" s="310">
        <f t="shared" si="147"/>
        <v>0.7</v>
      </c>
      <c r="AF381" s="311">
        <f t="shared" si="147"/>
        <v>7.956005844245162E-6</v>
      </c>
      <c r="AG381" s="921">
        <f t="shared" si="147"/>
        <v>-1</v>
      </c>
      <c r="AH381" s="176">
        <f t="shared" si="147"/>
        <v>5</v>
      </c>
      <c r="AI381" s="226">
        <f>MIN(AI15:AI380)</f>
        <v>-0.49996118112779597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29.916142465753438</v>
      </c>
      <c r="C382" s="375"/>
      <c r="D382" s="375">
        <f>AVERAGE(D15:D380)</f>
        <v>30.667661776834638</v>
      </c>
      <c r="E382" s="375">
        <f>AVERAGE(E15:E380)</f>
        <v>31.804595099603915</v>
      </c>
      <c r="F382" s="376">
        <f>AVERAGE(F15:F380)</f>
        <v>31.844894534196751</v>
      </c>
      <c r="G382" s="126">
        <f>AVERAGE(G15:G380)</f>
        <v>0.65964574996018366</v>
      </c>
      <c r="H382" s="94"/>
      <c r="I382" s="376">
        <f>AVERAGE(I15:I380)</f>
        <v>42.673246036580146</v>
      </c>
      <c r="J382" s="59">
        <f>AVERAGE(J15:J380)</f>
        <v>2019.6939890710382</v>
      </c>
      <c r="K382" s="200" t="s">
        <v>8</v>
      </c>
      <c r="L382" s="147">
        <f t="shared" ref="L382:V382" si="148">AVERAGE(L15:L380)</f>
        <v>2.457199513363198E-2</v>
      </c>
      <c r="M382" s="959"/>
      <c r="N382" s="959"/>
      <c r="O382" s="48">
        <f t="shared" si="148"/>
        <v>3.9208572342775125E-2</v>
      </c>
      <c r="P382" s="169">
        <f t="shared" si="148"/>
        <v>1.6737226115594291E-3</v>
      </c>
      <c r="Q382" s="312">
        <f t="shared" si="148"/>
        <v>0.69999999999999529</v>
      </c>
      <c r="R382" s="177">
        <f t="shared" si="148"/>
        <v>0.74156625148778776</v>
      </c>
      <c r="S382" s="921">
        <f t="shared" si="148"/>
        <v>-0.9616438356164384</v>
      </c>
      <c r="T382" s="176">
        <f t="shared" si="148"/>
        <v>5.0383561643835613</v>
      </c>
      <c r="U382" s="251">
        <f t="shared" si="148"/>
        <v>-0.22007758412865203</v>
      </c>
      <c r="V382" s="59">
        <f t="shared" si="148"/>
        <v>43.784058829495351</v>
      </c>
      <c r="X382" s="112" t="s">
        <v>8</v>
      </c>
      <c r="Y382" s="375">
        <f>AVERAGE(Y15:Y380)</f>
        <v>28.269664503693498</v>
      </c>
      <c r="Z382" s="375">
        <f>AVERAGE(Z15:Z380)</f>
        <v>28.978595267335908</v>
      </c>
      <c r="AA382" s="375">
        <f>AVERAGE(AA15:AA380)</f>
        <v>31.804595099603915</v>
      </c>
      <c r="AB382" s="200" t="s">
        <v>8</v>
      </c>
      <c r="AC382" s="48">
        <f t="shared" ref="AC382:AH382" si="149">AVERAGE(AC15:AC380)</f>
        <v>8.8585767669578167E-2</v>
      </c>
      <c r="AD382" s="169">
        <f t="shared" si="149"/>
        <v>1.6737226115594291E-3</v>
      </c>
      <c r="AE382" s="312">
        <f t="shared" si="149"/>
        <v>0.69999999999999529</v>
      </c>
      <c r="AF382" s="177">
        <f t="shared" si="149"/>
        <v>0.74156625148778776</v>
      </c>
      <c r="AG382" s="921">
        <f t="shared" si="149"/>
        <v>-0.9616438356164384</v>
      </c>
      <c r="AH382" s="176">
        <f t="shared" si="149"/>
        <v>5.0383561643835613</v>
      </c>
      <c r="AI382" s="225">
        <f>AVERAGE(AI15:AI380)</f>
        <v>-0.22007758412865203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59.480000000000004</v>
      </c>
      <c r="C383" s="377"/>
      <c r="D383" s="377">
        <f>MAX(D15:D380)</f>
        <v>60.92111855310921</v>
      </c>
      <c r="E383" s="377">
        <f>MAX(E15:E380)</f>
        <v>61.616597028833525</v>
      </c>
      <c r="F383" s="378">
        <f>MAX(F15:F380)</f>
        <v>61.745336141235896</v>
      </c>
      <c r="G383" s="127">
        <f>+MAX(G15:G380)</f>
        <v>1.0469445923345255</v>
      </c>
      <c r="H383" s="94"/>
      <c r="I383" s="378">
        <f>MAX(I15:I380)</f>
        <v>61.987907498178245</v>
      </c>
      <c r="J383" s="60">
        <f>MAX(J15:J380)</f>
        <v>2021</v>
      </c>
      <c r="K383" s="200" t="s">
        <v>9</v>
      </c>
      <c r="L383" s="148">
        <f t="shared" ref="L383:T383" si="150">MAX(L15:L380)</f>
        <v>2.8455201678784348E-2</v>
      </c>
      <c r="M383" s="962"/>
      <c r="N383" s="962"/>
      <c r="O383" s="49">
        <f t="shared" si="150"/>
        <v>8.5019272584818742E-2</v>
      </c>
      <c r="P383" s="170">
        <f t="shared" si="150"/>
        <v>4.9835722818774705E-3</v>
      </c>
      <c r="Q383" s="313">
        <f t="shared" si="150"/>
        <v>0.7</v>
      </c>
      <c r="R383" s="314">
        <f t="shared" si="150"/>
        <v>0.99999976738617491</v>
      </c>
      <c r="S383" s="922">
        <f t="shared" si="150"/>
        <v>0</v>
      </c>
      <c r="T383" s="233">
        <f t="shared" si="150"/>
        <v>6</v>
      </c>
      <c r="U383" s="253">
        <f>+MAX(U15:U380)</f>
        <v>3.7545836032992774E-5</v>
      </c>
      <c r="V383" s="60">
        <f>MAX(V15:V380)</f>
        <v>57.585528351508245</v>
      </c>
      <c r="X383" s="112" t="s">
        <v>9</v>
      </c>
      <c r="Y383" s="377">
        <f>MAX(Y15:Y380)</f>
        <v>54.895190722083257</v>
      </c>
      <c r="Z383" s="377">
        <f>MAX(Z15:Z380)</f>
        <v>56.225225655271934</v>
      </c>
      <c r="AA383" s="377">
        <f>MAX(AA15:AA380)</f>
        <v>61.616597028833525</v>
      </c>
      <c r="AB383" s="200" t="s">
        <v>9</v>
      </c>
      <c r="AC383" s="49">
        <f t="shared" ref="AC383:AH383" si="151">MAX(AC15:AC380)</f>
        <v>9.3173461972189342E-2</v>
      </c>
      <c r="AD383" s="170">
        <f t="shared" si="151"/>
        <v>4.9835722818774705E-3</v>
      </c>
      <c r="AE383" s="313">
        <f t="shared" si="151"/>
        <v>0.7</v>
      </c>
      <c r="AF383" s="314">
        <f t="shared" si="151"/>
        <v>0.99999976738617491</v>
      </c>
      <c r="AG383" s="922">
        <f t="shared" si="151"/>
        <v>0</v>
      </c>
      <c r="AH383" s="233">
        <f t="shared" si="151"/>
        <v>6</v>
      </c>
      <c r="AI383" s="227">
        <f>MAX(AI15:AI380)</f>
        <v>3.7545836032992774E-5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80" sqref="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'2021'!An+1</f>
        <v>2022</v>
      </c>
      <c r="K1" s="1217"/>
      <c r="L1" s="113" t="str">
        <f>"Calcul pertes et enveloppes en "&amp;TEXT(An,0)</f>
        <v>Calcul pertes et enveloppes en 2022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2022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609.85192195927152</v>
      </c>
      <c r="AK4" s="948">
        <f>AM12-AK12</f>
        <v>-1.1540428793665995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609.68440992088688</v>
      </c>
      <c r="AA5" s="237">
        <f>Wh_Pvg_s-Wh_Pvg</f>
        <v>-1.1582575926223839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2.2275</v>
      </c>
      <c r="AK5" s="517">
        <f>SUMIF(AK15:AK380,"VRAI",Wh)</f>
        <v>2.2275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10695.941499999999</v>
      </c>
      <c r="AK6" s="517">
        <f>SUMIF(AK15:AK380,"FAUX",Wh)</f>
        <v>10695.941499999999</v>
      </c>
      <c r="AL6" s="517">
        <f>SUMIF(AJ15:AJ380,"FAUX",Wh_s)</f>
        <v>10086.02325460977</v>
      </c>
      <c r="AM6" s="517">
        <f>SUMIF(AK15:AK380,"FAUX",Wh_s)</f>
        <v>10086.02325460977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AND(YEAR(Tnet)=An,Resal_2022&lt;&gt;"I")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11051.936788695595</v>
      </c>
      <c r="AK8" s="517">
        <f>SUMIF(AK15:AK380,"FAUX",Wh_sa)</f>
        <v>11883.062472004787</v>
      </c>
      <c r="AL8" s="517">
        <f>SUMIF(AJ15:AJ380,"FAUX",Wh_pvt_s)</f>
        <v>10421.778608537303</v>
      </c>
      <c r="AM8" s="517">
        <f>SUMIF(AK15:AK380,"FAUX",Wh_sa_s)</f>
        <v>11883.062472004787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11051.936788695595</v>
      </c>
      <c r="E9" s="184">
        <f>SUM(E$15:E$380)</f>
        <v>11883.062472004787</v>
      </c>
      <c r="F9" s="184">
        <f>SUM(F$15:F$380)</f>
        <v>11905.546737288754</v>
      </c>
      <c r="H9" s="1218">
        <f>+SUM(Wh)</f>
        <v>10698.169</v>
      </c>
      <c r="I9" s="1219"/>
      <c r="J9" s="1220"/>
      <c r="K9" s="191"/>
      <c r="L9" s="232"/>
      <c r="M9" s="232"/>
      <c r="N9" s="232"/>
      <c r="O9" s="223">
        <f>Tnet_2022</f>
        <v>44562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10086.02325460977</v>
      </c>
      <c r="Y9" s="1213"/>
      <c r="Z9" s="517">
        <f>SUM(Z$15:Z$380)</f>
        <v>10421.778608537303</v>
      </c>
      <c r="AA9" s="517">
        <f>SUM(AA$15:AA$380)</f>
        <v>11883.062472004787</v>
      </c>
      <c r="AB9" s="517">
        <f>F9</f>
        <v>11905.546737288754</v>
      </c>
      <c r="AC9" s="325">
        <f>IF(An_Tnet,Tnet,'2021'!Tnet_s)</f>
        <v>44562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3.1348857787303515E-2</v>
      </c>
      <c r="P10" s="422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IF(OR(Inflex,GainD),'2021'!Resal_s+('2021'!Salim-'2021'!Resal_s)*(1-EXP(('2021'!Tnet_s-Tnet)/('2021'!Tau_j))),IF(Acti_net,'2021'!Resal+('2021'!Salim-'2021'!Resal)*(1-EXP(('2021'!Tnet-Tnet)/'2021'!Tau_j)),'2021'!Resal_s))</f>
        <v>9.1917852346710377E-2</v>
      </c>
      <c r="AD10" s="429"/>
      <c r="AE10" s="429"/>
      <c r="AF10" s="260"/>
      <c r="AG10" s="261"/>
      <c r="AH10" s="262"/>
      <c r="AI10" s="474"/>
      <c r="AJ10" s="517">
        <f>SUMIF(AJ15:AJ380,"FAUX",Wh_sa)</f>
        <v>11883.062472004787</v>
      </c>
      <c r="AK10" s="517">
        <f>SUMIF(AK15:AK380,"FAUX",Wh_hp)</f>
        <v>11905.546737288754</v>
      </c>
      <c r="AL10" s="517">
        <f>SUMIF(AJ15:AJ380,"FAUX",Wh_sa_s)</f>
        <v>11883.062472004787</v>
      </c>
      <c r="AM10" s="517">
        <f>SUMIF(AK15:AK380,"FAUX",Wh_hp)</f>
        <v>11905.546737288754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353.7677886955953</v>
      </c>
      <c r="E11" s="51">
        <f>(E$9-D$9)*Prod_an/D$9</f>
        <v>804.52170422987354</v>
      </c>
      <c r="F11" s="186">
        <f>(F$9-E$9)*Prod_an/E$9</f>
        <v>20.242296160219617</v>
      </c>
      <c r="G11" s="185" t="s">
        <v>6</v>
      </c>
      <c r="K11" s="194"/>
      <c r="L11" s="211">
        <f>Tvie_2022</f>
        <v>43243</v>
      </c>
      <c r="M11" s="958"/>
      <c r="N11" s="958"/>
      <c r="O11" s="202">
        <f>IF(An_Tnet,Salim_2022,'2021'!Salim)</f>
        <v>0.28000000000000003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0.50003754583603299</v>
      </c>
      <c r="V11" s="19"/>
      <c r="W11" s="950"/>
      <c r="X11" s="235" t="s">
        <v>44</v>
      </c>
      <c r="Y11" s="50">
        <f>Z$9-Prod_an_s</f>
        <v>335.75535392753227</v>
      </c>
      <c r="Z11" s="51">
        <f>(AA$9-Z$9)*Prod_an_s/Z$9</f>
        <v>1414.2061141507604</v>
      </c>
      <c r="AA11" s="186">
        <f>(AB$9-AA$9)*Prod_an_s/AA$9</f>
        <v>19.084038567597233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4.6255184038828556E-2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3.7545836032992774E-5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'2021'!Df_s</f>
        <v>0.7</v>
      </c>
      <c r="AF12" s="203"/>
      <c r="AG12" s="203"/>
      <c r="AH12" s="203"/>
      <c r="AI12" s="297">
        <f>'2021'!Hdf_s</f>
        <v>3.7545836032992774E-5</v>
      </c>
      <c r="AJ12" s="947">
        <f>IF($AJ8=0,0,($AJ10-$AJ8)*$AJ6/$AJ8)</f>
        <v>804.35419219148889</v>
      </c>
      <c r="AK12" s="948">
        <f>IF($AK8=0,0,($AK10-$AK8)*$AK6/$AK8)</f>
        <v>20.238081446963832</v>
      </c>
      <c r="AL12" s="947">
        <f>IF($AL8=0,0,($AL10-$AL8)*$AL6/$AL8)</f>
        <v>1414.2061141507604</v>
      </c>
      <c r="AM12" s="948">
        <f>IF($AM8=0,0,($AM10-$AM8)*$AM6/$AM8)</f>
        <v>19.084038567597233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804.35419219148889</v>
      </c>
      <c r="AK13" s="73">
        <f>+AK11+AK12</f>
        <v>20.238081446963832</v>
      </c>
      <c r="AL13" s="73">
        <f>+AL11+AL12</f>
        <v>1414.2061141507604</v>
      </c>
      <c r="AM13" s="73">
        <f>+AM11+AM12</f>
        <v>19.084038567597233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2022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2022</v>
      </c>
      <c r="W14" s="952" t="s">
        <v>119</v>
      </c>
      <c r="X14" s="258" t="s">
        <v>2</v>
      </c>
      <c r="Y14" s="107" t="str">
        <f>"Wh / Jour "&amp; TEXT(An,0)</f>
        <v>Wh / Jour 2022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091">
        <v>26.35</v>
      </c>
      <c r="C15" s="955"/>
      <c r="D15" s="393">
        <f t="shared" ref="D15:D78" si="0">Wh/(1-Ppv)</f>
        <v>27.122349057705865</v>
      </c>
      <c r="E15" s="400">
        <f t="shared" ref="E15:E79" si="1">Wh_pvt/(1-Psa)</f>
        <v>28.000639469461955</v>
      </c>
      <c r="F15" s="400">
        <f t="shared" ref="F15:F78" si="2">Wh_sa/(1-Pvg*MEDIAN((-Sdif+Wh/Env_an)/Csdif,0,1))</f>
        <v>28.078120973122783</v>
      </c>
      <c r="G15" s="123">
        <f>+Wh_hp/MaxiM</f>
        <v>0.98229145359971426</v>
      </c>
      <c r="H15" s="414" t="b">
        <f>Wh_hp&gt;='2021'!Maxi_hp</f>
        <v>1</v>
      </c>
      <c r="I15" s="379">
        <f>IF(H15,Wh_hp,'2021'!Maxi_hp)</f>
        <v>28.078120973122783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2.8476481003271603E-2</v>
      </c>
      <c r="M15" s="959"/>
      <c r="N15" s="959"/>
      <c r="O15" s="48">
        <f>IF(t&lt;Tnet,'2021'!Resal+('2021'!Salim-'2021'!Resal)*(1-EXP(('2021'!Tnet-t)/('2021'!Tau_j))),Resal+(Salim-Resal)*(1-EXP((Tnet-t)/(Tau_j))))*Salcycl</f>
        <v>3.1366798344515431E-2</v>
      </c>
      <c r="P15" s="338">
        <f>(INDEX(Models!$BJ15:$BT15,,T15)*(1-R15)+INDEX(Models!$BJ15:$BT15,,T15+1)*R15-ERP_i)*Q15*Ramure*Pc/MaxiM</f>
        <v>2.830827362265937E-3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3.8741334262374074E-5</v>
      </c>
      <c r="S15" s="920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3.8741334262374074E-5</v>
      </c>
      <c r="V15" s="382">
        <f t="shared" ref="V15:V78" si="8">MaxiM*(1-Ppv)*(1-Pvg)*(1-Psa)</f>
        <v>26.823113608205247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24.701381750444952</v>
      </c>
      <c r="Z15" s="385">
        <f>Wh_sa_s*(1-Psa_s)</f>
        <v>25.425407895378118</v>
      </c>
      <c r="AA15" s="386">
        <f t="shared" ref="AA15:AA78" si="12">Wh_hp*(1-Pvg_s*MEDIAN((-Sdif+Wh/Env_an)/Csdif,0,1))</f>
        <v>28.000639469461955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9.197045577807017E-2</v>
      </c>
      <c r="AD15" s="231">
        <f>(INDEX(Models!$BJ15:$BT15,,AH15)*(1-AF15)+INDEX(Models!$BJ15:$BT15,,AH15+1)*AF15-ERP_i)*AE15*Ramure*Pc/MaxiM</f>
        <v>2.830827362265937E-3</v>
      </c>
      <c r="AE15" s="303">
        <f t="shared" ref="AE15:AE78" si="14">IF(OR(t&lt;Ttai,Notai),Dd_s+PousD*Croivg,Dens_s+PousD*(Croivg-Croi_tai))</f>
        <v>0.7</v>
      </c>
      <c r="AF15" s="304">
        <f>(Hp_vg_s-AG15)/(INDEX(Echel_vg,AH15+1)-AG15)</f>
        <v>3.8741334262374074E-5</v>
      </c>
      <c r="AG15" s="920">
        <f>INDEX(Echel_vg,AH15)</f>
        <v>0</v>
      </c>
      <c r="AH15" s="249">
        <f t="shared" ref="AH15:AH78" si="15">MIN(MATCH(Hp_vg_s,Echel_vg),10)</f>
        <v>6</v>
      </c>
      <c r="AI15" s="224">
        <f>IF(OR(t&lt;Ttai,Notai),Hdd_s+PousH*Croivg,Hdtai_s+PousH*(Croivg-Croi_tai))</f>
        <v>3.8741334262374074E-5</v>
      </c>
      <c r="AJ15" s="265" t="b">
        <f t="shared" ref="AJ15:AJ78" si="16">t&lt;Tnet</f>
        <v>0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092">
        <v>18.411999999999999</v>
      </c>
      <c r="C16" s="955"/>
      <c r="D16" s="393">
        <f t="shared" si="0"/>
        <v>18.952092171582311</v>
      </c>
      <c r="E16" s="385">
        <f t="shared" si="1"/>
        <v>19.570371885882466</v>
      </c>
      <c r="F16" s="385">
        <f t="shared" si="2"/>
        <v>19.600382633561733</v>
      </c>
      <c r="G16" s="110">
        <f t="shared" ref="G16:G79" si="19">+Wh_hp/MaxiM</f>
        <v>0.68064400754318932</v>
      </c>
      <c r="H16" s="414" t="b">
        <f>Wh_hp&gt;='2021'!Maxi_hp</f>
        <v>0</v>
      </c>
      <c r="I16" s="380">
        <f>IF(H16,Wh_hp,'2021'!Maxi_hp)</f>
        <v>25.967841110496515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2.8497759861687011E-2</v>
      </c>
      <c r="M16" s="959"/>
      <c r="N16" s="959"/>
      <c r="O16" s="48">
        <f>IF(t&lt;Tnet,'2021'!Resal+('2021'!Salim-'2021'!Resal)*(1-EXP(('2021'!Tnet-t)/('2021'!Tau_j))),Resal+(Salim-Resal)*(1-EXP((Tnet-t)/(Tau_j))))*Salcycl</f>
        <v>3.1592640032873702E-2</v>
      </c>
      <c r="P16" s="339">
        <f>(INDEX(Models!$BJ16:$BT16,,T16)*(1-R16)+INDEX(Models!$BJ16:$BT16,,T16+1)*R16-ERP_i)*Q16*Ramure*Pc/MaxiM</f>
        <v>2.8092931351562651E-3</v>
      </c>
      <c r="Q16" s="305">
        <f t="shared" si="4"/>
        <v>0.7</v>
      </c>
      <c r="R16" s="177">
        <f t="shared" si="5"/>
        <v>6.7955948256612916E-5</v>
      </c>
      <c r="S16" s="921">
        <f t="shared" si="6"/>
        <v>0</v>
      </c>
      <c r="T16" s="176">
        <f t="shared" si="7"/>
        <v>6</v>
      </c>
      <c r="U16" s="251">
        <f t="shared" ref="U16:U78" si="20">IF(OR(t&lt;Ttai,Notai),Hdd+PousH*Croivg,Hdtf+PousH*(Croivg-Croi_tai))</f>
        <v>6.7955948256612916E-5</v>
      </c>
      <c r="V16" s="383">
        <f t="shared" si="8"/>
        <v>27.016223137772212</v>
      </c>
      <c r="W16" s="402">
        <f t="shared" si="9"/>
        <v>0</v>
      </c>
      <c r="X16" s="157">
        <f t="shared" si="10"/>
        <v>44563</v>
      </c>
      <c r="Y16" s="385">
        <f t="shared" si="11"/>
        <v>17.260861077175807</v>
      </c>
      <c r="Z16" s="385">
        <f t="shared" ref="Z16:Z78" si="21">Wh_sa_s*(1-Psa_s)</f>
        <v>17.767186079486933</v>
      </c>
      <c r="AA16" s="386">
        <f t="shared" si="12"/>
        <v>19.570371885882466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9.2138556022857213E-2</v>
      </c>
      <c r="AD16" s="231">
        <f>(INDEX(Models!$BJ16:$BT16,,AH16)*(1-AF16)+INDEX(Models!$BJ16:$BT16,,AH16+1)*AF16-ERP_i)*AE16*Ramure*Pc/MaxiM</f>
        <v>2.8092931351562651E-3</v>
      </c>
      <c r="AE16" s="305">
        <f>IF(OR(t&lt;Ttai,Notai),Dd_s+PousD*Croivg,Dens_s+PousD*(Croivg-Croi_tai))</f>
        <v>0.7</v>
      </c>
      <c r="AF16" s="177">
        <f t="shared" ref="AF16:AF78" si="22">(Hp_vg_s-AG16)/(INDEX(Echel_vg,AH16+1)-AG16)</f>
        <v>6.7955948256612916E-5</v>
      </c>
      <c r="AG16" s="921">
        <f t="shared" ref="AG16:AG79" si="23">INDEX(Echel_vg,AH16)</f>
        <v>0</v>
      </c>
      <c r="AH16" s="176">
        <f t="shared" si="15"/>
        <v>6</v>
      </c>
      <c r="AI16" s="225">
        <f t="shared" ref="AI16:AI78" si="24">IF(OR(t&lt;Ttai,Notai),Hdd_s+PousH*Croivg,Hdtai_s+PousH*(Croivg-Croi_tai))</f>
        <v>6.7955948256612916E-5</v>
      </c>
      <c r="AJ16" s="265" t="b">
        <f t="shared" si="16"/>
        <v>0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092">
        <v>19.501000000000001</v>
      </c>
      <c r="C17" s="955"/>
      <c r="D17" s="393">
        <f t="shared" si="0"/>
        <v>20.073476236685618</v>
      </c>
      <c r="E17" s="385">
        <f t="shared" si="1"/>
        <v>20.733171071425485</v>
      </c>
      <c r="F17" s="385">
        <f t="shared" si="2"/>
        <v>20.767493890749886</v>
      </c>
      <c r="G17" s="110">
        <f t="shared" si="19"/>
        <v>0.71574454524888775</v>
      </c>
      <c r="H17" s="414" t="b">
        <f>Wh_hp&gt;='2021'!Maxi_hp</f>
        <v>0</v>
      </c>
      <c r="I17" s="380">
        <f>IF(H17,Wh_hp,'2021'!Maxi_hp)</f>
        <v>30.270872638205173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2.8519038254040785E-2</v>
      </c>
      <c r="M17" s="959"/>
      <c r="N17" s="959"/>
      <c r="O17" s="48">
        <f>IF(t&lt;Tnet,'2021'!Resal+('2021'!Salim-'2021'!Resal)*(1-EXP(('2021'!Tnet-t)/('2021'!Tau_j))),Resal+(Salim-Resal)*(1-EXP((Tnet-t)/(Tau_j))))*Salcycl</f>
        <v>3.1818327860568221E-2</v>
      </c>
      <c r="P17" s="339">
        <f>(INDEX(Models!$BJ17:$BT17,,T17)*(1-R17)+INDEX(Models!$BJ17:$BT17,,T17+1)*R17-ERP_i)*Q17*Ramure*Pc/MaxiM</f>
        <v>2.7773330786022114E-3</v>
      </c>
      <c r="Q17" s="305">
        <f t="shared" si="4"/>
        <v>0.7</v>
      </c>
      <c r="R17" s="177">
        <f t="shared" si="5"/>
        <v>9.8392543746195573E-5</v>
      </c>
      <c r="S17" s="921">
        <f t="shared" si="6"/>
        <v>0</v>
      </c>
      <c r="T17" s="176">
        <f t="shared" si="7"/>
        <v>6</v>
      </c>
      <c r="U17" s="251">
        <f t="shared" si="20"/>
        <v>9.8392543746195573E-5</v>
      </c>
      <c r="V17" s="383">
        <f t="shared" si="8"/>
        <v>27.215062570223893</v>
      </c>
      <c r="W17" s="402">
        <f t="shared" si="9"/>
        <v>0</v>
      </c>
      <c r="X17" s="157">
        <f t="shared" si="10"/>
        <v>44564</v>
      </c>
      <c r="Y17" s="385">
        <f t="shared" si="11"/>
        <v>18.282650540638585</v>
      </c>
      <c r="Z17" s="385">
        <f t="shared" si="21"/>
        <v>18.819360605668226</v>
      </c>
      <c r="AA17" s="386">
        <f t="shared" si="12"/>
        <v>20.733171071425485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9.2306693422063144E-2</v>
      </c>
      <c r="AD17" s="231">
        <f>(INDEX(Models!$BJ17:$BT17,,AH17)*(1-AF17)+INDEX(Models!$BJ17:$BT17,,AH17+1)*AF17-ERP_i)*AE17*Ramure*Pc/MaxiM</f>
        <v>2.7773330786022114E-3</v>
      </c>
      <c r="AE17" s="305">
        <f t="shared" si="14"/>
        <v>0.7</v>
      </c>
      <c r="AF17" s="177">
        <f>(Hp_vg_s-AG17)/(INDEX(Echel_vg,AH17+1)-AG17)</f>
        <v>9.8392543746195573E-5</v>
      </c>
      <c r="AG17" s="921">
        <f>INDEX(Echel_vg,AH17)</f>
        <v>0</v>
      </c>
      <c r="AH17" s="176">
        <f t="shared" si="15"/>
        <v>6</v>
      </c>
      <c r="AI17" s="225">
        <f t="shared" si="24"/>
        <v>9.8392543746195573E-5</v>
      </c>
      <c r="AJ17" s="265" t="b">
        <f t="shared" si="16"/>
        <v>0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092">
        <v>20.385999999999999</v>
      </c>
      <c r="C18" s="955"/>
      <c r="D18" s="393">
        <f t="shared" si="0"/>
        <v>20.984916141702168</v>
      </c>
      <c r="E18" s="385">
        <f t="shared" si="1"/>
        <v>21.679614591381501</v>
      </c>
      <c r="F18" s="385">
        <f t="shared" si="2"/>
        <v>21.717253053189769</v>
      </c>
      <c r="G18" s="110">
        <f t="shared" si="19"/>
        <v>0.74277545809921386</v>
      </c>
      <c r="H18" s="414" t="b">
        <f>Wh_hp&gt;='2021'!Maxi_hp</f>
        <v>0</v>
      </c>
      <c r="I18" s="380">
        <f>IF(H18,Wh_hp,'2021'!Maxi_hp)</f>
        <v>25.910930416910517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2.854031618034325E-2</v>
      </c>
      <c r="M18" s="959"/>
      <c r="N18" s="959"/>
      <c r="O18" s="48">
        <f>IF(t&lt;Tnet,'2021'!Resal+('2021'!Salim-'2021'!Resal)*(1-EXP(('2021'!Tnet-t)/('2021'!Tau_j))),Resal+(Salim-Resal)*(1-EXP((Tnet-t)/(Tau_j))))*Salcycl</f>
        <v>3.2043856072769029E-2</v>
      </c>
      <c r="P18" s="339">
        <f>(INDEX(Models!$BJ18:$BT18,,T18)*(1-R18)+INDEX(Models!$BJ18:$BT18,,T18+1)*R18-ERP_i)*Q18*Ramure*Pc/MaxiM</f>
        <v>2.7353312263620213E-3</v>
      </c>
      <c r="Q18" s="305">
        <f t="shared" si="4"/>
        <v>0.7</v>
      </c>
      <c r="R18" s="177">
        <f t="shared" si="5"/>
        <v>1.3010207504131512E-4</v>
      </c>
      <c r="S18" s="921">
        <f t="shared" si="6"/>
        <v>0</v>
      </c>
      <c r="T18" s="176">
        <f t="shared" si="7"/>
        <v>6</v>
      </c>
      <c r="U18" s="251">
        <f t="shared" si="20"/>
        <v>1.3010207504131512E-4</v>
      </c>
      <c r="V18" s="383">
        <f t="shared" si="8"/>
        <v>27.418155909436106</v>
      </c>
      <c r="W18" s="402">
        <f t="shared" si="9"/>
        <v>0</v>
      </c>
      <c r="X18" s="157">
        <f t="shared" si="10"/>
        <v>44565</v>
      </c>
      <c r="Y18" s="385">
        <f t="shared" si="11"/>
        <v>19.113270649500226</v>
      </c>
      <c r="Z18" s="385">
        <f>Wh_sa_s*(1-Psa_s)</f>
        <v>19.674795534848403</v>
      </c>
      <c r="AA18" s="386">
        <f t="shared" si="12"/>
        <v>21.679614591381501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9.2474847653891898E-2</v>
      </c>
      <c r="AD18" s="231">
        <f>(INDEX(Models!$BJ18:$BT18,,AH18)*(1-AF18)+INDEX(Models!$BJ18:$BT18,,AH18+1)*AF18-ERP_i)*AE18*Ramure*Pc/MaxiM</f>
        <v>2.7353312263620213E-3</v>
      </c>
      <c r="AE18" s="305">
        <f t="shared" si="14"/>
        <v>0.7</v>
      </c>
      <c r="AF18" s="177">
        <f t="shared" si="22"/>
        <v>1.3010207504131512E-4</v>
      </c>
      <c r="AG18" s="921">
        <f t="shared" si="23"/>
        <v>0</v>
      </c>
      <c r="AH18" s="176">
        <f t="shared" si="15"/>
        <v>6</v>
      </c>
      <c r="AI18" s="225">
        <f t="shared" si="24"/>
        <v>1.3010207504131512E-4</v>
      </c>
      <c r="AJ18" s="265" t="b">
        <f t="shared" si="16"/>
        <v>0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092">
        <v>14.398</v>
      </c>
      <c r="C19" s="955"/>
      <c r="D19" s="393">
        <f t="shared" si="0"/>
        <v>14.821320534318346</v>
      </c>
      <c r="E19" s="385">
        <f t="shared" si="1"/>
        <v>15.315541094314362</v>
      </c>
      <c r="F19" s="385">
        <f t="shared" si="2"/>
        <v>15.328541019272569</v>
      </c>
      <c r="G19" s="110">
        <f t="shared" si="19"/>
        <v>0.5202553595828272</v>
      </c>
      <c r="H19" s="414" t="b">
        <f>Wh_hp&gt;='2021'!Maxi_hp</f>
        <v>0</v>
      </c>
      <c r="I19" s="380">
        <f>IF(H19,Wh_hp,'2021'!Maxi_hp)</f>
        <v>29.868700088933423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2.8561593640604399E-2</v>
      </c>
      <c r="M19" s="959"/>
      <c r="N19" s="959"/>
      <c r="O19" s="48">
        <f>IF(t&lt;Tnet,'2021'!Resal+('2021'!Salim-'2021'!Resal)*(1-EXP(('2021'!Tnet-t)/('2021'!Tau_j))),Resal+(Salim-Resal)*(1-EXP((Tnet-t)/(Tau_j))))*Salcycl</f>
        <v>3.2269219673831041E-2</v>
      </c>
      <c r="P19" s="339">
        <f>(INDEX(Models!$BJ19:$BT19,,T19)*(1-R19)+INDEX(Models!$BJ19:$BT19,,T19+1)*R19-ERP_i)*Q19*Ramure*Pc/MaxiM</f>
        <v>2.683660797451116E-3</v>
      </c>
      <c r="Q19" s="305">
        <f t="shared" si="4"/>
        <v>0.7</v>
      </c>
      <c r="R19" s="177">
        <f t="shared" si="5"/>
        <v>1.6313760760298195E-4</v>
      </c>
      <c r="S19" s="921">
        <f t="shared" si="6"/>
        <v>0</v>
      </c>
      <c r="T19" s="176">
        <f t="shared" si="7"/>
        <v>6</v>
      </c>
      <c r="U19" s="251">
        <f t="shared" si="20"/>
        <v>1.6313760760298195E-4</v>
      </c>
      <c r="V19" s="383">
        <f t="shared" si="8"/>
        <v>27.624028662602257</v>
      </c>
      <c r="W19" s="402">
        <f t="shared" si="9"/>
        <v>0</v>
      </c>
      <c r="X19" s="157">
        <f t="shared" si="10"/>
        <v>44566</v>
      </c>
      <c r="Y19" s="385">
        <f t="shared" si="11"/>
        <v>13.499752551796204</v>
      </c>
      <c r="Z19" s="385">
        <f t="shared" si="21"/>
        <v>13.896663404928017</v>
      </c>
      <c r="AA19" s="386">
        <f t="shared" si="12"/>
        <v>15.315541094314362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9.2643001030703387E-2</v>
      </c>
      <c r="AD19" s="231">
        <f>(INDEX(Models!$BJ19:$BT19,,AH19)*(1-AF19)+INDEX(Models!$BJ19:$BT19,,AH19+1)*AF19-ERP_i)*AE19*Ramure*Pc/MaxiM</f>
        <v>2.683660797451116E-3</v>
      </c>
      <c r="AE19" s="305">
        <f t="shared" si="14"/>
        <v>0.7</v>
      </c>
      <c r="AF19" s="177">
        <f t="shared" si="22"/>
        <v>1.6313760760298195E-4</v>
      </c>
      <c r="AG19" s="921">
        <f t="shared" si="23"/>
        <v>0</v>
      </c>
      <c r="AH19" s="176">
        <f t="shared" si="15"/>
        <v>6</v>
      </c>
      <c r="AI19" s="225">
        <f t="shared" si="24"/>
        <v>1.6313760760298195E-4</v>
      </c>
      <c r="AJ19" s="265" t="b">
        <f t="shared" si="16"/>
        <v>0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092">
        <v>26.477</v>
      </c>
      <c r="C20" s="955"/>
      <c r="D20" s="393">
        <f t="shared" si="0"/>
        <v>27.256056332157833</v>
      </c>
      <c r="E20" s="385">
        <f t="shared" si="1"/>
        <v>28.171471812334811</v>
      </c>
      <c r="F20" s="385">
        <f t="shared" si="2"/>
        <v>28.24038891276442</v>
      </c>
      <c r="G20" s="110">
        <f t="shared" si="19"/>
        <v>0.95116825169449815</v>
      </c>
      <c r="H20" s="414" t="b">
        <f>Wh_hp&gt;='2021'!Maxi_hp</f>
        <v>0</v>
      </c>
      <c r="I20" s="380">
        <f>IF(H20,Wh_hp,'2021'!Maxi_hp)</f>
        <v>28.521480989437787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2.8582870634834667E-2</v>
      </c>
      <c r="M20" s="959"/>
      <c r="N20" s="959"/>
      <c r="O20" s="48">
        <f>IF(t&lt;Tnet,'2021'!Resal+('2021'!Salim-'2021'!Resal)*(1-EXP(('2021'!Tnet-t)/('2021'!Tau_j))),Resal+(Salim-Resal)*(1-EXP((Tnet-t)/(Tau_j))))*Salcycl</f>
        <v>3.2494414430138681E-2</v>
      </c>
      <c r="P20" s="339">
        <f>(INDEX(Models!$BJ20:$BT20,,T20)*(1-R20)+INDEX(Models!$BJ20:$BT20,,T20+1)*R20-ERP_i)*Q20*Ramure*Pc/MaxiM</f>
        <v>2.6226794067686172E-3</v>
      </c>
      <c r="Q20" s="305">
        <f t="shared" si="4"/>
        <v>0.7</v>
      </c>
      <c r="R20" s="177">
        <f t="shared" si="5"/>
        <v>1.9755440435369355E-4</v>
      </c>
      <c r="S20" s="921">
        <f t="shared" si="6"/>
        <v>0</v>
      </c>
      <c r="T20" s="176">
        <f t="shared" si="7"/>
        <v>6</v>
      </c>
      <c r="U20" s="251">
        <f t="shared" si="20"/>
        <v>1.9755440435369355E-4</v>
      </c>
      <c r="V20" s="383">
        <f t="shared" si="8"/>
        <v>27.831207816842426</v>
      </c>
      <c r="W20" s="402">
        <f t="shared" si="9"/>
        <v>0</v>
      </c>
      <c r="X20" s="157">
        <f t="shared" si="10"/>
        <v>44567</v>
      </c>
      <c r="Y20" s="385">
        <f t="shared" si="11"/>
        <v>24.826357434954431</v>
      </c>
      <c r="Z20" s="385">
        <f t="shared" si="21"/>
        <v>25.556845442059277</v>
      </c>
      <c r="AA20" s="386">
        <f t="shared" si="12"/>
        <v>28.171471812334811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9.2811138434404597E-2</v>
      </c>
      <c r="AD20" s="231">
        <f>(INDEX(Models!$BJ20:$BT20,,AH20)*(1-AF20)+INDEX(Models!$BJ20:$BT20,,AH20+1)*AF20-ERP_i)*AE20*Ramure*Pc/MaxiM</f>
        <v>2.6226794067686172E-3</v>
      </c>
      <c r="AE20" s="305">
        <f t="shared" si="14"/>
        <v>0.7</v>
      </c>
      <c r="AF20" s="177">
        <f t="shared" si="22"/>
        <v>1.9755440435369355E-4</v>
      </c>
      <c r="AG20" s="921">
        <f t="shared" si="23"/>
        <v>0</v>
      </c>
      <c r="AH20" s="176">
        <f t="shared" si="15"/>
        <v>6</v>
      </c>
      <c r="AI20" s="225">
        <f t="shared" si="24"/>
        <v>1.9755440435369355E-4</v>
      </c>
      <c r="AJ20" s="265" t="b">
        <f t="shared" si="16"/>
        <v>0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092">
        <v>9.6219999999999999</v>
      </c>
      <c r="C21" s="955"/>
      <c r="D21" s="393">
        <f t="shared" si="0"/>
        <v>9.90533362058218</v>
      </c>
      <c r="E21" s="385">
        <f t="shared" si="1"/>
        <v>10.240393530158093</v>
      </c>
      <c r="F21" s="385">
        <f t="shared" si="2"/>
        <v>10.242006095494798</v>
      </c>
      <c r="G21" s="110">
        <f t="shared" si="19"/>
        <v>0.342352273927923</v>
      </c>
      <c r="H21" s="414" t="b">
        <f>Wh_hp&gt;='2021'!Maxi_hp</f>
        <v>0</v>
      </c>
      <c r="I21" s="380">
        <f>IF(H21,Wh_hp,'2021'!Maxi_hp)</f>
        <v>15.334327230197083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2.8604147163044047E-2</v>
      </c>
      <c r="M21" s="959"/>
      <c r="N21" s="959"/>
      <c r="O21" s="48">
        <f>IF(t&lt;Tnet,'2021'!Resal+('2021'!Salim-'2021'!Resal)*(1-EXP(('2021'!Tnet-t)/('2021'!Tau_j))),Resal+(Salim-Resal)*(1-EXP((Tnet-t)/(Tau_j))))*Salcycl</f>
        <v>3.2719436864331097E-2</v>
      </c>
      <c r="P21" s="339">
        <f>(INDEX(Models!$BJ21:$BT21,,T21)*(1-R21)+INDEX(Models!$BJ21:$BT21,,T21+1)*R21-ERP_i)*Q21*Ramure*Pc/MaxiM</f>
        <v>2.5527248289049335E-3</v>
      </c>
      <c r="Q21" s="305">
        <f t="shared" si="4"/>
        <v>0.7</v>
      </c>
      <c r="R21" s="177">
        <f t="shared" si="5"/>
        <v>2.3341001541687728E-4</v>
      </c>
      <c r="S21" s="921">
        <f t="shared" si="6"/>
        <v>0</v>
      </c>
      <c r="T21" s="176">
        <f t="shared" si="7"/>
        <v>6</v>
      </c>
      <c r="U21" s="251">
        <f t="shared" si="20"/>
        <v>2.3341001541687728E-4</v>
      </c>
      <c r="V21" s="383">
        <f t="shared" si="8"/>
        <v>28.038221829170443</v>
      </c>
      <c r="W21" s="402">
        <f t="shared" si="9"/>
        <v>0</v>
      </c>
      <c r="X21" s="157">
        <f t="shared" si="10"/>
        <v>44568</v>
      </c>
      <c r="Y21" s="385">
        <f t="shared" si="11"/>
        <v>9.0225669942732676</v>
      </c>
      <c r="Z21" s="385">
        <f t="shared" si="21"/>
        <v>9.2882494483818441</v>
      </c>
      <c r="AA21" s="386">
        <f t="shared" si="12"/>
        <v>10.240393530158093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9.2979247230311285E-2</v>
      </c>
      <c r="AD21" s="231">
        <f>(INDEX(Models!$BJ21:$BT21,,AH21)*(1-AF21)+INDEX(Models!$BJ21:$BT21,,AH21+1)*AF21-ERP_i)*AE21*Ramure*Pc/MaxiM</f>
        <v>2.5527248289049335E-3</v>
      </c>
      <c r="AE21" s="305">
        <f t="shared" si="14"/>
        <v>0.7</v>
      </c>
      <c r="AF21" s="177">
        <f t="shared" si="22"/>
        <v>2.3341001541687728E-4</v>
      </c>
      <c r="AG21" s="921">
        <f t="shared" si="23"/>
        <v>0</v>
      </c>
      <c r="AH21" s="176">
        <f t="shared" si="15"/>
        <v>6</v>
      </c>
      <c r="AI21" s="225">
        <f t="shared" si="24"/>
        <v>2.3341001541687728E-4</v>
      </c>
      <c r="AJ21" s="265" t="b">
        <f t="shared" si="16"/>
        <v>0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092">
        <v>5.577</v>
      </c>
      <c r="C22" s="955"/>
      <c r="D22" s="393">
        <f t="shared" si="0"/>
        <v>5.7413485316006971</v>
      </c>
      <c r="E22" s="385">
        <f t="shared" si="1"/>
        <v>5.9369366604650269</v>
      </c>
      <c r="F22" s="385">
        <f t="shared" si="2"/>
        <v>5.9369366604650269</v>
      </c>
      <c r="G22" s="110">
        <f t="shared" si="19"/>
        <v>0.19697211972669207</v>
      </c>
      <c r="H22" s="414" t="b">
        <f>Wh_hp&gt;='2021'!Maxi_hp</f>
        <v>0</v>
      </c>
      <c r="I22" s="380">
        <f>IF(H22,Wh_hp,'2021'!Maxi_hp)</f>
        <v>20.926751067686602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2.8625423225242974E-2</v>
      </c>
      <c r="M22" s="959"/>
      <c r="N22" s="959"/>
      <c r="O22" s="48">
        <f>IF(t&lt;Tnet,'2021'!Resal+('2021'!Salim-'2021'!Resal)*(1-EXP(('2021'!Tnet-t)/('2021'!Tau_j))),Resal+(Salim-Resal)*(1-EXP((Tnet-t)/(Tau_j))))*Salcycl</f>
        <v>3.294428424119477E-2</v>
      </c>
      <c r="P22" s="339">
        <f>(INDEX(Models!$BJ22:$BT22,,T22)*(1-R22)+INDEX(Models!$BJ22:$BT22,,T22+1)*R22-ERP_i)*Q22*Ramure*Pc/MaxiM</f>
        <v>2.4741112660904641E-3</v>
      </c>
      <c r="Q22" s="305">
        <f t="shared" si="4"/>
        <v>0.7</v>
      </c>
      <c r="R22" s="177">
        <f t="shared" si="5"/>
        <v>2.707643714140299E-4</v>
      </c>
      <c r="S22" s="921">
        <f t="shared" si="6"/>
        <v>0</v>
      </c>
      <c r="T22" s="176">
        <f t="shared" si="7"/>
        <v>6</v>
      </c>
      <c r="U22" s="251">
        <f t="shared" si="20"/>
        <v>2.707643714140299E-4</v>
      </c>
      <c r="V22" s="383">
        <f t="shared" si="8"/>
        <v>28.243600613062469</v>
      </c>
      <c r="W22" s="402">
        <f t="shared" si="9"/>
        <v>0</v>
      </c>
      <c r="X22" s="157">
        <f t="shared" si="10"/>
        <v>44569</v>
      </c>
      <c r="Y22" s="385">
        <f t="shared" si="11"/>
        <v>5.2298097511627768</v>
      </c>
      <c r="Z22" s="385">
        <f t="shared" si="21"/>
        <v>5.3839269383879174</v>
      </c>
      <c r="AA22" s="386">
        <f t="shared" si="12"/>
        <v>5.9369366604650269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9.3147317161000942E-2</v>
      </c>
      <c r="AD22" s="231">
        <f>(INDEX(Models!$BJ22:$BT22,,AH22)*(1-AF22)+INDEX(Models!$BJ22:$BT22,,AH22+1)*AF22-ERP_i)*AE22*Ramure*Pc/MaxiM</f>
        <v>2.4741112660904641E-3</v>
      </c>
      <c r="AE22" s="305">
        <f t="shared" si="14"/>
        <v>0.7</v>
      </c>
      <c r="AF22" s="177">
        <f t="shared" si="22"/>
        <v>2.707643714140299E-4</v>
      </c>
      <c r="AG22" s="921">
        <f t="shared" si="23"/>
        <v>0</v>
      </c>
      <c r="AH22" s="176">
        <f t="shared" si="15"/>
        <v>6</v>
      </c>
      <c r="AI22" s="225">
        <f t="shared" si="24"/>
        <v>2.707643714140299E-4</v>
      </c>
      <c r="AJ22" s="265" t="b">
        <f t="shared" si="16"/>
        <v>0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092">
        <v>1.6580000000000001</v>
      </c>
      <c r="C23" s="955"/>
      <c r="D23" s="393">
        <f t="shared" si="0"/>
        <v>1.7068969632247319</v>
      </c>
      <c r="E23" s="385">
        <f t="shared" si="1"/>
        <v>1.7654552687874177</v>
      </c>
      <c r="F23" s="385">
        <f t="shared" si="2"/>
        <v>1.7654552687874177</v>
      </c>
      <c r="G23" s="110">
        <f t="shared" si="19"/>
        <v>5.8140506627972439E-2</v>
      </c>
      <c r="H23" s="414" t="b">
        <f>Wh_hp&gt;='2021'!Maxi_hp</f>
        <v>0</v>
      </c>
      <c r="I23" s="380">
        <f>IF(H23,Wh_hp,'2021'!Maxi_hp)</f>
        <v>27.858667670277544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2.8646698821441441E-2</v>
      </c>
      <c r="M23" s="959"/>
      <c r="N23" s="959"/>
      <c r="O23" s="48">
        <f>IF(t&lt;Tnet,'2021'!Resal+('2021'!Salim-'2021'!Resal)*(1-EXP(('2021'!Tnet-t)/('2021'!Tau_j))),Resal+(Salim-Resal)*(1-EXP((Tnet-t)/(Tau_j))))*Salcycl</f>
        <v>3.3168954545591961E-2</v>
      </c>
      <c r="P23" s="339">
        <f>(INDEX(Models!$BJ23:$BT23,,T23)*(1-R23)+INDEX(Models!$BJ23:$BT23,,T23+1)*R23-ERP_i)*Q23*Ramure*Pc/MaxiM</f>
        <v>2.3868597451680964E-3</v>
      </c>
      <c r="Q23" s="305">
        <f t="shared" si="4"/>
        <v>0.7</v>
      </c>
      <c r="R23" s="177">
        <f t="shared" si="5"/>
        <v>3.0967988044914647E-4</v>
      </c>
      <c r="S23" s="921">
        <f t="shared" si="6"/>
        <v>0</v>
      </c>
      <c r="T23" s="176">
        <f t="shared" si="7"/>
        <v>6</v>
      </c>
      <c r="U23" s="251">
        <f t="shared" si="20"/>
        <v>3.0967988044914647E-4</v>
      </c>
      <c r="V23" s="383">
        <f t="shared" si="8"/>
        <v>28.449056990960617</v>
      </c>
      <c r="W23" s="402">
        <f t="shared" si="9"/>
        <v>0</v>
      </c>
      <c r="X23" s="157">
        <f t="shared" si="10"/>
        <v>44570</v>
      </c>
      <c r="Y23" s="385">
        <f t="shared" si="11"/>
        <v>1.5548561178087281</v>
      </c>
      <c r="Z23" s="385">
        <f t="shared" si="21"/>
        <v>1.6007112097340856</v>
      </c>
      <c r="AA23" s="386">
        <f t="shared" si="12"/>
        <v>1.7654552687874177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9.3315340221836615E-2</v>
      </c>
      <c r="AD23" s="231">
        <f>(INDEX(Models!$BJ23:$BT23,,AH23)*(1-AF23)+INDEX(Models!$BJ23:$BT23,,AH23+1)*AF23-ERP_i)*AE23*Ramure*Pc/MaxiM</f>
        <v>2.3868597451680964E-3</v>
      </c>
      <c r="AE23" s="305">
        <f t="shared" si="14"/>
        <v>0.7</v>
      </c>
      <c r="AF23" s="177">
        <f t="shared" si="22"/>
        <v>3.0967988044914647E-4</v>
      </c>
      <c r="AG23" s="921">
        <f t="shared" si="23"/>
        <v>0</v>
      </c>
      <c r="AH23" s="176">
        <f t="shared" si="15"/>
        <v>6</v>
      </c>
      <c r="AI23" s="225">
        <f t="shared" si="24"/>
        <v>3.0967988044914647E-4</v>
      </c>
      <c r="AJ23" s="265" t="b">
        <f t="shared" si="16"/>
        <v>0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092">
        <v>1.534</v>
      </c>
      <c r="C24" s="955"/>
      <c r="D24" s="393">
        <f t="shared" si="0"/>
        <v>1.5792746031866571</v>
      </c>
      <c r="E24" s="385">
        <f t="shared" si="1"/>
        <v>1.6338339496988101</v>
      </c>
      <c r="F24" s="385">
        <f t="shared" si="2"/>
        <v>1.6338339496988101</v>
      </c>
      <c r="G24" s="110">
        <f t="shared" si="19"/>
        <v>5.3406097239032668E-2</v>
      </c>
      <c r="H24" s="414" t="b">
        <f>Wh_hp&gt;='2021'!Maxi_hp</f>
        <v>0</v>
      </c>
      <c r="I24" s="380">
        <f>IF(H24,Wh_hp,'2021'!Maxi_hp)</f>
        <v>10.822941868477683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2.8667973951649772E-2</v>
      </c>
      <c r="M24" s="959"/>
      <c r="N24" s="959"/>
      <c r="O24" s="48">
        <f>IF(t&lt;Tnet,'2021'!Resal+('2021'!Salim-'2021'!Resal)*(1-EXP(('2021'!Tnet-t)/('2021'!Tau_j))),Resal+(Salim-Resal)*(1-EXP((Tnet-t)/(Tau_j))))*Salcycl</f>
        <v>3.3393446452872955E-2</v>
      </c>
      <c r="P24" s="339">
        <f>(INDEX(Models!$BJ24:$BT24,,T24)*(1-R24)+INDEX(Models!$BJ24:$BT24,,T24+1)*R24-ERP_i)*Q24*Ramure*Pc/MaxiM</f>
        <v>2.2930002178958605E-3</v>
      </c>
      <c r="Q24" s="305">
        <f t="shared" si="4"/>
        <v>0.7</v>
      </c>
      <c r="R24" s="177">
        <f t="shared" si="5"/>
        <v>3.5022152891870436E-4</v>
      </c>
      <c r="S24" s="921">
        <f t="shared" si="6"/>
        <v>0</v>
      </c>
      <c r="T24" s="176">
        <f t="shared" si="7"/>
        <v>6</v>
      </c>
      <c r="U24" s="251">
        <f t="shared" si="20"/>
        <v>3.5022152891870436E-4</v>
      </c>
      <c r="V24" s="383">
        <f t="shared" si="8"/>
        <v>28.657449557036177</v>
      </c>
      <c r="W24" s="402">
        <f t="shared" si="9"/>
        <v>0</v>
      </c>
      <c r="X24" s="157">
        <f t="shared" si="10"/>
        <v>44571</v>
      </c>
      <c r="Y24" s="385">
        <f t="shared" si="11"/>
        <v>1.4386376717179463</v>
      </c>
      <c r="Z24" s="385">
        <f t="shared" si="21"/>
        <v>1.4810977432410273</v>
      </c>
      <c r="AA24" s="386">
        <f t="shared" si="12"/>
        <v>1.6338339496988101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9.3483310519982279E-2</v>
      </c>
      <c r="AD24" s="231">
        <f>(INDEX(Models!$BJ24:$BT24,,AH24)*(1-AF24)+INDEX(Models!$BJ24:$BT24,,AH24+1)*AF24-ERP_i)*AE24*Ramure*Pc/MaxiM</f>
        <v>2.2930002178958605E-3</v>
      </c>
      <c r="AE24" s="305">
        <f t="shared" si="14"/>
        <v>0.7</v>
      </c>
      <c r="AF24" s="177">
        <f t="shared" si="22"/>
        <v>3.5022152891870436E-4</v>
      </c>
      <c r="AG24" s="921">
        <f t="shared" si="23"/>
        <v>0</v>
      </c>
      <c r="AH24" s="176">
        <f t="shared" si="15"/>
        <v>6</v>
      </c>
      <c r="AI24" s="225">
        <f t="shared" si="24"/>
        <v>3.5022152891870436E-4</v>
      </c>
      <c r="AJ24" s="265" t="b">
        <f t="shared" si="16"/>
        <v>0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092">
        <v>28.456</v>
      </c>
      <c r="C25" s="955"/>
      <c r="D25" s="393">
        <f t="shared" si="0"/>
        <v>29.296494411752452</v>
      </c>
      <c r="E25" s="385">
        <f t="shared" si="1"/>
        <v>30.315638240928156</v>
      </c>
      <c r="F25" s="385">
        <f t="shared" si="2"/>
        <v>30.380982956889898</v>
      </c>
      <c r="G25" s="110">
        <f t="shared" si="19"/>
        <v>0.98564866507846738</v>
      </c>
      <c r="H25" s="414" t="b">
        <f>Wh_hp&gt;='2021'!Maxi_hp</f>
        <v>1</v>
      </c>
      <c r="I25" s="380">
        <f>IF(H25,Wh_hp,'2021'!Maxi_hp)</f>
        <v>30.380982956889898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2.8689248615878182E-2</v>
      </c>
      <c r="M25" s="959"/>
      <c r="N25" s="959"/>
      <c r="O25" s="48">
        <f>IF(t&lt;Tnet,'2021'!Resal+('2021'!Salim-'2021'!Resal)*(1-EXP(('2021'!Tnet-t)/('2021'!Tau_j))),Resal+(Salim-Resal)*(1-EXP((Tnet-t)/(Tau_j))))*Salcycl</f>
        <v>3.3617759292291299E-2</v>
      </c>
      <c r="P25" s="339">
        <f>(INDEX(Models!$BJ25:$BT25,,T25)*(1-R25)+INDEX(Models!$BJ25:$BT25,,T25+1)*R25-ERP_i)*Q25*Ramure*Pc/MaxiM</f>
        <v>2.1957201137845872E-3</v>
      </c>
      <c r="Q25" s="305">
        <f t="shared" si="4"/>
        <v>0.7</v>
      </c>
      <c r="R25" s="177">
        <f t="shared" si="5"/>
        <v>3.9245698628471813E-4</v>
      </c>
      <c r="S25" s="921">
        <f t="shared" si="6"/>
        <v>0</v>
      </c>
      <c r="T25" s="176">
        <f t="shared" si="7"/>
        <v>6</v>
      </c>
      <c r="U25" s="251">
        <f t="shared" si="20"/>
        <v>3.9245698628471813E-4</v>
      </c>
      <c r="V25" s="383">
        <f t="shared" si="8"/>
        <v>28.869029324916372</v>
      </c>
      <c r="W25" s="402">
        <f t="shared" si="9"/>
        <v>0</v>
      </c>
      <c r="X25" s="157">
        <f t="shared" si="10"/>
        <v>44572</v>
      </c>
      <c r="Y25" s="385">
        <f t="shared" si="11"/>
        <v>26.688260276375168</v>
      </c>
      <c r="Z25" s="385">
        <f t="shared" si="21"/>
        <v>27.476541609720975</v>
      </c>
      <c r="AA25" s="386">
        <f t="shared" si="12"/>
        <v>30.315638240928156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9.3651224118851281E-2</v>
      </c>
      <c r="AD25" s="231">
        <f>(INDEX(Models!$BJ25:$BT25,,AH25)*(1-AF25)+INDEX(Models!$BJ25:$BT25,,AH25+1)*AF25-ERP_i)*AE25*Ramure*Pc/MaxiM</f>
        <v>2.1957201137845872E-3</v>
      </c>
      <c r="AE25" s="305">
        <f t="shared" si="14"/>
        <v>0.7</v>
      </c>
      <c r="AF25" s="177">
        <f t="shared" si="22"/>
        <v>3.9245698628471813E-4</v>
      </c>
      <c r="AG25" s="921">
        <f t="shared" si="23"/>
        <v>0</v>
      </c>
      <c r="AH25" s="176">
        <f t="shared" si="15"/>
        <v>6</v>
      </c>
      <c r="AI25" s="225">
        <f t="shared" si="24"/>
        <v>3.9245698628471813E-4</v>
      </c>
      <c r="AJ25" s="265" t="b">
        <f t="shared" si="16"/>
        <v>0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092">
        <v>23.076000000000001</v>
      </c>
      <c r="C26" s="955"/>
      <c r="D26" s="393">
        <f t="shared" si="0"/>
        <v>23.758107692938843</v>
      </c>
      <c r="E26" s="385">
        <f t="shared" si="1"/>
        <v>24.590289644008987</v>
      </c>
      <c r="F26" s="385">
        <f t="shared" si="2"/>
        <v>24.62665850982545</v>
      </c>
      <c r="G26" s="110">
        <f t="shared" si="19"/>
        <v>0.7929309631693342</v>
      </c>
      <c r="H26" s="414" t="b">
        <f>Wh_hp&gt;='2021'!Maxi_hp</f>
        <v>0</v>
      </c>
      <c r="I26" s="380">
        <f>IF(H26,Wh_hp,'2021'!Maxi_hp)</f>
        <v>30.267889314428743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2.8710522814136885E-2</v>
      </c>
      <c r="M26" s="959"/>
      <c r="N26" s="959"/>
      <c r="O26" s="48">
        <f>IF(t&lt;Tnet,'2021'!Resal+('2021'!Salim-'2021'!Resal)*(1-EXP(('2021'!Tnet-t)/('2021'!Tau_j))),Resal+(Salim-Resal)*(1-EXP((Tnet-t)/(Tau_j))))*Salcycl</f>
        <v>3.3841893004009069E-2</v>
      </c>
      <c r="P26" s="339">
        <f>(INDEX(Models!$BJ26:$BT26,,T26)*(1-R26)+INDEX(Models!$BJ26:$BT26,,T26+1)*R26-ERP_i)*Q26*Ramure*Pc/MaxiM</f>
        <v>2.0950943219620686E-3</v>
      </c>
      <c r="Q26" s="305">
        <f t="shared" si="4"/>
        <v>0.7</v>
      </c>
      <c r="R26" s="177">
        <f t="shared" si="5"/>
        <v>4.364567139558326E-4</v>
      </c>
      <c r="S26" s="921">
        <f t="shared" si="6"/>
        <v>0</v>
      </c>
      <c r="T26" s="176">
        <f t="shared" si="7"/>
        <v>6</v>
      </c>
      <c r="U26" s="251">
        <f t="shared" si="20"/>
        <v>4.364567139558326E-4</v>
      </c>
      <c r="V26" s="383">
        <f t="shared" si="8"/>
        <v>29.084135205576533</v>
      </c>
      <c r="W26" s="402">
        <f t="shared" si="9"/>
        <v>0</v>
      </c>
      <c r="X26" s="157">
        <f t="shared" si="10"/>
        <v>44573</v>
      </c>
      <c r="Y26" s="385">
        <f t="shared" si="11"/>
        <v>21.643487525051587</v>
      </c>
      <c r="Z26" s="385">
        <f t="shared" si="21"/>
        <v>22.283251320460824</v>
      </c>
      <c r="AA26" s="386">
        <f t="shared" si="12"/>
        <v>24.590289644008987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9.3819078870030007E-2</v>
      </c>
      <c r="AD26" s="231">
        <f>(INDEX(Models!$BJ26:$BT26,,AH26)*(1-AF26)+INDEX(Models!$BJ26:$BT26,,AH26+1)*AF26-ERP_i)*AE26*Ramure*Pc/MaxiM</f>
        <v>2.0950943219620686E-3</v>
      </c>
      <c r="AE26" s="305">
        <f t="shared" si="14"/>
        <v>0.7</v>
      </c>
      <c r="AF26" s="177">
        <f t="shared" si="22"/>
        <v>4.364567139558326E-4</v>
      </c>
      <c r="AG26" s="921">
        <f t="shared" si="23"/>
        <v>0</v>
      </c>
      <c r="AH26" s="176">
        <f t="shared" si="15"/>
        <v>6</v>
      </c>
      <c r="AI26" s="225">
        <f t="shared" si="24"/>
        <v>4.364567139558326E-4</v>
      </c>
      <c r="AJ26" s="265" t="b">
        <f t="shared" si="16"/>
        <v>0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092">
        <v>5.391</v>
      </c>
      <c r="C27" s="955"/>
      <c r="D27" s="393">
        <f t="shared" si="0"/>
        <v>5.5504751219396233</v>
      </c>
      <c r="E27" s="385">
        <f t="shared" si="1"/>
        <v>5.7462251551684727</v>
      </c>
      <c r="F27" s="385">
        <f t="shared" si="2"/>
        <v>5.7462251551684727</v>
      </c>
      <c r="G27" s="110">
        <f t="shared" si="19"/>
        <v>0.18360734434692133</v>
      </c>
      <c r="H27" s="414" t="b">
        <f>Wh_hp&gt;='2021'!Maxi_hp</f>
        <v>0</v>
      </c>
      <c r="I27" s="380">
        <f>IF(H27,Wh_hp,'2021'!Maxi_hp)</f>
        <v>17.075177344016367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2.8731796546435984E-2</v>
      </c>
      <c r="M27" s="959"/>
      <c r="N27" s="959"/>
      <c r="O27" s="48">
        <f>IF(t&lt;Tnet,'2021'!Resal+('2021'!Salim-'2021'!Resal)*(1-EXP(('2021'!Tnet-t)/('2021'!Tau_j))),Resal+(Salim-Resal)*(1-EXP((Tnet-t)/(Tau_j))))*Salcycl</f>
        <v>3.4065848090338226E-2</v>
      </c>
      <c r="P27" s="339">
        <f>(INDEX(Models!$BJ27:$BT27,,T27)*(1-R27)+INDEX(Models!$BJ27:$BT27,,T27+1)*R27-ERP_i)*Q27*Ramure*Pc/MaxiM</f>
        <v>1.9912038659834499E-3</v>
      </c>
      <c r="Q27" s="305">
        <f t="shared" si="4"/>
        <v>0.7</v>
      </c>
      <c r="R27" s="177">
        <f t="shared" si="5"/>
        <v>4.8229407842495189E-4</v>
      </c>
      <c r="S27" s="921">
        <f t="shared" si="6"/>
        <v>0</v>
      </c>
      <c r="T27" s="176">
        <f t="shared" si="7"/>
        <v>6</v>
      </c>
      <c r="U27" s="251">
        <f t="shared" si="20"/>
        <v>4.8229407842495189E-4</v>
      </c>
      <c r="V27" s="383">
        <f t="shared" si="8"/>
        <v>29.303105706886161</v>
      </c>
      <c r="W27" s="402">
        <f t="shared" si="9"/>
        <v>0</v>
      </c>
      <c r="X27" s="157">
        <f t="shared" si="10"/>
        <v>44574</v>
      </c>
      <c r="Y27" s="385">
        <f t="shared" si="11"/>
        <v>5.0565732160353374</v>
      </c>
      <c r="Z27" s="385">
        <f t="shared" si="21"/>
        <v>5.2061554141848214</v>
      </c>
      <c r="AA27" s="386">
        <f t="shared" si="12"/>
        <v>5.7462251551684727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9.3986874234797929E-2</v>
      </c>
      <c r="AD27" s="231">
        <f>(INDEX(Models!$BJ27:$BT27,,AH27)*(1-AF27)+INDEX(Models!$BJ27:$BT27,,AH27+1)*AF27-ERP_i)*AE27*Ramure*Pc/MaxiM</f>
        <v>1.9912038659834499E-3</v>
      </c>
      <c r="AE27" s="305">
        <f t="shared" si="14"/>
        <v>0.7</v>
      </c>
      <c r="AF27" s="177">
        <f t="shared" si="22"/>
        <v>4.8229407842495189E-4</v>
      </c>
      <c r="AG27" s="921">
        <f t="shared" si="23"/>
        <v>0</v>
      </c>
      <c r="AH27" s="176">
        <f t="shared" si="15"/>
        <v>6</v>
      </c>
      <c r="AI27" s="225">
        <f t="shared" si="24"/>
        <v>4.8229407842495189E-4</v>
      </c>
      <c r="AJ27" s="265" t="b">
        <f t="shared" si="16"/>
        <v>0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092">
        <v>29.524000000000001</v>
      </c>
      <c r="C28" s="955"/>
      <c r="D28" s="393">
        <f t="shared" si="0"/>
        <v>30.398036876481097</v>
      </c>
      <c r="E28" s="385">
        <f t="shared" si="1"/>
        <v>31.477384608370564</v>
      </c>
      <c r="F28" s="385">
        <f t="shared" si="2"/>
        <v>31.536797669864139</v>
      </c>
      <c r="G28" s="110">
        <f t="shared" si="19"/>
        <v>0.99992260835946334</v>
      </c>
      <c r="H28" s="414" t="b">
        <f>Wh_hp&gt;='2021'!Maxi_hp</f>
        <v>1</v>
      </c>
      <c r="I28" s="380">
        <f>IF(H28,Wh_hp,'2021'!Maxi_hp)</f>
        <v>31.536797669864139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2.8753069812785692E-2</v>
      </c>
      <c r="M28" s="959"/>
      <c r="N28" s="959"/>
      <c r="O28" s="48">
        <f>IF(t&lt;Tnet,'2021'!Resal+('2021'!Salim-'2021'!Resal)*(1-EXP(('2021'!Tnet-t)/('2021'!Tau_j))),Resal+(Salim-Resal)*(1-EXP((Tnet-t)/(Tau_j))))*Salcycl</f>
        <v>3.4289625561916781E-2</v>
      </c>
      <c r="P28" s="339">
        <f>(INDEX(Models!$BJ28:$BT28,,T28)*(1-R28)+INDEX(Models!$BJ28:$BT28,,T28+1)*R28-ERP_i)*Q28*Ramure*Pc/MaxiM</f>
        <v>1.8841359180092009E-3</v>
      </c>
      <c r="Q28" s="305">
        <f t="shared" si="4"/>
        <v>0.7</v>
      </c>
      <c r="R28" s="177">
        <f t="shared" si="5"/>
        <v>5.3004546881443263E-4</v>
      </c>
      <c r="S28" s="921">
        <f t="shared" si="6"/>
        <v>0</v>
      </c>
      <c r="T28" s="176">
        <f t="shared" si="7"/>
        <v>6</v>
      </c>
      <c r="U28" s="251">
        <f t="shared" si="20"/>
        <v>5.3004546881443263E-4</v>
      </c>
      <c r="V28" s="383">
        <f t="shared" si="8"/>
        <v>29.526278942010546</v>
      </c>
      <c r="W28" s="402">
        <f t="shared" si="9"/>
        <v>0</v>
      </c>
      <c r="X28" s="157">
        <f t="shared" si="10"/>
        <v>44575</v>
      </c>
      <c r="Y28" s="385">
        <f t="shared" si="11"/>
        <v>27.693788914219038</v>
      </c>
      <c r="Z28" s="385">
        <f t="shared" si="21"/>
        <v>28.513643702205449</v>
      </c>
      <c r="AA28" s="386">
        <f t="shared" si="12"/>
        <v>31.477384608370564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9.4154611097422208E-2</v>
      </c>
      <c r="AD28" s="231">
        <f>(INDEX(Models!$BJ28:$BT28,,AH28)*(1-AF28)+INDEX(Models!$BJ28:$BT28,,AH28+1)*AF28-ERP_i)*AE28*Ramure*Pc/MaxiM</f>
        <v>1.8841359180092009E-3</v>
      </c>
      <c r="AE28" s="305">
        <f t="shared" si="14"/>
        <v>0.7</v>
      </c>
      <c r="AF28" s="177">
        <f t="shared" si="22"/>
        <v>5.3004546881443263E-4</v>
      </c>
      <c r="AG28" s="921">
        <f t="shared" si="23"/>
        <v>0</v>
      </c>
      <c r="AH28" s="176">
        <f t="shared" si="15"/>
        <v>6</v>
      </c>
      <c r="AI28" s="225">
        <f t="shared" si="24"/>
        <v>5.3004546881443263E-4</v>
      </c>
      <c r="AJ28" s="265" t="b">
        <f t="shared" si="16"/>
        <v>0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092">
        <v>29.355</v>
      </c>
      <c r="C29" s="955"/>
      <c r="D29" s="393">
        <f t="shared" si="0"/>
        <v>30.224695750916492</v>
      </c>
      <c r="E29" s="385">
        <f t="shared" si="1"/>
        <v>31.305137048362447</v>
      </c>
      <c r="F29" s="385">
        <f t="shared" si="2"/>
        <v>31.359702932617143</v>
      </c>
      <c r="G29" s="110">
        <f t="shared" si="19"/>
        <v>0.9865566962027551</v>
      </c>
      <c r="H29" s="414" t="b">
        <f>Wh_hp&gt;='2021'!Maxi_hp</f>
        <v>1</v>
      </c>
      <c r="I29" s="380">
        <f>IF(H29,Wh_hp,'2021'!Maxi_hp)</f>
        <v>31.359702932617143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2.8774342613196335E-2</v>
      </c>
      <c r="M29" s="959"/>
      <c r="N29" s="959"/>
      <c r="O29" s="48">
        <f>IF(t&lt;Tnet,'2021'!Resal+('2021'!Salim-'2021'!Resal)*(1-EXP(('2021'!Tnet-t)/('2021'!Tau_j))),Resal+(Salim-Resal)*(1-EXP((Tnet-t)/(Tau_j))))*Salcycl</f>
        <v>3.451322687956327E-2</v>
      </c>
      <c r="P29" s="339">
        <f>(INDEX(Models!$BJ29:$BT29,,T29)*(1-R29)+INDEX(Models!$BJ29:$BT29,,T29+1)*R29-ERP_i)*Q29*Ramure*Pc/MaxiM</f>
        <v>1.7739837810806232E-3</v>
      </c>
      <c r="Q29" s="305">
        <f t="shared" si="4"/>
        <v>0.7</v>
      </c>
      <c r="R29" s="177">
        <f t="shared" si="5"/>
        <v>5.7979041898673675E-4</v>
      </c>
      <c r="S29" s="921">
        <f t="shared" si="6"/>
        <v>0</v>
      </c>
      <c r="T29" s="176">
        <f t="shared" si="7"/>
        <v>6</v>
      </c>
      <c r="U29" s="251">
        <f t="shared" si="20"/>
        <v>5.7979041898673675E-4</v>
      </c>
      <c r="V29" s="383">
        <f t="shared" si="8"/>
        <v>29.75399263045983</v>
      </c>
      <c r="W29" s="402">
        <f t="shared" si="9"/>
        <v>0</v>
      </c>
      <c r="X29" s="157">
        <f t="shared" si="10"/>
        <v>44576</v>
      </c>
      <c r="Y29" s="385">
        <f t="shared" si="11"/>
        <v>27.536544125783273</v>
      </c>
      <c r="Z29" s="385">
        <f t="shared" si="21"/>
        <v>28.352364783971595</v>
      </c>
      <c r="AA29" s="386">
        <f t="shared" si="12"/>
        <v>31.305137048362447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9.4322291572440556E-2</v>
      </c>
      <c r="AD29" s="231">
        <f>(INDEX(Models!$BJ29:$BT29,,AH29)*(1-AF29)+INDEX(Models!$BJ29:$BT29,,AH29+1)*AF29-ERP_i)*AE29*Ramure*Pc/MaxiM</f>
        <v>1.7739837810806232E-3</v>
      </c>
      <c r="AE29" s="305">
        <f t="shared" si="14"/>
        <v>0.7</v>
      </c>
      <c r="AF29" s="177">
        <f t="shared" si="22"/>
        <v>5.7979041898673675E-4</v>
      </c>
      <c r="AG29" s="921">
        <f t="shared" si="23"/>
        <v>0</v>
      </c>
      <c r="AH29" s="176">
        <f t="shared" si="15"/>
        <v>6</v>
      </c>
      <c r="AI29" s="225">
        <f t="shared" si="24"/>
        <v>5.7979041898673675E-4</v>
      </c>
      <c r="AJ29" s="265" t="b">
        <f t="shared" si="16"/>
        <v>0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092">
        <v>29.032</v>
      </c>
      <c r="C30" s="955"/>
      <c r="D30" s="393">
        <f t="shared" si="0"/>
        <v>29.89278101172901</v>
      </c>
      <c r="E30" s="385">
        <f t="shared" si="1"/>
        <v>30.968523908295847</v>
      </c>
      <c r="F30" s="385">
        <f t="shared" si="2"/>
        <v>31.017842279394216</v>
      </c>
      <c r="G30" s="110">
        <f t="shared" si="19"/>
        <v>0.96809759341786705</v>
      </c>
      <c r="H30" s="414" t="b">
        <f>Wh_hp&gt;='2021'!Maxi_hp</f>
        <v>0</v>
      </c>
      <c r="I30" s="380">
        <f>IF(H30,Wh_hp,'2021'!Maxi_hp)</f>
        <v>32.204114318448951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2.8795614947678017E-2</v>
      </c>
      <c r="M30" s="959"/>
      <c r="N30" s="959"/>
      <c r="O30" s="48">
        <f>IF(t&lt;Tnet,'2021'!Resal+('2021'!Salim-'2021'!Resal)*(1-EXP(('2021'!Tnet-t)/('2021'!Tau_j))),Resal+(Salim-Resal)*(1-EXP((Tnet-t)/(Tau_j))))*Salcycl</f>
        <v>3.4736653892588877E-2</v>
      </c>
      <c r="P30" s="339">
        <f>(INDEX(Models!$BJ30:$BT30,,T30)*(1-R30)+INDEX(Models!$BJ30:$BT30,,T30+1)*R30-ERP_i)*Q30*Ramure*Pc/MaxiM</f>
        <v>1.6657412169593241E-3</v>
      </c>
      <c r="Q30" s="305">
        <f t="shared" si="4"/>
        <v>0.7</v>
      </c>
      <c r="R30" s="177">
        <f t="shared" si="5"/>
        <v>6.3161173438002513E-4</v>
      </c>
      <c r="S30" s="921">
        <f t="shared" si="6"/>
        <v>0</v>
      </c>
      <c r="T30" s="176">
        <f t="shared" si="7"/>
        <v>6</v>
      </c>
      <c r="U30" s="251">
        <f t="shared" si="20"/>
        <v>6.3161173438002513E-4</v>
      </c>
      <c r="V30" s="383">
        <f t="shared" si="8"/>
        <v>29.986437088855084</v>
      </c>
      <c r="W30" s="402">
        <f t="shared" si="9"/>
        <v>0</v>
      </c>
      <c r="X30" s="157">
        <f t="shared" si="10"/>
        <v>44577</v>
      </c>
      <c r="Y30" s="385">
        <f t="shared" si="11"/>
        <v>27.234815020352197</v>
      </c>
      <c r="Z30" s="385">
        <f t="shared" si="21"/>
        <v>28.042310598592458</v>
      </c>
      <c r="AA30" s="386">
        <f t="shared" si="12"/>
        <v>30.968523908295847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9.4489918808158435E-2</v>
      </c>
      <c r="AD30" s="231">
        <f>(INDEX(Models!$BJ30:$BT30,,AH30)*(1-AF30)+INDEX(Models!$BJ30:$BT30,,AH30+1)*AF30-ERP_i)*AE30*Ramure*Pc/MaxiM</f>
        <v>1.6657412169593241E-3</v>
      </c>
      <c r="AE30" s="305">
        <f t="shared" si="14"/>
        <v>0.7</v>
      </c>
      <c r="AF30" s="177">
        <f t="shared" si="22"/>
        <v>6.3161173438002513E-4</v>
      </c>
      <c r="AG30" s="921">
        <f t="shared" si="23"/>
        <v>0</v>
      </c>
      <c r="AH30" s="176">
        <f t="shared" si="15"/>
        <v>6</v>
      </c>
      <c r="AI30" s="225">
        <f t="shared" si="24"/>
        <v>6.3161173438002513E-4</v>
      </c>
      <c r="AJ30" s="265" t="b">
        <f t="shared" si="16"/>
        <v>0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092">
        <v>20.119</v>
      </c>
      <c r="C31" s="955"/>
      <c r="D31" s="393">
        <f t="shared" si="0"/>
        <v>20.715969755739827</v>
      </c>
      <c r="E31" s="385">
        <f t="shared" si="1"/>
        <v>21.466434342048963</v>
      </c>
      <c r="F31" s="385">
        <f t="shared" si="2"/>
        <v>21.48400633043217</v>
      </c>
      <c r="G31" s="110">
        <f t="shared" si="19"/>
        <v>0.66517017973741166</v>
      </c>
      <c r="H31" s="414" t="b">
        <f>Wh_hp&gt;='2021'!Maxi_hp</f>
        <v>1</v>
      </c>
      <c r="I31" s="380">
        <f>IF(H31,Wh_hp,'2021'!Maxi_hp)</f>
        <v>21.48400633043217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2.8816886816241061E-2</v>
      </c>
      <c r="M31" s="959"/>
      <c r="N31" s="959"/>
      <c r="O31" s="48">
        <f>IF(t&lt;Tnet,'2021'!Resal+('2021'!Salim-'2021'!Resal)*(1-EXP(('2021'!Tnet-t)/('2021'!Tau_j))),Resal+(Salim-Resal)*(1-EXP((Tnet-t)/(Tau_j))))*Salcycl</f>
        <v>3.4959908774374708E-2</v>
      </c>
      <c r="P31" s="339">
        <f>(INDEX(Models!$BJ31:$BT31,,T31)*(1-R31)+INDEX(Models!$BJ31:$BT31,,T31+1)*R31-ERP_i)*Q31*Ramure*Pc/MaxiM</f>
        <v>1.5657277948957003E-3</v>
      </c>
      <c r="Q31" s="305">
        <f t="shared" si="4"/>
        <v>0.7</v>
      </c>
      <c r="R31" s="177">
        <f t="shared" si="5"/>
        <v>6.8559562373414853E-4</v>
      </c>
      <c r="S31" s="921">
        <f t="shared" si="6"/>
        <v>0</v>
      </c>
      <c r="T31" s="176">
        <f t="shared" si="7"/>
        <v>6</v>
      </c>
      <c r="U31" s="251">
        <f t="shared" si="20"/>
        <v>6.8559562373414853E-4</v>
      </c>
      <c r="V31" s="383">
        <f t="shared" si="8"/>
        <v>30.223757701181921</v>
      </c>
      <c r="W31" s="402">
        <f t="shared" si="9"/>
        <v>0</v>
      </c>
      <c r="X31" s="157">
        <f t="shared" si="10"/>
        <v>44578</v>
      </c>
      <c r="Y31" s="385">
        <f t="shared" si="11"/>
        <v>18.874434324254477</v>
      </c>
      <c r="Z31" s="385">
        <f t="shared" si="21"/>
        <v>19.434475402254257</v>
      </c>
      <c r="AA31" s="386">
        <f t="shared" si="12"/>
        <v>21.466434342048963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9.4657496788577336E-2</v>
      </c>
      <c r="AD31" s="231">
        <f>(INDEX(Models!$BJ31:$BT31,,AH31)*(1-AF31)+INDEX(Models!$BJ31:$BT31,,AH31+1)*AF31-ERP_i)*AE31*Ramure*Pc/MaxiM</f>
        <v>1.5657277948957003E-3</v>
      </c>
      <c r="AE31" s="305">
        <f t="shared" si="14"/>
        <v>0.7</v>
      </c>
      <c r="AF31" s="177">
        <f t="shared" si="22"/>
        <v>6.8559562373414853E-4</v>
      </c>
      <c r="AG31" s="921">
        <f t="shared" si="23"/>
        <v>0</v>
      </c>
      <c r="AH31" s="176">
        <f t="shared" si="15"/>
        <v>6</v>
      </c>
      <c r="AI31" s="225">
        <f t="shared" si="24"/>
        <v>6.8559562373414853E-4</v>
      </c>
      <c r="AJ31" s="265" t="b">
        <f t="shared" si="16"/>
        <v>0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092">
        <v>4.3040000000000003</v>
      </c>
      <c r="C32" s="955"/>
      <c r="D32" s="393">
        <f t="shared" si="0"/>
        <v>4.4318050965701996</v>
      </c>
      <c r="E32" s="385">
        <f t="shared" si="1"/>
        <v>4.5934151956358376</v>
      </c>
      <c r="F32" s="385">
        <f t="shared" si="2"/>
        <v>4.5934151956358376</v>
      </c>
      <c r="G32" s="110">
        <f t="shared" si="19"/>
        <v>0.14106268481916742</v>
      </c>
      <c r="H32" s="414" t="b">
        <f>Wh_hp&gt;='2021'!Maxi_hp</f>
        <v>0</v>
      </c>
      <c r="I32" s="380">
        <f>IF(H32,Wh_hp,'2021'!Maxi_hp)</f>
        <v>30.961638796552403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2.8838158218895571E-2</v>
      </c>
      <c r="M32" s="959"/>
      <c r="N32" s="959"/>
      <c r="O32" s="48">
        <f>IF(t&lt;Tnet,'2021'!Resal+('2021'!Salim-'2021'!Resal)*(1-EXP(('2021'!Tnet-t)/('2021'!Tau_j))),Resal+(Salim-Resal)*(1-EXP((Tnet-t)/(Tau_j))))*Salcycl</f>
        <v>3.518299395604009E-2</v>
      </c>
      <c r="P32" s="339">
        <f>(INDEX(Models!$BJ32:$BT32,,T32)*(1-R32)+INDEX(Models!$BJ32:$BT32,,T32+1)*R32-ERP_i)*Q32*Ramure*Pc/MaxiM</f>
        <v>1.4737808656298179E-3</v>
      </c>
      <c r="Q32" s="305">
        <f t="shared" si="4"/>
        <v>0.7</v>
      </c>
      <c r="R32" s="177">
        <f t="shared" si="5"/>
        <v>7.4183183587583196E-4</v>
      </c>
      <c r="S32" s="921">
        <f t="shared" si="6"/>
        <v>0</v>
      </c>
      <c r="T32" s="176">
        <f t="shared" si="7"/>
        <v>6</v>
      </c>
      <c r="U32" s="251">
        <f t="shared" si="20"/>
        <v>7.4183183587583196E-4</v>
      </c>
      <c r="V32" s="383">
        <f t="shared" si="8"/>
        <v>30.466291299244922</v>
      </c>
      <c r="W32" s="402">
        <f t="shared" si="9"/>
        <v>0</v>
      </c>
      <c r="X32" s="157">
        <f t="shared" si="10"/>
        <v>44579</v>
      </c>
      <c r="Y32" s="385">
        <f t="shared" si="11"/>
        <v>4.0379398848587513</v>
      </c>
      <c r="Z32" s="385">
        <f t="shared" si="21"/>
        <v>4.1578444612827825</v>
      </c>
      <c r="AA32" s="386">
        <f t="shared" si="12"/>
        <v>4.5934151956358376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9.4825030135940402E-2</v>
      </c>
      <c r="AD32" s="231">
        <f>(INDEX(Models!$BJ32:$BT32,,AH32)*(1-AF32)+INDEX(Models!$BJ32:$BT32,,AH32+1)*AF32-ERP_i)*AE32*Ramure*Pc/MaxiM</f>
        <v>1.4737808656298179E-3</v>
      </c>
      <c r="AE32" s="305">
        <f t="shared" si="14"/>
        <v>0.7</v>
      </c>
      <c r="AF32" s="177">
        <f t="shared" si="22"/>
        <v>7.4183183587583196E-4</v>
      </c>
      <c r="AG32" s="921">
        <f t="shared" si="23"/>
        <v>0</v>
      </c>
      <c r="AH32" s="176">
        <f t="shared" si="15"/>
        <v>6</v>
      </c>
      <c r="AI32" s="225">
        <f t="shared" si="24"/>
        <v>7.4183183587583196E-4</v>
      </c>
      <c r="AJ32" s="265" t="b">
        <f t="shared" si="16"/>
        <v>0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092">
        <v>10.425000000000001</v>
      </c>
      <c r="C33" s="955"/>
      <c r="D33" s="393">
        <f t="shared" si="0"/>
        <v>10.734800206046474</v>
      </c>
      <c r="E33" s="385">
        <f t="shared" si="1"/>
        <v>11.128826456899768</v>
      </c>
      <c r="F33" s="385">
        <f t="shared" si="2"/>
        <v>11.129697438159257</v>
      </c>
      <c r="G33" s="110">
        <f t="shared" si="19"/>
        <v>0.33897245030918094</v>
      </c>
      <c r="H33" s="414" t="b">
        <f>Wh_hp&gt;='2021'!Maxi_hp</f>
        <v>0</v>
      </c>
      <c r="I33" s="380">
        <f>IF(H33,Wh_hp,'2021'!Maxi_hp)</f>
        <v>32.578902251016416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2.8859429155651761E-2</v>
      </c>
      <c r="M33" s="959"/>
      <c r="N33" s="959"/>
      <c r="O33" s="48">
        <f>IF(t&lt;Tnet,'2021'!Resal+('2021'!Salim-'2021'!Resal)*(1-EXP(('2021'!Tnet-t)/('2021'!Tau_j))),Resal+(Salim-Resal)*(1-EXP((Tnet-t)/(Tau_j))))*Salcycl</f>
        <v>3.5405912059038577E-2</v>
      </c>
      <c r="P33" s="339">
        <f>(INDEX(Models!$BJ33:$BT33,,T33)*(1-R33)+INDEX(Models!$BJ33:$BT33,,T33+1)*R33-ERP_i)*Q33*Ramure*Pc/MaxiM</f>
        <v>1.3897383436745389E-3</v>
      </c>
      <c r="Q33" s="305">
        <f t="shared" si="4"/>
        <v>0.7</v>
      </c>
      <c r="R33" s="177">
        <f t="shared" si="5"/>
        <v>8.0041380173671254E-4</v>
      </c>
      <c r="S33" s="921">
        <f t="shared" si="6"/>
        <v>0</v>
      </c>
      <c r="T33" s="176">
        <f t="shared" si="7"/>
        <v>6</v>
      </c>
      <c r="U33" s="251">
        <f t="shared" si="20"/>
        <v>8.0041380173671254E-4</v>
      </c>
      <c r="V33" s="383">
        <f t="shared" si="8"/>
        <v>30.714374373795128</v>
      </c>
      <c r="W33" s="402">
        <f t="shared" si="9"/>
        <v>0</v>
      </c>
      <c r="X33" s="157">
        <f t="shared" si="10"/>
        <v>44580</v>
      </c>
      <c r="Y33" s="385">
        <f t="shared" si="11"/>
        <v>9.7810084636894956</v>
      </c>
      <c r="Z33" s="385">
        <f t="shared" si="21"/>
        <v>10.071671143535378</v>
      </c>
      <c r="AA33" s="386">
        <f t="shared" si="12"/>
        <v>11.128826456899768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9.4992523916029317E-2</v>
      </c>
      <c r="AD33" s="231">
        <f>(INDEX(Models!$BJ33:$BT33,,AH33)*(1-AF33)+INDEX(Models!$BJ33:$BT33,,AH33+1)*AF33-ERP_i)*AE33*Ramure*Pc/MaxiM</f>
        <v>1.3897383436745389E-3</v>
      </c>
      <c r="AE33" s="305">
        <f t="shared" si="14"/>
        <v>0.7</v>
      </c>
      <c r="AF33" s="177">
        <f t="shared" si="22"/>
        <v>8.0041380173671254E-4</v>
      </c>
      <c r="AG33" s="921">
        <f t="shared" si="23"/>
        <v>0</v>
      </c>
      <c r="AH33" s="176">
        <f t="shared" si="15"/>
        <v>6</v>
      </c>
      <c r="AI33" s="225">
        <f t="shared" si="24"/>
        <v>8.0041380173671254E-4</v>
      </c>
      <c r="AJ33" s="265" t="b">
        <f t="shared" si="16"/>
        <v>0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092">
        <v>5.7540000000000004</v>
      </c>
      <c r="C34" s="955"/>
      <c r="D34" s="393">
        <f t="shared" si="0"/>
        <v>5.9251216588807205</v>
      </c>
      <c r="E34" s="385">
        <f t="shared" si="1"/>
        <v>6.144025075117991</v>
      </c>
      <c r="F34" s="385">
        <f t="shared" si="2"/>
        <v>6.144025075117991</v>
      </c>
      <c r="G34" s="110">
        <f t="shared" si="19"/>
        <v>0.18555860297304588</v>
      </c>
      <c r="H34" s="414" t="b">
        <f>Wh_hp&gt;='2021'!Maxi_hp</f>
        <v>0</v>
      </c>
      <c r="I34" s="380">
        <f>IF(H34,Wh_hp,'2021'!Maxi_hp)</f>
        <v>11.984563264269097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2.8880699626519735E-2</v>
      </c>
      <c r="M34" s="959"/>
      <c r="N34" s="959"/>
      <c r="O34" s="48">
        <f>IF(t&lt;Tnet,'2021'!Resal+('2021'!Salim-'2021'!Resal)*(1-EXP(('2021'!Tnet-t)/('2021'!Tau_j))),Resal+(Salim-Resal)*(1-EXP((Tnet-t)/(Tau_j))))*Salcycl</f>
        <v>3.5628665827518002E-2</v>
      </c>
      <c r="P34" s="339">
        <f>(INDEX(Models!$BJ34:$BT34,,T34)*(1-R34)+INDEX(Models!$BJ34:$BT34,,T34+1)*R34-ERP_i)*Q34*Ramure*Pc/MaxiM</f>
        <v>1.3134452311251406E-3</v>
      </c>
      <c r="Q34" s="305">
        <f t="shared" si="4"/>
        <v>0.7</v>
      </c>
      <c r="R34" s="177">
        <f t="shared" si="5"/>
        <v>8.6143878177936234E-4</v>
      </c>
      <c r="S34" s="921">
        <f t="shared" si="6"/>
        <v>0</v>
      </c>
      <c r="T34" s="176">
        <f t="shared" si="7"/>
        <v>6</v>
      </c>
      <c r="U34" s="251">
        <f t="shared" si="20"/>
        <v>8.6143878177936234E-4</v>
      </c>
      <c r="V34" s="383">
        <f t="shared" si="8"/>
        <v>30.968342852715001</v>
      </c>
      <c r="W34" s="402">
        <f t="shared" si="9"/>
        <v>0</v>
      </c>
      <c r="X34" s="157">
        <f t="shared" si="10"/>
        <v>44581</v>
      </c>
      <c r="Y34" s="385">
        <f t="shared" si="11"/>
        <v>5.3988015515892931</v>
      </c>
      <c r="Z34" s="385">
        <f t="shared" si="21"/>
        <v>5.5593597506639831</v>
      </c>
      <c r="AA34" s="386">
        <f t="shared" si="12"/>
        <v>6.144025075117991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9.5159983448273935E-2</v>
      </c>
      <c r="AD34" s="231">
        <f>(INDEX(Models!$BJ34:$BT34,,AH34)*(1-AF34)+INDEX(Models!$BJ34:$BT34,,AH34+1)*AF34-ERP_i)*AE34*Ramure*Pc/MaxiM</f>
        <v>1.3134452311251406E-3</v>
      </c>
      <c r="AE34" s="305">
        <f t="shared" si="14"/>
        <v>0.7</v>
      </c>
      <c r="AF34" s="177">
        <f t="shared" si="22"/>
        <v>8.6143878177936234E-4</v>
      </c>
      <c r="AG34" s="921">
        <f t="shared" si="23"/>
        <v>0</v>
      </c>
      <c r="AH34" s="176">
        <f t="shared" si="15"/>
        <v>6</v>
      </c>
      <c r="AI34" s="225">
        <f t="shared" si="24"/>
        <v>8.6143878177936234E-4</v>
      </c>
      <c r="AJ34" s="265" t="b">
        <f t="shared" si="16"/>
        <v>0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092">
        <v>16.926000000000002</v>
      </c>
      <c r="C35" s="955"/>
      <c r="D35" s="393">
        <f t="shared" si="0"/>
        <v>17.429754227363958</v>
      </c>
      <c r="E35" s="385">
        <f t="shared" si="1"/>
        <v>18.077868558243338</v>
      </c>
      <c r="F35" s="385">
        <f t="shared" si="2"/>
        <v>18.085651439803524</v>
      </c>
      <c r="G35" s="110">
        <f t="shared" si="19"/>
        <v>0.54156273392007748</v>
      </c>
      <c r="H35" s="414" t="b">
        <f>Wh_hp&gt;='2021'!Maxi_hp</f>
        <v>1</v>
      </c>
      <c r="I35" s="380">
        <f>IF(H35,Wh_hp,'2021'!Maxi_hp)</f>
        <v>18.085651439803524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2.8901969631509927E-2</v>
      </c>
      <c r="M35" s="959"/>
      <c r="N35" s="959"/>
      <c r="O35" s="48">
        <f>IF(t&lt;Tnet,'2021'!Resal+('2021'!Salim-'2021'!Resal)*(1-EXP(('2021'!Tnet-t)/('2021'!Tau_j))),Resal+(Salim-Resal)*(1-EXP((Tnet-t)/(Tau_j))))*Salcycl</f>
        <v>3.5851258061274302E-2</v>
      </c>
      <c r="P35" s="339">
        <f>(INDEX(Models!$BJ35:$BT35,,T35)*(1-R35)+INDEX(Models!$BJ35:$BT35,,T35+1)*R35-ERP_i)*Q35*Ramure*Pc/MaxiM</f>
        <v>1.2447471826834687E-3</v>
      </c>
      <c r="Q35" s="305">
        <f t="shared" si="4"/>
        <v>0.7</v>
      </c>
      <c r="R35" s="177">
        <f t="shared" si="5"/>
        <v>9.2500801901555308E-4</v>
      </c>
      <c r="S35" s="921">
        <f t="shared" si="6"/>
        <v>0</v>
      </c>
      <c r="T35" s="176">
        <f t="shared" si="7"/>
        <v>6</v>
      </c>
      <c r="U35" s="251">
        <f t="shared" si="20"/>
        <v>9.2500801901555308E-4</v>
      </c>
      <c r="V35" s="383">
        <f t="shared" si="8"/>
        <v>31.228532280245506</v>
      </c>
      <c r="W35" s="402">
        <f t="shared" si="9"/>
        <v>0</v>
      </c>
      <c r="X35" s="157">
        <f t="shared" si="10"/>
        <v>44582</v>
      </c>
      <c r="Y35" s="385">
        <f t="shared" si="11"/>
        <v>15.881873327728998</v>
      </c>
      <c r="Z35" s="385">
        <f t="shared" si="21"/>
        <v>16.354552095736935</v>
      </c>
      <c r="AA35" s="386">
        <f t="shared" si="12"/>
        <v>18.077868558243338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9.5327414122644907E-2</v>
      </c>
      <c r="AD35" s="231">
        <f>(INDEX(Models!$BJ35:$BT35,,AH35)*(1-AF35)+INDEX(Models!$BJ35:$BT35,,AH35+1)*AF35-ERP_i)*AE35*Ramure*Pc/MaxiM</f>
        <v>1.2447471826834687E-3</v>
      </c>
      <c r="AE35" s="305">
        <f t="shared" si="14"/>
        <v>0.7</v>
      </c>
      <c r="AF35" s="177">
        <f t="shared" si="22"/>
        <v>9.2500801901555308E-4</v>
      </c>
      <c r="AG35" s="921">
        <f t="shared" si="23"/>
        <v>0</v>
      </c>
      <c r="AH35" s="176">
        <f t="shared" si="15"/>
        <v>6</v>
      </c>
      <c r="AI35" s="225">
        <f t="shared" si="24"/>
        <v>9.2500801901555308E-4</v>
      </c>
      <c r="AJ35" s="265" t="b">
        <f t="shared" si="16"/>
        <v>0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092">
        <v>30.571999999999999</v>
      </c>
      <c r="C36" s="955"/>
      <c r="D36" s="393">
        <f t="shared" si="0"/>
        <v>31.482578137169476</v>
      </c>
      <c r="E36" s="385">
        <f t="shared" si="1"/>
        <v>32.660772780231831</v>
      </c>
      <c r="F36" s="385">
        <f t="shared" si="2"/>
        <v>32.697849500824447</v>
      </c>
      <c r="G36" s="110">
        <f t="shared" si="19"/>
        <v>0.97063702618472369</v>
      </c>
      <c r="H36" s="414" t="b">
        <f>Wh_hp&gt;='2021'!Maxi_hp</f>
        <v>1</v>
      </c>
      <c r="I36" s="380">
        <f>IF(H36,Wh_hp,'2021'!Maxi_hp)</f>
        <v>32.697849500824447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2.8923239170632442E-2</v>
      </c>
      <c r="M36" s="959"/>
      <c r="N36" s="959"/>
      <c r="O36" s="48">
        <f>IF(t&lt;Tnet,'2021'!Resal+('2021'!Salim-'2021'!Resal)*(1-EXP(('2021'!Tnet-t)/('2021'!Tau_j))),Resal+(Salim-Resal)*(1-EXP((Tnet-t)/(Tau_j))))*Salcycl</f>
        <v>3.6073691550111274E-2</v>
      </c>
      <c r="P36" s="339">
        <f>(INDEX(Models!$BJ36:$BT36,,T36)*(1-R36)+INDEX(Models!$BJ36:$BT36,,T36+1)*R36-ERP_i)*Q36*Ramure*Pc/MaxiM</f>
        <v>1.1834814282294193E-3</v>
      </c>
      <c r="Q36" s="305">
        <f t="shared" si="4"/>
        <v>0.7</v>
      </c>
      <c r="R36" s="177">
        <f t="shared" si="5"/>
        <v>9.9122689779764872E-4</v>
      </c>
      <c r="S36" s="921">
        <f t="shared" si="6"/>
        <v>0</v>
      </c>
      <c r="T36" s="176">
        <f t="shared" si="7"/>
        <v>6</v>
      </c>
      <c r="U36" s="251">
        <f t="shared" si="20"/>
        <v>9.9122689779764872E-4</v>
      </c>
      <c r="V36" s="383">
        <f t="shared" si="8"/>
        <v>31.495278090517061</v>
      </c>
      <c r="W36" s="402">
        <f t="shared" si="9"/>
        <v>0</v>
      </c>
      <c r="X36" s="157">
        <f t="shared" si="10"/>
        <v>44583</v>
      </c>
      <c r="Y36" s="385">
        <f t="shared" si="11"/>
        <v>28.687392472949686</v>
      </c>
      <c r="Z36" s="385">
        <f t="shared" si="21"/>
        <v>29.541838122507066</v>
      </c>
      <c r="AA36" s="386">
        <f t="shared" si="12"/>
        <v>32.660772780231831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9.5494821225189305E-2</v>
      </c>
      <c r="AD36" s="231">
        <f>(INDEX(Models!$BJ36:$BT36,,AH36)*(1-AF36)+INDEX(Models!$BJ36:$BT36,,AH36+1)*AF36-ERP_i)*AE36*Ramure*Pc/MaxiM</f>
        <v>1.1834814282294193E-3</v>
      </c>
      <c r="AE36" s="305">
        <f t="shared" si="14"/>
        <v>0.7</v>
      </c>
      <c r="AF36" s="177">
        <f t="shared" si="22"/>
        <v>9.9122689779764872E-4</v>
      </c>
      <c r="AG36" s="921">
        <f t="shared" si="23"/>
        <v>0</v>
      </c>
      <c r="AH36" s="176">
        <f t="shared" si="15"/>
        <v>6</v>
      </c>
      <c r="AI36" s="225">
        <f t="shared" si="24"/>
        <v>9.9122689779764872E-4</v>
      </c>
      <c r="AJ36" s="265" t="b">
        <f t="shared" si="16"/>
        <v>0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092">
        <v>30.629000000000001</v>
      </c>
      <c r="C37" s="955"/>
      <c r="D37" s="393">
        <f t="shared" si="0"/>
        <v>31.541966715629268</v>
      </c>
      <c r="E37" s="385">
        <f t="shared" si="1"/>
        <v>32.729931287347135</v>
      </c>
      <c r="F37" s="385">
        <f t="shared" si="2"/>
        <v>32.765037654429378</v>
      </c>
      <c r="G37" s="110">
        <f t="shared" si="19"/>
        <v>0.96401549656072738</v>
      </c>
      <c r="H37" s="414" t="b">
        <f>Wh_hp&gt;='2021'!Maxi_hp</f>
        <v>1</v>
      </c>
      <c r="I37" s="380">
        <f>IF(H37,Wh_hp,'2021'!Maxi_hp)</f>
        <v>32.765037654429378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2.8944508243897382E-2</v>
      </c>
      <c r="M37" s="959"/>
      <c r="N37" s="959"/>
      <c r="O37" s="48">
        <f>IF(t&lt;Tnet,'2021'!Resal+('2021'!Salim-'2021'!Resal)*(1-EXP(('2021'!Tnet-t)/('2021'!Tau_j))),Resal+(Salim-Resal)*(1-EXP((Tnet-t)/(Tau_j))))*Salcycl</f>
        <v>3.6295969010393621E-2</v>
      </c>
      <c r="P37" s="339">
        <f>(INDEX(Models!$BJ37:$BT37,,T37)*(1-R37)+INDEX(Models!$BJ37:$BT37,,T37+1)*R37-ERP_i)*Q37*Ramure*Pc/MaxiM</f>
        <v>1.1294277478754204E-3</v>
      </c>
      <c r="Q37" s="305">
        <f t="shared" si="4"/>
        <v>0.7</v>
      </c>
      <c r="R37" s="177">
        <f t="shared" si="5"/>
        <v>1.0602051085749423E-3</v>
      </c>
      <c r="S37" s="921">
        <f t="shared" si="6"/>
        <v>0</v>
      </c>
      <c r="T37" s="176">
        <f t="shared" si="7"/>
        <v>6</v>
      </c>
      <c r="U37" s="251">
        <f t="shared" si="20"/>
        <v>1.0602051085749423E-3</v>
      </c>
      <c r="V37" s="383">
        <f t="shared" si="8"/>
        <v>31.770467025072016</v>
      </c>
      <c r="W37" s="402">
        <f t="shared" si="9"/>
        <v>0</v>
      </c>
      <c r="X37" s="157">
        <f t="shared" si="10"/>
        <v>44584</v>
      </c>
      <c r="Y37" s="385">
        <f t="shared" si="11"/>
        <v>28.742187732047196</v>
      </c>
      <c r="Z37" s="385">
        <f t="shared" si="21"/>
        <v>29.598913734650186</v>
      </c>
      <c r="AA37" s="386">
        <f t="shared" si="12"/>
        <v>32.729931287347135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9.5662209773943296E-2</v>
      </c>
      <c r="AD37" s="231">
        <f>(INDEX(Models!$BJ37:$BT37,,AH37)*(1-AF37)+INDEX(Models!$BJ37:$BT37,,AH37+1)*AF37-ERP_i)*AE37*Ramure*Pc/MaxiM</f>
        <v>1.1294277478754204E-3</v>
      </c>
      <c r="AE37" s="305">
        <f t="shared" si="14"/>
        <v>0.7</v>
      </c>
      <c r="AF37" s="177">
        <f t="shared" si="22"/>
        <v>1.0602051085749423E-3</v>
      </c>
      <c r="AG37" s="921">
        <f t="shared" si="23"/>
        <v>0</v>
      </c>
      <c r="AH37" s="176">
        <f t="shared" si="15"/>
        <v>6</v>
      </c>
      <c r="AI37" s="225">
        <f t="shared" si="24"/>
        <v>1.0602051085749423E-3</v>
      </c>
      <c r="AJ37" s="265" t="b">
        <f t="shared" si="16"/>
        <v>0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092">
        <v>30.913</v>
      </c>
      <c r="C38" s="955"/>
      <c r="D38" s="393">
        <f t="shared" si="0"/>
        <v>31.83512924988494</v>
      </c>
      <c r="E38" s="385">
        <f t="shared" si="1"/>
        <v>33.041750986088864</v>
      </c>
      <c r="F38" s="385">
        <f t="shared" si="2"/>
        <v>33.075754899751203</v>
      </c>
      <c r="G38" s="110">
        <f t="shared" si="19"/>
        <v>0.96432071464445845</v>
      </c>
      <c r="H38" s="414" t="b">
        <f>Wh_hp&gt;='2021'!Maxi_hp</f>
        <v>1</v>
      </c>
      <c r="I38" s="380">
        <f>IF(H38,Wh_hp,'2021'!Maxi_hp)</f>
        <v>33.075754899751203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2.8965776851315073E-2</v>
      </c>
      <c r="M38" s="959"/>
      <c r="N38" s="959"/>
      <c r="O38" s="48">
        <f>IF(t&lt;Tnet,'2021'!Resal+('2021'!Salim-'2021'!Resal)*(1-EXP(('2021'!Tnet-t)/('2021'!Tau_j))),Resal+(Salim-Resal)*(1-EXP((Tnet-t)/(Tau_j))))*Salcycl</f>
        <v>3.651809302454731E-2</v>
      </c>
      <c r="P38" s="339">
        <f>(INDEX(Models!$BJ38:$BT38,,T38)*(1-R38)+INDEX(Models!$BJ38:$BT38,,T38+1)*R38-ERP_i)*Q38*Ramure*Pc/MaxiM</f>
        <v>1.0831898828863283E-3</v>
      </c>
      <c r="Q38" s="305">
        <f t="shared" si="4"/>
        <v>0.7</v>
      </c>
      <c r="R38" s="177">
        <f t="shared" si="5"/>
        <v>1.132056818804419E-3</v>
      </c>
      <c r="S38" s="921">
        <f t="shared" si="6"/>
        <v>0</v>
      </c>
      <c r="T38" s="176">
        <f t="shared" si="7"/>
        <v>6</v>
      </c>
      <c r="U38" s="251">
        <f t="shared" si="20"/>
        <v>1.132056818804419E-3</v>
      </c>
      <c r="V38" s="383">
        <f t="shared" si="8"/>
        <v>32.054993319448705</v>
      </c>
      <c r="W38" s="402">
        <f t="shared" si="9"/>
        <v>0</v>
      </c>
      <c r="X38" s="157">
        <f t="shared" si="10"/>
        <v>44585</v>
      </c>
      <c r="Y38" s="385">
        <f t="shared" si="11"/>
        <v>29.010010313749255</v>
      </c>
      <c r="Z38" s="385">
        <f t="shared" si="21"/>
        <v>29.875373722340203</v>
      </c>
      <c r="AA38" s="386">
        <f t="shared" si="12"/>
        <v>33.041750986088864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9.5829584366814005E-2</v>
      </c>
      <c r="AD38" s="231">
        <f>(INDEX(Models!$BJ38:$BT38,,AH38)*(1-AF38)+INDEX(Models!$BJ38:$BT38,,AH38+1)*AF38-ERP_i)*AE38*Ramure*Pc/MaxiM</f>
        <v>1.0831898828863283E-3</v>
      </c>
      <c r="AE38" s="305">
        <f t="shared" si="14"/>
        <v>0.7</v>
      </c>
      <c r="AF38" s="177">
        <f t="shared" si="22"/>
        <v>1.132056818804419E-3</v>
      </c>
      <c r="AG38" s="921">
        <f t="shared" si="23"/>
        <v>0</v>
      </c>
      <c r="AH38" s="176">
        <f t="shared" si="15"/>
        <v>6</v>
      </c>
      <c r="AI38" s="225">
        <f t="shared" si="24"/>
        <v>1.132056818804419E-3</v>
      </c>
      <c r="AJ38" s="265" t="b">
        <f t="shared" si="16"/>
        <v>0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092">
        <v>30.443999999999999</v>
      </c>
      <c r="C39" s="955"/>
      <c r="D39" s="393">
        <f t="shared" si="0"/>
        <v>31.352825771286703</v>
      </c>
      <c r="E39" s="385">
        <f t="shared" si="1"/>
        <v>32.54866590430936</v>
      </c>
      <c r="F39" s="385">
        <f t="shared" si="2"/>
        <v>32.57978354288494</v>
      </c>
      <c r="G39" s="110">
        <f t="shared" si="19"/>
        <v>0.94106328574559006</v>
      </c>
      <c r="H39" s="414" t="b">
        <f>Wh_hp&gt;='2021'!Maxi_hp</f>
        <v>1</v>
      </c>
      <c r="I39" s="380">
        <f>IF(H39,Wh_hp,'2021'!Maxi_hp)</f>
        <v>32.57978354288494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2.8987044992895616E-2</v>
      </c>
      <c r="M39" s="959"/>
      <c r="N39" s="959"/>
      <c r="O39" s="48">
        <f>IF(t&lt;Tnet,'2021'!Resal+('2021'!Salim-'2021'!Resal)*(1-EXP(('2021'!Tnet-t)/('2021'!Tau_j))),Resal+(Salim-Resal)*(1-EXP((Tnet-t)/(Tau_j))))*Salcycl</f>
        <v>3.6740065984219882E-2</v>
      </c>
      <c r="P39" s="339">
        <f>(INDEX(Models!$BJ39:$BT39,,T39)*(1-R39)+INDEX(Models!$BJ39:$BT39,,T39+1)*R39-ERP_i)*Q39*Ramure*Pc/MaxiM</f>
        <v>1.0427966367304701E-3</v>
      </c>
      <c r="Q39" s="305">
        <f t="shared" si="4"/>
        <v>0.7</v>
      </c>
      <c r="R39" s="177">
        <f t="shared" si="5"/>
        <v>1.2069008502126521E-3</v>
      </c>
      <c r="S39" s="921">
        <f t="shared" si="6"/>
        <v>0</v>
      </c>
      <c r="T39" s="176">
        <f t="shared" si="7"/>
        <v>6</v>
      </c>
      <c r="U39" s="251">
        <f t="shared" si="20"/>
        <v>1.2069008502126521E-3</v>
      </c>
      <c r="V39" s="383">
        <f t="shared" si="8"/>
        <v>32.347801380742212</v>
      </c>
      <c r="W39" s="402">
        <f t="shared" si="9"/>
        <v>0</v>
      </c>
      <c r="X39" s="157">
        <f t="shared" si="10"/>
        <v>44586</v>
      </c>
      <c r="Y39" s="385">
        <f t="shared" si="11"/>
        <v>28.571175766237246</v>
      </c>
      <c r="Z39" s="385">
        <f t="shared" si="21"/>
        <v>29.424093282080058</v>
      </c>
      <c r="AA39" s="386">
        <f t="shared" si="12"/>
        <v>32.54866590430936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9.5996949042867347E-2</v>
      </c>
      <c r="AD39" s="231">
        <f>(INDEX(Models!$BJ39:$BT39,,AH39)*(1-AF39)+INDEX(Models!$BJ39:$BT39,,AH39+1)*AF39-ERP_i)*AE39*Ramure*Pc/MaxiM</f>
        <v>1.0427966367304701E-3</v>
      </c>
      <c r="AE39" s="305">
        <f t="shared" si="14"/>
        <v>0.7</v>
      </c>
      <c r="AF39" s="177">
        <f t="shared" si="22"/>
        <v>1.2069008502126521E-3</v>
      </c>
      <c r="AG39" s="921">
        <f t="shared" si="23"/>
        <v>0</v>
      </c>
      <c r="AH39" s="176">
        <f t="shared" si="15"/>
        <v>6</v>
      </c>
      <c r="AI39" s="225">
        <f t="shared" si="24"/>
        <v>1.2069008502126521E-3</v>
      </c>
      <c r="AJ39" s="265" t="b">
        <f t="shared" si="16"/>
        <v>0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092">
        <v>31.224</v>
      </c>
      <c r="C40" s="955"/>
      <c r="D40" s="393">
        <f t="shared" si="0"/>
        <v>32.156814942273364</v>
      </c>
      <c r="E40" s="385">
        <f t="shared" si="1"/>
        <v>33.391009773781853</v>
      </c>
      <c r="F40" s="385">
        <f t="shared" si="2"/>
        <v>33.422605659814721</v>
      </c>
      <c r="G40" s="110">
        <f t="shared" si="19"/>
        <v>0.95632963986104247</v>
      </c>
      <c r="H40" s="414" t="b">
        <f>Wh_hp&gt;='2021'!Maxi_hp</f>
        <v>1</v>
      </c>
      <c r="I40" s="380">
        <f>IF(H40,Wh_hp,'2021'!Maxi_hp)</f>
        <v>33.422605659814721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2.9008312668649339E-2</v>
      </c>
      <c r="M40" s="959"/>
      <c r="N40" s="959"/>
      <c r="O40" s="48">
        <f>IF(t&lt;Tnet,'2021'!Resal+('2021'!Salim-'2021'!Resal)*(1-EXP(('2021'!Tnet-t)/('2021'!Tau_j))),Resal+(Salim-Resal)*(1-EXP((Tnet-t)/(Tau_j))))*Salcycl</f>
        <v>3.6961890037765809E-2</v>
      </c>
      <c r="P40" s="339">
        <f>(INDEX(Models!$BJ40:$BT40,,T40)*(1-R40)+INDEX(Models!$BJ40:$BT40,,T40+1)*R40-ERP_i)*Q40*Ramure*Pc/MaxiM</f>
        <v>1.0081530599349599E-3</v>
      </c>
      <c r="Q40" s="305">
        <f t="shared" si="4"/>
        <v>0.7</v>
      </c>
      <c r="R40" s="177">
        <f t="shared" si="5"/>
        <v>1.2848608626053208E-3</v>
      </c>
      <c r="S40" s="921">
        <f t="shared" si="6"/>
        <v>0</v>
      </c>
      <c r="T40" s="176">
        <f t="shared" si="7"/>
        <v>6</v>
      </c>
      <c r="U40" s="251">
        <f t="shared" si="20"/>
        <v>1.2848608626053208E-3</v>
      </c>
      <c r="V40" s="383">
        <f t="shared" si="8"/>
        <v>32.64777720716949</v>
      </c>
      <c r="W40" s="402">
        <f t="shared" si="9"/>
        <v>0</v>
      </c>
      <c r="X40" s="157">
        <f t="shared" si="10"/>
        <v>44587</v>
      </c>
      <c r="Y40" s="385">
        <f t="shared" si="11"/>
        <v>29.30451597018962</v>
      </c>
      <c r="Z40" s="385">
        <f t="shared" si="21"/>
        <v>30.17998645357039</v>
      </c>
      <c r="AA40" s="386">
        <f t="shared" si="12"/>
        <v>33.391009773781853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9.6164307158291287E-2</v>
      </c>
      <c r="AD40" s="231">
        <f>(INDEX(Models!$BJ40:$BT40,,AH40)*(1-AF40)+INDEX(Models!$BJ40:$BT40,,AH40+1)*AF40-ERP_i)*AE40*Ramure*Pc/MaxiM</f>
        <v>1.0081530599349599E-3</v>
      </c>
      <c r="AE40" s="305">
        <f t="shared" si="14"/>
        <v>0.7</v>
      </c>
      <c r="AF40" s="177">
        <f t="shared" si="22"/>
        <v>1.2848608626053208E-3</v>
      </c>
      <c r="AG40" s="921">
        <f t="shared" si="23"/>
        <v>0</v>
      </c>
      <c r="AH40" s="176">
        <f t="shared" si="15"/>
        <v>6</v>
      </c>
      <c r="AI40" s="225">
        <f t="shared" si="24"/>
        <v>1.2848608626053208E-3</v>
      </c>
      <c r="AJ40" s="265" t="b">
        <f t="shared" si="16"/>
        <v>0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092">
        <v>30.933</v>
      </c>
      <c r="C41" s="955"/>
      <c r="D41" s="393">
        <f t="shared" si="0"/>
        <v>31.857819104450193</v>
      </c>
      <c r="E41" s="385">
        <f t="shared" si="1"/>
        <v>33.088154723946161</v>
      </c>
      <c r="F41" s="385">
        <f t="shared" si="2"/>
        <v>33.117741356998614</v>
      </c>
      <c r="G41" s="110">
        <f t="shared" si="19"/>
        <v>0.93859696991099528</v>
      </c>
      <c r="H41" s="414" t="b">
        <f>Wh_hp&gt;='2021'!Maxi_hp</f>
        <v>1</v>
      </c>
      <c r="I41" s="380">
        <f>IF(H41,Wh_hp,'2021'!Maxi_hp)</f>
        <v>33.117741356998614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2.9029579878586453E-2</v>
      </c>
      <c r="M41" s="959"/>
      <c r="N41" s="959"/>
      <c r="O41" s="48">
        <f>IF(t&lt;Tnet,'2021'!Resal+('2021'!Salim-'2021'!Resal)*(1-EXP(('2021'!Tnet-t)/('2021'!Tau_j))),Resal+(Salim-Resal)*(1-EXP((Tnet-t)/(Tau_j))))*Salcycl</f>
        <v>3.7183567042666274E-2</v>
      </c>
      <c r="P41" s="339">
        <f>(INDEX(Models!$BJ41:$BT41,,T41)*(1-R41)+INDEX(Models!$BJ41:$BT41,,T41+1)*R41-ERP_i)*Q41*Ramure*Pc/MaxiM</f>
        <v>9.7915448714517997E-4</v>
      </c>
      <c r="Q41" s="305">
        <f t="shared" si="4"/>
        <v>0.7</v>
      </c>
      <c r="R41" s="177">
        <f t="shared" si="5"/>
        <v>1.366065544427063E-3</v>
      </c>
      <c r="S41" s="921">
        <f t="shared" si="6"/>
        <v>0</v>
      </c>
      <c r="T41" s="176">
        <f t="shared" si="7"/>
        <v>6</v>
      </c>
      <c r="U41" s="251">
        <f t="shared" si="20"/>
        <v>1.366065544427063E-3</v>
      </c>
      <c r="V41" s="383">
        <f t="shared" si="8"/>
        <v>32.953807937060915</v>
      </c>
      <c r="W41" s="402">
        <f t="shared" si="9"/>
        <v>0</v>
      </c>
      <c r="X41" s="157">
        <f t="shared" si="10"/>
        <v>44588</v>
      </c>
      <c r="Y41" s="385">
        <f t="shared" si="11"/>
        <v>29.032712534646137</v>
      </c>
      <c r="Z41" s="385">
        <f t="shared" si="21"/>
        <v>29.900717810760689</v>
      </c>
      <c r="AA41" s="386">
        <f t="shared" si="12"/>
        <v>33.088154723946161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9.6331661278127922E-2</v>
      </c>
      <c r="AD41" s="231">
        <f>(INDEX(Models!$BJ41:$BT41,,AH41)*(1-AF41)+INDEX(Models!$BJ41:$BT41,,AH41+1)*AF41-ERP_i)*AE41*Ramure*Pc/MaxiM</f>
        <v>9.7915448714517997E-4</v>
      </c>
      <c r="AE41" s="305">
        <f t="shared" si="14"/>
        <v>0.7</v>
      </c>
      <c r="AF41" s="177">
        <f t="shared" si="22"/>
        <v>1.366065544427063E-3</v>
      </c>
      <c r="AG41" s="921">
        <f t="shared" si="23"/>
        <v>0</v>
      </c>
      <c r="AH41" s="176">
        <f t="shared" si="15"/>
        <v>6</v>
      </c>
      <c r="AI41" s="225">
        <f t="shared" si="24"/>
        <v>1.366065544427063E-3</v>
      </c>
      <c r="AJ41" s="265" t="b">
        <f t="shared" si="16"/>
        <v>0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092">
        <v>4.1900000000000004</v>
      </c>
      <c r="C42" s="955"/>
      <c r="D42" s="393">
        <f t="shared" si="0"/>
        <v>4.3153650069375837</v>
      </c>
      <c r="E42" s="385">
        <f t="shared" si="1"/>
        <v>4.4830540867378934</v>
      </c>
      <c r="F42" s="385">
        <f t="shared" si="2"/>
        <v>4.4830540867378934</v>
      </c>
      <c r="G42" s="110">
        <f t="shared" si="19"/>
        <v>0.12583866265815608</v>
      </c>
      <c r="H42" s="414" t="b">
        <f>Wh_hp&gt;='2021'!Maxi_hp</f>
        <v>0</v>
      </c>
      <c r="I42" s="380">
        <f>IF(H42,Wh_hp,'2021'!Maxi_hp)</f>
        <v>17.427879917759782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2.9050846622716953E-2</v>
      </c>
      <c r="M42" s="959"/>
      <c r="N42" s="959"/>
      <c r="O42" s="48">
        <f>IF(t&lt;Tnet,'2021'!Resal+('2021'!Salim-'2021'!Resal)*(1-EXP(('2021'!Tnet-t)/('2021'!Tau_j))),Resal+(Salim-Resal)*(1-EXP((Tnet-t)/(Tau_j))))*Salcycl</f>
        <v>3.7405098523432823E-2</v>
      </c>
      <c r="P42" s="339">
        <f>(INDEX(Models!$BJ42:$BT42,,T42)*(1-R42)+INDEX(Models!$BJ42:$BT42,,T42+1)*R42-ERP_i)*Q42*Ramure*Pc/MaxiM</f>
        <v>9.556891699688282E-4</v>
      </c>
      <c r="Q42" s="305">
        <f t="shared" si="4"/>
        <v>0.7</v>
      </c>
      <c r="R42" s="177">
        <f t="shared" si="5"/>
        <v>1.4506488102730153E-3</v>
      </c>
      <c r="S42" s="921">
        <f t="shared" si="6"/>
        <v>0</v>
      </c>
      <c r="T42" s="176">
        <f t="shared" si="7"/>
        <v>6</v>
      </c>
      <c r="U42" s="251">
        <f t="shared" si="20"/>
        <v>1.4506488102730153E-3</v>
      </c>
      <c r="V42" s="383">
        <f t="shared" si="8"/>
        <v>33.264781856027781</v>
      </c>
      <c r="W42" s="402">
        <f t="shared" si="9"/>
        <v>0</v>
      </c>
      <c r="X42" s="157">
        <f t="shared" si="10"/>
        <v>44589</v>
      </c>
      <c r="Y42" s="385">
        <f t="shared" si="11"/>
        <v>3.9327749704140134</v>
      </c>
      <c r="Z42" s="385">
        <f t="shared" si="21"/>
        <v>4.0504437917624401</v>
      </c>
      <c r="AA42" s="386">
        <f t="shared" si="12"/>
        <v>4.4830540867378934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9.6499013084681229E-2</v>
      </c>
      <c r="AD42" s="231">
        <f>(INDEX(Models!$BJ42:$BT42,,AH42)*(1-AF42)+INDEX(Models!$BJ42:$BT42,,AH42+1)*AF42-ERP_i)*AE42*Ramure*Pc/MaxiM</f>
        <v>9.556891699688282E-4</v>
      </c>
      <c r="AE42" s="305">
        <f t="shared" si="14"/>
        <v>0.7</v>
      </c>
      <c r="AF42" s="177">
        <f t="shared" si="22"/>
        <v>1.4506488102730153E-3</v>
      </c>
      <c r="AG42" s="921">
        <f t="shared" si="23"/>
        <v>0</v>
      </c>
      <c r="AH42" s="176">
        <f t="shared" si="15"/>
        <v>6</v>
      </c>
      <c r="AI42" s="225">
        <f t="shared" si="24"/>
        <v>1.4506488102730153E-3</v>
      </c>
      <c r="AJ42" s="265" t="b">
        <f t="shared" si="16"/>
        <v>0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092">
        <v>6.2279999999999998</v>
      </c>
      <c r="C43" s="955"/>
      <c r="D43" s="393">
        <f t="shared" si="0"/>
        <v>6.4144825612216607</v>
      </c>
      <c r="E43" s="385">
        <f t="shared" si="1"/>
        <v>6.6652733740883257</v>
      </c>
      <c r="F43" s="385">
        <f t="shared" si="2"/>
        <v>6.6652733740883257</v>
      </c>
      <c r="G43" s="110">
        <f t="shared" si="19"/>
        <v>0.18529590961214104</v>
      </c>
      <c r="H43" s="414" t="b">
        <f>Wh_hp&gt;='2021'!Maxi_hp</f>
        <v>0</v>
      </c>
      <c r="I43" s="380">
        <f>IF(H43,Wh_hp,'2021'!Maxi_hp)</f>
        <v>22.511927090396647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2.9072112901051272E-2</v>
      </c>
      <c r="M43" s="959"/>
      <c r="N43" s="959"/>
      <c r="O43" s="48">
        <f>IF(t&lt;Tnet,'2021'!Resal+('2021'!Salim-'2021'!Resal)*(1-EXP(('2021'!Tnet-t)/('2021'!Tau_j))),Resal+(Salim-Resal)*(1-EXP((Tnet-t)/(Tau_j))))*Salcycl</f>
        <v>3.7626485635477463E-2</v>
      </c>
      <c r="P43" s="339">
        <f>(INDEX(Models!$BJ43:$BT43,,T43)*(1-R43)+INDEX(Models!$BJ43:$BT43,,T43+1)*R43-ERP_i)*Q43*Ramure*Pc/MaxiM</f>
        <v>9.3764070821988183E-4</v>
      </c>
      <c r="Q43" s="305">
        <f t="shared" si="4"/>
        <v>0.7</v>
      </c>
      <c r="R43" s="177">
        <f t="shared" si="5"/>
        <v>1.5387500055582884E-3</v>
      </c>
      <c r="S43" s="921">
        <f t="shared" si="6"/>
        <v>0</v>
      </c>
      <c r="T43" s="176">
        <f t="shared" si="7"/>
        <v>6</v>
      </c>
      <c r="U43" s="251">
        <f t="shared" si="20"/>
        <v>1.5387500055582884E-3</v>
      </c>
      <c r="V43" s="383">
        <f t="shared" si="8"/>
        <v>33.57958838213618</v>
      </c>
      <c r="W43" s="402">
        <f t="shared" si="9"/>
        <v>0</v>
      </c>
      <c r="X43" s="157">
        <f t="shared" si="10"/>
        <v>44590</v>
      </c>
      <c r="Y43" s="385">
        <f t="shared" si="11"/>
        <v>5.8459234438324001</v>
      </c>
      <c r="Z43" s="385">
        <f t="shared" si="21"/>
        <v>6.0209656365927753</v>
      </c>
      <c r="AA43" s="386">
        <f t="shared" si="12"/>
        <v>6.6652733740883257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9.6666363303317404E-2</v>
      </c>
      <c r="AD43" s="231">
        <f>(INDEX(Models!$BJ43:$BT43,,AH43)*(1-AF43)+INDEX(Models!$BJ43:$BT43,,AH43+1)*AF43-ERP_i)*AE43*Ramure*Pc/MaxiM</f>
        <v>9.3764070821988183E-4</v>
      </c>
      <c r="AE43" s="305">
        <f t="shared" si="14"/>
        <v>0.7</v>
      </c>
      <c r="AF43" s="177">
        <f t="shared" si="22"/>
        <v>1.5387500055582884E-3</v>
      </c>
      <c r="AG43" s="921">
        <f t="shared" si="23"/>
        <v>0</v>
      </c>
      <c r="AH43" s="176">
        <f t="shared" si="15"/>
        <v>6</v>
      </c>
      <c r="AI43" s="225">
        <f t="shared" si="24"/>
        <v>1.5387500055582884E-3</v>
      </c>
      <c r="AJ43" s="265" t="b">
        <f t="shared" si="16"/>
        <v>0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092">
        <v>5.1059999999999999</v>
      </c>
      <c r="C44" s="955"/>
      <c r="D44" s="393">
        <f t="shared" si="0"/>
        <v>5.2590021409420569</v>
      </c>
      <c r="E44" s="385">
        <f t="shared" si="1"/>
        <v>5.4658730225892995</v>
      </c>
      <c r="F44" s="385">
        <f t="shared" si="2"/>
        <v>5.4658730225892995</v>
      </c>
      <c r="G44" s="110">
        <f t="shared" si="19"/>
        <v>0.15049295634019833</v>
      </c>
      <c r="H44" s="414" t="b">
        <f>Wh_hp&gt;='2021'!Maxi_hp</f>
        <v>0</v>
      </c>
      <c r="I44" s="380">
        <f>IF(H44,Wh_hp,'2021'!Maxi_hp)</f>
        <v>10.423685229998675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2.9093378713599405E-2</v>
      </c>
      <c r="M44" s="959"/>
      <c r="N44" s="959"/>
      <c r="O44" s="48">
        <f>IF(t&lt;Tnet,'2021'!Resal+('2021'!Salim-'2021'!Resal)*(1-EXP(('2021'!Tnet-t)/('2021'!Tau_j))),Resal+(Salim-Resal)*(1-EXP((Tnet-t)/(Tau_j))))*Salcycl</f>
        <v>3.7847729135362072E-2</v>
      </c>
      <c r="P44" s="339">
        <f>(INDEX(Models!$BJ44:$BT44,,T44)*(1-R44)+INDEX(Models!$BJ44:$BT44,,T44+1)*R44-ERP_i)*Q44*Ramure*Pc/MaxiM</f>
        <v>9.251910645355952E-4</v>
      </c>
      <c r="Q44" s="305">
        <f t="shared" si="4"/>
        <v>0.7</v>
      </c>
      <c r="R44" s="177">
        <f t="shared" si="5"/>
        <v>1.63051411855176E-3</v>
      </c>
      <c r="S44" s="921">
        <f t="shared" si="6"/>
        <v>0</v>
      </c>
      <c r="T44" s="176">
        <f t="shared" si="7"/>
        <v>6</v>
      </c>
      <c r="U44" s="251">
        <f t="shared" si="20"/>
        <v>1.63051411855176E-3</v>
      </c>
      <c r="V44" s="383">
        <f t="shared" si="8"/>
        <v>33.897107867910719</v>
      </c>
      <c r="W44" s="402">
        <f t="shared" si="9"/>
        <v>0</v>
      </c>
      <c r="X44" s="157">
        <f t="shared" si="10"/>
        <v>44591</v>
      </c>
      <c r="Y44" s="385">
        <f t="shared" si="11"/>
        <v>4.7929701025290123</v>
      </c>
      <c r="Z44" s="385">
        <f t="shared" si="21"/>
        <v>4.936592250425254</v>
      </c>
      <c r="AA44" s="386">
        <f t="shared" si="12"/>
        <v>5.4658730225892995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9.6833711646179807E-2</v>
      </c>
      <c r="AD44" s="231">
        <f>(INDEX(Models!$BJ44:$BT44,,AH44)*(1-AF44)+INDEX(Models!$BJ44:$BT44,,AH44+1)*AF44-ERP_i)*AE44*Ramure*Pc/MaxiM</f>
        <v>9.251910645355952E-4</v>
      </c>
      <c r="AE44" s="305">
        <f t="shared" si="14"/>
        <v>0.7</v>
      </c>
      <c r="AF44" s="177">
        <f t="shared" si="22"/>
        <v>1.63051411855176E-3</v>
      </c>
      <c r="AG44" s="921">
        <f t="shared" si="23"/>
        <v>0</v>
      </c>
      <c r="AH44" s="176">
        <f t="shared" si="15"/>
        <v>6</v>
      </c>
      <c r="AI44" s="225">
        <f t="shared" si="24"/>
        <v>1.63051411855176E-3</v>
      </c>
      <c r="AJ44" s="265" t="b">
        <f t="shared" si="16"/>
        <v>0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092">
        <v>7.0049999999999999</v>
      </c>
      <c r="C45" s="955"/>
      <c r="D45" s="393">
        <f t="shared" si="0"/>
        <v>7.215064020839538</v>
      </c>
      <c r="E45" s="385">
        <f t="shared" si="1"/>
        <v>7.500603204304511</v>
      </c>
      <c r="F45" s="385">
        <f t="shared" si="2"/>
        <v>7.500603204304511</v>
      </c>
      <c r="G45" s="110">
        <f t="shared" si="19"/>
        <v>0.20453941040757118</v>
      </c>
      <c r="H45" s="414" t="b">
        <f>Wh_hp&gt;='2021'!Maxi_hp</f>
        <v>0</v>
      </c>
      <c r="I45" s="380">
        <f>IF(H45,Wh_hp,'2021'!Maxi_hp)</f>
        <v>26.210661022055326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2.9114644060371786E-2</v>
      </c>
      <c r="M45" s="959"/>
      <c r="N45" s="959"/>
      <c r="O45" s="48">
        <f>IF(t&lt;Tnet,'2021'!Resal+('2021'!Salim-'2021'!Resal)*(1-EXP(('2021'!Tnet-t)/('2021'!Tau_j))),Resal+(Salim-Resal)*(1-EXP((Tnet-t)/(Tau_j))))*Salcycl</f>
        <v>3.8068829357764927E-2</v>
      </c>
      <c r="P45" s="339">
        <f>(INDEX(Models!$BJ45:$BT45,,T45)*(1-R45)+INDEX(Models!$BJ45:$BT45,,T45+1)*R45-ERP_i)*Q45*Ramure*Pc/MaxiM</f>
        <v>9.1394702927851562E-4</v>
      </c>
      <c r="Q45" s="305">
        <f t="shared" si="4"/>
        <v>0.7</v>
      </c>
      <c r="R45" s="177">
        <f t="shared" si="5"/>
        <v>1.7260919999818203E-3</v>
      </c>
      <c r="S45" s="921">
        <f t="shared" si="6"/>
        <v>0</v>
      </c>
      <c r="T45" s="176">
        <f t="shared" si="7"/>
        <v>6</v>
      </c>
      <c r="U45" s="251">
        <f t="shared" si="20"/>
        <v>1.7260919999818203E-3</v>
      </c>
      <c r="V45" s="383">
        <f t="shared" si="8"/>
        <v>34.216378091216235</v>
      </c>
      <c r="W45" s="402">
        <f t="shared" si="9"/>
        <v>0</v>
      </c>
      <c r="X45" s="157">
        <f t="shared" si="10"/>
        <v>44592</v>
      </c>
      <c r="Y45" s="385">
        <f t="shared" si="11"/>
        <v>6.575842212363173</v>
      </c>
      <c r="Z45" s="385">
        <f t="shared" si="21"/>
        <v>6.7730367670434548</v>
      </c>
      <c r="AA45" s="386">
        <f t="shared" si="12"/>
        <v>7.500603204304511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9.7001056774142433E-2</v>
      </c>
      <c r="AD45" s="231">
        <f>(INDEX(Models!$BJ45:$BT45,,AH45)*(1-AF45)+INDEX(Models!$BJ45:$BT45,,AH45+1)*AF45-ERP_i)*AE45*Ramure*Pc/MaxiM</f>
        <v>9.1394702927851562E-4</v>
      </c>
      <c r="AE45" s="305">
        <f t="shared" si="14"/>
        <v>0.7</v>
      </c>
      <c r="AF45" s="177">
        <f t="shared" si="22"/>
        <v>1.7260919999818203E-3</v>
      </c>
      <c r="AG45" s="921">
        <f t="shared" si="23"/>
        <v>0</v>
      </c>
      <c r="AH45" s="176">
        <f t="shared" si="15"/>
        <v>6</v>
      </c>
      <c r="AI45" s="225">
        <f t="shared" si="24"/>
        <v>1.7260919999818203E-3</v>
      </c>
      <c r="AJ45" s="265" t="b">
        <f t="shared" si="16"/>
        <v>0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092">
        <v>14.49</v>
      </c>
      <c r="C46" s="955"/>
      <c r="D46" s="393">
        <f t="shared" si="0"/>
        <v>14.924849042671084</v>
      </c>
      <c r="E46" s="385">
        <f t="shared" si="1"/>
        <v>15.519070951414465</v>
      </c>
      <c r="F46" s="385">
        <f t="shared" si="2"/>
        <v>15.521467245856469</v>
      </c>
      <c r="G46" s="110">
        <f t="shared" si="19"/>
        <v>0.41924413596590854</v>
      </c>
      <c r="H46" s="414" t="b">
        <f>Wh_hp&gt;='2021'!Maxi_hp</f>
        <v>0</v>
      </c>
      <c r="I46" s="380">
        <f>IF(H46,Wh_hp,'2021'!Maxi_hp)</f>
        <v>29.47119267155292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2.9135908941378408E-2</v>
      </c>
      <c r="M46" s="959"/>
      <c r="N46" s="959"/>
      <c r="O46" s="48">
        <f>IF(t&lt;Tnet,'2021'!Resal+('2021'!Salim-'2021'!Resal)*(1-EXP(('2021'!Tnet-t)/('2021'!Tau_j))),Resal+(Salim-Resal)*(1-EXP((Tnet-t)/(Tau_j))))*Salcycl</f>
        <v>3.8289786199425836E-2</v>
      </c>
      <c r="P46" s="339">
        <f>(INDEX(Models!$BJ46:$BT46,,T46)*(1-R46)+INDEX(Models!$BJ46:$BT46,,T46+1)*R46-ERP_i)*Q46*Ramure*Pc/MaxiM</f>
        <v>9.0390842323513632E-4</v>
      </c>
      <c r="Q46" s="305">
        <f t="shared" si="4"/>
        <v>0.7</v>
      </c>
      <c r="R46" s="177">
        <f t="shared" si="5"/>
        <v>1.8256405904222949E-3</v>
      </c>
      <c r="S46" s="921">
        <f t="shared" si="6"/>
        <v>0</v>
      </c>
      <c r="T46" s="176">
        <f t="shared" si="7"/>
        <v>6</v>
      </c>
      <c r="U46" s="251">
        <f t="shared" si="20"/>
        <v>1.8256405904222949E-3</v>
      </c>
      <c r="V46" s="383">
        <f t="shared" si="8"/>
        <v>34.536291621910131</v>
      </c>
      <c r="W46" s="402">
        <f t="shared" si="9"/>
        <v>0</v>
      </c>
      <c r="X46" s="157">
        <f t="shared" si="10"/>
        <v>44593</v>
      </c>
      <c r="Y46" s="385">
        <f t="shared" si="11"/>
        <v>13.602881356792105</v>
      </c>
      <c r="Z46" s="385">
        <f t="shared" si="21"/>
        <v>14.01110771535452</v>
      </c>
      <c r="AA46" s="386">
        <f t="shared" si="12"/>
        <v>15.519070951414465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9.7168396277130517E-2</v>
      </c>
      <c r="AD46" s="231">
        <f>(INDEX(Models!$BJ46:$BT46,,AH46)*(1-AF46)+INDEX(Models!$BJ46:$BT46,,AH46+1)*AF46-ERP_i)*AE46*Ramure*Pc/MaxiM</f>
        <v>9.0390842323513632E-4</v>
      </c>
      <c r="AE46" s="305">
        <f t="shared" si="14"/>
        <v>0.7</v>
      </c>
      <c r="AF46" s="177">
        <f t="shared" si="22"/>
        <v>1.8256405904222949E-3</v>
      </c>
      <c r="AG46" s="921">
        <f t="shared" si="23"/>
        <v>0</v>
      </c>
      <c r="AH46" s="176">
        <f t="shared" si="15"/>
        <v>6</v>
      </c>
      <c r="AI46" s="225">
        <f t="shared" si="24"/>
        <v>1.8256405904222949E-3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092">
        <v>5.452</v>
      </c>
      <c r="C47" s="955"/>
      <c r="D47" s="393">
        <f t="shared" si="0"/>
        <v>5.6157390778175245</v>
      </c>
      <c r="E47" s="385">
        <f t="shared" si="1"/>
        <v>5.8406666497007702</v>
      </c>
      <c r="F47" s="385">
        <f t="shared" si="2"/>
        <v>5.8406666497007702</v>
      </c>
      <c r="G47" s="110">
        <f t="shared" si="19"/>
        <v>0.1562761175428739</v>
      </c>
      <c r="H47" s="414" t="b">
        <f>Wh_hp&gt;='2021'!Maxi_hp</f>
        <v>0</v>
      </c>
      <c r="I47" s="380">
        <f>IF(H47,Wh_hp,'2021'!Maxi_hp)</f>
        <v>31.55257955620117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2.9157173356629595E-2</v>
      </c>
      <c r="M47" s="959"/>
      <c r="N47" s="959"/>
      <c r="O47" s="48">
        <f>IF(t&lt;Tnet,'2021'!Resal+('2021'!Salim-'2021'!Resal)*(1-EXP(('2021'!Tnet-t)/('2021'!Tau_j))),Resal+(Salim-Resal)*(1-EXP((Tnet-t)/(Tau_j))))*Salcycl</f>
        <v>3.8510599110252126E-2</v>
      </c>
      <c r="P47" s="339">
        <f>(INDEX(Models!$BJ47:$BT47,,T47)*(1-R47)+INDEX(Models!$BJ47:$BT47,,T47+1)*R47-ERP_i)*Q47*Ramure*Pc/MaxiM</f>
        <v>8.9507371461394086E-4</v>
      </c>
      <c r="Q47" s="305">
        <f t="shared" si="4"/>
        <v>0.7</v>
      </c>
      <c r="R47" s="177">
        <f t="shared" si="5"/>
        <v>1.9293231556671755E-3</v>
      </c>
      <c r="S47" s="921">
        <f t="shared" si="6"/>
        <v>0</v>
      </c>
      <c r="T47" s="176">
        <f t="shared" si="7"/>
        <v>6</v>
      </c>
      <c r="U47" s="251">
        <f t="shared" si="20"/>
        <v>1.9293231556671755E-3</v>
      </c>
      <c r="V47" s="383">
        <f t="shared" si="8"/>
        <v>34.855742155313798</v>
      </c>
      <c r="W47" s="402">
        <f t="shared" si="9"/>
        <v>0</v>
      </c>
      <c r="X47" s="157">
        <f t="shared" si="10"/>
        <v>44594</v>
      </c>
      <c r="Y47" s="385">
        <f t="shared" si="11"/>
        <v>5.1184398014435617</v>
      </c>
      <c r="Z47" s="385">
        <f t="shared" si="21"/>
        <v>5.2721611170988965</v>
      </c>
      <c r="AA47" s="386">
        <f t="shared" si="12"/>
        <v>5.8406666497007702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9.7335726672741887E-2</v>
      </c>
      <c r="AD47" s="231">
        <f>(INDEX(Models!$BJ47:$BT47,,AH47)*(1-AF47)+INDEX(Models!$BJ47:$BT47,,AH47+1)*AF47-ERP_i)*AE47*Ramure*Pc/MaxiM</f>
        <v>8.9507371461394086E-4</v>
      </c>
      <c r="AE47" s="305">
        <f t="shared" si="14"/>
        <v>0.7</v>
      </c>
      <c r="AF47" s="177">
        <f t="shared" si="22"/>
        <v>1.9293231556671755E-3</v>
      </c>
      <c r="AG47" s="921">
        <f t="shared" si="23"/>
        <v>0</v>
      </c>
      <c r="AH47" s="176">
        <f t="shared" si="15"/>
        <v>6</v>
      </c>
      <c r="AI47" s="225">
        <f t="shared" si="24"/>
        <v>1.9293231556671755E-3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092">
        <v>11.923</v>
      </c>
      <c r="C48" s="955"/>
      <c r="D48" s="393">
        <f t="shared" si="0"/>
        <v>12.281350619073299</v>
      </c>
      <c r="E48" s="385">
        <f t="shared" si="1"/>
        <v>12.776188591837531</v>
      </c>
      <c r="F48" s="385">
        <f t="shared" si="2"/>
        <v>12.776819922137687</v>
      </c>
      <c r="G48" s="110">
        <f t="shared" si="19"/>
        <v>0.33869150139199128</v>
      </c>
      <c r="H48" s="414" t="b">
        <f>Wh_hp&gt;='2021'!Maxi_hp</f>
        <v>0</v>
      </c>
      <c r="I48" s="380">
        <f>IF(H48,Wh_hp,'2021'!Maxi_hp)</f>
        <v>28.70079034414249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2.9178437306135563E-2</v>
      </c>
      <c r="M48" s="959"/>
      <c r="N48" s="959"/>
      <c r="O48" s="48">
        <f>IF(t&lt;Tnet,'2021'!Resal+('2021'!Salim-'2021'!Resal)*(1-EXP(('2021'!Tnet-t)/('2021'!Tau_j))),Resal+(Salim-Resal)*(1-EXP((Tnet-t)/(Tau_j))))*Salcycl</f>
        <v>3.8731267091687643E-2</v>
      </c>
      <c r="P48" s="339">
        <f>(INDEX(Models!$BJ48:$BT48,,T48)*(1-R48)+INDEX(Models!$BJ48:$BT48,,T48+1)*R48-ERP_i)*Q48*Ramure*Pc/MaxiM</f>
        <v>8.8744048974480382E-4</v>
      </c>
      <c r="Q48" s="305">
        <f t="shared" si="4"/>
        <v>0.7</v>
      </c>
      <c r="R48" s="177">
        <f t="shared" si="5"/>
        <v>2.037309530300159E-3</v>
      </c>
      <c r="S48" s="921">
        <f t="shared" si="6"/>
        <v>0</v>
      </c>
      <c r="T48" s="176">
        <f t="shared" si="7"/>
        <v>6</v>
      </c>
      <c r="U48" s="251">
        <f t="shared" si="20"/>
        <v>2.037309530300159E-3</v>
      </c>
      <c r="V48" s="383">
        <f t="shared" si="8"/>
        <v>35.173624509471097</v>
      </c>
      <c r="W48" s="402">
        <f t="shared" si="9"/>
        <v>0</v>
      </c>
      <c r="X48" s="157">
        <f t="shared" si="10"/>
        <v>44595</v>
      </c>
      <c r="Y48" s="385">
        <f t="shared" si="11"/>
        <v>11.194030186244467</v>
      </c>
      <c r="Z48" s="385">
        <f t="shared" si="21"/>
        <v>11.530471320788282</v>
      </c>
      <c r="AA48" s="386">
        <f t="shared" si="12"/>
        <v>12.776188591837531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9.7503043422912133E-2</v>
      </c>
      <c r="AD48" s="231">
        <f>(INDEX(Models!$BJ48:$BT48,,AH48)*(1-AF48)+INDEX(Models!$BJ48:$BT48,,AH48+1)*AF48-ERP_i)*AE48*Ramure*Pc/MaxiM</f>
        <v>8.8744048974480382E-4</v>
      </c>
      <c r="AE48" s="305">
        <f t="shared" si="14"/>
        <v>0.7</v>
      </c>
      <c r="AF48" s="177">
        <f t="shared" si="22"/>
        <v>2.037309530300159E-3</v>
      </c>
      <c r="AG48" s="921">
        <f t="shared" si="23"/>
        <v>0</v>
      </c>
      <c r="AH48" s="176">
        <f t="shared" si="15"/>
        <v>6</v>
      </c>
      <c r="AI48" s="225">
        <f t="shared" si="24"/>
        <v>2.037309530300159E-3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092">
        <v>11.433</v>
      </c>
      <c r="C49" s="955"/>
      <c r="D49" s="393">
        <f t="shared" si="0"/>
        <v>11.776881413512783</v>
      </c>
      <c r="E49" s="385">
        <f t="shared" si="1"/>
        <v>12.254204601880812</v>
      </c>
      <c r="F49" s="385">
        <f t="shared" si="2"/>
        <v>12.254546346710937</v>
      </c>
      <c r="G49" s="110">
        <f t="shared" si="19"/>
        <v>0.32188281590107554</v>
      </c>
      <c r="H49" s="414" t="b">
        <f>Wh_hp&gt;='2021'!Maxi_hp</f>
        <v>0</v>
      </c>
      <c r="I49" s="380">
        <f>IF(H49,Wh_hp,'2021'!Maxi_hp)</f>
        <v>29.923583051666235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2.9199700789906413E-2</v>
      </c>
      <c r="M49" s="959"/>
      <c r="N49" s="959"/>
      <c r="O49" s="48">
        <f>IF(t&lt;Tnet,'2021'!Resal+('2021'!Salim-'2021'!Resal)*(1-EXP(('2021'!Tnet-t)/('2021'!Tau_j))),Resal+(Salim-Resal)*(1-EXP((Tnet-t)/(Tau_j))))*Salcycl</f>
        <v>3.895178870236652E-2</v>
      </c>
      <c r="P49" s="339">
        <f>(INDEX(Models!$BJ49:$BT49,,T49)*(1-R49)+INDEX(Models!$BJ49:$BT49,,T49+1)*R49-ERP_i)*Q49*Ramure*Pc/MaxiM</f>
        <v>8.8100589765275749E-4</v>
      </c>
      <c r="Q49" s="305">
        <f t="shared" si="4"/>
        <v>0.7</v>
      </c>
      <c r="R49" s="177">
        <f t="shared" si="5"/>
        <v>2.1497763696661266E-3</v>
      </c>
      <c r="S49" s="921">
        <f t="shared" si="6"/>
        <v>0</v>
      </c>
      <c r="T49" s="176">
        <f t="shared" si="7"/>
        <v>6</v>
      </c>
      <c r="U49" s="251">
        <f t="shared" si="20"/>
        <v>2.1497763696661266E-3</v>
      </c>
      <c r="V49" s="383">
        <f t="shared" si="8"/>
        <v>35.488834623855944</v>
      </c>
      <c r="W49" s="402">
        <f t="shared" si="9"/>
        <v>0</v>
      </c>
      <c r="X49" s="157">
        <f t="shared" si="10"/>
        <v>44596</v>
      </c>
      <c r="Y49" s="385">
        <f t="shared" si="11"/>
        <v>10.734461466591123</v>
      </c>
      <c r="Z49" s="385">
        <f t="shared" si="21"/>
        <v>11.057332260121242</v>
      </c>
      <c r="AA49" s="386">
        <f t="shared" si="12"/>
        <v>12.254204601880812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9.7670340968182348E-2</v>
      </c>
      <c r="AD49" s="231">
        <f>(INDEX(Models!$BJ49:$BT49,,AH49)*(1-AF49)+INDEX(Models!$BJ49:$BT49,,AH49+1)*AF49-ERP_i)*AE49*Ramure*Pc/MaxiM</f>
        <v>8.8100589765275749E-4</v>
      </c>
      <c r="AE49" s="305">
        <f t="shared" si="14"/>
        <v>0.7</v>
      </c>
      <c r="AF49" s="177">
        <f t="shared" si="22"/>
        <v>2.1497763696661266E-3</v>
      </c>
      <c r="AG49" s="921">
        <f t="shared" si="23"/>
        <v>0</v>
      </c>
      <c r="AH49" s="176">
        <f t="shared" si="15"/>
        <v>6</v>
      </c>
      <c r="AI49" s="225">
        <f t="shared" si="24"/>
        <v>2.1497763696661266E-3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092">
        <v>10.8</v>
      </c>
      <c r="C50" s="955"/>
      <c r="D50" s="393">
        <f t="shared" si="0"/>
        <v>11.125085727400744</v>
      </c>
      <c r="E50" s="385">
        <f t="shared" si="1"/>
        <v>11.578646338328474</v>
      </c>
      <c r="F50" s="385">
        <f t="shared" si="2"/>
        <v>11.578670583680525</v>
      </c>
      <c r="G50" s="110">
        <f t="shared" si="19"/>
        <v>0.30141014144655204</v>
      </c>
      <c r="H50" s="414" t="b">
        <f>Wh_hp&gt;='2021'!Maxi_hp</f>
        <v>0</v>
      </c>
      <c r="I50" s="380">
        <f>IF(H50,Wh_hp,'2021'!Maxi_hp)</f>
        <v>37.591562892350396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2.922096380795236E-2</v>
      </c>
      <c r="M50" s="959"/>
      <c r="N50" s="959"/>
      <c r="O50" s="48">
        <f>IF(t&lt;Tnet,'2021'!Resal+('2021'!Salim-'2021'!Resal)*(1-EXP(('2021'!Tnet-t)/('2021'!Tau_j))),Resal+(Salim-Resal)*(1-EXP((Tnet-t)/(Tau_j))))*Salcycl</f>
        <v>3.9172162070994478E-2</v>
      </c>
      <c r="P50" s="339">
        <f>(INDEX(Models!$BJ50:$BT50,,T50)*(1-R50)+INDEX(Models!$BJ50:$BT50,,T50+1)*R50-ERP_i)*Q50*Ramure*Pc/MaxiM</f>
        <v>8.757670698244539E-4</v>
      </c>
      <c r="Q50" s="305">
        <f t="shared" si="4"/>
        <v>0.7</v>
      </c>
      <c r="R50" s="177">
        <f t="shared" si="5"/>
        <v>2.2669074104469762E-3</v>
      </c>
      <c r="S50" s="921">
        <f t="shared" si="6"/>
        <v>0</v>
      </c>
      <c r="T50" s="176">
        <f t="shared" si="7"/>
        <v>6</v>
      </c>
      <c r="U50" s="251">
        <f t="shared" si="20"/>
        <v>2.2669074104469762E-3</v>
      </c>
      <c r="V50" s="383">
        <f t="shared" si="8"/>
        <v>35.800269556102542</v>
      </c>
      <c r="W50" s="402">
        <f t="shared" si="9"/>
        <v>0</v>
      </c>
      <c r="X50" s="157">
        <f t="shared" si="10"/>
        <v>44597</v>
      </c>
      <c r="Y50" s="385">
        <f t="shared" si="11"/>
        <v>10.140582315962453</v>
      </c>
      <c r="Z50" s="385">
        <f t="shared" si="21"/>
        <v>10.445819221374654</v>
      </c>
      <c r="AA50" s="386">
        <f t="shared" si="12"/>
        <v>11.578646338328474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9.7837612778952754E-2</v>
      </c>
      <c r="AD50" s="231">
        <f>(INDEX(Models!$BJ50:$BT50,,AH50)*(1-AF50)+INDEX(Models!$BJ50:$BT50,,AH50+1)*AF50-ERP_i)*AE50*Ramure*Pc/MaxiM</f>
        <v>8.757670698244539E-4</v>
      </c>
      <c r="AE50" s="305">
        <f t="shared" si="14"/>
        <v>0.7</v>
      </c>
      <c r="AF50" s="177">
        <f t="shared" si="22"/>
        <v>2.2669074104469762E-3</v>
      </c>
      <c r="AG50" s="921">
        <f t="shared" si="23"/>
        <v>0</v>
      </c>
      <c r="AH50" s="176">
        <f t="shared" si="15"/>
        <v>6</v>
      </c>
      <c r="AI50" s="225">
        <f t="shared" si="24"/>
        <v>2.2669074104469762E-3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092">
        <v>23.829000000000001</v>
      </c>
      <c r="C51" s="955"/>
      <c r="D51" s="393">
        <f t="shared" si="0"/>
        <v>24.546803174860607</v>
      </c>
      <c r="E51" s="385">
        <f t="shared" si="1"/>
        <v>25.553413057965756</v>
      </c>
      <c r="F51" s="385">
        <f t="shared" si="2"/>
        <v>25.564869356682664</v>
      </c>
      <c r="G51" s="110">
        <f t="shared" si="19"/>
        <v>0.65960834365687393</v>
      </c>
      <c r="H51" s="414" t="b">
        <f>Wh_hp&gt;='2021'!Maxi_hp</f>
        <v>0</v>
      </c>
      <c r="I51" s="380">
        <f>IF(H51,Wh_hp,'2021'!Maxi_hp)</f>
        <v>39.747861870771352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2.924222636028373E-2</v>
      </c>
      <c r="M51" s="959"/>
      <c r="N51" s="959"/>
      <c r="O51" s="48">
        <f>IF(t&lt;Tnet,'2021'!Resal+('2021'!Salim-'2021'!Resal)*(1-EXP(('2021'!Tnet-t)/('2021'!Tau_j))),Resal+(Salim-Resal)*(1-EXP((Tnet-t)/(Tau_j))))*Salcycl</f>
        <v>3.939238491632184E-2</v>
      </c>
      <c r="P51" s="339">
        <f>(INDEX(Models!$BJ51:$BT51,,T51)*(1-R51)+INDEX(Models!$BJ51:$BT51,,T51+1)*R51-ERP_i)*Q51*Ramure*Pc/MaxiM</f>
        <v>8.7162866948731546E-4</v>
      </c>
      <c r="Q51" s="305">
        <f t="shared" si="4"/>
        <v>0.7</v>
      </c>
      <c r="R51" s="177">
        <f t="shared" si="5"/>
        <v>2.3888937400411256E-3</v>
      </c>
      <c r="S51" s="921">
        <f t="shared" si="6"/>
        <v>0</v>
      </c>
      <c r="T51" s="176">
        <f t="shared" si="7"/>
        <v>6</v>
      </c>
      <c r="U51" s="251">
        <f t="shared" si="20"/>
        <v>2.3888937400411256E-3</v>
      </c>
      <c r="V51" s="383">
        <f t="shared" si="8"/>
        <v>36.11067700184207</v>
      </c>
      <c r="W51" s="402">
        <f t="shared" si="9"/>
        <v>0</v>
      </c>
      <c r="X51" s="157">
        <f t="shared" si="10"/>
        <v>44598</v>
      </c>
      <c r="Y51" s="385">
        <f t="shared" si="11"/>
        <v>22.375048935636965</v>
      </c>
      <c r="Z51" s="385">
        <f t="shared" si="21"/>
        <v>23.049054607870865</v>
      </c>
      <c r="AA51" s="386">
        <f t="shared" si="12"/>
        <v>25.553413057965756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9.8004851422937675E-2</v>
      </c>
      <c r="AD51" s="231">
        <f>(INDEX(Models!$BJ51:$BT51,,AH51)*(1-AF51)+INDEX(Models!$BJ51:$BT51,,AH51+1)*AF51-ERP_i)*AE51*Ramure*Pc/MaxiM</f>
        <v>8.7162866948731546E-4</v>
      </c>
      <c r="AE51" s="305">
        <f t="shared" si="14"/>
        <v>0.7</v>
      </c>
      <c r="AF51" s="177">
        <f t="shared" si="22"/>
        <v>2.3888937400411256E-3</v>
      </c>
      <c r="AG51" s="921">
        <f t="shared" si="23"/>
        <v>0</v>
      </c>
      <c r="AH51" s="176">
        <f t="shared" si="15"/>
        <v>6</v>
      </c>
      <c r="AI51" s="225">
        <f t="shared" si="24"/>
        <v>2.3888937400411256E-3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092">
        <v>9.3830000000000009</v>
      </c>
      <c r="C52" s="955"/>
      <c r="D52" s="393">
        <f t="shared" si="0"/>
        <v>9.665856685443984</v>
      </c>
      <c r="E52" s="385">
        <f t="shared" si="1"/>
        <v>10.064537729044019</v>
      </c>
      <c r="F52" s="385">
        <f t="shared" si="2"/>
        <v>10.064537729044019</v>
      </c>
      <c r="G52" s="110">
        <f t="shared" si="19"/>
        <v>0.25738677683326172</v>
      </c>
      <c r="H52" s="414" t="b">
        <f>Wh_hp&gt;='2021'!Maxi_hp</f>
        <v>0</v>
      </c>
      <c r="I52" s="380">
        <f>IF(H52,Wh_hp,'2021'!Maxi_hp)</f>
        <v>25.290736794333089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2.9263488446910513E-2</v>
      </c>
      <c r="M52" s="959"/>
      <c r="N52" s="959"/>
      <c r="O52" s="48">
        <f>IF(t&lt;Tnet,'2021'!Resal+('2021'!Salim-'2021'!Resal)*(1-EXP(('2021'!Tnet-t)/('2021'!Tau_j))),Resal+(Salim-Resal)*(1-EXP((Tnet-t)/(Tau_j))))*Salcycl</f>
        <v>3.9612454573996939E-2</v>
      </c>
      <c r="P52" s="339">
        <f>(INDEX(Models!$BJ52:$BT52,,T52)*(1-R52)+INDEX(Models!$BJ52:$BT52,,T52+1)*R52-ERP_i)*Q52*Ramure*Pc/MaxiM</f>
        <v>8.6858751149031211E-4</v>
      </c>
      <c r="Q52" s="305">
        <f t="shared" si="4"/>
        <v>0.7</v>
      </c>
      <c r="R52" s="177">
        <f t="shared" si="5"/>
        <v>2.5159340749425925E-3</v>
      </c>
      <c r="S52" s="921">
        <f t="shared" si="6"/>
        <v>0</v>
      </c>
      <c r="T52" s="176">
        <f t="shared" si="7"/>
        <v>6</v>
      </c>
      <c r="U52" s="251">
        <f t="shared" si="20"/>
        <v>2.5159340749425925E-3</v>
      </c>
      <c r="V52" s="383">
        <f t="shared" si="8"/>
        <v>36.423199974460339</v>
      </c>
      <c r="W52" s="402">
        <f t="shared" si="9"/>
        <v>0</v>
      </c>
      <c r="X52" s="157">
        <f t="shared" si="10"/>
        <v>44599</v>
      </c>
      <c r="Y52" s="385">
        <f t="shared" si="11"/>
        <v>8.8108719316882258</v>
      </c>
      <c r="Z52" s="385">
        <f t="shared" si="21"/>
        <v>9.0764814414898627</v>
      </c>
      <c r="AA52" s="386">
        <f t="shared" si="12"/>
        <v>10.064537729044019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9.8172048647882468E-2</v>
      </c>
      <c r="AD52" s="231">
        <f>(INDEX(Models!$BJ52:$BT52,,AH52)*(1-AF52)+INDEX(Models!$BJ52:$BT52,,AH52+1)*AF52-ERP_i)*AE52*Ramure*Pc/MaxiM</f>
        <v>8.6858751149031211E-4</v>
      </c>
      <c r="AE52" s="305">
        <f t="shared" si="14"/>
        <v>0.7</v>
      </c>
      <c r="AF52" s="177">
        <f t="shared" si="22"/>
        <v>2.5159340749425925E-3</v>
      </c>
      <c r="AG52" s="921">
        <f t="shared" si="23"/>
        <v>0</v>
      </c>
      <c r="AH52" s="176">
        <f t="shared" si="15"/>
        <v>6</v>
      </c>
      <c r="AI52" s="225">
        <f t="shared" si="24"/>
        <v>2.5159340749425925E-3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092">
        <v>36.234999999999999</v>
      </c>
      <c r="C53" s="955"/>
      <c r="D53" s="393">
        <f t="shared" si="0"/>
        <v>37.328145408792601</v>
      </c>
      <c r="E53" s="385">
        <f t="shared" si="1"/>
        <v>38.876696282925245</v>
      </c>
      <c r="F53" s="385">
        <f t="shared" si="2"/>
        <v>38.909731663461848</v>
      </c>
      <c r="G53" s="110">
        <f t="shared" si="19"/>
        <v>0.98630892805578241</v>
      </c>
      <c r="H53" s="414" t="b">
        <f>Wh_hp&gt;='2021'!Maxi_hp</f>
        <v>1</v>
      </c>
      <c r="I53" s="380">
        <f>IF(H53,Wh_hp,'2021'!Maxi_hp)</f>
        <v>38.909731663461848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2.9284750067843146E-2</v>
      </c>
      <c r="M53" s="959"/>
      <c r="N53" s="959"/>
      <c r="O53" s="48">
        <f>IF(t&lt;Tnet,'2021'!Resal+('2021'!Salim-'2021'!Resal)*(1-EXP(('2021'!Tnet-t)/('2021'!Tau_j))),Resal+(Salim-Resal)*(1-EXP((Tnet-t)/(Tau_j))))*Salcycl</f>
        <v>3.9832368030016378E-2</v>
      </c>
      <c r="P53" s="339">
        <f>(INDEX(Models!$BJ53:$BT53,,T53)*(1-R53)+INDEX(Models!$BJ53:$BT53,,T53+1)*R53-ERP_i)*Q53*Ramure*Pc/MaxiM</f>
        <v>8.6594219599139669E-4</v>
      </c>
      <c r="Q53" s="305">
        <f t="shared" si="4"/>
        <v>0.7</v>
      </c>
      <c r="R53" s="177">
        <f t="shared" si="5"/>
        <v>2.6482350483088548E-3</v>
      </c>
      <c r="S53" s="921">
        <f t="shared" si="6"/>
        <v>0</v>
      </c>
      <c r="T53" s="176">
        <f t="shared" si="7"/>
        <v>6</v>
      </c>
      <c r="U53" s="251">
        <f t="shared" si="20"/>
        <v>2.6482350483088548E-3</v>
      </c>
      <c r="V53" s="383">
        <f t="shared" si="8"/>
        <v>36.737360370902962</v>
      </c>
      <c r="W53" s="402">
        <f t="shared" si="9"/>
        <v>0</v>
      </c>
      <c r="X53" s="157">
        <f t="shared" si="10"/>
        <v>44600</v>
      </c>
      <c r="Y53" s="385">
        <f t="shared" si="11"/>
        <v>34.027057530366086</v>
      </c>
      <c r="Z53" s="385">
        <f t="shared" si="21"/>
        <v>35.053593247601945</v>
      </c>
      <c r="AA53" s="386">
        <f t="shared" si="12"/>
        <v>38.876696282925245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9.833919547845979E-2</v>
      </c>
      <c r="AD53" s="231">
        <f>(INDEX(Models!$BJ53:$BT53,,AH53)*(1-AF53)+INDEX(Models!$BJ53:$BT53,,AH53+1)*AF53-ERP_i)*AE53*Ramure*Pc/MaxiM</f>
        <v>8.6594219599139669E-4</v>
      </c>
      <c r="AE53" s="305">
        <f t="shared" si="14"/>
        <v>0.7</v>
      </c>
      <c r="AF53" s="177">
        <f t="shared" si="22"/>
        <v>2.6482350483088548E-3</v>
      </c>
      <c r="AG53" s="921">
        <f t="shared" si="23"/>
        <v>0</v>
      </c>
      <c r="AH53" s="176">
        <f t="shared" si="15"/>
        <v>6</v>
      </c>
      <c r="AI53" s="225">
        <f t="shared" si="24"/>
        <v>2.6482350483088548E-3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092">
        <v>36.31</v>
      </c>
      <c r="C54" s="955"/>
      <c r="D54" s="393">
        <f t="shared" si="0"/>
        <v>37.406227317582598</v>
      </c>
      <c r="E54" s="385">
        <f t="shared" si="1"/>
        <v>38.966935781944926</v>
      </c>
      <c r="F54" s="385">
        <f t="shared" si="2"/>
        <v>38.999655191950957</v>
      </c>
      <c r="G54" s="110">
        <f t="shared" si="19"/>
        <v>0.97993250374562479</v>
      </c>
      <c r="H54" s="414" t="b">
        <f>Wh_hp&gt;='2021'!Maxi_hp</f>
        <v>1</v>
      </c>
      <c r="I54" s="380">
        <f>IF(H54,Wh_hp,'2021'!Maxi_hp)</f>
        <v>38.999655191950957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2.9306011223091732E-2</v>
      </c>
      <c r="M54" s="959"/>
      <c r="N54" s="959"/>
      <c r="O54" s="48">
        <f>IF(t&lt;Tnet,'2021'!Resal+('2021'!Salim-'2021'!Resal)*(1-EXP(('2021'!Tnet-t)/('2021'!Tau_j))),Resal+(Salim-Resal)*(1-EXP((Tnet-t)/(Tau_j))))*Salcycl</f>
        <v>4.0052121960420371E-2</v>
      </c>
      <c r="P54" s="339">
        <f>(INDEX(Models!$BJ54:$BT54,,T54)*(1-R54)+INDEX(Models!$BJ54:$BT54,,T54+1)*R54-ERP_i)*Q54*Ramure*Pc/MaxiM</f>
        <v>8.6369706054100946E-4</v>
      </c>
      <c r="Q54" s="305">
        <f t="shared" si="4"/>
        <v>0.7</v>
      </c>
      <c r="R54" s="177">
        <f t="shared" si="5"/>
        <v>2.7860115068999874E-3</v>
      </c>
      <c r="S54" s="921">
        <f t="shared" si="6"/>
        <v>0</v>
      </c>
      <c r="T54" s="176">
        <f t="shared" si="7"/>
        <v>6</v>
      </c>
      <c r="U54" s="251">
        <f t="shared" si="20"/>
        <v>2.7860115068999874E-3</v>
      </c>
      <c r="V54" s="383">
        <f t="shared" si="8"/>
        <v>37.052655306318051</v>
      </c>
      <c r="W54" s="402">
        <f t="shared" si="9"/>
        <v>0</v>
      </c>
      <c r="X54" s="157">
        <f t="shared" si="10"/>
        <v>44601</v>
      </c>
      <c r="Y54" s="385">
        <f t="shared" si="11"/>
        <v>34.098973118818073</v>
      </c>
      <c r="Z54" s="385">
        <f t="shared" si="21"/>
        <v>35.128447804424326</v>
      </c>
      <c r="AA54" s="386">
        <f t="shared" si="12"/>
        <v>38.966935781944926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9.8506282326134065E-2</v>
      </c>
      <c r="AD54" s="231">
        <f>(INDEX(Models!$BJ54:$BT54,,AH54)*(1-AF54)+INDEX(Models!$BJ54:$BT54,,AH54+1)*AF54-ERP_i)*AE54*Ramure*Pc/MaxiM</f>
        <v>8.6369706054100946E-4</v>
      </c>
      <c r="AE54" s="305">
        <f t="shared" si="14"/>
        <v>0.7</v>
      </c>
      <c r="AF54" s="177">
        <f t="shared" si="22"/>
        <v>2.7860115068999874E-3</v>
      </c>
      <c r="AG54" s="921">
        <f t="shared" si="23"/>
        <v>0</v>
      </c>
      <c r="AH54" s="176">
        <f t="shared" si="15"/>
        <v>6</v>
      </c>
      <c r="AI54" s="225">
        <f t="shared" si="24"/>
        <v>2.7860115068999874E-3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092">
        <v>33.731999999999999</v>
      </c>
      <c r="C55" s="955"/>
      <c r="D55" s="393">
        <f t="shared" si="0"/>
        <v>34.751156619458513</v>
      </c>
      <c r="E55" s="385">
        <f t="shared" si="1"/>
        <v>36.209369966582209</v>
      </c>
      <c r="F55" s="385">
        <f t="shared" si="2"/>
        <v>36.23625864148525</v>
      </c>
      <c r="G55" s="110">
        <f t="shared" si="19"/>
        <v>0.90257518773274714</v>
      </c>
      <c r="H55" s="414" t="b">
        <f>Wh_hp&gt;='2021'!Maxi_hp</f>
        <v>1</v>
      </c>
      <c r="I55" s="380">
        <f>IF(H55,Wh_hp,'2021'!Maxi_hp)</f>
        <v>36.23625864148525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2.9327271912666375E-2</v>
      </c>
      <c r="M55" s="959"/>
      <c r="N55" s="959"/>
      <c r="O55" s="48">
        <f>IF(t&lt;Tnet,'2021'!Resal+('2021'!Salim-'2021'!Resal)*(1-EXP(('2021'!Tnet-t)/('2021'!Tau_j))),Resal+(Salim-Resal)*(1-EXP((Tnet-t)/(Tau_j))))*Salcycl</f>
        <v>4.0271712776816702E-2</v>
      </c>
      <c r="P55" s="339">
        <f>(INDEX(Models!$BJ55:$BT55,,T55)*(1-R55)+INDEX(Models!$BJ55:$BT55,,T55+1)*R55-ERP_i)*Q55*Ramure*Pc/MaxiM</f>
        <v>8.6185626119059729E-4</v>
      </c>
      <c r="Q55" s="305">
        <f t="shared" si="4"/>
        <v>0.7</v>
      </c>
      <c r="R55" s="177">
        <f t="shared" si="5"/>
        <v>2.9294868175624945E-3</v>
      </c>
      <c r="S55" s="921">
        <f t="shared" si="6"/>
        <v>0</v>
      </c>
      <c r="T55" s="176">
        <f t="shared" si="7"/>
        <v>6</v>
      </c>
      <c r="U55" s="251">
        <f t="shared" si="20"/>
        <v>2.9294868175624945E-3</v>
      </c>
      <c r="V55" s="383">
        <f t="shared" si="8"/>
        <v>37.368582409440975</v>
      </c>
      <c r="W55" s="402">
        <f t="shared" si="9"/>
        <v>0</v>
      </c>
      <c r="X55" s="157">
        <f t="shared" si="10"/>
        <v>44602</v>
      </c>
      <c r="Y55" s="385">
        <f t="shared" si="11"/>
        <v>31.679333285430847</v>
      </c>
      <c r="Z55" s="385">
        <f t="shared" si="21"/>
        <v>32.636471973260782</v>
      </c>
      <c r="AA55" s="386">
        <f t="shared" si="12"/>
        <v>36.209369966582209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9.8673299110668633E-2</v>
      </c>
      <c r="AD55" s="231">
        <f>(INDEX(Models!$BJ55:$BT55,,AH55)*(1-AF55)+INDEX(Models!$BJ55:$BT55,,AH55+1)*AF55-ERP_i)*AE55*Ramure*Pc/MaxiM</f>
        <v>8.6185626119059729E-4</v>
      </c>
      <c r="AE55" s="305">
        <f t="shared" si="14"/>
        <v>0.7</v>
      </c>
      <c r="AF55" s="177">
        <f t="shared" si="22"/>
        <v>2.9294868175624945E-3</v>
      </c>
      <c r="AG55" s="921">
        <f t="shared" si="23"/>
        <v>0</v>
      </c>
      <c r="AH55" s="176">
        <f t="shared" si="15"/>
        <v>6</v>
      </c>
      <c r="AI55" s="225">
        <f t="shared" si="24"/>
        <v>2.9294868175624945E-3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092">
        <v>16.978000000000002</v>
      </c>
      <c r="C56" s="955"/>
      <c r="D56" s="393">
        <f t="shared" si="0"/>
        <v>17.491345309940769</v>
      </c>
      <c r="E56" s="385">
        <f t="shared" si="1"/>
        <v>18.229477578111098</v>
      </c>
      <c r="F56" s="385">
        <f t="shared" si="2"/>
        <v>18.232851130045081</v>
      </c>
      <c r="G56" s="110">
        <f t="shared" si="19"/>
        <v>0.4502240450104158</v>
      </c>
      <c r="H56" s="414" t="b">
        <f>Wh_hp&gt;='2021'!Maxi_hp</f>
        <v>0</v>
      </c>
      <c r="I56" s="380">
        <f>IF(H56,Wh_hp,'2021'!Maxi_hp)</f>
        <v>32.069160070810902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2.9348532136577399E-2</v>
      </c>
      <c r="M56" s="959"/>
      <c r="N56" s="959"/>
      <c r="O56" s="48">
        <f>IF(t&lt;Tnet,'2021'!Resal+('2021'!Salim-'2021'!Resal)*(1-EXP(('2021'!Tnet-t)/('2021'!Tau_j))),Resal+(Salim-Resal)*(1-EXP((Tnet-t)/(Tau_j))))*Salcycl</f>
        <v>4.0491136677259225E-2</v>
      </c>
      <c r="P56" s="339">
        <f>(INDEX(Models!$BJ56:$BT56,,T56)*(1-R56)+INDEX(Models!$BJ56:$BT56,,T56+1)*R56-ERP_i)*Q56*Ramure*Pc/MaxiM</f>
        <v>8.6042386121959068E-4</v>
      </c>
      <c r="Q56" s="305">
        <f t="shared" si="4"/>
        <v>0.7</v>
      </c>
      <c r="R56" s="177">
        <f t="shared" si="5"/>
        <v>3.0788931834236999E-3</v>
      </c>
      <c r="S56" s="921">
        <f t="shared" si="6"/>
        <v>0</v>
      </c>
      <c r="T56" s="176">
        <f t="shared" si="7"/>
        <v>6</v>
      </c>
      <c r="U56" s="251">
        <f t="shared" si="20"/>
        <v>3.0788931834236999E-3</v>
      </c>
      <c r="V56" s="383">
        <f t="shared" si="8"/>
        <v>37.6846398175894</v>
      </c>
      <c r="W56" s="402">
        <f t="shared" si="9"/>
        <v>0</v>
      </c>
      <c r="X56" s="157">
        <f t="shared" si="10"/>
        <v>44603</v>
      </c>
      <c r="Y56" s="385">
        <f t="shared" si="11"/>
        <v>15.945543671722039</v>
      </c>
      <c r="Z56" s="385">
        <f t="shared" si="21"/>
        <v>16.427671723220108</v>
      </c>
      <c r="AA56" s="386">
        <f t="shared" si="12"/>
        <v>18.229477578111098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9.8840235391851994E-2</v>
      </c>
      <c r="AD56" s="231">
        <f>(INDEX(Models!$BJ56:$BT56,,AH56)*(1-AF56)+INDEX(Models!$BJ56:$BT56,,AH56+1)*AF56-ERP_i)*AE56*Ramure*Pc/MaxiM</f>
        <v>8.6042386121959068E-4</v>
      </c>
      <c r="AE56" s="305">
        <f t="shared" si="14"/>
        <v>0.7</v>
      </c>
      <c r="AF56" s="177">
        <f t="shared" si="22"/>
        <v>3.0788931834236999E-3</v>
      </c>
      <c r="AG56" s="921">
        <f t="shared" si="23"/>
        <v>0</v>
      </c>
      <c r="AH56" s="176">
        <f t="shared" si="15"/>
        <v>6</v>
      </c>
      <c r="AI56" s="225">
        <f t="shared" si="24"/>
        <v>3.0788931834236999E-3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092">
        <v>28.234000000000002</v>
      </c>
      <c r="C57" s="955"/>
      <c r="D57" s="393">
        <f t="shared" si="0"/>
        <v>29.088317841577961</v>
      </c>
      <c r="E57" s="385">
        <f t="shared" si="1"/>
        <v>30.32276960921153</v>
      </c>
      <c r="F57" s="385">
        <f t="shared" si="2"/>
        <v>30.33927029120802</v>
      </c>
      <c r="G57" s="110">
        <f t="shared" si="19"/>
        <v>0.74275905677484422</v>
      </c>
      <c r="H57" s="414" t="b">
        <f>Wh_hp&gt;='2021'!Maxi_hp</f>
        <v>0</v>
      </c>
      <c r="I57" s="380">
        <f>IF(H57,Wh_hp,'2021'!Maxi_hp)</f>
        <v>40.986650074876621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2.9369791894834907E-2</v>
      </c>
      <c r="M57" s="959"/>
      <c r="N57" s="959"/>
      <c r="O57" s="48">
        <f>IF(t&lt;Tnet,'2021'!Resal+('2021'!Salim-'2021'!Resal)*(1-EXP(('2021'!Tnet-t)/('2021'!Tau_j))),Resal+(Salim-Resal)*(1-EXP((Tnet-t)/(Tau_j))))*Salcycl</f>
        <v>4.0710389701954078E-2</v>
      </c>
      <c r="P57" s="339">
        <f>(INDEX(Models!$BJ57:$BT57,,T57)*(1-R57)+INDEX(Models!$BJ57:$BT57,,T57+1)*R57-ERP_i)*Q57*Ramure*Pc/MaxiM</f>
        <v>8.594039184521144E-4</v>
      </c>
      <c r="Q57" s="305">
        <f t="shared" si="4"/>
        <v>0.7</v>
      </c>
      <c r="R57" s="177">
        <f t="shared" si="5"/>
        <v>3.2344719699465415E-3</v>
      </c>
      <c r="S57" s="921">
        <f t="shared" si="6"/>
        <v>0</v>
      </c>
      <c r="T57" s="176">
        <f t="shared" si="7"/>
        <v>6</v>
      </c>
      <c r="U57" s="251">
        <f t="shared" si="20"/>
        <v>3.2344719699465415E-3</v>
      </c>
      <c r="V57" s="383">
        <f t="shared" si="8"/>
        <v>38.000326174071411</v>
      </c>
      <c r="W57" s="402">
        <f t="shared" si="9"/>
        <v>0</v>
      </c>
      <c r="X57" s="157">
        <f t="shared" si="10"/>
        <v>44604</v>
      </c>
      <c r="Y57" s="385">
        <f t="shared" si="11"/>
        <v>26.518200359721124</v>
      </c>
      <c r="Z57" s="385">
        <f t="shared" si="21"/>
        <v>27.320600717227986</v>
      </c>
      <c r="AA57" s="386">
        <f t="shared" si="12"/>
        <v>30.32276960921153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9.9007080509939213E-2</v>
      </c>
      <c r="AD57" s="231">
        <f>(INDEX(Models!$BJ57:$BT57,,AH57)*(1-AF57)+INDEX(Models!$BJ57:$BT57,,AH57+1)*AF57-ERP_i)*AE57*Ramure*Pc/MaxiM</f>
        <v>8.594039184521144E-4</v>
      </c>
      <c r="AE57" s="305">
        <f t="shared" si="14"/>
        <v>0.7</v>
      </c>
      <c r="AF57" s="177">
        <f t="shared" si="22"/>
        <v>3.2344719699465415E-3</v>
      </c>
      <c r="AG57" s="921">
        <f t="shared" si="23"/>
        <v>0</v>
      </c>
      <c r="AH57" s="176">
        <f t="shared" si="15"/>
        <v>6</v>
      </c>
      <c r="AI57" s="225">
        <f t="shared" si="24"/>
        <v>3.2344719699465415E-3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092">
        <v>34.497999999999998</v>
      </c>
      <c r="C58" s="955"/>
      <c r="D58" s="393">
        <f t="shared" si="0"/>
        <v>35.542635416874191</v>
      </c>
      <c r="E58" s="385">
        <f t="shared" si="1"/>
        <v>37.059459365404678</v>
      </c>
      <c r="F58" s="385">
        <f t="shared" si="2"/>
        <v>37.086774143276287</v>
      </c>
      <c r="G58" s="110">
        <f t="shared" si="19"/>
        <v>0.90026494870675622</v>
      </c>
      <c r="H58" s="414" t="b">
        <f>Wh_hp&gt;='2021'!Maxi_hp</f>
        <v>0</v>
      </c>
      <c r="I58" s="380">
        <f>IF(H58,Wh_hp,'2021'!Maxi_hp)</f>
        <v>42.930559585857665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2.9391051187449113E-2</v>
      </c>
      <c r="M58" s="959"/>
      <c r="N58" s="959"/>
      <c r="O58" s="48">
        <f>IF(t&lt;Tnet,'2021'!Resal+('2021'!Salim-'2021'!Resal)*(1-EXP(('2021'!Tnet-t)/('2021'!Tau_j))),Resal+(Salim-Resal)*(1-EXP((Tnet-t)/(Tau_j))))*Salcycl</f>
        <v>4.0929467793220341E-2</v>
      </c>
      <c r="P58" s="339">
        <f>(INDEX(Models!$BJ58:$BT58,,T58)*(1-R58)+INDEX(Models!$BJ58:$BT58,,T58+1)*R58-ERP_i)*Q58*Ramure*Pc/MaxiM</f>
        <v>8.5872479716851571E-4</v>
      </c>
      <c r="Q58" s="305">
        <f t="shared" si="4"/>
        <v>0.7</v>
      </c>
      <c r="R58" s="177">
        <f t="shared" si="5"/>
        <v>3.396474040985724E-3</v>
      </c>
      <c r="S58" s="921">
        <f t="shared" si="6"/>
        <v>0</v>
      </c>
      <c r="T58" s="176">
        <f t="shared" si="7"/>
        <v>6</v>
      </c>
      <c r="U58" s="251">
        <f t="shared" si="20"/>
        <v>3.396474040985724E-3</v>
      </c>
      <c r="V58" s="383">
        <f t="shared" si="8"/>
        <v>38.315143529621217</v>
      </c>
      <c r="W58" s="402">
        <f t="shared" si="9"/>
        <v>0</v>
      </c>
      <c r="X58" s="157">
        <f t="shared" si="10"/>
        <v>44605</v>
      </c>
      <c r="Y58" s="385">
        <f t="shared" si="11"/>
        <v>32.402936369387284</v>
      </c>
      <c r="Z58" s="385">
        <f t="shared" si="21"/>
        <v>33.38413107465086</v>
      </c>
      <c r="AA58" s="386">
        <f t="shared" si="12"/>
        <v>37.059459365404678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9.9173823733239991E-2</v>
      </c>
      <c r="AD58" s="231">
        <f>(INDEX(Models!$BJ58:$BT58,,AH58)*(1-AF58)+INDEX(Models!$BJ58:$BT58,,AH58+1)*AF58-ERP_i)*AE58*Ramure*Pc/MaxiM</f>
        <v>8.5872479716851571E-4</v>
      </c>
      <c r="AE58" s="305">
        <f t="shared" si="14"/>
        <v>0.7</v>
      </c>
      <c r="AF58" s="177">
        <f t="shared" si="22"/>
        <v>3.396474040985724E-3</v>
      </c>
      <c r="AG58" s="921">
        <f t="shared" si="23"/>
        <v>0</v>
      </c>
      <c r="AH58" s="176">
        <f t="shared" si="15"/>
        <v>6</v>
      </c>
      <c r="AI58" s="225">
        <f t="shared" si="24"/>
        <v>3.396474040985724E-3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092">
        <v>19.135000000000002</v>
      </c>
      <c r="C59" s="955"/>
      <c r="D59" s="393">
        <f t="shared" si="0"/>
        <v>19.714859561308153</v>
      </c>
      <c r="E59" s="385">
        <f t="shared" si="1"/>
        <v>20.560907318610123</v>
      </c>
      <c r="F59" s="385">
        <f t="shared" si="2"/>
        <v>20.565832550709221</v>
      </c>
      <c r="G59" s="110">
        <f t="shared" si="19"/>
        <v>0.4950518160895645</v>
      </c>
      <c r="H59" s="414" t="b">
        <f>Wh_hp&gt;='2021'!Maxi_hp</f>
        <v>0</v>
      </c>
      <c r="I59" s="380">
        <f>IF(H59,Wh_hp,'2021'!Maxi_hp)</f>
        <v>42.898613753230741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2.9412310014430343E-2</v>
      </c>
      <c r="M59" s="959"/>
      <c r="N59" s="959"/>
      <c r="O59" s="48">
        <f>IF(t&lt;Tnet,'2021'!Resal+('2021'!Salim-'2021'!Resal)*(1-EXP(('2021'!Tnet-t)/('2021'!Tau_j))),Resal+(Salim-Resal)*(1-EXP((Tnet-t)/(Tau_j))))*Salcycl</f>
        <v>4.1148366859092476E-2</v>
      </c>
      <c r="P59" s="339">
        <f>(INDEX(Models!$BJ59:$BT59,,T59)*(1-R59)+INDEX(Models!$BJ59:$BT59,,T59+1)*R59-ERP_i)*Q59*Ramure*Pc/MaxiM</f>
        <v>8.5811699664215023E-4</v>
      </c>
      <c r="Q59" s="305">
        <f t="shared" si="4"/>
        <v>0.7</v>
      </c>
      <c r="R59" s="177">
        <f t="shared" si="5"/>
        <v>3.5651601049674271E-3</v>
      </c>
      <c r="S59" s="921">
        <f t="shared" si="6"/>
        <v>0</v>
      </c>
      <c r="T59" s="176">
        <f t="shared" si="7"/>
        <v>6</v>
      </c>
      <c r="U59" s="251">
        <f t="shared" si="20"/>
        <v>3.5651601049674271E-3</v>
      </c>
      <c r="V59" s="383">
        <f t="shared" si="8"/>
        <v>38.62860218197897</v>
      </c>
      <c r="W59" s="402">
        <f t="shared" si="9"/>
        <v>0</v>
      </c>
      <c r="X59" s="157">
        <f t="shared" si="10"/>
        <v>44606</v>
      </c>
      <c r="Y59" s="385">
        <f t="shared" si="11"/>
        <v>17.973709184169817</v>
      </c>
      <c r="Z59" s="385">
        <f t="shared" si="21"/>
        <v>18.518377442472037</v>
      </c>
      <c r="AA59" s="386">
        <f t="shared" si="12"/>
        <v>20.560907318610123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9.9340454411238427E-2</v>
      </c>
      <c r="AD59" s="231">
        <f>(INDEX(Models!$BJ59:$BT59,,AH59)*(1-AF59)+INDEX(Models!$BJ59:$BT59,,AH59+1)*AF59-ERP_i)*AE59*Ramure*Pc/MaxiM</f>
        <v>8.5811699664215023E-4</v>
      </c>
      <c r="AE59" s="305">
        <f t="shared" si="14"/>
        <v>0.7</v>
      </c>
      <c r="AF59" s="177">
        <f t="shared" si="22"/>
        <v>3.5651601049674271E-3</v>
      </c>
      <c r="AG59" s="921">
        <f t="shared" si="23"/>
        <v>0</v>
      </c>
      <c r="AH59" s="176">
        <f t="shared" si="15"/>
        <v>6</v>
      </c>
      <c r="AI59" s="225">
        <f t="shared" si="24"/>
        <v>3.5651601049674271E-3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092">
        <v>18.853999999999999</v>
      </c>
      <c r="C60" s="955"/>
      <c r="D60" s="393">
        <f t="shared" si="0"/>
        <v>19.425769721345549</v>
      </c>
      <c r="E60" s="385">
        <f t="shared" si="1"/>
        <v>20.264033681311286</v>
      </c>
      <c r="F60" s="385">
        <f t="shared" si="2"/>
        <v>20.268607132380037</v>
      </c>
      <c r="G60" s="110">
        <f t="shared" si="19"/>
        <v>0.48387222984303996</v>
      </c>
      <c r="H60" s="414" t="b">
        <f>Wh_hp&gt;='2021'!Maxi_hp</f>
        <v>0</v>
      </c>
      <c r="I60" s="380">
        <f>IF(H60,Wh_hp,'2021'!Maxi_hp)</f>
        <v>43.307632323541206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2.9433568375788699E-2</v>
      </c>
      <c r="M60" s="959"/>
      <c r="N60" s="959"/>
      <c r="O60" s="48">
        <f>IF(t&lt;Tnet,'2021'!Resal+('2021'!Salim-'2021'!Resal)*(1-EXP(('2021'!Tnet-t)/('2021'!Tau_j))),Resal+(Salim-Resal)*(1-EXP((Tnet-t)/(Tau_j))))*Salcycl</f>
        <v>4.1367082839920195E-2</v>
      </c>
      <c r="P60" s="339">
        <f>(INDEX(Models!$BJ60:$BT60,,T60)*(1-R60)+INDEX(Models!$BJ60:$BT60,,T60+1)*R60-ERP_i)*Q60*Ramure*Pc/MaxiM</f>
        <v>8.5759012679872721E-4</v>
      </c>
      <c r="Q60" s="305">
        <f t="shared" si="4"/>
        <v>0.7</v>
      </c>
      <c r="R60" s="177">
        <f t="shared" si="5"/>
        <v>3.7408010712978667E-3</v>
      </c>
      <c r="S60" s="921">
        <f t="shared" si="6"/>
        <v>0</v>
      </c>
      <c r="T60" s="176">
        <f t="shared" si="7"/>
        <v>6</v>
      </c>
      <c r="U60" s="251">
        <f t="shared" si="20"/>
        <v>3.7408010712978667E-3</v>
      </c>
      <c r="V60" s="383">
        <f t="shared" si="8"/>
        <v>38.940202393783117</v>
      </c>
      <c r="W60" s="402">
        <f t="shared" si="9"/>
        <v>0</v>
      </c>
      <c r="X60" s="157">
        <f t="shared" si="10"/>
        <v>44607</v>
      </c>
      <c r="Y60" s="385">
        <f t="shared" si="11"/>
        <v>17.710528641419128</v>
      </c>
      <c r="Z60" s="385">
        <f t="shared" si="21"/>
        <v>18.247621249151525</v>
      </c>
      <c r="AA60" s="386">
        <f t="shared" si="12"/>
        <v>20.264033681311286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9.9506962131602567E-2</v>
      </c>
      <c r="AD60" s="231">
        <f>(INDEX(Models!$BJ60:$BT60,,AH60)*(1-AF60)+INDEX(Models!$BJ60:$BT60,,AH60+1)*AF60-ERP_i)*AE60*Ramure*Pc/MaxiM</f>
        <v>8.5759012679872721E-4</v>
      </c>
      <c r="AE60" s="305">
        <f t="shared" si="14"/>
        <v>0.7</v>
      </c>
      <c r="AF60" s="177">
        <f t="shared" si="22"/>
        <v>3.7408010712978667E-3</v>
      </c>
      <c r="AG60" s="921">
        <f t="shared" si="23"/>
        <v>0</v>
      </c>
      <c r="AH60" s="176">
        <f t="shared" si="15"/>
        <v>6</v>
      </c>
      <c r="AI60" s="225">
        <f t="shared" si="24"/>
        <v>3.7408010712978667E-3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092">
        <v>8.1989999999999998</v>
      </c>
      <c r="C61" s="955"/>
      <c r="D61" s="393">
        <f t="shared" si="0"/>
        <v>8.4478293457506552</v>
      </c>
      <c r="E61" s="385">
        <f t="shared" si="1"/>
        <v>8.814380762184113</v>
      </c>
      <c r="F61" s="385">
        <f t="shared" si="2"/>
        <v>8.814380762184113</v>
      </c>
      <c r="G61" s="110">
        <f t="shared" si="19"/>
        <v>0.20871561912952455</v>
      </c>
      <c r="H61" s="414" t="b">
        <f>Wh_hp&gt;='2021'!Maxi_hp</f>
        <v>0</v>
      </c>
      <c r="I61" s="380">
        <f>IF(H61,Wh_hp,'2021'!Maxi_hp)</f>
        <v>43.625435149292962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2.9454826271534285E-2</v>
      </c>
      <c r="M61" s="959"/>
      <c r="N61" s="959"/>
      <c r="O61" s="48">
        <f>IF(t&lt;Tnet,'2021'!Resal+('2021'!Salim-'2021'!Resal)*(1-EXP(('2021'!Tnet-t)/('2021'!Tau_j))),Resal+(Salim-Resal)*(1-EXP((Tnet-t)/(Tau_j))))*Salcycl</f>
        <v>4.1585611777296264E-2</v>
      </c>
      <c r="P61" s="339">
        <f>(INDEX(Models!$BJ61:$BT61,,T61)*(1-R61)+INDEX(Models!$BJ61:$BT61,,T61+1)*R61-ERP_i)*Q61*Ramure*Pc/MaxiM</f>
        <v>8.5715354415942524E-4</v>
      </c>
      <c r="Q61" s="305">
        <f t="shared" si="4"/>
        <v>0.7</v>
      </c>
      <c r="R61" s="177">
        <f t="shared" si="5"/>
        <v>3.9236784170859455E-3</v>
      </c>
      <c r="S61" s="921">
        <f t="shared" si="6"/>
        <v>0</v>
      </c>
      <c r="T61" s="176">
        <f t="shared" si="7"/>
        <v>6</v>
      </c>
      <c r="U61" s="251">
        <f t="shared" si="20"/>
        <v>3.9236784170859455E-3</v>
      </c>
      <c r="V61" s="383">
        <f t="shared" si="8"/>
        <v>39.249444925382761</v>
      </c>
      <c r="W61" s="402">
        <f t="shared" si="9"/>
        <v>0</v>
      </c>
      <c r="X61" s="157">
        <f t="shared" si="10"/>
        <v>44608</v>
      </c>
      <c r="Y61" s="385">
        <f t="shared" si="11"/>
        <v>7.7020737601972202</v>
      </c>
      <c r="Z61" s="385">
        <f t="shared" si="21"/>
        <v>7.9358220190913729</v>
      </c>
      <c r="AA61" s="386">
        <f t="shared" si="12"/>
        <v>8.814380762184113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9.967333687942953E-2</v>
      </c>
      <c r="AD61" s="231">
        <f>(INDEX(Models!$BJ61:$BT61,,AH61)*(1-AF61)+INDEX(Models!$BJ61:$BT61,,AH61+1)*AF61-ERP_i)*AE61*Ramure*Pc/MaxiM</f>
        <v>8.5715354415942524E-4</v>
      </c>
      <c r="AE61" s="305">
        <f t="shared" si="14"/>
        <v>0.7</v>
      </c>
      <c r="AF61" s="177">
        <f t="shared" si="22"/>
        <v>3.9236784170859455E-3</v>
      </c>
      <c r="AG61" s="921">
        <f t="shared" si="23"/>
        <v>0</v>
      </c>
      <c r="AH61" s="176">
        <f t="shared" si="15"/>
        <v>6</v>
      </c>
      <c r="AI61" s="225">
        <f t="shared" si="24"/>
        <v>3.9236784170859455E-3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092">
        <v>9.58</v>
      </c>
      <c r="C62" s="955"/>
      <c r="D62" s="393">
        <f t="shared" si="0"/>
        <v>9.8709571594475491</v>
      </c>
      <c r="E62" s="385">
        <f t="shared" si="1"/>
        <v>10.301604935919961</v>
      </c>
      <c r="F62" s="385">
        <f t="shared" si="2"/>
        <v>10.301604935919961</v>
      </c>
      <c r="G62" s="110">
        <f t="shared" si="19"/>
        <v>0.24198181279306535</v>
      </c>
      <c r="H62" s="414" t="b">
        <f>Wh_hp&gt;='2021'!Maxi_hp</f>
        <v>0</v>
      </c>
      <c r="I62" s="380">
        <f>IF(H62,Wh_hp,'2021'!Maxi_hp)</f>
        <v>44.343925318135149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2.9476083701677536E-2</v>
      </c>
      <c r="M62" s="959"/>
      <c r="N62" s="959"/>
      <c r="O62" s="48">
        <f>IF(t&lt;Tnet,'2021'!Resal+('2021'!Salim-'2021'!Resal)*(1-EXP(('2021'!Tnet-t)/('2021'!Tau_j))),Resal+(Salim-Resal)*(1-EXP((Tnet-t)/(Tau_j))))*Salcycl</f>
        <v>4.1803949884625727E-2</v>
      </c>
      <c r="P62" s="339">
        <f>(INDEX(Models!$BJ62:$BT62,,T62)*(1-R62)+INDEX(Models!$BJ62:$BT62,,T62+1)*R62-ERP_i)*Q62*Ramure*Pc/MaxiM</f>
        <v>8.5681639808809953E-4</v>
      </c>
      <c r="Q62" s="305">
        <f t="shared" si="4"/>
        <v>0.7</v>
      </c>
      <c r="R62" s="177">
        <f t="shared" si="5"/>
        <v>4.1140845642422801E-3</v>
      </c>
      <c r="S62" s="921">
        <f t="shared" si="6"/>
        <v>0</v>
      </c>
      <c r="T62" s="176">
        <f t="shared" si="7"/>
        <v>6</v>
      </c>
      <c r="U62" s="251">
        <f t="shared" si="20"/>
        <v>4.1140845642422801E-3</v>
      </c>
      <c r="V62" s="383">
        <f t="shared" si="8"/>
        <v>39.555831028887233</v>
      </c>
      <c r="W62" s="402">
        <f t="shared" si="9"/>
        <v>0</v>
      </c>
      <c r="X62" s="157">
        <f t="shared" si="10"/>
        <v>44609</v>
      </c>
      <c r="Y62" s="385">
        <f t="shared" si="11"/>
        <v>8.9997625496928588</v>
      </c>
      <c r="Z62" s="385">
        <f t="shared" si="21"/>
        <v>9.2730971370791906</v>
      </c>
      <c r="AA62" s="386">
        <f t="shared" si="12"/>
        <v>10.301604935919961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9.9839569197080799E-2</v>
      </c>
      <c r="AD62" s="231">
        <f>(INDEX(Models!$BJ62:$BT62,,AH62)*(1-AF62)+INDEX(Models!$BJ62:$BT62,,AH62+1)*AF62-ERP_i)*AE62*Ramure*Pc/MaxiM</f>
        <v>8.5681639808809953E-4</v>
      </c>
      <c r="AE62" s="305">
        <f t="shared" si="14"/>
        <v>0.7</v>
      </c>
      <c r="AF62" s="177">
        <f t="shared" si="22"/>
        <v>4.1140845642422801E-3</v>
      </c>
      <c r="AG62" s="921">
        <f t="shared" si="23"/>
        <v>0</v>
      </c>
      <c r="AH62" s="176">
        <f t="shared" si="15"/>
        <v>6</v>
      </c>
      <c r="AI62" s="225">
        <f t="shared" si="24"/>
        <v>4.1140845642422801E-3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092">
        <v>31.393000000000001</v>
      </c>
      <c r="C63" s="955"/>
      <c r="D63" s="393">
        <f t="shared" si="0"/>
        <v>32.347155052156779</v>
      </c>
      <c r="E63" s="385">
        <f t="shared" si="1"/>
        <v>33.766076270322436</v>
      </c>
      <c r="F63" s="385">
        <f t="shared" si="2"/>
        <v>33.786235821658089</v>
      </c>
      <c r="G63" s="110">
        <f t="shared" si="19"/>
        <v>0.78739918559520139</v>
      </c>
      <c r="H63" s="414" t="b">
        <f>Wh_hp&gt;='2021'!Maxi_hp</f>
        <v>0</v>
      </c>
      <c r="I63" s="380">
        <f>IF(H63,Wh_hp,'2021'!Maxi_hp)</f>
        <v>43.682090944826165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2.9497340666228444E-2</v>
      </c>
      <c r="M63" s="959"/>
      <c r="N63" s="959"/>
      <c r="O63" s="48">
        <f>IF(t&lt;Tnet,'2021'!Resal+('2021'!Salim-'2021'!Resal)*(1-EXP(('2021'!Tnet-t)/('2021'!Tau_j))),Resal+(Salim-Resal)*(1-EXP((Tnet-t)/(Tau_j))))*Salcycl</f>
        <v>4.202209361864092E-2</v>
      </c>
      <c r="P63" s="339">
        <f>(INDEX(Models!$BJ63:$BT63,,T63)*(1-R63)+INDEX(Models!$BJ63:$BT63,,T63+1)*R63-ERP_i)*Q63*Ramure*Pc/MaxiM</f>
        <v>8.5658767739839911E-4</v>
      </c>
      <c r="Q63" s="305">
        <f t="shared" si="4"/>
        <v>0.7</v>
      </c>
      <c r="R63" s="177">
        <f t="shared" si="5"/>
        <v>4.3123232669905519E-3</v>
      </c>
      <c r="S63" s="921">
        <f t="shared" si="6"/>
        <v>0</v>
      </c>
      <c r="T63" s="176">
        <f t="shared" si="7"/>
        <v>6</v>
      </c>
      <c r="U63" s="251">
        <f t="shared" si="20"/>
        <v>4.3123232669905519E-3</v>
      </c>
      <c r="V63" s="383">
        <f t="shared" si="8"/>
        <v>39.858862445632653</v>
      </c>
      <c r="W63" s="402">
        <f t="shared" si="9"/>
        <v>0</v>
      </c>
      <c r="X63" s="157">
        <f t="shared" si="10"/>
        <v>44610</v>
      </c>
      <c r="Y63" s="385">
        <f t="shared" si="11"/>
        <v>29.492874971936228</v>
      </c>
      <c r="Z63" s="385">
        <f t="shared" si="21"/>
        <v>30.38927785337799</v>
      </c>
      <c r="AA63" s="386">
        <f t="shared" si="12"/>
        <v>33.766076270322436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0.10000565034298547</v>
      </c>
      <c r="AD63" s="231">
        <f>(INDEX(Models!$BJ63:$BT63,,AH63)*(1-AF63)+INDEX(Models!$BJ63:$BT63,,AH63+1)*AF63-ERP_i)*AE63*Ramure*Pc/MaxiM</f>
        <v>8.5658767739839911E-4</v>
      </c>
      <c r="AE63" s="305">
        <f t="shared" si="14"/>
        <v>0.7</v>
      </c>
      <c r="AF63" s="177">
        <f t="shared" si="22"/>
        <v>4.3123232669905519E-3</v>
      </c>
      <c r="AG63" s="921">
        <f t="shared" si="23"/>
        <v>0</v>
      </c>
      <c r="AH63" s="176">
        <f t="shared" si="15"/>
        <v>6</v>
      </c>
      <c r="AI63" s="225">
        <f t="shared" si="24"/>
        <v>4.3123232669905519E-3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092">
        <v>19.138999999999999</v>
      </c>
      <c r="C64" s="955"/>
      <c r="D64" s="393">
        <f t="shared" si="0"/>
        <v>19.721140399078699</v>
      </c>
      <c r="E64" s="385">
        <f t="shared" si="1"/>
        <v>20.590900870354769</v>
      </c>
      <c r="F64" s="385">
        <f t="shared" si="2"/>
        <v>20.595350843914449</v>
      </c>
      <c r="G64" s="110">
        <f t="shared" si="19"/>
        <v>0.47628668856953621</v>
      </c>
      <c r="H64" s="414" t="b">
        <f>Wh_hp&gt;='2021'!Maxi_hp</f>
        <v>0</v>
      </c>
      <c r="I64" s="380">
        <f>IF(H64,Wh_hp,'2021'!Maxi_hp)</f>
        <v>40.826390842051637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2.9518597165197225E-2</v>
      </c>
      <c r="M64" s="959"/>
      <c r="N64" s="959"/>
      <c r="O64" s="48">
        <f>IF(t&lt;Tnet,'2021'!Resal+('2021'!Salim-'2021'!Resal)*(1-EXP(('2021'!Tnet-t)/('2021'!Tau_j))),Resal+(Salim-Resal)*(1-EXP((Tnet-t)/(Tau_j))))*Salcycl</f>
        <v>4.2240039751164429E-2</v>
      </c>
      <c r="P64" s="339">
        <f>(INDEX(Models!$BJ64:$BT64,,T64)*(1-R64)+INDEX(Models!$BJ64:$BT64,,T64+1)*R64-ERP_i)*Q64*Ramure*Pc/MaxiM</f>
        <v>8.5647625734139061E-4</v>
      </c>
      <c r="Q64" s="305">
        <f t="shared" si="4"/>
        <v>0.7</v>
      </c>
      <c r="R64" s="177">
        <f t="shared" si="5"/>
        <v>4.5187100097995167E-3</v>
      </c>
      <c r="S64" s="921">
        <f t="shared" si="6"/>
        <v>0</v>
      </c>
      <c r="T64" s="176">
        <f t="shared" si="7"/>
        <v>6</v>
      </c>
      <c r="U64" s="251">
        <f t="shared" si="20"/>
        <v>4.5187100097995167E-3</v>
      </c>
      <c r="V64" s="383">
        <f t="shared" si="8"/>
        <v>40.158041396971626</v>
      </c>
      <c r="W64" s="402">
        <f t="shared" si="9"/>
        <v>0</v>
      </c>
      <c r="X64" s="157">
        <f t="shared" si="10"/>
        <v>44611</v>
      </c>
      <c r="Y64" s="385">
        <f t="shared" si="11"/>
        <v>17.981349179022438</v>
      </c>
      <c r="Z64" s="385">
        <f t="shared" si="21"/>
        <v>18.528277952053923</v>
      </c>
      <c r="AA64" s="386">
        <f t="shared" si="12"/>
        <v>20.590900870354769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0.10017157244783088</v>
      </c>
      <c r="AD64" s="231">
        <f>(INDEX(Models!$BJ64:$BT64,,AH64)*(1-AF64)+INDEX(Models!$BJ64:$BT64,,AH64+1)*AF64-ERP_i)*AE64*Ramure*Pc/MaxiM</f>
        <v>8.5647625734139061E-4</v>
      </c>
      <c r="AE64" s="305">
        <f t="shared" si="14"/>
        <v>0.7</v>
      </c>
      <c r="AF64" s="177">
        <f t="shared" si="22"/>
        <v>4.5187100097995167E-3</v>
      </c>
      <c r="AG64" s="921">
        <f t="shared" si="23"/>
        <v>0</v>
      </c>
      <c r="AH64" s="176">
        <f t="shared" si="15"/>
        <v>6</v>
      </c>
      <c r="AI64" s="225">
        <f t="shared" si="24"/>
        <v>4.5187100097995167E-3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092">
        <v>22.556000000000001</v>
      </c>
      <c r="C65" s="955"/>
      <c r="D65" s="393">
        <f t="shared" si="0"/>
        <v>23.242582474245431</v>
      </c>
      <c r="E65" s="385">
        <f t="shared" si="1"/>
        <v>24.273167408014519</v>
      </c>
      <c r="F65" s="385">
        <f t="shared" si="2"/>
        <v>24.280819445925289</v>
      </c>
      <c r="G65" s="110">
        <f t="shared" si="19"/>
        <v>0.55727095551651362</v>
      </c>
      <c r="H65" s="414" t="b">
        <f>Wh_hp&gt;='2021'!Maxi_hp</f>
        <v>0</v>
      </c>
      <c r="I65" s="380">
        <f>IF(H65,Wh_hp,'2021'!Maxi_hp)</f>
        <v>43.218540620250515</v>
      </c>
      <c r="J65" s="85">
        <f>IF(H65,An,'2021'!An_max)</f>
        <v>2019</v>
      </c>
      <c r="K65" s="197">
        <f t="shared" si="3"/>
        <v>44612</v>
      </c>
      <c r="L65" s="147">
        <f>IF(t&lt;Tvie,1-EXP((T0-t)*PertePVj)+'2021'!Pspv,1-EXP((T0-t)*PertePVj)+Pspv)</f>
        <v>2.9539853198594201E-2</v>
      </c>
      <c r="M65" s="959"/>
      <c r="N65" s="959"/>
      <c r="O65" s="48">
        <f>IF(t&lt;Tnet,'2021'!Resal+('2021'!Salim-'2021'!Resal)*(1-EXP(('2021'!Tnet-t)/('2021'!Tau_j))),Resal+(Salim-Resal)*(1-EXP((Tnet-t)/(Tau_j))))*Salcycl</f>
        <v>4.245778544042865E-2</v>
      </c>
      <c r="P65" s="339">
        <f>(INDEX(Models!$BJ65:$BT65,,T65)*(1-R65)+INDEX(Models!$BJ65:$BT65,,T65+1)*R65-ERP_i)*Q65*Ramure*Pc/MaxiM</f>
        <v>8.5646907188778045E-4</v>
      </c>
      <c r="Q65" s="305">
        <f t="shared" si="4"/>
        <v>0.7</v>
      </c>
      <c r="R65" s="177">
        <f t="shared" si="5"/>
        <v>4.7335724157098026E-3</v>
      </c>
      <c r="S65" s="921">
        <f t="shared" si="6"/>
        <v>0</v>
      </c>
      <c r="T65" s="176">
        <f t="shared" si="7"/>
        <v>6</v>
      </c>
      <c r="U65" s="251">
        <f t="shared" si="20"/>
        <v>4.7335724157098026E-3</v>
      </c>
      <c r="V65" s="383">
        <f t="shared" si="8"/>
        <v>40.453904652236687</v>
      </c>
      <c r="W65" s="402">
        <f t="shared" si="9"/>
        <v>0</v>
      </c>
      <c r="X65" s="157">
        <f t="shared" si="10"/>
        <v>44612</v>
      </c>
      <c r="Y65" s="385">
        <f t="shared" si="11"/>
        <v>21.192581283666559</v>
      </c>
      <c r="Z65" s="385">
        <f t="shared" si="21"/>
        <v>21.837662632016762</v>
      </c>
      <c r="AA65" s="386">
        <f t="shared" si="12"/>
        <v>24.273167408014519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0.1003373286666165</v>
      </c>
      <c r="AD65" s="231">
        <f>(INDEX(Models!$BJ65:$BT65,,AH65)*(1-AF65)+INDEX(Models!$BJ65:$BT65,,AH65+1)*AF65-ERP_i)*AE65*Ramure*Pc/MaxiM</f>
        <v>8.5646907188778045E-4</v>
      </c>
      <c r="AE65" s="305">
        <f t="shared" si="14"/>
        <v>0.7</v>
      </c>
      <c r="AF65" s="177">
        <f t="shared" si="22"/>
        <v>4.7335724157098026E-3</v>
      </c>
      <c r="AG65" s="921">
        <f t="shared" si="23"/>
        <v>0</v>
      </c>
      <c r="AH65" s="176">
        <f t="shared" si="15"/>
        <v>6</v>
      </c>
      <c r="AI65" s="225">
        <f t="shared" si="24"/>
        <v>4.7335724157098026E-3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092">
        <v>22.206</v>
      </c>
      <c r="C66" s="955"/>
      <c r="D66" s="393">
        <f t="shared" si="0"/>
        <v>22.882430002133269</v>
      </c>
      <c r="E66" s="385">
        <f t="shared" si="1"/>
        <v>23.902476013210336</v>
      </c>
      <c r="F66" s="385">
        <f t="shared" si="2"/>
        <v>23.909638869260466</v>
      </c>
      <c r="G66" s="110">
        <f t="shared" si="19"/>
        <v>0.54466381991226742</v>
      </c>
      <c r="H66" s="414" t="b">
        <f>Wh_hp&gt;='2021'!Maxi_hp</f>
        <v>0</v>
      </c>
      <c r="I66" s="380">
        <f>IF(H66,Wh_hp,'2021'!Maxi_hp)</f>
        <v>42.441850727741603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2.9561108766429478E-2</v>
      </c>
      <c r="M66" s="959"/>
      <c r="N66" s="959"/>
      <c r="O66" s="48">
        <f>IF(t&lt;Tnet,'2021'!Resal+('2021'!Salim-'2021'!Resal)*(1-EXP(('2021'!Tnet-t)/('2021'!Tau_j))),Resal+(Salim-Resal)*(1-EXP((Tnet-t)/(Tau_j))))*Salcycl</f>
        <v>4.2675328301273574E-2</v>
      </c>
      <c r="P66" s="339">
        <f>(INDEX(Models!$BJ66:$BT66,,T66)*(1-R66)+INDEX(Models!$BJ66:$BT66,,T66+1)*R66-ERP_i)*Q66*Ramure*Pc/MaxiM</f>
        <v>8.5605832753492728E-4</v>
      </c>
      <c r="Q66" s="305">
        <f t="shared" si="4"/>
        <v>0.7</v>
      </c>
      <c r="R66" s="177">
        <f t="shared" si="5"/>
        <v>4.9572506649964241E-3</v>
      </c>
      <c r="S66" s="921">
        <f t="shared" si="6"/>
        <v>0</v>
      </c>
      <c r="T66" s="176">
        <f t="shared" si="7"/>
        <v>6</v>
      </c>
      <c r="U66" s="251">
        <f t="shared" si="20"/>
        <v>4.9572506649964241E-3</v>
      </c>
      <c r="V66" s="383">
        <f t="shared" si="8"/>
        <v>40.747408463342367</v>
      </c>
      <c r="W66" s="402">
        <f t="shared" si="9"/>
        <v>0</v>
      </c>
      <c r="X66" s="157">
        <f t="shared" si="10"/>
        <v>44613</v>
      </c>
      <c r="Y66" s="385">
        <f t="shared" si="11"/>
        <v>20.864637564661418</v>
      </c>
      <c r="Z66" s="385">
        <f t="shared" si="21"/>
        <v>21.500207538198925</v>
      </c>
      <c r="AA66" s="386">
        <f t="shared" si="12"/>
        <v>23.902476013210336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0.10050291332511883</v>
      </c>
      <c r="AD66" s="231">
        <f>(INDEX(Models!$BJ66:$BT66,,AH66)*(1-AF66)+INDEX(Models!$BJ66:$BT66,,AH66+1)*AF66-ERP_i)*AE66*Ramure*Pc/MaxiM</f>
        <v>8.5605832753492728E-4</v>
      </c>
      <c r="AE66" s="305">
        <f t="shared" si="14"/>
        <v>0.7</v>
      </c>
      <c r="AF66" s="177">
        <f t="shared" si="22"/>
        <v>4.9572506649964241E-3</v>
      </c>
      <c r="AG66" s="921">
        <f t="shared" si="23"/>
        <v>0</v>
      </c>
      <c r="AH66" s="176">
        <f t="shared" si="15"/>
        <v>6</v>
      </c>
      <c r="AI66" s="225">
        <f t="shared" si="24"/>
        <v>4.9572506649964241E-3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092">
        <v>36.356999999999999</v>
      </c>
      <c r="C67" s="955"/>
      <c r="D67" s="393">
        <f t="shared" si="0"/>
        <v>37.465312507038256</v>
      </c>
      <c r="E67" s="385">
        <f t="shared" si="1"/>
        <v>39.144316624341776</v>
      </c>
      <c r="F67" s="385">
        <f t="shared" si="2"/>
        <v>39.172356003954739</v>
      </c>
      <c r="G67" s="110">
        <f t="shared" si="19"/>
        <v>0.88579721636497666</v>
      </c>
      <c r="H67" s="414" t="b">
        <f>Wh_hp&gt;='2021'!Maxi_hp</f>
        <v>0</v>
      </c>
      <c r="I67" s="380">
        <f>IF(H67,Wh_hp,'2021'!Maxi_hp)</f>
        <v>42.464770609772728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2.9582363868713268E-2</v>
      </c>
      <c r="M67" s="959"/>
      <c r="N67" s="959"/>
      <c r="O67" s="48">
        <f>IF(t&lt;Tnet,'2021'!Resal+('2021'!Salim-'2021'!Resal)*(1-EXP(('2021'!Tnet-t)/('2021'!Tau_j))),Resal+(Salim-Resal)*(1-EXP((Tnet-t)/(Tau_j))))*Salcycl</f>
        <v>4.289266647356501E-2</v>
      </c>
      <c r="P67" s="339">
        <f>(INDEX(Models!$BJ67:$BT67,,T67)*(1-R67)+INDEX(Models!$BJ67:$BT67,,T67+1)*R67-ERP_i)*Q67*Ramure*Pc/MaxiM</f>
        <v>8.5516093381682854E-4</v>
      </c>
      <c r="Q67" s="305">
        <f t="shared" si="4"/>
        <v>0.7</v>
      </c>
      <c r="R67" s="177">
        <f t="shared" si="5"/>
        <v>5.1900979240657131E-3</v>
      </c>
      <c r="S67" s="921">
        <f t="shared" si="6"/>
        <v>0</v>
      </c>
      <c r="T67" s="176">
        <f t="shared" si="7"/>
        <v>6</v>
      </c>
      <c r="U67" s="251">
        <f t="shared" si="20"/>
        <v>5.1900979240657131E-3</v>
      </c>
      <c r="V67" s="383">
        <f t="shared" si="8"/>
        <v>41.038658481307138</v>
      </c>
      <c r="W67" s="402">
        <f t="shared" si="9"/>
        <v>0</v>
      </c>
      <c r="X67" s="157">
        <f t="shared" si="10"/>
        <v>44614</v>
      </c>
      <c r="Y67" s="385">
        <f t="shared" si="11"/>
        <v>34.162314580137192</v>
      </c>
      <c r="Z67" s="385">
        <f t="shared" si="21"/>
        <v>35.20372395160738</v>
      </c>
      <c r="AA67" s="386">
        <f t="shared" si="12"/>
        <v>39.144316624341776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0.10066832205940078</v>
      </c>
      <c r="AD67" s="231">
        <f>(INDEX(Models!$BJ67:$BT67,,AH67)*(1-AF67)+INDEX(Models!$BJ67:$BT67,,AH67+1)*AF67-ERP_i)*AE67*Ramure*Pc/MaxiM</f>
        <v>8.5516093381682854E-4</v>
      </c>
      <c r="AE67" s="305">
        <f t="shared" si="14"/>
        <v>0.7</v>
      </c>
      <c r="AF67" s="177">
        <f t="shared" si="22"/>
        <v>5.1900979240657131E-3</v>
      </c>
      <c r="AG67" s="921">
        <f t="shared" si="23"/>
        <v>0</v>
      </c>
      <c r="AH67" s="176">
        <f t="shared" si="15"/>
        <v>6</v>
      </c>
      <c r="AI67" s="225">
        <f t="shared" si="24"/>
        <v>5.1900979240657131E-3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092">
        <v>37.917999999999999</v>
      </c>
      <c r="C68" s="955"/>
      <c r="D68" s="393">
        <f t="shared" si="0"/>
        <v>39.074754113984895</v>
      </c>
      <c r="E68" s="385">
        <f t="shared" si="1"/>
        <v>40.835149174291331</v>
      </c>
      <c r="F68" s="385">
        <f t="shared" si="2"/>
        <v>40.865927341974178</v>
      </c>
      <c r="G68" s="110">
        <f t="shared" si="19"/>
        <v>0.91740235630227063</v>
      </c>
      <c r="H68" s="414" t="b">
        <f>Wh_hp&gt;='2021'!Maxi_hp</f>
        <v>0</v>
      </c>
      <c r="I68" s="380">
        <f>IF(H68,Wh_hp,'2021'!Maxi_hp)</f>
        <v>43.491209699160983</v>
      </c>
      <c r="J68" s="85">
        <f>IF(H68,An,'2021'!An_max)</f>
        <v>2019</v>
      </c>
      <c r="K68" s="197">
        <f t="shared" si="3"/>
        <v>44615</v>
      </c>
      <c r="L68" s="147">
        <f>IF(t&lt;Tvie,1-EXP((T0-t)*PertePVj)+'2021'!Pspv,1-EXP((T0-t)*PertePVj)+Pspv)</f>
        <v>2.9603618505455676E-2</v>
      </c>
      <c r="M68" s="959"/>
      <c r="N68" s="959"/>
      <c r="O68" s="48">
        <f>IF(t&lt;Tnet,'2021'!Resal+('2021'!Salim-'2021'!Resal)*(1-EXP(('2021'!Tnet-t)/('2021'!Tau_j))),Resal+(Salim-Resal)*(1-EXP((Tnet-t)/(Tau_j))))*Salcycl</f>
        <v>4.3109798688202992E-2</v>
      </c>
      <c r="P68" s="339">
        <f>(INDEX(Models!$BJ68:$BT68,,T68)*(1-R68)+INDEX(Models!$BJ68:$BT68,,T68+1)*R68-ERP_i)*Q68*Ramure*Pc/MaxiM</f>
        <v>8.5378038045312707E-4</v>
      </c>
      <c r="Q68" s="305">
        <f t="shared" si="4"/>
        <v>0.7</v>
      </c>
      <c r="R68" s="177">
        <f t="shared" si="5"/>
        <v>5.4324807844435786E-3</v>
      </c>
      <c r="S68" s="921">
        <f t="shared" si="6"/>
        <v>0</v>
      </c>
      <c r="T68" s="176">
        <f t="shared" si="7"/>
        <v>6</v>
      </c>
      <c r="U68" s="251">
        <f t="shared" si="20"/>
        <v>5.4324807844435786E-3</v>
      </c>
      <c r="V68" s="383">
        <f t="shared" si="8"/>
        <v>41.32775674240532</v>
      </c>
      <c r="W68" s="402">
        <f t="shared" si="9"/>
        <v>0</v>
      </c>
      <c r="X68" s="157">
        <f t="shared" si="10"/>
        <v>44615</v>
      </c>
      <c r="Y68" s="385">
        <f t="shared" si="11"/>
        <v>35.630622333189152</v>
      </c>
      <c r="Z68" s="385">
        <f t="shared" si="21"/>
        <v>36.717596038757975</v>
      </c>
      <c r="AA68" s="386">
        <f t="shared" si="12"/>
        <v>40.835149174291331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0.10083355194709689</v>
      </c>
      <c r="AD68" s="231">
        <f>(INDEX(Models!$BJ68:$BT68,,AH68)*(1-AF68)+INDEX(Models!$BJ68:$BT68,,AH68+1)*AF68-ERP_i)*AE68*Ramure*Pc/MaxiM</f>
        <v>8.5378038045312707E-4</v>
      </c>
      <c r="AE68" s="305">
        <f t="shared" si="14"/>
        <v>0.7</v>
      </c>
      <c r="AF68" s="177">
        <f t="shared" si="22"/>
        <v>5.4324807844435786E-3</v>
      </c>
      <c r="AG68" s="921">
        <f t="shared" si="23"/>
        <v>0</v>
      </c>
      <c r="AH68" s="176">
        <f t="shared" si="15"/>
        <v>6</v>
      </c>
      <c r="AI68" s="225">
        <f t="shared" si="24"/>
        <v>5.4324807844435786E-3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092">
        <v>21.565999999999999</v>
      </c>
      <c r="C69" s="955"/>
      <c r="D69" s="393">
        <f t="shared" si="0"/>
        <v>22.224394868289036</v>
      </c>
      <c r="E69" s="385">
        <f t="shared" si="1"/>
        <v>23.230914287562999</v>
      </c>
      <c r="F69" s="385">
        <f t="shared" si="2"/>
        <v>23.237085878086567</v>
      </c>
      <c r="G69" s="110">
        <f t="shared" si="19"/>
        <v>0.51792509467239678</v>
      </c>
      <c r="H69" s="414" t="b">
        <f>Wh_hp&gt;='2021'!Maxi_hp</f>
        <v>0</v>
      </c>
      <c r="I69" s="380">
        <f>IF(H69,Wh_hp,'2021'!Maxi_hp)</f>
        <v>44.144707241290959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2.9624872676667136E-2</v>
      </c>
      <c r="M69" s="959"/>
      <c r="N69" s="959"/>
      <c r="O69" s="48">
        <f>IF(t&lt;Tnet,'2021'!Resal+('2021'!Salim-'2021'!Resal)*(1-EXP(('2021'!Tnet-t)/('2021'!Tau_j))),Resal+(Salim-Resal)*(1-EXP((Tnet-t)/(Tau_j))))*Salcycl</f>
        <v>4.3326724330123217E-2</v>
      </c>
      <c r="P69" s="339">
        <f>(INDEX(Models!$BJ69:$BT69,,T69)*(1-R69)+INDEX(Models!$BJ69:$BT69,,T69+1)*R69-ERP_i)*Q69*Ramure*Pc/MaxiM</f>
        <v>8.5192420755716633E-4</v>
      </c>
      <c r="Q69" s="305">
        <f t="shared" si="4"/>
        <v>0.7</v>
      </c>
      <c r="R69" s="177">
        <f t="shared" si="5"/>
        <v>5.6847797116618649E-3</v>
      </c>
      <c r="S69" s="921">
        <f t="shared" si="6"/>
        <v>0</v>
      </c>
      <c r="T69" s="176">
        <f t="shared" si="7"/>
        <v>6</v>
      </c>
      <c r="U69" s="251">
        <f t="shared" si="20"/>
        <v>5.6847797116618649E-3</v>
      </c>
      <c r="V69" s="383">
        <f t="shared" si="8"/>
        <v>41.614804974708569</v>
      </c>
      <c r="W69" s="402">
        <f t="shared" si="9"/>
        <v>0</v>
      </c>
      <c r="X69" s="157">
        <f t="shared" si="10"/>
        <v>44616</v>
      </c>
      <c r="Y69" s="385">
        <f t="shared" si="11"/>
        <v>20.265920090311418</v>
      </c>
      <c r="Z69" s="385">
        <f t="shared" si="21"/>
        <v>20.884624429948659</v>
      </c>
      <c r="AA69" s="386">
        <f t="shared" si="12"/>
        <v>23.230914287562999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0.10099860162931514</v>
      </c>
      <c r="AD69" s="231">
        <f>(INDEX(Models!$BJ69:$BT69,,AH69)*(1-AF69)+INDEX(Models!$BJ69:$BT69,,AH69+1)*AF69-ERP_i)*AE69*Ramure*Pc/MaxiM</f>
        <v>8.5192420755716633E-4</v>
      </c>
      <c r="AE69" s="305">
        <f t="shared" si="14"/>
        <v>0.7</v>
      </c>
      <c r="AF69" s="177">
        <f t="shared" si="22"/>
        <v>5.6847797116618649E-3</v>
      </c>
      <c r="AG69" s="921">
        <f t="shared" si="23"/>
        <v>0</v>
      </c>
      <c r="AH69" s="176">
        <f t="shared" si="15"/>
        <v>6</v>
      </c>
      <c r="AI69" s="225">
        <f t="shared" si="24"/>
        <v>5.6847797116618649E-3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092">
        <v>31.361000000000001</v>
      </c>
      <c r="C70" s="955"/>
      <c r="D70" s="393">
        <f t="shared" si="0"/>
        <v>32.319137226794304</v>
      </c>
      <c r="E70" s="385">
        <f t="shared" si="1"/>
        <v>33.790491588017844</v>
      </c>
      <c r="F70" s="385">
        <f t="shared" si="2"/>
        <v>33.808894427917799</v>
      </c>
      <c r="G70" s="110">
        <f t="shared" si="19"/>
        <v>0.7482456360053551</v>
      </c>
      <c r="H70" s="414" t="b">
        <f>Wh_hp&gt;='2021'!Maxi_hp</f>
        <v>0</v>
      </c>
      <c r="I70" s="380">
        <f>IF(H70,Wh_hp,'2021'!Maxi_hp)</f>
        <v>44.223095559004854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2.964612638235764E-2</v>
      </c>
      <c r="M70" s="959"/>
      <c r="N70" s="959"/>
      <c r="O70" s="48">
        <f>IF(t&lt;Tnet,'2021'!Resal+('2021'!Salim-'2021'!Resal)*(1-EXP(('2021'!Tnet-t)/('2021'!Tau_j))),Resal+(Salim-Resal)*(1-EXP((Tnet-t)/(Tau_j))))*Salcycl</f>
        <v>4.3543443497734792E-2</v>
      </c>
      <c r="P70" s="339">
        <f>(INDEX(Models!$BJ70:$BT70,,T70)*(1-R70)+INDEX(Models!$BJ70:$BT70,,T70+1)*R70-ERP_i)*Q70*Ramure*Pc/MaxiM</f>
        <v>8.4959980018868336E-4</v>
      </c>
      <c r="Q70" s="305">
        <f t="shared" si="4"/>
        <v>0.7</v>
      </c>
      <c r="R70" s="177">
        <f t="shared" si="5"/>
        <v>5.9473895037979174E-3</v>
      </c>
      <c r="S70" s="921">
        <f t="shared" si="6"/>
        <v>0</v>
      </c>
      <c r="T70" s="176">
        <f t="shared" si="7"/>
        <v>6</v>
      </c>
      <c r="U70" s="251">
        <f t="shared" si="20"/>
        <v>5.9473895037979174E-3</v>
      </c>
      <c r="V70" s="383">
        <f t="shared" si="8"/>
        <v>41.899904765523729</v>
      </c>
      <c r="W70" s="402">
        <f t="shared" si="9"/>
        <v>0</v>
      </c>
      <c r="X70" s="157">
        <f t="shared" si="10"/>
        <v>44617</v>
      </c>
      <c r="Y70" s="385">
        <f t="shared" si="11"/>
        <v>29.471712208043474</v>
      </c>
      <c r="Z70" s="385">
        <f t="shared" si="21"/>
        <v>30.372128157914162</v>
      </c>
      <c r="AA70" s="386">
        <f t="shared" si="12"/>
        <v>33.790491588017844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0.10116347142211569</v>
      </c>
      <c r="AD70" s="231">
        <f>(INDEX(Models!$BJ70:$BT70,,AH70)*(1-AF70)+INDEX(Models!$BJ70:$BT70,,AH70+1)*AF70-ERP_i)*AE70*Ramure*Pc/MaxiM</f>
        <v>8.4959980018868336E-4</v>
      </c>
      <c r="AE70" s="305">
        <f t="shared" si="14"/>
        <v>0.7</v>
      </c>
      <c r="AF70" s="177">
        <f t="shared" si="22"/>
        <v>5.9473895037979174E-3</v>
      </c>
      <c r="AG70" s="921">
        <f t="shared" si="23"/>
        <v>0</v>
      </c>
      <c r="AH70" s="176">
        <f t="shared" si="15"/>
        <v>6</v>
      </c>
      <c r="AI70" s="225">
        <f t="shared" si="24"/>
        <v>5.9473895037979174E-3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49">
        <f>44.55*0.95</f>
        <v>42.322499999999998</v>
      </c>
      <c r="C71" s="955"/>
      <c r="D71" s="393">
        <f t="shared" si="0"/>
        <v>43.616486873889087</v>
      </c>
      <c r="E71" s="385">
        <f t="shared" si="1"/>
        <v>45.612487362179472</v>
      </c>
      <c r="F71" s="385">
        <f t="shared" si="2"/>
        <v>45.651145410531818</v>
      </c>
      <c r="G71" s="110">
        <f t="shared" si="19"/>
        <v>1.0033032719379253</v>
      </c>
      <c r="H71" s="414" t="b">
        <f>Wh_hp&gt;='2021'!Maxi_hp</f>
        <v>1</v>
      </c>
      <c r="I71" s="380">
        <f>IF(H71,Wh_hp,'2021'!Maxi_hp)</f>
        <v>45.651145410531818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2.9667379622537404E-2</v>
      </c>
      <c r="M71" s="959"/>
      <c r="N71" s="959"/>
      <c r="O71" s="48">
        <f>IF(t&lt;Tnet,'2021'!Resal+('2021'!Salim-'2021'!Resal)*(1-EXP(('2021'!Tnet-t)/('2021'!Tau_j))),Resal+(Salim-Resal)*(1-EXP((Tnet-t)/(Tau_j))))*Salcycl</f>
        <v>4.3759957058281562E-2</v>
      </c>
      <c r="P71" s="339">
        <f>(INDEX(Models!$BJ71:$BT71,,T71)*(1-R71)+INDEX(Models!$BJ71:$BT71,,T71+1)*R71-ERP_i)*Q71*Ramure*Pc/MaxiM</f>
        <v>8.4681442283001589E-4</v>
      </c>
      <c r="Q71" s="305">
        <f t="shared" si="4"/>
        <v>0.7</v>
      </c>
      <c r="R71" s="177">
        <f t="shared" si="5"/>
        <v>6.2207197593632177E-3</v>
      </c>
      <c r="S71" s="921">
        <f t="shared" si="6"/>
        <v>0</v>
      </c>
      <c r="T71" s="176">
        <f t="shared" si="7"/>
        <v>6</v>
      </c>
      <c r="U71" s="251">
        <f t="shared" si="20"/>
        <v>6.2207197593632177E-3</v>
      </c>
      <c r="V71" s="383">
        <f t="shared" si="8"/>
        <v>42.183157559381009</v>
      </c>
      <c r="W71" s="402">
        <f t="shared" si="9"/>
        <v>0</v>
      </c>
      <c r="X71" s="157">
        <f t="shared" si="10"/>
        <v>44618</v>
      </c>
      <c r="Y71" s="385">
        <f t="shared" si="11"/>
        <v>39.774572383303529</v>
      </c>
      <c r="Z71" s="385">
        <f t="shared" si="21"/>
        <v>40.990657788904478</v>
      </c>
      <c r="AA71" s="386">
        <f t="shared" si="12"/>
        <v>45.612487362179472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0.10132816341665413</v>
      </c>
      <c r="AD71" s="231">
        <f>(INDEX(Models!$BJ71:$BT71,,AH71)*(1-AF71)+INDEX(Models!$BJ71:$BT71,,AH71+1)*AF71-ERP_i)*AE71*Ramure*Pc/MaxiM</f>
        <v>8.4681442283001589E-4</v>
      </c>
      <c r="AE71" s="305">
        <f t="shared" si="14"/>
        <v>0.7</v>
      </c>
      <c r="AF71" s="177">
        <f t="shared" si="22"/>
        <v>6.2207197593632177E-3</v>
      </c>
      <c r="AG71" s="921">
        <f t="shared" si="23"/>
        <v>0</v>
      </c>
      <c r="AH71" s="176">
        <f t="shared" si="15"/>
        <v>6</v>
      </c>
      <c r="AI71" s="225">
        <f t="shared" si="24"/>
        <v>6.2207197593632177E-3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092">
        <v>29.204000000000001</v>
      </c>
      <c r="C72" s="955"/>
      <c r="D72" s="393">
        <f t="shared" si="0"/>
        <v>30.097555253990645</v>
      </c>
      <c r="E72" s="385">
        <f t="shared" si="1"/>
        <v>31.482016821965242</v>
      </c>
      <c r="F72" s="385">
        <f t="shared" si="2"/>
        <v>31.496712089060608</v>
      </c>
      <c r="G72" s="110">
        <f t="shared" si="19"/>
        <v>0.68746532901421309</v>
      </c>
      <c r="H72" s="414" t="b">
        <f>Wh_hp&gt;='2021'!Maxi_hp</f>
        <v>0</v>
      </c>
      <c r="I72" s="380">
        <f>IF(H72,Wh_hp,'2021'!Maxi_hp)</f>
        <v>44.962572405256154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2.9688632397216641E-2</v>
      </c>
      <c r="M72" s="959"/>
      <c r="N72" s="959"/>
      <c r="O72" s="48">
        <f>IF(t&lt;Tnet,'2021'!Resal+('2021'!Salim-'2021'!Resal)*(1-EXP(('2021'!Tnet-t)/('2021'!Tau_j))),Resal+(Salim-Resal)*(1-EXP((Tnet-t)/(Tau_j))))*Salcycl</f>
        <v>4.397626669866482E-2</v>
      </c>
      <c r="P72" s="339">
        <f>(INDEX(Models!$BJ72:$BT72,,T72)*(1-R72)+INDEX(Models!$BJ72:$BT72,,T72+1)*R72-ERP_i)*Q72*Ramure*Pc/MaxiM</f>
        <v>8.4234063919142105E-4</v>
      </c>
      <c r="Q72" s="305">
        <f t="shared" si="4"/>
        <v>0.7</v>
      </c>
      <c r="R72" s="177">
        <f t="shared" si="5"/>
        <v>6.5051953541733487E-3</v>
      </c>
      <c r="S72" s="921">
        <f t="shared" si="6"/>
        <v>0</v>
      </c>
      <c r="T72" s="176">
        <f t="shared" si="7"/>
        <v>6</v>
      </c>
      <c r="U72" s="251">
        <f t="shared" si="20"/>
        <v>6.5051953541733487E-3</v>
      </c>
      <c r="V72" s="383">
        <f t="shared" si="8"/>
        <v>42.464717123851848</v>
      </c>
      <c r="W72" s="402">
        <f t="shared" si="9"/>
        <v>0</v>
      </c>
      <c r="X72" s="157">
        <f t="shared" si="10"/>
        <v>44619</v>
      </c>
      <c r="Y72" s="385">
        <f t="shared" si="11"/>
        <v>27.447025438269559</v>
      </c>
      <c r="Z72" s="385">
        <f t="shared" si="21"/>
        <v>28.286822513559951</v>
      </c>
      <c r="AA72" s="386">
        <f t="shared" si="12"/>
        <v>31.482016821965242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0.10149268156721077</v>
      </c>
      <c r="AD72" s="231">
        <f>(INDEX(Models!$BJ72:$BT72,,AH72)*(1-AF72)+INDEX(Models!$BJ72:$BT72,,AH72+1)*AF72-ERP_i)*AE72*Ramure*Pc/MaxiM</f>
        <v>8.4234063919142105E-4</v>
      </c>
      <c r="AE72" s="305">
        <f t="shared" si="14"/>
        <v>0.7</v>
      </c>
      <c r="AF72" s="177">
        <f t="shared" si="22"/>
        <v>6.5051953541733487E-3</v>
      </c>
      <c r="AG72" s="921">
        <f t="shared" si="23"/>
        <v>0</v>
      </c>
      <c r="AH72" s="176">
        <f t="shared" si="15"/>
        <v>6</v>
      </c>
      <c r="AI72" s="225">
        <f t="shared" si="24"/>
        <v>6.5051953541733487E-3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092">
        <v>33.831000000000003</v>
      </c>
      <c r="C73" s="955"/>
      <c r="D73" s="393">
        <f t="shared" si="0"/>
        <v>34.866891321224358</v>
      </c>
      <c r="E73" s="385">
        <f t="shared" si="1"/>
        <v>36.478984272779869</v>
      </c>
      <c r="F73" s="385">
        <f t="shared" si="2"/>
        <v>36.500415385716359</v>
      </c>
      <c r="G73" s="110">
        <f t="shared" si="19"/>
        <v>0.79126958877733999</v>
      </c>
      <c r="H73" s="414" t="b">
        <f>Wh_hp&gt;='2021'!Maxi_hp</f>
        <v>0</v>
      </c>
      <c r="I73" s="380">
        <f>IF(H73,Wh_hp,'2021'!Maxi_hp)</f>
        <v>37.080698817786207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2.9709884706405676E-2</v>
      </c>
      <c r="M73" s="959"/>
      <c r="N73" s="959"/>
      <c r="O73" s="48">
        <f>IF(t&lt;Tnet,'2021'!Resal+('2021'!Salim-'2021'!Resal)*(1-EXP(('2021'!Tnet-t)/('2021'!Tau_j))),Resal+(Salim-Resal)*(1-EXP((Tnet-t)/(Tau_j))))*Salcycl</f>
        <v>4.4192374971318192E-2</v>
      </c>
      <c r="P73" s="339">
        <f>(INDEX(Models!$BJ73:$BT73,,T73)*(1-R73)+INDEX(Models!$BJ73:$BT73,,T73+1)*R73-ERP_i)*Q73*Ramure*Pc/MaxiM</f>
        <v>8.3627805198977531E-4</v>
      </c>
      <c r="Q73" s="305">
        <f t="shared" si="4"/>
        <v>0.7</v>
      </c>
      <c r="R73" s="177">
        <f t="shared" si="5"/>
        <v>6.8012569267610077E-3</v>
      </c>
      <c r="S73" s="921">
        <f t="shared" si="6"/>
        <v>0</v>
      </c>
      <c r="T73" s="176">
        <f t="shared" si="7"/>
        <v>6</v>
      </c>
      <c r="U73" s="251">
        <f t="shared" si="20"/>
        <v>6.8012569267610077E-3</v>
      </c>
      <c r="V73" s="383">
        <f t="shared" si="8"/>
        <v>42.744681684707508</v>
      </c>
      <c r="W73" s="402">
        <f t="shared" si="9"/>
        <v>0</v>
      </c>
      <c r="X73" s="157">
        <f t="shared" si="10"/>
        <v>44620</v>
      </c>
      <c r="Y73" s="385">
        <f t="shared" si="11"/>
        <v>31.797027103018408</v>
      </c>
      <c r="Z73" s="385">
        <f t="shared" si="21"/>
        <v>32.770639009753424</v>
      </c>
      <c r="AA73" s="386">
        <f t="shared" si="12"/>
        <v>36.478984272779869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0.10165703176646732</v>
      </c>
      <c r="AD73" s="231">
        <f>(INDEX(Models!$BJ73:$BT73,,AH73)*(1-AF73)+INDEX(Models!$BJ73:$BT73,,AH73+1)*AF73-ERP_i)*AE73*Ramure*Pc/MaxiM</f>
        <v>8.3627805198977531E-4</v>
      </c>
      <c r="AE73" s="305">
        <f t="shared" si="14"/>
        <v>0.7</v>
      </c>
      <c r="AF73" s="177">
        <f t="shared" si="22"/>
        <v>6.8012569267610077E-3</v>
      </c>
      <c r="AG73" s="921">
        <f t="shared" si="23"/>
        <v>0</v>
      </c>
      <c r="AH73" s="176">
        <f t="shared" si="15"/>
        <v>6</v>
      </c>
      <c r="AI73" s="225">
        <f t="shared" si="24"/>
        <v>6.8012569267610077E-3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092">
        <v>43.234999999999999</v>
      </c>
      <c r="C74" s="955"/>
      <c r="D74" s="393">
        <f t="shared" si="0"/>
        <v>44.559813912067369</v>
      </c>
      <c r="E74" s="385">
        <f t="shared" si="1"/>
        <v>46.630598851182455</v>
      </c>
      <c r="F74" s="385">
        <f t="shared" si="2"/>
        <v>46.669271608719839</v>
      </c>
      <c r="G74" s="110">
        <f t="shared" si="19"/>
        <v>1.0049240409767168</v>
      </c>
      <c r="H74" s="414" t="b">
        <f>Wh_hp&gt;='2021'!Maxi_hp</f>
        <v>1</v>
      </c>
      <c r="I74" s="380">
        <f>IF(H74,Wh_hp,'2021'!Maxi_hp)</f>
        <v>46.669271608719839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2.9731136550114501E-2</v>
      </c>
      <c r="M74" s="959"/>
      <c r="N74" s="959"/>
      <c r="O74" s="48">
        <f>IF(t&lt;Tnet,'2021'!Resal+('2021'!Salim-'2021'!Resal)*(1-EXP(('2021'!Tnet-t)/('2021'!Tau_j))),Resal+(Salim-Resal)*(1-EXP((Tnet-t)/(Tau_j))))*Salcycl</f>
        <v>4.4408285334782367E-2</v>
      </c>
      <c r="P74" s="339">
        <f>(INDEX(Models!$BJ74:$BT74,,T74)*(1-R74)+INDEX(Models!$BJ74:$BT74,,T74+1)*R74-ERP_i)*Q74*Ramure*Pc/MaxiM</f>
        <v>8.2865569151413445E-4</v>
      </c>
      <c r="Q74" s="305">
        <f t="shared" si="4"/>
        <v>0.7</v>
      </c>
      <c r="R74" s="177">
        <f t="shared" si="5"/>
        <v>7.10936137181979E-3</v>
      </c>
      <c r="S74" s="921">
        <f t="shared" si="6"/>
        <v>0</v>
      </c>
      <c r="T74" s="176">
        <f t="shared" si="7"/>
        <v>6</v>
      </c>
      <c r="U74" s="251">
        <f t="shared" si="20"/>
        <v>7.10936137181979E-3</v>
      </c>
      <c r="V74" s="383">
        <f t="shared" si="8"/>
        <v>43.023152235445146</v>
      </c>
      <c r="W74" s="402">
        <f t="shared" si="9"/>
        <v>0</v>
      </c>
      <c r="X74" s="157">
        <f t="shared" si="10"/>
        <v>44621</v>
      </c>
      <c r="Y74" s="385">
        <f t="shared" si="11"/>
        <v>40.637396573109136</v>
      </c>
      <c r="Z74" s="385">
        <f t="shared" si="21"/>
        <v>41.882614297875037</v>
      </c>
      <c r="AA74" s="386">
        <f t="shared" si="12"/>
        <v>46.630598851182455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0.10182122190753339</v>
      </c>
      <c r="AD74" s="231">
        <f>(INDEX(Models!$BJ74:$BT74,,AH74)*(1-AF74)+INDEX(Models!$BJ74:$BT74,,AH74+1)*AF74-ERP_i)*AE74*Ramure*Pc/MaxiM</f>
        <v>8.2865569151413445E-4</v>
      </c>
      <c r="AE74" s="305">
        <f t="shared" si="14"/>
        <v>0.7</v>
      </c>
      <c r="AF74" s="177">
        <f t="shared" si="22"/>
        <v>7.10936137181979E-3</v>
      </c>
      <c r="AG74" s="921">
        <f t="shared" si="23"/>
        <v>0</v>
      </c>
      <c r="AH74" s="176">
        <f t="shared" si="15"/>
        <v>6</v>
      </c>
      <c r="AI74" s="225">
        <f t="shared" si="24"/>
        <v>7.10936137181979E-3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092">
        <v>10.902000000000001</v>
      </c>
      <c r="C75" s="955"/>
      <c r="D75" s="393">
        <f t="shared" si="0"/>
        <v>11.236306963665022</v>
      </c>
      <c r="E75" s="385">
        <f t="shared" si="1"/>
        <v>11.761135918639869</v>
      </c>
      <c r="F75" s="385">
        <f t="shared" si="2"/>
        <v>11.761135918639869</v>
      </c>
      <c r="G75" s="110">
        <f t="shared" si="19"/>
        <v>0.25157062420124504</v>
      </c>
      <c r="H75" s="414" t="b">
        <f>Wh_hp&gt;='2021'!Maxi_hp</f>
        <v>0</v>
      </c>
      <c r="I75" s="380">
        <f>IF(H75,Wh_hp,'2021'!Maxi_hp)</f>
        <v>32.956677810715547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2.9752387928353441E-2</v>
      </c>
      <c r="M75" s="959"/>
      <c r="N75" s="959"/>
      <c r="O75" s="48">
        <f>IF(t&lt;Tnet,'2021'!Resal+('2021'!Salim-'2021'!Resal)*(1-EXP(('2021'!Tnet-t)/('2021'!Tau_j))),Resal+(Salim-Resal)*(1-EXP((Tnet-t)/(Tau_j))))*Salcycl</f>
        <v>4.4624002188688457E-2</v>
      </c>
      <c r="P75" s="339">
        <f>(INDEX(Models!$BJ75:$BT75,,T75)*(1-R75)+INDEX(Models!$BJ75:$BT75,,T75+1)*R75-ERP_i)*Q75*Ramure*Pc/MaxiM</f>
        <v>8.195017470334268E-4</v>
      </c>
      <c r="Q75" s="305">
        <f t="shared" si="4"/>
        <v>0.7</v>
      </c>
      <c r="R75" s="177">
        <f t="shared" si="5"/>
        <v>7.4299823410813428E-3</v>
      </c>
      <c r="S75" s="921">
        <f t="shared" si="6"/>
        <v>0</v>
      </c>
      <c r="T75" s="176">
        <f t="shared" si="7"/>
        <v>6</v>
      </c>
      <c r="U75" s="251">
        <f t="shared" si="20"/>
        <v>7.4299823410813428E-3</v>
      </c>
      <c r="V75" s="383">
        <f t="shared" si="8"/>
        <v>43.300229613612942</v>
      </c>
      <c r="W75" s="402">
        <f t="shared" si="9"/>
        <v>0</v>
      </c>
      <c r="X75" s="157">
        <f t="shared" si="10"/>
        <v>44622</v>
      </c>
      <c r="Y75" s="385">
        <f t="shared" si="11"/>
        <v>10.247438387442994</v>
      </c>
      <c r="Z75" s="385">
        <f t="shared" si="21"/>
        <v>10.561673391355161</v>
      </c>
      <c r="AA75" s="386">
        <f t="shared" si="12"/>
        <v>11.761135918639869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0.10198526193237145</v>
      </c>
      <c r="AD75" s="231">
        <f>(INDEX(Models!$BJ75:$BT75,,AH75)*(1-AF75)+INDEX(Models!$BJ75:$BT75,,AH75+1)*AF75-ERP_i)*AE75*Ramure*Pc/MaxiM</f>
        <v>8.195017470334268E-4</v>
      </c>
      <c r="AE75" s="305">
        <f t="shared" si="14"/>
        <v>0.7</v>
      </c>
      <c r="AF75" s="177">
        <f t="shared" si="22"/>
        <v>7.4299823410813428E-3</v>
      </c>
      <c r="AG75" s="921">
        <f t="shared" si="23"/>
        <v>0</v>
      </c>
      <c r="AH75" s="176">
        <f t="shared" si="15"/>
        <v>6</v>
      </c>
      <c r="AI75" s="225">
        <f t="shared" si="24"/>
        <v>7.4299823410813428E-3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092">
        <v>40.869</v>
      </c>
      <c r="C76" s="955"/>
      <c r="D76" s="393">
        <f t="shared" si="0"/>
        <v>42.123159745097887</v>
      </c>
      <c r="E76" s="385">
        <f t="shared" si="1"/>
        <v>44.100610429279072</v>
      </c>
      <c r="F76" s="385">
        <f t="shared" si="2"/>
        <v>44.133139315873827</v>
      </c>
      <c r="G76" s="110">
        <f t="shared" si="19"/>
        <v>0.93781096518532969</v>
      </c>
      <c r="H76" s="414" t="b">
        <f>Wh_hp&gt;='2021'!Maxi_hp</f>
        <v>1</v>
      </c>
      <c r="I76" s="380">
        <f>IF(H76,Wh_hp,'2021'!Maxi_hp)</f>
        <v>44.133139315873827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2.977363884113271E-2</v>
      </c>
      <c r="M76" s="959"/>
      <c r="N76" s="959"/>
      <c r="O76" s="48">
        <f>IF(t&lt;Tnet,'2021'!Resal+('2021'!Salim-'2021'!Resal)*(1-EXP(('2021'!Tnet-t)/('2021'!Tau_j))),Resal+(Salim-Resal)*(1-EXP((Tnet-t)/(Tau_j))))*Salcycl</f>
        <v>4.48395309029175E-2</v>
      </c>
      <c r="P76" s="339">
        <f>(INDEX(Models!$BJ76:$BT76,,T76)*(1-R76)+INDEX(Models!$BJ76:$BT76,,T76+1)*R76-ERP_i)*Q76*Ramure*Pc/MaxiM</f>
        <v>8.0884361991799428E-4</v>
      </c>
      <c r="Q76" s="305">
        <f t="shared" si="4"/>
        <v>0.7</v>
      </c>
      <c r="R76" s="177">
        <f t="shared" si="5"/>
        <v>7.7636107509392255E-3</v>
      </c>
      <c r="S76" s="921">
        <f t="shared" si="6"/>
        <v>0</v>
      </c>
      <c r="T76" s="176">
        <f t="shared" si="7"/>
        <v>6</v>
      </c>
      <c r="U76" s="251">
        <f t="shared" si="20"/>
        <v>7.7636107509392255E-3</v>
      </c>
      <c r="V76" s="383">
        <f t="shared" si="8"/>
        <v>43.576014500679861</v>
      </c>
      <c r="W76" s="402">
        <f t="shared" si="9"/>
        <v>0</v>
      </c>
      <c r="X76" s="157">
        <f t="shared" si="10"/>
        <v>44623</v>
      </c>
      <c r="Y76" s="385">
        <f t="shared" si="11"/>
        <v>38.416859793863694</v>
      </c>
      <c r="Z76" s="385">
        <f t="shared" si="21"/>
        <v>39.595769947929938</v>
      </c>
      <c r="AA76" s="386">
        <f t="shared" si="12"/>
        <v>44.100610429279072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0.10214916386640993</v>
      </c>
      <c r="AD76" s="231">
        <f>(INDEX(Models!$BJ76:$BT76,,AH76)*(1-AF76)+INDEX(Models!$BJ76:$BT76,,AH76+1)*AF76-ERP_i)*AE76*Ramure*Pc/MaxiM</f>
        <v>8.0884361991799428E-4</v>
      </c>
      <c r="AE76" s="305">
        <f t="shared" si="14"/>
        <v>0.7</v>
      </c>
      <c r="AF76" s="177">
        <f t="shared" si="22"/>
        <v>7.7636107509392255E-3</v>
      </c>
      <c r="AG76" s="921">
        <f t="shared" si="23"/>
        <v>0</v>
      </c>
      <c r="AH76" s="176">
        <f t="shared" si="15"/>
        <v>6</v>
      </c>
      <c r="AI76" s="225">
        <f t="shared" si="24"/>
        <v>7.7636107509392255E-3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092">
        <v>4.3689999999999998</v>
      </c>
      <c r="C77" s="955"/>
      <c r="D77" s="393">
        <f t="shared" si="0"/>
        <v>4.5031714961755087</v>
      </c>
      <c r="E77" s="385">
        <f t="shared" si="1"/>
        <v>4.7156338010223742</v>
      </c>
      <c r="F77" s="385">
        <f t="shared" si="2"/>
        <v>4.7156338010223742</v>
      </c>
      <c r="G77" s="110">
        <f t="shared" si="19"/>
        <v>9.9554360586211976E-2</v>
      </c>
      <c r="H77" s="414" t="b">
        <f>Wh_hp&gt;='2021'!Maxi_hp</f>
        <v>0</v>
      </c>
      <c r="I77" s="380">
        <f>IF(H77,Wh_hp,'2021'!Maxi_hp)</f>
        <v>33.323703114447028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2.9794889288462412E-2</v>
      </c>
      <c r="M77" s="959"/>
      <c r="N77" s="959"/>
      <c r="O77" s="48">
        <f>IF(t&lt;Tnet,'2021'!Resal+('2021'!Salim-'2021'!Resal)*(1-EXP(('2021'!Tnet-t)/('2021'!Tau_j))),Resal+(Salim-Resal)*(1-EXP((Tnet-t)/(Tau_j))))*Salcycl</f>
        <v>4.5054877840769336E-2</v>
      </c>
      <c r="P77" s="339">
        <f>(INDEX(Models!$BJ77:$BT77,,T77)*(1-R77)+INDEX(Models!$BJ77:$BT77,,T77+1)*R77-ERP_i)*Q77*Ramure*Pc/MaxiM</f>
        <v>7.9670796497908428E-4</v>
      </c>
      <c r="Q77" s="305">
        <f t="shared" si="4"/>
        <v>0.7</v>
      </c>
      <c r="R77" s="177">
        <f t="shared" si="5"/>
        <v>8.1107552960375112E-3</v>
      </c>
      <c r="S77" s="921">
        <f t="shared" si="6"/>
        <v>0</v>
      </c>
      <c r="T77" s="176">
        <f t="shared" si="7"/>
        <v>6</v>
      </c>
      <c r="U77" s="251">
        <f t="shared" si="20"/>
        <v>8.1107552960375112E-3</v>
      </c>
      <c r="V77" s="383">
        <f t="shared" si="8"/>
        <v>43.850607418853926</v>
      </c>
      <c r="W77" s="402">
        <f t="shared" si="9"/>
        <v>0</v>
      </c>
      <c r="X77" s="157">
        <f t="shared" si="10"/>
        <v>44624</v>
      </c>
      <c r="Y77" s="385">
        <f t="shared" si="11"/>
        <v>4.1070367983409852</v>
      </c>
      <c r="Z77" s="385">
        <f t="shared" si="21"/>
        <v>4.233163434203032</v>
      </c>
      <c r="AA77" s="386">
        <f t="shared" si="12"/>
        <v>4.7156338010223742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0.10231294183927928</v>
      </c>
      <c r="AD77" s="231">
        <f>(INDEX(Models!$BJ77:$BT77,,AH77)*(1-AF77)+INDEX(Models!$BJ77:$BT77,,AH77+1)*AF77-ERP_i)*AE77*Ramure*Pc/MaxiM</f>
        <v>7.9670796497908428E-4</v>
      </c>
      <c r="AE77" s="305">
        <f t="shared" si="14"/>
        <v>0.7</v>
      </c>
      <c r="AF77" s="177">
        <f t="shared" si="22"/>
        <v>8.1107552960375112E-3</v>
      </c>
      <c r="AG77" s="921">
        <f t="shared" si="23"/>
        <v>0</v>
      </c>
      <c r="AH77" s="176">
        <f t="shared" si="15"/>
        <v>6</v>
      </c>
      <c r="AI77" s="225">
        <f t="shared" si="24"/>
        <v>8.1107552960375112E-3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092">
        <v>15.531000000000001</v>
      </c>
      <c r="C78" s="955"/>
      <c r="D78" s="393">
        <f t="shared" si="0"/>
        <v>16.008305877526745</v>
      </c>
      <c r="E78" s="385">
        <f t="shared" si="1"/>
        <v>16.767365351670222</v>
      </c>
      <c r="F78" s="385">
        <f t="shared" si="2"/>
        <v>16.768340552780263</v>
      </c>
      <c r="G78" s="110">
        <f t="shared" si="19"/>
        <v>0.3517292560494909</v>
      </c>
      <c r="H78" s="414" t="b">
        <f>Wh_hp&gt;='2021'!Maxi_hp</f>
        <v>0</v>
      </c>
      <c r="I78" s="380">
        <f>IF(H78,Wh_hp,'2021'!Maxi_hp)</f>
        <v>47.032781812856342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2.9816139270352759E-2</v>
      </c>
      <c r="M78" s="959"/>
      <c r="N78" s="959"/>
      <c r="O78" s="48">
        <f>IF(t&lt;Tnet,'2021'!Resal+('2021'!Salim-'2021'!Resal)*(1-EXP(('2021'!Tnet-t)/('2021'!Tau_j))),Resal+(Salim-Resal)*(1-EXP((Tnet-t)/(Tau_j))))*Salcycl</f>
        <v>4.5270050376033877E-2</v>
      </c>
      <c r="P78" s="339">
        <f>(INDEX(Models!$BJ78:$BT78,,T78)*(1-R78)+INDEX(Models!$BJ78:$BT78,,T78+1)*R78-ERP_i)*Q78*Ramure*Pc/MaxiM</f>
        <v>7.8312072056076535E-4</v>
      </c>
      <c r="Q78" s="305">
        <f t="shared" si="4"/>
        <v>0.7</v>
      </c>
      <c r="R78" s="177">
        <f t="shared" si="5"/>
        <v>8.4719429679331534E-3</v>
      </c>
      <c r="S78" s="921">
        <f t="shared" si="6"/>
        <v>0</v>
      </c>
      <c r="T78" s="176">
        <f t="shared" si="7"/>
        <v>6</v>
      </c>
      <c r="U78" s="251">
        <f t="shared" si="20"/>
        <v>8.4719429679331534E-3</v>
      </c>
      <c r="V78" s="383">
        <f t="shared" si="8"/>
        <v>44.124108731510297</v>
      </c>
      <c r="W78" s="402">
        <f t="shared" si="9"/>
        <v>0</v>
      </c>
      <c r="X78" s="157">
        <f t="shared" si="10"/>
        <v>44625</v>
      </c>
      <c r="Y78" s="385">
        <f t="shared" si="11"/>
        <v>14.600396419001422</v>
      </c>
      <c r="Z78" s="385">
        <f t="shared" si="21"/>
        <v>15.049102556726604</v>
      </c>
      <c r="AA78" s="386">
        <f t="shared" si="12"/>
        <v>16.767365351670222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0.1024766120917416</v>
      </c>
      <c r="AD78" s="231">
        <f>(INDEX(Models!$BJ78:$BT78,,AH78)*(1-AF78)+INDEX(Models!$BJ78:$BT78,,AH78+1)*AF78-ERP_i)*AE78*Ramure*Pc/MaxiM</f>
        <v>7.8312072056076535E-4</v>
      </c>
      <c r="AE78" s="305">
        <f t="shared" si="14"/>
        <v>0.7</v>
      </c>
      <c r="AF78" s="177">
        <f t="shared" si="22"/>
        <v>8.4719429679331534E-3</v>
      </c>
      <c r="AG78" s="921">
        <f t="shared" si="23"/>
        <v>0</v>
      </c>
      <c r="AH78" s="176">
        <f t="shared" si="15"/>
        <v>6</v>
      </c>
      <c r="AI78" s="225">
        <f t="shared" si="24"/>
        <v>8.4719429679331534E-3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092">
        <v>21.986000000000001</v>
      </c>
      <c r="C79" s="955"/>
      <c r="D79" s="393">
        <f t="shared" ref="D79:D142" si="25">Wh/(1-Ppv)</f>
        <v>22.662180283887214</v>
      </c>
      <c r="E79" s="385">
        <f t="shared" si="1"/>
        <v>23.742090627077939</v>
      </c>
      <c r="F79" s="385">
        <f t="shared" ref="F79:F142" si="26">Wh_sa/(1-Pvg*MEDIAN((-Sdif+Wh/Env_an)/Csdif,0,1))</f>
        <v>23.747177390951205</v>
      </c>
      <c r="G79" s="110">
        <f t="shared" si="19"/>
        <v>0.49493908975283107</v>
      </c>
      <c r="H79" s="414" t="b">
        <f>Wh_hp&gt;='2021'!Maxi_hp</f>
        <v>0</v>
      </c>
      <c r="I79" s="380">
        <f>IF(H79,Wh_hp,'2021'!Maxi_hp)</f>
        <v>24.181479709212134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2.9837388786813968E-2</v>
      </c>
      <c r="M79" s="959"/>
      <c r="N79" s="959"/>
      <c r="O79" s="48">
        <f>IF(t&lt;Tnet,'2021'!Resal+('2021'!Salim-'2021'!Resal)*(1-EXP(('2021'!Tnet-t)/('2021'!Tau_j))),Resal+(Salim-Resal)*(1-EXP((Tnet-t)/(Tau_j))))*Salcycl</f>
        <v>4.5485056903922599E-2</v>
      </c>
      <c r="P79" s="339">
        <f>(INDEX(Models!$BJ79:$BT79,,T79)*(1-R79)+INDEX(Models!$BJ79:$BT79,,T79+1)*R79-ERP_i)*Q79*Ramure*Pc/MaxiM</f>
        <v>7.6810023216119063E-4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8.847719577831278E-3</v>
      </c>
      <c r="S79" s="92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8.847719577831278E-3</v>
      </c>
      <c r="V79" s="383">
        <f t="shared" ref="V79:V142" si="33">MaxiM*(1-Ppv)*(1-Pvg)*(1-Psa)</f>
        <v>44.397017542146848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20.669506391789646</v>
      </c>
      <c r="Z79" s="385">
        <f t="shared" ref="Z79:Z142" si="37">Wh_sa_s*(1-Psa_s)</f>
        <v>21.305197863626674</v>
      </c>
      <c r="AA79" s="386">
        <f t="shared" ref="AA79:AA142" si="38">Wh_hp*(1-Pvg_s*MEDIAN((-Sdif+Wh/Env_an)/Csdif,0,1))</f>
        <v>23.742090627077939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0.10264019296902108</v>
      </c>
      <c r="AD79" s="231">
        <f>(INDEX(Models!$BJ79:$BT79,,AH79)*(1-AF79)+INDEX(Models!$BJ79:$BT79,,AH79+1)*AF79-ERP_i)*AE79*Ramure*Pc/MaxiM</f>
        <v>7.6810023216119063E-4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8.847719577831278E-3</v>
      </c>
      <c r="AG79" s="921">
        <f t="shared" si="23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8.847719577831278E-3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092">
        <v>33.355000000000004</v>
      </c>
      <c r="C80" s="955"/>
      <c r="D80" s="393">
        <f t="shared" si="25"/>
        <v>34.381587365435145</v>
      </c>
      <c r="E80" s="385">
        <f t="shared" ref="E80:E143" si="47">Wh_pvt/(1-Psa)</f>
        <v>36.028066655425143</v>
      </c>
      <c r="F80" s="385">
        <f t="shared" si="26"/>
        <v>36.045349048213637</v>
      </c>
      <c r="G80" s="110">
        <f t="shared" ref="G80:G143" si="48">+Wh_hp/MaxiM</f>
        <v>0.74650189760418706</v>
      </c>
      <c r="H80" s="414" t="b">
        <f>Wh_hp&gt;='2021'!Maxi_hp</f>
        <v>0</v>
      </c>
      <c r="I80" s="380">
        <f>IF(H80,Wh_hp,'2021'!Maxi_hp)</f>
        <v>43.018931785268983</v>
      </c>
      <c r="J80" s="85">
        <f>IF(H80,An,'2021'!An_max)</f>
        <v>2019</v>
      </c>
      <c r="K80" s="197">
        <f t="shared" si="27"/>
        <v>44627</v>
      </c>
      <c r="L80" s="147">
        <f>IF(t&lt;Tvie,1-EXP((T0-t)*PertePVj)+'2021'!Pspv,1-EXP((T0-t)*PertePVj)+Pspv)</f>
        <v>2.985863783785625E-2</v>
      </c>
      <c r="M80" s="959"/>
      <c r="N80" s="959"/>
      <c r="O80" s="48">
        <f>IF(t&lt;Tnet,'2021'!Resal+('2021'!Salim-'2021'!Resal)*(1-EXP(('2021'!Tnet-t)/('2021'!Tau_j))),Resal+(Salim-Resal)*(1-EXP((Tnet-t)/(Tau_j))))*Salcycl</f>
        <v>4.5699906845877505E-2</v>
      </c>
      <c r="P80" s="339">
        <f>(INDEX(Models!$BJ80:$BT80,,T80)*(1-R80)+INDEX(Models!$BJ80:$BT80,,T80+1)*R80-ERP_i)*Q80*Ramure*Pc/MaxiM</f>
        <v>7.5133195659561104E-4</v>
      </c>
      <c r="Q80" s="305">
        <f t="shared" si="28"/>
        <v>0.7</v>
      </c>
      <c r="R80" s="177">
        <f t="shared" si="29"/>
        <v>9.2386502822668463E-3</v>
      </c>
      <c r="S80" s="921">
        <f t="shared" si="30"/>
        <v>0</v>
      </c>
      <c r="T80" s="176">
        <f t="shared" si="31"/>
        <v>6</v>
      </c>
      <c r="U80" s="251">
        <f t="shared" si="32"/>
        <v>9.2386502822668463E-3</v>
      </c>
      <c r="V80" s="383">
        <f t="shared" si="33"/>
        <v>44.669581619274801</v>
      </c>
      <c r="W80" s="402">
        <f t="shared" si="34"/>
        <v>0</v>
      </c>
      <c r="X80" s="157">
        <f t="shared" si="35"/>
        <v>44627</v>
      </c>
      <c r="Y80" s="385">
        <f t="shared" si="36"/>
        <v>31.359089910723124</v>
      </c>
      <c r="Z80" s="385">
        <f t="shared" si="37"/>
        <v>32.324247922832043</v>
      </c>
      <c r="AA80" s="386">
        <f t="shared" si="38"/>
        <v>36.028066655425143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0.10280370490086725</v>
      </c>
      <c r="AD80" s="231">
        <f>(INDEX(Models!$BJ80:$BT80,,AH80)*(1-AF80)+INDEX(Models!$BJ80:$BT80,,AH80+1)*AF80-ERP_i)*AE80*Ramure*Pc/MaxiM</f>
        <v>7.5133195659561104E-4</v>
      </c>
      <c r="AE80" s="305">
        <f t="shared" si="40"/>
        <v>0.7</v>
      </c>
      <c r="AF80" s="177">
        <f t="shared" si="41"/>
        <v>9.2386502822668463E-3</v>
      </c>
      <c r="AG80" s="921">
        <f t="shared" ref="AG80:AG143" si="49">INDEX(Echel_vg,AH80)</f>
        <v>0</v>
      </c>
      <c r="AH80" s="176">
        <f t="shared" si="42"/>
        <v>6</v>
      </c>
      <c r="AI80" s="225">
        <f t="shared" si="43"/>
        <v>9.2386502822668463E-3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092">
        <v>31.993000000000002</v>
      </c>
      <c r="C81" s="955"/>
      <c r="D81" s="393">
        <f t="shared" si="25"/>
        <v>32.97839056449665</v>
      </c>
      <c r="E81" s="385">
        <f t="shared" si="47"/>
        <v>34.565449730769508</v>
      </c>
      <c r="F81" s="385">
        <f t="shared" si="26"/>
        <v>34.580370202974152</v>
      </c>
      <c r="G81" s="110">
        <f t="shared" si="48"/>
        <v>0.71166633302698845</v>
      </c>
      <c r="H81" s="414" t="b">
        <f>Wh_hp&gt;='2021'!Maxi_hp</f>
        <v>1</v>
      </c>
      <c r="I81" s="380">
        <f>IF(H81,Wh_hp,'2021'!Maxi_hp)</f>
        <v>34.580370202974152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2.9879886423489821E-2</v>
      </c>
      <c r="M81" s="959"/>
      <c r="N81" s="959"/>
      <c r="O81" s="48">
        <f>IF(t&lt;Tnet,'2021'!Resal+('2021'!Salim-'2021'!Resal)*(1-EXP(('2021'!Tnet-t)/('2021'!Tau_j))),Resal+(Salim-Resal)*(1-EXP((Tnet-t)/(Tau_j))))*Salcycl</f>
        <v>4.5914610648334506E-2</v>
      </c>
      <c r="P81" s="339">
        <f>(INDEX(Models!$BJ81:$BT81,,T81)*(1-R81)+INDEX(Models!$BJ81:$BT81,,T81+1)*R81-ERP_i)*Q81*Ramure*Pc/MaxiM</f>
        <v>7.3329531033883961E-4</v>
      </c>
      <c r="Q81" s="305">
        <f t="shared" si="28"/>
        <v>0.7</v>
      </c>
      <c r="R81" s="177">
        <f t="shared" si="29"/>
        <v>9.6453201104769268E-3</v>
      </c>
      <c r="S81" s="921">
        <f t="shared" si="30"/>
        <v>0</v>
      </c>
      <c r="T81" s="176">
        <f t="shared" si="31"/>
        <v>6</v>
      </c>
      <c r="U81" s="251">
        <f t="shared" si="32"/>
        <v>9.6453201104769268E-3</v>
      </c>
      <c r="V81" s="383">
        <f t="shared" si="33"/>
        <v>44.941481877489515</v>
      </c>
      <c r="W81" s="402">
        <f t="shared" si="34"/>
        <v>0</v>
      </c>
      <c r="X81" s="157">
        <f t="shared" si="35"/>
        <v>44628</v>
      </c>
      <c r="Y81" s="385">
        <f t="shared" si="36"/>
        <v>30.079877166856797</v>
      </c>
      <c r="Z81" s="385">
        <f t="shared" si="37"/>
        <v>31.00634317946702</v>
      </c>
      <c r="AA81" s="386">
        <f t="shared" si="38"/>
        <v>34.565449730769508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0.10296717036880437</v>
      </c>
      <c r="AD81" s="231">
        <f>(INDEX(Models!$BJ81:$BT81,,AH81)*(1-AF81)+INDEX(Models!$BJ81:$BT81,,AH81+1)*AF81-ERP_i)*AE81*Ramure*Pc/MaxiM</f>
        <v>7.3329531033883961E-4</v>
      </c>
      <c r="AE81" s="305">
        <f t="shared" si="40"/>
        <v>0.7</v>
      </c>
      <c r="AF81" s="177">
        <f t="shared" si="41"/>
        <v>9.6453201104769268E-3</v>
      </c>
      <c r="AG81" s="921">
        <f t="shared" si="49"/>
        <v>0</v>
      </c>
      <c r="AH81" s="176">
        <f t="shared" si="42"/>
        <v>6</v>
      </c>
      <c r="AI81" s="225">
        <f t="shared" si="43"/>
        <v>9.6453201104769268E-3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092">
        <v>33.765000000000001</v>
      </c>
      <c r="C82" s="955"/>
      <c r="D82" s="393">
        <f t="shared" si="25"/>
        <v>34.805730840762308</v>
      </c>
      <c r="E82" s="385">
        <f t="shared" si="47"/>
        <v>36.488935506563948</v>
      </c>
      <c r="F82" s="385">
        <f t="shared" si="26"/>
        <v>36.505573128077003</v>
      </c>
      <c r="G82" s="110">
        <f t="shared" si="48"/>
        <v>0.74661511764713873</v>
      </c>
      <c r="H82" s="414" t="b">
        <f>Wh_hp&gt;='2021'!Maxi_hp</f>
        <v>0</v>
      </c>
      <c r="I82" s="380">
        <f>IF(H82,Wh_hp,'2021'!Maxi_hp)</f>
        <v>44.616353864796501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2.9901134543724783E-2</v>
      </c>
      <c r="M82" s="959"/>
      <c r="N82" s="959"/>
      <c r="O82" s="48">
        <f>IF(t&lt;Tnet,'2021'!Resal+('2021'!Salim-'2021'!Resal)*(1-EXP(('2021'!Tnet-t)/('2021'!Tau_j))),Resal+(Salim-Resal)*(1-EXP((Tnet-t)/(Tau_j))))*Salcycl</f>
        <v>4.6129179775574625E-2</v>
      </c>
      <c r="P82" s="339">
        <f>(INDEX(Models!$BJ82:$BT82,,T82)*(1-R82)+INDEX(Models!$BJ82:$BT82,,T82+1)*R82-ERP_i)*Q82*Ramure*Pc/MaxiM</f>
        <v>7.1401788953923302E-4</v>
      </c>
      <c r="Q82" s="305">
        <f t="shared" si="28"/>
        <v>0.7</v>
      </c>
      <c r="R82" s="177">
        <f t="shared" si="29"/>
        <v>1.0068334492063851E-2</v>
      </c>
      <c r="S82" s="921">
        <f t="shared" si="30"/>
        <v>0</v>
      </c>
      <c r="T82" s="176">
        <f t="shared" si="31"/>
        <v>6</v>
      </c>
      <c r="U82" s="251">
        <f t="shared" si="32"/>
        <v>1.0068334492063851E-2</v>
      </c>
      <c r="V82" s="383">
        <f t="shared" si="33"/>
        <v>45.2124193601082</v>
      </c>
      <c r="W82" s="402">
        <f t="shared" si="34"/>
        <v>0</v>
      </c>
      <c r="X82" s="157">
        <f t="shared" si="35"/>
        <v>44629</v>
      </c>
      <c r="Y82" s="385">
        <f t="shared" si="36"/>
        <v>31.747270365031255</v>
      </c>
      <c r="Z82" s="385">
        <f t="shared" si="37"/>
        <v>32.72580918863283</v>
      </c>
      <c r="AA82" s="386">
        <f t="shared" si="38"/>
        <v>36.488935506563948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0.10313061386112986</v>
      </c>
      <c r="AD82" s="231">
        <f>(INDEX(Models!$BJ82:$BT82,,AH82)*(1-AF82)+INDEX(Models!$BJ82:$BT82,,AH82+1)*AF82-ERP_i)*AE82*Ramure*Pc/MaxiM</f>
        <v>7.1401788953923302E-4</v>
      </c>
      <c r="AE82" s="305">
        <f t="shared" si="40"/>
        <v>0.7</v>
      </c>
      <c r="AF82" s="177">
        <f t="shared" si="41"/>
        <v>1.0068334492063851E-2</v>
      </c>
      <c r="AG82" s="921">
        <f t="shared" si="49"/>
        <v>0</v>
      </c>
      <c r="AH82" s="176">
        <f t="shared" si="42"/>
        <v>6</v>
      </c>
      <c r="AI82" s="225">
        <f t="shared" si="43"/>
        <v>1.0068334492063851E-2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092">
        <v>24.434000000000001</v>
      </c>
      <c r="C83" s="955"/>
      <c r="D83" s="393">
        <f t="shared" si="25"/>
        <v>25.187675245385932</v>
      </c>
      <c r="E83" s="385">
        <f t="shared" si="47"/>
        <v>26.41168868629709</v>
      </c>
      <c r="F83" s="385">
        <f t="shared" si="26"/>
        <v>26.417897641164544</v>
      </c>
      <c r="G83" s="110">
        <f t="shared" si="48"/>
        <v>0.53697601772063308</v>
      </c>
      <c r="H83" s="414" t="b">
        <f>Wh_hp&gt;='2021'!Maxi_hp</f>
        <v>0</v>
      </c>
      <c r="I83" s="380">
        <f>IF(H83,Wh_hp,'2021'!Maxi_hp)</f>
        <v>45.293809105395539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2.9922382198571351E-2</v>
      </c>
      <c r="M83" s="959"/>
      <c r="N83" s="959"/>
      <c r="O83" s="48">
        <f>IF(t&lt;Tnet,'2021'!Resal+('2021'!Salim-'2021'!Resal)*(1-EXP(('2021'!Tnet-t)/('2021'!Tau_j))),Resal+(Salim-Resal)*(1-EXP((Tnet-t)/(Tau_j))))*Salcycl</f>
        <v>4.6343626696849528E-2</v>
      </c>
      <c r="P83" s="339">
        <f>(INDEX(Models!$BJ83:$BT83,,T83)*(1-R83)+INDEX(Models!$BJ83:$BT83,,T83+1)*R83-ERP_i)*Q83*Ramure*Pc/MaxiM</f>
        <v>6.93525783239626E-4</v>
      </c>
      <c r="Q83" s="305">
        <f t="shared" si="28"/>
        <v>0.7</v>
      </c>
      <c r="R83" s="177">
        <f t="shared" si="29"/>
        <v>1.050831978340061E-2</v>
      </c>
      <c r="S83" s="921">
        <f t="shared" si="30"/>
        <v>0</v>
      </c>
      <c r="T83" s="176">
        <f t="shared" si="31"/>
        <v>6</v>
      </c>
      <c r="U83" s="251">
        <f t="shared" si="32"/>
        <v>1.050831978340061E-2</v>
      </c>
      <c r="V83" s="383">
        <f t="shared" si="33"/>
        <v>45.482095352672658</v>
      </c>
      <c r="W83" s="402">
        <f t="shared" si="34"/>
        <v>0</v>
      </c>
      <c r="X83" s="157">
        <f t="shared" si="35"/>
        <v>44630</v>
      </c>
      <c r="Y83" s="385">
        <f t="shared" si="36"/>
        <v>22.974850802591003</v>
      </c>
      <c r="Z83" s="385">
        <f t="shared" si="37"/>
        <v>23.683518082461184</v>
      </c>
      <c r="AA83" s="386">
        <f t="shared" si="38"/>
        <v>26.41168868629709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0.10329406181632517</v>
      </c>
      <c r="AD83" s="231">
        <f>(INDEX(Models!$BJ83:$BT83,,AH83)*(1-AF83)+INDEX(Models!$BJ83:$BT83,,AH83+1)*AF83-ERP_i)*AE83*Ramure*Pc/MaxiM</f>
        <v>6.93525783239626E-4</v>
      </c>
      <c r="AE83" s="305">
        <f t="shared" si="40"/>
        <v>0.7</v>
      </c>
      <c r="AF83" s="177">
        <f t="shared" si="41"/>
        <v>1.050831978340061E-2</v>
      </c>
      <c r="AG83" s="921">
        <f t="shared" si="49"/>
        <v>0</v>
      </c>
      <c r="AH83" s="176">
        <f t="shared" si="42"/>
        <v>6</v>
      </c>
      <c r="AI83" s="225">
        <f t="shared" si="43"/>
        <v>1.050831978340061E-2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092">
        <v>16.289000000000001</v>
      </c>
      <c r="C84" s="955"/>
      <c r="D84" s="393">
        <f t="shared" si="25"/>
        <v>16.791807665490701</v>
      </c>
      <c r="E84" s="385">
        <f t="shared" si="47"/>
        <v>17.611776119317245</v>
      </c>
      <c r="F84" s="385">
        <f t="shared" si="26"/>
        <v>17.612723469957697</v>
      </c>
      <c r="G84" s="110">
        <f t="shared" si="48"/>
        <v>0.35582200513922041</v>
      </c>
      <c r="H84" s="414" t="b">
        <f>Wh_hp&gt;='2021'!Maxi_hp</f>
        <v>0</v>
      </c>
      <c r="I84" s="380">
        <f>IF(H84,Wh_hp,'2021'!Maxi_hp)</f>
        <v>36.273412618426136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2.9943629388039739E-2</v>
      </c>
      <c r="M84" s="959"/>
      <c r="N84" s="959"/>
      <c r="O84" s="48">
        <f>IF(t&lt;Tnet,'2021'!Resal+('2021'!Salim-'2021'!Resal)*(1-EXP(('2021'!Tnet-t)/('2021'!Tau_j))),Resal+(Salim-Resal)*(1-EXP((Tnet-t)/(Tau_j))))*Salcycl</f>
        <v>4.6557964868016492E-2</v>
      </c>
      <c r="P84" s="339">
        <f>(INDEX(Models!$BJ84:$BT84,,T84)*(1-R84)+INDEX(Models!$BJ84:$BT84,,T84+1)*R84-ERP_i)*Q84*Ramure*Pc/MaxiM</f>
        <v>6.7184347300297109E-4</v>
      </c>
      <c r="Q84" s="305">
        <f t="shared" si="28"/>
        <v>0.7</v>
      </c>
      <c r="R84" s="177">
        <f t="shared" si="29"/>
        <v>1.0965923791065459E-2</v>
      </c>
      <c r="S84" s="921">
        <f t="shared" si="30"/>
        <v>0</v>
      </c>
      <c r="T84" s="176">
        <f t="shared" si="31"/>
        <v>6</v>
      </c>
      <c r="U84" s="251">
        <f t="shared" si="32"/>
        <v>1.0965923791065459E-2</v>
      </c>
      <c r="V84" s="383">
        <f t="shared" si="33"/>
        <v>45.750211384910436</v>
      </c>
      <c r="W84" s="402">
        <f t="shared" si="34"/>
        <v>0</v>
      </c>
      <c r="X84" s="157">
        <f t="shared" si="35"/>
        <v>44631</v>
      </c>
      <c r="Y84" s="385">
        <f t="shared" si="36"/>
        <v>15.316903966049432</v>
      </c>
      <c r="Z84" s="385">
        <f t="shared" si="37"/>
        <v>15.789705041972725</v>
      </c>
      <c r="AA84" s="386">
        <f t="shared" si="38"/>
        <v>17.611776119317245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0.10345754255563158</v>
      </c>
      <c r="AD84" s="231">
        <f>(INDEX(Models!$BJ84:$BT84,,AH84)*(1-AF84)+INDEX(Models!$BJ84:$BT84,,AH84+1)*AF84-ERP_i)*AE84*Ramure*Pc/MaxiM</f>
        <v>6.7184347300297109E-4</v>
      </c>
      <c r="AE84" s="305">
        <f t="shared" si="40"/>
        <v>0.7</v>
      </c>
      <c r="AF84" s="177">
        <f t="shared" si="41"/>
        <v>1.0965923791065459E-2</v>
      </c>
      <c r="AG84" s="921">
        <f t="shared" si="49"/>
        <v>0</v>
      </c>
      <c r="AH84" s="176">
        <f t="shared" si="42"/>
        <v>6</v>
      </c>
      <c r="AI84" s="225">
        <f t="shared" si="43"/>
        <v>1.0965923791065459E-2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092">
        <v>13.449</v>
      </c>
      <c r="C85" s="955"/>
      <c r="D85" s="393">
        <f t="shared" si="25"/>
        <v>13.864446419318279</v>
      </c>
      <c r="E85" s="385">
        <f t="shared" si="47"/>
        <v>14.544735839610745</v>
      </c>
      <c r="F85" s="385">
        <f t="shared" si="26"/>
        <v>14.544735839610745</v>
      </c>
      <c r="G85" s="110">
        <f t="shared" si="48"/>
        <v>0.29207524843511212</v>
      </c>
      <c r="H85" s="414" t="b">
        <f>Wh_hp&gt;='2021'!Maxi_hp</f>
        <v>0</v>
      </c>
      <c r="I85" s="380">
        <f>IF(H85,Wh_hp,'2021'!Maxi_hp)</f>
        <v>43.935491435363161</v>
      </c>
      <c r="J85" s="85">
        <f>IF(H85,An,'2021'!An_max)</f>
        <v>2019</v>
      </c>
      <c r="K85" s="197">
        <f t="shared" si="27"/>
        <v>44632</v>
      </c>
      <c r="L85" s="147">
        <f>IF(t&lt;Tvie,1-EXP((T0-t)*PertePVj)+'2021'!Pspv,1-EXP((T0-t)*PertePVj)+Pspv)</f>
        <v>2.9964876112140271E-2</v>
      </c>
      <c r="M85" s="959"/>
      <c r="N85" s="959"/>
      <c r="O85" s="48">
        <f>IF(t&lt;Tnet,'2021'!Resal+('2021'!Salim-'2021'!Resal)*(1-EXP(('2021'!Tnet-t)/('2021'!Tau_j))),Resal+(Salim-Resal)*(1-EXP((Tnet-t)/(Tau_j))))*Salcycl</f>
        <v>4.6772208707963121E-2</v>
      </c>
      <c r="P85" s="339">
        <f>(INDEX(Models!$BJ85:$BT85,,T85)*(1-R85)+INDEX(Models!$BJ85:$BT85,,T85+1)*R85-ERP_i)*Q85*Ramure*Pc/MaxiM</f>
        <v>6.4899373387760327E-4</v>
      </c>
      <c r="Q85" s="305">
        <f t="shared" si="28"/>
        <v>0.7</v>
      </c>
      <c r="R85" s="177">
        <f t="shared" si="29"/>
        <v>1.1441816290420702E-2</v>
      </c>
      <c r="S85" s="921">
        <f t="shared" si="30"/>
        <v>0</v>
      </c>
      <c r="T85" s="176">
        <f t="shared" si="31"/>
        <v>6</v>
      </c>
      <c r="U85" s="251">
        <f t="shared" si="32"/>
        <v>1.1441816290420702E-2</v>
      </c>
      <c r="V85" s="383">
        <f t="shared" si="33"/>
        <v>46.016469232787429</v>
      </c>
      <c r="W85" s="402">
        <f t="shared" si="34"/>
        <v>0</v>
      </c>
      <c r="X85" s="157">
        <f t="shared" si="35"/>
        <v>44632</v>
      </c>
      <c r="Y85" s="385">
        <f t="shared" si="36"/>
        <v>12.646924608944017</v>
      </c>
      <c r="Z85" s="385">
        <f t="shared" si="37"/>
        <v>13.037594513336463</v>
      </c>
      <c r="AA85" s="386">
        <f t="shared" si="38"/>
        <v>14.544735839610745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0.10362108620562042</v>
      </c>
      <c r="AD85" s="231">
        <f>(INDEX(Models!$BJ85:$BT85,,AH85)*(1-AF85)+INDEX(Models!$BJ85:$BT85,,AH85+1)*AF85-ERP_i)*AE85*Ramure*Pc/MaxiM</f>
        <v>6.4899373387760327E-4</v>
      </c>
      <c r="AE85" s="305">
        <f t="shared" si="40"/>
        <v>0.7</v>
      </c>
      <c r="AF85" s="177">
        <f t="shared" si="41"/>
        <v>1.1441816290420702E-2</v>
      </c>
      <c r="AG85" s="921">
        <f t="shared" si="49"/>
        <v>0</v>
      </c>
      <c r="AH85" s="176">
        <f t="shared" si="42"/>
        <v>6</v>
      </c>
      <c r="AI85" s="225">
        <f t="shared" si="43"/>
        <v>1.1441816290420702E-2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092">
        <v>12.657999999999999</v>
      </c>
      <c r="C86" s="955"/>
      <c r="D86" s="393">
        <f t="shared" si="25"/>
        <v>13.049297841942588</v>
      </c>
      <c r="E86" s="385">
        <f t="shared" si="47"/>
        <v>13.692666589487654</v>
      </c>
      <c r="F86" s="385">
        <f t="shared" si="26"/>
        <v>13.692666589487654</v>
      </c>
      <c r="G86" s="110">
        <f t="shared" si="48"/>
        <v>0.27333476076232027</v>
      </c>
      <c r="H86" s="414" t="b">
        <f>Wh_hp&gt;='2021'!Maxi_hp</f>
        <v>0</v>
      </c>
      <c r="I86" s="380">
        <f>IF(H86,Wh_hp,'2021'!Maxi_hp)</f>
        <v>42.800557177693996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2.9986122370882939E-2</v>
      </c>
      <c r="M86" s="959"/>
      <c r="N86" s="959"/>
      <c r="O86" s="48">
        <f>IF(t&lt;Tnet,'2021'!Resal+('2021'!Salim-'2021'!Resal)*(1-EXP(('2021'!Tnet-t)/('2021'!Tau_j))),Resal+(Salim-Resal)*(1-EXP((Tnet-t)/(Tau_j))))*Salcycl</f>
        <v>4.6986373570141786E-2</v>
      </c>
      <c r="P86" s="339">
        <f>(INDEX(Models!$BJ86:$BT86,,T86)*(1-R86)+INDEX(Models!$BJ86:$BT86,,T86+1)*R86-ERP_i)*Q86*Ramure*Pc/MaxiM</f>
        <v>6.2560007666269109E-4</v>
      </c>
      <c r="Q86" s="305">
        <f t="shared" si="28"/>
        <v>0.7</v>
      </c>
      <c r="R86" s="177">
        <f t="shared" si="29"/>
        <v>1.1936689537266485E-2</v>
      </c>
      <c r="S86" s="921">
        <f t="shared" si="30"/>
        <v>0</v>
      </c>
      <c r="T86" s="176">
        <f t="shared" si="31"/>
        <v>6</v>
      </c>
      <c r="U86" s="251">
        <f t="shared" si="32"/>
        <v>1.1936689537266485E-2</v>
      </c>
      <c r="V86" s="383">
        <f t="shared" si="33"/>
        <v>46.280543019662062</v>
      </c>
      <c r="W86" s="402">
        <f t="shared" si="34"/>
        <v>0</v>
      </c>
      <c r="X86" s="157">
        <f t="shared" si="35"/>
        <v>44633</v>
      </c>
      <c r="Y86" s="385">
        <f t="shared" si="36"/>
        <v>11.903599949943271</v>
      </c>
      <c r="Z86" s="385">
        <f t="shared" si="37"/>
        <v>12.271576958298517</v>
      </c>
      <c r="AA86" s="386">
        <f t="shared" si="38"/>
        <v>13.692666589487654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0.1037847246116515</v>
      </c>
      <c r="AD86" s="231">
        <f>(INDEX(Models!$BJ86:$BT86,,AH86)*(1-AF86)+INDEX(Models!$BJ86:$BT86,,AH86+1)*AF86-ERP_i)*AE86*Ramure*Pc/MaxiM</f>
        <v>6.2560007666269109E-4</v>
      </c>
      <c r="AE86" s="305">
        <f t="shared" si="40"/>
        <v>0.7</v>
      </c>
      <c r="AF86" s="177">
        <f t="shared" si="41"/>
        <v>1.1936689537266485E-2</v>
      </c>
      <c r="AG86" s="921">
        <f t="shared" si="49"/>
        <v>0</v>
      </c>
      <c r="AH86" s="176">
        <f t="shared" si="42"/>
        <v>6</v>
      </c>
      <c r="AI86" s="225">
        <f t="shared" si="43"/>
        <v>1.1936689537266485E-2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092">
        <v>13.371</v>
      </c>
      <c r="C87" s="955"/>
      <c r="D87" s="393">
        <f t="shared" si="25"/>
        <v>13.78464079123491</v>
      </c>
      <c r="E87" s="385">
        <f t="shared" si="47"/>
        <v>14.467514350933982</v>
      </c>
      <c r="F87" s="385">
        <f t="shared" si="26"/>
        <v>14.467514350933982</v>
      </c>
      <c r="G87" s="110">
        <f t="shared" si="48"/>
        <v>0.28711521383621752</v>
      </c>
      <c r="H87" s="414" t="b">
        <f>Wh_hp&gt;='2021'!Maxi_hp</f>
        <v>0</v>
      </c>
      <c r="I87" s="380">
        <f>IF(H87,Wh_hp,'2021'!Maxi_hp)</f>
        <v>36.891466840324576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3.0007368164277959E-2</v>
      </c>
      <c r="M87" s="959"/>
      <c r="N87" s="959"/>
      <c r="O87" s="48">
        <f>IF(t&lt;Tnet,'2021'!Resal+('2021'!Salim-'2021'!Resal)*(1-EXP(('2021'!Tnet-t)/('2021'!Tau_j))),Resal+(Salim-Resal)*(1-EXP((Tnet-t)/(Tau_j))))*Salcycl</f>
        <v>4.7200475709567022E-2</v>
      </c>
      <c r="P87" s="339">
        <f>(INDEX(Models!$BJ87:$BT87,,T87)*(1-R87)+INDEX(Models!$BJ87:$BT87,,T87+1)*R87-ERP_i)*Q87*Ramure*Pc/MaxiM</f>
        <v>6.0280044253823003E-4</v>
      </c>
      <c r="Q87" s="305">
        <f t="shared" si="28"/>
        <v>0.7</v>
      </c>
      <c r="R87" s="177">
        <f t="shared" si="29"/>
        <v>1.2451258770304119E-2</v>
      </c>
      <c r="S87" s="921">
        <f t="shared" si="30"/>
        <v>0</v>
      </c>
      <c r="T87" s="176">
        <f t="shared" si="31"/>
        <v>6</v>
      </c>
      <c r="U87" s="251">
        <f t="shared" si="32"/>
        <v>1.2451258770304119E-2</v>
      </c>
      <c r="V87" s="383">
        <f t="shared" si="33"/>
        <v>46.542082450934139</v>
      </c>
      <c r="W87" s="402">
        <f t="shared" si="34"/>
        <v>0</v>
      </c>
      <c r="X87" s="157">
        <f t="shared" si="35"/>
        <v>44634</v>
      </c>
      <c r="Y87" s="385">
        <f t="shared" si="36"/>
        <v>12.574633402037209</v>
      </c>
      <c r="Z87" s="385">
        <f t="shared" si="37"/>
        <v>12.963638062115558</v>
      </c>
      <c r="AA87" s="386">
        <f t="shared" si="38"/>
        <v>14.467514350933982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0.10394849124316484</v>
      </c>
      <c r="AD87" s="231">
        <f>(INDEX(Models!$BJ87:$BT87,,AH87)*(1-AF87)+INDEX(Models!$BJ87:$BT87,,AH87+1)*AF87-ERP_i)*AE87*Ramure*Pc/MaxiM</f>
        <v>6.0280044253823003E-4</v>
      </c>
      <c r="AE87" s="305">
        <f t="shared" si="40"/>
        <v>0.7</v>
      </c>
      <c r="AF87" s="177">
        <f t="shared" si="41"/>
        <v>1.2451258770304119E-2</v>
      </c>
      <c r="AG87" s="921">
        <f t="shared" si="49"/>
        <v>0</v>
      </c>
      <c r="AH87" s="176">
        <f t="shared" si="42"/>
        <v>6</v>
      </c>
      <c r="AI87" s="225">
        <f t="shared" si="43"/>
        <v>1.2451258770304119E-2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092">
        <v>15.178000000000001</v>
      </c>
      <c r="C88" s="955"/>
      <c r="D88" s="393">
        <f t="shared" si="25"/>
        <v>15.647884268676899</v>
      </c>
      <c r="E88" s="385">
        <f t="shared" si="47"/>
        <v>16.426750982844382</v>
      </c>
      <c r="F88" s="385">
        <f t="shared" si="26"/>
        <v>16.427082210635593</v>
      </c>
      <c r="G88" s="110">
        <f t="shared" si="48"/>
        <v>0.32412901044869941</v>
      </c>
      <c r="H88" s="414" t="b">
        <f>Wh_hp&gt;='2021'!Maxi_hp</f>
        <v>0</v>
      </c>
      <c r="I88" s="380">
        <f>IF(H88,Wh_hp,'2021'!Maxi_hp)</f>
        <v>34.951737117929945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3.0028613492335654E-2</v>
      </c>
      <c r="M88" s="959"/>
      <c r="N88" s="959"/>
      <c r="O88" s="48">
        <f>IF(t&lt;Tnet,'2021'!Resal+('2021'!Salim-'2021'!Resal)*(1-EXP(('2021'!Tnet-t)/('2021'!Tau_j))),Resal+(Salim-Resal)*(1-EXP((Tnet-t)/(Tau_j))))*Salcycl</f>
        <v>4.7414532245658912E-2</v>
      </c>
      <c r="P88" s="339">
        <f>(INDEX(Models!$BJ88:$BT88,,T88)*(1-R88)+INDEX(Models!$BJ88:$BT88,,T88+1)*R88-ERP_i)*Q88*Ramure*Pc/MaxiM</f>
        <v>5.8058492634993619E-4</v>
      </c>
      <c r="Q88" s="305">
        <f t="shared" si="28"/>
        <v>0.7</v>
      </c>
      <c r="R88" s="177">
        <f t="shared" si="29"/>
        <v>1.298626270193572E-2</v>
      </c>
      <c r="S88" s="921">
        <f t="shared" si="30"/>
        <v>0</v>
      </c>
      <c r="T88" s="176">
        <f t="shared" si="31"/>
        <v>6</v>
      </c>
      <c r="U88" s="251">
        <f t="shared" si="32"/>
        <v>1.298626270193572E-2</v>
      </c>
      <c r="V88" s="383">
        <f t="shared" si="33"/>
        <v>46.800790004480874</v>
      </c>
      <c r="W88" s="402">
        <f t="shared" si="34"/>
        <v>0</v>
      </c>
      <c r="X88" s="157">
        <f t="shared" si="35"/>
        <v>44635</v>
      </c>
      <c r="Y88" s="385">
        <f t="shared" si="36"/>
        <v>14.274605411233846</v>
      </c>
      <c r="Z88" s="385">
        <f t="shared" si="37"/>
        <v>14.716522167348545</v>
      </c>
      <c r="AA88" s="386">
        <f t="shared" si="38"/>
        <v>16.426750982844382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0.10411242109178798</v>
      </c>
      <c r="AD88" s="231">
        <f>(INDEX(Models!$BJ88:$BT88,,AH88)*(1-AF88)+INDEX(Models!$BJ88:$BT88,,AH88+1)*AF88-ERP_i)*AE88*Ramure*Pc/MaxiM</f>
        <v>5.8058492634993619E-4</v>
      </c>
      <c r="AE88" s="305">
        <f t="shared" si="40"/>
        <v>0.7</v>
      </c>
      <c r="AF88" s="177">
        <f t="shared" si="41"/>
        <v>1.298626270193572E-2</v>
      </c>
      <c r="AG88" s="921">
        <f t="shared" si="49"/>
        <v>0</v>
      </c>
      <c r="AH88" s="176">
        <f t="shared" si="42"/>
        <v>6</v>
      </c>
      <c r="AI88" s="225">
        <f t="shared" si="43"/>
        <v>1.298626270193572E-2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092">
        <v>10.417</v>
      </c>
      <c r="C89" s="955"/>
      <c r="D89" s="393">
        <f t="shared" si="25"/>
        <v>10.739727283645589</v>
      </c>
      <c r="E89" s="385">
        <f t="shared" si="47"/>
        <v>11.27682629404627</v>
      </c>
      <c r="F89" s="385">
        <f t="shared" si="26"/>
        <v>11.27682629404627</v>
      </c>
      <c r="G89" s="110">
        <f t="shared" si="48"/>
        <v>0.22124906451080814</v>
      </c>
      <c r="H89" s="414" t="b">
        <f>Wh_hp&gt;='2021'!Maxi_hp</f>
        <v>0</v>
      </c>
      <c r="I89" s="380">
        <f>IF(H89,Wh_hp,'2021'!Maxi_hp)</f>
        <v>52.275659986289419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3.0049858355066128E-2</v>
      </c>
      <c r="M89" s="959"/>
      <c r="N89" s="959"/>
      <c r="O89" s="48">
        <f>IF(t&lt;Tnet,'2021'!Resal+('2021'!Salim-'2021'!Resal)*(1-EXP(('2021'!Tnet-t)/('2021'!Tau_j))),Resal+(Salim-Resal)*(1-EXP((Tnet-t)/(Tau_j))))*Salcycl</f>
        <v>4.7628561121336815E-2</v>
      </c>
      <c r="P89" s="339">
        <f>(INDEX(Models!$BJ89:$BT89,,T89)*(1-R89)+INDEX(Models!$BJ89:$BT89,,T89+1)*R89-ERP_i)*Q89*Ramure*Pc/MaxiM</f>
        <v>5.5894326714114081E-4</v>
      </c>
      <c r="Q89" s="305">
        <f t="shared" si="28"/>
        <v>0.7</v>
      </c>
      <c r="R89" s="177">
        <f t="shared" si="29"/>
        <v>1.3542463994707647E-2</v>
      </c>
      <c r="S89" s="921">
        <f t="shared" si="30"/>
        <v>0</v>
      </c>
      <c r="T89" s="176">
        <f t="shared" si="31"/>
        <v>6</v>
      </c>
      <c r="U89" s="251">
        <f t="shared" si="32"/>
        <v>1.3542463994707647E-2</v>
      </c>
      <c r="V89" s="383">
        <f t="shared" si="33"/>
        <v>47.05636840095022</v>
      </c>
      <c r="W89" s="402">
        <f t="shared" si="34"/>
        <v>0</v>
      </c>
      <c r="X89" s="157">
        <f t="shared" si="35"/>
        <v>44636</v>
      </c>
      <c r="Y89" s="385">
        <f t="shared" si="36"/>
        <v>9.797386599254418</v>
      </c>
      <c r="Z89" s="385">
        <f t="shared" si="37"/>
        <v>10.100917746801992</v>
      </c>
      <c r="AA89" s="386">
        <f t="shared" si="38"/>
        <v>11.27682629404627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0.10427655056326546</v>
      </c>
      <c r="AD89" s="231">
        <f>(INDEX(Models!$BJ89:$BT89,,AH89)*(1-AF89)+INDEX(Models!$BJ89:$BT89,,AH89+1)*AF89-ERP_i)*AE89*Ramure*Pc/MaxiM</f>
        <v>5.5894326714114081E-4</v>
      </c>
      <c r="AE89" s="305">
        <f t="shared" si="40"/>
        <v>0.7</v>
      </c>
      <c r="AF89" s="177">
        <f t="shared" si="41"/>
        <v>1.3542463994707647E-2</v>
      </c>
      <c r="AG89" s="921">
        <f t="shared" si="49"/>
        <v>0</v>
      </c>
      <c r="AH89" s="176">
        <f t="shared" si="42"/>
        <v>6</v>
      </c>
      <c r="AI89" s="225">
        <f t="shared" si="43"/>
        <v>1.3542463994707647E-2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092">
        <v>11.279</v>
      </c>
      <c r="C90" s="955"/>
      <c r="D90" s="393">
        <f t="shared" si="25"/>
        <v>11.628687455346185</v>
      </c>
      <c r="E90" s="385">
        <f t="shared" si="47"/>
        <v>12.21298833997125</v>
      </c>
      <c r="F90" s="385">
        <f t="shared" si="26"/>
        <v>12.21298833997125</v>
      </c>
      <c r="G90" s="110">
        <f t="shared" si="48"/>
        <v>0.23828547747344861</v>
      </c>
      <c r="H90" s="414" t="b">
        <f>Wh_hp&gt;='2021'!Maxi_hp</f>
        <v>0</v>
      </c>
      <c r="I90" s="380">
        <f>IF(H90,Wh_hp,'2021'!Maxi_hp)</f>
        <v>27.107916637934526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3.0071102752479484E-2</v>
      </c>
      <c r="M90" s="959"/>
      <c r="N90" s="959"/>
      <c r="O90" s="48">
        <f>IF(t&lt;Tnet,'2021'!Resal+('2021'!Salim-'2021'!Resal)*(1-EXP(('2021'!Tnet-t)/('2021'!Tau_j))),Resal+(Salim-Resal)*(1-EXP((Tnet-t)/(Tau_j))))*Salcycl</f>
        <v>4.7842581058784597E-2</v>
      </c>
      <c r="P90" s="339">
        <f>(INDEX(Models!$BJ90:$BT90,,T90)*(1-R90)+INDEX(Models!$BJ90:$BT90,,T90+1)*R90-ERP_i)*Q90*Ramure*Pc/MaxiM</f>
        <v>5.3786487289881246E-4</v>
      </c>
      <c r="Q90" s="305">
        <f t="shared" si="28"/>
        <v>0.7</v>
      </c>
      <c r="R90" s="177">
        <f t="shared" si="29"/>
        <v>1.4120649720471896E-2</v>
      </c>
      <c r="S90" s="921">
        <f t="shared" si="30"/>
        <v>0</v>
      </c>
      <c r="T90" s="176">
        <f t="shared" si="31"/>
        <v>6</v>
      </c>
      <c r="U90" s="251">
        <f t="shared" si="32"/>
        <v>1.4120649720471896E-2</v>
      </c>
      <c r="V90" s="383">
        <f t="shared" si="33"/>
        <v>47.308520609925466</v>
      </c>
      <c r="W90" s="402">
        <f t="shared" si="34"/>
        <v>0</v>
      </c>
      <c r="X90" s="157">
        <f t="shared" si="35"/>
        <v>44637</v>
      </c>
      <c r="Y90" s="385">
        <f t="shared" si="36"/>
        <v>10.608551371979077</v>
      </c>
      <c r="Z90" s="385">
        <f t="shared" si="37"/>
        <v>10.93745263398605</v>
      </c>
      <c r="AA90" s="386">
        <f t="shared" si="38"/>
        <v>12.21298833997125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0.10444091736422664</v>
      </c>
      <c r="AD90" s="231">
        <f>(INDEX(Models!$BJ90:$BT90,,AH90)*(1-AF90)+INDEX(Models!$BJ90:$BT90,,AH90+1)*AF90-ERP_i)*AE90*Ramure*Pc/MaxiM</f>
        <v>5.3786487289881246E-4</v>
      </c>
      <c r="AE90" s="305">
        <f t="shared" si="40"/>
        <v>0.7</v>
      </c>
      <c r="AF90" s="177">
        <f t="shared" si="41"/>
        <v>1.4120649720471896E-2</v>
      </c>
      <c r="AG90" s="921">
        <f t="shared" si="49"/>
        <v>0</v>
      </c>
      <c r="AH90" s="176">
        <f t="shared" si="42"/>
        <v>6</v>
      </c>
      <c r="AI90" s="225">
        <f t="shared" si="43"/>
        <v>1.4120649720471896E-2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092">
        <v>13.832000000000001</v>
      </c>
      <c r="C91" s="955"/>
      <c r="D91" s="393">
        <f t="shared" si="25"/>
        <v>14.26115151552664</v>
      </c>
      <c r="E91" s="385">
        <f t="shared" si="47"/>
        <v>14.981092035507302</v>
      </c>
      <c r="F91" s="385">
        <f t="shared" si="26"/>
        <v>14.981092035507302</v>
      </c>
      <c r="G91" s="110">
        <f t="shared" si="48"/>
        <v>0.29070081689867916</v>
      </c>
      <c r="H91" s="414" t="b">
        <f>Wh_hp&gt;='2021'!Maxi_hp</f>
        <v>0</v>
      </c>
      <c r="I91" s="380">
        <f>IF(H91,Wh_hp,'2021'!Maxi_hp)</f>
        <v>38.270489516966428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3.0092346684586158E-2</v>
      </c>
      <c r="M91" s="959"/>
      <c r="N91" s="959"/>
      <c r="O91" s="48">
        <f>IF(t&lt;Tnet,'2021'!Resal+('2021'!Salim-'2021'!Resal)*(1-EXP(('2021'!Tnet-t)/('2021'!Tau_j))),Resal+(Salim-Resal)*(1-EXP((Tnet-t)/(Tau_j))))*Salcycl</f>
        <v>4.8056611512318388E-2</v>
      </c>
      <c r="P91" s="339">
        <f>(INDEX(Models!$BJ91:$BT91,,T91)*(1-R91)+INDEX(Models!$BJ91:$BT91,,T91+1)*R91-ERP_i)*Q91*Ramure*Pc/MaxiM</f>
        <v>5.1733884479878041E-4</v>
      </c>
      <c r="Q91" s="305">
        <f t="shared" si="28"/>
        <v>0.7</v>
      </c>
      <c r="R91" s="177">
        <f t="shared" si="29"/>
        <v>1.4721631799097324E-2</v>
      </c>
      <c r="S91" s="921">
        <f t="shared" si="30"/>
        <v>0</v>
      </c>
      <c r="T91" s="176">
        <f t="shared" si="31"/>
        <v>6</v>
      </c>
      <c r="U91" s="251">
        <f t="shared" si="32"/>
        <v>1.4721631799097324E-2</v>
      </c>
      <c r="V91" s="383">
        <f t="shared" si="33"/>
        <v>47.556949844820195</v>
      </c>
      <c r="W91" s="402">
        <f t="shared" si="34"/>
        <v>0</v>
      </c>
      <c r="X91" s="157">
        <f t="shared" si="35"/>
        <v>44638</v>
      </c>
      <c r="Y91" s="385">
        <f t="shared" si="36"/>
        <v>13.010328175536921</v>
      </c>
      <c r="Z91" s="385">
        <f t="shared" si="37"/>
        <v>13.413986507956716</v>
      </c>
      <c r="AA91" s="386">
        <f t="shared" si="38"/>
        <v>14.981092035507302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0.10460556038480537</v>
      </c>
      <c r="AD91" s="231">
        <f>(INDEX(Models!$BJ91:$BT91,,AH91)*(1-AF91)+INDEX(Models!$BJ91:$BT91,,AH91+1)*AF91-ERP_i)*AE91*Ramure*Pc/MaxiM</f>
        <v>5.1733884479878041E-4</v>
      </c>
      <c r="AE91" s="305">
        <f t="shared" si="40"/>
        <v>0.7</v>
      </c>
      <c r="AF91" s="177">
        <f t="shared" si="41"/>
        <v>1.4721631799097324E-2</v>
      </c>
      <c r="AG91" s="921">
        <f t="shared" si="49"/>
        <v>0</v>
      </c>
      <c r="AH91" s="176">
        <f t="shared" si="42"/>
        <v>6</v>
      </c>
      <c r="AI91" s="225">
        <f t="shared" si="43"/>
        <v>1.4721631799097324E-2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092">
        <v>31.69</v>
      </c>
      <c r="C92" s="955"/>
      <c r="D92" s="393">
        <f t="shared" si="25"/>
        <v>32.673929316059507</v>
      </c>
      <c r="E92" s="385">
        <f t="shared" si="47"/>
        <v>34.331115345542131</v>
      </c>
      <c r="F92" s="385">
        <f t="shared" si="26"/>
        <v>34.339970915515501</v>
      </c>
      <c r="G92" s="110">
        <f t="shared" si="48"/>
        <v>0.66279305389411702</v>
      </c>
      <c r="H92" s="414" t="b">
        <f>Wh_hp&gt;='2021'!Maxi_hp</f>
        <v>0</v>
      </c>
      <c r="I92" s="380">
        <f>IF(H92,Wh_hp,'2021'!Maxi_hp)</f>
        <v>46.831517578729603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3.0113590151396141E-2</v>
      </c>
      <c r="M92" s="959"/>
      <c r="N92" s="959"/>
      <c r="O92" s="48">
        <f>IF(t&lt;Tnet,'2021'!Resal+('2021'!Salim-'2021'!Resal)*(1-EXP(('2021'!Tnet-t)/('2021'!Tau_j))),Resal+(Salim-Resal)*(1-EXP((Tnet-t)/(Tau_j))))*Salcycl</f>
        <v>4.8270672618791192E-2</v>
      </c>
      <c r="P92" s="339">
        <f>(INDEX(Models!$BJ92:$BT92,,T92)*(1-R92)+INDEX(Models!$BJ92:$BT92,,T92+1)*R92-ERP_i)*Q92*Ramure*Pc/MaxiM</f>
        <v>4.9735400063668101E-4</v>
      </c>
      <c r="Q92" s="305">
        <f t="shared" si="28"/>
        <v>0.7</v>
      </c>
      <c r="R92" s="177">
        <f t="shared" si="29"/>
        <v>1.5346247413303911E-2</v>
      </c>
      <c r="S92" s="921">
        <f t="shared" si="30"/>
        <v>0</v>
      </c>
      <c r="T92" s="176">
        <f t="shared" si="31"/>
        <v>6</v>
      </c>
      <c r="U92" s="251">
        <f t="shared" si="32"/>
        <v>1.5346247413303911E-2</v>
      </c>
      <c r="V92" s="383">
        <f t="shared" si="33"/>
        <v>47.801359572474823</v>
      </c>
      <c r="W92" s="402">
        <f t="shared" si="34"/>
        <v>0</v>
      </c>
      <c r="X92" s="157">
        <f t="shared" si="35"/>
        <v>44639</v>
      </c>
      <c r="Y92" s="385">
        <f t="shared" si="36"/>
        <v>29.808708651053728</v>
      </c>
      <c r="Z92" s="385">
        <f t="shared" si="37"/>
        <v>30.734226553093748</v>
      </c>
      <c r="AA92" s="386">
        <f t="shared" si="38"/>
        <v>34.331115345542131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0.10477051957810733</v>
      </c>
      <c r="AD92" s="231">
        <f>(INDEX(Models!$BJ92:$BT92,,AH92)*(1-AF92)+INDEX(Models!$BJ92:$BT92,,AH92+1)*AF92-ERP_i)*AE92*Ramure*Pc/MaxiM</f>
        <v>4.9735400063668101E-4</v>
      </c>
      <c r="AE92" s="305">
        <f t="shared" si="40"/>
        <v>0.7</v>
      </c>
      <c r="AF92" s="177">
        <f t="shared" si="41"/>
        <v>1.5346247413303911E-2</v>
      </c>
      <c r="AG92" s="921">
        <f t="shared" si="49"/>
        <v>0</v>
      </c>
      <c r="AH92" s="176">
        <f t="shared" si="42"/>
        <v>6</v>
      </c>
      <c r="AI92" s="225">
        <f t="shared" si="43"/>
        <v>1.5346247413303911E-2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092">
        <v>32.669000000000004</v>
      </c>
      <c r="C93" s="955"/>
      <c r="D93" s="393">
        <f t="shared" si="25"/>
        <v>33.684063637632384</v>
      </c>
      <c r="E93" s="385">
        <f t="shared" si="47"/>
        <v>35.400446689441175</v>
      </c>
      <c r="F93" s="385">
        <f t="shared" si="26"/>
        <v>35.40963224716468</v>
      </c>
      <c r="G93" s="110">
        <f t="shared" si="48"/>
        <v>0.67983641653426796</v>
      </c>
      <c r="H93" s="414" t="b">
        <f>Wh_hp&gt;='2021'!Maxi_hp</f>
        <v>0</v>
      </c>
      <c r="I93" s="380">
        <f>IF(H93,Wh_hp,'2021'!Maxi_hp)</f>
        <v>53.139538604347429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3.0134833152919649E-2</v>
      </c>
      <c r="M93" s="959"/>
      <c r="N93" s="959"/>
      <c r="O93" s="48">
        <f>IF(t&lt;Tnet,'2021'!Resal+('2021'!Salim-'2021'!Resal)*(1-EXP(('2021'!Tnet-t)/('2021'!Tau_j))),Resal+(Salim-Resal)*(1-EXP((Tnet-t)/(Tau_j))))*Salcycl</f>
        <v>4.8484785145966276E-2</v>
      </c>
      <c r="P93" s="339">
        <f>(INDEX(Models!$BJ93:$BT93,,T93)*(1-R93)+INDEX(Models!$BJ93:$BT93,,T93+1)*R93-ERP_i)*Q93*Ramure*Pc/MaxiM</f>
        <v>4.7787651707856092E-4</v>
      </c>
      <c r="Q93" s="305">
        <f t="shared" si="28"/>
        <v>0.7</v>
      </c>
      <c r="R93" s="177">
        <f t="shared" si="29"/>
        <v>1.5995359395925387E-2</v>
      </c>
      <c r="S93" s="921">
        <f t="shared" si="30"/>
        <v>0</v>
      </c>
      <c r="T93" s="176">
        <f t="shared" si="31"/>
        <v>6</v>
      </c>
      <c r="U93" s="251">
        <f t="shared" si="32"/>
        <v>1.5995359395925387E-2</v>
      </c>
      <c r="V93" s="383">
        <f t="shared" si="33"/>
        <v>48.043706133343846</v>
      </c>
      <c r="W93" s="402">
        <f t="shared" si="34"/>
        <v>0</v>
      </c>
      <c r="X93" s="157">
        <f t="shared" si="35"/>
        <v>44640</v>
      </c>
      <c r="Y93" s="385">
        <f t="shared" si="36"/>
        <v>30.730828811298228</v>
      </c>
      <c r="Z93" s="385">
        <f t="shared" si="37"/>
        <v>31.68567122706407</v>
      </c>
      <c r="AA93" s="386">
        <f t="shared" si="38"/>
        <v>35.400446689441175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0.10493583583749257</v>
      </c>
      <c r="AD93" s="231">
        <f>(INDEX(Models!$BJ93:$BT93,,AH93)*(1-AF93)+INDEX(Models!$BJ93:$BT93,,AH93+1)*AF93-ERP_i)*AE93*Ramure*Pc/MaxiM</f>
        <v>4.7787651707856092E-4</v>
      </c>
      <c r="AE93" s="305">
        <f t="shared" si="40"/>
        <v>0.7</v>
      </c>
      <c r="AF93" s="177">
        <f t="shared" si="41"/>
        <v>1.5995359395925387E-2</v>
      </c>
      <c r="AG93" s="921">
        <f t="shared" si="49"/>
        <v>0</v>
      </c>
      <c r="AH93" s="176">
        <f t="shared" si="42"/>
        <v>6</v>
      </c>
      <c r="AI93" s="225">
        <f t="shared" si="43"/>
        <v>1.5995359395925387E-2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092">
        <v>47.103000000000002</v>
      </c>
      <c r="C94" s="955"/>
      <c r="D94" s="393">
        <f t="shared" si="25"/>
        <v>48.567608477282761</v>
      </c>
      <c r="E94" s="385">
        <f t="shared" si="47"/>
        <v>51.053879863569406</v>
      </c>
      <c r="F94" s="385">
        <f t="shared" si="26"/>
        <v>51.076511578421091</v>
      </c>
      <c r="G94" s="110">
        <f t="shared" si="48"/>
        <v>0.97549122634834051</v>
      </c>
      <c r="H94" s="414" t="b">
        <f>Wh_hp&gt;='2021'!Maxi_hp</f>
        <v>0</v>
      </c>
      <c r="I94" s="380">
        <f>IF(H94,Wh_hp,'2021'!Maxi_hp)</f>
        <v>53.219933275475654</v>
      </c>
      <c r="J94" s="85">
        <f>IF(H94,An,'2021'!An_max)</f>
        <v>2019</v>
      </c>
      <c r="K94" s="197">
        <f t="shared" si="27"/>
        <v>44641</v>
      </c>
      <c r="L94" s="147">
        <f>IF(t&lt;Tvie,1-EXP((T0-t)*PertePVj)+'2021'!Pspv,1-EXP((T0-t)*PertePVj)+Pspv)</f>
        <v>3.0156075689166895E-2</v>
      </c>
      <c r="M94" s="959"/>
      <c r="N94" s="959"/>
      <c r="O94" s="48">
        <f>IF(t&lt;Tnet,'2021'!Resal+('2021'!Salim-'2021'!Resal)*(1-EXP(('2021'!Tnet-t)/('2021'!Tau_j))),Resal+(Salim-Resal)*(1-EXP((Tnet-t)/(Tau_j))))*Salcycl</f>
        <v>4.8698970439282459E-2</v>
      </c>
      <c r="P94" s="339">
        <f>(INDEX(Models!$BJ94:$BT94,,T94)*(1-R94)+INDEX(Models!$BJ94:$BT94,,T94+1)*R94-ERP_i)*Q94*Ramure*Pc/MaxiM</f>
        <v>4.59160458779387E-4</v>
      </c>
      <c r="Q94" s="305">
        <f t="shared" si="28"/>
        <v>0.7</v>
      </c>
      <c r="R94" s="177">
        <f t="shared" si="29"/>
        <v>1.6669856585625593E-2</v>
      </c>
      <c r="S94" s="921">
        <f t="shared" si="30"/>
        <v>0</v>
      </c>
      <c r="T94" s="176">
        <f t="shared" si="31"/>
        <v>6</v>
      </c>
      <c r="U94" s="251">
        <f t="shared" si="32"/>
        <v>1.6669856585625593E-2</v>
      </c>
      <c r="V94" s="383">
        <f t="shared" si="33"/>
        <v>48.285665346268345</v>
      </c>
      <c r="W94" s="402">
        <f t="shared" si="34"/>
        <v>0</v>
      </c>
      <c r="X94" s="157">
        <f t="shared" si="35"/>
        <v>44641</v>
      </c>
      <c r="Y94" s="385">
        <f t="shared" si="36"/>
        <v>44.310265982485781</v>
      </c>
      <c r="Z94" s="385">
        <f t="shared" si="37"/>
        <v>45.688037911844901</v>
      </c>
      <c r="AA94" s="386">
        <f t="shared" si="38"/>
        <v>51.053879863569406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0.1051015508725992</v>
      </c>
      <c r="AD94" s="231">
        <f>(INDEX(Models!$BJ94:$BT94,,AH94)*(1-AF94)+INDEX(Models!$BJ94:$BT94,,AH94+1)*AF94-ERP_i)*AE94*Ramure*Pc/MaxiM</f>
        <v>4.59160458779387E-4</v>
      </c>
      <c r="AE94" s="305">
        <f t="shared" si="40"/>
        <v>0.7</v>
      </c>
      <c r="AF94" s="177">
        <f t="shared" si="41"/>
        <v>1.6669856585625593E-2</v>
      </c>
      <c r="AG94" s="921">
        <f t="shared" si="49"/>
        <v>0</v>
      </c>
      <c r="AH94" s="176">
        <f t="shared" si="42"/>
        <v>6</v>
      </c>
      <c r="AI94" s="225">
        <f t="shared" si="43"/>
        <v>1.6669856585625593E-2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092">
        <v>41.561</v>
      </c>
      <c r="C95" s="955"/>
      <c r="D95" s="393">
        <f t="shared" si="25"/>
        <v>42.854225582776522</v>
      </c>
      <c r="E95" s="385">
        <f t="shared" si="47"/>
        <v>45.058166985642252</v>
      </c>
      <c r="F95" s="385">
        <f t="shared" si="26"/>
        <v>45.073986973960892</v>
      </c>
      <c r="G95" s="110">
        <f t="shared" si="48"/>
        <v>0.85638185190527938</v>
      </c>
      <c r="H95" s="414" t="b">
        <f>Wh_hp&gt;='2021'!Maxi_hp</f>
        <v>0</v>
      </c>
      <c r="I95" s="380">
        <f>IF(H95,Wh_hp,'2021'!Maxi_hp)</f>
        <v>52.117627843898426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3.0177317760148203E-2</v>
      </c>
      <c r="M95" s="959"/>
      <c r="N95" s="959"/>
      <c r="O95" s="48">
        <f>IF(t&lt;Tnet,'2021'!Resal+('2021'!Salim-'2021'!Resal)*(1-EXP(('2021'!Tnet-t)/('2021'!Tau_j))),Resal+(Salim-Resal)*(1-EXP((Tnet-t)/(Tau_j))))*Salcycl</f>
        <v>4.8913250367419878E-2</v>
      </c>
      <c r="P95" s="339">
        <f>(INDEX(Models!$BJ95:$BT95,,T95)*(1-R95)+INDEX(Models!$BJ95:$BT95,,T95+1)*R95-ERP_i)*Q95*Ramure*Pc/MaxiM</f>
        <v>4.415142501302769E-4</v>
      </c>
      <c r="Q95" s="305">
        <f t="shared" si="28"/>
        <v>0.7</v>
      </c>
      <c r="R95" s="177">
        <f t="shared" si="29"/>
        <v>1.7370654146800304E-2</v>
      </c>
      <c r="S95" s="921">
        <f t="shared" si="30"/>
        <v>0</v>
      </c>
      <c r="T95" s="176">
        <f t="shared" si="31"/>
        <v>6</v>
      </c>
      <c r="U95" s="251">
        <f t="shared" si="32"/>
        <v>1.7370654146800304E-2</v>
      </c>
      <c r="V95" s="383">
        <f t="shared" si="33"/>
        <v>48.526525660296649</v>
      </c>
      <c r="W95" s="402">
        <f t="shared" si="34"/>
        <v>0</v>
      </c>
      <c r="X95" s="157">
        <f t="shared" si="35"/>
        <v>44642</v>
      </c>
      <c r="Y95" s="385">
        <f t="shared" si="36"/>
        <v>39.098398584783794</v>
      </c>
      <c r="Z95" s="385">
        <f t="shared" si="37"/>
        <v>40.314997061611486</v>
      </c>
      <c r="AA95" s="386">
        <f t="shared" si="38"/>
        <v>45.058166985642252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0.10526770708498133</v>
      </c>
      <c r="AD95" s="231">
        <f>(INDEX(Models!$BJ95:$BT95,,AH95)*(1-AF95)+INDEX(Models!$BJ95:$BT95,,AH95+1)*AF95-ERP_i)*AE95*Ramure*Pc/MaxiM</f>
        <v>4.415142501302769E-4</v>
      </c>
      <c r="AE95" s="305">
        <f t="shared" si="40"/>
        <v>0.7</v>
      </c>
      <c r="AF95" s="177">
        <f t="shared" si="41"/>
        <v>1.7370654146800304E-2</v>
      </c>
      <c r="AG95" s="921">
        <f t="shared" si="49"/>
        <v>0</v>
      </c>
      <c r="AH95" s="176">
        <f t="shared" si="42"/>
        <v>6</v>
      </c>
      <c r="AI95" s="225">
        <f t="shared" si="43"/>
        <v>1.7370654146800304E-2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092">
        <v>48.933999999999997</v>
      </c>
      <c r="C96" s="955"/>
      <c r="D96" s="393">
        <f t="shared" si="25"/>
        <v>50.457751401156308</v>
      </c>
      <c r="E96" s="385">
        <f t="shared" si="47"/>
        <v>53.064695020455048</v>
      </c>
      <c r="F96" s="385">
        <f t="shared" si="26"/>
        <v>53.087253194145475</v>
      </c>
      <c r="G96" s="110">
        <f t="shared" si="48"/>
        <v>1.0034534301766027</v>
      </c>
      <c r="H96" s="414" t="b">
        <f>Wh_hp&gt;='2021'!Maxi_hp</f>
        <v>1</v>
      </c>
      <c r="I96" s="380">
        <f>IF(H96,Wh_hp,'2021'!Maxi_hp)</f>
        <v>53.087253194145475</v>
      </c>
      <c r="J96" s="85">
        <f>IF(H96,An,'2021'!An_max)</f>
        <v>2022</v>
      </c>
      <c r="K96" s="197">
        <f t="shared" si="27"/>
        <v>44643</v>
      </c>
      <c r="L96" s="147">
        <f>IF(t&lt;Tvie,1-EXP((T0-t)*PertePVj)+'2021'!Pspv,1-EXP((T0-t)*PertePVj)+Pspv)</f>
        <v>3.0198559365873567E-2</v>
      </c>
      <c r="M96" s="959"/>
      <c r="N96" s="959"/>
      <c r="O96" s="48">
        <f>IF(t&lt;Tnet,'2021'!Resal+('2021'!Salim-'2021'!Resal)*(1-EXP(('2021'!Tnet-t)/('2021'!Tau_j))),Resal+(Salim-Resal)*(1-EXP((Tnet-t)/(Tau_j))))*Salcycl</f>
        <v>4.9127647267054528E-2</v>
      </c>
      <c r="P96" s="339">
        <f>(INDEX(Models!$BJ96:$BT96,,T96)*(1-R96)+INDEX(Models!$BJ96:$BT96,,T96+1)*R96-ERP_i)*Q96*Ramure*Pc/MaxiM</f>
        <v>4.2492636806680956E-4</v>
      </c>
      <c r="Q96" s="305">
        <f t="shared" si="28"/>
        <v>0.7</v>
      </c>
      <c r="R96" s="177">
        <f t="shared" si="29"/>
        <v>1.8098693849094946E-2</v>
      </c>
      <c r="S96" s="921">
        <f t="shared" si="30"/>
        <v>0</v>
      </c>
      <c r="T96" s="176">
        <f t="shared" si="31"/>
        <v>6</v>
      </c>
      <c r="U96" s="251">
        <f t="shared" si="32"/>
        <v>1.8098693849094946E-2</v>
      </c>
      <c r="V96" s="383">
        <f t="shared" si="33"/>
        <v>48.765591434958623</v>
      </c>
      <c r="W96" s="402">
        <f t="shared" si="34"/>
        <v>0</v>
      </c>
      <c r="X96" s="157">
        <f t="shared" si="35"/>
        <v>44643</v>
      </c>
      <c r="Y96" s="385">
        <f t="shared" si="36"/>
        <v>46.036332338775111</v>
      </c>
      <c r="Z96" s="385">
        <f t="shared" si="37"/>
        <v>47.469853528649352</v>
      </c>
      <c r="AA96" s="386">
        <f t="shared" si="38"/>
        <v>53.064695020455048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0.10543434744417221</v>
      </c>
      <c r="AD96" s="231">
        <f>(INDEX(Models!$BJ96:$BT96,,AH96)*(1-AF96)+INDEX(Models!$BJ96:$BT96,,AH96+1)*AF96-ERP_i)*AE96*Ramure*Pc/MaxiM</f>
        <v>4.2492636806680956E-4</v>
      </c>
      <c r="AE96" s="305">
        <f t="shared" si="40"/>
        <v>0.7</v>
      </c>
      <c r="AF96" s="177">
        <f t="shared" si="41"/>
        <v>1.8098693849094946E-2</v>
      </c>
      <c r="AG96" s="921">
        <f t="shared" si="49"/>
        <v>0</v>
      </c>
      <c r="AH96" s="176">
        <f t="shared" si="42"/>
        <v>6</v>
      </c>
      <c r="AI96" s="225">
        <f t="shared" si="43"/>
        <v>1.8098693849094946E-2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092">
        <v>46.053000000000004</v>
      </c>
      <c r="C97" s="955"/>
      <c r="D97" s="393">
        <f t="shared" si="25"/>
        <v>47.488080313503765</v>
      </c>
      <c r="E97" s="385">
        <f t="shared" si="47"/>
        <v>49.952863699873369</v>
      </c>
      <c r="F97" s="385">
        <f t="shared" si="26"/>
        <v>49.97156240076113</v>
      </c>
      <c r="G97" s="110">
        <f t="shared" si="48"/>
        <v>0.9397824751432764</v>
      </c>
      <c r="H97" s="414" t="b">
        <f>Wh_hp&gt;='2021'!Maxi_hp</f>
        <v>0</v>
      </c>
      <c r="I97" s="380">
        <f>IF(H97,Wh_hp,'2021'!Maxi_hp)</f>
        <v>52.635831121779191</v>
      </c>
      <c r="J97" s="85">
        <f>IF(H97,An,'2021'!An_max)</f>
        <v>2019</v>
      </c>
      <c r="K97" s="197">
        <f t="shared" si="27"/>
        <v>44644</v>
      </c>
      <c r="L97" s="147">
        <f>IF(t&lt;Tvie,1-EXP((T0-t)*PertePVj)+'2021'!Pspv,1-EXP((T0-t)*PertePVj)+Pspv)</f>
        <v>3.02198005063532E-2</v>
      </c>
      <c r="M97" s="959"/>
      <c r="N97" s="959"/>
      <c r="O97" s="48">
        <f>IF(t&lt;Tnet,'2021'!Resal+('2021'!Salim-'2021'!Resal)*(1-EXP(('2021'!Tnet-t)/('2021'!Tau_j))),Resal+(Salim-Resal)*(1-EXP((Tnet-t)/(Tau_j))))*Salcycl</f>
        <v>4.9342183887164257E-2</v>
      </c>
      <c r="P97" s="339">
        <f>(INDEX(Models!$BJ97:$BT97,,T97)*(1-R97)+INDEX(Models!$BJ97:$BT97,,T97+1)*R97-ERP_i)*Q97*Ramure*Pc/MaxiM</f>
        <v>4.0938482827429225E-4</v>
      </c>
      <c r="Q97" s="305">
        <f t="shared" si="28"/>
        <v>0.7</v>
      </c>
      <c r="R97" s="177">
        <f t="shared" si="29"/>
        <v>1.8854944301654762E-2</v>
      </c>
      <c r="S97" s="921">
        <f t="shared" si="30"/>
        <v>0</v>
      </c>
      <c r="T97" s="176">
        <f t="shared" si="31"/>
        <v>6</v>
      </c>
      <c r="U97" s="251">
        <f t="shared" si="32"/>
        <v>1.8854944301654762E-2</v>
      </c>
      <c r="V97" s="383">
        <f t="shared" si="33"/>
        <v>49.00216766983786</v>
      </c>
      <c r="W97" s="402">
        <f t="shared" si="34"/>
        <v>0</v>
      </c>
      <c r="X97" s="157">
        <f t="shared" si="35"/>
        <v>44644</v>
      </c>
      <c r="Y97" s="385">
        <f t="shared" si="36"/>
        <v>43.327612432958567</v>
      </c>
      <c r="Z97" s="385">
        <f t="shared" si="37"/>
        <v>44.677765596349872</v>
      </c>
      <c r="AA97" s="386">
        <f t="shared" si="38"/>
        <v>49.952863699873369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0.10560151536491137</v>
      </c>
      <c r="AD97" s="231">
        <f>(INDEX(Models!$BJ97:$BT97,,AH97)*(1-AF97)+INDEX(Models!$BJ97:$BT97,,AH97+1)*AF97-ERP_i)*AE97*Ramure*Pc/MaxiM</f>
        <v>4.0938482827429225E-4</v>
      </c>
      <c r="AE97" s="305">
        <f t="shared" si="40"/>
        <v>0.7</v>
      </c>
      <c r="AF97" s="177">
        <f t="shared" si="41"/>
        <v>1.8854944301654762E-2</v>
      </c>
      <c r="AG97" s="921">
        <f t="shared" si="49"/>
        <v>0</v>
      </c>
      <c r="AH97" s="176">
        <f t="shared" si="42"/>
        <v>6</v>
      </c>
      <c r="AI97" s="225">
        <f t="shared" si="43"/>
        <v>1.8854944301654762E-2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092">
        <v>41.92</v>
      </c>
      <c r="C98" s="955"/>
      <c r="D98" s="393">
        <f t="shared" si="25"/>
        <v>43.227236643502827</v>
      </c>
      <c r="E98" s="385">
        <f t="shared" si="47"/>
        <v>45.481140202373673</v>
      </c>
      <c r="F98" s="385">
        <f t="shared" si="26"/>
        <v>45.495291977778727</v>
      </c>
      <c r="G98" s="110">
        <f t="shared" si="48"/>
        <v>0.85134576077617874</v>
      </c>
      <c r="H98" s="414" t="b">
        <f>Wh_hp&gt;='2021'!Maxi_hp</f>
        <v>0</v>
      </c>
      <c r="I98" s="380">
        <f>IF(H98,Wh_hp,'2021'!Maxi_hp)</f>
        <v>47.578792902284313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3.0241041181597428E-2</v>
      </c>
      <c r="M98" s="959"/>
      <c r="N98" s="959"/>
      <c r="O98" s="48">
        <f>IF(t&lt;Tnet,'2021'!Resal+('2021'!Salim-'2021'!Resal)*(1-EXP(('2021'!Tnet-t)/('2021'!Tau_j))),Resal+(Salim-Resal)*(1-EXP((Tnet-t)/(Tau_j))))*Salcycl</f>
        <v>4.9556883333219885E-2</v>
      </c>
      <c r="P98" s="339">
        <f>(INDEX(Models!$BJ98:$BT98,,T98)*(1-R98)+INDEX(Models!$BJ98:$BT98,,T98+1)*R98-ERP_i)*Q98*Ramure*Pc/MaxiM</f>
        <v>3.9487736915330587E-4</v>
      </c>
      <c r="Q98" s="305">
        <f t="shared" si="28"/>
        <v>0.7</v>
      </c>
      <c r="R98" s="177">
        <f t="shared" si="29"/>
        <v>1.9640401136902002E-2</v>
      </c>
      <c r="S98" s="921">
        <f t="shared" si="30"/>
        <v>0</v>
      </c>
      <c r="T98" s="176">
        <f t="shared" si="31"/>
        <v>6</v>
      </c>
      <c r="U98" s="251">
        <f t="shared" si="32"/>
        <v>1.9640401136902002E-2</v>
      </c>
      <c r="V98" s="383">
        <f t="shared" si="33"/>
        <v>49.23556000735752</v>
      </c>
      <c r="W98" s="402">
        <f t="shared" si="34"/>
        <v>0</v>
      </c>
      <c r="X98" s="157">
        <f t="shared" si="35"/>
        <v>44645</v>
      </c>
      <c r="Y98" s="385">
        <f t="shared" si="36"/>
        <v>39.440711590622328</v>
      </c>
      <c r="Z98" s="385">
        <f t="shared" si="37"/>
        <v>40.670633905438365</v>
      </c>
      <c r="AA98" s="386">
        <f t="shared" si="38"/>
        <v>45.481140202373673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0.1057692545861954</v>
      </c>
      <c r="AD98" s="231">
        <f>(INDEX(Models!$BJ98:$BT98,,AH98)*(1-AF98)+INDEX(Models!$BJ98:$BT98,,AH98+1)*AF98-ERP_i)*AE98*Ramure*Pc/MaxiM</f>
        <v>3.9487736915330587E-4</v>
      </c>
      <c r="AE98" s="305">
        <f t="shared" si="40"/>
        <v>0.7</v>
      </c>
      <c r="AF98" s="177">
        <f t="shared" si="41"/>
        <v>1.9640401136902002E-2</v>
      </c>
      <c r="AG98" s="921">
        <f t="shared" si="49"/>
        <v>0</v>
      </c>
      <c r="AH98" s="176">
        <f t="shared" si="42"/>
        <v>6</v>
      </c>
      <c r="AI98" s="225">
        <f t="shared" si="43"/>
        <v>1.9640401136902002E-2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092">
        <v>45.527999999999999</v>
      </c>
      <c r="C99" s="955"/>
      <c r="D99" s="393">
        <f t="shared" si="25"/>
        <v>46.948777103704579</v>
      </c>
      <c r="E99" s="385">
        <f t="shared" si="47"/>
        <v>49.407895464090579</v>
      </c>
      <c r="F99" s="385">
        <f t="shared" si="26"/>
        <v>49.42460225252448</v>
      </c>
      <c r="G99" s="110">
        <f t="shared" si="48"/>
        <v>0.92036705113742412</v>
      </c>
      <c r="H99" s="414" t="b">
        <f>Wh_hp&gt;='2021'!Maxi_hp</f>
        <v>0</v>
      </c>
      <c r="I99" s="380">
        <f>IF(H99,Wh_hp,'2021'!Maxi_hp)</f>
        <v>56.081839676566283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3.0262281391616241E-2</v>
      </c>
      <c r="M99" s="959"/>
      <c r="N99" s="959"/>
      <c r="O99" s="48">
        <f>IF(t&lt;Tnet,'2021'!Resal+('2021'!Salim-'2021'!Resal)*(1-EXP(('2021'!Tnet-t)/('2021'!Tau_j))),Resal+(Salim-Resal)*(1-EXP((Tnet-t)/(Tau_j))))*Salcycl</f>
        <v>4.9771769011559525E-2</v>
      </c>
      <c r="P99" s="339">
        <f>(INDEX(Models!$BJ99:$BT99,,T99)*(1-R99)+INDEX(Models!$BJ99:$BT99,,T99+1)*R99-ERP_i)*Q99*Ramure*Pc/MaxiM</f>
        <v>3.8139162796294545E-4</v>
      </c>
      <c r="Q99" s="305">
        <f t="shared" si="28"/>
        <v>0.7</v>
      </c>
      <c r="R99" s="177">
        <f t="shared" si="29"/>
        <v>2.0456087138305618E-2</v>
      </c>
      <c r="S99" s="921">
        <f t="shared" si="30"/>
        <v>0</v>
      </c>
      <c r="T99" s="176">
        <f t="shared" si="31"/>
        <v>6</v>
      </c>
      <c r="U99" s="251">
        <f t="shared" si="32"/>
        <v>2.0456087138305618E-2</v>
      </c>
      <c r="V99" s="383">
        <f t="shared" si="33"/>
        <v>49.465074737963256</v>
      </c>
      <c r="W99" s="402">
        <f t="shared" si="34"/>
        <v>0</v>
      </c>
      <c r="X99" s="157">
        <f t="shared" si="35"/>
        <v>44646</v>
      </c>
      <c r="Y99" s="385">
        <f t="shared" si="36"/>
        <v>42.836942965487147</v>
      </c>
      <c r="Z99" s="385">
        <f t="shared" si="37"/>
        <v>44.173741150297879</v>
      </c>
      <c r="AA99" s="386">
        <f t="shared" si="38"/>
        <v>49.407895464090579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0.10593760905272429</v>
      </c>
      <c r="AD99" s="231">
        <f>(INDEX(Models!$BJ99:$BT99,,AH99)*(1-AF99)+INDEX(Models!$BJ99:$BT99,,AH99+1)*AF99-ERP_i)*AE99*Ramure*Pc/MaxiM</f>
        <v>3.8139162796294545E-4</v>
      </c>
      <c r="AE99" s="305">
        <f t="shared" si="40"/>
        <v>0.7</v>
      </c>
      <c r="AF99" s="177">
        <f t="shared" si="41"/>
        <v>2.0456087138305618E-2</v>
      </c>
      <c r="AG99" s="921">
        <f t="shared" si="49"/>
        <v>0</v>
      </c>
      <c r="AH99" s="176">
        <f t="shared" si="42"/>
        <v>6</v>
      </c>
      <c r="AI99" s="225">
        <f t="shared" si="43"/>
        <v>2.0456087138305618E-2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092">
        <v>46.271000000000001</v>
      </c>
      <c r="C100" s="955"/>
      <c r="D100" s="393">
        <f t="shared" si="25"/>
        <v>47.71600875982373</v>
      </c>
      <c r="E100" s="385">
        <f t="shared" si="47"/>
        <v>50.226683169425421</v>
      </c>
      <c r="F100" s="385">
        <f t="shared" si="26"/>
        <v>50.243411294229169</v>
      </c>
      <c r="G100" s="110">
        <f t="shared" si="48"/>
        <v>0.93115953722302536</v>
      </c>
      <c r="H100" s="414" t="b">
        <f>Wh_hp&gt;='2021'!Maxi_hp</f>
        <v>0</v>
      </c>
      <c r="I100" s="380">
        <f>IF(H100,Wh_hp,'2021'!Maxi_hp)</f>
        <v>55.275486537639232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3.0283521136420077E-2</v>
      </c>
      <c r="M100" s="959"/>
      <c r="N100" s="959"/>
      <c r="O100" s="48">
        <f>IF(t&lt;Tnet,'2021'!Resal+('2021'!Salim-'2021'!Resal)*(1-EXP(('2021'!Tnet-t)/('2021'!Tau_j))),Resal+(Salim-Resal)*(1-EXP((Tnet-t)/(Tau_j))))*Salcycl</f>
        <v>4.9986864574207451E-2</v>
      </c>
      <c r="P100" s="339">
        <f>(INDEX(Models!$BJ100:$BT100,,T100)*(1-R100)+INDEX(Models!$BJ100:$BT100,,T100+1)*R100-ERP_i)*Q100*Ramure*Pc/MaxiM</f>
        <v>3.6923577273825878E-4</v>
      </c>
      <c r="Q100" s="305">
        <f t="shared" si="28"/>
        <v>0.7</v>
      </c>
      <c r="R100" s="177">
        <f t="shared" si="29"/>
        <v>2.1303052306270196E-2</v>
      </c>
      <c r="S100" s="921">
        <f t="shared" si="30"/>
        <v>0</v>
      </c>
      <c r="T100" s="176">
        <f t="shared" si="31"/>
        <v>6</v>
      </c>
      <c r="U100" s="251">
        <f t="shared" si="32"/>
        <v>2.1303052306270196E-2</v>
      </c>
      <c r="V100" s="383">
        <f t="shared" si="33"/>
        <v>49.690002868703445</v>
      </c>
      <c r="W100" s="402">
        <f t="shared" si="34"/>
        <v>0</v>
      </c>
      <c r="X100" s="157">
        <f t="shared" si="35"/>
        <v>44647</v>
      </c>
      <c r="Y100" s="385">
        <f t="shared" si="36"/>
        <v>43.537651127233154</v>
      </c>
      <c r="Z100" s="385">
        <f t="shared" si="37"/>
        <v>44.897299443911017</v>
      </c>
      <c r="AA100" s="386">
        <f t="shared" si="38"/>
        <v>50.226683169425421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0.10610662279922498</v>
      </c>
      <c r="AD100" s="231">
        <f>(INDEX(Models!$BJ100:$BT100,,AH100)*(1-AF100)+INDEX(Models!$BJ100:$BT100,,AH100+1)*AF100-ERP_i)*AE100*Ramure*Pc/MaxiM</f>
        <v>3.6923577273825878E-4</v>
      </c>
      <c r="AE100" s="305">
        <f t="shared" si="40"/>
        <v>0.7</v>
      </c>
      <c r="AF100" s="177">
        <f t="shared" si="41"/>
        <v>2.1303052306270196E-2</v>
      </c>
      <c r="AG100" s="921">
        <f t="shared" si="49"/>
        <v>0</v>
      </c>
      <c r="AH100" s="176">
        <f t="shared" si="42"/>
        <v>6</v>
      </c>
      <c r="AI100" s="225">
        <f t="shared" si="43"/>
        <v>2.1303052306270196E-2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092">
        <v>35.494</v>
      </c>
      <c r="C101" s="955"/>
      <c r="D101" s="393">
        <f t="shared" si="25"/>
        <v>36.603252806755705</v>
      </c>
      <c r="E101" s="385">
        <f t="shared" si="47"/>
        <v>38.537942044402165</v>
      </c>
      <c r="F101" s="385">
        <f t="shared" si="26"/>
        <v>38.546043761921112</v>
      </c>
      <c r="G101" s="110">
        <f t="shared" si="48"/>
        <v>0.71105962253686128</v>
      </c>
      <c r="H101" s="414" t="b">
        <f>Wh_hp&gt;='2021'!Maxi_hp</f>
        <v>0</v>
      </c>
      <c r="I101" s="380">
        <f>IF(H101,Wh_hp,'2021'!Maxi_hp)</f>
        <v>54.062253279945516</v>
      </c>
      <c r="J101" s="85">
        <f>IF(H101,An,'2021'!An_max)</f>
        <v>2019</v>
      </c>
      <c r="K101" s="197">
        <f t="shared" si="27"/>
        <v>44648</v>
      </c>
      <c r="L101" s="147">
        <f>IF(t&lt;Tvie,1-EXP((T0-t)*PertePVj)+'2021'!Pspv,1-EXP((T0-t)*PertePVj)+Pspv)</f>
        <v>3.0304760416018928E-2</v>
      </c>
      <c r="M101" s="959"/>
      <c r="N101" s="959"/>
      <c r="O101" s="48">
        <f>IF(t&lt;Tnet,'2021'!Resal+('2021'!Salim-'2021'!Resal)*(1-EXP(('2021'!Tnet-t)/('2021'!Tau_j))),Resal+(Salim-Resal)*(1-EXP((Tnet-t)/(Tau_j))))*Salcycl</f>
        <v>5.0202193864357647E-2</v>
      </c>
      <c r="P101" s="339">
        <f>(INDEX(Models!$BJ101:$BT101,,T101)*(1-R101)+INDEX(Models!$BJ101:$BT101,,T101+1)*R101-ERP_i)*Q101*Ramure*Pc/MaxiM</f>
        <v>3.5783231652756559E-4</v>
      </c>
      <c r="Q101" s="305">
        <f t="shared" si="28"/>
        <v>0.7</v>
      </c>
      <c r="R101" s="177">
        <f t="shared" si="29"/>
        <v>2.2182373855934436E-2</v>
      </c>
      <c r="S101" s="921">
        <f t="shared" si="30"/>
        <v>0</v>
      </c>
      <c r="T101" s="176">
        <f t="shared" si="31"/>
        <v>6</v>
      </c>
      <c r="U101" s="251">
        <f t="shared" si="32"/>
        <v>2.2182373855934436E-2</v>
      </c>
      <c r="V101" s="383">
        <f t="shared" si="33"/>
        <v>49.909680009196414</v>
      </c>
      <c r="W101" s="402">
        <f t="shared" si="34"/>
        <v>0</v>
      </c>
      <c r="X101" s="157">
        <f t="shared" si="35"/>
        <v>44648</v>
      </c>
      <c r="Y101" s="385">
        <f t="shared" si="36"/>
        <v>33.39850585973921</v>
      </c>
      <c r="Z101" s="385">
        <f t="shared" si="37"/>
        <v>34.442270619032683</v>
      </c>
      <c r="AA101" s="386">
        <f t="shared" si="38"/>
        <v>38.537942044402165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0.10627633983803765</v>
      </c>
      <c r="AD101" s="231">
        <f>(INDEX(Models!$BJ101:$BT101,,AH101)*(1-AF101)+INDEX(Models!$BJ101:$BT101,,AH101+1)*AF101-ERP_i)*AE101*Ramure*Pc/MaxiM</f>
        <v>3.5783231652756559E-4</v>
      </c>
      <c r="AE101" s="305">
        <f t="shared" si="40"/>
        <v>0.7</v>
      </c>
      <c r="AF101" s="177">
        <f t="shared" si="41"/>
        <v>2.2182373855934436E-2</v>
      </c>
      <c r="AG101" s="921">
        <f t="shared" si="49"/>
        <v>0</v>
      </c>
      <c r="AH101" s="176">
        <f t="shared" si="42"/>
        <v>6</v>
      </c>
      <c r="AI101" s="225">
        <f t="shared" si="43"/>
        <v>2.2182373855934436E-2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092">
        <v>27.969000000000001</v>
      </c>
      <c r="C102" s="955"/>
      <c r="D102" s="393">
        <f t="shared" si="25"/>
        <v>28.843714462595205</v>
      </c>
      <c r="E102" s="385">
        <f t="shared" si="47"/>
        <v>30.375162762419691</v>
      </c>
      <c r="F102" s="385">
        <f t="shared" si="26"/>
        <v>30.379050041824485</v>
      </c>
      <c r="G102" s="110">
        <f t="shared" si="48"/>
        <v>0.55788035116757162</v>
      </c>
      <c r="H102" s="414" t="b">
        <f>Wh_hp&gt;='2021'!Maxi_hp</f>
        <v>0</v>
      </c>
      <c r="I102" s="380">
        <f>IF(H102,Wh_hp,'2021'!Maxi_hp)</f>
        <v>54.934926813744624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3.0325999230423006E-2</v>
      </c>
      <c r="M102" s="959"/>
      <c r="N102" s="959"/>
      <c r="O102" s="48">
        <f>IF(t&lt;Tnet,'2021'!Resal+('2021'!Salim-'2021'!Resal)*(1-EXP(('2021'!Tnet-t)/('2021'!Tau_j))),Resal+(Salim-Resal)*(1-EXP((Tnet-t)/(Tau_j))))*Salcycl</f>
        <v>5.0417780862698887E-2</v>
      </c>
      <c r="P102" s="339">
        <f>(INDEX(Models!$BJ102:$BT102,,T102)*(1-R102)+INDEX(Models!$BJ102:$BT102,,T102+1)*R102-ERP_i)*Q102*Ramure*Pc/MaxiM</f>
        <v>3.4717254787208865E-4</v>
      </c>
      <c r="Q102" s="305">
        <f t="shared" si="28"/>
        <v>0.7</v>
      </c>
      <c r="R102" s="177">
        <f t="shared" si="29"/>
        <v>2.309515614032082E-2</v>
      </c>
      <c r="S102" s="921">
        <f t="shared" si="30"/>
        <v>0</v>
      </c>
      <c r="T102" s="176">
        <f t="shared" si="31"/>
        <v>6</v>
      </c>
      <c r="U102" s="251">
        <f t="shared" si="32"/>
        <v>2.309515614032082E-2</v>
      </c>
      <c r="V102" s="383">
        <f t="shared" si="33"/>
        <v>50.123414418768149</v>
      </c>
      <c r="W102" s="402">
        <f t="shared" si="34"/>
        <v>0</v>
      </c>
      <c r="X102" s="157">
        <f t="shared" si="35"/>
        <v>44649</v>
      </c>
      <c r="Y102" s="385">
        <f t="shared" si="36"/>
        <v>26.318720837279002</v>
      </c>
      <c r="Z102" s="385">
        <f t="shared" si="37"/>
        <v>27.141823763853914</v>
      </c>
      <c r="AA102" s="386">
        <f t="shared" si="38"/>
        <v>30.375162762419691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0.10644680405025135</v>
      </c>
      <c r="AD102" s="231">
        <f>(INDEX(Models!$BJ102:$BT102,,AH102)*(1-AF102)+INDEX(Models!$BJ102:$BT102,,AH102+1)*AF102-ERP_i)*AE102*Ramure*Pc/MaxiM</f>
        <v>3.4717254787208865E-4</v>
      </c>
      <c r="AE102" s="305">
        <f t="shared" si="40"/>
        <v>0.7</v>
      </c>
      <c r="AF102" s="177">
        <f t="shared" si="41"/>
        <v>2.309515614032082E-2</v>
      </c>
      <c r="AG102" s="921">
        <f t="shared" si="49"/>
        <v>0</v>
      </c>
      <c r="AH102" s="176">
        <f t="shared" si="42"/>
        <v>6</v>
      </c>
      <c r="AI102" s="225">
        <f t="shared" si="43"/>
        <v>2.309515614032082E-2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092">
        <v>7.3</v>
      </c>
      <c r="C103" s="955"/>
      <c r="D103" s="393">
        <f t="shared" si="25"/>
        <v>7.5284682134854304</v>
      </c>
      <c r="E103" s="385">
        <f t="shared" si="47"/>
        <v>7.9299926846877549</v>
      </c>
      <c r="F103" s="385">
        <f t="shared" si="26"/>
        <v>7.9299926846877549</v>
      </c>
      <c r="G103" s="110">
        <f t="shared" si="48"/>
        <v>0.14499231900358631</v>
      </c>
      <c r="H103" s="414" t="b">
        <f>Wh_hp&gt;='2021'!Maxi_hp</f>
        <v>0</v>
      </c>
      <c r="I103" s="380">
        <f>IF(H103,Wh_hp,'2021'!Maxi_hp)</f>
        <v>56.1503147173473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3.0347237579642639E-2</v>
      </c>
      <c r="M103" s="959"/>
      <c r="N103" s="959"/>
      <c r="O103" s="48">
        <f>IF(t&lt;Tnet,'2021'!Resal+('2021'!Salim-'2021'!Resal)*(1-EXP(('2021'!Tnet-t)/('2021'!Tau_j))),Resal+(Salim-Resal)*(1-EXP((Tnet-t)/(Tau_j))))*Salcycl</f>
        <v>5.0633649634713986E-2</v>
      </c>
      <c r="P103" s="339">
        <f>(INDEX(Models!$BJ103:$BT103,,T103)*(1-R103)+INDEX(Models!$BJ103:$BT103,,T103+1)*R103-ERP_i)*Q103*Ramure*Pc/MaxiM</f>
        <v>3.3724794639783439E-4</v>
      </c>
      <c r="Q103" s="305">
        <f t="shared" si="28"/>
        <v>0.7</v>
      </c>
      <c r="R103" s="177">
        <f t="shared" si="29"/>
        <v>2.4042530491939159E-2</v>
      </c>
      <c r="S103" s="921">
        <f t="shared" si="30"/>
        <v>0</v>
      </c>
      <c r="T103" s="176">
        <f t="shared" si="31"/>
        <v>6</v>
      </c>
      <c r="U103" s="251">
        <f t="shared" si="32"/>
        <v>2.4042530491939159E-2</v>
      </c>
      <c r="V103" s="383">
        <f t="shared" si="33"/>
        <v>50.330515024115137</v>
      </c>
      <c r="W103" s="402">
        <f t="shared" si="34"/>
        <v>0</v>
      </c>
      <c r="X103" s="157">
        <f t="shared" si="35"/>
        <v>44650</v>
      </c>
      <c r="Y103" s="385">
        <f t="shared" si="36"/>
        <v>6.8695168795507016</v>
      </c>
      <c r="Z103" s="385">
        <f t="shared" si="37"/>
        <v>7.084512256123161</v>
      </c>
      <c r="AA103" s="386">
        <f t="shared" si="38"/>
        <v>7.9299926846877549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0.10661805908057845</v>
      </c>
      <c r="AD103" s="231">
        <f>(INDEX(Models!$BJ103:$BT103,,AH103)*(1-AF103)+INDEX(Models!$BJ103:$BT103,,AH103+1)*AF103-ERP_i)*AE103*Ramure*Pc/MaxiM</f>
        <v>3.3724794639783439E-4</v>
      </c>
      <c r="AE103" s="305">
        <f t="shared" si="40"/>
        <v>0.7</v>
      </c>
      <c r="AF103" s="177">
        <f t="shared" si="41"/>
        <v>2.4042530491939159E-2</v>
      </c>
      <c r="AG103" s="921">
        <f t="shared" si="49"/>
        <v>0</v>
      </c>
      <c r="AH103" s="176">
        <f t="shared" si="42"/>
        <v>6</v>
      </c>
      <c r="AI103" s="225">
        <f t="shared" si="43"/>
        <v>2.4042530491939159E-2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092">
        <v>21.727</v>
      </c>
      <c r="C104" s="955"/>
      <c r="D104" s="393">
        <f t="shared" si="25"/>
        <v>22.407481038108859</v>
      </c>
      <c r="E104" s="385">
        <f t="shared" si="47"/>
        <v>23.607940672916673</v>
      </c>
      <c r="F104" s="385">
        <f t="shared" si="26"/>
        <v>23.609378817370139</v>
      </c>
      <c r="G104" s="110">
        <f t="shared" si="48"/>
        <v>0.4298648388607586</v>
      </c>
      <c r="H104" s="414" t="b">
        <f>Wh_hp&gt;='2021'!Maxi_hp</f>
        <v>0</v>
      </c>
      <c r="I104" s="380">
        <f>IF(H104,Wh_hp,'2021'!Maxi_hp)</f>
        <v>49.506417533337903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3.0368475463687816E-2</v>
      </c>
      <c r="M104" s="959"/>
      <c r="N104" s="959"/>
      <c r="O104" s="48">
        <f>IF(t&lt;Tnet,'2021'!Resal+('2021'!Salim-'2021'!Resal)*(1-EXP(('2021'!Tnet-t)/('2021'!Tau_j))),Resal+(Salim-Resal)*(1-EXP((Tnet-t)/(Tau_j))))*Salcycl</f>
        <v>5.0849824279039932E-2</v>
      </c>
      <c r="P104" s="339">
        <f>(INDEX(Models!$BJ104:$BT104,,T104)*(1-R104)+INDEX(Models!$BJ104:$BT104,,T104+1)*R104-ERP_i)*Q104*Ramure*Pc/MaxiM</f>
        <v>3.2805029285271092E-4</v>
      </c>
      <c r="Q104" s="305">
        <f t="shared" si="28"/>
        <v>0.7</v>
      </c>
      <c r="R104" s="177">
        <f t="shared" si="29"/>
        <v>2.5025654975603415E-2</v>
      </c>
      <c r="S104" s="921">
        <f t="shared" si="30"/>
        <v>0</v>
      </c>
      <c r="T104" s="176">
        <f t="shared" si="31"/>
        <v>6</v>
      </c>
      <c r="U104" s="251">
        <f t="shared" si="32"/>
        <v>2.5025654975603415E-2</v>
      </c>
      <c r="V104" s="383">
        <f t="shared" si="33"/>
        <v>50.530291419723802</v>
      </c>
      <c r="W104" s="402">
        <f t="shared" si="34"/>
        <v>0</v>
      </c>
      <c r="X104" s="157">
        <f t="shared" si="35"/>
        <v>44651</v>
      </c>
      <c r="Y104" s="385">
        <f t="shared" si="36"/>
        <v>20.446469848181923</v>
      </c>
      <c r="Z104" s="385">
        <f t="shared" si="37"/>
        <v>21.086845188907855</v>
      </c>
      <c r="AA104" s="386">
        <f t="shared" si="38"/>
        <v>23.607940672916673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0.1067901482360574</v>
      </c>
      <c r="AD104" s="231">
        <f>(INDEX(Models!$BJ104:$BT104,,AH104)*(1-AF104)+INDEX(Models!$BJ104:$BT104,,AH104+1)*AF104-ERP_i)*AE104*Ramure*Pc/MaxiM</f>
        <v>3.2805029285271092E-4</v>
      </c>
      <c r="AE104" s="305">
        <f t="shared" si="40"/>
        <v>0.7</v>
      </c>
      <c r="AF104" s="177">
        <f t="shared" si="41"/>
        <v>2.5025654975603415E-2</v>
      </c>
      <c r="AG104" s="921">
        <f t="shared" si="49"/>
        <v>0</v>
      </c>
      <c r="AH104" s="176">
        <f t="shared" si="42"/>
        <v>6</v>
      </c>
      <c r="AI104" s="225">
        <f t="shared" si="43"/>
        <v>2.5025654975603415E-2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092">
        <v>32.36</v>
      </c>
      <c r="C105" s="955"/>
      <c r="D105" s="393">
        <f t="shared" si="25"/>
        <v>33.374233369783568</v>
      </c>
      <c r="E105" s="385">
        <f t="shared" si="47"/>
        <v>35.170248865007494</v>
      </c>
      <c r="F105" s="385">
        <f t="shared" si="26"/>
        <v>35.175676523961293</v>
      </c>
      <c r="G105" s="110">
        <f t="shared" si="48"/>
        <v>0.63788132680376997</v>
      </c>
      <c r="H105" s="414" t="b">
        <f>Wh_hp&gt;='2021'!Maxi_hp</f>
        <v>0</v>
      </c>
      <c r="I105" s="380">
        <f>IF(H105,Wh_hp,'2021'!Maxi_hp)</f>
        <v>49.445909039564896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3.0389712882568864E-2</v>
      </c>
      <c r="M105" s="959"/>
      <c r="N105" s="959"/>
      <c r="O105" s="48">
        <f>IF(t&lt;Tnet,'2021'!Resal+('2021'!Salim-'2021'!Resal)*(1-EXP(('2021'!Tnet-t)/('2021'!Tau_j))),Resal+(Salim-Resal)*(1-EXP((Tnet-t)/(Tau_j))))*Salcycl</f>
        <v>5.1066328876929391E-2</v>
      </c>
      <c r="P105" s="339">
        <f>(INDEX(Models!$BJ105:$BT105,,T105)*(1-R105)+INDEX(Models!$BJ105:$BT105,,T105+1)*R105-ERP_i)*Q105*Ramure*Pc/MaxiM</f>
        <v>3.1957177453867679E-4</v>
      </c>
      <c r="Q105" s="305">
        <f t="shared" si="28"/>
        <v>0.7</v>
      </c>
      <c r="R105" s="177">
        <f t="shared" si="29"/>
        <v>2.6045714044888653E-2</v>
      </c>
      <c r="S105" s="921">
        <f t="shared" si="30"/>
        <v>0</v>
      </c>
      <c r="T105" s="176">
        <f t="shared" si="31"/>
        <v>6</v>
      </c>
      <c r="U105" s="251">
        <f t="shared" si="32"/>
        <v>2.6045714044888653E-2</v>
      </c>
      <c r="V105" s="383">
        <f t="shared" si="33"/>
        <v>50.722053881149698</v>
      </c>
      <c r="W105" s="402">
        <f t="shared" si="34"/>
        <v>0</v>
      </c>
      <c r="X105" s="157">
        <f t="shared" si="35"/>
        <v>44652</v>
      </c>
      <c r="Y105" s="385">
        <f t="shared" si="36"/>
        <v>30.453839396576388</v>
      </c>
      <c r="Z105" s="385">
        <f t="shared" si="37"/>
        <v>31.40832951258496</v>
      </c>
      <c r="AA105" s="386">
        <f t="shared" si="38"/>
        <v>35.170248865007494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0.10696311438857752</v>
      </c>
      <c r="AD105" s="231">
        <f>(INDEX(Models!$BJ105:$BT105,,AH105)*(1-AF105)+INDEX(Models!$BJ105:$BT105,,AH105+1)*AF105-ERP_i)*AE105*Ramure*Pc/MaxiM</f>
        <v>3.1957177453867679E-4</v>
      </c>
      <c r="AE105" s="305">
        <f t="shared" si="40"/>
        <v>0.7</v>
      </c>
      <c r="AF105" s="177">
        <f t="shared" si="41"/>
        <v>2.6045714044888653E-2</v>
      </c>
      <c r="AG105" s="921">
        <f t="shared" si="49"/>
        <v>0</v>
      </c>
      <c r="AH105" s="176">
        <f t="shared" si="42"/>
        <v>6</v>
      </c>
      <c r="AI105" s="225">
        <f t="shared" si="43"/>
        <v>2.6045714044888653E-2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092">
        <v>19.847000000000001</v>
      </c>
      <c r="C106" s="955"/>
      <c r="D106" s="393">
        <f t="shared" si="25"/>
        <v>20.469496841624874</v>
      </c>
      <c r="E106" s="385">
        <f t="shared" si="47"/>
        <v>21.575981969214819</v>
      </c>
      <c r="F106" s="385">
        <f t="shared" si="26"/>
        <v>21.576845836519531</v>
      </c>
      <c r="G106" s="110">
        <f t="shared" si="48"/>
        <v>0.38977628549103277</v>
      </c>
      <c r="H106" s="414" t="b">
        <f>Wh_hp&gt;='2021'!Maxi_hp</f>
        <v>0</v>
      </c>
      <c r="I106" s="380">
        <f>IF(H106,Wh_hp,'2021'!Maxi_hp)</f>
        <v>44.480418756560418</v>
      </c>
      <c r="J106" s="85">
        <f>IF(H106,An,'2021'!An_max)</f>
        <v>2020</v>
      </c>
      <c r="K106" s="197">
        <f t="shared" si="27"/>
        <v>44653</v>
      </c>
      <c r="L106" s="147">
        <f>IF(t&lt;Tvie,1-EXP((T0-t)*PertePVj)+'2021'!Pspv,1-EXP((T0-t)*PertePVj)+Pspv)</f>
        <v>3.0410949836295886E-2</v>
      </c>
      <c r="M106" s="959"/>
      <c r="N106" s="959"/>
      <c r="O106" s="48">
        <f>IF(t&lt;Tnet,'2021'!Resal+('2021'!Salim-'2021'!Resal)*(1-EXP(('2021'!Tnet-t)/('2021'!Tau_j))),Resal+(Salim-Resal)*(1-EXP((Tnet-t)/(Tau_j))))*Salcycl</f>
        <v>5.1283187442810532E-2</v>
      </c>
      <c r="P106" s="339">
        <f>(INDEX(Models!$BJ106:$BT106,,T106)*(1-R106)+INDEX(Models!$BJ106:$BT106,,T106+1)*R106-ERP_i)*Q106*Ramure*Pc/MaxiM</f>
        <v>3.1180508675655616E-4</v>
      </c>
      <c r="Q106" s="305">
        <f t="shared" si="28"/>
        <v>0.7</v>
      </c>
      <c r="R106" s="177">
        <f t="shared" si="29"/>
        <v>2.7103918094328015E-2</v>
      </c>
      <c r="S106" s="921">
        <f t="shared" si="30"/>
        <v>0</v>
      </c>
      <c r="T106" s="176">
        <f t="shared" si="31"/>
        <v>6</v>
      </c>
      <c r="U106" s="251">
        <f t="shared" si="32"/>
        <v>2.7103918094328015E-2</v>
      </c>
      <c r="V106" s="383">
        <f t="shared" si="33"/>
        <v>50.905113360978831</v>
      </c>
      <c r="W106" s="402">
        <f t="shared" si="34"/>
        <v>0</v>
      </c>
      <c r="X106" s="157">
        <f t="shared" si="35"/>
        <v>44653</v>
      </c>
      <c r="Y106" s="385">
        <f t="shared" si="36"/>
        <v>18.67854741141846</v>
      </c>
      <c r="Z106" s="385">
        <f t="shared" si="37"/>
        <v>19.264395991543839</v>
      </c>
      <c r="AA106" s="386">
        <f t="shared" si="38"/>
        <v>21.575981969214819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0.10713699988112758</v>
      </c>
      <c r="AD106" s="231">
        <f>(INDEX(Models!$BJ106:$BT106,,AH106)*(1-AF106)+INDEX(Models!$BJ106:$BT106,,AH106+1)*AF106-ERP_i)*AE106*Ramure*Pc/MaxiM</f>
        <v>3.1180508675655616E-4</v>
      </c>
      <c r="AE106" s="305">
        <f t="shared" si="40"/>
        <v>0.7</v>
      </c>
      <c r="AF106" s="177">
        <f t="shared" si="41"/>
        <v>2.7103918094328015E-2</v>
      </c>
      <c r="AG106" s="921">
        <f t="shared" si="49"/>
        <v>0</v>
      </c>
      <c r="AH106" s="176">
        <f t="shared" si="42"/>
        <v>6</v>
      </c>
      <c r="AI106" s="225">
        <f t="shared" si="43"/>
        <v>2.7103918094328015E-2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092">
        <v>25.343</v>
      </c>
      <c r="C107" s="955"/>
      <c r="D107" s="393">
        <f t="shared" si="25"/>
        <v>26.138450186313467</v>
      </c>
      <c r="E107" s="385">
        <f t="shared" si="47"/>
        <v>27.557682516975049</v>
      </c>
      <c r="F107" s="385">
        <f t="shared" si="26"/>
        <v>27.56003591896452</v>
      </c>
      <c r="G107" s="110">
        <f t="shared" si="48"/>
        <v>0.49603988874326999</v>
      </c>
      <c r="H107" s="414" t="b">
        <f>Wh_hp&gt;='2021'!Maxi_hp</f>
        <v>0</v>
      </c>
      <c r="I107" s="380">
        <f>IF(H107,Wh_hp,'2021'!Maxi_hp)</f>
        <v>52.947397962650761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3.0432186324879207E-2</v>
      </c>
      <c r="M107" s="959"/>
      <c r="N107" s="959"/>
      <c r="O107" s="48">
        <f>IF(t&lt;Tnet,'2021'!Resal+('2021'!Salim-'2021'!Resal)*(1-EXP(('2021'!Tnet-t)/('2021'!Tau_j))),Resal+(Salim-Resal)*(1-EXP((Tnet-t)/(Tau_j))))*Salcycl</f>
        <v>5.1500423875895956E-2</v>
      </c>
      <c r="P107" s="339">
        <f>(INDEX(Models!$BJ107:$BT107,,T107)*(1-R107)+INDEX(Models!$BJ107:$BT107,,T107+1)*R107-ERP_i)*Q107*Ramure*Pc/MaxiM</f>
        <v>3.0473959271040175E-4</v>
      </c>
      <c r="Q107" s="305">
        <f t="shared" si="28"/>
        <v>0.7</v>
      </c>
      <c r="R107" s="177">
        <f t="shared" si="29"/>
        <v>2.8201502899141584E-2</v>
      </c>
      <c r="S107" s="921">
        <f t="shared" si="30"/>
        <v>0</v>
      </c>
      <c r="T107" s="176">
        <f t="shared" si="31"/>
        <v>6</v>
      </c>
      <c r="U107" s="251">
        <f t="shared" si="32"/>
        <v>2.8201502899141584E-2</v>
      </c>
      <c r="V107" s="383">
        <f t="shared" si="33"/>
        <v>51.079441734404391</v>
      </c>
      <c r="W107" s="402">
        <f t="shared" si="34"/>
        <v>0</v>
      </c>
      <c r="X107" s="157">
        <f t="shared" si="35"/>
        <v>44654</v>
      </c>
      <c r="Y107" s="385">
        <f t="shared" si="36"/>
        <v>23.85177225716788</v>
      </c>
      <c r="Z107" s="385">
        <f t="shared" si="37"/>
        <v>24.600416722537826</v>
      </c>
      <c r="AA107" s="386">
        <f t="shared" si="38"/>
        <v>27.557682516975049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0.10731184643758047</v>
      </c>
      <c r="AD107" s="231">
        <f>(INDEX(Models!$BJ107:$BT107,,AH107)*(1-AF107)+INDEX(Models!$BJ107:$BT107,,AH107+1)*AF107-ERP_i)*AE107*Ramure*Pc/MaxiM</f>
        <v>3.0473959271040175E-4</v>
      </c>
      <c r="AE107" s="305">
        <f t="shared" si="40"/>
        <v>0.7</v>
      </c>
      <c r="AF107" s="177">
        <f t="shared" si="41"/>
        <v>2.8201502899141584E-2</v>
      </c>
      <c r="AG107" s="921">
        <f t="shared" si="49"/>
        <v>0</v>
      </c>
      <c r="AH107" s="176">
        <f t="shared" si="42"/>
        <v>6</v>
      </c>
      <c r="AI107" s="225">
        <f t="shared" si="43"/>
        <v>2.8201502899141584E-2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092">
        <v>44.438000000000002</v>
      </c>
      <c r="C108" s="955"/>
      <c r="D108" s="393">
        <f t="shared" si="25"/>
        <v>45.833795945763462</v>
      </c>
      <c r="E108" s="385">
        <f t="shared" si="47"/>
        <v>48.33351148521659</v>
      </c>
      <c r="F108" s="385">
        <f t="shared" si="26"/>
        <v>48.345225012628454</v>
      </c>
      <c r="G108" s="110">
        <f t="shared" si="48"/>
        <v>0.86710530579540568</v>
      </c>
      <c r="H108" s="414" t="b">
        <f>Wh_hp&gt;='2021'!Maxi_hp</f>
        <v>0</v>
      </c>
      <c r="I108" s="380">
        <f>IF(H108,Wh_hp,'2021'!Maxi_hp)</f>
        <v>55.741875297523443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3.0453422348328929E-2</v>
      </c>
      <c r="M108" s="959"/>
      <c r="N108" s="959"/>
      <c r="O108" s="48">
        <f>IF(t&lt;Tnet,'2021'!Resal+('2021'!Salim-'2021'!Resal)*(1-EXP(('2021'!Tnet-t)/('2021'!Tau_j))),Resal+(Salim-Resal)*(1-EXP((Tnet-t)/(Tau_j))))*Salcycl</f>
        <v>5.1718061912751731E-2</v>
      </c>
      <c r="P108" s="339">
        <f>(INDEX(Models!$BJ108:$BT108,,T108)*(1-R108)+INDEX(Models!$BJ108:$BT108,,T108+1)*R108-ERP_i)*Q108*Ramure*Pc/MaxiM</f>
        <v>2.9904100725487845E-4</v>
      </c>
      <c r="Q108" s="305">
        <f t="shared" si="28"/>
        <v>0.7</v>
      </c>
      <c r="R108" s="177">
        <f t="shared" si="29"/>
        <v>2.9339728933994256E-2</v>
      </c>
      <c r="S108" s="921">
        <f t="shared" si="30"/>
        <v>0</v>
      </c>
      <c r="T108" s="176">
        <f t="shared" si="31"/>
        <v>6</v>
      </c>
      <c r="U108" s="251">
        <f t="shared" si="32"/>
        <v>2.9339728933994256E-2</v>
      </c>
      <c r="V108" s="383">
        <f t="shared" si="33"/>
        <v>51.245768139590687</v>
      </c>
      <c r="W108" s="402">
        <f t="shared" si="34"/>
        <v>0</v>
      </c>
      <c r="X108" s="157">
        <f t="shared" si="35"/>
        <v>44655</v>
      </c>
      <c r="Y108" s="385">
        <f t="shared" si="36"/>
        <v>41.824546280217021</v>
      </c>
      <c r="Z108" s="385">
        <f t="shared" si="37"/>
        <v>43.138253740753569</v>
      </c>
      <c r="AA108" s="386">
        <f t="shared" si="38"/>
        <v>48.33351148521659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0.10748769507574583</v>
      </c>
      <c r="AD108" s="231">
        <f>(INDEX(Models!$BJ108:$BT108,,AH108)*(1-AF108)+INDEX(Models!$BJ108:$BT108,,AH108+1)*AF108-ERP_i)*AE108*Ramure*Pc/MaxiM</f>
        <v>2.9904100725487845E-4</v>
      </c>
      <c r="AE108" s="305">
        <f t="shared" si="40"/>
        <v>0.7</v>
      </c>
      <c r="AF108" s="177">
        <f t="shared" si="41"/>
        <v>2.9339728933994256E-2</v>
      </c>
      <c r="AG108" s="921">
        <f t="shared" si="49"/>
        <v>0</v>
      </c>
      <c r="AH108" s="176">
        <f t="shared" si="42"/>
        <v>6</v>
      </c>
      <c r="AI108" s="225">
        <f t="shared" si="43"/>
        <v>2.9339728933994256E-2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092">
        <v>51.204000000000001</v>
      </c>
      <c r="C109" s="955"/>
      <c r="D109" s="393">
        <f t="shared" si="25"/>
        <v>52.813472507529497</v>
      </c>
      <c r="E109" s="385">
        <f t="shared" si="47"/>
        <v>55.706660600294363</v>
      </c>
      <c r="F109" s="385">
        <f t="shared" si="26"/>
        <v>55.722975727929139</v>
      </c>
      <c r="G109" s="110">
        <f t="shared" si="48"/>
        <v>0.9960958885838318</v>
      </c>
      <c r="H109" s="414" t="b">
        <f>Wh_hp&gt;='2021'!Maxi_hp</f>
        <v>0</v>
      </c>
      <c r="I109" s="380">
        <f>IF(H109,Wh_hp,'2021'!Maxi_hp)</f>
        <v>58.256884739736201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3.0474657906655156E-2</v>
      </c>
      <c r="M109" s="959"/>
      <c r="N109" s="959"/>
      <c r="O109" s="48">
        <f>IF(t&lt;Tnet,'2021'!Resal+('2021'!Salim-'2021'!Resal)*(1-EXP(('2021'!Tnet-t)/('2021'!Tau_j))),Resal+(Salim-Resal)*(1-EXP((Tnet-t)/(Tau_j))))*Salcycl</f>
        <v>5.1936125080697837E-2</v>
      </c>
      <c r="P109" s="339">
        <f>(INDEX(Models!$BJ109:$BT109,,T109)*(1-R109)+INDEX(Models!$BJ109:$BT109,,T109+1)*R109-ERP_i)*Q109*Ramure*Pc/MaxiM</f>
        <v>2.944314013412352E-4</v>
      </c>
      <c r="Q109" s="305">
        <f t="shared" si="28"/>
        <v>0.7</v>
      </c>
      <c r="R109" s="177">
        <f t="shared" si="29"/>
        <v>3.0519880562012984E-2</v>
      </c>
      <c r="S109" s="921">
        <f t="shared" si="30"/>
        <v>0</v>
      </c>
      <c r="T109" s="176">
        <f t="shared" si="31"/>
        <v>6</v>
      </c>
      <c r="U109" s="251">
        <f t="shared" si="32"/>
        <v>3.0519880562012984E-2</v>
      </c>
      <c r="V109" s="383">
        <f t="shared" si="33"/>
        <v>51.404605232971967</v>
      </c>
      <c r="W109" s="402">
        <f t="shared" si="34"/>
        <v>0</v>
      </c>
      <c r="X109" s="157">
        <f t="shared" si="35"/>
        <v>44656</v>
      </c>
      <c r="Y109" s="385">
        <f t="shared" si="36"/>
        <v>48.19416048433407</v>
      </c>
      <c r="Z109" s="385">
        <f t="shared" si="37"/>
        <v>49.709026048020505</v>
      </c>
      <c r="AA109" s="386">
        <f t="shared" si="38"/>
        <v>55.706660600294363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0.10766458602334822</v>
      </c>
      <c r="AD109" s="231">
        <f>(INDEX(Models!$BJ109:$BT109,,AH109)*(1-AF109)+INDEX(Models!$BJ109:$BT109,,AH109+1)*AF109-ERP_i)*AE109*Ramure*Pc/MaxiM</f>
        <v>2.944314013412352E-4</v>
      </c>
      <c r="AE109" s="305">
        <f t="shared" si="40"/>
        <v>0.7</v>
      </c>
      <c r="AF109" s="177">
        <f t="shared" si="41"/>
        <v>3.0519880562012984E-2</v>
      </c>
      <c r="AG109" s="921">
        <f t="shared" si="49"/>
        <v>0</v>
      </c>
      <c r="AH109" s="176">
        <f t="shared" si="42"/>
        <v>6</v>
      </c>
      <c r="AI109" s="225">
        <f t="shared" si="43"/>
        <v>3.0519880562012984E-2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092">
        <v>12.024000000000001</v>
      </c>
      <c r="C110" s="955"/>
      <c r="D110" s="393">
        <f t="shared" si="25"/>
        <v>12.402216672609068</v>
      </c>
      <c r="E110" s="385">
        <f t="shared" si="47"/>
        <v>13.084641390025954</v>
      </c>
      <c r="F110" s="385">
        <f t="shared" si="26"/>
        <v>13.084641390025954</v>
      </c>
      <c r="G110" s="110">
        <f t="shared" si="48"/>
        <v>0.23315224058216519</v>
      </c>
      <c r="H110" s="414" t="b">
        <f>Wh_hp&gt;='2021'!Maxi_hp</f>
        <v>0</v>
      </c>
      <c r="I110" s="380">
        <f>IF(H110,Wh_hp,'2021'!Maxi_hp)</f>
        <v>57.685469912803519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3.0495892999868213E-2</v>
      </c>
      <c r="M110" s="959"/>
      <c r="N110" s="959"/>
      <c r="O110" s="48">
        <f>IF(t&lt;Tnet,'2021'!Resal+('2021'!Salim-'2021'!Resal)*(1-EXP(('2021'!Tnet-t)/('2021'!Tau_j))),Resal+(Salim-Resal)*(1-EXP((Tnet-t)/(Tau_j))))*Salcycl</f>
        <v>5.2154636651874808E-2</v>
      </c>
      <c r="P110" s="339">
        <f>(INDEX(Models!$BJ110:$BT110,,T110)*(1-R110)+INDEX(Models!$BJ110:$BT110,,T110+1)*R110-ERP_i)*Q110*Ramure*Pc/MaxiM</f>
        <v>2.9090249596129612E-4</v>
      </c>
      <c r="Q110" s="305">
        <f t="shared" si="28"/>
        <v>0.7</v>
      </c>
      <c r="R110" s="177">
        <f t="shared" si="29"/>
        <v>3.1743265085053186E-2</v>
      </c>
      <c r="S110" s="921">
        <f t="shared" si="30"/>
        <v>0</v>
      </c>
      <c r="T110" s="176">
        <f t="shared" si="31"/>
        <v>6</v>
      </c>
      <c r="U110" s="251">
        <f t="shared" si="32"/>
        <v>3.1743265085053186E-2</v>
      </c>
      <c r="V110" s="383">
        <f t="shared" si="33"/>
        <v>51.556451520149196</v>
      </c>
      <c r="W110" s="402">
        <f t="shared" si="34"/>
        <v>0</v>
      </c>
      <c r="X110" s="157">
        <f t="shared" si="35"/>
        <v>44657</v>
      </c>
      <c r="Y110" s="385">
        <f t="shared" si="36"/>
        <v>11.317564541395063</v>
      </c>
      <c r="Z110" s="385">
        <f t="shared" si="37"/>
        <v>11.673560183684218</v>
      </c>
      <c r="AA110" s="386">
        <f t="shared" si="38"/>
        <v>13.084641390025954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0.10784255863652194</v>
      </c>
      <c r="AD110" s="231">
        <f>(INDEX(Models!$BJ110:$BT110,,AH110)*(1-AF110)+INDEX(Models!$BJ110:$BT110,,AH110+1)*AF110-ERP_i)*AE110*Ramure*Pc/MaxiM</f>
        <v>2.9090249596129612E-4</v>
      </c>
      <c r="AE110" s="305">
        <f t="shared" si="40"/>
        <v>0.7</v>
      </c>
      <c r="AF110" s="177">
        <f t="shared" si="41"/>
        <v>3.1743265085053186E-2</v>
      </c>
      <c r="AG110" s="921">
        <f t="shared" si="49"/>
        <v>0</v>
      </c>
      <c r="AH110" s="176">
        <f t="shared" si="42"/>
        <v>6</v>
      </c>
      <c r="AI110" s="225">
        <f t="shared" si="43"/>
        <v>3.1743265085053186E-2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092">
        <v>39.600999999999999</v>
      </c>
      <c r="C111" s="955"/>
      <c r="D111" s="393">
        <f t="shared" si="25"/>
        <v>40.847549893386685</v>
      </c>
      <c r="E111" s="385">
        <f t="shared" si="47"/>
        <v>43.105121109069387</v>
      </c>
      <c r="F111" s="385">
        <f t="shared" si="26"/>
        <v>43.113399025902446</v>
      </c>
      <c r="G111" s="110">
        <f t="shared" si="48"/>
        <v>0.76587616185970209</v>
      </c>
      <c r="H111" s="414" t="b">
        <f>Wh_hp&gt;='2021'!Maxi_hp</f>
        <v>0</v>
      </c>
      <c r="I111" s="380">
        <f>IF(H111,Wh_hp,'2021'!Maxi_hp)</f>
        <v>56.268394657199678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3.0517127627978202E-2</v>
      </c>
      <c r="M111" s="959"/>
      <c r="N111" s="959"/>
      <c r="O111" s="48">
        <f>IF(t&lt;Tnet,'2021'!Resal+('2021'!Salim-'2021'!Resal)*(1-EXP(('2021'!Tnet-t)/('2021'!Tau_j))),Resal+(Salim-Resal)*(1-EXP((Tnet-t)/(Tau_j))))*Salcycl</f>
        <v>5.2373619597781571E-2</v>
      </c>
      <c r="P111" s="339">
        <f>(INDEX(Models!$BJ111:$BT111,,T111)*(1-R111)+INDEX(Models!$BJ111:$BT111,,T111+1)*R111-ERP_i)*Q111*Ramure*Pc/MaxiM</f>
        <v>2.8844796180808809E-4</v>
      </c>
      <c r="Q111" s="305">
        <f t="shared" si="28"/>
        <v>0.7</v>
      </c>
      <c r="R111" s="177">
        <f t="shared" si="29"/>
        <v>3.3011211646002195E-2</v>
      </c>
      <c r="S111" s="921">
        <f t="shared" si="30"/>
        <v>0</v>
      </c>
      <c r="T111" s="176">
        <f t="shared" si="31"/>
        <v>6</v>
      </c>
      <c r="U111" s="251">
        <f t="shared" si="32"/>
        <v>3.3011211646002195E-2</v>
      </c>
      <c r="V111" s="383">
        <f t="shared" si="33"/>
        <v>51.701804985188851</v>
      </c>
      <c r="W111" s="402">
        <f t="shared" si="34"/>
        <v>0</v>
      </c>
      <c r="X111" s="157">
        <f t="shared" si="35"/>
        <v>44658</v>
      </c>
      <c r="Y111" s="385">
        <f t="shared" si="36"/>
        <v>37.275486749397544</v>
      </c>
      <c r="Z111" s="385">
        <f t="shared" si="37"/>
        <v>38.448834746503636</v>
      </c>
      <c r="AA111" s="386">
        <f t="shared" si="38"/>
        <v>43.105121109069387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0.10802165132035928</v>
      </c>
      <c r="AD111" s="231">
        <f>(INDEX(Models!$BJ111:$BT111,,AH111)*(1-AF111)+INDEX(Models!$BJ111:$BT111,,AH111+1)*AF111-ERP_i)*AE111*Ramure*Pc/MaxiM</f>
        <v>2.8844796180808809E-4</v>
      </c>
      <c r="AE111" s="305">
        <f t="shared" si="40"/>
        <v>0.7</v>
      </c>
      <c r="AF111" s="177">
        <f t="shared" si="41"/>
        <v>3.3011211646002195E-2</v>
      </c>
      <c r="AG111" s="921">
        <f t="shared" si="49"/>
        <v>0</v>
      </c>
      <c r="AH111" s="176">
        <f t="shared" si="42"/>
        <v>6</v>
      </c>
      <c r="AI111" s="225">
        <f t="shared" si="43"/>
        <v>3.3011211646002195E-2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092">
        <v>32.127000000000002</v>
      </c>
      <c r="C112" s="955"/>
      <c r="D112" s="393">
        <f t="shared" si="25"/>
        <v>33.139011110694199</v>
      </c>
      <c r="E112" s="385">
        <f t="shared" si="47"/>
        <v>34.978646439887775</v>
      </c>
      <c r="F112" s="385">
        <f t="shared" si="26"/>
        <v>34.983233234252523</v>
      </c>
      <c r="G112" s="110">
        <f t="shared" si="48"/>
        <v>0.61962323461665825</v>
      </c>
      <c r="H112" s="414" t="b">
        <f>Wh_hp&gt;='2021'!Maxi_hp</f>
        <v>0</v>
      </c>
      <c r="I112" s="380">
        <f>IF(H112,Wh_hp,'2021'!Maxi_hp)</f>
        <v>56.211155978326396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3.0538361790995339E-2</v>
      </c>
      <c r="M112" s="959"/>
      <c r="N112" s="959"/>
      <c r="O112" s="48">
        <f>IF(t&lt;Tnet,'2021'!Resal+('2021'!Salim-'2021'!Resal)*(1-EXP(('2021'!Tnet-t)/('2021'!Tau_j))),Resal+(Salim-Resal)*(1-EXP((Tnet-t)/(Tau_j))))*Salcycl</f>
        <v>5.2593096544060525E-2</v>
      </c>
      <c r="P112" s="339">
        <f>(INDEX(Models!$BJ112:$BT112,,T112)*(1-R112)+INDEX(Models!$BJ112:$BT112,,T112+1)*R112-ERP_i)*Q112*Ramure*Pc/MaxiM</f>
        <v>2.8706332240236256E-4</v>
      </c>
      <c r="Q112" s="305">
        <f t="shared" si="28"/>
        <v>0.7</v>
      </c>
      <c r="R112" s="177">
        <f t="shared" si="29"/>
        <v>3.4325069973745778E-2</v>
      </c>
      <c r="S112" s="921">
        <f t="shared" si="30"/>
        <v>0</v>
      </c>
      <c r="T112" s="176">
        <f t="shared" si="31"/>
        <v>6</v>
      </c>
      <c r="U112" s="251">
        <f t="shared" si="32"/>
        <v>3.4325069973745778E-2</v>
      </c>
      <c r="V112" s="383">
        <f t="shared" si="33"/>
        <v>51.841163092440858</v>
      </c>
      <c r="W112" s="402">
        <f t="shared" si="34"/>
        <v>0</v>
      </c>
      <c r="X112" s="157">
        <f t="shared" si="35"/>
        <v>44659</v>
      </c>
      <c r="Y112" s="385">
        <f t="shared" si="36"/>
        <v>30.241280074666594</v>
      </c>
      <c r="Z112" s="385">
        <f t="shared" si="37"/>
        <v>31.193890384909615</v>
      </c>
      <c r="AA112" s="386">
        <f t="shared" si="38"/>
        <v>34.978646439887775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0.10820190145100152</v>
      </c>
      <c r="AD112" s="231">
        <f>(INDEX(Models!$BJ112:$BT112,,AH112)*(1-AF112)+INDEX(Models!$BJ112:$BT112,,AH112+1)*AF112-ERP_i)*AE112*Ramure*Pc/MaxiM</f>
        <v>2.8706332240236256E-4</v>
      </c>
      <c r="AE112" s="305">
        <f t="shared" si="40"/>
        <v>0.7</v>
      </c>
      <c r="AF112" s="177">
        <f t="shared" si="41"/>
        <v>3.4325069973745778E-2</v>
      </c>
      <c r="AG112" s="921">
        <f t="shared" si="49"/>
        <v>0</v>
      </c>
      <c r="AH112" s="176">
        <f t="shared" si="42"/>
        <v>6</v>
      </c>
      <c r="AI112" s="225">
        <f t="shared" si="43"/>
        <v>3.4325069973745778E-2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092">
        <v>35.058999999999997</v>
      </c>
      <c r="C113" s="955"/>
      <c r="D113" s="393">
        <f t="shared" si="25"/>
        <v>36.164162167020194</v>
      </c>
      <c r="E113" s="385">
        <f t="shared" si="47"/>
        <v>38.180597487914433</v>
      </c>
      <c r="F113" s="385">
        <f t="shared" si="26"/>
        <v>38.186456191274708</v>
      </c>
      <c r="G113" s="110">
        <f t="shared" si="48"/>
        <v>0.67444559449174801</v>
      </c>
      <c r="H113" s="414" t="b">
        <f>Wh_hp&gt;='2021'!Maxi_hp</f>
        <v>0</v>
      </c>
      <c r="I113" s="380">
        <f>IF(H113,Wh_hp,'2021'!Maxi_hp)</f>
        <v>45.992596170964376</v>
      </c>
      <c r="J113" s="85">
        <f>IF(H113,An,'2021'!An_max)</f>
        <v>2019</v>
      </c>
      <c r="K113" s="197">
        <f t="shared" si="27"/>
        <v>44660</v>
      </c>
      <c r="L113" s="147">
        <f>IF(t&lt;Tvie,1-EXP((T0-t)*PertePVj)+'2021'!Pspv,1-EXP((T0-t)*PertePVj)+Pspv)</f>
        <v>3.0559595488929836E-2</v>
      </c>
      <c r="M113" s="959"/>
      <c r="N113" s="959"/>
      <c r="O113" s="48">
        <f>IF(t&lt;Tnet,'2021'!Resal+('2021'!Salim-'2021'!Resal)*(1-EXP(('2021'!Tnet-t)/('2021'!Tau_j))),Resal+(Salim-Resal)*(1-EXP((Tnet-t)/(Tau_j))))*Salcycl</f>
        <v>5.281308972528552E-2</v>
      </c>
      <c r="P113" s="339">
        <f>(INDEX(Models!$BJ113:$BT113,,T113)*(1-R113)+INDEX(Models!$BJ113:$BT113,,T113+1)*R113-ERP_i)*Q113*Ramure*Pc/MaxiM</f>
        <v>2.8674586205045048E-4</v>
      </c>
      <c r="Q113" s="305">
        <f t="shared" si="28"/>
        <v>0.7</v>
      </c>
      <c r="R113" s="177">
        <f t="shared" si="29"/>
        <v>3.5686208961311812E-2</v>
      </c>
      <c r="S113" s="921">
        <f t="shared" si="30"/>
        <v>0</v>
      </c>
      <c r="T113" s="176">
        <f t="shared" si="31"/>
        <v>6</v>
      </c>
      <c r="U113" s="251">
        <f t="shared" si="32"/>
        <v>3.5686208961311812E-2</v>
      </c>
      <c r="V113" s="383">
        <f t="shared" si="33"/>
        <v>51.975022779702677</v>
      </c>
      <c r="W113" s="402">
        <f t="shared" si="34"/>
        <v>0</v>
      </c>
      <c r="X113" s="157">
        <f t="shared" si="35"/>
        <v>44660</v>
      </c>
      <c r="Y113" s="385">
        <f t="shared" si="36"/>
        <v>33.002132903320678</v>
      </c>
      <c r="Z113" s="385">
        <f t="shared" si="37"/>
        <v>34.042456606669958</v>
      </c>
      <c r="AA113" s="386">
        <f t="shared" si="38"/>
        <v>38.180597487914433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0.10838334529873053</v>
      </c>
      <c r="AD113" s="231">
        <f>(INDEX(Models!$BJ113:$BT113,,AH113)*(1-AF113)+INDEX(Models!$BJ113:$BT113,,AH113+1)*AF113-ERP_i)*AE113*Ramure*Pc/MaxiM</f>
        <v>2.8674586205045048E-4</v>
      </c>
      <c r="AE113" s="305">
        <f t="shared" si="40"/>
        <v>0.7</v>
      </c>
      <c r="AF113" s="177">
        <f t="shared" si="41"/>
        <v>3.5686208961311812E-2</v>
      </c>
      <c r="AG113" s="921">
        <f t="shared" si="49"/>
        <v>0</v>
      </c>
      <c r="AH113" s="176">
        <f t="shared" si="42"/>
        <v>6</v>
      </c>
      <c r="AI113" s="225">
        <f t="shared" si="43"/>
        <v>3.5686208961311812E-2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092">
        <v>53.588999999999999</v>
      </c>
      <c r="C114" s="955"/>
      <c r="D114" s="393">
        <f t="shared" si="25"/>
        <v>55.279492698025877</v>
      </c>
      <c r="E114" s="385">
        <f t="shared" si="47"/>
        <v>58.375348819531474</v>
      </c>
      <c r="F114" s="385">
        <f t="shared" si="26"/>
        <v>58.392220786132839</v>
      </c>
      <c r="G114" s="110">
        <f t="shared" si="48"/>
        <v>1.0285045397372838</v>
      </c>
      <c r="H114" s="414" t="b">
        <f>Wh_hp&gt;='2021'!Maxi_hp</f>
        <v>1</v>
      </c>
      <c r="I114" s="380">
        <f>IF(H114,Wh_hp,'2021'!Maxi_hp)</f>
        <v>58.392220786132839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3.0580828721791908E-2</v>
      </c>
      <c r="M114" s="959"/>
      <c r="N114" s="959"/>
      <c r="O114" s="48">
        <f>IF(t&lt;Tnet,'2021'!Resal+('2021'!Salim-'2021'!Resal)*(1-EXP(('2021'!Tnet-t)/('2021'!Tau_j))),Resal+(Salim-Resal)*(1-EXP((Tnet-t)/(Tau_j))))*Salcycl</f>
        <v>5.3033620939490995E-2</v>
      </c>
      <c r="P114" s="339">
        <f>(INDEX(Models!$BJ114:$BT114,,T114)*(1-R114)+INDEX(Models!$BJ114:$BT114,,T114+1)*R114-ERP_i)*Q114*Ramure*Pc/MaxiM</f>
        <v>2.8894202642442031E-4</v>
      </c>
      <c r="Q114" s="305">
        <f t="shared" si="28"/>
        <v>0.7</v>
      </c>
      <c r="R114" s="177">
        <f t="shared" si="29"/>
        <v>3.7096015067654337E-2</v>
      </c>
      <c r="S114" s="921">
        <f t="shared" si="30"/>
        <v>0</v>
      </c>
      <c r="T114" s="176">
        <f t="shared" si="31"/>
        <v>6</v>
      </c>
      <c r="U114" s="251">
        <f t="shared" si="32"/>
        <v>3.7096015067654337E-2</v>
      </c>
      <c r="V114" s="383">
        <f t="shared" si="33"/>
        <v>52.103805019361914</v>
      </c>
      <c r="W114" s="402">
        <f t="shared" si="34"/>
        <v>0</v>
      </c>
      <c r="X114" s="157">
        <f t="shared" si="35"/>
        <v>44661</v>
      </c>
      <c r="Y114" s="385">
        <f t="shared" si="36"/>
        <v>50.446411530883857</v>
      </c>
      <c r="Z114" s="385">
        <f t="shared" si="37"/>
        <v>52.037769651665499</v>
      </c>
      <c r="AA114" s="386">
        <f t="shared" si="38"/>
        <v>58.375348819531474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0.10856601795149402</v>
      </c>
      <c r="AD114" s="231">
        <f>(INDEX(Models!$BJ114:$BT114,,AH114)*(1-AF114)+INDEX(Models!$BJ114:$BT114,,AH114+1)*AF114-ERP_i)*AE114*Ramure*Pc/MaxiM</f>
        <v>2.8894202642442031E-4</v>
      </c>
      <c r="AE114" s="305">
        <f t="shared" si="40"/>
        <v>0.7</v>
      </c>
      <c r="AF114" s="177">
        <f t="shared" si="41"/>
        <v>3.7096015067654337E-2</v>
      </c>
      <c r="AG114" s="921">
        <f t="shared" si="49"/>
        <v>0</v>
      </c>
      <c r="AH114" s="176">
        <f t="shared" si="42"/>
        <v>6</v>
      </c>
      <c r="AI114" s="225">
        <f t="shared" si="43"/>
        <v>3.7096015067654337E-2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092">
        <v>44.215000000000003</v>
      </c>
      <c r="C115" s="955"/>
      <c r="D115" s="393">
        <f t="shared" si="25"/>
        <v>45.610784017079141</v>
      </c>
      <c r="E115" s="385">
        <f t="shared" si="47"/>
        <v>48.176404542185061</v>
      </c>
      <c r="F115" s="385">
        <f t="shared" si="26"/>
        <v>48.187441762090266</v>
      </c>
      <c r="G115" s="110">
        <f t="shared" si="48"/>
        <v>0.84652175997951506</v>
      </c>
      <c r="H115" s="414" t="b">
        <f>Wh_hp&gt;='2021'!Maxi_hp</f>
        <v>0</v>
      </c>
      <c r="I115" s="380">
        <f>IF(H115,Wh_hp,'2021'!Maxi_hp)</f>
        <v>56.926003902955259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3.0602061489591548E-2</v>
      </c>
      <c r="M115" s="959"/>
      <c r="N115" s="959"/>
      <c r="O115" s="48">
        <f>IF(t&lt;Tnet,'2021'!Resal+('2021'!Salim-'2021'!Resal)*(1-EXP(('2021'!Tnet-t)/('2021'!Tau_j))),Resal+(Salim-Resal)*(1-EXP((Tnet-t)/(Tau_j))))*Salcycl</f>
        <v>5.3254711502170475E-2</v>
      </c>
      <c r="P115" s="339">
        <f>(INDEX(Models!$BJ115:$BT115,,T115)*(1-R115)+INDEX(Models!$BJ115:$BT115,,T115+1)*R115-ERP_i)*Q115*Ramure*Pc/MaxiM</f>
        <v>2.933412555847596E-4</v>
      </c>
      <c r="Q115" s="305">
        <f t="shared" si="28"/>
        <v>0.7</v>
      </c>
      <c r="R115" s="177">
        <f t="shared" si="29"/>
        <v>3.8555890533551442E-2</v>
      </c>
      <c r="S115" s="921">
        <f t="shared" si="30"/>
        <v>0</v>
      </c>
      <c r="T115" s="176">
        <f t="shared" si="31"/>
        <v>6</v>
      </c>
      <c r="U115" s="251">
        <f t="shared" si="32"/>
        <v>3.8555890533551442E-2</v>
      </c>
      <c r="V115" s="383">
        <f t="shared" si="33"/>
        <v>52.228021412785232</v>
      </c>
      <c r="W115" s="402">
        <f t="shared" si="34"/>
        <v>0</v>
      </c>
      <c r="X115" s="157">
        <f t="shared" si="35"/>
        <v>44662</v>
      </c>
      <c r="Y115" s="385">
        <f t="shared" si="36"/>
        <v>41.623255268683991</v>
      </c>
      <c r="Z115" s="385">
        <f t="shared" si="37"/>
        <v>42.937222801033514</v>
      </c>
      <c r="AA115" s="386">
        <f t="shared" si="38"/>
        <v>48.176404542185061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0.10874995323828965</v>
      </c>
      <c r="AD115" s="231">
        <f>(INDEX(Models!$BJ115:$BT115,,AH115)*(1-AF115)+INDEX(Models!$BJ115:$BT115,,AH115+1)*AF115-ERP_i)*AE115*Ramure*Pc/MaxiM</f>
        <v>2.933412555847596E-4</v>
      </c>
      <c r="AE115" s="305">
        <f t="shared" si="40"/>
        <v>0.7</v>
      </c>
      <c r="AF115" s="177">
        <f t="shared" si="41"/>
        <v>3.8555890533551442E-2</v>
      </c>
      <c r="AG115" s="921">
        <f t="shared" si="49"/>
        <v>0</v>
      </c>
      <c r="AH115" s="176">
        <f t="shared" si="42"/>
        <v>6</v>
      </c>
      <c r="AI115" s="225">
        <f t="shared" si="43"/>
        <v>3.8555890533551442E-2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092">
        <v>2.4980000000000002</v>
      </c>
      <c r="C116" s="955"/>
      <c r="D116" s="393">
        <f t="shared" si="25"/>
        <v>2.5769135816895483</v>
      </c>
      <c r="E116" s="385">
        <f t="shared" si="47"/>
        <v>2.7225032035414061</v>
      </c>
      <c r="F116" s="385">
        <f t="shared" si="26"/>
        <v>2.7225032035414061</v>
      </c>
      <c r="G116" s="110">
        <f t="shared" si="48"/>
        <v>4.7704645304736393E-2</v>
      </c>
      <c r="H116" s="414" t="b">
        <f>Wh_hp&gt;='2021'!Maxi_hp</f>
        <v>0</v>
      </c>
      <c r="I116" s="380">
        <f>IF(H116,Wh_hp,'2021'!Maxi_hp)</f>
        <v>56.893751444283453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3.062329379233919E-2</v>
      </c>
      <c r="M116" s="959"/>
      <c r="N116" s="959"/>
      <c r="O116" s="48">
        <f>IF(t&lt;Tnet,'2021'!Resal+('2021'!Salim-'2021'!Resal)*(1-EXP(('2021'!Tnet-t)/('2021'!Tau_j))),Resal+(Salim-Resal)*(1-EXP((Tnet-t)/(Tau_j))))*Salcycl</f>
        <v>5.3476382199468563E-2</v>
      </c>
      <c r="P116" s="339">
        <f>(INDEX(Models!$BJ116:$BT116,,T116)*(1-R116)+INDEX(Models!$BJ116:$BT116,,T116+1)*R116-ERP_i)*Q116*Ramure*Pc/MaxiM</f>
        <v>2.9995099922573763E-4</v>
      </c>
      <c r="Q116" s="305">
        <f t="shared" si="28"/>
        <v>0.7</v>
      </c>
      <c r="R116" s="177">
        <f t="shared" si="29"/>
        <v>4.0067251402179767E-2</v>
      </c>
      <c r="S116" s="921">
        <f t="shared" si="30"/>
        <v>0</v>
      </c>
      <c r="T116" s="176">
        <f t="shared" si="31"/>
        <v>6</v>
      </c>
      <c r="U116" s="251">
        <f t="shared" si="32"/>
        <v>4.0067251402179767E-2</v>
      </c>
      <c r="V116" s="383">
        <f t="shared" si="33"/>
        <v>52.348166650261049</v>
      </c>
      <c r="W116" s="402">
        <f t="shared" si="34"/>
        <v>0</v>
      </c>
      <c r="X116" s="157">
        <f t="shared" si="35"/>
        <v>44663</v>
      </c>
      <c r="Y116" s="385">
        <f t="shared" si="36"/>
        <v>2.3516369474330365</v>
      </c>
      <c r="Z116" s="385">
        <f t="shared" si="37"/>
        <v>2.4259268170709132</v>
      </c>
      <c r="AA116" s="386">
        <f t="shared" si="38"/>
        <v>2.7225032035414061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0.10893518365183524</v>
      </c>
      <c r="AD116" s="231">
        <f>(INDEX(Models!$BJ116:$BT116,,AH116)*(1-AF116)+INDEX(Models!$BJ116:$BT116,,AH116+1)*AF116-ERP_i)*AE116*Ramure*Pc/MaxiM</f>
        <v>2.9995099922573763E-4</v>
      </c>
      <c r="AE116" s="305">
        <f t="shared" si="40"/>
        <v>0.7</v>
      </c>
      <c r="AF116" s="177">
        <f t="shared" si="41"/>
        <v>4.0067251402179767E-2</v>
      </c>
      <c r="AG116" s="921">
        <f t="shared" si="49"/>
        <v>0</v>
      </c>
      <c r="AH116" s="176">
        <f t="shared" si="42"/>
        <v>6</v>
      </c>
      <c r="AI116" s="225">
        <f t="shared" si="43"/>
        <v>4.0067251402179767E-2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092"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Wh_hp&gt;='2021'!Maxi_hp</f>
        <v>0</v>
      </c>
      <c r="I117" s="380">
        <f>IF(H117,Wh_hp,'2021'!Maxi_hp)</f>
        <v>58.336070770675065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3.0644525630044828E-2</v>
      </c>
      <c r="M117" s="959"/>
      <c r="N117" s="959"/>
      <c r="O117" s="48">
        <f>IF(t&lt;Tnet,'2021'!Resal+('2021'!Salim-'2021'!Resal)*(1-EXP(('2021'!Tnet-t)/('2021'!Tau_j))),Resal+(Salim-Resal)*(1-EXP((Tnet-t)/(Tau_j))))*Salcycl</f>
        <v>5.3698653240291785E-2</v>
      </c>
      <c r="P117" s="339">
        <f>(INDEX(Models!$BJ117:$BT117,,T117)*(1-R117)+INDEX(Models!$BJ117:$BT117,,T117+1)*R117-ERP_i)*Q117*Ramure*Pc/MaxiM</f>
        <v>3.0878171600426927E-4</v>
      </c>
      <c r="Q117" s="305">
        <f t="shared" si="28"/>
        <v>0.7</v>
      </c>
      <c r="R117" s="177">
        <f t="shared" si="29"/>
        <v>4.1631525335101317E-2</v>
      </c>
      <c r="S117" s="921">
        <f t="shared" si="30"/>
        <v>0</v>
      </c>
      <c r="T117" s="176">
        <f t="shared" si="31"/>
        <v>6</v>
      </c>
      <c r="U117" s="251">
        <f t="shared" si="32"/>
        <v>4.1631525335101317E-2</v>
      </c>
      <c r="V117" s="383">
        <f t="shared" si="33"/>
        <v>52.464734826734663</v>
      </c>
      <c r="W117" s="402">
        <f t="shared" si="34"/>
        <v>0</v>
      </c>
      <c r="X117" s="157">
        <f t="shared" si="35"/>
        <v>44664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0.10912174026996757</v>
      </c>
      <c r="AD117" s="231">
        <f>(INDEX(Models!$BJ117:$BT117,,AH117)*(1-AF117)+INDEX(Models!$BJ117:$BT117,,AH117+1)*AF117-ERP_i)*AE117*Ramure*Pc/MaxiM</f>
        <v>3.0878171600426927E-4</v>
      </c>
      <c r="AE117" s="305">
        <f t="shared" si="40"/>
        <v>0.7</v>
      </c>
      <c r="AF117" s="177">
        <f t="shared" si="41"/>
        <v>4.1631525335101317E-2</v>
      </c>
      <c r="AG117" s="921">
        <f t="shared" si="49"/>
        <v>0</v>
      </c>
      <c r="AH117" s="176">
        <f t="shared" si="42"/>
        <v>6</v>
      </c>
      <c r="AI117" s="225">
        <f t="shared" si="43"/>
        <v>4.1631525335101317E-2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092">
        <v>41.947000000000003</v>
      </c>
      <c r="C118" s="955"/>
      <c r="D118" s="393">
        <f t="shared" si="25"/>
        <v>43.274030916617122</v>
      </c>
      <c r="E118" s="385">
        <f t="shared" si="47"/>
        <v>45.740425280425946</v>
      </c>
      <c r="F118" s="385">
        <f t="shared" si="26"/>
        <v>45.750831652004358</v>
      </c>
      <c r="G118" s="110">
        <f t="shared" si="48"/>
        <v>0.79772811085498807</v>
      </c>
      <c r="H118" s="414" t="b">
        <f>Wh_hp&gt;='2021'!Maxi_hp</f>
        <v>0</v>
      </c>
      <c r="I118" s="380">
        <f>IF(H118,Wh_hp,'2021'!Maxi_hp)</f>
        <v>56.615625243922842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3.0665757002718785E-2</v>
      </c>
      <c r="M118" s="959"/>
      <c r="N118" s="959"/>
      <c r="O118" s="48">
        <f>IF(t&lt;Tnet,'2021'!Resal+('2021'!Salim-'2021'!Resal)*(1-EXP(('2021'!Tnet-t)/('2021'!Tau_j))),Resal+(Salim-Resal)*(1-EXP((Tnet-t)/(Tau_j))))*Salcycl</f>
        <v>5.3921544207073388E-2</v>
      </c>
      <c r="P118" s="339">
        <f>(INDEX(Models!$BJ118:$BT118,,T118)*(1-R118)+INDEX(Models!$BJ118:$BT118,,T118+1)*R118-ERP_i)*Q118*Ramure*Pc/MaxiM</f>
        <v>3.198467058224699E-4</v>
      </c>
      <c r="Q118" s="305">
        <f t="shared" si="28"/>
        <v>0.7</v>
      </c>
      <c r="R118" s="177">
        <f t="shared" si="29"/>
        <v>4.3250149214664892E-2</v>
      </c>
      <c r="S118" s="921">
        <f t="shared" si="30"/>
        <v>0</v>
      </c>
      <c r="T118" s="176">
        <f t="shared" si="31"/>
        <v>6</v>
      </c>
      <c r="U118" s="251">
        <f t="shared" si="32"/>
        <v>4.3250149214664892E-2</v>
      </c>
      <c r="V118" s="383">
        <f t="shared" si="33"/>
        <v>52.578219444928905</v>
      </c>
      <c r="W118" s="402">
        <f t="shared" si="34"/>
        <v>0</v>
      </c>
      <c r="X118" s="157">
        <f t="shared" si="35"/>
        <v>44665</v>
      </c>
      <c r="Y118" s="385">
        <f t="shared" si="36"/>
        <v>39.491215311438438</v>
      </c>
      <c r="Z118" s="385">
        <f t="shared" si="37"/>
        <v>40.740555279804759</v>
      </c>
      <c r="AA118" s="386">
        <f t="shared" si="38"/>
        <v>45.740425280425946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0.1093096526752413</v>
      </c>
      <c r="AD118" s="231">
        <f>(INDEX(Models!$BJ118:$BT118,,AH118)*(1-AF118)+INDEX(Models!$BJ118:$BT118,,AH118+1)*AF118-ERP_i)*AE118*Ramure*Pc/MaxiM</f>
        <v>3.198467058224699E-4</v>
      </c>
      <c r="AE118" s="305">
        <f t="shared" si="40"/>
        <v>0.7</v>
      </c>
      <c r="AF118" s="177">
        <f t="shared" si="41"/>
        <v>4.3250149214664892E-2</v>
      </c>
      <c r="AG118" s="921">
        <f t="shared" si="49"/>
        <v>0</v>
      </c>
      <c r="AH118" s="176">
        <f t="shared" si="42"/>
        <v>6</v>
      </c>
      <c r="AI118" s="225">
        <f t="shared" si="43"/>
        <v>4.3250149214664892E-2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092">
        <v>46.68</v>
      </c>
      <c r="C119" s="955"/>
      <c r="D119" s="393">
        <f t="shared" si="25"/>
        <v>48.157818390746691</v>
      </c>
      <c r="E119" s="385">
        <f t="shared" si="47"/>
        <v>50.914592785023231</v>
      </c>
      <c r="F119" s="385">
        <f t="shared" si="26"/>
        <v>50.928795861761152</v>
      </c>
      <c r="G119" s="110">
        <f t="shared" si="48"/>
        <v>0.88590341417991891</v>
      </c>
      <c r="H119" s="414" t="b">
        <f>Wh_hp&gt;='2021'!Maxi_hp</f>
        <v>0</v>
      </c>
      <c r="I119" s="380">
        <f>IF(H119,Wh_hp,'2021'!Maxi_hp)</f>
        <v>56.990205602590848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3.0686987910371166E-2</v>
      </c>
      <c r="M119" s="959"/>
      <c r="N119" s="959"/>
      <c r="O119" s="48">
        <f>IF(t&lt;Tnet,'2021'!Resal+('2021'!Salim-'2021'!Resal)*(1-EXP(('2021'!Tnet-t)/('2021'!Tau_j))),Resal+(Salim-Resal)*(1-EXP((Tnet-t)/(Tau_j))))*Salcycl</f>
        <v>5.4145074004941354E-2</v>
      </c>
      <c r="P119" s="339">
        <f>(INDEX(Models!$BJ119:$BT119,,T119)*(1-R119)+INDEX(Models!$BJ119:$BT119,,T119+1)*R119-ERP_i)*Q119*Ramure*Pc/MaxiM</f>
        <v>3.3316193969947254E-4</v>
      </c>
      <c r="Q119" s="305">
        <f t="shared" si="28"/>
        <v>0.7</v>
      </c>
      <c r="R119" s="177">
        <f t="shared" si="29"/>
        <v>4.4924566524196394E-2</v>
      </c>
      <c r="S119" s="921">
        <f t="shared" si="30"/>
        <v>0</v>
      </c>
      <c r="T119" s="176">
        <f t="shared" si="31"/>
        <v>6</v>
      </c>
      <c r="U119" s="251">
        <f t="shared" si="32"/>
        <v>4.4924566524196394E-2</v>
      </c>
      <c r="V119" s="383">
        <f t="shared" si="33"/>
        <v>52.689113412053061</v>
      </c>
      <c r="W119" s="402">
        <f t="shared" si="34"/>
        <v>0</v>
      </c>
      <c r="X119" s="157">
        <f t="shared" si="35"/>
        <v>44666</v>
      </c>
      <c r="Y119" s="385">
        <f t="shared" si="36"/>
        <v>43.948165753762787</v>
      </c>
      <c r="Z119" s="385">
        <f t="shared" si="37"/>
        <v>45.339498392805091</v>
      </c>
      <c r="AA119" s="386">
        <f t="shared" si="38"/>
        <v>50.914592785023231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0.10949894887223918</v>
      </c>
      <c r="AD119" s="231">
        <f>(INDEX(Models!$BJ119:$BT119,,AH119)*(1-AF119)+INDEX(Models!$BJ119:$BT119,,AH119+1)*AF119-ERP_i)*AE119*Ramure*Pc/MaxiM</f>
        <v>3.3316193969947254E-4</v>
      </c>
      <c r="AE119" s="305">
        <f t="shared" si="40"/>
        <v>0.7</v>
      </c>
      <c r="AF119" s="177">
        <f t="shared" si="41"/>
        <v>4.4924566524196394E-2</v>
      </c>
      <c r="AG119" s="921">
        <f t="shared" si="49"/>
        <v>0</v>
      </c>
      <c r="AH119" s="176">
        <f t="shared" si="42"/>
        <v>6</v>
      </c>
      <c r="AI119" s="225">
        <f t="shared" si="43"/>
        <v>4.4924566524196394E-2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092">
        <v>41.994</v>
      </c>
      <c r="C120" s="955"/>
      <c r="D120" s="393">
        <f t="shared" si="25"/>
        <v>43.324415614713267</v>
      </c>
      <c r="E120" s="385">
        <f t="shared" si="47"/>
        <v>45.815363036718416</v>
      </c>
      <c r="F120" s="385">
        <f t="shared" si="26"/>
        <v>45.82667299996637</v>
      </c>
      <c r="G120" s="110">
        <f t="shared" si="48"/>
        <v>0.79529130113840707</v>
      </c>
      <c r="H120" s="414" t="b">
        <f>Wh_hp&gt;='2021'!Maxi_hp</f>
        <v>0</v>
      </c>
      <c r="I120" s="380">
        <f>IF(H120,Wh_hp,'2021'!Maxi_hp)</f>
        <v>53.394011325702145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3.0708218353012184E-2</v>
      </c>
      <c r="M120" s="959"/>
      <c r="N120" s="959"/>
      <c r="O120" s="48">
        <f>IF(t&lt;Tnet,'2021'!Resal+('2021'!Salim-'2021'!Resal)*(1-EXP(('2021'!Tnet-t)/('2021'!Tau_j))),Resal+(Salim-Resal)*(1-EXP((Tnet-t)/(Tau_j))))*Salcycl</f>
        <v>5.4369260809060821E-2</v>
      </c>
      <c r="P120" s="339">
        <f>(INDEX(Models!$BJ120:$BT120,,T120)*(1-R120)+INDEX(Models!$BJ120:$BT120,,T120+1)*R120-ERP_i)*Q120*Ramure*Pc/MaxiM</f>
        <v>3.4874588569114317E-4</v>
      </c>
      <c r="Q120" s="305">
        <f t="shared" si="28"/>
        <v>0.7</v>
      </c>
      <c r="R120" s="177">
        <f t="shared" si="29"/>
        <v>4.6656224497838787E-2</v>
      </c>
      <c r="S120" s="921">
        <f t="shared" si="30"/>
        <v>0</v>
      </c>
      <c r="T120" s="176">
        <f t="shared" si="31"/>
        <v>6</v>
      </c>
      <c r="U120" s="251">
        <f t="shared" si="32"/>
        <v>4.6656224497838787E-2</v>
      </c>
      <c r="V120" s="383">
        <f t="shared" si="33"/>
        <v>52.797909033913641</v>
      </c>
      <c r="W120" s="402">
        <f t="shared" si="34"/>
        <v>0</v>
      </c>
      <c r="X120" s="157">
        <f t="shared" si="35"/>
        <v>44667</v>
      </c>
      <c r="Y120" s="385">
        <f t="shared" si="36"/>
        <v>39.537306762498702</v>
      </c>
      <c r="Z120" s="385">
        <f t="shared" si="37"/>
        <v>40.789891662259066</v>
      </c>
      <c r="AA120" s="386">
        <f t="shared" si="38"/>
        <v>45.815363036718416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0.10968965520215822</v>
      </c>
      <c r="AD120" s="231">
        <f>(INDEX(Models!$BJ120:$BT120,,AH120)*(1-AF120)+INDEX(Models!$BJ120:$BT120,,AH120+1)*AF120-ERP_i)*AE120*Ramure*Pc/MaxiM</f>
        <v>3.4874588569114317E-4</v>
      </c>
      <c r="AE120" s="305">
        <f t="shared" si="40"/>
        <v>0.7</v>
      </c>
      <c r="AF120" s="177">
        <f t="shared" si="41"/>
        <v>4.6656224497838787E-2</v>
      </c>
      <c r="AG120" s="921">
        <f t="shared" si="49"/>
        <v>0</v>
      </c>
      <c r="AH120" s="176">
        <f t="shared" si="42"/>
        <v>6</v>
      </c>
      <c r="AI120" s="225">
        <f t="shared" si="43"/>
        <v>4.6656224497838787E-2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092">
        <v>53.021999999999998</v>
      </c>
      <c r="C121" s="955"/>
      <c r="D121" s="393">
        <f t="shared" si="25"/>
        <v>54.702992790487308</v>
      </c>
      <c r="E121" s="385">
        <f t="shared" si="47"/>
        <v>57.861913135961132</v>
      </c>
      <c r="F121" s="385">
        <f t="shared" si="26"/>
        <v>57.88313462083768</v>
      </c>
      <c r="G121" s="110">
        <f t="shared" si="48"/>
        <v>1.0022289716869432</v>
      </c>
      <c r="H121" s="414" t="b">
        <f>Wh_hp&gt;='2021'!Maxi_hp</f>
        <v>1</v>
      </c>
      <c r="I121" s="380">
        <f>IF(H121,Wh_hp,'2021'!Maxi_hp)</f>
        <v>57.88313462083768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3.0729448330652054E-2</v>
      </c>
      <c r="M121" s="959"/>
      <c r="N121" s="959"/>
      <c r="O121" s="48">
        <f>IF(t&lt;Tnet,'2021'!Resal+('2021'!Salim-'2021'!Resal)*(1-EXP(('2021'!Tnet-t)/('2021'!Tau_j))),Resal+(Salim-Resal)*(1-EXP((Tnet-t)/(Tau_j))))*Salcycl</f>
        <v>5.4594122009950667E-2</v>
      </c>
      <c r="P121" s="339">
        <f>(INDEX(Models!$BJ121:$BT121,,T121)*(1-R121)+INDEX(Models!$BJ121:$BT121,,T121+1)*R121-ERP_i)*Q121*Ramure*Pc/MaxiM</f>
        <v>3.6662639325884698E-4</v>
      </c>
      <c r="Q121" s="305">
        <f t="shared" si="28"/>
        <v>0.7</v>
      </c>
      <c r="R121" s="177">
        <f t="shared" si="29"/>
        <v>4.8446571032515574E-2</v>
      </c>
      <c r="S121" s="921">
        <f t="shared" si="30"/>
        <v>0</v>
      </c>
      <c r="T121" s="176">
        <f t="shared" si="31"/>
        <v>6</v>
      </c>
      <c r="U121" s="251">
        <f t="shared" si="32"/>
        <v>4.8446571032515574E-2</v>
      </c>
      <c r="V121" s="383">
        <f t="shared" si="33"/>
        <v>52.904078307329137</v>
      </c>
      <c r="W121" s="402">
        <f t="shared" si="34"/>
        <v>0</v>
      </c>
      <c r="X121" s="157">
        <f t="shared" si="35"/>
        <v>44668</v>
      </c>
      <c r="Y121" s="385">
        <f t="shared" si="36"/>
        <v>49.921254455645808</v>
      </c>
      <c r="Z121" s="385">
        <f t="shared" si="37"/>
        <v>51.503942185871438</v>
      </c>
      <c r="AA121" s="386">
        <f t="shared" si="38"/>
        <v>57.861913135961132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0.10988179625430018</v>
      </c>
      <c r="AD121" s="231">
        <f>(INDEX(Models!$BJ121:$BT121,,AH121)*(1-AF121)+INDEX(Models!$BJ121:$BT121,,AH121+1)*AF121-ERP_i)*AE121*Ramure*Pc/MaxiM</f>
        <v>3.6662639325884698E-4</v>
      </c>
      <c r="AE121" s="305">
        <f t="shared" si="40"/>
        <v>0.7</v>
      </c>
      <c r="AF121" s="177">
        <f t="shared" si="41"/>
        <v>4.8446571032515574E-2</v>
      </c>
      <c r="AG121" s="921">
        <f t="shared" si="49"/>
        <v>0</v>
      </c>
      <c r="AH121" s="176">
        <f t="shared" si="42"/>
        <v>6</v>
      </c>
      <c r="AI121" s="225">
        <f t="shared" si="43"/>
        <v>4.8446571032515574E-2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092">
        <v>37.804000000000002</v>
      </c>
      <c r="C122" s="955"/>
      <c r="D122" s="393">
        <f t="shared" si="25"/>
        <v>39.003380385019462</v>
      </c>
      <c r="E122" s="385">
        <f t="shared" si="47"/>
        <v>41.265544064532193</v>
      </c>
      <c r="F122" s="385">
        <f t="shared" si="26"/>
        <v>41.27500432101651</v>
      </c>
      <c r="G122" s="110">
        <f t="shared" si="48"/>
        <v>0.71308042163198493</v>
      </c>
      <c r="H122" s="414" t="b">
        <f>Wh_hp&gt;='2021'!Maxi_hp</f>
        <v>0</v>
      </c>
      <c r="I122" s="380">
        <f>IF(H122,Wh_hp,'2021'!Maxi_hp)</f>
        <v>42.269665111428111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3.0750677843300989E-2</v>
      </c>
      <c r="M122" s="959"/>
      <c r="N122" s="959"/>
      <c r="O122" s="48">
        <f>IF(t&lt;Tnet,'2021'!Resal+('2021'!Salim-'2021'!Resal)*(1-EXP(('2021'!Tnet-t)/('2021'!Tau_j))),Resal+(Salim-Resal)*(1-EXP((Tnet-t)/(Tau_j))))*Salcycl</f>
        <v>5.481967415660631E-2</v>
      </c>
      <c r="P122" s="339">
        <f>(INDEX(Models!$BJ122:$BT122,,T122)*(1-R122)+INDEX(Models!$BJ122:$BT122,,T122+1)*R122-ERP_i)*Q122*Ramure*Pc/MaxiM</f>
        <v>3.8829331184233023E-4</v>
      </c>
      <c r="Q122" s="305">
        <f t="shared" si="28"/>
        <v>0.7</v>
      </c>
      <c r="R122" s="177">
        <f t="shared" si="29"/>
        <v>5.0297051355238487E-2</v>
      </c>
      <c r="S122" s="921">
        <f t="shared" si="30"/>
        <v>0</v>
      </c>
      <c r="T122" s="176">
        <f t="shared" si="31"/>
        <v>6</v>
      </c>
      <c r="U122" s="251">
        <f t="shared" si="32"/>
        <v>5.0297051355238487E-2</v>
      </c>
      <c r="V122" s="383">
        <f t="shared" si="33"/>
        <v>53.006621882110622</v>
      </c>
      <c r="W122" s="402">
        <f t="shared" si="34"/>
        <v>0</v>
      </c>
      <c r="X122" s="157">
        <f t="shared" si="35"/>
        <v>44669</v>
      </c>
      <c r="Y122" s="385">
        <f t="shared" si="36"/>
        <v>35.593959010877207</v>
      </c>
      <c r="Z122" s="385">
        <f t="shared" si="37"/>
        <v>36.723223011057947</v>
      </c>
      <c r="AA122" s="386">
        <f t="shared" si="38"/>
        <v>41.265544064532193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0.11007539477416899</v>
      </c>
      <c r="AD122" s="231">
        <f>(INDEX(Models!$BJ122:$BT122,,AH122)*(1-AF122)+INDEX(Models!$BJ122:$BT122,,AH122+1)*AF122-ERP_i)*AE122*Ramure*Pc/MaxiM</f>
        <v>3.8829331184233023E-4</v>
      </c>
      <c r="AE122" s="305">
        <f t="shared" si="40"/>
        <v>0.7</v>
      </c>
      <c r="AF122" s="177">
        <f t="shared" si="41"/>
        <v>5.0297051355238487E-2</v>
      </c>
      <c r="AG122" s="921">
        <f t="shared" si="49"/>
        <v>0</v>
      </c>
      <c r="AH122" s="176">
        <f t="shared" si="42"/>
        <v>6</v>
      </c>
      <c r="AI122" s="225">
        <f t="shared" si="43"/>
        <v>5.0297051355238487E-2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092">
        <v>9.048</v>
      </c>
      <c r="C123" s="955"/>
      <c r="D123" s="393">
        <f t="shared" si="25"/>
        <v>9.3352638706296425</v>
      </c>
      <c r="E123" s="385">
        <f t="shared" si="47"/>
        <v>9.8790662907587539</v>
      </c>
      <c r="F123" s="385">
        <f t="shared" si="26"/>
        <v>9.8790662907587539</v>
      </c>
      <c r="G123" s="110">
        <f t="shared" si="48"/>
        <v>0.17030752658433648</v>
      </c>
      <c r="H123" s="414" t="b">
        <f>Wh_hp&gt;='2021'!Maxi_hp</f>
        <v>0</v>
      </c>
      <c r="I123" s="380">
        <f>IF(H123,Wh_hp,'2021'!Maxi_hp)</f>
        <v>56.035337326864806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3.0771906890968981E-2</v>
      </c>
      <c r="M123" s="959"/>
      <c r="N123" s="959"/>
      <c r="O123" s="48">
        <f>IF(t&lt;Tnet,'2021'!Resal+('2021'!Salim-'2021'!Resal)*(1-EXP(('2021'!Tnet-t)/('2021'!Tau_j))),Resal+(Salim-Resal)*(1-EXP((Tnet-t)/(Tau_j))))*Salcycl</f>
        <v>5.5045932897302786E-2</v>
      </c>
      <c r="P123" s="339">
        <f>(INDEX(Models!$BJ123:$BT123,,T123)*(1-R123)+INDEX(Models!$BJ123:$BT123,,T123+1)*R123-ERP_i)*Q123*Ramure*Pc/MaxiM</f>
        <v>4.1309461253162712E-4</v>
      </c>
      <c r="Q123" s="305">
        <f t="shared" si="28"/>
        <v>0.7</v>
      </c>
      <c r="R123" s="177">
        <f t="shared" si="29"/>
        <v>5.2209104439875344E-2</v>
      </c>
      <c r="S123" s="921">
        <f t="shared" si="30"/>
        <v>0</v>
      </c>
      <c r="T123" s="176">
        <f t="shared" si="31"/>
        <v>6</v>
      </c>
      <c r="U123" s="251">
        <f t="shared" si="32"/>
        <v>5.2209104439875344E-2</v>
      </c>
      <c r="V123" s="383">
        <f t="shared" si="33"/>
        <v>53.10547631884657</v>
      </c>
      <c r="W123" s="402">
        <f t="shared" si="34"/>
        <v>0</v>
      </c>
      <c r="X123" s="157">
        <f t="shared" si="35"/>
        <v>44670</v>
      </c>
      <c r="Y123" s="385">
        <f t="shared" si="36"/>
        <v>8.5192212547810193</v>
      </c>
      <c r="Z123" s="385">
        <f t="shared" si="37"/>
        <v>8.7896969922256165</v>
      </c>
      <c r="AA123" s="386">
        <f t="shared" si="38"/>
        <v>9.8790662907587539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0.11027047156796335</v>
      </c>
      <c r="AD123" s="231">
        <f>(INDEX(Models!$BJ123:$BT123,,AH123)*(1-AF123)+INDEX(Models!$BJ123:$BT123,,AH123+1)*AF123-ERP_i)*AE123*Ramure*Pc/MaxiM</f>
        <v>4.1309461253162712E-4</v>
      </c>
      <c r="AE123" s="305">
        <f t="shared" si="40"/>
        <v>0.7</v>
      </c>
      <c r="AF123" s="177">
        <f t="shared" si="41"/>
        <v>5.2209104439875344E-2</v>
      </c>
      <c r="AG123" s="921">
        <f t="shared" si="49"/>
        <v>0</v>
      </c>
      <c r="AH123" s="176">
        <f t="shared" si="42"/>
        <v>6</v>
      </c>
      <c r="AI123" s="225">
        <f t="shared" si="43"/>
        <v>5.2209104439875344E-2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092">
        <v>10.207000000000001</v>
      </c>
      <c r="C124" s="955"/>
      <c r="D124" s="393">
        <f t="shared" si="25"/>
        <v>10.53129148542331</v>
      </c>
      <c r="E124" s="385">
        <f t="shared" si="47"/>
        <v>11.147443139321316</v>
      </c>
      <c r="F124" s="385">
        <f t="shared" si="26"/>
        <v>11.147443139321316</v>
      </c>
      <c r="G124" s="110">
        <f t="shared" si="48"/>
        <v>0.19177432486294813</v>
      </c>
      <c r="H124" s="414" t="b">
        <f>Wh_hp&gt;='2021'!Maxi_hp</f>
        <v>0</v>
      </c>
      <c r="I124" s="380">
        <f>IF(H124,Wh_hp,'2021'!Maxi_hp)</f>
        <v>54.638540839726012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3.0793135473666355E-2</v>
      </c>
      <c r="M124" s="959"/>
      <c r="N124" s="959"/>
      <c r="O124" s="48">
        <f>IF(t&lt;Tnet,'2021'!Resal+('2021'!Salim-'2021'!Resal)*(1-EXP(('2021'!Tnet-t)/('2021'!Tau_j))),Resal+(Salim-Resal)*(1-EXP((Tnet-t)/(Tau_j))))*Salcycl</f>
        <v>5.5272912917994889E-2</v>
      </c>
      <c r="P124" s="339">
        <f>(INDEX(Models!$BJ124:$BT124,,T124)*(1-R124)+INDEX(Models!$BJ124:$BT124,,T124+1)*R124-ERP_i)*Q124*Ramure*Pc/MaxiM</f>
        <v>4.4107257882696654E-4</v>
      </c>
      <c r="Q124" s="305">
        <f t="shared" si="28"/>
        <v>0.7</v>
      </c>
      <c r="R124" s="177">
        <f t="shared" si="29"/>
        <v>5.4184159168544556E-2</v>
      </c>
      <c r="S124" s="921">
        <f t="shared" si="30"/>
        <v>0</v>
      </c>
      <c r="T124" s="176">
        <f t="shared" si="31"/>
        <v>6</v>
      </c>
      <c r="U124" s="251">
        <f t="shared" si="32"/>
        <v>5.4184159168544556E-2</v>
      </c>
      <c r="V124" s="383">
        <f t="shared" si="33"/>
        <v>53.200541727778983</v>
      </c>
      <c r="W124" s="402">
        <f t="shared" si="34"/>
        <v>0</v>
      </c>
      <c r="X124" s="157">
        <f t="shared" si="35"/>
        <v>44671</v>
      </c>
      <c r="Y124" s="385">
        <f t="shared" si="36"/>
        <v>9.6106727453025069</v>
      </c>
      <c r="Z124" s="385">
        <f t="shared" si="37"/>
        <v>9.9160180319186981</v>
      </c>
      <c r="AA124" s="386">
        <f t="shared" si="38"/>
        <v>11.147443139321316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0.11046704540334527</v>
      </c>
      <c r="AD124" s="231">
        <f>(INDEX(Models!$BJ124:$BT124,,AH124)*(1-AF124)+INDEX(Models!$BJ124:$BT124,,AH124+1)*AF124-ERP_i)*AE124*Ramure*Pc/MaxiM</f>
        <v>4.4107257882696654E-4</v>
      </c>
      <c r="AE124" s="305">
        <f t="shared" si="40"/>
        <v>0.7</v>
      </c>
      <c r="AF124" s="177">
        <f t="shared" si="41"/>
        <v>5.4184159168544556E-2</v>
      </c>
      <c r="AG124" s="921">
        <f t="shared" si="49"/>
        <v>0</v>
      </c>
      <c r="AH124" s="176">
        <f t="shared" si="42"/>
        <v>6</v>
      </c>
      <c r="AI124" s="225">
        <f t="shared" si="43"/>
        <v>5.4184159168544556E-2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092">
        <v>9.2170000000000005</v>
      </c>
      <c r="C125" s="955"/>
      <c r="D125" s="393">
        <f t="shared" si="25"/>
        <v>9.5100460156987179</v>
      </c>
      <c r="E125" s="385">
        <f t="shared" si="47"/>
        <v>10.068874894363784</v>
      </c>
      <c r="F125" s="385">
        <f t="shared" si="26"/>
        <v>10.068874894363784</v>
      </c>
      <c r="G125" s="110">
        <f t="shared" si="48"/>
        <v>0.17287202138615043</v>
      </c>
      <c r="H125" s="414" t="b">
        <f>Wh_hp&gt;='2021'!Maxi_hp</f>
        <v>0</v>
      </c>
      <c r="I125" s="380">
        <f>IF(H125,Wh_hp,'2021'!Maxi_hp)</f>
        <v>49.293646269634195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3.0814363591403326E-2</v>
      </c>
      <c r="M125" s="959"/>
      <c r="N125" s="959"/>
      <c r="O125" s="48">
        <f>IF(t&lt;Tnet,'2021'!Resal+('2021'!Salim-'2021'!Resal)*(1-EXP(('2021'!Tnet-t)/('2021'!Tau_j))),Resal+(Salim-Resal)*(1-EXP((Tnet-t)/(Tau_j))))*Salcycl</f>
        <v>5.550062787828261E-2</v>
      </c>
      <c r="P125" s="339">
        <f>(INDEX(Models!$BJ125:$BT125,,T125)*(1-R125)+INDEX(Models!$BJ125:$BT125,,T125+1)*R125-ERP_i)*Q125*Ramure*Pc/MaxiM</f>
        <v>4.7227536118602431E-4</v>
      </c>
      <c r="Q125" s="305">
        <f t="shared" si="28"/>
        <v>0.7</v>
      </c>
      <c r="R125" s="177">
        <f t="shared" si="29"/>
        <v>5.6223630234017621E-2</v>
      </c>
      <c r="S125" s="921">
        <f t="shared" si="30"/>
        <v>0</v>
      </c>
      <c r="T125" s="176">
        <f t="shared" si="31"/>
        <v>6</v>
      </c>
      <c r="U125" s="251">
        <f t="shared" si="32"/>
        <v>5.6223630234017621E-2</v>
      </c>
      <c r="V125" s="383">
        <f t="shared" si="33"/>
        <v>53.29171813996048</v>
      </c>
      <c r="W125" s="402">
        <f t="shared" si="34"/>
        <v>0</v>
      </c>
      <c r="X125" s="157">
        <f t="shared" si="35"/>
        <v>44672</v>
      </c>
      <c r="Y125" s="385">
        <f t="shared" si="36"/>
        <v>8.678671169031503</v>
      </c>
      <c r="Z125" s="385">
        <f t="shared" si="37"/>
        <v>8.9546015159604391</v>
      </c>
      <c r="AA125" s="386">
        <f t="shared" si="38"/>
        <v>10.068874894363784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0.11066513290646571</v>
      </c>
      <c r="AD125" s="231">
        <f>(INDEX(Models!$BJ125:$BT125,,AH125)*(1-AF125)+INDEX(Models!$BJ125:$BT125,,AH125+1)*AF125-ERP_i)*AE125*Ramure*Pc/MaxiM</f>
        <v>4.7227536118602431E-4</v>
      </c>
      <c r="AE125" s="305">
        <f t="shared" si="40"/>
        <v>0.7</v>
      </c>
      <c r="AF125" s="177">
        <f t="shared" si="41"/>
        <v>5.6223630234017621E-2</v>
      </c>
      <c r="AG125" s="921">
        <f t="shared" si="49"/>
        <v>0</v>
      </c>
      <c r="AH125" s="176">
        <f t="shared" si="42"/>
        <v>6</v>
      </c>
      <c r="AI125" s="225">
        <f t="shared" si="43"/>
        <v>5.6223630234017621E-2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092">
        <v>27.864000000000001</v>
      </c>
      <c r="C126" s="955"/>
      <c r="D126" s="393">
        <f t="shared" si="25"/>
        <v>28.750539896291837</v>
      </c>
      <c r="E126" s="385">
        <f t="shared" si="47"/>
        <v>30.447342602977209</v>
      </c>
      <c r="F126" s="385">
        <f t="shared" si="26"/>
        <v>30.452236793568797</v>
      </c>
      <c r="G126" s="110">
        <f t="shared" si="48"/>
        <v>0.52182329558166174</v>
      </c>
      <c r="H126" s="414" t="b">
        <f>Wh_hp&gt;='2021'!Maxi_hp</f>
        <v>0</v>
      </c>
      <c r="I126" s="380">
        <f>IF(H126,Wh_hp,'2021'!Maxi_hp)</f>
        <v>60.094501166563738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3.0835591244190108E-2</v>
      </c>
      <c r="M126" s="959"/>
      <c r="N126" s="959"/>
      <c r="O126" s="48">
        <f>IF(t&lt;Tnet,'2021'!Resal+('2021'!Salim-'2021'!Resal)*(1-EXP(('2021'!Tnet-t)/('2021'!Tau_j))),Resal+(Salim-Resal)*(1-EXP((Tnet-t)/(Tau_j))))*Salcycl</f>
        <v>5.5729090344963421E-2</v>
      </c>
      <c r="P126" s="339">
        <f>(INDEX(Models!$BJ126:$BT126,,T126)*(1-R126)+INDEX(Models!$BJ126:$BT126,,T126+1)*R126-ERP_i)*Q126*Ramure*Pc/MaxiM</f>
        <v>5.0675611905042167E-4</v>
      </c>
      <c r="Q126" s="305">
        <f t="shared" si="28"/>
        <v>0.7</v>
      </c>
      <c r="R126" s="177">
        <f t="shared" si="29"/>
        <v>5.8328913780900077E-2</v>
      </c>
      <c r="S126" s="921">
        <f t="shared" si="30"/>
        <v>0</v>
      </c>
      <c r="T126" s="176">
        <f t="shared" si="31"/>
        <v>6</v>
      </c>
      <c r="U126" s="251">
        <f t="shared" si="32"/>
        <v>5.8328913780900077E-2</v>
      </c>
      <c r="V126" s="383">
        <f t="shared" si="33"/>
        <v>53.378905561571784</v>
      </c>
      <c r="W126" s="402">
        <f t="shared" si="34"/>
        <v>0</v>
      </c>
      <c r="X126" s="157">
        <f t="shared" si="35"/>
        <v>44673</v>
      </c>
      <c r="Y126" s="385">
        <f t="shared" si="36"/>
        <v>26.237030491695762</v>
      </c>
      <c r="Z126" s="385">
        <f t="shared" si="37"/>
        <v>27.071805624164671</v>
      </c>
      <c r="AA126" s="386">
        <f t="shared" si="38"/>
        <v>30.447342602977209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0.11086474845533717</v>
      </c>
      <c r="AD126" s="231">
        <f>(INDEX(Models!$BJ126:$BT126,,AH126)*(1-AF126)+INDEX(Models!$BJ126:$BT126,,AH126+1)*AF126-ERP_i)*AE126*Ramure*Pc/MaxiM</f>
        <v>5.0675611905042167E-4</v>
      </c>
      <c r="AE126" s="305">
        <f t="shared" si="40"/>
        <v>0.7</v>
      </c>
      <c r="AF126" s="177">
        <f t="shared" si="41"/>
        <v>5.8328913780900077E-2</v>
      </c>
      <c r="AG126" s="921">
        <f t="shared" si="49"/>
        <v>0</v>
      </c>
      <c r="AH126" s="176">
        <f t="shared" si="42"/>
        <v>6</v>
      </c>
      <c r="AI126" s="225">
        <f t="shared" si="43"/>
        <v>5.8328913780900077E-2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092">
        <v>9.5730000000000004</v>
      </c>
      <c r="C127" s="955"/>
      <c r="D127" s="393">
        <f t="shared" si="25"/>
        <v>9.8777974009082712</v>
      </c>
      <c r="E127" s="385">
        <f t="shared" si="47"/>
        <v>10.463306359848549</v>
      </c>
      <c r="F127" s="385">
        <f t="shared" si="26"/>
        <v>10.463306359848549</v>
      </c>
      <c r="G127" s="110">
        <f t="shared" si="48"/>
        <v>0.1789642379786632</v>
      </c>
      <c r="H127" s="414" t="b">
        <f>Wh_hp&gt;='2021'!Maxi_hp</f>
        <v>0</v>
      </c>
      <c r="I127" s="380">
        <f>IF(H127,Wh_hp,'2021'!Maxi_hp)</f>
        <v>60.511949341362161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3.0856818432036692E-2</v>
      </c>
      <c r="M127" s="959"/>
      <c r="N127" s="959"/>
      <c r="O127" s="48">
        <f>IF(t&lt;Tnet,'2021'!Resal+('2021'!Salim-'2021'!Resal)*(1-EXP(('2021'!Tnet-t)/('2021'!Tau_j))),Resal+(Salim-Resal)*(1-EXP((Tnet-t)/(Tau_j))))*Salcycl</f>
        <v>5.5958311723250768E-2</v>
      </c>
      <c r="P127" s="339">
        <f>(INDEX(Models!$BJ127:$BT127,,T127)*(1-R127)+INDEX(Models!$BJ127:$BT127,,T127+1)*R127-ERP_i)*Q127*Ramure*Pc/MaxiM</f>
        <v>5.4457161014568277E-4</v>
      </c>
      <c r="Q127" s="305">
        <f t="shared" si="28"/>
        <v>0.7</v>
      </c>
      <c r="R127" s="177">
        <f t="shared" si="29"/>
        <v>6.0501382784933465E-2</v>
      </c>
      <c r="S127" s="921">
        <f t="shared" si="30"/>
        <v>0</v>
      </c>
      <c r="T127" s="176">
        <f t="shared" si="31"/>
        <v>6</v>
      </c>
      <c r="U127" s="251">
        <f t="shared" si="32"/>
        <v>6.0501382784933465E-2</v>
      </c>
      <c r="V127" s="383">
        <f t="shared" si="33"/>
        <v>53.462004051987108</v>
      </c>
      <c r="W127" s="402">
        <f t="shared" si="34"/>
        <v>0</v>
      </c>
      <c r="X127" s="157">
        <f t="shared" si="35"/>
        <v>44674</v>
      </c>
      <c r="Y127" s="385">
        <f t="shared" si="36"/>
        <v>9.0141846552072824</v>
      </c>
      <c r="Z127" s="385">
        <f t="shared" si="37"/>
        <v>9.3011897794331677</v>
      </c>
      <c r="AA127" s="386">
        <f t="shared" si="38"/>
        <v>10.463306359848549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0.11106590406975358</v>
      </c>
      <c r="AD127" s="231">
        <f>(INDEX(Models!$BJ127:$BT127,,AH127)*(1-AF127)+INDEX(Models!$BJ127:$BT127,,AH127+1)*AF127-ERP_i)*AE127*Ramure*Pc/MaxiM</f>
        <v>5.4457161014568277E-4</v>
      </c>
      <c r="AE127" s="305">
        <f t="shared" si="40"/>
        <v>0.7</v>
      </c>
      <c r="AF127" s="177">
        <f t="shared" si="41"/>
        <v>6.0501382784933465E-2</v>
      </c>
      <c r="AG127" s="921">
        <f t="shared" si="49"/>
        <v>0</v>
      </c>
      <c r="AH127" s="176">
        <f t="shared" si="42"/>
        <v>6</v>
      </c>
      <c r="AI127" s="225">
        <f t="shared" si="43"/>
        <v>6.0501382784933465E-2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092">
        <v>24.603999999999999</v>
      </c>
      <c r="C128" s="955"/>
      <c r="D128" s="393">
        <f t="shared" si="25"/>
        <v>25.387929637745074</v>
      </c>
      <c r="E128" s="385">
        <f t="shared" si="47"/>
        <v>26.899358946855234</v>
      </c>
      <c r="F128" s="385">
        <f t="shared" si="26"/>
        <v>26.902955656754653</v>
      </c>
      <c r="G128" s="110">
        <f t="shared" si="48"/>
        <v>0.45932864359835573</v>
      </c>
      <c r="H128" s="414" t="b">
        <f>Wh_hp&gt;='2021'!Maxi_hp</f>
        <v>0</v>
      </c>
      <c r="I128" s="380">
        <f>IF(H128,Wh_hp,'2021'!Maxi_hp)</f>
        <v>59.112989516648078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3.0878045154953515E-2</v>
      </c>
      <c r="M128" s="959"/>
      <c r="N128" s="959"/>
      <c r="O128" s="48">
        <f>IF(t&lt;Tnet,'2021'!Resal+('2021'!Salim-'2021'!Resal)*(1-EXP(('2021'!Tnet-t)/('2021'!Tau_j))),Resal+(Salim-Resal)*(1-EXP((Tnet-t)/(Tau_j))))*Salcycl</f>
        <v>5.6188302185798268E-2</v>
      </c>
      <c r="P128" s="339">
        <f>(INDEX(Models!$BJ128:$BT128,,T128)*(1-R128)+INDEX(Models!$BJ128:$BT128,,T128+1)*R128-ERP_i)*Q128*Ramure*Pc/MaxiM</f>
        <v>5.8660070249468975E-4</v>
      </c>
      <c r="Q128" s="305">
        <f t="shared" si="28"/>
        <v>0.7</v>
      </c>
      <c r="R128" s="177">
        <f t="shared" si="29"/>
        <v>6.2742382171514968E-2</v>
      </c>
      <c r="S128" s="921">
        <f t="shared" si="30"/>
        <v>0</v>
      </c>
      <c r="T128" s="176">
        <f t="shared" si="31"/>
        <v>6</v>
      </c>
      <c r="U128" s="251">
        <f t="shared" si="32"/>
        <v>6.2742382171514968E-2</v>
      </c>
      <c r="V128" s="383">
        <f t="shared" si="33"/>
        <v>53.540869891332207</v>
      </c>
      <c r="W128" s="402">
        <f t="shared" si="34"/>
        <v>0</v>
      </c>
      <c r="X128" s="157">
        <f t="shared" si="35"/>
        <v>44675</v>
      </c>
      <c r="Y128" s="385">
        <f t="shared" si="36"/>
        <v>23.168124730251847</v>
      </c>
      <c r="Z128" s="385">
        <f t="shared" si="37"/>
        <v>23.90630468582895</v>
      </c>
      <c r="AA128" s="386">
        <f t="shared" si="38"/>
        <v>26.899358946855234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0.11126860929807393</v>
      </c>
      <c r="AD128" s="231">
        <f>(INDEX(Models!$BJ128:$BT128,,AH128)*(1-AF128)+INDEX(Models!$BJ128:$BT128,,AH128+1)*AF128-ERP_i)*AE128*Ramure*Pc/MaxiM</f>
        <v>5.8660070249468975E-4</v>
      </c>
      <c r="AE128" s="305">
        <f t="shared" si="40"/>
        <v>0.7</v>
      </c>
      <c r="AF128" s="177">
        <f t="shared" si="41"/>
        <v>6.2742382171514968E-2</v>
      </c>
      <c r="AG128" s="921">
        <f t="shared" si="49"/>
        <v>0</v>
      </c>
      <c r="AH128" s="176">
        <f t="shared" si="42"/>
        <v>6</v>
      </c>
      <c r="AI128" s="225">
        <f t="shared" si="43"/>
        <v>6.2742382171514968E-2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092">
        <v>46.657000000000004</v>
      </c>
      <c r="C129" s="955"/>
      <c r="D129" s="393">
        <f t="shared" si="25"/>
        <v>48.144634116647488</v>
      </c>
      <c r="E129" s="385">
        <f t="shared" si="47"/>
        <v>51.023322554057792</v>
      </c>
      <c r="F129" s="385">
        <f t="shared" si="26"/>
        <v>51.049579689315884</v>
      </c>
      <c r="G129" s="110">
        <f t="shared" si="48"/>
        <v>0.87011311547633519</v>
      </c>
      <c r="H129" s="414" t="b">
        <f>Wh_hp&gt;='2021'!Maxi_hp</f>
        <v>0</v>
      </c>
      <c r="I129" s="380">
        <f>IF(H129,Wh_hp,'2021'!Maxi_hp)</f>
        <v>55.415664195239167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3.0899271412950458E-2</v>
      </c>
      <c r="M129" s="959"/>
      <c r="N129" s="959"/>
      <c r="O129" s="48">
        <f>IF(t&lt;Tnet,'2021'!Resal+('2021'!Salim-'2021'!Resal)*(1-EXP(('2021'!Tnet-t)/('2021'!Tau_j))),Resal+(Salim-Resal)*(1-EXP((Tnet-t)/(Tau_j))))*Salcycl</f>
        <v>5.6419070599732363E-2</v>
      </c>
      <c r="P129" s="339">
        <f>(INDEX(Models!$BJ129:$BT129,,T129)*(1-R129)+INDEX(Models!$BJ129:$BT129,,T129+1)*R129-ERP_i)*Q129*Ramure*Pc/MaxiM</f>
        <v>6.3141448463276118E-4</v>
      </c>
      <c r="Q129" s="305">
        <f t="shared" si="28"/>
        <v>0.7</v>
      </c>
      <c r="R129" s="177">
        <f t="shared" si="29"/>
        <v>6.5053223676480809E-2</v>
      </c>
      <c r="S129" s="921">
        <f t="shared" si="30"/>
        <v>0</v>
      </c>
      <c r="T129" s="176">
        <f t="shared" si="31"/>
        <v>6</v>
      </c>
      <c r="U129" s="251">
        <f t="shared" si="32"/>
        <v>6.5053223676480809E-2</v>
      </c>
      <c r="V129" s="383">
        <f t="shared" si="33"/>
        <v>53.615483187488813</v>
      </c>
      <c r="W129" s="402">
        <f t="shared" si="34"/>
        <v>0</v>
      </c>
      <c r="X129" s="157">
        <f t="shared" si="35"/>
        <v>44676</v>
      </c>
      <c r="Y129" s="385">
        <f t="shared" si="36"/>
        <v>43.93476909222359</v>
      </c>
      <c r="Z129" s="385">
        <f t="shared" si="37"/>
        <v>45.335606295829081</v>
      </c>
      <c r="AA129" s="386">
        <f t="shared" si="38"/>
        <v>51.023322554057792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0.11147287110130344</v>
      </c>
      <c r="AD129" s="231">
        <f>(INDEX(Models!$BJ129:$BT129,,AH129)*(1-AF129)+INDEX(Models!$BJ129:$BT129,,AH129+1)*AF129-ERP_i)*AE129*Ramure*Pc/MaxiM</f>
        <v>6.3141448463276118E-4</v>
      </c>
      <c r="AE129" s="305">
        <f t="shared" si="40"/>
        <v>0.7</v>
      </c>
      <c r="AF129" s="177">
        <f t="shared" si="41"/>
        <v>6.5053223676480809E-2</v>
      </c>
      <c r="AG129" s="921">
        <f t="shared" si="49"/>
        <v>0</v>
      </c>
      <c r="AH129" s="176">
        <f t="shared" si="42"/>
        <v>6</v>
      </c>
      <c r="AI129" s="225">
        <f t="shared" si="43"/>
        <v>6.5053223676480809E-2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092">
        <v>52.173999999999999</v>
      </c>
      <c r="C130" s="955"/>
      <c r="D130" s="393">
        <f t="shared" si="25"/>
        <v>53.838719991060245</v>
      </c>
      <c r="E130" s="385">
        <f t="shared" si="47"/>
        <v>57.071877489485303</v>
      </c>
      <c r="F130" s="385">
        <f t="shared" si="26"/>
        <v>57.1090988007223</v>
      </c>
      <c r="G130" s="110">
        <f t="shared" si="48"/>
        <v>0.97181428955729454</v>
      </c>
      <c r="H130" s="414" t="b">
        <f>Wh_hp&gt;='2021'!Maxi_hp</f>
        <v>1</v>
      </c>
      <c r="I130" s="380">
        <f>IF(H130,Wh_hp,'2021'!Maxi_hp)</f>
        <v>57.1090988007223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3.0920497206038067E-2</v>
      </c>
      <c r="M130" s="959"/>
      <c r="N130" s="959"/>
      <c r="O130" s="48">
        <f>IF(t&lt;Tnet,'2021'!Resal+('2021'!Salim-'2021'!Resal)*(1-EXP(('2021'!Tnet-t)/('2021'!Tau_j))),Resal+(Salim-Resal)*(1-EXP((Tnet-t)/(Tau_j))))*Salcycl</f>
        <v>5.6650624451959238E-2</v>
      </c>
      <c r="P130" s="339">
        <f>(INDEX(Models!$BJ130:$BT130,,T130)*(1-R130)+INDEX(Models!$BJ130:$BT130,,T130+1)*R130-ERP_i)*Q130*Ramure*Pc/MaxiM</f>
        <v>6.790753896952405E-4</v>
      </c>
      <c r="Q130" s="305">
        <f t="shared" si="28"/>
        <v>0.7</v>
      </c>
      <c r="R130" s="177">
        <f t="shared" si="29"/>
        <v>6.7435180454339771E-2</v>
      </c>
      <c r="S130" s="921">
        <f t="shared" si="30"/>
        <v>0</v>
      </c>
      <c r="T130" s="176">
        <f t="shared" si="31"/>
        <v>6</v>
      </c>
      <c r="U130" s="251">
        <f t="shared" si="32"/>
        <v>6.7435180454339771E-2</v>
      </c>
      <c r="V130" s="383">
        <f t="shared" si="33"/>
        <v>53.68574466633531</v>
      </c>
      <c r="W130" s="402">
        <f t="shared" si="34"/>
        <v>0</v>
      </c>
      <c r="X130" s="157">
        <f t="shared" si="35"/>
        <v>44677</v>
      </c>
      <c r="Y130" s="385">
        <f t="shared" si="36"/>
        <v>49.130552300565562</v>
      </c>
      <c r="Z130" s="385">
        <f t="shared" si="37"/>
        <v>50.69816476245429</v>
      </c>
      <c r="AA130" s="386">
        <f t="shared" si="38"/>
        <v>57.071877489485303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0.11167869373502344</v>
      </c>
      <c r="AD130" s="231">
        <f>(INDEX(Models!$BJ130:$BT130,,AH130)*(1-AF130)+INDEX(Models!$BJ130:$BT130,,AH130+1)*AF130-ERP_i)*AE130*Ramure*Pc/MaxiM</f>
        <v>6.790753896952405E-4</v>
      </c>
      <c r="AE130" s="305">
        <f t="shared" si="40"/>
        <v>0.7</v>
      </c>
      <c r="AF130" s="177">
        <f t="shared" si="41"/>
        <v>6.7435180454339771E-2</v>
      </c>
      <c r="AG130" s="921">
        <f t="shared" si="49"/>
        <v>0</v>
      </c>
      <c r="AH130" s="176">
        <f t="shared" si="42"/>
        <v>6</v>
      </c>
      <c r="AI130" s="225">
        <f t="shared" si="43"/>
        <v>6.7435180454339771E-2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092">
        <v>38.451999999999998</v>
      </c>
      <c r="C131" s="955"/>
      <c r="D131" s="393">
        <f t="shared" si="25"/>
        <v>39.67976012810859</v>
      </c>
      <c r="E131" s="385">
        <f t="shared" si="47"/>
        <v>42.072997153451091</v>
      </c>
      <c r="F131" s="385">
        <f t="shared" si="26"/>
        <v>42.091220919554068</v>
      </c>
      <c r="G131" s="110">
        <f t="shared" si="48"/>
        <v>0.71515301489456096</v>
      </c>
      <c r="H131" s="414" t="b">
        <f>Wh_hp&gt;='2021'!Maxi_hp</f>
        <v>1</v>
      </c>
      <c r="I131" s="380">
        <f>IF(H131,Wh_hp,'2021'!Maxi_hp)</f>
        <v>42.091220919554068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3.0941722534226224E-2</v>
      </c>
      <c r="M131" s="959"/>
      <c r="N131" s="959"/>
      <c r="O131" s="48">
        <f>IF(t&lt;Tnet,'2021'!Resal+('2021'!Salim-'2021'!Resal)*(1-EXP(('2021'!Tnet-t)/('2021'!Tau_j))),Resal+(Salim-Resal)*(1-EXP((Tnet-t)/(Tau_j))))*Salcycl</f>
        <v>5.6882969773076705E-2</v>
      </c>
      <c r="P131" s="339">
        <f>(INDEX(Models!$BJ131:$BT131,,T131)*(1-R131)+INDEX(Models!$BJ131:$BT131,,T131+1)*R131-ERP_i)*Q131*Ramure*Pc/MaxiM</f>
        <v>7.2964966209274973E-4</v>
      </c>
      <c r="Q131" s="305">
        <f t="shared" si="28"/>
        <v>0.7</v>
      </c>
      <c r="R131" s="177">
        <f t="shared" si="29"/>
        <v>6.9889481441474721E-2</v>
      </c>
      <c r="S131" s="921">
        <f t="shared" si="30"/>
        <v>0</v>
      </c>
      <c r="T131" s="176">
        <f t="shared" si="31"/>
        <v>6</v>
      </c>
      <c r="U131" s="251">
        <f t="shared" si="32"/>
        <v>6.9889481441474721E-2</v>
      </c>
      <c r="V131" s="383">
        <f t="shared" si="33"/>
        <v>53.751555125045513</v>
      </c>
      <c r="W131" s="402">
        <f t="shared" si="34"/>
        <v>0</v>
      </c>
      <c r="X131" s="157">
        <f t="shared" si="35"/>
        <v>44678</v>
      </c>
      <c r="Y131" s="385">
        <f t="shared" si="36"/>
        <v>36.209458010008284</v>
      </c>
      <c r="Z131" s="385">
        <f t="shared" si="37"/>
        <v>37.365614485747138</v>
      </c>
      <c r="AA131" s="386">
        <f t="shared" si="38"/>
        <v>42.072997153451091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0.11188607862983733</v>
      </c>
      <c r="AD131" s="231">
        <f>(INDEX(Models!$BJ131:$BT131,,AH131)*(1-AF131)+INDEX(Models!$BJ131:$BT131,,AH131+1)*AF131-ERP_i)*AE131*Ramure*Pc/MaxiM</f>
        <v>7.2964966209274973E-4</v>
      </c>
      <c r="AE131" s="305">
        <f t="shared" si="40"/>
        <v>0.7</v>
      </c>
      <c r="AF131" s="177">
        <f t="shared" si="41"/>
        <v>6.9889481441474721E-2</v>
      </c>
      <c r="AG131" s="921">
        <f t="shared" si="49"/>
        <v>0</v>
      </c>
      <c r="AH131" s="176">
        <f t="shared" si="42"/>
        <v>6</v>
      </c>
      <c r="AI131" s="225">
        <f t="shared" si="43"/>
        <v>6.9889481441474721E-2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092">
        <v>20.677</v>
      </c>
      <c r="C132" s="955"/>
      <c r="D132" s="393">
        <f t="shared" si="25"/>
        <v>21.337677382375869</v>
      </c>
      <c r="E132" s="385">
        <f t="shared" si="47"/>
        <v>22.630227998030978</v>
      </c>
      <c r="F132" s="385">
        <f t="shared" si="26"/>
        <v>22.632361158240439</v>
      </c>
      <c r="G132" s="110">
        <f t="shared" si="48"/>
        <v>0.38397457876317703</v>
      </c>
      <c r="H132" s="414" t="b">
        <f>Wh_hp&gt;='2021'!Maxi_hp</f>
        <v>0</v>
      </c>
      <c r="I132" s="380">
        <f>IF(H132,Wh_hp,'2021'!Maxi_hp)</f>
        <v>44.927139058198264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3.0962947397525253E-2</v>
      </c>
      <c r="M132" s="959"/>
      <c r="N132" s="959"/>
      <c r="O132" s="48">
        <f>IF(t&lt;Tnet,'2021'!Resal+('2021'!Salim-'2021'!Resal)*(1-EXP(('2021'!Tnet-t)/('2021'!Tau_j))),Resal+(Salim-Resal)*(1-EXP((Tnet-t)/(Tau_j))))*Salcycl</f>
        <v>5.711611106028501E-2</v>
      </c>
      <c r="P132" s="339">
        <f>(INDEX(Models!$BJ132:$BT132,,T132)*(1-R132)+INDEX(Models!$BJ132:$BT132,,T132+1)*R132-ERP_i)*Q132*Ramure*Pc/MaxiM</f>
        <v>7.8320735936917533E-4</v>
      </c>
      <c r="Q132" s="305">
        <f t="shared" si="28"/>
        <v>0.7</v>
      </c>
      <c r="R132" s="177">
        <f t="shared" si="29"/>
        <v>7.2417305484352032E-2</v>
      </c>
      <c r="S132" s="921">
        <f t="shared" si="30"/>
        <v>0</v>
      </c>
      <c r="T132" s="176">
        <f t="shared" si="31"/>
        <v>6</v>
      </c>
      <c r="U132" s="251">
        <f t="shared" si="32"/>
        <v>7.2417305484352032E-2</v>
      </c>
      <c r="V132" s="383">
        <f t="shared" si="33"/>
        <v>53.812815440555148</v>
      </c>
      <c r="W132" s="402">
        <f t="shared" si="34"/>
        <v>0</v>
      </c>
      <c r="X132" s="157">
        <f t="shared" si="35"/>
        <v>44679</v>
      </c>
      <c r="Y132" s="385">
        <f t="shared" si="36"/>
        <v>19.471338304222552</v>
      </c>
      <c r="Z132" s="385">
        <f t="shared" si="37"/>
        <v>20.093492041330872</v>
      </c>
      <c r="AA132" s="386">
        <f t="shared" si="38"/>
        <v>22.630227998030978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0.11209502427111304</v>
      </c>
      <c r="AD132" s="231">
        <f>(INDEX(Models!$BJ132:$BT132,,AH132)*(1-AF132)+INDEX(Models!$BJ132:$BT132,,AH132+1)*AF132-ERP_i)*AE132*Ramure*Pc/MaxiM</f>
        <v>7.8320735936917533E-4</v>
      </c>
      <c r="AE132" s="305">
        <f t="shared" si="40"/>
        <v>0.7</v>
      </c>
      <c r="AF132" s="177">
        <f t="shared" si="41"/>
        <v>7.2417305484352032E-2</v>
      </c>
      <c r="AG132" s="921">
        <f t="shared" si="49"/>
        <v>0</v>
      </c>
      <c r="AH132" s="176">
        <f t="shared" si="42"/>
        <v>6</v>
      </c>
      <c r="AI132" s="225">
        <f t="shared" si="43"/>
        <v>7.2417305484352032E-2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092">
        <v>41.853999999999999</v>
      </c>
      <c r="C133" s="955"/>
      <c r="D133" s="393">
        <f t="shared" si="25"/>
        <v>43.192276928614227</v>
      </c>
      <c r="E133" s="385">
        <f t="shared" si="47"/>
        <v>45.820059698286727</v>
      </c>
      <c r="F133" s="385">
        <f t="shared" si="26"/>
        <v>45.846293968832157</v>
      </c>
      <c r="G133" s="110">
        <f t="shared" si="48"/>
        <v>0.77674473458727433</v>
      </c>
      <c r="H133" s="414" t="b">
        <f>Wh_hp&gt;='2021'!Maxi_hp</f>
        <v>0</v>
      </c>
      <c r="I133" s="380">
        <f>IF(H133,Wh_hp,'2021'!Maxi_hp)</f>
        <v>53.012856919854819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3.0984171795945259E-2</v>
      </c>
      <c r="M133" s="959"/>
      <c r="N133" s="959"/>
      <c r="O133" s="48">
        <f>IF(t&lt;Tnet,'2021'!Resal+('2021'!Salim-'2021'!Resal)*(1-EXP(('2021'!Tnet-t)/('2021'!Tau_j))),Resal+(Salim-Resal)*(1-EXP((Tnet-t)/(Tau_j))))*Salcycl</f>
        <v>5.7350051199753352E-2</v>
      </c>
      <c r="P133" s="339">
        <f>(INDEX(Models!$BJ133:$BT133,,T133)*(1-R133)+INDEX(Models!$BJ133:$BT133,,T133+1)*R133-ERP_i)*Q133*Ramure*Pc/MaxiM</f>
        <v>8.3982234610725293E-4</v>
      </c>
      <c r="Q133" s="305">
        <f t="shared" si="28"/>
        <v>0.7</v>
      </c>
      <c r="R133" s="177">
        <f t="shared" si="29"/>
        <v>7.5019775245484116E-2</v>
      </c>
      <c r="S133" s="921">
        <f t="shared" si="30"/>
        <v>0</v>
      </c>
      <c r="T133" s="176">
        <f t="shared" si="31"/>
        <v>6</v>
      </c>
      <c r="U133" s="251">
        <f t="shared" si="32"/>
        <v>7.5019775245484116E-2</v>
      </c>
      <c r="V133" s="383">
        <f t="shared" si="33"/>
        <v>53.86942658341929</v>
      </c>
      <c r="W133" s="402">
        <f t="shared" si="34"/>
        <v>0</v>
      </c>
      <c r="X133" s="157">
        <f t="shared" si="35"/>
        <v>44680</v>
      </c>
      <c r="Y133" s="385">
        <f t="shared" si="36"/>
        <v>39.413956961203162</v>
      </c>
      <c r="Z133" s="385">
        <f t="shared" si="37"/>
        <v>40.674213788903558</v>
      </c>
      <c r="AA133" s="386">
        <f t="shared" si="38"/>
        <v>45.820059698286727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0.11230552607891044</v>
      </c>
      <c r="AD133" s="231">
        <f>(INDEX(Models!$BJ133:$BT133,,AH133)*(1-AF133)+INDEX(Models!$BJ133:$BT133,,AH133+1)*AF133-ERP_i)*AE133*Ramure*Pc/MaxiM</f>
        <v>8.3982234610725293E-4</v>
      </c>
      <c r="AE133" s="305">
        <f t="shared" si="40"/>
        <v>0.7</v>
      </c>
      <c r="AF133" s="177">
        <f t="shared" si="41"/>
        <v>7.5019775245484116E-2</v>
      </c>
      <c r="AG133" s="921">
        <f t="shared" si="49"/>
        <v>0</v>
      </c>
      <c r="AH133" s="176">
        <f t="shared" si="42"/>
        <v>6</v>
      </c>
      <c r="AI133" s="225">
        <f t="shared" si="43"/>
        <v>7.5019775245484116E-2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092">
        <v>40.805999999999997</v>
      </c>
      <c r="C134" s="955"/>
      <c r="D134" s="393">
        <f t="shared" si="25"/>
        <v>42.111689600914062</v>
      </c>
      <c r="E134" s="385">
        <f t="shared" si="47"/>
        <v>44.684857816523895</v>
      </c>
      <c r="F134" s="385">
        <f t="shared" si="26"/>
        <v>44.711103067361499</v>
      </c>
      <c r="G134" s="110">
        <f t="shared" si="48"/>
        <v>0.75653304682506761</v>
      </c>
      <c r="H134" s="414" t="b">
        <f>Wh_hp&gt;='2021'!Maxi_hp</f>
        <v>0</v>
      </c>
      <c r="I134" s="380">
        <f>IF(H134,Wh_hp,'2021'!Maxi_hp)</f>
        <v>59.629748537925202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3.1005395729496454E-2</v>
      </c>
      <c r="M134" s="959"/>
      <c r="N134" s="959"/>
      <c r="O134" s="48">
        <f>IF(t&lt;Tnet,'2021'!Resal+('2021'!Salim-'2021'!Resal)*(1-EXP(('2021'!Tnet-t)/('2021'!Tau_j))),Resal+(Salim-Resal)*(1-EXP((Tnet-t)/(Tau_j))))*Salcycl</f>
        <v>5.7584791388959271E-2</v>
      </c>
      <c r="P134" s="339">
        <f>(INDEX(Models!$BJ134:$BT134,,T134)*(1-R134)+INDEX(Models!$BJ134:$BT134,,T134+1)*R134-ERP_i)*Q134*Ramure*Pc/MaxiM</f>
        <v>8.9957227961789954E-4</v>
      </c>
      <c r="Q134" s="305">
        <f t="shared" si="28"/>
        <v>0.7</v>
      </c>
      <c r="R134" s="177">
        <f t="shared" si="29"/>
        <v>7.7697950902763241E-2</v>
      </c>
      <c r="S134" s="921">
        <f t="shared" si="30"/>
        <v>0</v>
      </c>
      <c r="T134" s="176">
        <f t="shared" si="31"/>
        <v>6</v>
      </c>
      <c r="U134" s="251">
        <f t="shared" si="32"/>
        <v>7.7697950902763241E-2</v>
      </c>
      <c r="V134" s="383">
        <f t="shared" si="33"/>
        <v>53.921289629219388</v>
      </c>
      <c r="W134" s="402">
        <f t="shared" si="34"/>
        <v>0</v>
      </c>
      <c r="X134" s="157">
        <f t="shared" si="35"/>
        <v>44681</v>
      </c>
      <c r="Y134" s="385">
        <f t="shared" si="36"/>
        <v>38.427444136137957</v>
      </c>
      <c r="Z134" s="385">
        <f t="shared" si="37"/>
        <v>39.657025918186221</v>
      </c>
      <c r="AA134" s="386">
        <f t="shared" si="38"/>
        <v>44.684857816523895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0.11251757628908561</v>
      </c>
      <c r="AD134" s="231">
        <f>(INDEX(Models!$BJ134:$BT134,,AH134)*(1-AF134)+INDEX(Models!$BJ134:$BT134,,AH134+1)*AF134-ERP_i)*AE134*Ramure*Pc/MaxiM</f>
        <v>8.9957227961789954E-4</v>
      </c>
      <c r="AE134" s="305">
        <f t="shared" si="40"/>
        <v>0.7</v>
      </c>
      <c r="AF134" s="177">
        <f t="shared" si="41"/>
        <v>7.7697950902763241E-2</v>
      </c>
      <c r="AG134" s="921">
        <f t="shared" si="49"/>
        <v>0</v>
      </c>
      <c r="AH134" s="176">
        <f t="shared" si="42"/>
        <v>6</v>
      </c>
      <c r="AI134" s="225">
        <f t="shared" si="43"/>
        <v>7.7697950902763241E-2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092">
        <v>45.669000000000004</v>
      </c>
      <c r="C135" s="955"/>
      <c r="D135" s="393">
        <f t="shared" si="25"/>
        <v>47.131325694633212</v>
      </c>
      <c r="E135" s="385">
        <f t="shared" si="47"/>
        <v>50.023713362056569</v>
      </c>
      <c r="F135" s="385">
        <f t="shared" si="26"/>
        <v>50.06131416660282</v>
      </c>
      <c r="G135" s="110">
        <f t="shared" si="48"/>
        <v>0.84604599069992981</v>
      </c>
      <c r="H135" s="414" t="b">
        <f>Wh_hp&gt;='2021'!Maxi_hp</f>
        <v>0</v>
      </c>
      <c r="I135" s="380">
        <f>IF(H135,Wh_hp,'2021'!Maxi_hp)</f>
        <v>57.486763345827086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3.1026619198189054E-2</v>
      </c>
      <c r="M135" s="959"/>
      <c r="N135" s="959"/>
      <c r="O135" s="48">
        <f>IF(t&lt;Tnet,'2021'!Resal+('2021'!Salim-'2021'!Resal)*(1-EXP(('2021'!Tnet-t)/('2021'!Tau_j))),Resal+(Salim-Resal)*(1-EXP((Tnet-t)/(Tau_j))))*Salcycl</f>
        <v>5.7820331059574147E-2</v>
      </c>
      <c r="P135" s="339">
        <f>(INDEX(Models!$BJ135:$BT135,,T135)*(1-R135)+INDEX(Models!$BJ135:$BT135,,T135+1)*R135-ERP_i)*Q135*Ramure*Pc/MaxiM</f>
        <v>9.6254559422873369E-4</v>
      </c>
      <c r="Q135" s="305">
        <f t="shared" si="28"/>
        <v>0.7</v>
      </c>
      <c r="R135" s="177">
        <f t="shared" si="29"/>
        <v>8.0452823660823236E-2</v>
      </c>
      <c r="S135" s="921">
        <f t="shared" si="30"/>
        <v>0</v>
      </c>
      <c r="T135" s="176">
        <f t="shared" si="31"/>
        <v>6</v>
      </c>
      <c r="U135" s="251">
        <f t="shared" si="32"/>
        <v>8.0452823660823236E-2</v>
      </c>
      <c r="V135" s="383">
        <f t="shared" si="33"/>
        <v>53.967912510390022</v>
      </c>
      <c r="W135" s="402">
        <f t="shared" si="34"/>
        <v>0</v>
      </c>
      <c r="X135" s="157">
        <f t="shared" si="35"/>
        <v>44682</v>
      </c>
      <c r="Y135" s="385">
        <f t="shared" si="36"/>
        <v>43.007381516004564</v>
      </c>
      <c r="Z135" s="385">
        <f t="shared" si="37"/>
        <v>44.384481935320657</v>
      </c>
      <c r="AA135" s="386">
        <f t="shared" si="38"/>
        <v>50.023713362056569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0.11273116383665588</v>
      </c>
      <c r="AD135" s="231">
        <f>(INDEX(Models!$BJ135:$BT135,,AH135)*(1-AF135)+INDEX(Models!$BJ135:$BT135,,AH135+1)*AF135-ERP_i)*AE135*Ramure*Pc/MaxiM</f>
        <v>9.6254559422873369E-4</v>
      </c>
      <c r="AE135" s="305">
        <f t="shared" si="40"/>
        <v>0.7</v>
      </c>
      <c r="AF135" s="177">
        <f t="shared" si="41"/>
        <v>8.0452823660823236E-2</v>
      </c>
      <c r="AG135" s="921">
        <f t="shared" si="49"/>
        <v>0</v>
      </c>
      <c r="AH135" s="176">
        <f t="shared" si="42"/>
        <v>6</v>
      </c>
      <c r="AI135" s="225">
        <f t="shared" si="43"/>
        <v>8.0452823660823236E-2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092">
        <v>26.748000000000001</v>
      </c>
      <c r="C136" s="955"/>
      <c r="D136" s="393">
        <f t="shared" si="25"/>
        <v>27.605078109106337</v>
      </c>
      <c r="E136" s="385">
        <f t="shared" si="47"/>
        <v>29.306516820578388</v>
      </c>
      <c r="F136" s="385">
        <f t="shared" si="26"/>
        <v>29.314935870143316</v>
      </c>
      <c r="G136" s="110">
        <f t="shared" si="48"/>
        <v>0.4948827860542257</v>
      </c>
      <c r="H136" s="414" t="b">
        <f>Wh_hp&gt;='2021'!Maxi_hp</f>
        <v>0</v>
      </c>
      <c r="I136" s="380">
        <f>IF(H136,Wh_hp,'2021'!Maxi_hp)</f>
        <v>52.039309618554178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3.1047842202033271E-2</v>
      </c>
      <c r="M136" s="959"/>
      <c r="N136" s="959"/>
      <c r="O136" s="48">
        <f>IF(t&lt;Tnet,'2021'!Resal+('2021'!Salim-'2021'!Resal)*(1-EXP(('2021'!Tnet-t)/('2021'!Tau_j))),Resal+(Salim-Resal)*(1-EXP((Tnet-t)/(Tau_j))))*Salcycl</f>
        <v>5.80566678015225E-2</v>
      </c>
      <c r="P136" s="339">
        <f>(INDEX(Models!$BJ136:$BT136,,T136)*(1-R136)+INDEX(Models!$BJ136:$BT136,,T136+1)*R136-ERP_i)*Q136*Ramure*Pc/MaxiM</f>
        <v>1.0296267568425308E-3</v>
      </c>
      <c r="Q136" s="305">
        <f t="shared" si="28"/>
        <v>0.7</v>
      </c>
      <c r="R136" s="177">
        <f t="shared" si="29"/>
        <v>8.3285309096258323E-2</v>
      </c>
      <c r="S136" s="921">
        <f t="shared" si="30"/>
        <v>0</v>
      </c>
      <c r="T136" s="176">
        <f t="shared" si="31"/>
        <v>6</v>
      </c>
      <c r="U136" s="251">
        <f t="shared" si="32"/>
        <v>8.3285309096258323E-2</v>
      </c>
      <c r="V136" s="383">
        <f t="shared" si="33"/>
        <v>54.009022812888766</v>
      </c>
      <c r="W136" s="402">
        <f t="shared" si="34"/>
        <v>0</v>
      </c>
      <c r="X136" s="157">
        <f t="shared" si="35"/>
        <v>44683</v>
      </c>
      <c r="Y136" s="385">
        <f t="shared" si="36"/>
        <v>25.1893211040423</v>
      </c>
      <c r="Z136" s="385">
        <f t="shared" si="37"/>
        <v>25.99645493466608</v>
      </c>
      <c r="AA136" s="386">
        <f t="shared" si="38"/>
        <v>29.306516820578388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0.11294627424259628</v>
      </c>
      <c r="AD136" s="231">
        <f>(INDEX(Models!$BJ136:$BT136,,AH136)*(1-AF136)+INDEX(Models!$BJ136:$BT136,,AH136+1)*AF136-ERP_i)*AE136*Ramure*Pc/MaxiM</f>
        <v>1.0296267568425308E-3</v>
      </c>
      <c r="AE136" s="305">
        <f t="shared" si="40"/>
        <v>0.7</v>
      </c>
      <c r="AF136" s="177">
        <f t="shared" si="41"/>
        <v>8.3285309096258323E-2</v>
      </c>
      <c r="AG136" s="921">
        <f t="shared" si="49"/>
        <v>0</v>
      </c>
      <c r="AH136" s="176">
        <f t="shared" si="42"/>
        <v>6</v>
      </c>
      <c r="AI136" s="225">
        <f t="shared" si="43"/>
        <v>8.3285309096258323E-2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092">
        <v>30.545999999999999</v>
      </c>
      <c r="C137" s="955"/>
      <c r="D137" s="393">
        <f t="shared" si="25"/>
        <v>31.52546676800668</v>
      </c>
      <c r="E137" s="385">
        <f t="shared" si="47"/>
        <v>33.476966252581668</v>
      </c>
      <c r="F137" s="385">
        <f t="shared" si="26"/>
        <v>33.490915000242275</v>
      </c>
      <c r="G137" s="110">
        <f t="shared" si="48"/>
        <v>0.56480957052102354</v>
      </c>
      <c r="H137" s="414" t="b">
        <f>Wh_hp&gt;='2021'!Maxi_hp</f>
        <v>0</v>
      </c>
      <c r="I137" s="380">
        <f>IF(H137,Wh_hp,'2021'!Maxi_hp)</f>
        <v>59.632265422182535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3.106906474103921E-2</v>
      </c>
      <c r="M137" s="959"/>
      <c r="N137" s="959"/>
      <c r="O137" s="48">
        <f>IF(t&lt;Tnet,'2021'!Resal+('2021'!Salim-'2021'!Resal)*(1-EXP(('2021'!Tnet-t)/('2021'!Tau_j))),Resal+(Salim-Resal)*(1-EXP((Tnet-t)/(Tau_j))))*Salcycl</f>
        <v>5.8293797288889476E-2</v>
      </c>
      <c r="P137" s="339">
        <f>(INDEX(Models!$BJ137:$BT137,,T137)*(1-R137)+INDEX(Models!$BJ137:$BT137,,T137+1)*R137-ERP_i)*Q137*Ramure*Pc/MaxiM</f>
        <v>1.09935964879586E-3</v>
      </c>
      <c r="Q137" s="305">
        <f t="shared" si="28"/>
        <v>0.7</v>
      </c>
      <c r="R137" s="177">
        <f t="shared" si="29"/>
        <v>8.6196240361822093E-2</v>
      </c>
      <c r="S137" s="921">
        <f t="shared" si="30"/>
        <v>0</v>
      </c>
      <c r="T137" s="176">
        <f t="shared" si="31"/>
        <v>6</v>
      </c>
      <c r="U137" s="251">
        <f t="shared" si="32"/>
        <v>8.6196240361822093E-2</v>
      </c>
      <c r="V137" s="383">
        <f t="shared" si="33"/>
        <v>54.044998654313218</v>
      </c>
      <c r="W137" s="402">
        <f t="shared" si="34"/>
        <v>0</v>
      </c>
      <c r="X137" s="157">
        <f t="shared" si="35"/>
        <v>44684</v>
      </c>
      <c r="Y137" s="385">
        <f t="shared" si="36"/>
        <v>28.766218486383941</v>
      </c>
      <c r="Z137" s="385">
        <f t="shared" si="37"/>
        <v>29.688616019567746</v>
      </c>
      <c r="AA137" s="386">
        <f t="shared" si="38"/>
        <v>33.476966252581668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0.11316288950531095</v>
      </c>
      <c r="AD137" s="231">
        <f>(INDEX(Models!$BJ137:$BT137,,AH137)*(1-AF137)+INDEX(Models!$BJ137:$BT137,,AH137+1)*AF137-ERP_i)*AE137*Ramure*Pc/MaxiM</f>
        <v>1.09935964879586E-3</v>
      </c>
      <c r="AE137" s="305">
        <f t="shared" si="40"/>
        <v>0.7</v>
      </c>
      <c r="AF137" s="177">
        <f t="shared" si="41"/>
        <v>8.6196240361822093E-2</v>
      </c>
      <c r="AG137" s="921">
        <f t="shared" si="49"/>
        <v>0</v>
      </c>
      <c r="AH137" s="176">
        <f t="shared" si="42"/>
        <v>6</v>
      </c>
      <c r="AI137" s="225">
        <f t="shared" si="43"/>
        <v>8.6196240361822093E-2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092">
        <v>18.013999999999999</v>
      </c>
      <c r="C138" s="955"/>
      <c r="D138" s="393">
        <f t="shared" si="25"/>
        <v>18.592031594758623</v>
      </c>
      <c r="E138" s="385">
        <f t="shared" si="47"/>
        <v>19.747910636605422</v>
      </c>
      <c r="F138" s="385">
        <f t="shared" si="26"/>
        <v>19.74900568957916</v>
      </c>
      <c r="G138" s="110">
        <f t="shared" si="48"/>
        <v>0.33275100885807446</v>
      </c>
      <c r="H138" s="414" t="b">
        <f>Wh_hp&gt;='2021'!Maxi_hp</f>
        <v>0</v>
      </c>
      <c r="I138" s="380">
        <f>IF(H138,Wh_hp,'2021'!Maxi_hp)</f>
        <v>56.02715044671482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3.1090286815217083E-2</v>
      </c>
      <c r="M138" s="959"/>
      <c r="N138" s="959"/>
      <c r="O138" s="48">
        <f>IF(t&lt;Tnet,'2021'!Resal+('2021'!Salim-'2021'!Resal)*(1-EXP(('2021'!Tnet-t)/('2021'!Tau_j))),Resal+(Salim-Resal)*(1-EXP((Tnet-t)/(Tau_j))))*Salcycl</f>
        <v>5.8531713208394738E-2</v>
      </c>
      <c r="P138" s="339">
        <f>(INDEX(Models!$BJ138:$BT138,,T138)*(1-R138)+INDEX(Models!$BJ138:$BT138,,T138+1)*R138-ERP_i)*Q138*Ramure*Pc/MaxiM</f>
        <v>1.1718158215836534E-3</v>
      </c>
      <c r="Q138" s="305">
        <f t="shared" si="28"/>
        <v>0.7</v>
      </c>
      <c r="R138" s="177">
        <f t="shared" si="29"/>
        <v>8.9186361278112497E-2</v>
      </c>
      <c r="S138" s="921">
        <f t="shared" si="30"/>
        <v>0</v>
      </c>
      <c r="T138" s="176">
        <f t="shared" si="31"/>
        <v>6</v>
      </c>
      <c r="U138" s="251">
        <f t="shared" si="32"/>
        <v>8.9186361278112497E-2</v>
      </c>
      <c r="V138" s="383">
        <f t="shared" si="33"/>
        <v>54.076135504101288</v>
      </c>
      <c r="W138" s="402">
        <f t="shared" si="34"/>
        <v>0</v>
      </c>
      <c r="X138" s="157">
        <f t="shared" si="35"/>
        <v>44685</v>
      </c>
      <c r="Y138" s="385">
        <f t="shared" si="36"/>
        <v>16.964517133796782</v>
      </c>
      <c r="Z138" s="385">
        <f t="shared" si="37"/>
        <v>17.508873017729197</v>
      </c>
      <c r="AA138" s="386">
        <f t="shared" si="38"/>
        <v>19.747910636605422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0.11338098799808563</v>
      </c>
      <c r="AD138" s="231">
        <f>(INDEX(Models!$BJ138:$BT138,,AH138)*(1-AF138)+INDEX(Models!$BJ138:$BT138,,AH138+1)*AF138-ERP_i)*AE138*Ramure*Pc/MaxiM</f>
        <v>1.1718158215836534E-3</v>
      </c>
      <c r="AE138" s="305">
        <f t="shared" si="40"/>
        <v>0.7</v>
      </c>
      <c r="AF138" s="177">
        <f t="shared" si="41"/>
        <v>8.9186361278112497E-2</v>
      </c>
      <c r="AG138" s="921">
        <f t="shared" si="49"/>
        <v>0</v>
      </c>
      <c r="AH138" s="176">
        <f t="shared" si="42"/>
        <v>6</v>
      </c>
      <c r="AI138" s="225">
        <f t="shared" si="43"/>
        <v>8.9186361278112497E-2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092">
        <v>37.826000000000001</v>
      </c>
      <c r="C139" s="955"/>
      <c r="D139" s="393">
        <f t="shared" si="25"/>
        <v>39.040612339707451</v>
      </c>
      <c r="E139" s="385">
        <f t="shared" si="47"/>
        <v>41.478309477289784</v>
      </c>
      <c r="F139" s="385">
        <f t="shared" si="26"/>
        <v>41.507825611549514</v>
      </c>
      <c r="G139" s="110">
        <f t="shared" si="48"/>
        <v>0.69877643833764036</v>
      </c>
      <c r="H139" s="414" t="b">
        <f>Wh_hp&gt;='2021'!Maxi_hp</f>
        <v>0</v>
      </c>
      <c r="I139" s="380">
        <f>IF(H139,Wh_hp,'2021'!Maxi_hp)</f>
        <v>58.496922298592779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3.1111508424576995E-2</v>
      </c>
      <c r="M139" s="959"/>
      <c r="N139" s="959"/>
      <c r="O139" s="48">
        <f>IF(t&lt;Tnet,'2021'!Resal+('2021'!Salim-'2021'!Resal)*(1-EXP(('2021'!Tnet-t)/('2021'!Tau_j))),Resal+(Salim-Resal)*(1-EXP((Tnet-t)/(Tau_j))))*Salcycl</f>
        <v>5.8770407191185654E-2</v>
      </c>
      <c r="P139" s="339">
        <f>(INDEX(Models!$BJ139:$BT139,,T139)*(1-R139)+INDEX(Models!$BJ139:$BT139,,T139+1)*R139-ERP_i)*Q139*Ramure*Pc/MaxiM</f>
        <v>1.2470671686411567E-3</v>
      </c>
      <c r="Q139" s="305">
        <f t="shared" si="28"/>
        <v>0.7</v>
      </c>
      <c r="R139" s="177">
        <f t="shared" si="29"/>
        <v>9.2256319344688892E-2</v>
      </c>
      <c r="S139" s="921">
        <f t="shared" si="30"/>
        <v>0</v>
      </c>
      <c r="T139" s="176">
        <f t="shared" si="31"/>
        <v>6</v>
      </c>
      <c r="U139" s="251">
        <f t="shared" si="32"/>
        <v>9.2256319344688892E-2</v>
      </c>
      <c r="V139" s="383">
        <f t="shared" si="33"/>
        <v>54.102728614711978</v>
      </c>
      <c r="W139" s="402">
        <f t="shared" si="34"/>
        <v>0</v>
      </c>
      <c r="X139" s="157">
        <f t="shared" si="35"/>
        <v>44686</v>
      </c>
      <c r="Y139" s="385">
        <f t="shared" si="36"/>
        <v>35.622494303920931</v>
      </c>
      <c r="Z139" s="385">
        <f t="shared" si="37"/>
        <v>36.766350940961615</v>
      </c>
      <c r="AA139" s="386">
        <f t="shared" si="38"/>
        <v>41.478309477289784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0.1136005443738748</v>
      </c>
      <c r="AD139" s="231">
        <f>(INDEX(Models!$BJ139:$BT139,,AH139)*(1-AF139)+INDEX(Models!$BJ139:$BT139,,AH139+1)*AF139-ERP_i)*AE139*Ramure*Pc/MaxiM</f>
        <v>1.2470671686411567E-3</v>
      </c>
      <c r="AE139" s="305">
        <f t="shared" si="40"/>
        <v>0.7</v>
      </c>
      <c r="AF139" s="177">
        <f t="shared" si="41"/>
        <v>9.2256319344688892E-2</v>
      </c>
      <c r="AG139" s="921">
        <f t="shared" si="49"/>
        <v>0</v>
      </c>
      <c r="AH139" s="176">
        <f t="shared" si="42"/>
        <v>6</v>
      </c>
      <c r="AI139" s="225">
        <f t="shared" si="43"/>
        <v>9.2256319344688892E-2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092">
        <v>35.32</v>
      </c>
      <c r="C140" s="955"/>
      <c r="D140" s="393">
        <f t="shared" si="25"/>
        <v>36.454941845948241</v>
      </c>
      <c r="E140" s="385">
        <f t="shared" si="47"/>
        <v>38.741045878422575</v>
      </c>
      <c r="F140" s="385">
        <f t="shared" si="26"/>
        <v>38.766920634638936</v>
      </c>
      <c r="G140" s="110">
        <f t="shared" si="48"/>
        <v>0.65213312572178028</v>
      </c>
      <c r="H140" s="414" t="b">
        <f>Wh_hp&gt;='2021'!Maxi_hp</f>
        <v>0</v>
      </c>
      <c r="I140" s="380">
        <f>IF(H140,Wh_hp,'2021'!Maxi_hp)</f>
        <v>61.787025291973102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3.1132729569129269E-2</v>
      </c>
      <c r="M140" s="959"/>
      <c r="N140" s="959"/>
      <c r="O140" s="48">
        <f>IF(t&lt;Tnet,'2021'!Resal+('2021'!Salim-'2021'!Resal)*(1-EXP(('2021'!Tnet-t)/('2021'!Tau_j))),Resal+(Salim-Resal)*(1-EXP((Tnet-t)/(Tau_j))))*Salcycl</f>
        <v>5.9009868748732285E-2</v>
      </c>
      <c r="P140" s="339">
        <f>(INDEX(Models!$BJ140:$BT140,,T140)*(1-R140)+INDEX(Models!$BJ140:$BT140,,T140+1)*R140-ERP_i)*Q140*Ramure*Pc/MaxiM</f>
        <v>1.3251856503092734E-3</v>
      </c>
      <c r="Q140" s="305">
        <f t="shared" si="28"/>
        <v>0.7</v>
      </c>
      <c r="R140" s="177">
        <f t="shared" si="29"/>
        <v>9.5406658706030267E-2</v>
      </c>
      <c r="S140" s="921">
        <f t="shared" si="30"/>
        <v>0</v>
      </c>
      <c r="T140" s="176">
        <f t="shared" si="31"/>
        <v>6</v>
      </c>
      <c r="U140" s="251">
        <f t="shared" si="32"/>
        <v>9.5406658706030267E-2</v>
      </c>
      <c r="V140" s="383">
        <f t="shared" si="33"/>
        <v>54.125073031319566</v>
      </c>
      <c r="W140" s="402">
        <f t="shared" si="34"/>
        <v>0</v>
      </c>
      <c r="X140" s="157">
        <f t="shared" si="35"/>
        <v>44687</v>
      </c>
      <c r="Y140" s="385">
        <f t="shared" si="36"/>
        <v>33.262648076008908</v>
      </c>
      <c r="Z140" s="385">
        <f t="shared" si="37"/>
        <v>34.331480782931678</v>
      </c>
      <c r="AA140" s="386">
        <f t="shared" si="38"/>
        <v>38.741045878422575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0.11382152947881227</v>
      </c>
      <c r="AD140" s="231">
        <f>(INDEX(Models!$BJ140:$BT140,,AH140)*(1-AF140)+INDEX(Models!$BJ140:$BT140,,AH140+1)*AF140-ERP_i)*AE140*Ramure*Pc/MaxiM</f>
        <v>1.3251856503092734E-3</v>
      </c>
      <c r="AE140" s="305">
        <f t="shared" si="40"/>
        <v>0.7</v>
      </c>
      <c r="AF140" s="177">
        <f t="shared" si="41"/>
        <v>9.5406658706030267E-2</v>
      </c>
      <c r="AG140" s="921">
        <f t="shared" si="49"/>
        <v>0</v>
      </c>
      <c r="AH140" s="176">
        <f t="shared" si="42"/>
        <v>6</v>
      </c>
      <c r="AI140" s="225">
        <f t="shared" si="43"/>
        <v>9.5406658706030267E-2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092">
        <v>45.695999999999998</v>
      </c>
      <c r="C141" s="955"/>
      <c r="D141" s="393">
        <f t="shared" si="25"/>
        <v>47.165388156083942</v>
      </c>
      <c r="E141" s="385">
        <f t="shared" si="47"/>
        <v>50.135947306244915</v>
      </c>
      <c r="F141" s="385">
        <f t="shared" si="26"/>
        <v>50.190796386141194</v>
      </c>
      <c r="G141" s="110">
        <f t="shared" si="48"/>
        <v>0.84371517307907162</v>
      </c>
      <c r="H141" s="414" t="b">
        <f>Wh_hp&gt;='2021'!Maxi_hp</f>
        <v>0</v>
      </c>
      <c r="I141" s="380">
        <f>IF(H141,Wh_hp,'2021'!Maxi_hp)</f>
        <v>57.268675300754929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3.115395024888401E-2</v>
      </c>
      <c r="M141" s="959"/>
      <c r="N141" s="959"/>
      <c r="O141" s="48">
        <f>IF(t&lt;Tnet,'2021'!Resal+('2021'!Salim-'2021'!Resal)*(1-EXP(('2021'!Tnet-t)/('2021'!Tau_j))),Resal+(Salim-Resal)*(1-EXP((Tnet-t)/(Tau_j))))*Salcycl</f>
        <v>5.9250085213627943E-2</v>
      </c>
      <c r="P141" s="339">
        <f>(INDEX(Models!$BJ141:$BT141,,T141)*(1-R141)+INDEX(Models!$BJ141:$BT141,,T141+1)*R141-ERP_i)*Q141*Ramure*Pc/MaxiM</f>
        <v>1.4062429987267621E-3</v>
      </c>
      <c r="Q141" s="305">
        <f t="shared" si="28"/>
        <v>0.7</v>
      </c>
      <c r="R141" s="177">
        <f t="shared" si="29"/>
        <v>9.8637813111182596E-2</v>
      </c>
      <c r="S141" s="921">
        <f t="shared" si="30"/>
        <v>0</v>
      </c>
      <c r="T141" s="176">
        <f t="shared" si="31"/>
        <v>6</v>
      </c>
      <c r="U141" s="251">
        <f t="shared" si="32"/>
        <v>9.8637813111182596E-2</v>
      </c>
      <c r="V141" s="383">
        <f t="shared" si="33"/>
        <v>54.143463603848154</v>
      </c>
      <c r="W141" s="402">
        <f t="shared" si="34"/>
        <v>0</v>
      </c>
      <c r="X141" s="157">
        <f t="shared" si="35"/>
        <v>44688</v>
      </c>
      <c r="Y141" s="385">
        <f t="shared" si="36"/>
        <v>43.034443947016463</v>
      </c>
      <c r="Z141" s="385">
        <f t="shared" si="37"/>
        <v>44.41824783005665</v>
      </c>
      <c r="AA141" s="386">
        <f t="shared" si="38"/>
        <v>50.135947306244915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0.11404391027585249</v>
      </c>
      <c r="AD141" s="231">
        <f>(INDEX(Models!$BJ141:$BT141,,AH141)*(1-AF141)+INDEX(Models!$BJ141:$BT141,,AH141+1)*AF141-ERP_i)*AE141*Ramure*Pc/MaxiM</f>
        <v>1.4062429987267621E-3</v>
      </c>
      <c r="AE141" s="305">
        <f t="shared" si="40"/>
        <v>0.7</v>
      </c>
      <c r="AF141" s="177">
        <f t="shared" si="41"/>
        <v>9.8637813111182596E-2</v>
      </c>
      <c r="AG141" s="921">
        <f t="shared" si="49"/>
        <v>0</v>
      </c>
      <c r="AH141" s="176">
        <f t="shared" si="42"/>
        <v>6</v>
      </c>
      <c r="AI141" s="225">
        <f t="shared" si="43"/>
        <v>9.8637813111182596E-2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092">
        <v>47.664000000000001</v>
      </c>
      <c r="C142" s="955"/>
      <c r="D142" s="393">
        <f t="shared" si="25"/>
        <v>49.197748186140572</v>
      </c>
      <c r="E142" s="385">
        <f t="shared" si="47"/>
        <v>52.309707155092433</v>
      </c>
      <c r="F142" s="385">
        <f t="shared" si="26"/>
        <v>52.374392453881683</v>
      </c>
      <c r="G142" s="110">
        <f t="shared" si="48"/>
        <v>0.8798634906880306</v>
      </c>
      <c r="H142" s="414" t="b">
        <f>Wh_hp&gt;='2021'!Maxi_hp</f>
        <v>0</v>
      </c>
      <c r="I142" s="380">
        <f>IF(H142,Wh_hp,'2021'!Maxi_hp)</f>
        <v>59.229596839292704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3.1175170463851432E-2</v>
      </c>
      <c r="M142" s="959"/>
      <c r="N142" s="959"/>
      <c r="O142" s="48">
        <f>IF(t&lt;Tnet,'2021'!Resal+('2021'!Salim-'2021'!Resal)*(1-EXP(('2021'!Tnet-t)/('2021'!Tau_j))),Resal+(Salim-Resal)*(1-EXP((Tnet-t)/(Tau_j))))*Salcycl</f>
        <v>5.9491041686110913E-2</v>
      </c>
      <c r="P142" s="339">
        <f>(INDEX(Models!$BJ142:$BT142,,T142)*(1-R142)+INDEX(Models!$BJ142:$BT142,,T142+1)*R142-ERP_i)*Q142*Ramure*Pc/MaxiM</f>
        <v>1.490357327459089E-3</v>
      </c>
      <c r="Q142" s="305">
        <f t="shared" si="28"/>
        <v>0.7</v>
      </c>
      <c r="R142" s="177">
        <f t="shared" si="29"/>
        <v>0.10195009890931554</v>
      </c>
      <c r="S142" s="921">
        <f t="shared" si="30"/>
        <v>0</v>
      </c>
      <c r="T142" s="176">
        <f t="shared" si="31"/>
        <v>6</v>
      </c>
      <c r="U142" s="251">
        <f t="shared" si="32"/>
        <v>0.10195009890931554</v>
      </c>
      <c r="V142" s="383">
        <f t="shared" si="33"/>
        <v>54.158192453931683</v>
      </c>
      <c r="W142" s="402">
        <f t="shared" si="34"/>
        <v>0</v>
      </c>
      <c r="X142" s="157">
        <f t="shared" si="35"/>
        <v>44689</v>
      </c>
      <c r="Y142" s="385">
        <f t="shared" si="36"/>
        <v>44.887979394236147</v>
      </c>
      <c r="Z142" s="385">
        <f t="shared" si="37"/>
        <v>46.332399857802464</v>
      </c>
      <c r="AA142" s="386">
        <f t="shared" si="38"/>
        <v>52.309707155092433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0.11426764977995227</v>
      </c>
      <c r="AD142" s="231">
        <f>(INDEX(Models!$BJ142:$BT142,,AH142)*(1-AF142)+INDEX(Models!$BJ142:$BT142,,AH142+1)*AF142-ERP_i)*AE142*Ramure*Pc/MaxiM</f>
        <v>1.490357327459089E-3</v>
      </c>
      <c r="AE142" s="305">
        <f t="shared" si="40"/>
        <v>0.7</v>
      </c>
      <c r="AF142" s="177">
        <f t="shared" si="41"/>
        <v>0.10195009890931554</v>
      </c>
      <c r="AG142" s="921">
        <f t="shared" si="49"/>
        <v>0</v>
      </c>
      <c r="AH142" s="176">
        <f t="shared" si="42"/>
        <v>6</v>
      </c>
      <c r="AI142" s="225">
        <f t="shared" si="43"/>
        <v>0.10195009890931554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092">
        <v>51.841999999999999</v>
      </c>
      <c r="C143" s="955"/>
      <c r="D143" s="393">
        <f t="shared" ref="D143:D206" si="50">Wh/(1-Ppv)</f>
        <v>53.511361308256951</v>
      </c>
      <c r="E143" s="385">
        <f t="shared" si="47"/>
        <v>56.910798134372122</v>
      </c>
      <c r="F143" s="385">
        <f t="shared" ref="F143:F206" si="51">Wh_sa/(1-Pvg*MEDIAN((-Sdif+Wh/Env_an)/Csdif,0,1))</f>
        <v>56.995146549871819</v>
      </c>
      <c r="G143" s="110">
        <f t="shared" si="48"/>
        <v>0.95693844358326952</v>
      </c>
      <c r="H143" s="414" t="b">
        <f>Wh_hp&gt;='2021'!Maxi_hp</f>
        <v>1</v>
      </c>
      <c r="I143" s="380">
        <f>IF(H143,Wh_hp,'2021'!Maxi_hp)</f>
        <v>56.995146549871819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3.1196390214041636E-2</v>
      </c>
      <c r="M143" s="959"/>
      <c r="N143" s="959"/>
      <c r="O143" s="48">
        <f>IF(t&lt;Tnet,'2021'!Resal+('2021'!Salim-'2021'!Resal)*(1-EXP(('2021'!Tnet-t)/('2021'!Tau_j))),Resal+(Salim-Resal)*(1-EXP((Tnet-t)/(Tau_j))))*Salcycl</f>
        <v>5.9732720987127286E-2</v>
      </c>
      <c r="P143" s="339">
        <f>(INDEX(Models!$BJ143:$BT143,,T143)*(1-R143)+INDEX(Models!$BJ143:$BT143,,T143+1)*R143-ERP_i)*Q143*Ramure*Pc/MaxiM</f>
        <v>1.5767073657452758E-3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0.10534370812666094</v>
      </c>
      <c r="S143" s="92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0.10534370812666094</v>
      </c>
      <c r="V143" s="383">
        <f t="shared" ref="V143:V206" si="58">MaxiM*(1-Ppv)*(1-Pvg)*(1-Psa)</f>
        <v>54.169602448685595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48.822786996883977</v>
      </c>
      <c r="Z143" s="385">
        <f t="shared" ref="Z143:Z206" si="62">Wh_sa_s*(1-Psa_s)</f>
        <v>50.394926798085102</v>
      </c>
      <c r="AA143" s="386">
        <f t="shared" ref="AA143:AA206" si="63">Wh_hp*(1-Pvg_s*MEDIAN((-Sdif+Wh/Env_an)/Csdif,0,1))</f>
        <v>56.910798134372122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0.11449270700618873</v>
      </c>
      <c r="AD143" s="231">
        <f>(INDEX(Models!$BJ143:$BT143,,AH143)*(1-AF143)+INDEX(Models!$BJ143:$BT143,,AH143+1)*AF143-ERP_i)*AE143*Ramure*Pc/MaxiM</f>
        <v>1.5767073657452758E-3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0.10534370812666094</v>
      </c>
      <c r="AG143" s="92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0.10534370812666094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092">
        <v>49.402000000000001</v>
      </c>
      <c r="C144" s="955"/>
      <c r="D144" s="393">
        <f t="shared" si="50"/>
        <v>50.99390790379227</v>
      </c>
      <c r="E144" s="385">
        <f t="shared" ref="E144:E169" si="72">Wh_pvt/(1-Psa)</f>
        <v>54.247401425324007</v>
      </c>
      <c r="F144" s="385">
        <f t="shared" si="51"/>
        <v>54.326480151612564</v>
      </c>
      <c r="G144" s="110">
        <f t="shared" ref="G144:G169" si="73">+Wh_hp/MaxiM</f>
        <v>0.91165480823450085</v>
      </c>
      <c r="H144" s="414" t="b">
        <f>Wh_hp&gt;='2021'!Maxi_hp</f>
        <v>1</v>
      </c>
      <c r="I144" s="380">
        <f>IF(H144,Wh_hp,'2021'!Maxi_hp)</f>
        <v>54.326480151612564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3.1217609499464949E-2</v>
      </c>
      <c r="M144" s="959"/>
      <c r="N144" s="959"/>
      <c r="O144" s="48">
        <f>IF(t&lt;Tnet,'2021'!Resal+('2021'!Salim-'2021'!Resal)*(1-EXP(('2021'!Tnet-t)/('2021'!Tau_j))),Resal+(Salim-Resal)*(1-EXP((Tnet-t)/(Tau_j))))*Salcycl</f>
        <v>5.9975103618749998E-2</v>
      </c>
      <c r="P144" s="339">
        <f>(INDEX(Models!$BJ144:$BT144,,T144)*(1-R144)+INDEX(Models!$BJ144:$BT144,,T144+1)*R144-ERP_i)*Q144*Ramure*Pc/MaxiM</f>
        <v>1.6653433378980727E-3</v>
      </c>
      <c r="Q144" s="305">
        <f t="shared" si="53"/>
        <v>0.7</v>
      </c>
      <c r="R144" s="177">
        <f t="shared" si="54"/>
        <v>0.10881870167337918</v>
      </c>
      <c r="S144" s="921">
        <f t="shared" si="55"/>
        <v>0</v>
      </c>
      <c r="T144" s="176">
        <f t="shared" si="56"/>
        <v>6</v>
      </c>
      <c r="U144" s="251">
        <f t="shared" si="57"/>
        <v>0.10881870167337918</v>
      </c>
      <c r="V144" s="383">
        <f t="shared" si="58"/>
        <v>54.177988984552783</v>
      </c>
      <c r="W144" s="402">
        <f t="shared" si="59"/>
        <v>0</v>
      </c>
      <c r="X144" s="157">
        <f t="shared" si="60"/>
        <v>44691</v>
      </c>
      <c r="Y144" s="385">
        <f t="shared" si="61"/>
        <v>46.524991312292649</v>
      </c>
      <c r="Z144" s="385">
        <f t="shared" si="62"/>
        <v>48.024191777737471</v>
      </c>
      <c r="AA144" s="386">
        <f t="shared" si="63"/>
        <v>54.247401425324007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0.11471903693217997</v>
      </c>
      <c r="AD144" s="231">
        <f>(INDEX(Models!$BJ144:$BT144,,AH144)*(1-AF144)+INDEX(Models!$BJ144:$BT144,,AH144+1)*AF144-ERP_i)*AE144*Ramure*Pc/MaxiM</f>
        <v>1.6653433378980727E-3</v>
      </c>
      <c r="AE144" s="305">
        <f t="shared" si="65"/>
        <v>0.7</v>
      </c>
      <c r="AF144" s="177">
        <f t="shared" si="66"/>
        <v>0.10881870167337918</v>
      </c>
      <c r="AG144" s="921">
        <f t="shared" ref="AG144:AG207" si="74">INDEX(Echel_vg,AH144)</f>
        <v>0</v>
      </c>
      <c r="AH144" s="176">
        <f t="shared" si="67"/>
        <v>6</v>
      </c>
      <c r="AI144" s="225">
        <f t="shared" si="68"/>
        <v>0.10881870167337918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092">
        <v>52.987000000000002</v>
      </c>
      <c r="C145" s="955"/>
      <c r="D145" s="393">
        <f t="shared" si="50"/>
        <v>54.695627311444092</v>
      </c>
      <c r="E145" s="385">
        <f t="shared" si="72"/>
        <v>58.200345477513174</v>
      </c>
      <c r="F145" s="385">
        <f t="shared" si="51"/>
        <v>58.299507176045971</v>
      </c>
      <c r="G145" s="110">
        <f t="shared" si="73"/>
        <v>0.97786069205822634</v>
      </c>
      <c r="H145" s="414" t="b">
        <f>Wh_hp&gt;='2021'!Maxi_hp</f>
        <v>1</v>
      </c>
      <c r="I145" s="380">
        <f>IF(H145,Wh_hp,'2021'!Maxi_hp)</f>
        <v>58.299507176045971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3.1238828320131362E-2</v>
      </c>
      <c r="M145" s="959"/>
      <c r="N145" s="959"/>
      <c r="O145" s="48">
        <f>IF(t&lt;Tnet,'2021'!Resal+('2021'!Salim-'2021'!Resal)*(1-EXP(('2021'!Tnet-t)/('2021'!Tau_j))),Resal+(Salim-Resal)*(1-EXP((Tnet-t)/(Tau_j))))*Salcycl</f>
        <v>6.0218167732753326E-2</v>
      </c>
      <c r="P145" s="339">
        <f>(INDEX(Models!$BJ145:$BT145,,T145)*(1-R145)+INDEX(Models!$BJ145:$BT145,,T145+1)*R145-ERP_i)*Q145*Ramure*Pc/MaxiM</f>
        <v>1.7563128863402647E-3</v>
      </c>
      <c r="Q145" s="305">
        <f t="shared" si="53"/>
        <v>0.7</v>
      </c>
      <c r="R145" s="177">
        <f t="shared" si="54"/>
        <v>0.11237500273174343</v>
      </c>
      <c r="S145" s="921">
        <f t="shared" si="55"/>
        <v>0</v>
      </c>
      <c r="T145" s="176">
        <f t="shared" si="56"/>
        <v>6</v>
      </c>
      <c r="U145" s="251">
        <f t="shared" si="57"/>
        <v>0.11237500273174343</v>
      </c>
      <c r="V145" s="383">
        <f t="shared" si="58"/>
        <v>54.18364734963771</v>
      </c>
      <c r="W145" s="402">
        <f t="shared" si="59"/>
        <v>0</v>
      </c>
      <c r="X145" s="157">
        <f t="shared" si="60"/>
        <v>44692</v>
      </c>
      <c r="Y145" s="385">
        <f t="shared" si="61"/>
        <v>49.90128921443722</v>
      </c>
      <c r="Z145" s="385">
        <f t="shared" si="62"/>
        <v>51.510414200340513</v>
      </c>
      <c r="AA145" s="386">
        <f t="shared" si="63"/>
        <v>58.200345477513174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0.11494659047612429</v>
      </c>
      <c r="AD145" s="231">
        <f>(INDEX(Models!$BJ145:$BT145,,AH145)*(1-AF145)+INDEX(Models!$BJ145:$BT145,,AH145+1)*AF145-ERP_i)*AE145*Ramure*Pc/MaxiM</f>
        <v>1.7563128863402647E-3</v>
      </c>
      <c r="AE145" s="305">
        <f t="shared" si="65"/>
        <v>0.7</v>
      </c>
      <c r="AF145" s="177">
        <f t="shared" si="66"/>
        <v>0.11237500273174343</v>
      </c>
      <c r="AG145" s="921">
        <f t="shared" si="74"/>
        <v>0</v>
      </c>
      <c r="AH145" s="176">
        <f t="shared" si="67"/>
        <v>6</v>
      </c>
      <c r="AI145" s="225">
        <f t="shared" si="68"/>
        <v>0.11237500273174343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092">
        <v>40.783999999999999</v>
      </c>
      <c r="C146" s="955"/>
      <c r="D146" s="393">
        <f t="shared" si="50"/>
        <v>42.100049512835291</v>
      </c>
      <c r="E146" s="385">
        <f t="shared" si="72"/>
        <v>44.809304726202853</v>
      </c>
      <c r="F146" s="385">
        <f t="shared" si="51"/>
        <v>44.862964515975818</v>
      </c>
      <c r="G146" s="110">
        <f t="shared" si="73"/>
        <v>0.75216210987976051</v>
      </c>
      <c r="H146" s="414" t="b">
        <f>Wh_hp&gt;='2021'!Maxi_hp</f>
        <v>0</v>
      </c>
      <c r="I146" s="380">
        <f>IF(H146,Wh_hp,'2021'!Maxi_hp)</f>
        <v>54.342875304504368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3.126004667605109E-2</v>
      </c>
      <c r="M146" s="959"/>
      <c r="N146" s="959"/>
      <c r="O146" s="48">
        <f>IF(t&lt;Tnet,'2021'!Resal+('2021'!Salim-'2021'!Resal)*(1-EXP(('2021'!Tnet-t)/('2021'!Tau_j))),Resal+(Salim-Resal)*(1-EXP((Tnet-t)/(Tau_j))))*Salcycl</f>
        <v>6.0461889108118387E-2</v>
      </c>
      <c r="P146" s="339">
        <f>(INDEX(Models!$BJ146:$BT146,,T146)*(1-R146)+INDEX(Models!$BJ146:$BT146,,T146+1)*R146-ERP_i)*Q146*Ramure*Pc/MaxiM</f>
        <v>1.8496607608380936E-3</v>
      </c>
      <c r="Q146" s="305">
        <f t="shared" si="53"/>
        <v>0.7</v>
      </c>
      <c r="R146" s="177">
        <f t="shared" si="54"/>
        <v>0.11601239037957217</v>
      </c>
      <c r="S146" s="921">
        <f t="shared" si="55"/>
        <v>0</v>
      </c>
      <c r="T146" s="176">
        <f t="shared" si="56"/>
        <v>6</v>
      </c>
      <c r="U146" s="251">
        <f t="shared" si="57"/>
        <v>0.11601239037957217</v>
      </c>
      <c r="V146" s="383">
        <f t="shared" si="58"/>
        <v>54.186872740610468</v>
      </c>
      <c r="W146" s="402">
        <f t="shared" si="59"/>
        <v>0</v>
      </c>
      <c r="X146" s="157">
        <f t="shared" si="60"/>
        <v>44693</v>
      </c>
      <c r="Y146" s="385">
        <f t="shared" si="61"/>
        <v>38.408968785219152</v>
      </c>
      <c r="Z146" s="385">
        <f t="shared" si="62"/>
        <v>39.648378962207524</v>
      </c>
      <c r="AA146" s="386">
        <f t="shared" si="63"/>
        <v>44.809304726202853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0.11517531449171119</v>
      </c>
      <c r="AD146" s="231">
        <f>(INDEX(Models!$BJ146:$BT146,,AH146)*(1-AF146)+INDEX(Models!$BJ146:$BT146,,AH146+1)*AF146-ERP_i)*AE146*Ramure*Pc/MaxiM</f>
        <v>1.8496607608380936E-3</v>
      </c>
      <c r="AE146" s="305">
        <f t="shared" si="65"/>
        <v>0.7</v>
      </c>
      <c r="AF146" s="177">
        <f t="shared" si="66"/>
        <v>0.11601239037957217</v>
      </c>
      <c r="AG146" s="921">
        <f t="shared" si="74"/>
        <v>0</v>
      </c>
      <c r="AH146" s="176">
        <f t="shared" si="67"/>
        <v>6</v>
      </c>
      <c r="AI146" s="225">
        <f t="shared" si="68"/>
        <v>0.11601239037957217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092">
        <v>37.338999999999999</v>
      </c>
      <c r="C147" s="955"/>
      <c r="D147" s="393">
        <f t="shared" si="50"/>
        <v>38.544727828887474</v>
      </c>
      <c r="E147" s="385">
        <f t="shared" si="72"/>
        <v>41.035860682812299</v>
      </c>
      <c r="F147" s="385">
        <f t="shared" si="51"/>
        <v>41.080280036937879</v>
      </c>
      <c r="G147" s="110">
        <f t="shared" si="73"/>
        <v>0.68846840719687785</v>
      </c>
      <c r="H147" s="414" t="b">
        <f>Wh_hp&gt;='2021'!Maxi_hp</f>
        <v>0</v>
      </c>
      <c r="I147" s="380">
        <f>IF(H147,Wh_hp,'2021'!Maxi_hp)</f>
        <v>61.987907498178245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3.1281264567234457E-2</v>
      </c>
      <c r="M147" s="959"/>
      <c r="N147" s="959"/>
      <c r="O147" s="48">
        <f>IF(t&lt;Tnet,'2021'!Resal+('2021'!Salim-'2021'!Resal)*(1-EXP(('2021'!Tnet-t)/('2021'!Tau_j))),Resal+(Salim-Resal)*(1-EXP((Tnet-t)/(Tau_j))))*Salcycl</f>
        <v>6.0706241138210756E-2</v>
      </c>
      <c r="P147" s="339">
        <f>(INDEX(Models!$BJ147:$BT147,,T147)*(1-R147)+INDEX(Models!$BJ147:$BT147,,T147+1)*R147-ERP_i)*Q147*Ramure*Pc/MaxiM</f>
        <v>1.9454284969930497E-3</v>
      </c>
      <c r="Q147" s="305">
        <f t="shared" si="53"/>
        <v>0.7</v>
      </c>
      <c r="R147" s="177">
        <f t="shared" si="54"/>
        <v>0.11973049350502428</v>
      </c>
      <c r="S147" s="921">
        <f t="shared" si="55"/>
        <v>0</v>
      </c>
      <c r="T147" s="176">
        <f t="shared" si="56"/>
        <v>6</v>
      </c>
      <c r="U147" s="251">
        <f t="shared" si="57"/>
        <v>0.11973049350502428</v>
      </c>
      <c r="V147" s="383">
        <f t="shared" si="58"/>
        <v>54.187960268223435</v>
      </c>
      <c r="W147" s="402">
        <f t="shared" si="59"/>
        <v>0</v>
      </c>
      <c r="X147" s="157">
        <f t="shared" si="60"/>
        <v>44694</v>
      </c>
      <c r="Y147" s="385">
        <f t="shared" si="61"/>
        <v>35.164597577728202</v>
      </c>
      <c r="Z147" s="385">
        <f t="shared" si="62"/>
        <v>36.300110952245355</v>
      </c>
      <c r="AA147" s="386">
        <f t="shared" si="63"/>
        <v>41.035860682812299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0.11540515178107356</v>
      </c>
      <c r="AD147" s="231">
        <f>(INDEX(Models!$BJ147:$BT147,,AH147)*(1-AF147)+INDEX(Models!$BJ147:$BT147,,AH147+1)*AF147-ERP_i)*AE147*Ramure*Pc/MaxiM</f>
        <v>1.9454284969930497E-3</v>
      </c>
      <c r="AE147" s="305">
        <f t="shared" si="65"/>
        <v>0.7</v>
      </c>
      <c r="AF147" s="177">
        <f t="shared" si="66"/>
        <v>0.11973049350502428</v>
      </c>
      <c r="AG147" s="921">
        <f t="shared" si="74"/>
        <v>0</v>
      </c>
      <c r="AH147" s="176">
        <f t="shared" si="67"/>
        <v>6</v>
      </c>
      <c r="AI147" s="225">
        <f t="shared" si="68"/>
        <v>0.11973049350502428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092">
        <v>48.727000000000004</v>
      </c>
      <c r="C148" s="955"/>
      <c r="D148" s="393">
        <f t="shared" si="50"/>
        <v>50.301563794945821</v>
      </c>
      <c r="E148" s="385">
        <f t="shared" si="72"/>
        <v>53.566506360390861</v>
      </c>
      <c r="F148" s="385">
        <f t="shared" si="51"/>
        <v>53.660383505401697</v>
      </c>
      <c r="G148" s="110">
        <f t="shared" si="73"/>
        <v>0.8989694175847851</v>
      </c>
      <c r="H148" s="414" t="b">
        <f>Wh_hp&gt;='2021'!Maxi_hp</f>
        <v>0</v>
      </c>
      <c r="I148" s="380">
        <f>IF(H148,Wh_hp,'2021'!Maxi_hp)</f>
        <v>60.924968033525275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3.1302481993691567E-2</v>
      </c>
      <c r="M148" s="959"/>
      <c r="N148" s="959"/>
      <c r="O148" s="48">
        <f>IF(t&lt;Tnet,'2021'!Resal+('2021'!Salim-'2021'!Resal)*(1-EXP(('2021'!Tnet-t)/('2021'!Tau_j))),Resal+(Salim-Resal)*(1-EXP((Tnet-t)/(Tau_j))))*Salcycl</f>
        <v>6.0951194828327795E-2</v>
      </c>
      <c r="P148" s="339">
        <f>(INDEX(Models!$BJ148:$BT148,,T148)*(1-R148)+INDEX(Models!$BJ148:$BT148,,T148+1)*R148-ERP_i)*Q148*Ramure*Pc/MaxiM</f>
        <v>2.0436540848551431E-3</v>
      </c>
      <c r="Q148" s="305">
        <f t="shared" si="53"/>
        <v>0.7</v>
      </c>
      <c r="R148" s="177">
        <f t="shared" si="54"/>
        <v>0.12352878507062665</v>
      </c>
      <c r="S148" s="921">
        <f t="shared" si="55"/>
        <v>0</v>
      </c>
      <c r="T148" s="176">
        <f t="shared" si="56"/>
        <v>6</v>
      </c>
      <c r="U148" s="251">
        <f t="shared" si="57"/>
        <v>0.12352878507062665</v>
      </c>
      <c r="V148" s="383">
        <f t="shared" si="58"/>
        <v>54.187204969177444</v>
      </c>
      <c r="W148" s="402">
        <f t="shared" si="59"/>
        <v>0</v>
      </c>
      <c r="X148" s="157">
        <f t="shared" si="60"/>
        <v>44695</v>
      </c>
      <c r="Y148" s="385">
        <f t="shared" si="61"/>
        <v>45.889417447407219</v>
      </c>
      <c r="Z148" s="385">
        <f t="shared" si="62"/>
        <v>47.372287627878876</v>
      </c>
      <c r="AA148" s="386">
        <f t="shared" si="63"/>
        <v>53.566506360390861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0.11563604112685291</v>
      </c>
      <c r="AD148" s="231">
        <f>(INDEX(Models!$BJ148:$BT148,,AH148)*(1-AF148)+INDEX(Models!$BJ148:$BT148,,AH148+1)*AF148-ERP_i)*AE148*Ramure*Pc/MaxiM</f>
        <v>2.0436540848551431E-3</v>
      </c>
      <c r="AE148" s="305">
        <f t="shared" si="65"/>
        <v>0.7</v>
      </c>
      <c r="AF148" s="177">
        <f t="shared" si="66"/>
        <v>0.12352878507062665</v>
      </c>
      <c r="AG148" s="921">
        <f t="shared" si="74"/>
        <v>0</v>
      </c>
      <c r="AH148" s="176">
        <f t="shared" si="67"/>
        <v>6</v>
      </c>
      <c r="AI148" s="225">
        <f t="shared" si="68"/>
        <v>0.12352878507062665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092">
        <v>49.704999999999998</v>
      </c>
      <c r="C149" s="955"/>
      <c r="D149" s="393">
        <f t="shared" si="50"/>
        <v>51.312290748107337</v>
      </c>
      <c r="E149" s="385">
        <f t="shared" si="72"/>
        <v>54.657127617568158</v>
      </c>
      <c r="F149" s="385">
        <f t="shared" si="51"/>
        <v>54.760689871094627</v>
      </c>
      <c r="G149" s="110">
        <f t="shared" si="73"/>
        <v>0.91710524303706342</v>
      </c>
      <c r="H149" s="414" t="b">
        <f>Wh_hp&gt;='2021'!Maxi_hp</f>
        <v>0</v>
      </c>
      <c r="I149" s="380">
        <f>IF(H149,Wh_hp,'2021'!Maxi_hp)</f>
        <v>61.115724809852011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3.1323698955432522E-2</v>
      </c>
      <c r="M149" s="959"/>
      <c r="N149" s="959"/>
      <c r="O149" s="48">
        <f>IF(t&lt;Tnet,'2021'!Resal+('2021'!Salim-'2021'!Resal)*(1-EXP(('2021'!Tnet-t)/('2021'!Tau_j))),Resal+(Salim-Resal)*(1-EXP((Tnet-t)/(Tau_j))))*Salcycl</f>
        <v>6.119671880425908E-2</v>
      </c>
      <c r="P149" s="339">
        <f>(INDEX(Models!$BJ149:$BT149,,T149)*(1-R149)+INDEX(Models!$BJ149:$BT149,,T149+1)*R149-ERP_i)*Q149*Ramure*Pc/MaxiM</f>
        <v>2.144409014836013E-3</v>
      </c>
      <c r="Q149" s="305">
        <f t="shared" si="53"/>
        <v>0.7</v>
      </c>
      <c r="R149" s="177">
        <f t="shared" si="54"/>
        <v>0.12740657678566628</v>
      </c>
      <c r="S149" s="921">
        <f t="shared" si="55"/>
        <v>0</v>
      </c>
      <c r="T149" s="176">
        <f t="shared" si="56"/>
        <v>6</v>
      </c>
      <c r="U149" s="251">
        <f t="shared" si="57"/>
        <v>0.12740657678566628</v>
      </c>
      <c r="V149" s="383">
        <f t="shared" si="58"/>
        <v>54.183955133192946</v>
      </c>
      <c r="W149" s="402">
        <f t="shared" si="59"/>
        <v>0</v>
      </c>
      <c r="X149" s="157">
        <f t="shared" si="60"/>
        <v>44696</v>
      </c>
      <c r="Y149" s="385">
        <f t="shared" si="61"/>
        <v>46.81042988306001</v>
      </c>
      <c r="Z149" s="385">
        <f t="shared" si="62"/>
        <v>48.324120072497081</v>
      </c>
      <c r="AA149" s="386">
        <f t="shared" si="63"/>
        <v>54.657127617568158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0.11586791734433351</v>
      </c>
      <c r="AD149" s="231">
        <f>(INDEX(Models!$BJ149:$BT149,,AH149)*(1-AF149)+INDEX(Models!$BJ149:$BT149,,AH149+1)*AF149-ERP_i)*AE149*Ramure*Pc/MaxiM</f>
        <v>2.144409014836013E-3</v>
      </c>
      <c r="AE149" s="305">
        <f t="shared" si="65"/>
        <v>0.7</v>
      </c>
      <c r="AF149" s="177">
        <f t="shared" si="66"/>
        <v>0.12740657678566628</v>
      </c>
      <c r="AG149" s="921">
        <f t="shared" si="74"/>
        <v>0</v>
      </c>
      <c r="AH149" s="176">
        <f t="shared" si="67"/>
        <v>6</v>
      </c>
      <c r="AI149" s="225">
        <f t="shared" si="68"/>
        <v>0.12740657678566628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092">
        <v>47.853999999999999</v>
      </c>
      <c r="C150" s="955"/>
      <c r="D150" s="393">
        <f t="shared" si="50"/>
        <v>49.402517741754316</v>
      </c>
      <c r="E150" s="385">
        <f t="shared" si="72"/>
        <v>52.6366604548802</v>
      </c>
      <c r="F150" s="385">
        <f t="shared" si="51"/>
        <v>52.735421480259639</v>
      </c>
      <c r="G150" s="110">
        <f t="shared" si="73"/>
        <v>0.88295109383922998</v>
      </c>
      <c r="H150" s="414" t="b">
        <f>Wh_hp&gt;='2021'!Maxi_hp</f>
        <v>0</v>
      </c>
      <c r="I150" s="380">
        <f>IF(H150,Wh_hp,'2021'!Maxi_hp)</f>
        <v>53.059049152756259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3.1344915452467537E-2</v>
      </c>
      <c r="M150" s="959"/>
      <c r="N150" s="959"/>
      <c r="O150" s="48">
        <f>IF(t&lt;Tnet,'2021'!Resal+('2021'!Salim-'2021'!Resal)*(1-EXP(('2021'!Tnet-t)/('2021'!Tau_j))),Resal+(Salim-Resal)*(1-EXP((Tnet-t)/(Tau_j))))*Salcycl</f>
        <v>6.1442779332442111E-2</v>
      </c>
      <c r="P150" s="339">
        <f>(INDEX(Models!$BJ150:$BT150,,T150)*(1-R150)+INDEX(Models!$BJ150:$BT150,,T150+1)*R150-ERP_i)*Q150*Ramure*Pc/MaxiM</f>
        <v>2.2475123976742426E-3</v>
      </c>
      <c r="Q150" s="305">
        <f t="shared" si="53"/>
        <v>0.7</v>
      </c>
      <c r="R150" s="177">
        <f t="shared" si="54"/>
        <v>0.13136301424679239</v>
      </c>
      <c r="S150" s="921">
        <f t="shared" si="55"/>
        <v>0</v>
      </c>
      <c r="T150" s="176">
        <f t="shared" si="56"/>
        <v>6</v>
      </c>
      <c r="U150" s="251">
        <f t="shared" si="57"/>
        <v>0.13136301424679239</v>
      </c>
      <c r="V150" s="383">
        <f t="shared" si="58"/>
        <v>54.177443688962448</v>
      </c>
      <c r="W150" s="402">
        <f t="shared" si="59"/>
        <v>0</v>
      </c>
      <c r="X150" s="157">
        <f t="shared" si="60"/>
        <v>44697</v>
      </c>
      <c r="Y150" s="385">
        <f t="shared" si="61"/>
        <v>45.06716865782365</v>
      </c>
      <c r="Z150" s="385">
        <f t="shared" si="62"/>
        <v>46.525506732744745</v>
      </c>
      <c r="AA150" s="386">
        <f t="shared" si="63"/>
        <v>52.6366604548802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0.11610071135447311</v>
      </c>
      <c r="AD150" s="231">
        <f>(INDEX(Models!$BJ150:$BT150,,AH150)*(1-AF150)+INDEX(Models!$BJ150:$BT150,,AH150+1)*AF150-ERP_i)*AE150*Ramure*Pc/MaxiM</f>
        <v>2.2475123976742426E-3</v>
      </c>
      <c r="AE150" s="305">
        <f t="shared" si="65"/>
        <v>0.7</v>
      </c>
      <c r="AF150" s="177">
        <f t="shared" si="66"/>
        <v>0.13136301424679239</v>
      </c>
      <c r="AG150" s="921">
        <f t="shared" si="74"/>
        <v>0</v>
      </c>
      <c r="AH150" s="176">
        <f t="shared" si="67"/>
        <v>6</v>
      </c>
      <c r="AI150" s="225">
        <f t="shared" si="68"/>
        <v>0.13136301424679239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092">
        <v>51.231000000000002</v>
      </c>
      <c r="C151" s="955"/>
      <c r="D151" s="393">
        <f t="shared" si="50"/>
        <v>52.889953227148013</v>
      </c>
      <c r="E151" s="385">
        <f t="shared" si="72"/>
        <v>56.367209178889446</v>
      </c>
      <c r="F151" s="385">
        <f t="shared" si="51"/>
        <v>56.489788505091589</v>
      </c>
      <c r="G151" s="110">
        <f t="shared" si="73"/>
        <v>0.94561026310720153</v>
      </c>
      <c r="H151" s="414" t="b">
        <f>Wh_hp&gt;='2021'!Maxi_hp</f>
        <v>1</v>
      </c>
      <c r="I151" s="380">
        <f>IF(H151,Wh_hp,'2021'!Maxi_hp)</f>
        <v>56.489788505091589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3.1366131484806936E-2</v>
      </c>
      <c r="M151" s="959"/>
      <c r="N151" s="959"/>
      <c r="O151" s="48">
        <f>IF(t&lt;Tnet,'2021'!Resal+('2021'!Salim-'2021'!Resal)*(1-EXP(('2021'!Tnet-t)/('2021'!Tau_j))),Resal+(Salim-Resal)*(1-EXP((Tnet-t)/(Tau_j))))*Salcycl</f>
        <v>6.1689340352222476E-2</v>
      </c>
      <c r="P151" s="339">
        <f>(INDEX(Models!$BJ151:$BT151,,T151)*(1-R151)+INDEX(Models!$BJ151:$BT151,,T151+1)*R151-ERP_i)*Q151*Ramure*Pc/MaxiM</f>
        <v>2.3521160960708167E-3</v>
      </c>
      <c r="Q151" s="305">
        <f t="shared" si="53"/>
        <v>0.7</v>
      </c>
      <c r="R151" s="177">
        <f t="shared" si="54"/>
        <v>0.1353970726067662</v>
      </c>
      <c r="S151" s="921">
        <f t="shared" si="55"/>
        <v>0</v>
      </c>
      <c r="T151" s="176">
        <f t="shared" si="56"/>
        <v>6</v>
      </c>
      <c r="U151" s="251">
        <f t="shared" si="57"/>
        <v>0.1353970726067662</v>
      </c>
      <c r="V151" s="383">
        <f t="shared" si="58"/>
        <v>54.167820004268023</v>
      </c>
      <c r="W151" s="402">
        <f t="shared" si="59"/>
        <v>0</v>
      </c>
      <c r="X151" s="157">
        <f t="shared" si="60"/>
        <v>44698</v>
      </c>
      <c r="Y151" s="385">
        <f t="shared" si="61"/>
        <v>48.247426836092181</v>
      </c>
      <c r="Z151" s="385">
        <f t="shared" si="62"/>
        <v>49.809766522050346</v>
      </c>
      <c r="AA151" s="386">
        <f t="shared" si="63"/>
        <v>56.367209178889446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0.11633435027851241</v>
      </c>
      <c r="AD151" s="231">
        <f>(INDEX(Models!$BJ151:$BT151,,AH151)*(1-AF151)+INDEX(Models!$BJ151:$BT151,,AH151+1)*AF151-ERP_i)*AE151*Ramure*Pc/MaxiM</f>
        <v>2.3521160960708167E-3</v>
      </c>
      <c r="AE151" s="305">
        <f t="shared" si="65"/>
        <v>0.7</v>
      </c>
      <c r="AF151" s="177">
        <f t="shared" si="66"/>
        <v>0.1353970726067662</v>
      </c>
      <c r="AG151" s="921">
        <f t="shared" si="74"/>
        <v>0</v>
      </c>
      <c r="AH151" s="176">
        <f t="shared" si="67"/>
        <v>6</v>
      </c>
      <c r="AI151" s="225">
        <f t="shared" si="68"/>
        <v>0.1353970726067662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092">
        <v>49.624000000000002</v>
      </c>
      <c r="C152" s="955"/>
      <c r="D152" s="393">
        <f t="shared" si="50"/>
        <v>51.232037749033694</v>
      </c>
      <c r="E152" s="385">
        <f t="shared" si="72"/>
        <v>54.614671922805584</v>
      </c>
      <c r="F152" s="385">
        <f t="shared" si="51"/>
        <v>54.733136536056008</v>
      </c>
      <c r="G152" s="110">
        <f t="shared" si="73"/>
        <v>0.91605976095315689</v>
      </c>
      <c r="H152" s="414" t="b">
        <f>Wh_hp&gt;='2021'!Maxi_hp</f>
        <v>0</v>
      </c>
      <c r="I152" s="380">
        <f>IF(H152,Wh_hp,'2021'!Maxi_hp)</f>
        <v>59.62470514235855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3.1387347052460712E-2</v>
      </c>
      <c r="M152" s="959"/>
      <c r="N152" s="959"/>
      <c r="O152" s="48">
        <f>IF(t&lt;Tnet,'2021'!Resal+('2021'!Salim-'2021'!Resal)*(1-EXP(('2021'!Tnet-t)/('2021'!Tau_j))),Resal+(Salim-Resal)*(1-EXP((Tnet-t)/(Tau_j))))*Salcycl</f>
        <v>6.1936363520649351E-2</v>
      </c>
      <c r="P152" s="339">
        <f>(INDEX(Models!$BJ152:$BT152,,T152)*(1-R152)+INDEX(Models!$BJ152:$BT152,,T152+1)*R152-ERP_i)*Q152*Ramure*Pc/MaxiM</f>
        <v>2.4582345889136645E-3</v>
      </c>
      <c r="Q152" s="305">
        <f t="shared" si="53"/>
        <v>0.7</v>
      </c>
      <c r="R152" s="177">
        <f t="shared" si="54"/>
        <v>0.1395075528307233</v>
      </c>
      <c r="S152" s="921">
        <f t="shared" si="55"/>
        <v>0</v>
      </c>
      <c r="T152" s="176">
        <f t="shared" si="56"/>
        <v>6</v>
      </c>
      <c r="U152" s="251">
        <f t="shared" si="57"/>
        <v>0.1395075528307233</v>
      </c>
      <c r="V152" s="383">
        <f t="shared" si="58"/>
        <v>54.155186628530579</v>
      </c>
      <c r="W152" s="402">
        <f t="shared" si="59"/>
        <v>0</v>
      </c>
      <c r="X152" s="157">
        <f t="shared" si="60"/>
        <v>44699</v>
      </c>
      <c r="Y152" s="385">
        <f t="shared" si="61"/>
        <v>46.733921101173735</v>
      </c>
      <c r="Z152" s="385">
        <f t="shared" si="62"/>
        <v>48.24830747250715</v>
      </c>
      <c r="AA152" s="386">
        <f t="shared" si="63"/>
        <v>54.614671922805584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0.11656875755468957</v>
      </c>
      <c r="AD152" s="231">
        <f>(INDEX(Models!$BJ152:$BT152,,AH152)*(1-AF152)+INDEX(Models!$BJ152:$BT152,,AH152+1)*AF152-ERP_i)*AE152*Ramure*Pc/MaxiM</f>
        <v>2.4582345889136645E-3</v>
      </c>
      <c r="AE152" s="305">
        <f t="shared" si="65"/>
        <v>0.7</v>
      </c>
      <c r="AF152" s="177">
        <f t="shared" si="66"/>
        <v>0.1395075528307233</v>
      </c>
      <c r="AG152" s="921">
        <f t="shared" si="74"/>
        <v>0</v>
      </c>
      <c r="AH152" s="176">
        <f t="shared" si="67"/>
        <v>6</v>
      </c>
      <c r="AI152" s="225">
        <f t="shared" si="68"/>
        <v>0.1395075528307233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092">
        <v>51.832000000000001</v>
      </c>
      <c r="C153" s="955"/>
      <c r="D153" s="393">
        <f t="shared" si="50"/>
        <v>53.512758811231585</v>
      </c>
      <c r="E153" s="385">
        <f t="shared" si="72"/>
        <v>57.061031024133307</v>
      </c>
      <c r="F153" s="385">
        <f t="shared" si="51"/>
        <v>57.19885959895791</v>
      </c>
      <c r="G153" s="110">
        <f t="shared" si="73"/>
        <v>0.95722609438848705</v>
      </c>
      <c r="H153" s="414" t="b">
        <f>Wh_hp&gt;='2021'!Maxi_hp</f>
        <v>0</v>
      </c>
      <c r="I153" s="380">
        <f>IF(H153,Wh_hp,'2021'!Maxi_hp)</f>
        <v>59.775748831066402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3.1408562155439079E-2</v>
      </c>
      <c r="M153" s="959"/>
      <c r="N153" s="959"/>
      <c r="O153" s="48">
        <f>IF(t&lt;Tnet,'2021'!Resal+('2021'!Salim-'2021'!Resal)*(1-EXP(('2021'!Tnet-t)/('2021'!Tau_j))),Resal+(Salim-Resal)*(1-EXP((Tnet-t)/(Tau_j))))*Salcycl</f>
        <v>6.218380827014891E-2</v>
      </c>
      <c r="P153" s="339">
        <f>(INDEX(Models!$BJ153:$BT153,,T153)*(1-R153)+INDEX(Models!$BJ153:$BT153,,T153+1)*R153-ERP_i)*Q153*Ramure*Pc/MaxiM</f>
        <v>2.5658783781500874E-3</v>
      </c>
      <c r="Q153" s="305">
        <f t="shared" si="53"/>
        <v>0.7</v>
      </c>
      <c r="R153" s="177">
        <f t="shared" si="54"/>
        <v>0.14369307859801977</v>
      </c>
      <c r="S153" s="921">
        <f t="shared" si="55"/>
        <v>0</v>
      </c>
      <c r="T153" s="176">
        <f t="shared" si="56"/>
        <v>6</v>
      </c>
      <c r="U153" s="251">
        <f t="shared" si="57"/>
        <v>0.14369307859801977</v>
      </c>
      <c r="V153" s="383">
        <f t="shared" si="58"/>
        <v>54.139646336467834</v>
      </c>
      <c r="W153" s="402">
        <f t="shared" si="59"/>
        <v>0</v>
      </c>
      <c r="X153" s="157">
        <f t="shared" si="60"/>
        <v>44700</v>
      </c>
      <c r="Y153" s="385">
        <f t="shared" si="61"/>
        <v>48.813214242816308</v>
      </c>
      <c r="Z153" s="385">
        <f t="shared" si="62"/>
        <v>50.396082739944504</v>
      </c>
      <c r="AA153" s="386">
        <f t="shared" si="63"/>
        <v>57.061031024133307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0.11680385307741699</v>
      </c>
      <c r="AD153" s="231">
        <f>(INDEX(Models!$BJ153:$BT153,,AH153)*(1-AF153)+INDEX(Models!$BJ153:$BT153,,AH153+1)*AF153-ERP_i)*AE153*Ramure*Pc/MaxiM</f>
        <v>2.5658783781500874E-3</v>
      </c>
      <c r="AE153" s="305">
        <f t="shared" si="65"/>
        <v>0.7</v>
      </c>
      <c r="AF153" s="177">
        <f t="shared" si="66"/>
        <v>0.14369307859801977</v>
      </c>
      <c r="AG153" s="921">
        <f t="shared" si="74"/>
        <v>0</v>
      </c>
      <c r="AH153" s="176">
        <f t="shared" si="67"/>
        <v>6</v>
      </c>
      <c r="AI153" s="225">
        <f t="shared" si="68"/>
        <v>0.14369307859801977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092">
        <v>47.006</v>
      </c>
      <c r="C154" s="955"/>
      <c r="D154" s="393">
        <f t="shared" si="50"/>
        <v>48.531328832716468</v>
      </c>
      <c r="E154" s="385">
        <f t="shared" si="72"/>
        <v>51.762975888356642</v>
      </c>
      <c r="F154" s="385">
        <f t="shared" si="51"/>
        <v>51.875683192832007</v>
      </c>
      <c r="G154" s="110">
        <f t="shared" si="73"/>
        <v>0.86809316062290665</v>
      </c>
      <c r="H154" s="414" t="b">
        <f>Wh_hp&gt;='2021'!Maxi_hp</f>
        <v>0</v>
      </c>
      <c r="I154" s="380">
        <f>IF(H154,Wh_hp,'2021'!Maxi_hp)</f>
        <v>61.745336141235896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3.1429776793752251E-2</v>
      </c>
      <c r="M154" s="959"/>
      <c r="N154" s="959"/>
      <c r="O154" s="48">
        <f>IF(t&lt;Tnet,'2021'!Resal+('2021'!Salim-'2021'!Resal)*(1-EXP(('2021'!Tnet-t)/('2021'!Tau_j))),Resal+(Salim-Resal)*(1-EXP((Tnet-t)/(Tau_j))))*Salcycl</f>
        <v>6.243163187932331E-2</v>
      </c>
      <c r="P154" s="339">
        <f>(INDEX(Models!$BJ154:$BT154,,T154)*(1-R154)+INDEX(Models!$BJ154:$BT154,,T154+1)*R154-ERP_i)*Q154*Ramure*Pc/MaxiM</f>
        <v>2.6750538453137085E-3</v>
      </c>
      <c r="Q154" s="305">
        <f t="shared" si="53"/>
        <v>0.7</v>
      </c>
      <c r="R154" s="177">
        <f t="shared" si="54"/>
        <v>0.14795209390568045</v>
      </c>
      <c r="S154" s="921">
        <f t="shared" si="55"/>
        <v>0</v>
      </c>
      <c r="T154" s="176">
        <f t="shared" si="56"/>
        <v>6</v>
      </c>
      <c r="U154" s="251">
        <f t="shared" si="57"/>
        <v>0.14795209390568045</v>
      </c>
      <c r="V154" s="383">
        <f t="shared" si="58"/>
        <v>54.121302128822109</v>
      </c>
      <c r="W154" s="402">
        <f t="shared" si="59"/>
        <v>0</v>
      </c>
      <c r="X154" s="157">
        <f t="shared" si="60"/>
        <v>44701</v>
      </c>
      <c r="Y154" s="385">
        <f t="shared" si="61"/>
        <v>44.26817303787287</v>
      </c>
      <c r="Z154" s="385">
        <f t="shared" si="62"/>
        <v>45.704660309845586</v>
      </c>
      <c r="AA154" s="386">
        <f t="shared" si="63"/>
        <v>51.762975888356642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0.11703955335909863</v>
      </c>
      <c r="AD154" s="231">
        <f>(INDEX(Models!$BJ154:$BT154,,AH154)*(1-AF154)+INDEX(Models!$BJ154:$BT154,,AH154+1)*AF154-ERP_i)*AE154*Ramure*Pc/MaxiM</f>
        <v>2.6750538453137085E-3</v>
      </c>
      <c r="AE154" s="305">
        <f t="shared" si="65"/>
        <v>0.7</v>
      </c>
      <c r="AF154" s="177">
        <f t="shared" si="66"/>
        <v>0.14795209390568045</v>
      </c>
      <c r="AG154" s="921">
        <f t="shared" si="74"/>
        <v>0</v>
      </c>
      <c r="AH154" s="176">
        <f t="shared" si="67"/>
        <v>6</v>
      </c>
      <c r="AI154" s="225">
        <f t="shared" si="68"/>
        <v>0.14795209390568045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092">
        <v>47.573999999999998</v>
      </c>
      <c r="C155" s="955"/>
      <c r="D155" s="393">
        <f t="shared" si="50"/>
        <v>49.118836069553232</v>
      </c>
      <c r="E155" s="385">
        <f t="shared" si="72"/>
        <v>52.403474844887562</v>
      </c>
      <c r="F155" s="385">
        <f t="shared" si="51"/>
        <v>52.52458003397598</v>
      </c>
      <c r="G155" s="110">
        <f t="shared" si="73"/>
        <v>0.87894421320051497</v>
      </c>
      <c r="H155" s="414" t="b">
        <f>Wh_hp&gt;='2021'!Maxi_hp</f>
        <v>0</v>
      </c>
      <c r="I155" s="380">
        <f>IF(H155,Wh_hp,'2021'!Maxi_hp)</f>
        <v>58.246676654523853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3.1450990967410442E-2</v>
      </c>
      <c r="M155" s="959"/>
      <c r="N155" s="959"/>
      <c r="O155" s="48">
        <f>IF(t&lt;Tnet,'2021'!Resal+('2021'!Salim-'2021'!Resal)*(1-EXP(('2021'!Tnet-t)/('2021'!Tau_j))),Resal+(Salim-Resal)*(1-EXP((Tnet-t)/(Tau_j))))*Salcycl</f>
        <v>6.267978955702358E-2</v>
      </c>
      <c r="P155" s="339">
        <f>(INDEX(Models!$BJ155:$BT155,,T155)*(1-R155)+INDEX(Models!$BJ155:$BT155,,T155+1)*R155-ERP_i)*Q155*Ramure*Pc/MaxiM</f>
        <v>2.7857631173735273E-3</v>
      </c>
      <c r="Q155" s="305">
        <f t="shared" si="53"/>
        <v>0.7</v>
      </c>
      <c r="R155" s="177">
        <f t="shared" si="54"/>
        <v>0.15228286142662331</v>
      </c>
      <c r="S155" s="921">
        <f t="shared" si="55"/>
        <v>0</v>
      </c>
      <c r="T155" s="176">
        <f t="shared" si="56"/>
        <v>6</v>
      </c>
      <c r="U155" s="251">
        <f t="shared" si="57"/>
        <v>0.15228286142662331</v>
      </c>
      <c r="V155" s="383">
        <f t="shared" si="58"/>
        <v>54.100257235437908</v>
      </c>
      <c r="W155" s="402">
        <f t="shared" si="59"/>
        <v>0</v>
      </c>
      <c r="X155" s="157">
        <f t="shared" si="60"/>
        <v>44702</v>
      </c>
      <c r="Y155" s="385">
        <f t="shared" si="61"/>
        <v>44.802962710687666</v>
      </c>
      <c r="Z155" s="385">
        <f t="shared" si="62"/>
        <v>46.257816891927817</v>
      </c>
      <c r="AA155" s="386">
        <f t="shared" si="63"/>
        <v>52.403474844887562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0.11727577171457955</v>
      </c>
      <c r="AD155" s="231">
        <f>(INDEX(Models!$BJ155:$BT155,,AH155)*(1-AF155)+INDEX(Models!$BJ155:$BT155,,AH155+1)*AF155-ERP_i)*AE155*Ramure*Pc/MaxiM</f>
        <v>2.7857631173735273E-3</v>
      </c>
      <c r="AE155" s="305">
        <f t="shared" si="65"/>
        <v>0.7</v>
      </c>
      <c r="AF155" s="177">
        <f t="shared" si="66"/>
        <v>0.15228286142662331</v>
      </c>
      <c r="AG155" s="921">
        <f t="shared" si="74"/>
        <v>0</v>
      </c>
      <c r="AH155" s="176">
        <f t="shared" si="67"/>
        <v>6</v>
      </c>
      <c r="AI155" s="225">
        <f t="shared" si="68"/>
        <v>0.15228286142662331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092">
        <v>36.386000000000003</v>
      </c>
      <c r="C156" s="955"/>
      <c r="D156" s="393">
        <f t="shared" si="50"/>
        <v>37.568359086528616</v>
      </c>
      <c r="E156" s="385">
        <f t="shared" si="72"/>
        <v>40.091229371398356</v>
      </c>
      <c r="F156" s="385">
        <f t="shared" si="51"/>
        <v>40.153220788072119</v>
      </c>
      <c r="G156" s="110">
        <f t="shared" si="73"/>
        <v>0.67194761138388648</v>
      </c>
      <c r="H156" s="414" t="b">
        <f>Wh_hp&gt;='2021'!Maxi_hp</f>
        <v>0</v>
      </c>
      <c r="I156" s="380">
        <f>IF(H156,Wh_hp,'2021'!Maxi_hp)</f>
        <v>58.677512490213942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3.1472204676423754E-2</v>
      </c>
      <c r="M156" s="959"/>
      <c r="N156" s="959"/>
      <c r="O156" s="48">
        <f>IF(t&lt;Tnet,'2021'!Resal+('2021'!Salim-'2021'!Resal)*(1-EXP(('2021'!Tnet-t)/('2021'!Tau_j))),Resal+(Salim-Resal)*(1-EXP((Tnet-t)/(Tau_j))))*Salcycl</f>
        <v>6.2928234539736852E-2</v>
      </c>
      <c r="P156" s="339">
        <f>(INDEX(Models!$BJ156:$BT156,,T156)*(1-R156)+INDEX(Models!$BJ156:$BT156,,T156+1)*R156-ERP_i)*Q156*Ramure*Pc/MaxiM</f>
        <v>2.8984305278812721E-3</v>
      </c>
      <c r="Q156" s="305">
        <f t="shared" si="53"/>
        <v>0.7</v>
      </c>
      <c r="R156" s="177">
        <f t="shared" si="54"/>
        <v>0.15668346167217889</v>
      </c>
      <c r="S156" s="921">
        <f t="shared" si="55"/>
        <v>0</v>
      </c>
      <c r="T156" s="176">
        <f t="shared" si="56"/>
        <v>6</v>
      </c>
      <c r="U156" s="251">
        <f t="shared" si="57"/>
        <v>0.15668346167217889</v>
      </c>
      <c r="V156" s="383">
        <f t="shared" si="58"/>
        <v>54.076591972827572</v>
      </c>
      <c r="W156" s="402">
        <f t="shared" si="59"/>
        <v>0</v>
      </c>
      <c r="X156" s="157">
        <f t="shared" si="60"/>
        <v>44703</v>
      </c>
      <c r="Y156" s="385">
        <f t="shared" si="61"/>
        <v>34.266525067960877</v>
      </c>
      <c r="Z156" s="385">
        <f t="shared" si="62"/>
        <v>35.380012048609039</v>
      </c>
      <c r="AA156" s="386">
        <f t="shared" si="63"/>
        <v>40.091229371398356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0.1175124184680245</v>
      </c>
      <c r="AD156" s="231">
        <f>(INDEX(Models!$BJ156:$BT156,,AH156)*(1-AF156)+INDEX(Models!$BJ156:$BT156,,AH156+1)*AF156-ERP_i)*AE156*Ramure*Pc/MaxiM</f>
        <v>2.8984305278812721E-3</v>
      </c>
      <c r="AE156" s="305">
        <f t="shared" si="65"/>
        <v>0.7</v>
      </c>
      <c r="AF156" s="177">
        <f t="shared" si="66"/>
        <v>0.15668346167217889</v>
      </c>
      <c r="AG156" s="921">
        <f t="shared" si="74"/>
        <v>0</v>
      </c>
      <c r="AH156" s="176">
        <f t="shared" si="67"/>
        <v>6</v>
      </c>
      <c r="AI156" s="225">
        <f t="shared" si="68"/>
        <v>0.15668346167217889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092">
        <v>16.992000000000001</v>
      </c>
      <c r="C157" s="955"/>
      <c r="D157" s="393">
        <f t="shared" si="50"/>
        <v>17.544537450144574</v>
      </c>
      <c r="E157" s="385">
        <f t="shared" si="72"/>
        <v>18.727695539350165</v>
      </c>
      <c r="F157" s="385">
        <f t="shared" si="51"/>
        <v>18.728854217051378</v>
      </c>
      <c r="G157" s="110">
        <f t="shared" si="73"/>
        <v>0.31344536287829472</v>
      </c>
      <c r="H157" s="414" t="b">
        <f>Wh_hp&gt;='2021'!Maxi_hp</f>
        <v>0</v>
      </c>
      <c r="I157" s="380">
        <f>IF(H157,Wh_hp,'2021'!Maxi_hp)</f>
        <v>53.955691624579302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3.1493417920802402E-2</v>
      </c>
      <c r="M157" s="959"/>
      <c r="N157" s="959"/>
      <c r="O157" s="48">
        <f>IF(t&lt;Tnet,'2021'!Resal+('2021'!Salim-'2021'!Resal)*(1-EXP(('2021'!Tnet-t)/('2021'!Tau_j))),Resal+(Salim-Resal)*(1-EXP((Tnet-t)/(Tau_j))))*Salcycl</f>
        <v>6.3176918202219268E-2</v>
      </c>
      <c r="P157" s="339">
        <f>(INDEX(Models!$BJ157:$BT157,,T157)*(1-R157)+INDEX(Models!$BJ157:$BT157,,T157+1)*R157-ERP_i)*Q157*Ramure*Pc/MaxiM</f>
        <v>3.0129840821188116E-3</v>
      </c>
      <c r="Q157" s="305">
        <f t="shared" si="53"/>
        <v>0.7</v>
      </c>
      <c r="R157" s="177">
        <f t="shared" si="54"/>
        <v>0.16115179300395124</v>
      </c>
      <c r="S157" s="921">
        <f t="shared" si="55"/>
        <v>0</v>
      </c>
      <c r="T157" s="176">
        <f t="shared" si="56"/>
        <v>6</v>
      </c>
      <c r="U157" s="251">
        <f t="shared" si="57"/>
        <v>0.16115179300395124</v>
      </c>
      <c r="V157" s="383">
        <f t="shared" si="58"/>
        <v>54.050413577813565</v>
      </c>
      <c r="W157" s="402">
        <f t="shared" si="59"/>
        <v>0</v>
      </c>
      <c r="X157" s="157">
        <f t="shared" si="60"/>
        <v>44704</v>
      </c>
      <c r="Y157" s="385">
        <f t="shared" si="61"/>
        <v>16.002169957586926</v>
      </c>
      <c r="Z157" s="385">
        <f t="shared" si="62"/>
        <v>16.522520604076163</v>
      </c>
      <c r="AA157" s="386">
        <f t="shared" si="63"/>
        <v>18.727695539350165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0.11774940118182421</v>
      </c>
      <c r="AD157" s="231">
        <f>(INDEX(Models!$BJ157:$BT157,,AH157)*(1-AF157)+INDEX(Models!$BJ157:$BT157,,AH157+1)*AF157-ERP_i)*AE157*Ramure*Pc/MaxiM</f>
        <v>3.0129840821188116E-3</v>
      </c>
      <c r="AE157" s="305">
        <f t="shared" si="65"/>
        <v>0.7</v>
      </c>
      <c r="AF157" s="177">
        <f t="shared" si="66"/>
        <v>0.16115179300395124</v>
      </c>
      <c r="AG157" s="921">
        <f t="shared" si="74"/>
        <v>0</v>
      </c>
      <c r="AH157" s="176">
        <f t="shared" si="67"/>
        <v>6</v>
      </c>
      <c r="AI157" s="225">
        <f t="shared" si="68"/>
        <v>0.16115179300395124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092">
        <v>16.149999999999999</v>
      </c>
      <c r="C158" s="955"/>
      <c r="D158" s="393">
        <f t="shared" si="50"/>
        <v>16.675522947426813</v>
      </c>
      <c r="E158" s="385">
        <f t="shared" si="72"/>
        <v>17.80480689368212</v>
      </c>
      <c r="F158" s="385">
        <f t="shared" si="51"/>
        <v>17.80480689368212</v>
      </c>
      <c r="G158" s="110">
        <f t="shared" si="73"/>
        <v>0.29801769380025622</v>
      </c>
      <c r="H158" s="414" t="b">
        <f>Wh_hp&gt;='2021'!Maxi_hp</f>
        <v>0</v>
      </c>
      <c r="I158" s="380">
        <f>IF(H158,Wh_hp,'2021'!Maxi_hp)</f>
        <v>25.770368698840517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3.1514630700556601E-2</v>
      </c>
      <c r="M158" s="959"/>
      <c r="N158" s="959"/>
      <c r="O158" s="48">
        <f>IF(t&lt;Tnet,'2021'!Resal+('2021'!Salim-'2021'!Resal)*(1-EXP(('2021'!Tnet-t)/('2021'!Tau_j))),Resal+(Salim-Resal)*(1-EXP((Tnet-t)/(Tau_j))))*Salcycl</f>
        <v>6.3425790181190975E-2</v>
      </c>
      <c r="P158" s="339">
        <f>(INDEX(Models!$BJ158:$BT158,,T158)*(1-R158)+INDEX(Models!$BJ158:$BT158,,T158+1)*R158-ERP_i)*Q158*Ramure*Pc/MaxiM</f>
        <v>3.1293999317662546E-3</v>
      </c>
      <c r="Q158" s="305">
        <f t="shared" si="53"/>
        <v>0.7</v>
      </c>
      <c r="R158" s="177">
        <f t="shared" si="54"/>
        <v>0.16568557253478075</v>
      </c>
      <c r="S158" s="921">
        <f t="shared" si="55"/>
        <v>0</v>
      </c>
      <c r="T158" s="176">
        <f t="shared" si="56"/>
        <v>6</v>
      </c>
      <c r="U158" s="251">
        <f t="shared" si="57"/>
        <v>0.16568557253478075</v>
      </c>
      <c r="V158" s="383">
        <f t="shared" si="58"/>
        <v>54.021826643261321</v>
      </c>
      <c r="W158" s="402">
        <f t="shared" si="59"/>
        <v>0</v>
      </c>
      <c r="X158" s="157">
        <f t="shared" si="60"/>
        <v>44705</v>
      </c>
      <c r="Y158" s="385">
        <f t="shared" si="61"/>
        <v>15.209169608149807</v>
      </c>
      <c r="Z158" s="385">
        <f t="shared" si="62"/>
        <v>15.704077821177002</v>
      </c>
      <c r="AA158" s="386">
        <f t="shared" si="63"/>
        <v>17.80480689368212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0.11798662490692574</v>
      </c>
      <c r="AD158" s="231">
        <f>(INDEX(Models!$BJ158:$BT158,,AH158)*(1-AF158)+INDEX(Models!$BJ158:$BT158,,AH158+1)*AF158-ERP_i)*AE158*Ramure*Pc/MaxiM</f>
        <v>3.1293999317662546E-3</v>
      </c>
      <c r="AE158" s="305">
        <f t="shared" si="65"/>
        <v>0.7</v>
      </c>
      <c r="AF158" s="177">
        <f t="shared" si="66"/>
        <v>0.16568557253478075</v>
      </c>
      <c r="AG158" s="921">
        <f t="shared" si="74"/>
        <v>0</v>
      </c>
      <c r="AH158" s="176">
        <f t="shared" si="67"/>
        <v>6</v>
      </c>
      <c r="AI158" s="225">
        <f t="shared" si="68"/>
        <v>0.16568557253478075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092">
        <v>37.615000000000002</v>
      </c>
      <c r="C159" s="955"/>
      <c r="D159" s="393">
        <f t="shared" si="50"/>
        <v>38.83984732809234</v>
      </c>
      <c r="E159" s="385">
        <f t="shared" si="72"/>
        <v>41.481151277739691</v>
      </c>
      <c r="F159" s="385">
        <f t="shared" si="51"/>
        <v>41.557636342298352</v>
      </c>
      <c r="G159" s="110">
        <f t="shared" si="73"/>
        <v>0.69570882956377289</v>
      </c>
      <c r="H159" s="414" t="b">
        <f>Wh_hp&gt;='2021'!Maxi_hp</f>
        <v>0</v>
      </c>
      <c r="I159" s="380">
        <f>IF(H159,Wh_hp,'2021'!Maxi_hp)</f>
        <v>55.122596698708996</v>
      </c>
      <c r="J159" s="85">
        <f>IF(H159,An,'2021'!An_max)</f>
        <v>2021</v>
      </c>
      <c r="K159" s="197">
        <f t="shared" si="52"/>
        <v>44706</v>
      </c>
      <c r="L159" s="147">
        <f>IF(t&lt;Tvie,1-EXP((T0-t)*PertePVj)+'2021'!Pspv,1-EXP((T0-t)*PertePVj)+Pspv)</f>
        <v>3.1535843015696452E-2</v>
      </c>
      <c r="M159" s="959"/>
      <c r="N159" s="959"/>
      <c r="O159" s="48">
        <f>IF(t&lt;Tnet,'2021'!Resal+('2021'!Salim-'2021'!Resal)*(1-EXP(('2021'!Tnet-t)/('2021'!Tau_j))),Resal+(Salim-Resal)*(1-EXP((Tnet-t)/(Tau_j))))*Salcycl</f>
        <v>6.3674798511794667E-2</v>
      </c>
      <c r="P159" s="339">
        <f>(INDEX(Models!$BJ159:$BT159,,T159)*(1-R159)+INDEX(Models!$BJ159:$BT159,,T159+1)*R159-ERP_i)*Q159*Ramure*Pc/MaxiM</f>
        <v>3.2476667716828528E-3</v>
      </c>
      <c r="Q159" s="305">
        <f t="shared" si="53"/>
        <v>0.7</v>
      </c>
      <c r="R159" s="177">
        <f t="shared" si="54"/>
        <v>0.17028233795249784</v>
      </c>
      <c r="S159" s="921">
        <f t="shared" si="55"/>
        <v>0</v>
      </c>
      <c r="T159" s="176">
        <f t="shared" si="56"/>
        <v>6</v>
      </c>
      <c r="U159" s="251">
        <f t="shared" si="57"/>
        <v>0.17028233795249784</v>
      </c>
      <c r="V159" s="383">
        <f t="shared" si="58"/>
        <v>53.990935042061274</v>
      </c>
      <c r="W159" s="402">
        <f t="shared" si="59"/>
        <v>0</v>
      </c>
      <c r="X159" s="157">
        <f t="shared" si="60"/>
        <v>44706</v>
      </c>
      <c r="Y159" s="385">
        <f t="shared" si="61"/>
        <v>35.423594784305109</v>
      </c>
      <c r="Z159" s="385">
        <f t="shared" si="62"/>
        <v>36.57708396210603</v>
      </c>
      <c r="AA159" s="386">
        <f t="shared" si="63"/>
        <v>41.481151277739691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0.11822399245378129</v>
      </c>
      <c r="AD159" s="231">
        <f>(INDEX(Models!$BJ159:$BT159,,AH159)*(1-AF159)+INDEX(Models!$BJ159:$BT159,,AH159+1)*AF159-ERP_i)*AE159*Ramure*Pc/MaxiM</f>
        <v>3.2476667716828528E-3</v>
      </c>
      <c r="AE159" s="305">
        <f t="shared" si="65"/>
        <v>0.7</v>
      </c>
      <c r="AF159" s="177">
        <f t="shared" si="66"/>
        <v>0.17028233795249784</v>
      </c>
      <c r="AG159" s="921">
        <f t="shared" si="74"/>
        <v>0</v>
      </c>
      <c r="AH159" s="176">
        <f t="shared" si="67"/>
        <v>6</v>
      </c>
      <c r="AI159" s="225">
        <f t="shared" si="68"/>
        <v>0.17028233795249784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092">
        <v>25.593</v>
      </c>
      <c r="C160" s="955"/>
      <c r="D160" s="393">
        <f t="shared" si="50"/>
        <v>26.426956929780641</v>
      </c>
      <c r="E160" s="385">
        <f t="shared" si="72"/>
        <v>28.231632707161037</v>
      </c>
      <c r="F160" s="385">
        <f t="shared" si="51"/>
        <v>28.25532890821772</v>
      </c>
      <c r="G160" s="110">
        <f t="shared" si="73"/>
        <v>0.47311412898779093</v>
      </c>
      <c r="H160" s="414" t="b">
        <f>Wh_hp&gt;='2021'!Maxi_hp</f>
        <v>0</v>
      </c>
      <c r="I160" s="380">
        <f>IF(H160,Wh_hp,'2021'!Maxi_hp)</f>
        <v>58.823190702914935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3.1557054866232059E-2</v>
      </c>
      <c r="M160" s="959"/>
      <c r="N160" s="959"/>
      <c r="O160" s="48">
        <f>IF(t&lt;Tnet,'2021'!Resal+('2021'!Salim-'2021'!Resal)*(1-EXP(('2021'!Tnet-t)/('2021'!Tau_j))),Resal+(Salim-Resal)*(1-EXP((Tnet-t)/(Tau_j))))*Salcycl</f>
        <v>6.3923889776400872E-2</v>
      </c>
      <c r="P160" s="339">
        <f>(INDEX(Models!$BJ160:$BT160,,T160)*(1-R160)+INDEX(Models!$BJ160:$BT160,,T160+1)*R160-ERP_i)*Q160*Ramure*Pc/MaxiM</f>
        <v>3.3677690025044845E-3</v>
      </c>
      <c r="Q160" s="305">
        <f t="shared" si="53"/>
        <v>0.7</v>
      </c>
      <c r="R160" s="177">
        <f t="shared" si="54"/>
        <v>0.17493945029333016</v>
      </c>
      <c r="S160" s="921">
        <f t="shared" si="55"/>
        <v>0</v>
      </c>
      <c r="T160" s="176">
        <f t="shared" si="56"/>
        <v>6</v>
      </c>
      <c r="U160" s="251">
        <f t="shared" si="57"/>
        <v>0.17493945029333016</v>
      </c>
      <c r="V160" s="383">
        <f t="shared" si="58"/>
        <v>53.957842824242221</v>
      </c>
      <c r="W160" s="402">
        <f t="shared" si="59"/>
        <v>0</v>
      </c>
      <c r="X160" s="157">
        <f t="shared" si="60"/>
        <v>44707</v>
      </c>
      <c r="Y160" s="385">
        <f t="shared" si="61"/>
        <v>24.101904774133356</v>
      </c>
      <c r="Z160" s="385">
        <f t="shared" si="62"/>
        <v>24.887273840178821</v>
      </c>
      <c r="AA160" s="386">
        <f t="shared" si="63"/>
        <v>28.231632707161037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0.11846140468290763</v>
      </c>
      <c r="AD160" s="231">
        <f>(INDEX(Models!$BJ160:$BT160,,AH160)*(1-AF160)+INDEX(Models!$BJ160:$BT160,,AH160+1)*AF160-ERP_i)*AE160*Ramure*Pc/MaxiM</f>
        <v>3.3677690025044845E-3</v>
      </c>
      <c r="AE160" s="305">
        <f t="shared" si="65"/>
        <v>0.7</v>
      </c>
      <c r="AF160" s="177">
        <f t="shared" si="66"/>
        <v>0.17493945029333016</v>
      </c>
      <c r="AG160" s="921">
        <f t="shared" si="74"/>
        <v>0</v>
      </c>
      <c r="AH160" s="176">
        <f t="shared" si="67"/>
        <v>6</v>
      </c>
      <c r="AI160" s="225">
        <f t="shared" si="68"/>
        <v>0.17493945029333016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092">
        <v>40.780999999999999</v>
      </c>
      <c r="C161" s="955"/>
      <c r="D161" s="393">
        <f t="shared" si="50"/>
        <v>42.110785599757342</v>
      </c>
      <c r="E161" s="385">
        <f t="shared" si="72"/>
        <v>44.998473026187945</v>
      </c>
      <c r="F161" s="385">
        <f t="shared" si="51"/>
        <v>45.101064967278802</v>
      </c>
      <c r="G161" s="110">
        <f t="shared" si="73"/>
        <v>0.75536599146085259</v>
      </c>
      <c r="H161" s="414" t="b">
        <f>Wh_hp&gt;='2021'!Maxi_hp</f>
        <v>0</v>
      </c>
      <c r="I161" s="380">
        <f>IF(H161,Wh_hp,'2021'!Maxi_hp)</f>
        <v>60.55384086599669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3.1578266252173859E-2</v>
      </c>
      <c r="M161" s="959"/>
      <c r="N161" s="959"/>
      <c r="O161" s="48">
        <f>IF(t&lt;Tnet,'2021'!Resal+('2021'!Salim-'2021'!Resal)*(1-EXP(('2021'!Tnet-t)/('2021'!Tau_j))),Resal+(Salim-Resal)*(1-EXP((Tnet-t)/(Tau_j))))*Salcycl</f>
        <v>6.4173009265226538E-2</v>
      </c>
      <c r="P161" s="339">
        <f>(INDEX(Models!$BJ161:$BT161,,T161)*(1-R161)+INDEX(Models!$BJ161:$BT161,,T161+1)*R161-ERP_i)*Q161*Ramure*Pc/MaxiM</f>
        <v>3.4896866865515869E-3</v>
      </c>
      <c r="Q161" s="305">
        <f t="shared" si="53"/>
        <v>0.7</v>
      </c>
      <c r="R161" s="177">
        <f t="shared" si="54"/>
        <v>0.17965409768430601</v>
      </c>
      <c r="S161" s="921">
        <f t="shared" si="55"/>
        <v>0</v>
      </c>
      <c r="T161" s="176">
        <f t="shared" si="56"/>
        <v>6</v>
      </c>
      <c r="U161" s="251">
        <f t="shared" si="57"/>
        <v>0.17965409768430601</v>
      </c>
      <c r="V161" s="383">
        <f t="shared" si="58"/>
        <v>53.922654210452428</v>
      </c>
      <c r="W161" s="402">
        <f t="shared" si="59"/>
        <v>0</v>
      </c>
      <c r="X161" s="157">
        <f t="shared" si="60"/>
        <v>44708</v>
      </c>
      <c r="Y161" s="385">
        <f t="shared" si="61"/>
        <v>38.404904102019373</v>
      </c>
      <c r="Z161" s="385">
        <f t="shared" si="62"/>
        <v>39.657210039463948</v>
      </c>
      <c r="AA161" s="386">
        <f t="shared" si="63"/>
        <v>44.998473026187945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0.11869876081385083</v>
      </c>
      <c r="AD161" s="231">
        <f>(INDEX(Models!$BJ161:$BT161,,AH161)*(1-AF161)+INDEX(Models!$BJ161:$BT161,,AH161+1)*AF161-ERP_i)*AE161*Ramure*Pc/MaxiM</f>
        <v>3.4896866865515869E-3</v>
      </c>
      <c r="AE161" s="305">
        <f t="shared" si="65"/>
        <v>0.7</v>
      </c>
      <c r="AF161" s="177">
        <f t="shared" si="66"/>
        <v>0.17965409768430601</v>
      </c>
      <c r="AG161" s="921">
        <f t="shared" si="74"/>
        <v>0</v>
      </c>
      <c r="AH161" s="176">
        <f t="shared" si="67"/>
        <v>6</v>
      </c>
      <c r="AI161" s="225">
        <f t="shared" si="68"/>
        <v>0.17965409768430601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092">
        <v>50.222999999999999</v>
      </c>
      <c r="C162" s="955"/>
      <c r="D162" s="393">
        <f t="shared" si="50"/>
        <v>51.86180595340268</v>
      </c>
      <c r="E162" s="385">
        <f t="shared" si="72"/>
        <v>55.432910521984546</v>
      </c>
      <c r="F162" s="385">
        <f t="shared" si="51"/>
        <v>55.614354941788861</v>
      </c>
      <c r="G162" s="110">
        <f t="shared" si="73"/>
        <v>0.93170419228071044</v>
      </c>
      <c r="H162" s="414" t="b">
        <f>Wh_hp&gt;='2021'!Maxi_hp</f>
        <v>0</v>
      </c>
      <c r="I162" s="380">
        <f>IF(H162,Wh_hp,'2021'!Maxi_hp)</f>
        <v>57.676626455771242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3.1599477173531731E-2</v>
      </c>
      <c r="M162" s="959"/>
      <c r="N162" s="959"/>
      <c r="O162" s="48">
        <f>IF(t&lt;Tnet,'2021'!Resal+('2021'!Salim-'2021'!Resal)*(1-EXP(('2021'!Tnet-t)/('2021'!Tau_j))),Resal+(Salim-Resal)*(1-EXP((Tnet-t)/(Tau_j))))*Salcycl</f>
        <v>6.4422101148118138E-2</v>
      </c>
      <c r="P162" s="339">
        <f>(INDEX(Models!$BJ162:$BT162,,T162)*(1-R162)+INDEX(Models!$BJ162:$BT162,,T162+1)*R162-ERP_i)*Q162*Ramure*Pc/MaxiM</f>
        <v>3.6133955257167372E-3</v>
      </c>
      <c r="Q162" s="305">
        <f t="shared" si="53"/>
        <v>0.7</v>
      </c>
      <c r="R162" s="177">
        <f t="shared" si="54"/>
        <v>0.18442330006584839</v>
      </c>
      <c r="S162" s="921">
        <f t="shared" si="55"/>
        <v>0</v>
      </c>
      <c r="T162" s="176">
        <f t="shared" si="56"/>
        <v>6</v>
      </c>
      <c r="U162" s="251">
        <f t="shared" si="57"/>
        <v>0.18442330006584839</v>
      </c>
      <c r="V162" s="383">
        <f t="shared" si="58"/>
        <v>53.885473575748357</v>
      </c>
      <c r="W162" s="402">
        <f t="shared" si="59"/>
        <v>0</v>
      </c>
      <c r="X162" s="157">
        <f t="shared" si="60"/>
        <v>44709</v>
      </c>
      <c r="Y162" s="385">
        <f t="shared" si="61"/>
        <v>47.296627461959794</v>
      </c>
      <c r="Z162" s="385">
        <f t="shared" si="62"/>
        <v>48.839944162685129</v>
      </c>
      <c r="AA162" s="386">
        <f t="shared" si="63"/>
        <v>55.432910521984546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0.11893595875115857</v>
      </c>
      <c r="AD162" s="231">
        <f>(INDEX(Models!$BJ162:$BT162,,AH162)*(1-AF162)+INDEX(Models!$BJ162:$BT162,,AH162+1)*AF162-ERP_i)*AE162*Ramure*Pc/MaxiM</f>
        <v>3.6133955257167372E-3</v>
      </c>
      <c r="AE162" s="305">
        <f t="shared" si="65"/>
        <v>0.7</v>
      </c>
      <c r="AF162" s="177">
        <f t="shared" si="66"/>
        <v>0.18442330006584839</v>
      </c>
      <c r="AG162" s="921">
        <f t="shared" si="74"/>
        <v>0</v>
      </c>
      <c r="AH162" s="176">
        <f t="shared" si="67"/>
        <v>6</v>
      </c>
      <c r="AI162" s="225">
        <f t="shared" si="68"/>
        <v>0.18442330006584839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092">
        <v>54.369</v>
      </c>
      <c r="C163" s="955"/>
      <c r="D163" s="393">
        <f t="shared" si="50"/>
        <v>56.144322070404108</v>
      </c>
      <c r="E163" s="385">
        <f t="shared" si="72"/>
        <v>60.026288709817308</v>
      </c>
      <c r="F163" s="385">
        <f t="shared" si="51"/>
        <v>60.251561411651252</v>
      </c>
      <c r="G163" s="110">
        <f t="shared" si="73"/>
        <v>1.0097058919531767</v>
      </c>
      <c r="H163" s="414" t="b">
        <f>Wh_hp&gt;='2021'!Maxi_hp</f>
        <v>1</v>
      </c>
      <c r="I163" s="380">
        <f>IF(H163,Wh_hp,'2021'!Maxi_hp)</f>
        <v>60.251561411651252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3.1620687630316113E-2</v>
      </c>
      <c r="M163" s="959"/>
      <c r="N163" s="959"/>
      <c r="O163" s="48">
        <f>IF(t&lt;Tnet,'2021'!Resal+('2021'!Salim-'2021'!Resal)*(1-EXP(('2021'!Tnet-t)/('2021'!Tau_j))),Resal+(Salim-Resal)*(1-EXP((Tnet-t)/(Tau_j))))*Salcycl</f>
        <v>6.4671108656736032E-2</v>
      </c>
      <c r="P163" s="339">
        <f>(INDEX(Models!$BJ163:$BT163,,T163)*(1-R163)+INDEX(Models!$BJ163:$BT163,,T163+1)*R163-ERP_i)*Q163*Ramure*Pc/MaxiM</f>
        <v>3.7388691107078111E-3</v>
      </c>
      <c r="Q163" s="305">
        <f t="shared" si="53"/>
        <v>0.7</v>
      </c>
      <c r="R163" s="177">
        <f t="shared" si="54"/>
        <v>0.18924391489707038</v>
      </c>
      <c r="S163" s="921">
        <f t="shared" si="55"/>
        <v>0</v>
      </c>
      <c r="T163" s="176">
        <f t="shared" si="56"/>
        <v>6</v>
      </c>
      <c r="U163" s="251">
        <f t="shared" si="57"/>
        <v>0.18924391489707038</v>
      </c>
      <c r="V163" s="383">
        <f t="shared" si="58"/>
        <v>53.846372922345267</v>
      </c>
      <c r="W163" s="402">
        <f t="shared" si="59"/>
        <v>0</v>
      </c>
      <c r="X163" s="157">
        <f t="shared" si="60"/>
        <v>44710</v>
      </c>
      <c r="Y163" s="385">
        <f t="shared" si="61"/>
        <v>51.200908356224978</v>
      </c>
      <c r="Z163" s="385">
        <f t="shared" si="62"/>
        <v>52.8727820826048</v>
      </c>
      <c r="AA163" s="386">
        <f t="shared" si="63"/>
        <v>60.026288709817308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0.1191728954257761</v>
      </c>
      <c r="AD163" s="231">
        <f>(INDEX(Models!$BJ163:$BT163,,AH163)*(1-AF163)+INDEX(Models!$BJ163:$BT163,,AH163+1)*AF163-ERP_i)*AE163*Ramure*Pc/MaxiM</f>
        <v>3.7388691107078111E-3</v>
      </c>
      <c r="AE163" s="305">
        <f t="shared" si="65"/>
        <v>0.7</v>
      </c>
      <c r="AF163" s="177">
        <f t="shared" si="66"/>
        <v>0.18924391489707038</v>
      </c>
      <c r="AG163" s="921">
        <f t="shared" si="74"/>
        <v>0</v>
      </c>
      <c r="AH163" s="176">
        <f t="shared" si="67"/>
        <v>6</v>
      </c>
      <c r="AI163" s="225">
        <f t="shared" si="68"/>
        <v>0.18924391489707038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092">
        <v>45.548999999999999</v>
      </c>
      <c r="C164" s="955"/>
      <c r="D164" s="393">
        <f t="shared" si="50"/>
        <v>47.037351046240474</v>
      </c>
      <c r="E164" s="385">
        <f t="shared" si="72"/>
        <v>50.30302193636809</v>
      </c>
      <c r="F164" s="385">
        <f t="shared" si="51"/>
        <v>50.455268407078918</v>
      </c>
      <c r="G164" s="110">
        <f t="shared" si="73"/>
        <v>0.84583179373559192</v>
      </c>
      <c r="H164" s="414" t="b">
        <f>Wh_hp&gt;='2021'!Maxi_hp</f>
        <v>0</v>
      </c>
      <c r="I164" s="380">
        <f>IF(H164,Wh_hp,'2021'!Maxi_hp)</f>
        <v>58.524365554999449</v>
      </c>
      <c r="J164" s="85">
        <f>IF(H164,An,'2021'!An_max)</f>
        <v>2019</v>
      </c>
      <c r="K164" s="197">
        <f t="shared" si="52"/>
        <v>44711</v>
      </c>
      <c r="L164" s="147">
        <f>IF(t&lt;Tvie,1-EXP((T0-t)*PertePVj)+'2021'!Pspv,1-EXP((T0-t)*PertePVj)+Pspv)</f>
        <v>3.1641897622536996E-2</v>
      </c>
      <c r="M164" s="959"/>
      <c r="N164" s="959"/>
      <c r="O164" s="48">
        <f>IF(t&lt;Tnet,'2021'!Resal+('2021'!Salim-'2021'!Resal)*(1-EXP(('2021'!Tnet-t)/('2021'!Tau_j))),Resal+(Salim-Resal)*(1-EXP((Tnet-t)/(Tau_j))))*Salcycl</f>
        <v>6.4919974276269096E-2</v>
      </c>
      <c r="P164" s="339">
        <f>(INDEX(Models!$BJ164:$BT164,,T164)*(1-R164)+INDEX(Models!$BJ164:$BT164,,T164+1)*R164-ERP_i)*Q164*Ramure*Pc/MaxiM</f>
        <v>3.8646302321313523E-3</v>
      </c>
      <c r="Q164" s="305">
        <f t="shared" si="53"/>
        <v>0.7</v>
      </c>
      <c r="R164" s="177">
        <f t="shared" si="54"/>
        <v>0.19411264383715793</v>
      </c>
      <c r="S164" s="921">
        <f t="shared" si="55"/>
        <v>0</v>
      </c>
      <c r="T164" s="176">
        <f t="shared" si="56"/>
        <v>6</v>
      </c>
      <c r="U164" s="251">
        <f t="shared" si="57"/>
        <v>0.19411264383715793</v>
      </c>
      <c r="V164" s="383">
        <f t="shared" si="58"/>
        <v>53.805373047276156</v>
      </c>
      <c r="W164" s="402">
        <f t="shared" si="59"/>
        <v>0</v>
      </c>
      <c r="X164" s="157">
        <f t="shared" si="60"/>
        <v>44711</v>
      </c>
      <c r="Y164" s="385">
        <f t="shared" si="61"/>
        <v>42.894743847977573</v>
      </c>
      <c r="Z164" s="385">
        <f t="shared" si="62"/>
        <v>44.296364890906169</v>
      </c>
      <c r="AA164" s="386">
        <f t="shared" si="63"/>
        <v>50.30302193636809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0.1194094671501082</v>
      </c>
      <c r="AD164" s="231">
        <f>(INDEX(Models!$BJ164:$BT164,,AH164)*(1-AF164)+INDEX(Models!$BJ164:$BT164,,AH164+1)*AF164-ERP_i)*AE164*Ramure*Pc/MaxiM</f>
        <v>3.8646302321313523E-3</v>
      </c>
      <c r="AE164" s="305">
        <f t="shared" si="65"/>
        <v>0.7</v>
      </c>
      <c r="AF164" s="177">
        <f t="shared" si="66"/>
        <v>0.19411264383715793</v>
      </c>
      <c r="AG164" s="921">
        <f t="shared" si="74"/>
        <v>0</v>
      </c>
      <c r="AH164" s="176">
        <f t="shared" si="67"/>
        <v>6</v>
      </c>
      <c r="AI164" s="225">
        <f t="shared" si="68"/>
        <v>0.19411264383715793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092">
        <v>50.602000000000004</v>
      </c>
      <c r="C165" s="955"/>
      <c r="D165" s="393">
        <f t="shared" si="50"/>
        <v>52.256606531926472</v>
      </c>
      <c r="E165" s="385">
        <f t="shared" si="72"/>
        <v>55.89950098474575</v>
      </c>
      <c r="F165" s="385">
        <f t="shared" si="51"/>
        <v>56.104606499463387</v>
      </c>
      <c r="G165" s="110">
        <f t="shared" si="73"/>
        <v>0.94089934835847722</v>
      </c>
      <c r="H165" s="414" t="b">
        <f>Wh_hp&gt;='2021'!Maxi_hp</f>
        <v>0</v>
      </c>
      <c r="I165" s="380">
        <f>IF(H165,Wh_hp,'2021'!Maxi_hp)</f>
        <v>59.313017833892296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3.1663107150204595E-2</v>
      </c>
      <c r="M165" s="959"/>
      <c r="N165" s="959"/>
      <c r="O165" s="48">
        <f>IF(t&lt;Tnet,'2021'!Resal+('2021'!Salim-'2021'!Resal)*(1-EXP(('2021'!Tnet-t)/('2021'!Tau_j))),Resal+(Salim-Resal)*(1-EXP((Tnet-t)/(Tau_j))))*Salcycl</f>
        <v>6.5168639945701462E-2</v>
      </c>
      <c r="P165" s="339">
        <f>(INDEX(Models!$BJ165:$BT165,,T165)*(1-R165)+INDEX(Models!$BJ165:$BT165,,T165+1)*R165-ERP_i)*Q165*Ramure*Pc/MaxiM</f>
        <v>3.990915566216769E-3</v>
      </c>
      <c r="Q165" s="305">
        <f t="shared" si="53"/>
        <v>0.7</v>
      </c>
      <c r="R165" s="177">
        <f t="shared" si="54"/>
        <v>0.19902604038678459</v>
      </c>
      <c r="S165" s="921">
        <f t="shared" si="55"/>
        <v>0</v>
      </c>
      <c r="T165" s="176">
        <f t="shared" si="56"/>
        <v>6</v>
      </c>
      <c r="U165" s="251">
        <f t="shared" si="57"/>
        <v>0.19902604038678459</v>
      </c>
      <c r="V165" s="383">
        <f t="shared" si="58"/>
        <v>53.762369807200578</v>
      </c>
      <c r="W165" s="402">
        <f t="shared" si="59"/>
        <v>0</v>
      </c>
      <c r="X165" s="157">
        <f t="shared" si="60"/>
        <v>44712</v>
      </c>
      <c r="Y165" s="385">
        <f t="shared" si="61"/>
        <v>47.653188340879424</v>
      </c>
      <c r="Z165" s="385">
        <f t="shared" si="62"/>
        <v>49.211373327558633</v>
      </c>
      <c r="AA165" s="386">
        <f t="shared" si="63"/>
        <v>55.89950098474575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0.11964556998482369</v>
      </c>
      <c r="AD165" s="231">
        <f>(INDEX(Models!$BJ165:$BT165,,AH165)*(1-AF165)+INDEX(Models!$BJ165:$BT165,,AH165+1)*AF165-ERP_i)*AE165*Ramure*Pc/MaxiM</f>
        <v>3.990915566216769E-3</v>
      </c>
      <c r="AE165" s="305">
        <f t="shared" si="65"/>
        <v>0.7</v>
      </c>
      <c r="AF165" s="177">
        <f t="shared" si="66"/>
        <v>0.19902604038678459</v>
      </c>
      <c r="AG165" s="921">
        <f t="shared" si="74"/>
        <v>0</v>
      </c>
      <c r="AH165" s="176">
        <f t="shared" si="67"/>
        <v>6</v>
      </c>
      <c r="AI165" s="225">
        <f t="shared" si="68"/>
        <v>0.19902604038678459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092">
        <v>51.426000000000002</v>
      </c>
      <c r="C166" s="955"/>
      <c r="D166" s="393">
        <f t="shared" si="50"/>
        <v>53.108713264763807</v>
      </c>
      <c r="E166" s="385">
        <f t="shared" si="72"/>
        <v>56.82610955975187</v>
      </c>
      <c r="F166" s="385">
        <f t="shared" si="51"/>
        <v>57.046695616302593</v>
      </c>
      <c r="G166" s="110">
        <f t="shared" si="73"/>
        <v>0.95710452117631717</v>
      </c>
      <c r="H166" s="414" t="b">
        <f>Wh_hp&gt;='2021'!Maxi_hp</f>
        <v>0</v>
      </c>
      <c r="I166" s="380">
        <f>IF(H166,Wh_hp,'2021'!Maxi_hp)</f>
        <v>60.331915443766647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3.1684316213329122E-2</v>
      </c>
      <c r="M166" s="959"/>
      <c r="N166" s="959"/>
      <c r="O166" s="48">
        <f>IF(t&lt;Tnet,'2021'!Resal+('2021'!Salim-'2021'!Resal)*(1-EXP(('2021'!Tnet-t)/('2021'!Tau_j))),Resal+(Salim-Resal)*(1-EXP((Tnet-t)/(Tau_j))))*Salcycl</f>
        <v>6.5417047265558026E-2</v>
      </c>
      <c r="P166" s="339">
        <f>(INDEX(Models!$BJ166:$BT166,,T166)*(1-R166)+INDEX(Models!$BJ166:$BT166,,T166+1)*R166-ERP_i)*Q166*Ramure*Pc/MaxiM</f>
        <v>4.117672511266165E-3</v>
      </c>
      <c r="Q166" s="305">
        <f t="shared" si="53"/>
        <v>0.7</v>
      </c>
      <c r="R166" s="177">
        <f t="shared" si="54"/>
        <v>0.20398051846386694</v>
      </c>
      <c r="S166" s="921">
        <f t="shared" si="55"/>
        <v>0</v>
      </c>
      <c r="T166" s="176">
        <f t="shared" si="56"/>
        <v>6</v>
      </c>
      <c r="U166" s="251">
        <f t="shared" si="57"/>
        <v>0.20398051846386694</v>
      </c>
      <c r="V166" s="383">
        <f t="shared" si="58"/>
        <v>53.717274870811472</v>
      </c>
      <c r="W166" s="402">
        <f t="shared" si="59"/>
        <v>0</v>
      </c>
      <c r="X166" s="157">
        <f t="shared" si="60"/>
        <v>44713</v>
      </c>
      <c r="Y166" s="385">
        <f t="shared" si="61"/>
        <v>48.429082098108587</v>
      </c>
      <c r="Z166" s="385">
        <f t="shared" si="62"/>
        <v>50.013733030454532</v>
      </c>
      <c r="AA166" s="386">
        <f t="shared" si="63"/>
        <v>56.82610955975187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0.11988110011533031</v>
      </c>
      <c r="AD166" s="231">
        <f>(INDEX(Models!$BJ166:$BT166,,AH166)*(1-AF166)+INDEX(Models!$BJ166:$BT166,,AH166+1)*AF166-ERP_i)*AE166*Ramure*Pc/MaxiM</f>
        <v>4.117672511266165E-3</v>
      </c>
      <c r="AE166" s="305">
        <f t="shared" si="65"/>
        <v>0.7</v>
      </c>
      <c r="AF166" s="177">
        <f t="shared" si="66"/>
        <v>0.20398051846386694</v>
      </c>
      <c r="AG166" s="921">
        <f t="shared" si="74"/>
        <v>0</v>
      </c>
      <c r="AH166" s="176">
        <f t="shared" si="67"/>
        <v>6</v>
      </c>
      <c r="AI166" s="225">
        <f t="shared" si="68"/>
        <v>0.20398051846386694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092">
        <v>40.703000000000003</v>
      </c>
      <c r="C167" s="955"/>
      <c r="D167" s="393">
        <f t="shared" si="50"/>
        <v>42.035766022618219</v>
      </c>
      <c r="E167" s="385">
        <f t="shared" si="72"/>
        <v>44.990043419421617</v>
      </c>
      <c r="F167" s="385">
        <f t="shared" si="51"/>
        <v>45.115452235263447</v>
      </c>
      <c r="G167" s="110">
        <f t="shared" si="73"/>
        <v>0.75727965421562116</v>
      </c>
      <c r="H167" s="414" t="b">
        <f>Wh_hp&gt;='2021'!Maxi_hp</f>
        <v>0</v>
      </c>
      <c r="I167" s="380">
        <f>IF(H167,Wh_hp,'2021'!Maxi_hp)</f>
        <v>59.300139796564821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3.1705524811920793E-2</v>
      </c>
      <c r="M167" s="959"/>
      <c r="N167" s="959"/>
      <c r="O167" s="48">
        <f>IF(t&lt;Tnet,'2021'!Resal+('2021'!Salim-'2021'!Resal)*(1-EXP(('2021'!Tnet-t)/('2021'!Tau_j))),Resal+(Salim-Resal)*(1-EXP((Tnet-t)/(Tau_j))))*Salcycl</f>
        <v>6.5665137711960503E-2</v>
      </c>
      <c r="P167" s="339">
        <f>(INDEX(Models!$BJ167:$BT167,,T167)*(1-R167)+INDEX(Models!$BJ167:$BT167,,T167+1)*R167-ERP_i)*Q167*Ramure*Pc/MaxiM</f>
        <v>4.2448463571020814E-3</v>
      </c>
      <c r="Q167" s="305">
        <f t="shared" si="53"/>
        <v>0.7</v>
      </c>
      <c r="R167" s="177">
        <f t="shared" si="54"/>
        <v>0.2089723618782795</v>
      </c>
      <c r="S167" s="921">
        <f t="shared" si="55"/>
        <v>0</v>
      </c>
      <c r="T167" s="176">
        <f t="shared" si="56"/>
        <v>6</v>
      </c>
      <c r="U167" s="251">
        <f t="shared" si="57"/>
        <v>0.2089723618782795</v>
      </c>
      <c r="V167" s="383">
        <f t="shared" si="58"/>
        <v>53.670000175457943</v>
      </c>
      <c r="W167" s="402">
        <f t="shared" si="59"/>
        <v>0</v>
      </c>
      <c r="X167" s="157">
        <f t="shared" si="60"/>
        <v>44714</v>
      </c>
      <c r="Y167" s="385">
        <f t="shared" si="61"/>
        <v>38.330925838559828</v>
      </c>
      <c r="Z167" s="385">
        <f t="shared" si="62"/>
        <v>39.58602142299172</v>
      </c>
      <c r="AA167" s="386">
        <f t="shared" si="63"/>
        <v>44.990043419421617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0.12011595423571099</v>
      </c>
      <c r="AD167" s="231">
        <f>(INDEX(Models!$BJ167:$BT167,,AH167)*(1-AF167)+INDEX(Models!$BJ167:$BT167,,AH167+1)*AF167-ERP_i)*AE167*Ramure*Pc/MaxiM</f>
        <v>4.2448463571020814E-3</v>
      </c>
      <c r="AE167" s="305">
        <f t="shared" si="65"/>
        <v>0.7</v>
      </c>
      <c r="AF167" s="177">
        <f t="shared" si="66"/>
        <v>0.2089723618782795</v>
      </c>
      <c r="AG167" s="921">
        <f t="shared" si="74"/>
        <v>0</v>
      </c>
      <c r="AH167" s="176">
        <f t="shared" si="67"/>
        <v>6</v>
      </c>
      <c r="AI167" s="225">
        <f t="shared" si="68"/>
        <v>0.2089723618782795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092">
        <v>51.121000000000002</v>
      </c>
      <c r="C168" s="955"/>
      <c r="D168" s="393">
        <f t="shared" si="50"/>
        <v>52.796046053751546</v>
      </c>
      <c r="E168" s="385">
        <f t="shared" si="72"/>
        <v>56.521542144287828</v>
      </c>
      <c r="F168" s="385">
        <f t="shared" si="51"/>
        <v>56.753164190064147</v>
      </c>
      <c r="G168" s="110">
        <f t="shared" si="73"/>
        <v>0.9531073865854166</v>
      </c>
      <c r="H168" s="414" t="b">
        <f>Wh_hp&gt;='2021'!Maxi_hp</f>
        <v>1</v>
      </c>
      <c r="I168" s="380">
        <f>IF(H168,Wh_hp,'2021'!Maxi_hp)</f>
        <v>56.753164190064147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3.17267329459896E-2</v>
      </c>
      <c r="M168" s="959"/>
      <c r="N168" s="959"/>
      <c r="O168" s="48">
        <f>IF(t&lt;Tnet,'2021'!Resal+('2021'!Salim-'2021'!Resal)*(1-EXP(('2021'!Tnet-t)/('2021'!Tau_j))),Resal+(Salim-Resal)*(1-EXP((Tnet-t)/(Tau_j))))*Salcycl</f>
        <v>6.5912852855745899E-2</v>
      </c>
      <c r="P168" s="339">
        <f>(INDEX(Models!$BJ168:$BT168,,T168)*(1-R168)+INDEX(Models!$BJ168:$BT168,,T168+1)*R168-ERP_i)*Q168*Ramure*Pc/MaxiM</f>
        <v>4.3723805379571601E-3</v>
      </c>
      <c r="Q168" s="305">
        <f t="shared" si="53"/>
        <v>0.7</v>
      </c>
      <c r="R168" s="177">
        <f t="shared" si="54"/>
        <v>0.21399773466055141</v>
      </c>
      <c r="S168" s="921">
        <f t="shared" si="55"/>
        <v>0</v>
      </c>
      <c r="T168" s="176">
        <f t="shared" si="56"/>
        <v>6</v>
      </c>
      <c r="U168" s="251">
        <f t="shared" si="57"/>
        <v>0.21399773466055141</v>
      </c>
      <c r="V168" s="383">
        <f t="shared" si="58"/>
        <v>53.620457896772699</v>
      </c>
      <c r="W168" s="402">
        <f t="shared" si="59"/>
        <v>0</v>
      </c>
      <c r="X168" s="157">
        <f t="shared" si="60"/>
        <v>44715</v>
      </c>
      <c r="Y168" s="385">
        <f t="shared" si="61"/>
        <v>48.141745935623398</v>
      </c>
      <c r="Z168" s="385">
        <f t="shared" si="62"/>
        <v>49.71917285509241</v>
      </c>
      <c r="AA168" s="386">
        <f t="shared" si="63"/>
        <v>56.521542144287828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0.12035002993779563</v>
      </c>
      <c r="AD168" s="231">
        <f>(INDEX(Models!$BJ168:$BT168,,AH168)*(1-AF168)+INDEX(Models!$BJ168:$BT168,,AH168+1)*AF168-ERP_i)*AE168*Ramure*Pc/MaxiM</f>
        <v>4.3723805379571601E-3</v>
      </c>
      <c r="AE168" s="305">
        <f t="shared" si="65"/>
        <v>0.7</v>
      </c>
      <c r="AF168" s="177">
        <f t="shared" si="66"/>
        <v>0.21399773466055141</v>
      </c>
      <c r="AG168" s="921">
        <f t="shared" si="74"/>
        <v>0</v>
      </c>
      <c r="AH168" s="176">
        <f t="shared" si="67"/>
        <v>6</v>
      </c>
      <c r="AI168" s="225">
        <f t="shared" si="68"/>
        <v>0.21399773466055141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092">
        <v>21.169</v>
      </c>
      <c r="C169" s="955"/>
      <c r="D169" s="393">
        <f t="shared" si="50"/>
        <v>21.863108675914152</v>
      </c>
      <c r="E169" s="385">
        <f t="shared" si="72"/>
        <v>23.412053271259452</v>
      </c>
      <c r="F169" s="385">
        <f t="shared" si="51"/>
        <v>23.426387270280557</v>
      </c>
      <c r="G169" s="110">
        <f t="shared" si="73"/>
        <v>0.39363830407716882</v>
      </c>
      <c r="H169" s="414" t="b">
        <f>Wh_hp&gt;='2021'!Maxi_hp</f>
        <v>0</v>
      </c>
      <c r="I169" s="380">
        <f>IF(H169,Wh_hp,'2021'!Maxi_hp)</f>
        <v>57.111684044434135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3.1747940615545978E-2</v>
      </c>
      <c r="M169" s="959"/>
      <c r="N169" s="959"/>
      <c r="O169" s="48">
        <f>IF(t&lt;Tnet,'2021'!Resal+('2021'!Salim-'2021'!Resal)*(1-EXP(('2021'!Tnet-t)/('2021'!Tau_j))),Resal+(Salim-Resal)*(1-EXP((Tnet-t)/(Tau_j))))*Salcycl</f>
        <v>6.6160134585324035E-2</v>
      </c>
      <c r="P169" s="339">
        <f>(INDEX(Models!$BJ169:$BT169,,T169)*(1-R169)+INDEX(Models!$BJ169:$BT169,,T169+1)*R169-ERP_i)*Q169*Ramure*Pc/MaxiM</f>
        <v>4.5002169060455793E-3</v>
      </c>
      <c r="Q169" s="305">
        <f t="shared" si="53"/>
        <v>0.7</v>
      </c>
      <c r="R169" s="177">
        <f t="shared" si="54"/>
        <v>0.2190526921902112</v>
      </c>
      <c r="S169" s="921">
        <f t="shared" si="55"/>
        <v>0</v>
      </c>
      <c r="T169" s="176">
        <f t="shared" si="56"/>
        <v>6</v>
      </c>
      <c r="U169" s="251">
        <f t="shared" si="57"/>
        <v>0.2190526921902112</v>
      </c>
      <c r="V169" s="383">
        <f t="shared" si="58"/>
        <v>53.568560418452428</v>
      </c>
      <c r="W169" s="402">
        <f t="shared" si="59"/>
        <v>0</v>
      </c>
      <c r="X169" s="157">
        <f t="shared" si="60"/>
        <v>44716</v>
      </c>
      <c r="Y169" s="385">
        <f t="shared" si="61"/>
        <v>19.935295521315247</v>
      </c>
      <c r="Z169" s="385">
        <f t="shared" si="62"/>
        <v>20.588952358117051</v>
      </c>
      <c r="AA169" s="386">
        <f t="shared" si="63"/>
        <v>23.412053271259452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0.12058322610294195</v>
      </c>
      <c r="AD169" s="231">
        <f>(INDEX(Models!$BJ169:$BT169,,AH169)*(1-AF169)+INDEX(Models!$BJ169:$BT169,,AH169+1)*AF169-ERP_i)*AE169*Ramure*Pc/MaxiM</f>
        <v>4.5002169060455793E-3</v>
      </c>
      <c r="AE169" s="305">
        <f t="shared" si="65"/>
        <v>0.7</v>
      </c>
      <c r="AF169" s="177">
        <f t="shared" si="66"/>
        <v>0.2190526921902112</v>
      </c>
      <c r="AG169" s="921">
        <f t="shared" si="74"/>
        <v>0</v>
      </c>
      <c r="AH169" s="176">
        <f t="shared" si="67"/>
        <v>6</v>
      </c>
      <c r="AI169" s="225">
        <f t="shared" si="68"/>
        <v>0.2190526921902112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092">
        <v>29.862000000000002</v>
      </c>
      <c r="C170" s="955"/>
      <c r="D170" s="393">
        <f t="shared" si="50"/>
        <v>30.841818284124432</v>
      </c>
      <c r="E170" s="385">
        <f t="shared" ref="E170:E232" si="75">Wh_pvt/(1-Psa)</f>
        <v>33.035611682411563</v>
      </c>
      <c r="F170" s="385">
        <f t="shared" si="51"/>
        <v>33.092016890368583</v>
      </c>
      <c r="G170" s="110">
        <f t="shared" ref="G170:G232" si="76">+Wh_hp/MaxiM</f>
        <v>0.5563855782459296</v>
      </c>
      <c r="H170" s="414" t="b">
        <f>Wh_hp&gt;='2021'!Maxi_hp</f>
        <v>0</v>
      </c>
      <c r="I170" s="380">
        <f>IF(H170,Wh_hp,'2021'!Maxi_hp)</f>
        <v>42.716075181662134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3.1769147820599919E-2</v>
      </c>
      <c r="M170" s="959"/>
      <c r="N170" s="959"/>
      <c r="O170" s="48">
        <f>IF(t&lt;Tnet,'2021'!Resal+('2021'!Salim-'2021'!Resal)*(1-EXP(('2021'!Tnet-t)/('2021'!Tau_j))),Resal+(Salim-Resal)*(1-EXP((Tnet-t)/(Tau_j))))*Salcycl</f>
        <v>6.6406925331887315E-2</v>
      </c>
      <c r="P170" s="339">
        <f>(INDEX(Models!$BJ170:$BT170,,T170)*(1-R170)+INDEX(Models!$BJ170:$BT170,,T170+1)*R170-ERP_i)*Q170*Ramure*Pc/MaxiM</f>
        <v>4.6242849267746104E-3</v>
      </c>
      <c r="Q170" s="305">
        <f t="shared" si="53"/>
        <v>0.7</v>
      </c>
      <c r="R170" s="177">
        <f t="shared" si="54"/>
        <v>0.22413319306048315</v>
      </c>
      <c r="S170" s="921">
        <f t="shared" si="55"/>
        <v>0</v>
      </c>
      <c r="T170" s="176">
        <f t="shared" si="56"/>
        <v>6</v>
      </c>
      <c r="U170" s="251">
        <f t="shared" si="57"/>
        <v>0.22413319306048315</v>
      </c>
      <c r="V170" s="383">
        <f t="shared" si="58"/>
        <v>53.514435950523385</v>
      </c>
      <c r="W170" s="402">
        <f t="shared" si="59"/>
        <v>0</v>
      </c>
      <c r="X170" s="157">
        <f t="shared" si="60"/>
        <v>44717</v>
      </c>
      <c r="Y170" s="385">
        <f t="shared" si="61"/>
        <v>28.1216837878615</v>
      </c>
      <c r="Z170" s="385">
        <f t="shared" si="62"/>
        <v>29.044399612511967</v>
      </c>
      <c r="AA170" s="386">
        <f t="shared" si="63"/>
        <v>33.035611682411563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0.12081544329401807</v>
      </c>
      <c r="AD170" s="231">
        <f>(INDEX(Models!$BJ170:$BT170,,AH170)*(1-AF170)+INDEX(Models!$BJ170:$BT170,,AH170+1)*AF170-ERP_i)*AE170*Ramure*Pc/MaxiM</f>
        <v>4.6242849267746104E-3</v>
      </c>
      <c r="AE170" s="305">
        <f t="shared" si="65"/>
        <v>0.7</v>
      </c>
      <c r="AF170" s="177">
        <f t="shared" si="66"/>
        <v>0.22413319306048315</v>
      </c>
      <c r="AG170" s="921">
        <f t="shared" si="74"/>
        <v>0</v>
      </c>
      <c r="AH170" s="176">
        <f t="shared" si="67"/>
        <v>6</v>
      </c>
      <c r="AI170" s="225">
        <f t="shared" si="68"/>
        <v>0.22413319306048315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092">
        <v>44.733000000000004</v>
      </c>
      <c r="C171" s="955"/>
      <c r="D171" s="393">
        <f t="shared" si="50"/>
        <v>46.201770670984068</v>
      </c>
      <c r="E171" s="385">
        <f t="shared" si="75"/>
        <v>49.501181234644612</v>
      </c>
      <c r="F171" s="385">
        <f t="shared" si="51"/>
        <v>49.681918146665936</v>
      </c>
      <c r="G171" s="110">
        <f t="shared" si="76"/>
        <v>0.83585840546613088</v>
      </c>
      <c r="H171" s="414" t="b">
        <f>Wh_hp&gt;='2021'!Maxi_hp</f>
        <v>0</v>
      </c>
      <c r="I171" s="380">
        <f>IF(H171,Wh_hp,'2021'!Maxi_hp)</f>
        <v>56.000265625104696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3.1790354561161638E-2</v>
      </c>
      <c r="M171" s="959"/>
      <c r="N171" s="959"/>
      <c r="O171" s="48">
        <f>IF(t&lt;Tnet,'2021'!Resal+('2021'!Salim-'2021'!Resal)*(1-EXP(('2021'!Tnet-t)/('2021'!Tau_j))),Resal+(Salim-Resal)*(1-EXP((Tnet-t)/(Tau_j))))*Salcycl</f>
        <v>6.6653168295534929E-2</v>
      </c>
      <c r="P171" s="339">
        <f>(INDEX(Models!$BJ171:$BT171,,T171)*(1-R171)+INDEX(Models!$BJ171:$BT171,,T171+1)*R171-ERP_i)*Q171*Ramure*Pc/MaxiM</f>
        <v>4.7439953671832291E-3</v>
      </c>
      <c r="Q171" s="305">
        <f t="shared" si="53"/>
        <v>0.7</v>
      </c>
      <c r="R171" s="177">
        <f t="shared" si="54"/>
        <v>0.22923511160762311</v>
      </c>
      <c r="S171" s="921">
        <f t="shared" si="55"/>
        <v>0</v>
      </c>
      <c r="T171" s="176">
        <f t="shared" si="56"/>
        <v>6</v>
      </c>
      <c r="U171" s="251">
        <f t="shared" si="57"/>
        <v>0.22923511160762311</v>
      </c>
      <c r="V171" s="383">
        <f t="shared" si="58"/>
        <v>53.458024995963697</v>
      </c>
      <c r="W171" s="402">
        <f t="shared" si="59"/>
        <v>0</v>
      </c>
      <c r="X171" s="157">
        <f t="shared" si="60"/>
        <v>44718</v>
      </c>
      <c r="Y171" s="385">
        <f t="shared" si="61"/>
        <v>42.126058412432094</v>
      </c>
      <c r="Z171" s="385">
        <f t="shared" si="62"/>
        <v>43.509232335047201</v>
      </c>
      <c r="AA171" s="386">
        <f t="shared" si="63"/>
        <v>49.501181234644612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0.12104658414502231</v>
      </c>
      <c r="AD171" s="231">
        <f>(INDEX(Models!$BJ171:$BT171,,AH171)*(1-AF171)+INDEX(Models!$BJ171:$BT171,,AH171+1)*AF171-ERP_i)*AE171*Ramure*Pc/MaxiM</f>
        <v>4.7439953671832291E-3</v>
      </c>
      <c r="AE171" s="305">
        <f t="shared" si="65"/>
        <v>0.7</v>
      </c>
      <c r="AF171" s="177">
        <f t="shared" si="66"/>
        <v>0.22923511160762311</v>
      </c>
      <c r="AG171" s="921">
        <f t="shared" si="74"/>
        <v>0</v>
      </c>
      <c r="AH171" s="176">
        <f t="shared" si="67"/>
        <v>6</v>
      </c>
      <c r="AI171" s="225">
        <f t="shared" si="68"/>
        <v>0.22923511160762311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092">
        <v>26.186</v>
      </c>
      <c r="C172" s="955"/>
      <c r="D172" s="393">
        <f t="shared" si="50"/>
        <v>27.046387811286355</v>
      </c>
      <c r="E172" s="385">
        <f t="shared" si="75"/>
        <v>28.985481996624916</v>
      </c>
      <c r="F172" s="385">
        <f t="shared" si="51"/>
        <v>29.023839174997391</v>
      </c>
      <c r="G172" s="110">
        <f t="shared" si="76"/>
        <v>0.4886443901445055</v>
      </c>
      <c r="H172" s="414" t="b">
        <f>Wh_hp&gt;='2021'!Maxi_hp</f>
        <v>0</v>
      </c>
      <c r="I172" s="380">
        <f>IF(H172,Wh_hp,'2021'!Maxi_hp)</f>
        <v>55.156942491889488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3.1811560837241237E-2</v>
      </c>
      <c r="M172" s="959"/>
      <c r="N172" s="959"/>
      <c r="O172" s="48">
        <f>IF(t&lt;Tnet,'2021'!Resal+('2021'!Salim-'2021'!Resal)*(1-EXP(('2021'!Tnet-t)/('2021'!Tau_j))),Resal+(Salim-Resal)*(1-EXP((Tnet-t)/(Tau_j))))*Salcycl</f>
        <v>6.6898807670831603E-2</v>
      </c>
      <c r="P172" s="339">
        <f>(INDEX(Models!$BJ172:$BT172,,T172)*(1-R172)+INDEX(Models!$BJ172:$BT172,,T172+1)*R172-ERP_i)*Q172*Ramure*Pc/MaxiM</f>
        <v>4.8592041896773908E-3</v>
      </c>
      <c r="Q172" s="305">
        <f t="shared" si="53"/>
        <v>0.7</v>
      </c>
      <c r="R172" s="177">
        <f t="shared" si="54"/>
        <v>0.2343542510254491</v>
      </c>
      <c r="S172" s="921">
        <f t="shared" si="55"/>
        <v>0</v>
      </c>
      <c r="T172" s="176">
        <f t="shared" si="56"/>
        <v>6</v>
      </c>
      <c r="U172" s="251">
        <f t="shared" si="57"/>
        <v>0.2343542510254491</v>
      </c>
      <c r="V172" s="383">
        <f t="shared" si="58"/>
        <v>53.399244069335644</v>
      </c>
      <c r="W172" s="402">
        <f t="shared" si="59"/>
        <v>0</v>
      </c>
      <c r="X172" s="157">
        <f t="shared" si="60"/>
        <v>44719</v>
      </c>
      <c r="Y172" s="385">
        <f t="shared" si="61"/>
        <v>24.65997509463784</v>
      </c>
      <c r="Z172" s="385">
        <f t="shared" si="62"/>
        <v>25.470222631415183</v>
      </c>
      <c r="AA172" s="386">
        <f t="shared" si="63"/>
        <v>28.985481996624916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0.12127655374573557</v>
      </c>
      <c r="AD172" s="231">
        <f>(INDEX(Models!$BJ172:$BT172,,AH172)*(1-AF172)+INDEX(Models!$BJ172:$BT172,,AH172+1)*AF172-ERP_i)*AE172*Ramure*Pc/MaxiM</f>
        <v>4.8592041896773908E-3</v>
      </c>
      <c r="AE172" s="305">
        <f t="shared" si="65"/>
        <v>0.7</v>
      </c>
      <c r="AF172" s="177">
        <f t="shared" si="66"/>
        <v>0.2343542510254491</v>
      </c>
      <c r="AG172" s="921">
        <f t="shared" si="74"/>
        <v>0</v>
      </c>
      <c r="AH172" s="176">
        <f t="shared" si="67"/>
        <v>6</v>
      </c>
      <c r="AI172" s="225">
        <f t="shared" si="68"/>
        <v>0.2343542510254491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092">
        <v>19.466999999999999</v>
      </c>
      <c r="C173" s="955"/>
      <c r="D173" s="393">
        <f t="shared" si="50"/>
        <v>20.107063459086707</v>
      </c>
      <c r="E173" s="385">
        <f t="shared" si="75"/>
        <v>21.554300887096733</v>
      </c>
      <c r="F173" s="385">
        <f t="shared" si="51"/>
        <v>21.564248381368657</v>
      </c>
      <c r="G173" s="110">
        <f t="shared" si="76"/>
        <v>0.36332801326872344</v>
      </c>
      <c r="H173" s="414" t="b">
        <f>Wh_hp&gt;='2021'!Maxi_hp</f>
        <v>0</v>
      </c>
      <c r="I173" s="380">
        <f>IF(H173,Wh_hp,'2021'!Maxi_hp)</f>
        <v>61.487890344452325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3.1832766648849042E-2</v>
      </c>
      <c r="M173" s="959"/>
      <c r="N173" s="959"/>
      <c r="O173" s="48">
        <f>IF(t&lt;Tnet,'2021'!Resal+('2021'!Salim-'2021'!Resal)*(1-EXP(('2021'!Tnet-t)/('2021'!Tau_j))),Resal+(Salim-Resal)*(1-EXP((Tnet-t)/(Tau_j))))*Salcycl</f>
        <v>6.7143788870294541E-2</v>
      </c>
      <c r="P173" s="339">
        <f>(INDEX(Models!$BJ173:$BT173,,T173)*(1-R173)+INDEX(Models!$BJ173:$BT173,,T173+1)*R173-ERP_i)*Q173*Ramure*Pc/MaxiM</f>
        <v>4.969768318812416E-3</v>
      </c>
      <c r="Q173" s="305">
        <f t="shared" si="53"/>
        <v>0.7</v>
      </c>
      <c r="R173" s="177">
        <f t="shared" si="54"/>
        <v>0.23948635697871559</v>
      </c>
      <c r="S173" s="921">
        <f t="shared" si="55"/>
        <v>0</v>
      </c>
      <c r="T173" s="176">
        <f t="shared" si="56"/>
        <v>6</v>
      </c>
      <c r="U173" s="251">
        <f t="shared" si="57"/>
        <v>0.23948635697871559</v>
      </c>
      <c r="V173" s="383">
        <f t="shared" si="58"/>
        <v>53.338009595011556</v>
      </c>
      <c r="W173" s="402">
        <f t="shared" si="59"/>
        <v>0</v>
      </c>
      <c r="X173" s="157">
        <f t="shared" si="60"/>
        <v>44720</v>
      </c>
      <c r="Y173" s="385">
        <f t="shared" si="61"/>
        <v>18.332575695137219</v>
      </c>
      <c r="Z173" s="385">
        <f t="shared" si="62"/>
        <v>18.935339953286828</v>
      </c>
      <c r="AA173" s="386">
        <f t="shared" si="63"/>
        <v>21.554300887096733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0.12150526001878917</v>
      </c>
      <c r="AD173" s="231">
        <f>(INDEX(Models!$BJ173:$BT173,,AH173)*(1-AF173)+INDEX(Models!$BJ173:$BT173,,AH173+1)*AF173-ERP_i)*AE173*Ramure*Pc/MaxiM</f>
        <v>4.969768318812416E-3</v>
      </c>
      <c r="AE173" s="305">
        <f t="shared" si="65"/>
        <v>0.7</v>
      </c>
      <c r="AF173" s="177">
        <f t="shared" si="66"/>
        <v>0.23948635697871559</v>
      </c>
      <c r="AG173" s="921">
        <f t="shared" si="74"/>
        <v>0</v>
      </c>
      <c r="AH173" s="176">
        <f t="shared" si="67"/>
        <v>6</v>
      </c>
      <c r="AI173" s="225">
        <f t="shared" si="68"/>
        <v>0.23948635697871559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092">
        <v>43.246000000000002</v>
      </c>
      <c r="C174" s="955"/>
      <c r="D174" s="393">
        <f t="shared" si="50"/>
        <v>44.668881293825969</v>
      </c>
      <c r="E174" s="385">
        <f t="shared" si="75"/>
        <v>47.896535866441504</v>
      </c>
      <c r="F174" s="385">
        <f t="shared" si="51"/>
        <v>48.07492622077968</v>
      </c>
      <c r="G174" s="110">
        <f t="shared" si="76"/>
        <v>0.81064988653088177</v>
      </c>
      <c r="H174" s="414" t="b">
        <f>Wh_hp&gt;='2021'!Maxi_hp</f>
        <v>0</v>
      </c>
      <c r="I174" s="380">
        <f>IF(H174,Wh_hp,'2021'!Maxi_hp)</f>
        <v>58.767455716335284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3.1853971995995156E-2</v>
      </c>
      <c r="M174" s="959"/>
      <c r="N174" s="959"/>
      <c r="O174" s="48">
        <f>IF(t&lt;Tnet,'2021'!Resal+('2021'!Salim-'2021'!Resal)*(1-EXP(('2021'!Tnet-t)/('2021'!Tau_j))),Resal+(Salim-Resal)*(1-EXP((Tnet-t)/(Tau_j))))*Salcycl</f>
        <v>6.738805874428544E-2</v>
      </c>
      <c r="P174" s="339">
        <f>(INDEX(Models!$BJ174:$BT174,,T174)*(1-R174)+INDEX(Models!$BJ174:$BT174,,T174+1)*R174-ERP_i)*Q174*Ramure*Pc/MaxiM</f>
        <v>5.0755460995229127E-3</v>
      </c>
      <c r="Q174" s="305">
        <f t="shared" si="53"/>
        <v>0.7</v>
      </c>
      <c r="R174" s="177">
        <f t="shared" si="54"/>
        <v>0.24462713162302147</v>
      </c>
      <c r="S174" s="921">
        <f t="shared" si="55"/>
        <v>0</v>
      </c>
      <c r="T174" s="176">
        <f t="shared" si="56"/>
        <v>6</v>
      </c>
      <c r="U174" s="251">
        <f t="shared" si="57"/>
        <v>0.24462713162302147</v>
      </c>
      <c r="V174" s="383">
        <f t="shared" si="58"/>
        <v>53.274237864530939</v>
      </c>
      <c r="W174" s="402">
        <f t="shared" si="59"/>
        <v>0</v>
      </c>
      <c r="X174" s="157">
        <f t="shared" si="60"/>
        <v>44721</v>
      </c>
      <c r="Y174" s="385">
        <f t="shared" si="61"/>
        <v>40.725997267495181</v>
      </c>
      <c r="Z174" s="385">
        <f t="shared" si="62"/>
        <v>42.065965349729986</v>
      </c>
      <c r="AA174" s="386">
        <f t="shared" si="63"/>
        <v>47.896535866441504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0.12173261408653734</v>
      </c>
      <c r="AD174" s="231">
        <f>(INDEX(Models!$BJ174:$BT174,,AH174)*(1-AF174)+INDEX(Models!$BJ174:$BT174,,AH174+1)*AF174-ERP_i)*AE174*Ramure*Pc/MaxiM</f>
        <v>5.0755460995229127E-3</v>
      </c>
      <c r="AE174" s="305">
        <f t="shared" si="65"/>
        <v>0.7</v>
      </c>
      <c r="AF174" s="177">
        <f t="shared" si="66"/>
        <v>0.24462713162302147</v>
      </c>
      <c r="AG174" s="921">
        <f t="shared" si="74"/>
        <v>0</v>
      </c>
      <c r="AH174" s="176">
        <f t="shared" si="67"/>
        <v>6</v>
      </c>
      <c r="AI174" s="225">
        <f t="shared" si="68"/>
        <v>0.24462713162302147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092">
        <v>52.945</v>
      </c>
      <c r="C175" s="955"/>
      <c r="D175" s="393">
        <f t="shared" si="50"/>
        <v>54.68819591806475</v>
      </c>
      <c r="E175" s="385">
        <f t="shared" si="75"/>
        <v>58.655134506716358</v>
      </c>
      <c r="F175" s="385">
        <f t="shared" si="51"/>
        <v>58.958171691814933</v>
      </c>
      <c r="G175" s="110">
        <f t="shared" si="76"/>
        <v>0.99502349552982383</v>
      </c>
      <c r="H175" s="414" t="b">
        <f>Wh_hp&gt;='2021'!Maxi_hp</f>
        <v>1</v>
      </c>
      <c r="I175" s="380">
        <f>IF(H175,Wh_hp,'2021'!Maxi_hp)</f>
        <v>58.958171691814933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3.1875176878689682E-2</v>
      </c>
      <c r="M175" s="959"/>
      <c r="N175" s="959"/>
      <c r="O175" s="48">
        <f>IF(t&lt;Tnet,'2021'!Resal+('2021'!Salim-'2021'!Resal)*(1-EXP(('2021'!Tnet-t)/('2021'!Tau_j))),Resal+(Salim-Resal)*(1-EXP((Tnet-t)/(Tau_j))))*Salcycl</f>
        <v>6.7631565795784998E-2</v>
      </c>
      <c r="P175" s="339">
        <f>(INDEX(Models!$BJ175:$BT175,,T175)*(1-R175)+INDEX(Models!$BJ175:$BT175,,T175+1)*R175-ERP_i)*Q175*Ramure*Pc/MaxiM</f>
        <v>5.1763977405484343E-3</v>
      </c>
      <c r="Q175" s="305">
        <f t="shared" si="53"/>
        <v>0.7</v>
      </c>
      <c r="R175" s="177">
        <f t="shared" si="54"/>
        <v>0.24977224793403299</v>
      </c>
      <c r="S175" s="921">
        <f t="shared" si="55"/>
        <v>0</v>
      </c>
      <c r="T175" s="176">
        <f t="shared" si="56"/>
        <v>6</v>
      </c>
      <c r="U175" s="251">
        <f t="shared" si="57"/>
        <v>0.24977224793403299</v>
      </c>
      <c r="V175" s="383">
        <f t="shared" si="58"/>
        <v>53.207844987589382</v>
      </c>
      <c r="W175" s="402">
        <f t="shared" si="59"/>
        <v>0</v>
      </c>
      <c r="X175" s="157">
        <f t="shared" si="60"/>
        <v>44722</v>
      </c>
      <c r="Y175" s="385">
        <f t="shared" si="61"/>
        <v>49.86001658853769</v>
      </c>
      <c r="Z175" s="385">
        <f t="shared" si="62"/>
        <v>51.501640488656292</v>
      </c>
      <c r="AA175" s="386">
        <f t="shared" si="63"/>
        <v>58.655134506716358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0.12195853062515691</v>
      </c>
      <c r="AD175" s="231">
        <f>(INDEX(Models!$BJ175:$BT175,,AH175)*(1-AF175)+INDEX(Models!$BJ175:$BT175,,AH175+1)*AF175-ERP_i)*AE175*Ramure*Pc/MaxiM</f>
        <v>5.1763977405484343E-3</v>
      </c>
      <c r="AE175" s="305">
        <f t="shared" si="65"/>
        <v>0.7</v>
      </c>
      <c r="AF175" s="177">
        <f t="shared" si="66"/>
        <v>0.24977224793403299</v>
      </c>
      <c r="AG175" s="921">
        <f t="shared" si="74"/>
        <v>0</v>
      </c>
      <c r="AH175" s="176">
        <f t="shared" si="67"/>
        <v>6</v>
      </c>
      <c r="AI175" s="225">
        <f t="shared" si="68"/>
        <v>0.24977224793403299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092">
        <v>51.497</v>
      </c>
      <c r="C176" s="955"/>
      <c r="D176" s="393">
        <f t="shared" si="50"/>
        <v>53.193686094252158</v>
      </c>
      <c r="E176" s="385">
        <f t="shared" si="75"/>
        <v>57.067071355013567</v>
      </c>
      <c r="F176" s="385">
        <f t="shared" si="51"/>
        <v>57.3561169599772</v>
      </c>
      <c r="G176" s="110">
        <f t="shared" si="76"/>
        <v>0.96887787628593758</v>
      </c>
      <c r="H176" s="414" t="b">
        <f>Wh_hp&gt;='2021'!Maxi_hp</f>
        <v>1</v>
      </c>
      <c r="I176" s="380">
        <f>IF(H176,Wh_hp,'2021'!Maxi_hp)</f>
        <v>57.3561169599772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3.1896381296942944E-2</v>
      </c>
      <c r="M176" s="959"/>
      <c r="N176" s="959"/>
      <c r="O176" s="48">
        <f>IF(t&lt;Tnet,'2021'!Resal+('2021'!Salim-'2021'!Resal)*(1-EXP(('2021'!Tnet-t)/('2021'!Tau_j))),Resal+(Salim-Resal)*(1-EXP((Tnet-t)/(Tau_j))))*Salcycl</f>
        <v>6.7874260388536972E-2</v>
      </c>
      <c r="P176" s="339">
        <f>(INDEX(Models!$BJ176:$BT176,,T176)*(1-R176)+INDEX(Models!$BJ176:$BT176,,T176+1)*R176-ERP_i)*Q176*Ramure*Pc/MaxiM</f>
        <v>5.2721857371661896E-3</v>
      </c>
      <c r="Q176" s="305">
        <f t="shared" si="53"/>
        <v>0.7</v>
      </c>
      <c r="R176" s="177">
        <f t="shared" si="54"/>
        <v>0.25491736424504452</v>
      </c>
      <c r="S176" s="921">
        <f t="shared" si="55"/>
        <v>0</v>
      </c>
      <c r="T176" s="176">
        <f t="shared" si="56"/>
        <v>6</v>
      </c>
      <c r="U176" s="251">
        <f t="shared" si="57"/>
        <v>0.25491736424504452</v>
      </c>
      <c r="V176" s="383">
        <f t="shared" si="58"/>
        <v>53.138746850832334</v>
      </c>
      <c r="W176" s="402">
        <f t="shared" si="59"/>
        <v>0</v>
      </c>
      <c r="X176" s="157">
        <f t="shared" si="60"/>
        <v>44723</v>
      </c>
      <c r="Y176" s="385">
        <f t="shared" si="61"/>
        <v>48.496617811615906</v>
      </c>
      <c r="Z176" s="385">
        <f t="shared" si="62"/>
        <v>50.094449472862777</v>
      </c>
      <c r="AA176" s="386">
        <f t="shared" si="63"/>
        <v>57.067071355013567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0.12218292820345007</v>
      </c>
      <c r="AD176" s="231">
        <f>(INDEX(Models!$BJ176:$BT176,,AH176)*(1-AF176)+INDEX(Models!$BJ176:$BT176,,AH176+1)*AF176-ERP_i)*AE176*Ramure*Pc/MaxiM</f>
        <v>5.2721857371661896E-3</v>
      </c>
      <c r="AE176" s="305">
        <f t="shared" si="65"/>
        <v>0.7</v>
      </c>
      <c r="AF176" s="177">
        <f t="shared" si="66"/>
        <v>0.25491736424504452</v>
      </c>
      <c r="AG176" s="921">
        <f t="shared" si="74"/>
        <v>0</v>
      </c>
      <c r="AH176" s="176">
        <f t="shared" si="67"/>
        <v>6</v>
      </c>
      <c r="AI176" s="225">
        <f t="shared" si="68"/>
        <v>0.25491736424504452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092">
        <v>39.468000000000004</v>
      </c>
      <c r="C177" s="955"/>
      <c r="D177" s="393">
        <f t="shared" si="50"/>
        <v>40.769256210715803</v>
      </c>
      <c r="E177" s="385">
        <f t="shared" si="75"/>
        <v>43.749286783100303</v>
      </c>
      <c r="F177" s="385">
        <f t="shared" si="51"/>
        <v>43.898526416606025</v>
      </c>
      <c r="G177" s="110">
        <f t="shared" si="76"/>
        <v>0.7422843198288287</v>
      </c>
      <c r="H177" s="414" t="b">
        <f>Wh_hp&gt;='2021'!Maxi_hp</f>
        <v>0</v>
      </c>
      <c r="I177" s="380">
        <f>IF(H177,Wh_hp,'2021'!Maxi_hp)</f>
        <v>53.061432092137871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3.1917585250764935E-2</v>
      </c>
      <c r="M177" s="959"/>
      <c r="N177" s="959"/>
      <c r="O177" s="48">
        <f>IF(t&lt;Tnet,'2021'!Resal+('2021'!Salim-'2021'!Resal)*(1-EXP(('2021'!Tnet-t)/('2021'!Tau_j))),Resal+(Salim-Resal)*(1-EXP((Tnet-t)/(Tau_j))))*Salcycl</f>
        <v>6.8116094947075656E-2</v>
      </c>
      <c r="P177" s="339">
        <f>(INDEX(Models!$BJ177:$BT177,,T177)*(1-R177)+INDEX(Models!$BJ177:$BT177,,T177+1)*R177-ERP_i)*Q177*Ramure*Pc/MaxiM</f>
        <v>5.3628354893391263E-3</v>
      </c>
      <c r="Q177" s="305">
        <f t="shared" si="53"/>
        <v>0.7</v>
      </c>
      <c r="R177" s="177">
        <f t="shared" si="54"/>
        <v>0.26005813888935042</v>
      </c>
      <c r="S177" s="921">
        <f t="shared" si="55"/>
        <v>0</v>
      </c>
      <c r="T177" s="176">
        <f t="shared" si="56"/>
        <v>6</v>
      </c>
      <c r="U177" s="251">
        <f t="shared" si="57"/>
        <v>0.26005813888935042</v>
      </c>
      <c r="V177" s="383">
        <f t="shared" si="58"/>
        <v>53.066259971486069</v>
      </c>
      <c r="W177" s="402">
        <f t="shared" si="59"/>
        <v>0</v>
      </c>
      <c r="X177" s="157">
        <f t="shared" si="60"/>
        <v>44724</v>
      </c>
      <c r="Y177" s="385">
        <f t="shared" si="61"/>
        <v>37.168675707545276</v>
      </c>
      <c r="Z177" s="385">
        <f t="shared" si="62"/>
        <v>38.394123414764408</v>
      </c>
      <c r="AA177" s="386">
        <f t="shared" si="63"/>
        <v>43.749286783100303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0.12240572960390557</v>
      </c>
      <c r="AD177" s="231">
        <f>(INDEX(Models!$BJ177:$BT177,,AH177)*(1-AF177)+INDEX(Models!$BJ177:$BT177,,AH177+1)*AF177-ERP_i)*AE177*Ramure*Pc/MaxiM</f>
        <v>5.3628354893391263E-3</v>
      </c>
      <c r="AE177" s="305">
        <f t="shared" si="65"/>
        <v>0.7</v>
      </c>
      <c r="AF177" s="177">
        <f t="shared" si="66"/>
        <v>0.26005813888935042</v>
      </c>
      <c r="AG177" s="921">
        <f t="shared" si="74"/>
        <v>0</v>
      </c>
      <c r="AH177" s="176">
        <f t="shared" si="67"/>
        <v>6</v>
      </c>
      <c r="AI177" s="225">
        <f t="shared" si="68"/>
        <v>0.26005813888935042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092">
        <v>48.478999999999999</v>
      </c>
      <c r="C178" s="955"/>
      <c r="D178" s="393">
        <f t="shared" si="50"/>
        <v>50.078444871176558</v>
      </c>
      <c r="E178" s="385">
        <f t="shared" si="75"/>
        <v>53.75282824982996</v>
      </c>
      <c r="F178" s="385">
        <f t="shared" si="51"/>
        <v>54.011241011187373</v>
      </c>
      <c r="G178" s="110">
        <f t="shared" si="76"/>
        <v>0.91426006942503535</v>
      </c>
      <c r="H178" s="414" t="b">
        <f>Wh_hp&gt;='2021'!Maxi_hp</f>
        <v>0</v>
      </c>
      <c r="I178" s="380">
        <f>IF(H178,Wh_hp,'2021'!Maxi_hp)</f>
        <v>61.924411785677407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3.193878874016598E-2</v>
      </c>
      <c r="M178" s="959"/>
      <c r="N178" s="959"/>
      <c r="O178" s="48">
        <f>IF(t&lt;Tnet,'2021'!Resal+('2021'!Salim-'2021'!Resal)*(1-EXP(('2021'!Tnet-t)/('2021'!Tau_j))),Resal+(Salim-Resal)*(1-EXP((Tnet-t)/(Tau_j))))*Salcycl</f>
        <v>6.8357024147190318E-2</v>
      </c>
      <c r="P178" s="339">
        <f>(INDEX(Models!$BJ178:$BT178,,T178)*(1-R178)+INDEX(Models!$BJ178:$BT178,,T178+1)*R178-ERP_i)*Q178*Ramure*Pc/MaxiM</f>
        <v>5.4468477283630499E-3</v>
      </c>
      <c r="Q178" s="305">
        <f t="shared" si="53"/>
        <v>0.7</v>
      </c>
      <c r="R178" s="177">
        <f t="shared" si="54"/>
        <v>0.26519024484261694</v>
      </c>
      <c r="S178" s="921">
        <f t="shared" si="55"/>
        <v>0</v>
      </c>
      <c r="T178" s="176">
        <f t="shared" si="56"/>
        <v>6</v>
      </c>
      <c r="U178" s="251">
        <f t="shared" si="57"/>
        <v>0.26519024484261694</v>
      </c>
      <c r="V178" s="383">
        <f t="shared" si="58"/>
        <v>52.990099504153541</v>
      </c>
      <c r="W178" s="402">
        <f t="shared" si="59"/>
        <v>0</v>
      </c>
      <c r="X178" s="157">
        <f t="shared" si="60"/>
        <v>44725</v>
      </c>
      <c r="Y178" s="385">
        <f t="shared" si="61"/>
        <v>45.655013190188384</v>
      </c>
      <c r="Z178" s="385">
        <f t="shared" si="62"/>
        <v>47.161287591280505</v>
      </c>
      <c r="AA178" s="386">
        <f t="shared" si="63"/>
        <v>53.75282824982996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0.12262686212367459</v>
      </c>
      <c r="AD178" s="231">
        <f>(INDEX(Models!$BJ178:$BT178,,AH178)*(1-AF178)+INDEX(Models!$BJ178:$BT178,,AH178+1)*AF178-ERP_i)*AE178*Ramure*Pc/MaxiM</f>
        <v>5.4468477283630499E-3</v>
      </c>
      <c r="AE178" s="305">
        <f t="shared" si="65"/>
        <v>0.7</v>
      </c>
      <c r="AF178" s="177">
        <f t="shared" si="66"/>
        <v>0.26519024484261694</v>
      </c>
      <c r="AG178" s="921">
        <f t="shared" si="74"/>
        <v>0</v>
      </c>
      <c r="AH178" s="176">
        <f t="shared" si="67"/>
        <v>6</v>
      </c>
      <c r="AI178" s="225">
        <f t="shared" si="68"/>
        <v>0.26519024484261694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092">
        <v>46.151000000000003</v>
      </c>
      <c r="C179" s="955"/>
      <c r="D179" s="393">
        <f t="shared" si="50"/>
        <v>47.674682458789349</v>
      </c>
      <c r="E179" s="385">
        <f t="shared" si="75"/>
        <v>51.185880568994811</v>
      </c>
      <c r="F179" s="385">
        <f t="shared" si="51"/>
        <v>51.418145530825051</v>
      </c>
      <c r="G179" s="110">
        <f t="shared" si="76"/>
        <v>0.87136156765344097</v>
      </c>
      <c r="H179" s="414" t="b">
        <f>Wh_hp&gt;='2021'!Maxi_hp</f>
        <v>0</v>
      </c>
      <c r="I179" s="380">
        <f>IF(H179,Wh_hp,'2021'!Maxi_hp)</f>
        <v>57.572810186062441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3.1959991765156182E-2</v>
      </c>
      <c r="M179" s="959"/>
      <c r="N179" s="959"/>
      <c r="O179" s="48">
        <f>IF(t&lt;Tnet,'2021'!Resal+('2021'!Salim-'2021'!Resal)*(1-EXP(('2021'!Tnet-t)/('2021'!Tau_j))),Resal+(Salim-Resal)*(1-EXP((Tnet-t)/(Tau_j))))*Salcycl</f>
        <v>6.8597005095431068E-2</v>
      </c>
      <c r="P179" s="339">
        <f>(INDEX(Models!$BJ179:$BT179,,T179)*(1-R179)+INDEX(Models!$BJ179:$BT179,,T179+1)*R179-ERP_i)*Q179*Ramure*Pc/MaxiM</f>
        <v>5.525647530416968E-3</v>
      </c>
      <c r="Q179" s="305">
        <f t="shared" si="53"/>
        <v>0.7</v>
      </c>
      <c r="R179" s="177">
        <f t="shared" si="54"/>
        <v>0.27030938426044288</v>
      </c>
      <c r="S179" s="921">
        <f t="shared" si="55"/>
        <v>0</v>
      </c>
      <c r="T179" s="176">
        <f t="shared" si="56"/>
        <v>6</v>
      </c>
      <c r="U179" s="251">
        <f t="shared" si="57"/>
        <v>0.27030938426044288</v>
      </c>
      <c r="V179" s="383">
        <f t="shared" si="58"/>
        <v>52.910581191216444</v>
      </c>
      <c r="W179" s="402">
        <f t="shared" si="59"/>
        <v>0</v>
      </c>
      <c r="X179" s="157">
        <f t="shared" si="60"/>
        <v>44726</v>
      </c>
      <c r="Y179" s="385">
        <f t="shared" si="61"/>
        <v>43.462950597407996</v>
      </c>
      <c r="Z179" s="385">
        <f t="shared" si="62"/>
        <v>44.897886686170935</v>
      </c>
      <c r="AA179" s="386">
        <f t="shared" si="63"/>
        <v>51.185880568994811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0.12284625785323984</v>
      </c>
      <c r="AD179" s="231">
        <f>(INDEX(Models!$BJ179:$BT179,,AH179)*(1-AF179)+INDEX(Models!$BJ179:$BT179,,AH179+1)*AF179-ERP_i)*AE179*Ramure*Pc/MaxiM</f>
        <v>5.525647530416968E-3</v>
      </c>
      <c r="AE179" s="305">
        <f t="shared" si="65"/>
        <v>0.7</v>
      </c>
      <c r="AF179" s="177">
        <f t="shared" si="66"/>
        <v>0.27030938426044288</v>
      </c>
      <c r="AG179" s="921">
        <f t="shared" si="74"/>
        <v>0</v>
      </c>
      <c r="AH179" s="176">
        <f t="shared" si="67"/>
        <v>6</v>
      </c>
      <c r="AI179" s="225">
        <f t="shared" si="68"/>
        <v>0.27030938426044288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092">
        <v>49.54</v>
      </c>
      <c r="C180" s="955"/>
      <c r="D180" s="393">
        <f t="shared" si="50"/>
        <v>51.176691722940134</v>
      </c>
      <c r="E180" s="385">
        <f t="shared" si="75"/>
        <v>54.959912094259025</v>
      </c>
      <c r="F180" s="385">
        <f t="shared" si="51"/>
        <v>55.24171181359447</v>
      </c>
      <c r="G180" s="110">
        <f t="shared" si="76"/>
        <v>0.93728915444741001</v>
      </c>
      <c r="H180" s="414" t="b">
        <f>Wh_hp&gt;='2021'!Maxi_hp</f>
        <v>1</v>
      </c>
      <c r="I180" s="380">
        <f>IF(H180,Wh_hp,'2021'!Maxi_hp)</f>
        <v>55.24171181359447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3.1981194325745754E-2</v>
      </c>
      <c r="M180" s="959"/>
      <c r="N180" s="959"/>
      <c r="O180" s="48">
        <f>IF(t&lt;Tnet,'2021'!Resal+('2021'!Salim-'2021'!Resal)*(1-EXP(('2021'!Tnet-t)/('2021'!Tau_j))),Resal+(Salim-Resal)*(1-EXP((Tnet-t)/(Tau_j))))*Salcycl</f>
        <v>6.8835997496329321E-2</v>
      </c>
      <c r="P180" s="339">
        <f>(INDEX(Models!$BJ180:$BT180,,T180)*(1-R180)+INDEX(Models!$BJ180:$BT180,,T180+1)*R180-ERP_i)*Q180*Ramure*Pc/MaxiM</f>
        <v>5.5990619621774443E-3</v>
      </c>
      <c r="Q180" s="305">
        <f t="shared" si="53"/>
        <v>0.7</v>
      </c>
      <c r="R180" s="177">
        <f t="shared" si="54"/>
        <v>0.27541130280758291</v>
      </c>
      <c r="S180" s="921">
        <f t="shared" si="55"/>
        <v>0</v>
      </c>
      <c r="T180" s="176">
        <f t="shared" si="56"/>
        <v>6</v>
      </c>
      <c r="U180" s="251">
        <f t="shared" si="57"/>
        <v>0.27541130280758291</v>
      </c>
      <c r="V180" s="383">
        <f t="shared" si="58"/>
        <v>52.828105234876539</v>
      </c>
      <c r="W180" s="402">
        <f t="shared" si="59"/>
        <v>0</v>
      </c>
      <c r="X180" s="157">
        <f t="shared" si="60"/>
        <v>44727</v>
      </c>
      <c r="Y180" s="385">
        <f t="shared" si="61"/>
        <v>46.654957192787016</v>
      </c>
      <c r="Z180" s="385">
        <f t="shared" si="62"/>
        <v>48.196333500246858</v>
      </c>
      <c r="AA180" s="386">
        <f t="shared" si="63"/>
        <v>54.959912094259025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0.1230638539307029</v>
      </c>
      <c r="AD180" s="231">
        <f>(INDEX(Models!$BJ180:$BT180,,AH180)*(1-AF180)+INDEX(Models!$BJ180:$BT180,,AH180+1)*AF180-ERP_i)*AE180*Ramure*Pc/MaxiM</f>
        <v>5.5990619621774443E-3</v>
      </c>
      <c r="AE180" s="305">
        <f t="shared" si="65"/>
        <v>0.7</v>
      </c>
      <c r="AF180" s="177">
        <f t="shared" si="66"/>
        <v>0.27541130280758291</v>
      </c>
      <c r="AG180" s="921">
        <f t="shared" si="74"/>
        <v>0</v>
      </c>
      <c r="AH180" s="176">
        <f t="shared" si="67"/>
        <v>6</v>
      </c>
      <c r="AI180" s="225">
        <f t="shared" si="68"/>
        <v>0.27541130280758291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092">
        <v>48.07</v>
      </c>
      <c r="C181" s="955"/>
      <c r="D181" s="393">
        <f t="shared" si="50"/>
        <v>49.65921384755147</v>
      </c>
      <c r="E181" s="385">
        <f t="shared" si="75"/>
        <v>53.34388760957065</v>
      </c>
      <c r="F181" s="385">
        <f t="shared" si="51"/>
        <v>53.609234212970584</v>
      </c>
      <c r="G181" s="110">
        <f t="shared" si="76"/>
        <v>0.91074236395009966</v>
      </c>
      <c r="H181" s="414" t="b">
        <f>Wh_hp&gt;='2021'!Maxi_hp</f>
        <v>0</v>
      </c>
      <c r="I181" s="380">
        <f>IF(H181,Wh_hp,'2021'!Maxi_hp)</f>
        <v>59.636866753529013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3.2002396421944801E-2</v>
      </c>
      <c r="M181" s="959"/>
      <c r="N181" s="959"/>
      <c r="O181" s="48">
        <f>IF(t&lt;Tnet,'2021'!Resal+('2021'!Salim-'2021'!Resal)*(1-EXP(('2021'!Tnet-t)/('2021'!Tau_j))),Resal+(Salim-Resal)*(1-EXP((Tnet-t)/(Tau_j))))*Salcycl</f>
        <v>6.9073963806081912E-2</v>
      </c>
      <c r="P181" s="339">
        <f>(INDEX(Models!$BJ181:$BT181,,T181)*(1-R181)+INDEX(Models!$BJ181:$BT181,,T181+1)*R181-ERP_i)*Q181*Ramure*Pc/MaxiM</f>
        <v>5.6669189807066834E-3</v>
      </c>
      <c r="Q181" s="305">
        <f t="shared" si="53"/>
        <v>0.7</v>
      </c>
      <c r="R181" s="177">
        <f t="shared" si="54"/>
        <v>0.28049180367785481</v>
      </c>
      <c r="S181" s="921">
        <f t="shared" si="55"/>
        <v>0</v>
      </c>
      <c r="T181" s="176">
        <f t="shared" si="56"/>
        <v>6</v>
      </c>
      <c r="U181" s="251">
        <f t="shared" si="57"/>
        <v>0.28049180367785481</v>
      </c>
      <c r="V181" s="383">
        <f t="shared" si="58"/>
        <v>52.743070888520108</v>
      </c>
      <c r="W181" s="402">
        <f t="shared" si="59"/>
        <v>0</v>
      </c>
      <c r="X181" s="157">
        <f t="shared" si="60"/>
        <v>44728</v>
      </c>
      <c r="Y181" s="385">
        <f t="shared" si="61"/>
        <v>45.270997197437872</v>
      </c>
      <c r="Z181" s="385">
        <f t="shared" si="62"/>
        <v>46.767674868306024</v>
      </c>
      <c r="AA181" s="386">
        <f t="shared" si="63"/>
        <v>53.34388760957065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0.12327959276977703</v>
      </c>
      <c r="AD181" s="231">
        <f>(INDEX(Models!$BJ181:$BT181,,AH181)*(1-AF181)+INDEX(Models!$BJ181:$BT181,,AH181+1)*AF181-ERP_i)*AE181*Ramure*Pc/MaxiM</f>
        <v>5.6669189807066834E-3</v>
      </c>
      <c r="AE181" s="305">
        <f t="shared" si="65"/>
        <v>0.7</v>
      </c>
      <c r="AF181" s="177">
        <f t="shared" si="66"/>
        <v>0.28049180367785481</v>
      </c>
      <c r="AG181" s="921">
        <f t="shared" si="74"/>
        <v>0</v>
      </c>
      <c r="AH181" s="176">
        <f t="shared" si="67"/>
        <v>6</v>
      </c>
      <c r="AI181" s="225">
        <f t="shared" si="68"/>
        <v>0.28049180367785481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092">
        <v>48.692</v>
      </c>
      <c r="C182" s="955"/>
      <c r="D182" s="393">
        <f t="shared" si="50"/>
        <v>50.302879183933307</v>
      </c>
      <c r="E182" s="385">
        <f t="shared" si="75"/>
        <v>54.049067006902362</v>
      </c>
      <c r="F182" s="385">
        <f t="shared" si="51"/>
        <v>54.326836804986812</v>
      </c>
      <c r="G182" s="110">
        <f t="shared" si="76"/>
        <v>0.92414844317538136</v>
      </c>
      <c r="H182" s="414" t="b">
        <f>Wh_hp&gt;='2021'!Maxi_hp</f>
        <v>0</v>
      </c>
      <c r="I182" s="380">
        <f>IF(H182,Wh_hp,'2021'!Maxi_hp)</f>
        <v>58.647204437041879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3.2023598053763536E-2</v>
      </c>
      <c r="M182" s="959"/>
      <c r="N182" s="959"/>
      <c r="O182" s="48">
        <f>IF(t&lt;Tnet,'2021'!Resal+('2021'!Salim-'2021'!Resal)*(1-EXP(('2021'!Tnet-t)/('2021'!Tau_j))),Resal+(Salim-Resal)*(1-EXP((Tnet-t)/(Tau_j))))*Salcycl</f>
        <v>6.9310869371540629E-2</v>
      </c>
      <c r="P182" s="339">
        <f>(INDEX(Models!$BJ182:$BT182,,T182)*(1-R182)+INDEX(Models!$BJ182:$BT182,,T182+1)*R182-ERP_i)*Q182*Ramure*Pc/MaxiM</f>
        <v>5.7290481135177955E-3</v>
      </c>
      <c r="Q182" s="305">
        <f t="shared" si="53"/>
        <v>0.7</v>
      </c>
      <c r="R182" s="177">
        <f t="shared" si="54"/>
        <v>0.2855467612075146</v>
      </c>
      <c r="S182" s="921">
        <f t="shared" si="55"/>
        <v>0</v>
      </c>
      <c r="T182" s="176">
        <f t="shared" si="56"/>
        <v>6</v>
      </c>
      <c r="U182" s="251">
        <f t="shared" si="57"/>
        <v>0.2855467612075146</v>
      </c>
      <c r="V182" s="383">
        <f t="shared" si="58"/>
        <v>52.655876440588472</v>
      </c>
      <c r="W182" s="402">
        <f t="shared" si="59"/>
        <v>0</v>
      </c>
      <c r="X182" s="157">
        <f t="shared" si="60"/>
        <v>44729</v>
      </c>
      <c r="Y182" s="385">
        <f t="shared" si="61"/>
        <v>45.857265201441045</v>
      </c>
      <c r="Z182" s="385">
        <f t="shared" si="62"/>
        <v>47.374362752273022</v>
      </c>
      <c r="AA182" s="386">
        <f t="shared" si="63"/>
        <v>54.049067006902362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0.12349342225975785</v>
      </c>
      <c r="AD182" s="231">
        <f>(INDEX(Models!$BJ182:$BT182,,AH182)*(1-AF182)+INDEX(Models!$BJ182:$BT182,,AH182+1)*AF182-ERP_i)*AE182*Ramure*Pc/MaxiM</f>
        <v>5.7290481135177955E-3</v>
      </c>
      <c r="AE182" s="305">
        <f t="shared" si="65"/>
        <v>0.7</v>
      </c>
      <c r="AF182" s="177">
        <f t="shared" si="66"/>
        <v>0.2855467612075146</v>
      </c>
      <c r="AG182" s="921">
        <f t="shared" si="74"/>
        <v>0</v>
      </c>
      <c r="AH182" s="176">
        <f t="shared" si="67"/>
        <v>6</v>
      </c>
      <c r="AI182" s="225">
        <f t="shared" si="68"/>
        <v>0.2855467612075146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092">
        <v>50.326999999999998</v>
      </c>
      <c r="C183" s="955"/>
      <c r="D183" s="393">
        <f t="shared" si="50"/>
        <v>51.993108730144115</v>
      </c>
      <c r="E183" s="385">
        <f t="shared" si="75"/>
        <v>55.879330811382623</v>
      </c>
      <c r="F183" s="385">
        <f t="shared" si="51"/>
        <v>56.184588200679833</v>
      </c>
      <c r="G183" s="110">
        <f t="shared" si="76"/>
        <v>0.95705018568473721</v>
      </c>
      <c r="H183" s="414" t="b">
        <f>Wh_hp&gt;='2021'!Maxi_hp</f>
        <v>0</v>
      </c>
      <c r="I183" s="380">
        <f>IF(H183,Wh_hp,'2021'!Maxi_hp)</f>
        <v>56.677985927992459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3.2044799221212061E-2</v>
      </c>
      <c r="M183" s="959"/>
      <c r="N183" s="959"/>
      <c r="O183" s="48">
        <f>IF(t&lt;Tnet,'2021'!Resal+('2021'!Salim-'2021'!Resal)*(1-EXP(('2021'!Tnet-t)/('2021'!Tau_j))),Resal+(Salim-Resal)*(1-EXP((Tnet-t)/(Tau_j))))*Salcycl</f>
        <v>6.9546682553451103E-2</v>
      </c>
      <c r="P183" s="339">
        <f>(INDEX(Models!$BJ183:$BT183,,T183)*(1-R183)+INDEX(Models!$BJ183:$BT183,,T183+1)*R183-ERP_i)*Q183*Ramure*Pc/MaxiM</f>
        <v>5.785281124425154E-3</v>
      </c>
      <c r="Q183" s="305">
        <f t="shared" si="53"/>
        <v>0.7</v>
      </c>
      <c r="R183" s="177">
        <f t="shared" si="54"/>
        <v>0.29057213398978654</v>
      </c>
      <c r="S183" s="921">
        <f t="shared" si="55"/>
        <v>0</v>
      </c>
      <c r="T183" s="176">
        <f t="shared" si="56"/>
        <v>6</v>
      </c>
      <c r="U183" s="251">
        <f t="shared" si="57"/>
        <v>0.29057213398978654</v>
      </c>
      <c r="V183" s="383">
        <f t="shared" si="58"/>
        <v>52.566919188428045</v>
      </c>
      <c r="W183" s="402">
        <f t="shared" si="59"/>
        <v>0</v>
      </c>
      <c r="X183" s="157">
        <f t="shared" si="60"/>
        <v>44730</v>
      </c>
      <c r="Y183" s="385">
        <f t="shared" si="61"/>
        <v>47.397631610857431</v>
      </c>
      <c r="Z183" s="385">
        <f t="shared" si="62"/>
        <v>48.96676165665798</v>
      </c>
      <c r="AA183" s="386">
        <f t="shared" si="63"/>
        <v>55.879330811382623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0.12370529593594477</v>
      </c>
      <c r="AD183" s="231">
        <f>(INDEX(Models!$BJ183:$BT183,,AH183)*(1-AF183)+INDEX(Models!$BJ183:$BT183,,AH183+1)*AF183-ERP_i)*AE183*Ramure*Pc/MaxiM</f>
        <v>5.785281124425154E-3</v>
      </c>
      <c r="AE183" s="305">
        <f t="shared" si="65"/>
        <v>0.7</v>
      </c>
      <c r="AF183" s="177">
        <f t="shared" si="66"/>
        <v>0.29057213398978654</v>
      </c>
      <c r="AG183" s="921">
        <f t="shared" si="74"/>
        <v>0</v>
      </c>
      <c r="AH183" s="176">
        <f t="shared" si="67"/>
        <v>6</v>
      </c>
      <c r="AI183" s="225">
        <f t="shared" si="68"/>
        <v>0.29057213398978654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092">
        <v>51.38</v>
      </c>
      <c r="C184" s="955"/>
      <c r="D184" s="393">
        <f t="shared" si="50"/>
        <v>53.08213162879052</v>
      </c>
      <c r="E184" s="385">
        <f t="shared" si="75"/>
        <v>57.064146204620059</v>
      </c>
      <c r="F184" s="385">
        <f t="shared" si="51"/>
        <v>57.388957189665653</v>
      </c>
      <c r="G184" s="110">
        <f t="shared" si="76"/>
        <v>0.97893020775691864</v>
      </c>
      <c r="H184" s="414" t="b">
        <f>Wh_hp&gt;='2021'!Maxi_hp</f>
        <v>1</v>
      </c>
      <c r="I184" s="380">
        <f>IF(H184,Wh_hp,'2021'!Maxi_hp)</f>
        <v>57.388957189665653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3.2065999924300703E-2</v>
      </c>
      <c r="M184" s="959"/>
      <c r="N184" s="959"/>
      <c r="O184" s="48">
        <f>IF(t&lt;Tnet,'2021'!Resal+('2021'!Salim-'2021'!Resal)*(1-EXP(('2021'!Tnet-t)/('2021'!Tau_j))),Resal+(Salim-Resal)*(1-EXP((Tnet-t)/(Tau_j))))*Salcycl</f>
        <v>6.978137483299704E-2</v>
      </c>
      <c r="P184" s="339">
        <f>(INDEX(Models!$BJ184:$BT184,,T184)*(1-R184)+INDEX(Models!$BJ184:$BT184,,T184+1)*R184-ERP_i)*Q184*Ramure*Pc/MaxiM</f>
        <v>5.8339887986720417E-3</v>
      </c>
      <c r="Q184" s="305">
        <f t="shared" si="53"/>
        <v>0.7</v>
      </c>
      <c r="R184" s="177">
        <f t="shared" si="54"/>
        <v>0.29556397740419904</v>
      </c>
      <c r="S184" s="921">
        <f t="shared" si="55"/>
        <v>0</v>
      </c>
      <c r="T184" s="176">
        <f t="shared" si="56"/>
        <v>6</v>
      </c>
      <c r="U184" s="251">
        <f t="shared" si="57"/>
        <v>0.29556397740419904</v>
      </c>
      <c r="V184" s="383">
        <f t="shared" si="58"/>
        <v>52.476672697197543</v>
      </c>
      <c r="W184" s="402">
        <f t="shared" si="59"/>
        <v>0</v>
      </c>
      <c r="X184" s="157">
        <f t="shared" si="60"/>
        <v>44731</v>
      </c>
      <c r="Y184" s="385">
        <f t="shared" si="61"/>
        <v>48.389956067643936</v>
      </c>
      <c r="Z184" s="385">
        <f t="shared" si="62"/>
        <v>49.99303264877512</v>
      </c>
      <c r="AA184" s="386">
        <f t="shared" si="63"/>
        <v>57.064146204620059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0.12391517311920186</v>
      </c>
      <c r="AD184" s="231">
        <f>(INDEX(Models!$BJ184:$BT184,,AH184)*(1-AF184)+INDEX(Models!$BJ184:$BT184,,AH184+1)*AF184-ERP_i)*AE184*Ramure*Pc/MaxiM</f>
        <v>5.8339887986720417E-3</v>
      </c>
      <c r="AE184" s="305">
        <f t="shared" si="65"/>
        <v>0.7</v>
      </c>
      <c r="AF184" s="177">
        <f t="shared" si="66"/>
        <v>0.29556397740419904</v>
      </c>
      <c r="AG184" s="921">
        <f t="shared" si="74"/>
        <v>0</v>
      </c>
      <c r="AH184" s="176">
        <f t="shared" si="67"/>
        <v>6</v>
      </c>
      <c r="AI184" s="225">
        <f t="shared" si="68"/>
        <v>0.29556397740419904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092">
        <v>32.404000000000003</v>
      </c>
      <c r="C185" s="955"/>
      <c r="D185" s="393">
        <f t="shared" si="50"/>
        <v>33.478222424022363</v>
      </c>
      <c r="E185" s="385">
        <f t="shared" si="75"/>
        <v>35.998666189839305</v>
      </c>
      <c r="F185" s="385">
        <f t="shared" si="51"/>
        <v>36.095246453446798</v>
      </c>
      <c r="G185" s="110">
        <f t="shared" si="76"/>
        <v>0.6165834438255513</v>
      </c>
      <c r="H185" s="414" t="b">
        <f>Wh_hp&gt;='2021'!Maxi_hp</f>
        <v>0</v>
      </c>
      <c r="I185" s="380">
        <f>IF(H185,Wh_hp,'2021'!Maxi_hp)</f>
        <v>50.746590499850917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3.2087200163039453E-2</v>
      </c>
      <c r="M185" s="959"/>
      <c r="N185" s="959"/>
      <c r="O185" s="48">
        <f>IF(t&lt;Tnet,'2021'!Resal+('2021'!Salim-'2021'!Resal)*(1-EXP(('2021'!Tnet-t)/('2021'!Tau_j))),Resal+(Salim-Resal)*(1-EXP((Tnet-t)/(Tau_j))))*Salcycl</f>
        <v>7.0014920900829003E-2</v>
      </c>
      <c r="P185" s="339">
        <f>(INDEX(Models!$BJ185:$BT185,,T185)*(1-R185)+INDEX(Models!$BJ185:$BT185,,T185+1)*R185-ERP_i)*Q185*Ramure*Pc/MaxiM</f>
        <v>5.8793717486220667E-3</v>
      </c>
      <c r="Q185" s="305">
        <f t="shared" si="53"/>
        <v>0.7</v>
      </c>
      <c r="R185" s="177">
        <f t="shared" si="54"/>
        <v>0.30051845548128137</v>
      </c>
      <c r="S185" s="921">
        <f t="shared" si="55"/>
        <v>0</v>
      </c>
      <c r="T185" s="176">
        <f t="shared" si="56"/>
        <v>6</v>
      </c>
      <c r="U185" s="251">
        <f t="shared" si="57"/>
        <v>0.30051845548128137</v>
      </c>
      <c r="V185" s="383">
        <f t="shared" si="58"/>
        <v>52.38530197417662</v>
      </c>
      <c r="W185" s="402">
        <f t="shared" si="59"/>
        <v>0</v>
      </c>
      <c r="X185" s="157">
        <f t="shared" si="60"/>
        <v>44732</v>
      </c>
      <c r="Y185" s="385">
        <f t="shared" si="61"/>
        <v>30.518680707277749</v>
      </c>
      <c r="Z185" s="385">
        <f t="shared" si="62"/>
        <v>31.530403061534518</v>
      </c>
      <c r="AA185" s="386">
        <f t="shared" si="63"/>
        <v>35.998666189839305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0.124123019023576</v>
      </c>
      <c r="AD185" s="231">
        <f>(INDEX(Models!$BJ185:$BT185,,AH185)*(1-AF185)+INDEX(Models!$BJ185:$BT185,,AH185+1)*AF185-ERP_i)*AE185*Ramure*Pc/MaxiM</f>
        <v>5.8793717486220667E-3</v>
      </c>
      <c r="AE185" s="305">
        <f t="shared" si="65"/>
        <v>0.7</v>
      </c>
      <c r="AF185" s="177">
        <f t="shared" si="66"/>
        <v>0.30051845548128137</v>
      </c>
      <c r="AG185" s="921">
        <f t="shared" si="74"/>
        <v>0</v>
      </c>
      <c r="AH185" s="176">
        <f t="shared" si="67"/>
        <v>6</v>
      </c>
      <c r="AI185" s="225">
        <f t="shared" si="68"/>
        <v>0.30051845548128137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092">
        <v>22.907</v>
      </c>
      <c r="C186" s="955"/>
      <c r="D186" s="393">
        <f t="shared" si="50"/>
        <v>23.666906499156891</v>
      </c>
      <c r="E186" s="385">
        <f t="shared" si="75"/>
        <v>25.455055378462696</v>
      </c>
      <c r="F186" s="385">
        <f t="shared" si="51"/>
        <v>25.484815560077514</v>
      </c>
      <c r="G186" s="110">
        <f t="shared" si="76"/>
        <v>0.43596458281702349</v>
      </c>
      <c r="H186" s="414" t="b">
        <f>Wh_hp&gt;='2021'!Maxi_hp</f>
        <v>0</v>
      </c>
      <c r="I186" s="380">
        <f>IF(H186,Wh_hp,'2021'!Maxi_hp)</f>
        <v>50.271199376554243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3.2108399937438525E-2</v>
      </c>
      <c r="M186" s="959"/>
      <c r="N186" s="959"/>
      <c r="O186" s="48">
        <f>IF(t&lt;Tnet,'2021'!Resal+('2021'!Salim-'2021'!Resal)*(1-EXP(('2021'!Tnet-t)/('2021'!Tau_j))),Resal+(Salim-Resal)*(1-EXP((Tnet-t)/(Tau_j))))*Salcycl</f>
        <v>7.0247298727888208E-2</v>
      </c>
      <c r="P186" s="339">
        <f>(INDEX(Models!$BJ186:$BT186,,T186)*(1-R186)+INDEX(Models!$BJ186:$BT186,,T186+1)*R186-ERP_i)*Q186*Ramure*Pc/MaxiM</f>
        <v>5.9213112890391332E-3</v>
      </c>
      <c r="Q186" s="305">
        <f t="shared" si="53"/>
        <v>0.7</v>
      </c>
      <c r="R186" s="177">
        <f t="shared" si="54"/>
        <v>0.30543185203090806</v>
      </c>
      <c r="S186" s="921">
        <f t="shared" si="55"/>
        <v>0</v>
      </c>
      <c r="T186" s="176">
        <f t="shared" si="56"/>
        <v>6</v>
      </c>
      <c r="U186" s="251">
        <f t="shared" si="57"/>
        <v>0.30543185203090806</v>
      </c>
      <c r="V186" s="383">
        <f t="shared" si="58"/>
        <v>52.293200006386392</v>
      </c>
      <c r="W186" s="402">
        <f t="shared" si="59"/>
        <v>0</v>
      </c>
      <c r="X186" s="157">
        <f t="shared" si="60"/>
        <v>44733</v>
      </c>
      <c r="Y186" s="385">
        <f t="shared" si="61"/>
        <v>21.574554223169201</v>
      </c>
      <c r="Z186" s="385">
        <f t="shared" si="62"/>
        <v>22.290258766348103</v>
      </c>
      <c r="AA186" s="386">
        <f t="shared" si="63"/>
        <v>25.455055378462696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0.12432880483113386</v>
      </c>
      <c r="AD186" s="231">
        <f>(INDEX(Models!$BJ186:$BT186,,AH186)*(1-AF186)+INDEX(Models!$BJ186:$BT186,,AH186+1)*AF186-ERP_i)*AE186*Ramure*Pc/MaxiM</f>
        <v>5.9213112890391332E-3</v>
      </c>
      <c r="AE186" s="305">
        <f t="shared" si="65"/>
        <v>0.7</v>
      </c>
      <c r="AF186" s="177">
        <f t="shared" si="66"/>
        <v>0.30543185203090806</v>
      </c>
      <c r="AG186" s="921">
        <f t="shared" si="74"/>
        <v>0</v>
      </c>
      <c r="AH186" s="176">
        <f t="shared" si="67"/>
        <v>6</v>
      </c>
      <c r="AI186" s="225">
        <f t="shared" si="68"/>
        <v>0.30543185203090806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092">
        <v>40.445</v>
      </c>
      <c r="C187" s="955"/>
      <c r="D187" s="393">
        <f t="shared" si="50"/>
        <v>41.787619466981489</v>
      </c>
      <c r="E187" s="385">
        <f t="shared" si="75"/>
        <v>44.956054271175091</v>
      </c>
      <c r="F187" s="385">
        <f t="shared" si="51"/>
        <v>45.138519946482219</v>
      </c>
      <c r="G187" s="110">
        <f t="shared" si="76"/>
        <v>0.77330558450797759</v>
      </c>
      <c r="H187" s="414" t="b">
        <f>Wh_hp&gt;='2021'!Maxi_hp</f>
        <v>0</v>
      </c>
      <c r="I187" s="380">
        <f>IF(H187,Wh_hp,'2021'!Maxi_hp)</f>
        <v>58.651325061036623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3.2129599247508245E-2</v>
      </c>
      <c r="M187" s="959"/>
      <c r="N187" s="959"/>
      <c r="O187" s="48">
        <f>IF(t&lt;Tnet,'2021'!Resal+('2021'!Salim-'2021'!Resal)*(1-EXP(('2021'!Tnet-t)/('2021'!Tau_j))),Resal+(Salim-Resal)*(1-EXP((Tnet-t)/(Tau_j))))*Salcycl</f>
        <v>7.0478489617473855E-2</v>
      </c>
      <c r="P187" s="339">
        <f>(INDEX(Models!$BJ187:$BT187,,T187)*(1-R187)+INDEX(Models!$BJ187:$BT187,,T187+1)*R187-ERP_i)*Q187*Ramure*Pc/MaxiM</f>
        <v>5.9596916007558327E-3</v>
      </c>
      <c r="Q187" s="305">
        <f t="shared" si="53"/>
        <v>0.7</v>
      </c>
      <c r="R187" s="177">
        <f t="shared" si="54"/>
        <v>0.31030058097099567</v>
      </c>
      <c r="S187" s="921">
        <f t="shared" si="55"/>
        <v>0</v>
      </c>
      <c r="T187" s="176">
        <f t="shared" si="56"/>
        <v>6</v>
      </c>
      <c r="U187" s="251">
        <f t="shared" si="57"/>
        <v>0.31030058097099567</v>
      </c>
      <c r="V187" s="383">
        <f t="shared" si="58"/>
        <v>52.200758878556549</v>
      </c>
      <c r="W187" s="402">
        <f t="shared" si="59"/>
        <v>0</v>
      </c>
      <c r="X187" s="157">
        <f t="shared" si="60"/>
        <v>44734</v>
      </c>
      <c r="Y187" s="385">
        <f t="shared" si="61"/>
        <v>38.093021333255599</v>
      </c>
      <c r="Z187" s="385">
        <f t="shared" si="62"/>
        <v>39.357564094985605</v>
      </c>
      <c r="AA187" s="386">
        <f t="shared" si="63"/>
        <v>44.956054271175091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0.12453250773342711</v>
      </c>
      <c r="AD187" s="231">
        <f>(INDEX(Models!$BJ187:$BT187,,AH187)*(1-AF187)+INDEX(Models!$BJ187:$BT187,,AH187+1)*AF187-ERP_i)*AE187*Ramure*Pc/MaxiM</f>
        <v>5.9596916007558327E-3</v>
      </c>
      <c r="AE187" s="305">
        <f t="shared" si="65"/>
        <v>0.7</v>
      </c>
      <c r="AF187" s="177">
        <f t="shared" si="66"/>
        <v>0.31030058097099567</v>
      </c>
      <c r="AG187" s="921">
        <f t="shared" si="74"/>
        <v>0</v>
      </c>
      <c r="AH187" s="176">
        <f t="shared" si="67"/>
        <v>6</v>
      </c>
      <c r="AI187" s="225">
        <f t="shared" si="68"/>
        <v>0.31030058097099567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092">
        <v>40.088000000000001</v>
      </c>
      <c r="C188" s="955"/>
      <c r="D188" s="393">
        <f t="shared" si="50"/>
        <v>41.419675628210875</v>
      </c>
      <c r="E188" s="385">
        <f t="shared" si="75"/>
        <v>44.571240195630907</v>
      </c>
      <c r="F188" s="385">
        <f t="shared" si="51"/>
        <v>44.751092376364859</v>
      </c>
      <c r="G188" s="110">
        <f t="shared" si="76"/>
        <v>0.76779389912465734</v>
      </c>
      <c r="H188" s="414" t="b">
        <f>Wh_hp&gt;='2021'!Maxi_hp</f>
        <v>0</v>
      </c>
      <c r="I188" s="380">
        <f>IF(H188,Wh_hp,'2021'!Maxi_hp)</f>
        <v>52.717054573900171</v>
      </c>
      <c r="J188" s="85">
        <f>IF(H188,An,'2021'!An_max)</f>
        <v>2019</v>
      </c>
      <c r="K188" s="197">
        <f t="shared" si="52"/>
        <v>44735</v>
      </c>
      <c r="L188" s="147">
        <f>IF(t&lt;Tvie,1-EXP((T0-t)*PertePVj)+'2021'!Pspv,1-EXP((T0-t)*PertePVj)+Pspv)</f>
        <v>3.2150798093258603E-2</v>
      </c>
      <c r="M188" s="959"/>
      <c r="N188" s="959"/>
      <c r="O188" s="48">
        <f>IF(t&lt;Tnet,'2021'!Resal+('2021'!Salim-'2021'!Resal)*(1-EXP(('2021'!Tnet-t)/('2021'!Tau_j))),Resal+(Salim-Resal)*(1-EXP((Tnet-t)/(Tau_j))))*Salcycl</f>
        <v>7.0708478238147909E-2</v>
      </c>
      <c r="P188" s="339">
        <f>(INDEX(Models!$BJ188:$BT188,,T188)*(1-R188)+INDEX(Models!$BJ188:$BT188,,T188+1)*R188-ERP_i)*Q188*Ramure*Pc/MaxiM</f>
        <v>5.9943387914094632E-3</v>
      </c>
      <c r="Q188" s="305">
        <f t="shared" si="53"/>
        <v>0.7</v>
      </c>
      <c r="R188" s="177">
        <f t="shared" si="54"/>
        <v>0.31512119580221759</v>
      </c>
      <c r="S188" s="921">
        <f t="shared" si="55"/>
        <v>0</v>
      </c>
      <c r="T188" s="176">
        <f t="shared" si="56"/>
        <v>6</v>
      </c>
      <c r="U188" s="251">
        <f t="shared" si="57"/>
        <v>0.31512119580221759</v>
      </c>
      <c r="V188" s="383">
        <f t="shared" si="58"/>
        <v>52.108372986665508</v>
      </c>
      <c r="W188" s="402">
        <f t="shared" si="59"/>
        <v>0</v>
      </c>
      <c r="X188" s="157">
        <f t="shared" si="60"/>
        <v>44735</v>
      </c>
      <c r="Y188" s="385">
        <f t="shared" si="61"/>
        <v>37.757429330834874</v>
      </c>
      <c r="Z188" s="385">
        <f t="shared" si="62"/>
        <v>39.011686176368876</v>
      </c>
      <c r="AA188" s="386">
        <f t="shared" si="63"/>
        <v>44.571240195630907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0.12473411093925549</v>
      </c>
      <c r="AD188" s="231">
        <f>(INDEX(Models!$BJ188:$BT188,,AH188)*(1-AF188)+INDEX(Models!$BJ188:$BT188,,AH188+1)*AF188-ERP_i)*AE188*Ramure*Pc/MaxiM</f>
        <v>5.9943387914094632E-3</v>
      </c>
      <c r="AE188" s="305">
        <f t="shared" si="65"/>
        <v>0.7</v>
      </c>
      <c r="AF188" s="177">
        <f t="shared" si="66"/>
        <v>0.31512119580221759</v>
      </c>
      <c r="AG188" s="921">
        <f t="shared" si="74"/>
        <v>0</v>
      </c>
      <c r="AH188" s="176">
        <f t="shared" si="67"/>
        <v>6</v>
      </c>
      <c r="AI188" s="225">
        <f t="shared" si="68"/>
        <v>0.31512119580221759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092">
        <v>38.18</v>
      </c>
      <c r="C189" s="955"/>
      <c r="D189" s="393">
        <f t="shared" si="50"/>
        <v>39.449158177826931</v>
      </c>
      <c r="E189" s="385">
        <f t="shared" si="75"/>
        <v>42.461242031075471</v>
      </c>
      <c r="F189" s="385">
        <f t="shared" si="51"/>
        <v>42.620452340440778</v>
      </c>
      <c r="G189" s="110">
        <f t="shared" si="76"/>
        <v>0.73231194768514207</v>
      </c>
      <c r="H189" s="414" t="b">
        <f>Wh_hp&gt;='2021'!Maxi_hp</f>
        <v>0</v>
      </c>
      <c r="I189" s="380">
        <f>IF(H189,Wh_hp,'2021'!Maxi_hp)</f>
        <v>57.879746381610467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3.2171996474699927E-2</v>
      </c>
      <c r="M189" s="959"/>
      <c r="N189" s="959"/>
      <c r="O189" s="48">
        <f>IF(t&lt;Tnet,'2021'!Resal+('2021'!Salim-'2021'!Resal)*(1-EXP(('2021'!Tnet-t)/('2021'!Tau_j))),Resal+(Salim-Resal)*(1-EXP((Tnet-t)/(Tau_j))))*Salcycl</f>
        <v>7.0937252637219866E-2</v>
      </c>
      <c r="P189" s="339">
        <f>(INDEX(Models!$BJ189:$BT189,,T189)*(1-R189)+INDEX(Models!$BJ189:$BT189,,T189+1)*R189-ERP_i)*Q189*Ramure*Pc/MaxiM</f>
        <v>6.0250780098482339E-3</v>
      </c>
      <c r="Q189" s="305">
        <f t="shared" si="53"/>
        <v>0.7</v>
      </c>
      <c r="R189" s="177">
        <f t="shared" si="54"/>
        <v>0.31989039818375997</v>
      </c>
      <c r="S189" s="921">
        <f t="shared" si="55"/>
        <v>0</v>
      </c>
      <c r="T189" s="176">
        <f t="shared" si="56"/>
        <v>6</v>
      </c>
      <c r="U189" s="251">
        <f t="shared" si="57"/>
        <v>0.31989039818375997</v>
      </c>
      <c r="V189" s="383">
        <f t="shared" si="58"/>
        <v>52.016436040470765</v>
      </c>
      <c r="W189" s="402">
        <f t="shared" si="59"/>
        <v>0</v>
      </c>
      <c r="X189" s="157">
        <f t="shared" si="60"/>
        <v>44736</v>
      </c>
      <c r="Y189" s="385">
        <f t="shared" si="61"/>
        <v>35.961010284322903</v>
      </c>
      <c r="Z189" s="385">
        <f t="shared" si="62"/>
        <v>37.156406048735334</v>
      </c>
      <c r="AA189" s="386">
        <f t="shared" si="63"/>
        <v>42.461242031075471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0.12493360364865841</v>
      </c>
      <c r="AD189" s="231">
        <f>(INDEX(Models!$BJ189:$BT189,,AH189)*(1-AF189)+INDEX(Models!$BJ189:$BT189,,AH189+1)*AF189-ERP_i)*AE189*Ramure*Pc/MaxiM</f>
        <v>6.0250780098482339E-3</v>
      </c>
      <c r="AE189" s="305">
        <f t="shared" si="65"/>
        <v>0.7</v>
      </c>
      <c r="AF189" s="177">
        <f t="shared" si="66"/>
        <v>0.31989039818375997</v>
      </c>
      <c r="AG189" s="921">
        <f t="shared" si="74"/>
        <v>0</v>
      </c>
      <c r="AH189" s="176">
        <f t="shared" si="67"/>
        <v>6</v>
      </c>
      <c r="AI189" s="225">
        <f t="shared" si="68"/>
        <v>0.31989039818375997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092">
        <v>32.755000000000003</v>
      </c>
      <c r="C190" s="955"/>
      <c r="D190" s="393">
        <f t="shared" si="50"/>
        <v>33.844564648847623</v>
      </c>
      <c r="E190" s="385">
        <f t="shared" si="75"/>
        <v>36.437642332192382</v>
      </c>
      <c r="F190" s="385">
        <f t="shared" si="51"/>
        <v>36.542152500694655</v>
      </c>
      <c r="G190" s="110">
        <f t="shared" si="76"/>
        <v>0.62879037255077608</v>
      </c>
      <c r="H190" s="414" t="b">
        <f>Wh_hp&gt;='2021'!Maxi_hp</f>
        <v>0</v>
      </c>
      <c r="I190" s="380">
        <f>IF(H190,Wh_hp,'2021'!Maxi_hp)</f>
        <v>56.287194704165557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3.2193194391842206E-2</v>
      </c>
      <c r="M190" s="959"/>
      <c r="N190" s="959"/>
      <c r="O190" s="48">
        <f>IF(t&lt;Tnet,'2021'!Resal+('2021'!Salim-'2021'!Resal)*(1-EXP(('2021'!Tnet-t)/('2021'!Tau_j))),Resal+(Salim-Resal)*(1-EXP((Tnet-t)/(Tau_j))))*Salcycl</f>
        <v>7.1164804234707543E-2</v>
      </c>
      <c r="P190" s="339">
        <f>(INDEX(Models!$BJ190:$BT190,,T190)*(1-R190)+INDEX(Models!$BJ190:$BT190,,T190+1)*R190-ERP_i)*Q190*Ramure*Pc/MaxiM</f>
        <v>6.0517976262274833E-3</v>
      </c>
      <c r="Q190" s="305">
        <f t="shared" si="53"/>
        <v>0.7</v>
      </c>
      <c r="R190" s="177">
        <f t="shared" si="54"/>
        <v>0.32460504557473585</v>
      </c>
      <c r="S190" s="921">
        <f t="shared" si="55"/>
        <v>0</v>
      </c>
      <c r="T190" s="176">
        <f t="shared" si="56"/>
        <v>6</v>
      </c>
      <c r="U190" s="251">
        <f t="shared" si="57"/>
        <v>0.32460504557473585</v>
      </c>
      <c r="V190" s="383">
        <f t="shared" si="58"/>
        <v>51.925337733737621</v>
      </c>
      <c r="W190" s="402">
        <f t="shared" si="59"/>
        <v>0</v>
      </c>
      <c r="X190" s="157">
        <f t="shared" si="60"/>
        <v>44737</v>
      </c>
      <c r="Y190" s="385">
        <f t="shared" si="61"/>
        <v>30.85190445862974</v>
      </c>
      <c r="Z190" s="385">
        <f t="shared" si="62"/>
        <v>31.87816440208104</v>
      </c>
      <c r="AA190" s="386">
        <f t="shared" si="63"/>
        <v>36.437642332192382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0.12513098099333059</v>
      </c>
      <c r="AD190" s="231">
        <f>(INDEX(Models!$BJ190:$BT190,,AH190)*(1-AF190)+INDEX(Models!$BJ190:$BT190,,AH190+1)*AF190-ERP_i)*AE190*Ramure*Pc/MaxiM</f>
        <v>6.0517976262274833E-3</v>
      </c>
      <c r="AE190" s="305">
        <f t="shared" si="65"/>
        <v>0.7</v>
      </c>
      <c r="AF190" s="177">
        <f t="shared" si="66"/>
        <v>0.32460504557473585</v>
      </c>
      <c r="AG190" s="921">
        <f t="shared" si="74"/>
        <v>0</v>
      </c>
      <c r="AH190" s="176">
        <f t="shared" si="67"/>
        <v>6</v>
      </c>
      <c r="AI190" s="225">
        <f t="shared" si="68"/>
        <v>0.32460504557473585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092">
        <v>10.612</v>
      </c>
      <c r="C191" s="955"/>
      <c r="D191" s="393">
        <f t="shared" si="50"/>
        <v>10.965238489367007</v>
      </c>
      <c r="E191" s="385">
        <f t="shared" si="75"/>
        <v>11.808242218667578</v>
      </c>
      <c r="F191" s="385">
        <f t="shared" si="51"/>
        <v>11.808242218667578</v>
      </c>
      <c r="G191" s="110">
        <f t="shared" si="76"/>
        <v>0.20348489062836977</v>
      </c>
      <c r="H191" s="414" t="b">
        <f>Wh_hp&gt;='2021'!Maxi_hp</f>
        <v>0</v>
      </c>
      <c r="I191" s="380">
        <f>IF(H191,Wh_hp,'2021'!Maxi_hp)</f>
        <v>59.196700093726733</v>
      </c>
      <c r="J191" s="85">
        <f>IF(H191,An,'2021'!An_max)</f>
        <v>2021</v>
      </c>
      <c r="K191" s="197">
        <f t="shared" si="52"/>
        <v>44738</v>
      </c>
      <c r="L191" s="147">
        <f>IF(t&lt;Tvie,1-EXP((T0-t)*PertePVj)+'2021'!Pspv,1-EXP((T0-t)*PertePVj)+Pspv)</f>
        <v>3.2214391844695656E-2</v>
      </c>
      <c r="M191" s="959"/>
      <c r="N191" s="959"/>
      <c r="O191" s="48">
        <f>IF(t&lt;Tnet,'2021'!Resal+('2021'!Salim-'2021'!Resal)*(1-EXP(('2021'!Tnet-t)/('2021'!Tau_j))),Resal+(Salim-Resal)*(1-EXP((Tnet-t)/(Tau_j))))*Salcycl</f>
        <v>7.1391127797825221E-2</v>
      </c>
      <c r="P191" s="339">
        <f>(INDEX(Models!$BJ191:$BT191,,T191)*(1-R191)+INDEX(Models!$BJ191:$BT191,,T191+1)*R191-ERP_i)*Q191*Ramure*Pc/MaxiM</f>
        <v>6.0745033662563822E-3</v>
      </c>
      <c r="Q191" s="305">
        <f t="shared" si="53"/>
        <v>0.7</v>
      </c>
      <c r="R191" s="177">
        <f t="shared" si="54"/>
        <v>0.32926215791556812</v>
      </c>
      <c r="S191" s="921">
        <f t="shared" si="55"/>
        <v>0</v>
      </c>
      <c r="T191" s="176">
        <f t="shared" si="56"/>
        <v>6</v>
      </c>
      <c r="U191" s="251">
        <f t="shared" si="57"/>
        <v>0.32926215791556812</v>
      </c>
      <c r="V191" s="383">
        <f t="shared" si="58"/>
        <v>51.8344990515318</v>
      </c>
      <c r="W191" s="402">
        <f t="shared" si="59"/>
        <v>0</v>
      </c>
      <c r="X191" s="157">
        <f t="shared" si="60"/>
        <v>44738</v>
      </c>
      <c r="Y191" s="385">
        <f t="shared" si="61"/>
        <v>9.9956377513979078</v>
      </c>
      <c r="Z191" s="385">
        <f t="shared" si="62"/>
        <v>10.32835957382192</v>
      </c>
      <c r="AA191" s="386">
        <f t="shared" si="63"/>
        <v>11.808242218667578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0.12532624394392253</v>
      </c>
      <c r="AD191" s="231">
        <f>(INDEX(Models!$BJ191:$BT191,,AH191)*(1-AF191)+INDEX(Models!$BJ191:$BT191,,AH191+1)*AF191-ERP_i)*AE191*Ramure*Pc/MaxiM</f>
        <v>6.0745033662563822E-3</v>
      </c>
      <c r="AE191" s="305">
        <f t="shared" si="65"/>
        <v>0.7</v>
      </c>
      <c r="AF191" s="177">
        <f t="shared" si="66"/>
        <v>0.32926215791556812</v>
      </c>
      <c r="AG191" s="921">
        <f t="shared" si="74"/>
        <v>0</v>
      </c>
      <c r="AH191" s="176">
        <f t="shared" si="67"/>
        <v>6</v>
      </c>
      <c r="AI191" s="225">
        <f t="shared" si="68"/>
        <v>0.32926215791556812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092">
        <v>9.9489999999999998</v>
      </c>
      <c r="C192" s="955"/>
      <c r="D192" s="393">
        <f t="shared" si="50"/>
        <v>10.280394572482328</v>
      </c>
      <c r="E192" s="385">
        <f t="shared" si="75"/>
        <v>11.073431924826505</v>
      </c>
      <c r="F192" s="385">
        <f t="shared" si="51"/>
        <v>11.073431924826505</v>
      </c>
      <c r="G192" s="110">
        <f t="shared" si="76"/>
        <v>0.19110531848295254</v>
      </c>
      <c r="H192" s="414" t="b">
        <f>Wh_hp&gt;='2021'!Maxi_hp</f>
        <v>0</v>
      </c>
      <c r="I192" s="380">
        <f>IF(H192,Wh_hp,'2021'!Maxi_hp)</f>
        <v>57.199547222334189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3.2235588833270601E-2</v>
      </c>
      <c r="M192" s="959"/>
      <c r="N192" s="959"/>
      <c r="O192" s="48">
        <f>IF(t&lt;Tnet,'2021'!Resal+('2021'!Salim-'2021'!Resal)*(1-EXP(('2021'!Tnet-t)/('2021'!Tau_j))),Resal+(Salim-Resal)*(1-EXP((Tnet-t)/(Tau_j))))*Salcycl</f>
        <v>7.1616221396204854E-2</v>
      </c>
      <c r="P192" s="339">
        <f>(INDEX(Models!$BJ192:$BT192,,T192)*(1-R192)+INDEX(Models!$BJ192:$BT192,,T192+1)*R192-ERP_i)*Q192*Ramure*Pc/MaxiM</f>
        <v>6.0886934935738728E-3</v>
      </c>
      <c r="Q192" s="305">
        <f t="shared" si="53"/>
        <v>0.7</v>
      </c>
      <c r="R192" s="177">
        <f t="shared" si="54"/>
        <v>0.33385892333328526</v>
      </c>
      <c r="S192" s="921">
        <f t="shared" si="55"/>
        <v>0</v>
      </c>
      <c r="T192" s="176">
        <f t="shared" si="56"/>
        <v>6</v>
      </c>
      <c r="U192" s="251">
        <f t="shared" si="57"/>
        <v>0.33385892333328526</v>
      </c>
      <c r="V192" s="383">
        <f t="shared" si="58"/>
        <v>51.743319688481229</v>
      </c>
      <c r="W192" s="402">
        <f t="shared" si="59"/>
        <v>0</v>
      </c>
      <c r="X192" s="157">
        <f t="shared" si="60"/>
        <v>44739</v>
      </c>
      <c r="Y192" s="385">
        <f t="shared" si="61"/>
        <v>9.3713480330228176</v>
      </c>
      <c r="Z192" s="385">
        <f t="shared" si="62"/>
        <v>9.6835014027068755</v>
      </c>
      <c r="AA192" s="386">
        <f t="shared" si="63"/>
        <v>11.073431924826505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0.12551939918494659</v>
      </c>
      <c r="AD192" s="231">
        <f>(INDEX(Models!$BJ192:$BT192,,AH192)*(1-AF192)+INDEX(Models!$BJ192:$BT192,,AH192+1)*AF192-ERP_i)*AE192*Ramure*Pc/MaxiM</f>
        <v>6.0886934935738728E-3</v>
      </c>
      <c r="AE192" s="305">
        <f t="shared" si="65"/>
        <v>0.7</v>
      </c>
      <c r="AF192" s="177">
        <f t="shared" si="66"/>
        <v>0.33385892333328526</v>
      </c>
      <c r="AG192" s="921">
        <f t="shared" si="74"/>
        <v>0</v>
      </c>
      <c r="AH192" s="176">
        <f t="shared" si="67"/>
        <v>6</v>
      </c>
      <c r="AI192" s="225">
        <f t="shared" si="68"/>
        <v>0.33385892333328526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092">
        <v>51.228000000000002</v>
      </c>
      <c r="C193" s="955"/>
      <c r="D193" s="393">
        <f t="shared" si="50"/>
        <v>52.935530029966195</v>
      </c>
      <c r="E193" s="385">
        <f t="shared" si="75"/>
        <v>57.032769085150655</v>
      </c>
      <c r="F193" s="385">
        <f t="shared" si="51"/>
        <v>57.378438327002037</v>
      </c>
      <c r="G193" s="110">
        <f t="shared" si="76"/>
        <v>0.99172526372823011</v>
      </c>
      <c r="H193" s="414" t="b">
        <f>Wh_hp&gt;='2021'!Maxi_hp</f>
        <v>1</v>
      </c>
      <c r="I193" s="380">
        <f>IF(H193,Wh_hp,'2021'!Maxi_hp)</f>
        <v>57.378438327002037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3.2256785357577034E-2</v>
      </c>
      <c r="M193" s="959"/>
      <c r="N193" s="959"/>
      <c r="O193" s="48">
        <f>IF(t&lt;Tnet,'2021'!Resal+('2021'!Salim-'2021'!Resal)*(1-EXP(('2021'!Tnet-t)/('2021'!Tau_j))),Resal+(Salim-Resal)*(1-EXP((Tnet-t)/(Tau_j))))*Salcycl</f>
        <v>7.1840086338210749E-2</v>
      </c>
      <c r="P193" s="339">
        <f>(INDEX(Models!$BJ193:$BT193,,T193)*(1-R193)+INDEX(Models!$BJ193:$BT193,,T193+1)*R193-ERP_i)*Q193*Ramure*Pc/MaxiM</f>
        <v>6.0958134014999438E-3</v>
      </c>
      <c r="Q193" s="305">
        <f t="shared" si="53"/>
        <v>0.7</v>
      </c>
      <c r="R193" s="177">
        <f t="shared" si="54"/>
        <v>0.33839270286411477</v>
      </c>
      <c r="S193" s="921">
        <f t="shared" si="55"/>
        <v>0</v>
      </c>
      <c r="T193" s="176">
        <f t="shared" si="56"/>
        <v>6</v>
      </c>
      <c r="U193" s="251">
        <f t="shared" si="57"/>
        <v>0.33839270286411477</v>
      </c>
      <c r="V193" s="383">
        <f t="shared" si="58"/>
        <v>51.65172256626574</v>
      </c>
      <c r="W193" s="402">
        <f t="shared" si="59"/>
        <v>0</v>
      </c>
      <c r="X193" s="157">
        <f t="shared" si="60"/>
        <v>44740</v>
      </c>
      <c r="Y193" s="385">
        <f t="shared" si="61"/>
        <v>48.254728467842646</v>
      </c>
      <c r="Z193" s="385">
        <f t="shared" si="62"/>
        <v>49.863153507795523</v>
      </c>
      <c r="AA193" s="386">
        <f t="shared" si="63"/>
        <v>57.032769085150655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0.12571045895826657</v>
      </c>
      <c r="AD193" s="231">
        <f>(INDEX(Models!$BJ193:$BT193,,AH193)*(1-AF193)+INDEX(Models!$BJ193:$BT193,,AH193+1)*AF193-ERP_i)*AE193*Ramure*Pc/MaxiM</f>
        <v>6.0958134014999438E-3</v>
      </c>
      <c r="AE193" s="305">
        <f t="shared" si="65"/>
        <v>0.7</v>
      </c>
      <c r="AF193" s="177">
        <f t="shared" si="66"/>
        <v>0.33839270286411477</v>
      </c>
      <c r="AG193" s="921">
        <f t="shared" si="74"/>
        <v>0</v>
      </c>
      <c r="AH193" s="176">
        <f t="shared" si="67"/>
        <v>6</v>
      </c>
      <c r="AI193" s="225">
        <f t="shared" si="68"/>
        <v>0.33839270286411477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092">
        <v>52.024000000000001</v>
      </c>
      <c r="C194" s="955"/>
      <c r="D194" s="393">
        <f t="shared" si="50"/>
        <v>53.759239741398517</v>
      </c>
      <c r="E194" s="385">
        <f t="shared" si="75"/>
        <v>57.934131229306303</v>
      </c>
      <c r="F194" s="385">
        <f t="shared" si="51"/>
        <v>58.289451559149789</v>
      </c>
      <c r="G194" s="110">
        <f t="shared" si="76"/>
        <v>1.0090049067127485</v>
      </c>
      <c r="H194" s="414" t="b">
        <f>Wh_hp&gt;='2021'!Maxi_hp</f>
        <v>1</v>
      </c>
      <c r="I194" s="380">
        <f>IF(H194,Wh_hp,'2021'!Maxi_hp)</f>
        <v>58.289451559149789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3.2277981417625168E-2</v>
      </c>
      <c r="M194" s="959"/>
      <c r="N194" s="959"/>
      <c r="O194" s="48">
        <f>IF(t&lt;Tnet,'2021'!Resal+('2021'!Salim-'2021'!Resal)*(1-EXP(('2021'!Tnet-t)/('2021'!Tau_j))),Resal+(Salim-Resal)*(1-EXP((Tnet-t)/(Tau_j))))*Salcycl</f>
        <v>7.2062727088861384E-2</v>
      </c>
      <c r="P194" s="339">
        <f>(INDEX(Models!$BJ194:$BT194,,T194)*(1-R194)+INDEX(Models!$BJ194:$BT194,,T194+1)*R194-ERP_i)*Q194*Ramure*Pc/MaxiM</f>
        <v>6.095791268218128E-3</v>
      </c>
      <c r="Q194" s="305">
        <f t="shared" si="53"/>
        <v>0.7</v>
      </c>
      <c r="R194" s="177">
        <f t="shared" si="54"/>
        <v>0.34286103419588709</v>
      </c>
      <c r="S194" s="921">
        <f t="shared" si="55"/>
        <v>0</v>
      </c>
      <c r="T194" s="176">
        <f t="shared" si="56"/>
        <v>6</v>
      </c>
      <c r="U194" s="251">
        <f t="shared" si="57"/>
        <v>0.34286103419588709</v>
      </c>
      <c r="V194" s="383">
        <f t="shared" si="58"/>
        <v>51.559709624693234</v>
      </c>
      <c r="W194" s="402">
        <f t="shared" si="59"/>
        <v>0</v>
      </c>
      <c r="X194" s="157">
        <f t="shared" si="60"/>
        <v>44741</v>
      </c>
      <c r="Y194" s="385">
        <f t="shared" si="61"/>
        <v>49.005691241590007</v>
      </c>
      <c r="Z194" s="385">
        <f t="shared" si="62"/>
        <v>50.640256499876806</v>
      </c>
      <c r="AA194" s="386">
        <f t="shared" si="63"/>
        <v>57.934131229306303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0.12589944087639732</v>
      </c>
      <c r="AD194" s="231">
        <f>(INDEX(Models!$BJ194:$BT194,,AH194)*(1-AF194)+INDEX(Models!$BJ194:$BT194,,AH194+1)*AF194-ERP_i)*AE194*Ramure*Pc/MaxiM</f>
        <v>6.095791268218128E-3</v>
      </c>
      <c r="AE194" s="305">
        <f t="shared" si="65"/>
        <v>0.7</v>
      </c>
      <c r="AF194" s="177">
        <f t="shared" si="66"/>
        <v>0.34286103419588709</v>
      </c>
      <c r="AG194" s="921">
        <f t="shared" si="74"/>
        <v>0</v>
      </c>
      <c r="AH194" s="176">
        <f t="shared" si="67"/>
        <v>6</v>
      </c>
      <c r="AI194" s="225">
        <f t="shared" si="68"/>
        <v>0.34286103419588709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092">
        <v>11.846</v>
      </c>
      <c r="C195" s="955"/>
      <c r="D195" s="393">
        <f t="shared" si="50"/>
        <v>12.241386716444223</v>
      </c>
      <c r="E195" s="385">
        <f t="shared" si="75"/>
        <v>13.195189811495426</v>
      </c>
      <c r="F195" s="385">
        <f t="shared" si="51"/>
        <v>13.195189811495426</v>
      </c>
      <c r="G195" s="110">
        <f t="shared" si="76"/>
        <v>0.22876426316814713</v>
      </c>
      <c r="H195" s="414" t="b">
        <f>Wh_hp&gt;='2021'!Maxi_hp</f>
        <v>0</v>
      </c>
      <c r="I195" s="380">
        <f>IF(H195,Wh_hp,'2021'!Maxi_hp)</f>
        <v>51.899795502885659</v>
      </c>
      <c r="J195" s="85">
        <f>IF(H195,An,'2021'!An_max)</f>
        <v>2021</v>
      </c>
      <c r="K195" s="197">
        <f t="shared" si="52"/>
        <v>44742</v>
      </c>
      <c r="L195" s="147">
        <f>IF(t&lt;Tvie,1-EXP((T0-t)*PertePVj)+'2021'!Pspv,1-EXP((T0-t)*PertePVj)+Pspv)</f>
        <v>3.2299177013425218E-2</v>
      </c>
      <c r="M195" s="959"/>
      <c r="N195" s="959"/>
      <c r="O195" s="48">
        <f>IF(t&lt;Tnet,'2021'!Resal+('2021'!Salim-'2021'!Resal)*(1-EXP(('2021'!Tnet-t)/('2021'!Tau_j))),Resal+(Salim-Resal)*(1-EXP((Tnet-t)/(Tau_j))))*Salcycl</f>
        <v>7.228415117001695E-2</v>
      </c>
      <c r="P195" s="339">
        <f>(INDEX(Models!$BJ195:$BT195,,T195)*(1-R195)+INDEX(Models!$BJ195:$BT195,,T195+1)*R195-ERP_i)*Q195*Ramure*Pc/MaxiM</f>
        <v>6.0885621067062329E-3</v>
      </c>
      <c r="Q195" s="305">
        <f t="shared" si="53"/>
        <v>0.7</v>
      </c>
      <c r="R195" s="177">
        <f t="shared" si="54"/>
        <v>0.3472616344414427</v>
      </c>
      <c r="S195" s="921">
        <f t="shared" si="55"/>
        <v>0</v>
      </c>
      <c r="T195" s="176">
        <f t="shared" si="56"/>
        <v>6</v>
      </c>
      <c r="U195" s="251">
        <f t="shared" si="57"/>
        <v>0.3472616344414427</v>
      </c>
      <c r="V195" s="383">
        <f t="shared" si="58"/>
        <v>51.467282215447618</v>
      </c>
      <c r="W195" s="402">
        <f t="shared" si="59"/>
        <v>0</v>
      </c>
      <c r="X195" s="157">
        <f t="shared" si="60"/>
        <v>44742</v>
      </c>
      <c r="Y195" s="385">
        <f t="shared" si="61"/>
        <v>11.158999710092466</v>
      </c>
      <c r="Z195" s="385">
        <f t="shared" si="62"/>
        <v>11.53145625695854</v>
      </c>
      <c r="AA195" s="386">
        <f t="shared" si="63"/>
        <v>13.195189811495426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0.12608636770707679</v>
      </c>
      <c r="AD195" s="231">
        <f>(INDEX(Models!$BJ195:$BT195,,AH195)*(1-AF195)+INDEX(Models!$BJ195:$BT195,,AH195+1)*AF195-ERP_i)*AE195*Ramure*Pc/MaxiM</f>
        <v>6.0885621067062329E-3</v>
      </c>
      <c r="AE195" s="305">
        <f t="shared" si="65"/>
        <v>0.7</v>
      </c>
      <c r="AF195" s="177">
        <f t="shared" si="66"/>
        <v>0.3472616344414427</v>
      </c>
      <c r="AG195" s="921">
        <f t="shared" si="74"/>
        <v>0</v>
      </c>
      <c r="AH195" s="176">
        <f t="shared" si="67"/>
        <v>6</v>
      </c>
      <c r="AI195" s="225">
        <f t="shared" si="68"/>
        <v>0.3472616344414427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092">
        <v>44.331000000000003</v>
      </c>
      <c r="C196" s="955"/>
      <c r="D196" s="393">
        <f t="shared" si="50"/>
        <v>45.811649562433601</v>
      </c>
      <c r="E196" s="385">
        <f t="shared" si="75"/>
        <v>49.392846751413934</v>
      </c>
      <c r="F196" s="385">
        <f t="shared" si="51"/>
        <v>49.635286193558663</v>
      </c>
      <c r="G196" s="110">
        <f t="shared" si="76"/>
        <v>0.86186830999591746</v>
      </c>
      <c r="H196" s="414" t="b">
        <f>Wh_hp&gt;='2021'!Maxi_hp</f>
        <v>0</v>
      </c>
      <c r="I196" s="380">
        <f>IF(H196,Wh_hp,'2021'!Maxi_hp)</f>
        <v>55.368807466601659</v>
      </c>
      <c r="J196" s="85">
        <f>IF(H196,An,'2021'!An_max)</f>
        <v>2021</v>
      </c>
      <c r="K196" s="197">
        <f t="shared" si="52"/>
        <v>44743</v>
      </c>
      <c r="L196" s="147">
        <f>IF(t&lt;Tvie,1-EXP((T0-t)*PertePVj)+'2021'!Pspv,1-EXP((T0-t)*PertePVj)+Pspv)</f>
        <v>3.2320372144987286E-2</v>
      </c>
      <c r="M196" s="959"/>
      <c r="N196" s="959"/>
      <c r="O196" s="48">
        <f>IF(t&lt;Tnet,'2021'!Resal+('2021'!Salim-'2021'!Resal)*(1-EXP(('2021'!Tnet-t)/('2021'!Tau_j))),Resal+(Salim-Resal)*(1-EXP((Tnet-t)/(Tau_j))))*Salcycl</f>
        <v>7.250436904363726E-2</v>
      </c>
      <c r="P196" s="339">
        <f>(INDEX(Models!$BJ196:$BT196,,T196)*(1-R196)+INDEX(Models!$BJ196:$BT196,,T196+1)*R196-ERP_i)*Q196*Ramure*Pc/MaxiM</f>
        <v>6.0740675275058756E-3</v>
      </c>
      <c r="Q196" s="305">
        <f t="shared" si="53"/>
        <v>0.7</v>
      </c>
      <c r="R196" s="177">
        <f t="shared" si="54"/>
        <v>0.35159240196238556</v>
      </c>
      <c r="S196" s="921">
        <f t="shared" si="55"/>
        <v>0</v>
      </c>
      <c r="T196" s="176">
        <f t="shared" si="56"/>
        <v>6</v>
      </c>
      <c r="U196" s="251">
        <f t="shared" si="57"/>
        <v>0.35159240196238556</v>
      </c>
      <c r="V196" s="383">
        <f t="shared" si="58"/>
        <v>51.374441122864503</v>
      </c>
      <c r="W196" s="402">
        <f t="shared" si="59"/>
        <v>0</v>
      </c>
      <c r="X196" s="157">
        <f t="shared" si="60"/>
        <v>44743</v>
      </c>
      <c r="Y196" s="385">
        <f t="shared" si="61"/>
        <v>41.761133059878283</v>
      </c>
      <c r="Z196" s="385">
        <f t="shared" si="62"/>
        <v>43.15594940491539</v>
      </c>
      <c r="AA196" s="386">
        <f t="shared" si="63"/>
        <v>49.392846751413934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0.12627126713080186</v>
      </c>
      <c r="AD196" s="231">
        <f>(INDEX(Models!$BJ196:$BT196,,AH196)*(1-AF196)+INDEX(Models!$BJ196:$BT196,,AH196+1)*AF196-ERP_i)*AE196*Ramure*Pc/MaxiM</f>
        <v>6.0740675275058756E-3</v>
      </c>
      <c r="AE196" s="305">
        <f t="shared" si="65"/>
        <v>0.7</v>
      </c>
      <c r="AF196" s="177">
        <f t="shared" si="66"/>
        <v>0.35159240196238556</v>
      </c>
      <c r="AG196" s="921">
        <f t="shared" si="74"/>
        <v>0</v>
      </c>
      <c r="AH196" s="176">
        <f t="shared" si="67"/>
        <v>6</v>
      </c>
      <c r="AI196" s="225">
        <f t="shared" si="68"/>
        <v>0.35159240196238556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092">
        <v>51.015999999999998</v>
      </c>
      <c r="C197" s="955"/>
      <c r="D197" s="393">
        <f t="shared" si="50"/>
        <v>52.721082409153553</v>
      </c>
      <c r="E197" s="385">
        <f t="shared" si="75"/>
        <v>56.855831438890249</v>
      </c>
      <c r="F197" s="385">
        <f t="shared" si="51"/>
        <v>57.199459746011513</v>
      </c>
      <c r="G197" s="110">
        <f t="shared" si="76"/>
        <v>0.99478402584492609</v>
      </c>
      <c r="H197" s="414" t="b">
        <f>Wh_hp&gt;='2021'!Maxi_hp</f>
        <v>1</v>
      </c>
      <c r="I197" s="380">
        <f>IF(H197,Wh_hp,'2021'!Maxi_hp)</f>
        <v>57.199459746011513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3.2341566812321698E-2</v>
      </c>
      <c r="M197" s="959"/>
      <c r="N197" s="959"/>
      <c r="O197" s="48">
        <f>IF(t&lt;Tnet,'2021'!Resal+('2021'!Salim-'2021'!Resal)*(1-EXP(('2021'!Tnet-t)/('2021'!Tau_j))),Resal+(Salim-Resal)*(1-EXP((Tnet-t)/(Tau_j))))*Salcycl</f>
        <v>7.2723393979046938E-2</v>
      </c>
      <c r="P197" s="339">
        <f>(INDEX(Models!$BJ197:$BT197,,T197)*(1-R197)+INDEX(Models!$BJ197:$BT197,,T197+1)*R197-ERP_i)*Q197*Ramure*Pc/MaxiM</f>
        <v>6.0522554551497333E-3</v>
      </c>
      <c r="Q197" s="305">
        <f t="shared" si="53"/>
        <v>0.7</v>
      </c>
      <c r="R197" s="177">
        <f t="shared" si="54"/>
        <v>0.35585141727004621</v>
      </c>
      <c r="S197" s="921">
        <f t="shared" si="55"/>
        <v>0</v>
      </c>
      <c r="T197" s="176">
        <f t="shared" si="56"/>
        <v>6</v>
      </c>
      <c r="U197" s="251">
        <f t="shared" si="57"/>
        <v>0.35585141727004621</v>
      </c>
      <c r="V197" s="383">
        <f t="shared" si="58"/>
        <v>51.281186590505961</v>
      </c>
      <c r="W197" s="402">
        <f t="shared" si="59"/>
        <v>0</v>
      </c>
      <c r="X197" s="157">
        <f t="shared" si="60"/>
        <v>44744</v>
      </c>
      <c r="Y197" s="385">
        <f t="shared" si="61"/>
        <v>48.059892483812838</v>
      </c>
      <c r="Z197" s="385">
        <f t="shared" si="62"/>
        <v>49.666174380863971</v>
      </c>
      <c r="AA197" s="386">
        <f t="shared" si="63"/>
        <v>56.855831438890249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0.12645417147322627</v>
      </c>
      <c r="AD197" s="231">
        <f>(INDEX(Models!$BJ197:$BT197,,AH197)*(1-AF197)+INDEX(Models!$BJ197:$BT197,,AH197+1)*AF197-ERP_i)*AE197*Ramure*Pc/MaxiM</f>
        <v>6.0522554551497333E-3</v>
      </c>
      <c r="AE197" s="305">
        <f t="shared" si="65"/>
        <v>0.7</v>
      </c>
      <c r="AF197" s="177">
        <f t="shared" si="66"/>
        <v>0.35585141727004621</v>
      </c>
      <c r="AG197" s="921">
        <f t="shared" si="74"/>
        <v>0</v>
      </c>
      <c r="AH197" s="176">
        <f t="shared" si="67"/>
        <v>6</v>
      </c>
      <c r="AI197" s="225">
        <f t="shared" si="68"/>
        <v>0.35585141727004621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092">
        <v>44.119</v>
      </c>
      <c r="C198" s="955"/>
      <c r="D198" s="393">
        <f t="shared" si="50"/>
        <v>45.594566044500802</v>
      </c>
      <c r="E198" s="385">
        <f t="shared" si="75"/>
        <v>49.181959230077197</v>
      </c>
      <c r="F198" s="385">
        <f t="shared" si="51"/>
        <v>49.420830694608561</v>
      </c>
      <c r="G198" s="110">
        <f t="shared" si="76"/>
        <v>0.86087897495828736</v>
      </c>
      <c r="H198" s="414" t="b">
        <f>Wh_hp&gt;='2021'!Maxi_hp</f>
        <v>0</v>
      </c>
      <c r="I198" s="380">
        <f>IF(H198,Wh_hp,'2021'!Maxi_hp)</f>
        <v>49.441031489628365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3.2362761015438335E-2</v>
      </c>
      <c r="M198" s="959"/>
      <c r="N198" s="959"/>
      <c r="O198" s="48">
        <f>IF(t&lt;Tnet,'2021'!Resal+('2021'!Salim-'2021'!Resal)*(1-EXP(('2021'!Tnet-t)/('2021'!Tau_j))),Resal+(Salim-Resal)*(1-EXP((Tnet-t)/(Tau_j))))*Salcycl</f>
        <v>7.2941241905274248E-2</v>
      </c>
      <c r="P198" s="339">
        <f>(INDEX(Models!$BJ198:$BT198,,T198)*(1-R198)+INDEX(Models!$BJ198:$BT198,,T198+1)*R198-ERP_i)*Q198*Ramure*Pc/MaxiM</f>
        <v>6.0212581002618195E-3</v>
      </c>
      <c r="Q198" s="305">
        <f t="shared" si="53"/>
        <v>0.7</v>
      </c>
      <c r="R198" s="177">
        <f t="shared" si="54"/>
        <v>0.36003694303734268</v>
      </c>
      <c r="S198" s="921">
        <f t="shared" si="55"/>
        <v>0</v>
      </c>
      <c r="T198" s="176">
        <f t="shared" si="56"/>
        <v>6</v>
      </c>
      <c r="U198" s="251">
        <f t="shared" si="57"/>
        <v>0.36003694303734268</v>
      </c>
      <c r="V198" s="383">
        <f t="shared" si="58"/>
        <v>51.187612163275048</v>
      </c>
      <c r="W198" s="402">
        <f t="shared" si="59"/>
        <v>0</v>
      </c>
      <c r="X198" s="157">
        <f t="shared" si="60"/>
        <v>44745</v>
      </c>
      <c r="Y198" s="385">
        <f t="shared" si="61"/>
        <v>41.563692612083436</v>
      </c>
      <c r="Z198" s="385">
        <f t="shared" si="62"/>
        <v>42.953796048300461</v>
      </c>
      <c r="AA198" s="386">
        <f t="shared" si="63"/>
        <v>49.181959230077197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0.12663511741451541</v>
      </c>
      <c r="AD198" s="231">
        <f>(INDEX(Models!$BJ198:$BT198,,AH198)*(1-AF198)+INDEX(Models!$BJ198:$BT198,,AH198+1)*AF198-ERP_i)*AE198*Ramure*Pc/MaxiM</f>
        <v>6.0212581002618195E-3</v>
      </c>
      <c r="AE198" s="305">
        <f t="shared" si="65"/>
        <v>0.7</v>
      </c>
      <c r="AF198" s="177">
        <f t="shared" si="66"/>
        <v>0.36003694303734268</v>
      </c>
      <c r="AG198" s="921">
        <f t="shared" si="74"/>
        <v>0</v>
      </c>
      <c r="AH198" s="176">
        <f t="shared" si="67"/>
        <v>6</v>
      </c>
      <c r="AI198" s="225">
        <f t="shared" si="68"/>
        <v>0.36003694303734268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092">
        <v>42.070999999999998</v>
      </c>
      <c r="C199" s="955"/>
      <c r="D199" s="393">
        <f t="shared" si="50"/>
        <v>43.479022704009907</v>
      </c>
      <c r="E199" s="385">
        <f t="shared" si="75"/>
        <v>46.910929240223226</v>
      </c>
      <c r="F199" s="385">
        <f t="shared" si="51"/>
        <v>47.121722077067766</v>
      </c>
      <c r="G199" s="110">
        <f t="shared" si="76"/>
        <v>0.82216148637246489</v>
      </c>
      <c r="H199" s="414" t="b">
        <f>Wh_hp&gt;='2021'!Maxi_hp</f>
        <v>0</v>
      </c>
      <c r="I199" s="380">
        <f>IF(H199,Wh_hp,'2021'!Maxi_hp)</f>
        <v>55.745011407918014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3.2383954754347632E-2</v>
      </c>
      <c r="M199" s="959"/>
      <c r="N199" s="959"/>
      <c r="O199" s="48">
        <f>IF(t&lt;Tnet,'2021'!Resal+('2021'!Salim-'2021'!Resal)*(1-EXP(('2021'!Tnet-t)/('2021'!Tau_j))),Resal+(Salim-Resal)*(1-EXP((Tnet-t)/(Tau_j))))*Salcycl</f>
        <v>7.3157931249647326E-2</v>
      </c>
      <c r="P199" s="339">
        <f>(INDEX(Models!$BJ199:$BT199,,T199)*(1-R199)+INDEX(Models!$BJ199:$BT199,,T199+1)*R199-ERP_i)*Q199*Ramure*Pc/MaxiM</f>
        <v>5.9826126913895749E-3</v>
      </c>
      <c r="Q199" s="305">
        <f t="shared" si="53"/>
        <v>0.7</v>
      </c>
      <c r="R199" s="177">
        <f t="shared" si="54"/>
        <v>0.36414742326129979</v>
      </c>
      <c r="S199" s="921">
        <f t="shared" si="55"/>
        <v>0</v>
      </c>
      <c r="T199" s="176">
        <f t="shared" si="56"/>
        <v>6</v>
      </c>
      <c r="U199" s="251">
        <f t="shared" si="57"/>
        <v>0.36414742326129979</v>
      </c>
      <c r="V199" s="383">
        <f t="shared" si="58"/>
        <v>51.093635469236375</v>
      </c>
      <c r="W199" s="402">
        <f t="shared" si="59"/>
        <v>0</v>
      </c>
      <c r="X199" s="157">
        <f t="shared" si="60"/>
        <v>44746</v>
      </c>
      <c r="Y199" s="385">
        <f t="shared" si="61"/>
        <v>39.635449572022843</v>
      </c>
      <c r="Z199" s="385">
        <f t="shared" si="62"/>
        <v>40.961959825666639</v>
      </c>
      <c r="AA199" s="386">
        <f t="shared" si="63"/>
        <v>46.910929240223226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0.12681414567792687</v>
      </c>
      <c r="AD199" s="231">
        <f>(INDEX(Models!$BJ199:$BT199,,AH199)*(1-AF199)+INDEX(Models!$BJ199:$BT199,,AH199+1)*AF199-ERP_i)*AE199*Ramure*Pc/MaxiM</f>
        <v>5.9826126913895749E-3</v>
      </c>
      <c r="AE199" s="305">
        <f t="shared" si="65"/>
        <v>0.7</v>
      </c>
      <c r="AF199" s="177">
        <f t="shared" si="66"/>
        <v>0.36414742326129979</v>
      </c>
      <c r="AG199" s="921">
        <f t="shared" si="74"/>
        <v>0</v>
      </c>
      <c r="AH199" s="176">
        <f t="shared" si="67"/>
        <v>6</v>
      </c>
      <c r="AI199" s="225">
        <f t="shared" si="68"/>
        <v>0.36414742326129979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092">
        <v>51.225000000000001</v>
      </c>
      <c r="C200" s="955"/>
      <c r="D200" s="393">
        <f t="shared" si="50"/>
        <v>52.940546237567659</v>
      </c>
      <c r="E200" s="385">
        <f t="shared" si="75"/>
        <v>57.132561234572158</v>
      </c>
      <c r="F200" s="385">
        <f t="shared" si="51"/>
        <v>57.473741712824562</v>
      </c>
      <c r="G200" s="110">
        <f t="shared" si="76"/>
        <v>1.0044264330036194</v>
      </c>
      <c r="H200" s="414" t="b">
        <f>Wh_hp&gt;='2021'!Maxi_hp</f>
        <v>0</v>
      </c>
      <c r="I200" s="380">
        <f>IF(H200,Wh_hp,'2021'!Maxi_hp)</f>
        <v>58.767865102105034</v>
      </c>
      <c r="J200" s="85">
        <f>IF(H200,An,'2021'!An_max)</f>
        <v>2021</v>
      </c>
      <c r="K200" s="197">
        <f t="shared" si="52"/>
        <v>44747</v>
      </c>
      <c r="L200" s="147">
        <f>IF(t&lt;Tvie,1-EXP((T0-t)*PertePVj)+'2021'!Pspv,1-EXP((T0-t)*PertePVj)+Pspv)</f>
        <v>3.2405148029059694E-2</v>
      </c>
      <c r="M200" s="959"/>
      <c r="N200" s="959"/>
      <c r="O200" s="48">
        <f>IF(t&lt;Tnet,'2021'!Resal+('2021'!Salim-'2021'!Resal)*(1-EXP(('2021'!Tnet-t)/('2021'!Tau_j))),Resal+(Salim-Resal)*(1-EXP((Tnet-t)/(Tau_j))))*Salcycl</f>
        <v>7.3373482763937736E-2</v>
      </c>
      <c r="P200" s="339">
        <f>(INDEX(Models!$BJ200:$BT200,,T200)*(1-R200)+INDEX(Models!$BJ200:$BT200,,T200+1)*R200-ERP_i)*Q200*Ramure*Pc/MaxiM</f>
        <v>5.9362844332836121E-3</v>
      </c>
      <c r="Q200" s="305">
        <f t="shared" si="53"/>
        <v>0.7</v>
      </c>
      <c r="R200" s="177">
        <f t="shared" si="54"/>
        <v>0.36818148162127362</v>
      </c>
      <c r="S200" s="921">
        <f t="shared" si="55"/>
        <v>0</v>
      </c>
      <c r="T200" s="176">
        <f t="shared" si="56"/>
        <v>6</v>
      </c>
      <c r="U200" s="251">
        <f t="shared" si="57"/>
        <v>0.36818148162127362</v>
      </c>
      <c r="V200" s="383">
        <f t="shared" si="58"/>
        <v>50.999255213562677</v>
      </c>
      <c r="W200" s="402">
        <f t="shared" si="59"/>
        <v>0</v>
      </c>
      <c r="X200" s="157">
        <f t="shared" si="60"/>
        <v>44747</v>
      </c>
      <c r="Y200" s="385">
        <f t="shared" si="61"/>
        <v>48.260944177413286</v>
      </c>
      <c r="Z200" s="385">
        <f t="shared" si="62"/>
        <v>49.877222971069202</v>
      </c>
      <c r="AA200" s="386">
        <f t="shared" si="63"/>
        <v>57.132561234572158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0.12699130070003917</v>
      </c>
      <c r="AD200" s="231">
        <f>(INDEX(Models!$BJ200:$BT200,,AH200)*(1-AF200)+INDEX(Models!$BJ200:$BT200,,AH200+1)*AF200-ERP_i)*AE200*Ramure*Pc/MaxiM</f>
        <v>5.9362844332836121E-3</v>
      </c>
      <c r="AE200" s="305">
        <f t="shared" si="65"/>
        <v>0.7</v>
      </c>
      <c r="AF200" s="177">
        <f t="shared" si="66"/>
        <v>0.36818148162127362</v>
      </c>
      <c r="AG200" s="921">
        <f t="shared" si="74"/>
        <v>0</v>
      </c>
      <c r="AH200" s="176">
        <f t="shared" si="67"/>
        <v>6</v>
      </c>
      <c r="AI200" s="225">
        <f t="shared" si="68"/>
        <v>0.36818148162127362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092">
        <v>41.960999999999999</v>
      </c>
      <c r="C201" s="955"/>
      <c r="D201" s="393">
        <f t="shared" si="50"/>
        <v>43.367240935858533</v>
      </c>
      <c r="E201" s="385">
        <f t="shared" si="75"/>
        <v>46.812041683368676</v>
      </c>
      <c r="F201" s="385">
        <f t="shared" si="51"/>
        <v>47.019202357354985</v>
      </c>
      <c r="G201" s="110">
        <f t="shared" si="76"/>
        <v>0.82308638444567828</v>
      </c>
      <c r="H201" s="414" t="b">
        <f>Wh_hp&gt;='2021'!Maxi_hp</f>
        <v>0</v>
      </c>
      <c r="I201" s="380">
        <f>IF(H201,Wh_hp,'2021'!Maxi_hp)</f>
        <v>56.315415913154332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3.2426340839584511E-2</v>
      </c>
      <c r="M201" s="959"/>
      <c r="N201" s="959"/>
      <c r="O201" s="48">
        <f>IF(t&lt;Tnet,'2021'!Resal+('2021'!Salim-'2021'!Resal)*(1-EXP(('2021'!Tnet-t)/('2021'!Tau_j))),Resal+(Salim-Resal)*(1-EXP((Tnet-t)/(Tau_j))))*Salcycl</f>
        <v>7.3587919339438035E-2</v>
      </c>
      <c r="P201" s="339">
        <f>(INDEX(Models!$BJ201:$BT201,,T201)*(1-R201)+INDEX(Models!$BJ201:$BT201,,T201+1)*R201-ERP_i)*Q201*Ramure*Pc/MaxiM</f>
        <v>5.8822433678040239E-3</v>
      </c>
      <c r="Q201" s="305">
        <f t="shared" si="53"/>
        <v>0.7</v>
      </c>
      <c r="R201" s="177">
        <f t="shared" si="54"/>
        <v>0.37213791908239974</v>
      </c>
      <c r="S201" s="921">
        <f t="shared" si="55"/>
        <v>0</v>
      </c>
      <c r="T201" s="176">
        <f t="shared" si="56"/>
        <v>6</v>
      </c>
      <c r="U201" s="251">
        <f t="shared" si="57"/>
        <v>0.37213791908239974</v>
      </c>
      <c r="V201" s="383">
        <f t="shared" si="58"/>
        <v>50.9044696873014</v>
      </c>
      <c r="W201" s="402">
        <f t="shared" si="59"/>
        <v>0</v>
      </c>
      <c r="X201" s="157">
        <f t="shared" si="60"/>
        <v>44748</v>
      </c>
      <c r="Y201" s="385">
        <f t="shared" si="61"/>
        <v>39.534200590830523</v>
      </c>
      <c r="Z201" s="385">
        <f t="shared" si="62"/>
        <v>40.85911208572503</v>
      </c>
      <c r="AA201" s="386">
        <f t="shared" si="63"/>
        <v>46.812041683368676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0.12716663028518577</v>
      </c>
      <c r="AD201" s="231">
        <f>(INDEX(Models!$BJ201:$BT201,,AH201)*(1-AF201)+INDEX(Models!$BJ201:$BT201,,AH201+1)*AF201-ERP_i)*AE201*Ramure*Pc/MaxiM</f>
        <v>5.8822433678040239E-3</v>
      </c>
      <c r="AE201" s="305">
        <f t="shared" si="65"/>
        <v>0.7</v>
      </c>
      <c r="AF201" s="177">
        <f t="shared" si="66"/>
        <v>0.37213791908239974</v>
      </c>
      <c r="AG201" s="921">
        <f t="shared" si="74"/>
        <v>0</v>
      </c>
      <c r="AH201" s="176">
        <f t="shared" si="67"/>
        <v>6</v>
      </c>
      <c r="AI201" s="225">
        <f t="shared" si="68"/>
        <v>0.37213791908239974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092">
        <v>49.564</v>
      </c>
      <c r="C202" s="955"/>
      <c r="D202" s="393">
        <f t="shared" si="50"/>
        <v>51.226162611318742</v>
      </c>
      <c r="E202" s="385">
        <f t="shared" si="75"/>
        <v>55.307960074306557</v>
      </c>
      <c r="F202" s="385">
        <f t="shared" si="51"/>
        <v>55.620361518368099</v>
      </c>
      <c r="G202" s="110">
        <f t="shared" si="76"/>
        <v>0.97529123471566714</v>
      </c>
      <c r="H202" s="414" t="b">
        <f>Wh_hp&gt;='2021'!Maxi_hp</f>
        <v>0</v>
      </c>
      <c r="I202" s="380">
        <f>IF(H202,Wh_hp,'2021'!Maxi_hp)</f>
        <v>56.989181729783134</v>
      </c>
      <c r="J202" s="85">
        <f>IF(H202,An,'2021'!An_max)</f>
        <v>2018</v>
      </c>
      <c r="K202" s="197">
        <f t="shared" si="52"/>
        <v>44749</v>
      </c>
      <c r="L202" s="147">
        <f>IF(t&lt;Tvie,1-EXP((T0-t)*PertePVj)+'2021'!Pspv,1-EXP((T0-t)*PertePVj)+Pspv)</f>
        <v>3.244753318593252E-2</v>
      </c>
      <c r="M202" s="959"/>
      <c r="N202" s="959"/>
      <c r="O202" s="48">
        <f>IF(t&lt;Tnet,'2021'!Resal+('2021'!Salim-'2021'!Resal)*(1-EXP(('2021'!Tnet-t)/('2021'!Tau_j))),Resal+(Salim-Resal)*(1-EXP((Tnet-t)/(Tau_j))))*Salcycl</f>
        <v>7.3801265812441716E-2</v>
      </c>
      <c r="P202" s="339">
        <f>(INDEX(Models!$BJ202:$BT202,,T202)*(1-R202)+INDEX(Models!$BJ202:$BT202,,T202+1)*R202-ERP_i)*Q202*Ramure*Pc/MaxiM</f>
        <v>5.8204639027164013E-3</v>
      </c>
      <c r="Q202" s="305">
        <f t="shared" si="53"/>
        <v>0.7</v>
      </c>
      <c r="R202" s="177">
        <f t="shared" si="54"/>
        <v>0.37601571079743934</v>
      </c>
      <c r="S202" s="921">
        <f t="shared" si="55"/>
        <v>0</v>
      </c>
      <c r="T202" s="176">
        <f t="shared" si="56"/>
        <v>6</v>
      </c>
      <c r="U202" s="251">
        <f t="shared" si="57"/>
        <v>0.37601571079743934</v>
      </c>
      <c r="V202" s="383">
        <f t="shared" si="58"/>
        <v>50.809276804695997</v>
      </c>
      <c r="W202" s="402">
        <f t="shared" si="59"/>
        <v>0</v>
      </c>
      <c r="X202" s="157">
        <f t="shared" si="60"/>
        <v>44749</v>
      </c>
      <c r="Y202" s="385">
        <f t="shared" si="61"/>
        <v>46.698952894132219</v>
      </c>
      <c r="Z202" s="385">
        <f t="shared" si="62"/>
        <v>48.265034192824046</v>
      </c>
      <c r="AA202" s="386">
        <f t="shared" si="63"/>
        <v>55.307960074306557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0.1273401852467583</v>
      </c>
      <c r="AD202" s="231">
        <f>(INDEX(Models!$BJ202:$BT202,,AH202)*(1-AF202)+INDEX(Models!$BJ202:$BT202,,AH202+1)*AF202-ERP_i)*AE202*Ramure*Pc/MaxiM</f>
        <v>5.8204639027164013E-3</v>
      </c>
      <c r="AE202" s="305">
        <f t="shared" si="65"/>
        <v>0.7</v>
      </c>
      <c r="AF202" s="177">
        <f t="shared" si="66"/>
        <v>0.37601571079743934</v>
      </c>
      <c r="AG202" s="921">
        <f t="shared" si="74"/>
        <v>0</v>
      </c>
      <c r="AH202" s="176">
        <f t="shared" si="67"/>
        <v>6</v>
      </c>
      <c r="AI202" s="225">
        <f t="shared" si="68"/>
        <v>0.37601571079743934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092">
        <v>51.942999999999998</v>
      </c>
      <c r="C203" s="955"/>
      <c r="D203" s="393">
        <f t="shared" si="50"/>
        <v>53.686119865899691</v>
      </c>
      <c r="E203" s="385">
        <f t="shared" si="75"/>
        <v>57.977219638693789</v>
      </c>
      <c r="F203" s="385">
        <f t="shared" si="51"/>
        <v>58.312570820398371</v>
      </c>
      <c r="G203" s="110">
        <f t="shared" si="76"/>
        <v>1.0242405204973573</v>
      </c>
      <c r="H203" s="414" t="b">
        <f>Wh_hp&gt;='2021'!Maxi_hp</f>
        <v>0</v>
      </c>
      <c r="I203" s="380">
        <f>IF(H203,Wh_hp,'2021'!Maxi_hp)</f>
        <v>59.606340921073496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3.2468725068113713E-2</v>
      </c>
      <c r="M203" s="959"/>
      <c r="N203" s="959"/>
      <c r="O203" s="48">
        <f>IF(t&lt;Tnet,'2021'!Resal+('2021'!Salim-'2021'!Resal)*(1-EXP(('2021'!Tnet-t)/('2021'!Tau_j))),Resal+(Salim-Resal)*(1-EXP((Tnet-t)/(Tau_j))))*Salcycl</f>
        <v>7.4013548761662745E-2</v>
      </c>
      <c r="P203" s="339">
        <f>(INDEX(Models!$BJ203:$BT203,,T203)*(1-R203)+INDEX(Models!$BJ203:$BT203,,T203+1)*R203-ERP_i)*Q203*Ramure*Pc/MaxiM</f>
        <v>5.7509243202028566E-3</v>
      </c>
      <c r="Q203" s="305">
        <f t="shared" si="53"/>
        <v>0.7</v>
      </c>
      <c r="R203" s="177">
        <f t="shared" si="54"/>
        <v>0.37981400236304175</v>
      </c>
      <c r="S203" s="921">
        <f t="shared" si="55"/>
        <v>0</v>
      </c>
      <c r="T203" s="176">
        <f t="shared" si="56"/>
        <v>6</v>
      </c>
      <c r="U203" s="251">
        <f t="shared" si="57"/>
        <v>0.37981400236304175</v>
      </c>
      <c r="V203" s="383">
        <f t="shared" si="58"/>
        <v>50.713674142453556</v>
      </c>
      <c r="W203" s="402">
        <f t="shared" si="59"/>
        <v>0</v>
      </c>
      <c r="X203" s="157">
        <f t="shared" si="60"/>
        <v>44750</v>
      </c>
      <c r="Y203" s="385">
        <f t="shared" si="61"/>
        <v>48.942015441474062</v>
      </c>
      <c r="Z203" s="385">
        <f t="shared" si="62"/>
        <v>50.584427304346889</v>
      </c>
      <c r="AA203" s="386">
        <f t="shared" si="63"/>
        <v>57.977219638693789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0.12751201903812878</v>
      </c>
      <c r="AD203" s="231">
        <f>(INDEX(Models!$BJ203:$BT203,,AH203)*(1-AF203)+INDEX(Models!$BJ203:$BT203,,AH203+1)*AF203-ERP_i)*AE203*Ramure*Pc/MaxiM</f>
        <v>5.7509243202028566E-3</v>
      </c>
      <c r="AE203" s="305">
        <f t="shared" si="65"/>
        <v>0.7</v>
      </c>
      <c r="AF203" s="177">
        <f t="shared" si="66"/>
        <v>0.37981400236304175</v>
      </c>
      <c r="AG203" s="921">
        <f t="shared" si="74"/>
        <v>0</v>
      </c>
      <c r="AH203" s="176">
        <f t="shared" si="67"/>
        <v>6</v>
      </c>
      <c r="AI203" s="225">
        <f t="shared" si="68"/>
        <v>0.37981400236304175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092">
        <v>51.350999999999999</v>
      </c>
      <c r="C204" s="955"/>
      <c r="D204" s="393">
        <f t="shared" si="50"/>
        <v>53.075415827709335</v>
      </c>
      <c r="E204" s="385">
        <f t="shared" si="75"/>
        <v>57.330781398701191</v>
      </c>
      <c r="F204" s="385">
        <f t="shared" si="51"/>
        <v>57.657909676559214</v>
      </c>
      <c r="G204" s="110">
        <f t="shared" si="76"/>
        <v>1.0144878493958984</v>
      </c>
      <c r="H204" s="414" t="b">
        <f>Wh_hp&gt;='2021'!Maxi_hp</f>
        <v>1</v>
      </c>
      <c r="I204" s="380">
        <f>IF(H204,Wh_hp,'2021'!Maxi_hp)</f>
        <v>57.657909676559214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3.2489916486138193E-2</v>
      </c>
      <c r="M204" s="959"/>
      <c r="N204" s="959"/>
      <c r="O204" s="48">
        <f>IF(t&lt;Tnet,'2021'!Resal+('2021'!Salim-'2021'!Resal)*(1-EXP(('2021'!Tnet-t)/('2021'!Tau_j))),Resal+(Salim-Resal)*(1-EXP((Tnet-t)/(Tau_j))))*Salcycl</f>
        <v>7.4224796299187712E-2</v>
      </c>
      <c r="P204" s="339">
        <f>(INDEX(Models!$BJ204:$BT204,,T204)*(1-R204)+INDEX(Models!$BJ204:$BT204,,T204+1)*R204-ERP_i)*Q204*Ramure*Pc/MaxiM</f>
        <v>5.6736062700348195E-3</v>
      </c>
      <c r="Q204" s="305">
        <f t="shared" si="53"/>
        <v>0.7</v>
      </c>
      <c r="R204" s="177">
        <f t="shared" si="54"/>
        <v>0.38353210548849381</v>
      </c>
      <c r="S204" s="921">
        <f t="shared" si="55"/>
        <v>0</v>
      </c>
      <c r="T204" s="176">
        <f t="shared" si="56"/>
        <v>6</v>
      </c>
      <c r="U204" s="251">
        <f t="shared" si="57"/>
        <v>0.38353210548849381</v>
      </c>
      <c r="V204" s="383">
        <f t="shared" si="58"/>
        <v>50.617658979925878</v>
      </c>
      <c r="W204" s="402">
        <f t="shared" si="59"/>
        <v>0</v>
      </c>
      <c r="X204" s="157">
        <f t="shared" si="60"/>
        <v>44751</v>
      </c>
      <c r="Y204" s="385">
        <f t="shared" si="61"/>
        <v>48.385819599604957</v>
      </c>
      <c r="Z204" s="385">
        <f t="shared" si="62"/>
        <v>50.010661825739739</v>
      </c>
      <c r="AA204" s="386">
        <f t="shared" si="63"/>
        <v>57.330781398701191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0.12768218737599984</v>
      </c>
      <c r="AD204" s="231">
        <f>(INDEX(Models!$BJ204:$BT204,,AH204)*(1-AF204)+INDEX(Models!$BJ204:$BT204,,AH204+1)*AF204-ERP_i)*AE204*Ramure*Pc/MaxiM</f>
        <v>5.6736062700348195E-3</v>
      </c>
      <c r="AE204" s="305">
        <f t="shared" si="65"/>
        <v>0.7</v>
      </c>
      <c r="AF204" s="177">
        <f t="shared" si="66"/>
        <v>0.38353210548849381</v>
      </c>
      <c r="AG204" s="921">
        <f t="shared" si="74"/>
        <v>0</v>
      </c>
      <c r="AH204" s="176">
        <f t="shared" si="67"/>
        <v>6</v>
      </c>
      <c r="AI204" s="225">
        <f t="shared" si="68"/>
        <v>0.38353210548849381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092">
        <v>51.011000000000003</v>
      </c>
      <c r="C205" s="955"/>
      <c r="D205" s="393">
        <f t="shared" si="50"/>
        <v>52.725153117804254</v>
      </c>
      <c r="E205" s="385">
        <f t="shared" si="75"/>
        <v>56.965372798581527</v>
      </c>
      <c r="F205" s="385">
        <f t="shared" si="51"/>
        <v>57.285515204280557</v>
      </c>
      <c r="G205" s="110">
        <f t="shared" si="76"/>
        <v>1.0097027251378037</v>
      </c>
      <c r="H205" s="414" t="b">
        <f>Wh_hp&gt;='2021'!Maxi_hp</f>
        <v>1</v>
      </c>
      <c r="I205" s="380">
        <f>IF(H205,Wh_hp,'2021'!Maxi_hp)</f>
        <v>57.285515204280557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3.2511107440016396E-2</v>
      </c>
      <c r="M205" s="959"/>
      <c r="N205" s="959"/>
      <c r="O205" s="48">
        <f>IF(t&lt;Tnet,'2021'!Resal+('2021'!Salim-'2021'!Resal)*(1-EXP(('2021'!Tnet-t)/('2021'!Tau_j))),Resal+(Salim-Resal)*(1-EXP((Tnet-t)/(Tau_j))))*Salcycl</f>
        <v>7.4435037856591654E-2</v>
      </c>
      <c r="P205" s="339">
        <f>(INDEX(Models!$BJ205:$BT205,,T205)*(1-R205)+INDEX(Models!$BJ205:$BT205,,T205+1)*R205-ERP_i)*Q205*Ramure*Pc/MaxiM</f>
        <v>5.5885402192404057E-3</v>
      </c>
      <c r="Q205" s="305">
        <f t="shared" si="53"/>
        <v>0.7</v>
      </c>
      <c r="R205" s="177">
        <f t="shared" si="54"/>
        <v>0.38716949313632254</v>
      </c>
      <c r="S205" s="921">
        <f t="shared" si="55"/>
        <v>0</v>
      </c>
      <c r="T205" s="176">
        <f t="shared" si="56"/>
        <v>6</v>
      </c>
      <c r="U205" s="251">
        <f t="shared" si="57"/>
        <v>0.38716949313632254</v>
      </c>
      <c r="V205" s="383">
        <f t="shared" si="58"/>
        <v>50.520810462344798</v>
      </c>
      <c r="W205" s="402">
        <f t="shared" si="59"/>
        <v>0</v>
      </c>
      <c r="X205" s="157">
        <f t="shared" si="60"/>
        <v>44752</v>
      </c>
      <c r="Y205" s="385">
        <f t="shared" si="61"/>
        <v>48.067080454229703</v>
      </c>
      <c r="Z205" s="385">
        <f t="shared" si="62"/>
        <v>49.682307284214716</v>
      </c>
      <c r="AA205" s="386">
        <f t="shared" si="63"/>
        <v>56.965372798581527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0.12785074785902503</v>
      </c>
      <c r="AD205" s="231">
        <f>(INDEX(Models!$BJ205:$BT205,,AH205)*(1-AF205)+INDEX(Models!$BJ205:$BT205,,AH205+1)*AF205-ERP_i)*AE205*Ramure*Pc/MaxiM</f>
        <v>5.5885402192404057E-3</v>
      </c>
      <c r="AE205" s="305">
        <f t="shared" si="65"/>
        <v>0.7</v>
      </c>
      <c r="AF205" s="177">
        <f t="shared" si="66"/>
        <v>0.38716949313632254</v>
      </c>
      <c r="AG205" s="921">
        <f t="shared" si="74"/>
        <v>0</v>
      </c>
      <c r="AH205" s="176">
        <f t="shared" si="67"/>
        <v>6</v>
      </c>
      <c r="AI205" s="225">
        <f t="shared" si="68"/>
        <v>0.38716949313632254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092">
        <v>49.794000000000004</v>
      </c>
      <c r="C206" s="955"/>
      <c r="D206" s="393">
        <f t="shared" si="50"/>
        <v>51.468384829227894</v>
      </c>
      <c r="E206" s="385">
        <f t="shared" si="75"/>
        <v>55.620109164423482</v>
      </c>
      <c r="F206" s="385">
        <f t="shared" si="51"/>
        <v>55.921992182002256</v>
      </c>
      <c r="G206" s="110">
        <f t="shared" si="76"/>
        <v>0.98743197525378756</v>
      </c>
      <c r="H206" s="414" t="b">
        <f>Wh_hp&gt;='2021'!Maxi_hp</f>
        <v>0</v>
      </c>
      <c r="I206" s="380">
        <f>IF(H206,Wh_hp,'2021'!Maxi_hp)</f>
        <v>56.244702289420005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3.2532297929758203E-2</v>
      </c>
      <c r="M206" s="959"/>
      <c r="N206" s="959"/>
      <c r="O206" s="48">
        <f>IF(t&lt;Tnet,'2021'!Resal+('2021'!Salim-'2021'!Resal)*(1-EXP(('2021'!Tnet-t)/('2021'!Tau_j))),Resal+(Salim-Resal)*(1-EXP((Tnet-t)/(Tau_j))))*Salcycl</f>
        <v>7.4644303967874498E-2</v>
      </c>
      <c r="P206" s="339">
        <f>(INDEX(Models!$BJ206:$BT206,,T206)*(1-R206)+INDEX(Models!$BJ206:$BT206,,T206+1)*R206-ERP_i)*Q206*Ramure*Pc/MaxiM</f>
        <v>5.4962052500968648E-3</v>
      </c>
      <c r="Q206" s="305">
        <f t="shared" si="53"/>
        <v>0.7</v>
      </c>
      <c r="R206" s="177">
        <f t="shared" si="54"/>
        <v>0.39072579419468684</v>
      </c>
      <c r="S206" s="921">
        <f t="shared" si="55"/>
        <v>0</v>
      </c>
      <c r="T206" s="176">
        <f t="shared" si="56"/>
        <v>6</v>
      </c>
      <c r="U206" s="251">
        <f t="shared" si="57"/>
        <v>0.39072579419468684</v>
      </c>
      <c r="V206" s="383">
        <f t="shared" si="58"/>
        <v>50.422813005259428</v>
      </c>
      <c r="W206" s="402">
        <f t="shared" si="59"/>
        <v>0</v>
      </c>
      <c r="X206" s="157">
        <f t="shared" si="60"/>
        <v>44753</v>
      </c>
      <c r="Y206" s="385">
        <f t="shared" si="61"/>
        <v>46.921939169367363</v>
      </c>
      <c r="Z206" s="385">
        <f t="shared" si="62"/>
        <v>48.499747401345964</v>
      </c>
      <c r="AA206" s="386">
        <f t="shared" si="63"/>
        <v>55.620109164423482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0.12801775958454861</v>
      </c>
      <c r="AD206" s="231">
        <f>(INDEX(Models!$BJ206:$BT206,,AH206)*(1-AF206)+INDEX(Models!$BJ206:$BT206,,AH206+1)*AF206-ERP_i)*AE206*Ramure*Pc/MaxiM</f>
        <v>5.4962052500968648E-3</v>
      </c>
      <c r="AE206" s="305">
        <f t="shared" si="65"/>
        <v>0.7</v>
      </c>
      <c r="AF206" s="177">
        <f t="shared" si="66"/>
        <v>0.39072579419468684</v>
      </c>
      <c r="AG206" s="921">
        <f t="shared" si="74"/>
        <v>0</v>
      </c>
      <c r="AH206" s="176">
        <f t="shared" si="67"/>
        <v>6</v>
      </c>
      <c r="AI206" s="225">
        <f t="shared" si="68"/>
        <v>0.39072579419468684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092">
        <v>49.364000000000004</v>
      </c>
      <c r="C207" s="955"/>
      <c r="D207" s="393">
        <f t="shared" ref="D207:D270" si="77">Wh/(1-Ppv)</f>
        <v>51.025043126852431</v>
      </c>
      <c r="E207" s="385">
        <f t="shared" si="75"/>
        <v>55.153421566820313</v>
      </c>
      <c r="F207" s="385">
        <f t="shared" ref="F207:F270" si="78">Wh_sa/(1-Pvg*MEDIAN((-Sdif+Wh/Env_an)/Csdif,0,1))</f>
        <v>55.444739862766859</v>
      </c>
      <c r="G207" s="110">
        <f t="shared" si="76"/>
        <v>0.98078603069848602</v>
      </c>
      <c r="H207" s="414" t="b">
        <f>Wh_hp&gt;='2021'!Maxi_hp</f>
        <v>0</v>
      </c>
      <c r="I207" s="380">
        <f>IF(H207,Wh_hp,'2021'!Maxi_hp)</f>
        <v>57.631675116560842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3.2553487955373939E-2</v>
      </c>
      <c r="M207" s="959"/>
      <c r="N207" s="959"/>
      <c r="O207" s="48">
        <f>IF(t&lt;Tnet,'2021'!Resal+('2021'!Salim-'2021'!Resal)*(1-EXP(('2021'!Tnet-t)/('2021'!Tau_j))),Resal+(Salim-Resal)*(1-EXP((Tnet-t)/(Tau_j))))*Salcycl</f>
        <v>7.4852626050882637E-2</v>
      </c>
      <c r="P207" s="339">
        <f>(INDEX(Models!$BJ207:$BT207,,T207)*(1-R207)+INDEX(Models!$BJ207:$BT207,,T207+1)*R207-ERP_i)*Q207*Ramure*Pc/MaxiM</f>
        <v>5.4013493001831021E-3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0.39420078774140505</v>
      </c>
      <c r="S207" s="92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0.39420078774140505</v>
      </c>
      <c r="V207" s="383">
        <f t="shared" ref="V207:V270" si="85">MaxiM*(1-Ppv)*(1-Pvg)*(1-Psa)</f>
        <v>50.323614627694617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46.518383601758543</v>
      </c>
      <c r="Z207" s="385">
        <f t="shared" ref="Z207:Z270" si="89">Wh_sa_s*(1-Psa_s)</f>
        <v>48.083674934591897</v>
      </c>
      <c r="AA207" s="386">
        <f t="shared" ref="AA207:AA270" si="90">Wh_hp*(1-Pvg_s*MEDIAN((-Sdif+Wh/Env_an)/Csdif,0,1))</f>
        <v>55.153421566820313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0.12818328276629518</v>
      </c>
      <c r="AD207" s="231">
        <f>(INDEX(Models!$BJ207:$BT207,,AH207)*(1-AF207)+INDEX(Models!$BJ207:$BT207,,AH207+1)*AF207-ERP_i)*AE207*Ramure*Pc/MaxiM</f>
        <v>5.4013493001831021E-3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0.39420078774140505</v>
      </c>
      <c r="AG207" s="92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0.39420078774140505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092">
        <v>49.612000000000002</v>
      </c>
      <c r="C208" s="955"/>
      <c r="D208" s="393">
        <f t="shared" si="77"/>
        <v>51.282511266770491</v>
      </c>
      <c r="E208" s="385">
        <f t="shared" si="75"/>
        <v>55.444151267359977</v>
      </c>
      <c r="F208" s="385">
        <f t="shared" si="78"/>
        <v>55.734625424690442</v>
      </c>
      <c r="G208" s="110">
        <f t="shared" si="76"/>
        <v>0.98773470492286641</v>
      </c>
      <c r="H208" s="414" t="b">
        <f>Wh_hp&gt;='2021'!Maxi_hp</f>
        <v>1</v>
      </c>
      <c r="I208" s="380">
        <f>IF(H208,Wh_hp,'2021'!Maxi_hp)</f>
        <v>55.734625424690442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3.2574677516873707E-2</v>
      </c>
      <c r="M208" s="959"/>
      <c r="N208" s="959"/>
      <c r="O208" s="48">
        <f>IF(t&lt;Tnet,'2021'!Resal+('2021'!Salim-'2021'!Resal)*(1-EXP(('2021'!Tnet-t)/('2021'!Tau_j))),Resal+(Salim-Resal)*(1-EXP((Tnet-t)/(Tau_j))))*Salcycl</f>
        <v>7.5060036188874774E-2</v>
      </c>
      <c r="P208" s="339">
        <f>(INDEX(Models!$BJ208:$BT208,,T208)*(1-R208)+INDEX(Models!$BJ208:$BT208,,T208+1)*R208-ERP_i)*Q208*Ramure*Pc/MaxiM</f>
        <v>5.3039775306838932E-3</v>
      </c>
      <c r="Q208" s="305">
        <f t="shared" si="80"/>
        <v>0.7</v>
      </c>
      <c r="R208" s="177">
        <f t="shared" si="81"/>
        <v>0.39759439695875048</v>
      </c>
      <c r="S208" s="921">
        <f t="shared" si="82"/>
        <v>0</v>
      </c>
      <c r="T208" s="176">
        <f t="shared" si="83"/>
        <v>6</v>
      </c>
      <c r="U208" s="251">
        <f t="shared" si="84"/>
        <v>0.39759439695875048</v>
      </c>
      <c r="V208" s="383">
        <f t="shared" si="85"/>
        <v>50.223404618434621</v>
      </c>
      <c r="W208" s="402">
        <f t="shared" si="86"/>
        <v>0</v>
      </c>
      <c r="X208" s="157">
        <f t="shared" si="87"/>
        <v>44755</v>
      </c>
      <c r="Y208" s="385">
        <f t="shared" si="88"/>
        <v>46.753769495295515</v>
      </c>
      <c r="Z208" s="385">
        <f t="shared" si="89"/>
        <v>48.328039807032226</v>
      </c>
      <c r="AA208" s="386">
        <f t="shared" si="90"/>
        <v>55.444151267359977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0.12834737835579449</v>
      </c>
      <c r="AD208" s="231">
        <f>(INDEX(Models!$BJ208:$BT208,,AH208)*(1-AF208)+INDEX(Models!$BJ208:$BT208,,AH208+1)*AF208-ERP_i)*AE208*Ramure*Pc/MaxiM</f>
        <v>5.3039775306838932E-3</v>
      </c>
      <c r="AE208" s="305">
        <f t="shared" si="92"/>
        <v>0.7</v>
      </c>
      <c r="AF208" s="177">
        <f t="shared" si="93"/>
        <v>0.39759439695875048</v>
      </c>
      <c r="AG208" s="921">
        <f t="shared" ref="AG208:AG271" si="99">INDEX(Echel_vg,AH208)</f>
        <v>0</v>
      </c>
      <c r="AH208" s="176">
        <f t="shared" si="94"/>
        <v>6</v>
      </c>
      <c r="AI208" s="225">
        <f t="shared" si="95"/>
        <v>0.39759439695875048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092">
        <v>48.838999999999999</v>
      </c>
      <c r="C209" s="955"/>
      <c r="D209" s="393">
        <f t="shared" si="77"/>
        <v>50.484588926731888</v>
      </c>
      <c r="E209" s="385">
        <f t="shared" si="75"/>
        <v>54.59366680217083</v>
      </c>
      <c r="F209" s="385">
        <f t="shared" si="78"/>
        <v>54.868764457482754</v>
      </c>
      <c r="G209" s="110">
        <f t="shared" si="76"/>
        <v>0.9742088069800684</v>
      </c>
      <c r="H209" s="414" t="b">
        <f>Wh_hp&gt;='2021'!Maxi_hp</f>
        <v>0</v>
      </c>
      <c r="I209" s="380">
        <f>IF(H209,Wh_hp,'2021'!Maxi_hp)</f>
        <v>56.367501147703905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3.2595866614267721E-2</v>
      </c>
      <c r="M209" s="959"/>
      <c r="N209" s="959"/>
      <c r="O209" s="48">
        <f>IF(t&lt;Tnet,'2021'!Resal+('2021'!Salim-'2021'!Resal)*(1-EXP(('2021'!Tnet-t)/('2021'!Tau_j))),Resal+(Salim-Resal)*(1-EXP((Tnet-t)/(Tau_j))))*Salcycl</f>
        <v>7.5266566913866795E-2</v>
      </c>
      <c r="P209" s="339">
        <f>(INDEX(Models!$BJ209:$BT209,,T209)*(1-R209)+INDEX(Models!$BJ209:$BT209,,T209+1)*R209-ERP_i)*Q209*Ramure*Pc/MaxiM</f>
        <v>5.2040955505148236E-3</v>
      </c>
      <c r="Q209" s="305">
        <f t="shared" si="80"/>
        <v>0.7</v>
      </c>
      <c r="R209" s="177">
        <f t="shared" si="81"/>
        <v>0.4009066827568834</v>
      </c>
      <c r="S209" s="921">
        <f t="shared" si="82"/>
        <v>0</v>
      </c>
      <c r="T209" s="176">
        <f t="shared" si="83"/>
        <v>6</v>
      </c>
      <c r="U209" s="251">
        <f t="shared" si="84"/>
        <v>0.4009066827568834</v>
      </c>
      <c r="V209" s="383">
        <f t="shared" si="85"/>
        <v>50.122372095037697</v>
      </c>
      <c r="W209" s="402">
        <f t="shared" si="86"/>
        <v>0</v>
      </c>
      <c r="X209" s="157">
        <f t="shared" si="87"/>
        <v>44756</v>
      </c>
      <c r="Y209" s="385">
        <f t="shared" si="88"/>
        <v>46.026988241840648</v>
      </c>
      <c r="Z209" s="385">
        <f t="shared" si="89"/>
        <v>47.577828803309799</v>
      </c>
      <c r="AA209" s="386">
        <f t="shared" si="90"/>
        <v>54.59366680217083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0.12851010767025561</v>
      </c>
      <c r="AD209" s="231">
        <f>(INDEX(Models!$BJ209:$BT209,,AH209)*(1-AF209)+INDEX(Models!$BJ209:$BT209,,AH209+1)*AF209-ERP_i)*AE209*Ramure*Pc/MaxiM</f>
        <v>5.2040955505148236E-3</v>
      </c>
      <c r="AE209" s="305">
        <f t="shared" si="92"/>
        <v>0.7</v>
      </c>
      <c r="AF209" s="177">
        <f t="shared" si="93"/>
        <v>0.4009066827568834</v>
      </c>
      <c r="AG209" s="921">
        <f t="shared" si="99"/>
        <v>0</v>
      </c>
      <c r="AH209" s="176">
        <f t="shared" si="94"/>
        <v>6</v>
      </c>
      <c r="AI209" s="225">
        <f t="shared" si="95"/>
        <v>0.4009066827568834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092">
        <v>46.841000000000001</v>
      </c>
      <c r="C210" s="955"/>
      <c r="D210" s="393">
        <f t="shared" si="77"/>
        <v>48.420328530794222</v>
      </c>
      <c r="E210" s="385">
        <f t="shared" si="75"/>
        <v>52.373039730629159</v>
      </c>
      <c r="F210" s="385">
        <f t="shared" si="78"/>
        <v>52.617099794579516</v>
      </c>
      <c r="G210" s="110">
        <f t="shared" si="76"/>
        <v>0.93599634087180839</v>
      </c>
      <c r="H210" s="414" t="b">
        <f>Wh_hp&gt;='2021'!Maxi_hp</f>
        <v>0</v>
      </c>
      <c r="I210" s="380">
        <f>IF(H210,Wh_hp,'2021'!Maxi_hp)</f>
        <v>57.830639820469678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3.2617055247566196E-2</v>
      </c>
      <c r="M210" s="959"/>
      <c r="N210" s="959"/>
      <c r="O210" s="48">
        <f>IF(t&lt;Tnet,'2021'!Resal+('2021'!Salim-'2021'!Resal)*(1-EXP(('2021'!Tnet-t)/('2021'!Tau_j))),Resal+(Salim-Resal)*(1-EXP((Tnet-t)/(Tau_j))))*Salcycl</f>
        <v>7.5472250993353807E-2</v>
      </c>
      <c r="P210" s="339">
        <f>(INDEX(Models!$BJ210:$BT210,,T210)*(1-R210)+INDEX(Models!$BJ210:$BT210,,T210+1)*R210-ERP_i)*Q210*Ramure*Pc/MaxiM</f>
        <v>5.1017092818779032E-3</v>
      </c>
      <c r="Q210" s="305">
        <f t="shared" si="80"/>
        <v>0.7</v>
      </c>
      <c r="R210" s="177">
        <f t="shared" si="81"/>
        <v>0.40413783716203577</v>
      </c>
      <c r="S210" s="921">
        <f t="shared" si="82"/>
        <v>0</v>
      </c>
      <c r="T210" s="176">
        <f t="shared" si="83"/>
        <v>6</v>
      </c>
      <c r="U210" s="251">
        <f t="shared" si="84"/>
        <v>0.40413783716203577</v>
      </c>
      <c r="V210" s="383">
        <f t="shared" si="85"/>
        <v>50.020706028857028</v>
      </c>
      <c r="W210" s="402">
        <f t="shared" si="86"/>
        <v>0</v>
      </c>
      <c r="X210" s="157">
        <f t="shared" si="87"/>
        <v>44757</v>
      </c>
      <c r="Y210" s="385">
        <f t="shared" si="88"/>
        <v>44.145669842855504</v>
      </c>
      <c r="Z210" s="385">
        <f t="shared" si="89"/>
        <v>45.634120471446778</v>
      </c>
      <c r="AA210" s="386">
        <f t="shared" si="90"/>
        <v>52.373039730629159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0.12867153202950879</v>
      </c>
      <c r="AD210" s="231">
        <f>(INDEX(Models!$BJ210:$BT210,,AH210)*(1-AF210)+INDEX(Models!$BJ210:$BT210,,AH210+1)*AF210-ERP_i)*AE210*Ramure*Pc/MaxiM</f>
        <v>5.1017092818779032E-3</v>
      </c>
      <c r="AE210" s="305">
        <f t="shared" si="92"/>
        <v>0.7</v>
      </c>
      <c r="AF210" s="177">
        <f t="shared" si="93"/>
        <v>0.40413783716203577</v>
      </c>
      <c r="AG210" s="921">
        <f t="shared" si="99"/>
        <v>0</v>
      </c>
      <c r="AH210" s="176">
        <f t="shared" si="94"/>
        <v>6</v>
      </c>
      <c r="AI210" s="225">
        <f t="shared" si="95"/>
        <v>0.40413783716203577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092">
        <v>48.614000000000004</v>
      </c>
      <c r="C211" s="955"/>
      <c r="D211" s="393">
        <f t="shared" si="77"/>
        <v>50.25420910963809</v>
      </c>
      <c r="E211" s="385">
        <f t="shared" si="75"/>
        <v>54.368673829727243</v>
      </c>
      <c r="F211" s="385">
        <f t="shared" si="78"/>
        <v>54.631465860568696</v>
      </c>
      <c r="G211" s="110">
        <f t="shared" si="76"/>
        <v>0.97368298647822382</v>
      </c>
      <c r="H211" s="414" t="b">
        <f>Wh_hp&gt;='2021'!Maxi_hp</f>
        <v>0</v>
      </c>
      <c r="I211" s="380">
        <f>IF(H211,Wh_hp,'2021'!Maxi_hp)</f>
        <v>57.203978991704709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3.2638243416779122E-2</v>
      </c>
      <c r="M211" s="959"/>
      <c r="N211" s="959"/>
      <c r="O211" s="48">
        <f>IF(t&lt;Tnet,'2021'!Resal+('2021'!Salim-'2021'!Resal)*(1-EXP(('2021'!Tnet-t)/('2021'!Tau_j))),Resal+(Salim-Resal)*(1-EXP((Tnet-t)/(Tau_j))))*Salcycl</f>
        <v>7.5677121221954136E-2</v>
      </c>
      <c r="P211" s="339">
        <f>(INDEX(Models!$BJ211:$BT211,,T211)*(1-R211)+INDEX(Models!$BJ211:$BT211,,T211+1)*R211-ERP_i)*Q211*Ramure*Pc/MaxiM</f>
        <v>4.9968248432606032E-3</v>
      </c>
      <c r="Q211" s="305">
        <f t="shared" si="80"/>
        <v>0.7</v>
      </c>
      <c r="R211" s="177">
        <f t="shared" si="81"/>
        <v>0.40728817652337718</v>
      </c>
      <c r="S211" s="921">
        <f t="shared" si="82"/>
        <v>0</v>
      </c>
      <c r="T211" s="176">
        <f t="shared" si="83"/>
        <v>6</v>
      </c>
      <c r="U211" s="251">
        <f t="shared" si="84"/>
        <v>0.40728817652337718</v>
      </c>
      <c r="V211" s="383">
        <f t="shared" si="85"/>
        <v>49.918595270542937</v>
      </c>
      <c r="W211" s="402">
        <f t="shared" si="86"/>
        <v>0</v>
      </c>
      <c r="X211" s="157">
        <f t="shared" si="87"/>
        <v>44758</v>
      </c>
      <c r="Y211" s="385">
        <f t="shared" si="88"/>
        <v>45.818378085756017</v>
      </c>
      <c r="Z211" s="385">
        <f t="shared" si="89"/>
        <v>47.364264479080965</v>
      </c>
      <c r="AA211" s="386">
        <f t="shared" si="90"/>
        <v>54.368673829727243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0.12883171240451449</v>
      </c>
      <c r="AD211" s="231">
        <f>(INDEX(Models!$BJ211:$BT211,,AH211)*(1-AF211)+INDEX(Models!$BJ211:$BT211,,AH211+1)*AF211-ERP_i)*AE211*Ramure*Pc/MaxiM</f>
        <v>4.9968248432606032E-3</v>
      </c>
      <c r="AE211" s="305">
        <f t="shared" si="92"/>
        <v>0.7</v>
      </c>
      <c r="AF211" s="177">
        <f t="shared" si="93"/>
        <v>0.40728817652337718</v>
      </c>
      <c r="AG211" s="921">
        <f t="shared" si="99"/>
        <v>0</v>
      </c>
      <c r="AH211" s="176">
        <f t="shared" si="94"/>
        <v>6</v>
      </c>
      <c r="AI211" s="225">
        <f t="shared" si="95"/>
        <v>0.40728817652337718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092">
        <v>48.585999999999999</v>
      </c>
      <c r="C212" s="955"/>
      <c r="D212" s="393">
        <f t="shared" si="77"/>
        <v>50.226364491618298</v>
      </c>
      <c r="E212" s="385">
        <f t="shared" si="75"/>
        <v>54.350550001851659</v>
      </c>
      <c r="F212" s="385">
        <f t="shared" si="78"/>
        <v>54.608113810861319</v>
      </c>
      <c r="G212" s="110">
        <f t="shared" si="76"/>
        <v>0.97513526910662185</v>
      </c>
      <c r="H212" s="414" t="b">
        <f>Wh_hp&gt;='2021'!Maxi_hp</f>
        <v>0</v>
      </c>
      <c r="I212" s="380">
        <f>IF(H212,Wh_hp,'2021'!Maxi_hp)</f>
        <v>57.205914857920881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3.2659431121916827E-2</v>
      </c>
      <c r="M212" s="959"/>
      <c r="N212" s="959"/>
      <c r="O212" s="48">
        <f>IF(t&lt;Tnet,'2021'!Resal+('2021'!Salim-'2021'!Resal)*(1-EXP(('2021'!Tnet-t)/('2021'!Tau_j))),Resal+(Salim-Resal)*(1-EXP((Tnet-t)/(Tau_j))))*Salcycl</f>
        <v>7.5881210219452322E-2</v>
      </c>
      <c r="P212" s="339">
        <f>(INDEX(Models!$BJ212:$BT212,,T212)*(1-R212)+INDEX(Models!$BJ212:$BT212,,T212+1)*R212-ERP_i)*Q212*Ramure*Pc/MaxiM</f>
        <v>4.8890693055887204E-3</v>
      </c>
      <c r="Q212" s="305">
        <f t="shared" si="80"/>
        <v>0.7</v>
      </c>
      <c r="R212" s="177">
        <f t="shared" si="81"/>
        <v>0.41035813458995352</v>
      </c>
      <c r="S212" s="921">
        <f t="shared" si="82"/>
        <v>0</v>
      </c>
      <c r="T212" s="176">
        <f t="shared" si="83"/>
        <v>6</v>
      </c>
      <c r="U212" s="251">
        <f t="shared" si="84"/>
        <v>0.41035813458995352</v>
      </c>
      <c r="V212" s="383">
        <f t="shared" si="85"/>
        <v>49.816247551894662</v>
      </c>
      <c r="W212" s="402">
        <f t="shared" si="86"/>
        <v>0</v>
      </c>
      <c r="X212" s="157">
        <f t="shared" si="87"/>
        <v>44759</v>
      </c>
      <c r="Y212" s="385">
        <f t="shared" si="88"/>
        <v>45.793741969794347</v>
      </c>
      <c r="Z212" s="385">
        <f t="shared" si="89"/>
        <v>47.339834018235898</v>
      </c>
      <c r="AA212" s="386">
        <f t="shared" si="90"/>
        <v>54.350550001851659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0.1289907090797961</v>
      </c>
      <c r="AD212" s="231">
        <f>(INDEX(Models!$BJ212:$BT212,,AH212)*(1-AF212)+INDEX(Models!$BJ212:$BT212,,AH212+1)*AF212-ERP_i)*AE212*Ramure*Pc/MaxiM</f>
        <v>4.8890693055887204E-3</v>
      </c>
      <c r="AE212" s="305">
        <f t="shared" si="92"/>
        <v>0.7</v>
      </c>
      <c r="AF212" s="177">
        <f t="shared" si="93"/>
        <v>0.41035813458995352</v>
      </c>
      <c r="AG212" s="921">
        <f t="shared" si="99"/>
        <v>0</v>
      </c>
      <c r="AH212" s="176">
        <f t="shared" si="94"/>
        <v>6</v>
      </c>
      <c r="AI212" s="225">
        <f t="shared" si="95"/>
        <v>0.41035813458995352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092">
        <v>49.344000000000001</v>
      </c>
      <c r="C213" s="955"/>
      <c r="D213" s="393">
        <f t="shared" si="77"/>
        <v>51.011073422817532</v>
      </c>
      <c r="E213" s="385">
        <f t="shared" si="75"/>
        <v>55.211841555288075</v>
      </c>
      <c r="F213" s="385">
        <f t="shared" si="78"/>
        <v>55.474211028817379</v>
      </c>
      <c r="G213" s="110">
        <f t="shared" si="76"/>
        <v>0.99251165462517221</v>
      </c>
      <c r="H213" s="414" t="b">
        <f>Wh_hp&gt;='2021'!Maxi_hp</f>
        <v>1</v>
      </c>
      <c r="I213" s="380">
        <f>IF(H213,Wh_hp,'2021'!Maxi_hp)</f>
        <v>55.474211028817379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3.2680618362989411E-2</v>
      </c>
      <c r="M213" s="959"/>
      <c r="N213" s="959"/>
      <c r="O213" s="48">
        <f>IF(t&lt;Tnet,'2021'!Resal+('2021'!Salim-'2021'!Resal)*(1-EXP(('2021'!Tnet-t)/('2021'!Tau_j))),Resal+(Salim-Resal)*(1-EXP((Tnet-t)/(Tau_j))))*Salcycl</f>
        <v>7.6084550236636725E-2</v>
      </c>
      <c r="P213" s="339">
        <f>(INDEX(Models!$BJ213:$BT213,,T213)*(1-R213)+INDEX(Models!$BJ213:$BT213,,T213+1)*R213-ERP_i)*Q213*Ramure*Pc/MaxiM</f>
        <v>4.7803682916210061E-3</v>
      </c>
      <c r="Q213" s="305">
        <f t="shared" si="80"/>
        <v>0.7</v>
      </c>
      <c r="R213" s="177">
        <f t="shared" si="81"/>
        <v>0.41334825550624393</v>
      </c>
      <c r="S213" s="921">
        <f t="shared" si="82"/>
        <v>0</v>
      </c>
      <c r="T213" s="176">
        <f t="shared" si="83"/>
        <v>6</v>
      </c>
      <c r="U213" s="251">
        <f t="shared" si="84"/>
        <v>0.41334825550624393</v>
      </c>
      <c r="V213" s="383">
        <f t="shared" si="85"/>
        <v>49.713755545459755</v>
      </c>
      <c r="W213" s="402">
        <f t="shared" si="86"/>
        <v>0</v>
      </c>
      <c r="X213" s="157">
        <f t="shared" si="87"/>
        <v>44760</v>
      </c>
      <c r="Y213" s="385">
        <f t="shared" si="88"/>
        <v>46.509983585359755</v>
      </c>
      <c r="Z213" s="385">
        <f t="shared" si="89"/>
        <v>48.081310545696027</v>
      </c>
      <c r="AA213" s="386">
        <f t="shared" si="90"/>
        <v>55.211841555288075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0.12914858133198964</v>
      </c>
      <c r="AD213" s="231">
        <f>(INDEX(Models!$BJ213:$BT213,,AH213)*(1-AF213)+INDEX(Models!$BJ213:$BT213,,AH213+1)*AF213-ERP_i)*AE213*Ramure*Pc/MaxiM</f>
        <v>4.7803682916210061E-3</v>
      </c>
      <c r="AE213" s="305">
        <f t="shared" si="92"/>
        <v>0.7</v>
      </c>
      <c r="AF213" s="177">
        <f t="shared" si="93"/>
        <v>0.41334825550624393</v>
      </c>
      <c r="AG213" s="921">
        <f t="shared" si="99"/>
        <v>0</v>
      </c>
      <c r="AH213" s="176">
        <f t="shared" si="94"/>
        <v>6</v>
      </c>
      <c r="AI213" s="225">
        <f t="shared" si="95"/>
        <v>0.41334825550624393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092">
        <v>33.704999999999998</v>
      </c>
      <c r="C214" s="955"/>
      <c r="D214" s="393">
        <f t="shared" si="77"/>
        <v>34.844477307102252</v>
      </c>
      <c r="E214" s="385">
        <f t="shared" si="75"/>
        <v>37.722197080607828</v>
      </c>
      <c r="F214" s="385">
        <f t="shared" si="78"/>
        <v>37.817930072800458</v>
      </c>
      <c r="G214" s="110">
        <f t="shared" si="76"/>
        <v>0.67792430141666349</v>
      </c>
      <c r="H214" s="414" t="b">
        <f>Wh_hp&gt;='2021'!Maxi_hp</f>
        <v>0</v>
      </c>
      <c r="I214" s="380">
        <f>IF(H214,Wh_hp,'2021'!Maxi_hp)</f>
        <v>57.76277955645417</v>
      </c>
      <c r="J214" s="85">
        <f>IF(H214,An,'2021'!An_max)</f>
        <v>2021</v>
      </c>
      <c r="K214" s="197">
        <f t="shared" si="79"/>
        <v>44761</v>
      </c>
      <c r="L214" s="147">
        <f>IF(t&lt;Tvie,1-EXP((T0-t)*PertePVj)+'2021'!Pspv,1-EXP((T0-t)*PertePVj)+Pspv)</f>
        <v>3.2701805140006979E-2</v>
      </c>
      <c r="M214" s="959"/>
      <c r="N214" s="959"/>
      <c r="O214" s="48">
        <f>IF(t&lt;Tnet,'2021'!Resal+('2021'!Salim-'2021'!Resal)*(1-EXP(('2021'!Tnet-t)/('2021'!Tau_j))),Resal+(Salim-Resal)*(1-EXP((Tnet-t)/(Tau_j))))*Salcycl</f>
        <v>7.6287172970233783E-2</v>
      </c>
      <c r="P214" s="339">
        <f>(INDEX(Models!$BJ214:$BT214,,T214)*(1-R214)+INDEX(Models!$BJ214:$BT214,,T214+1)*R214-ERP_i)*Q214*Ramure*Pc/MaxiM</f>
        <v>4.6707419733049323E-3</v>
      </c>
      <c r="Q214" s="305">
        <f t="shared" si="80"/>
        <v>0.7</v>
      </c>
      <c r="R214" s="177">
        <f t="shared" si="81"/>
        <v>0.41625918677180768</v>
      </c>
      <c r="S214" s="921">
        <f t="shared" si="82"/>
        <v>0</v>
      </c>
      <c r="T214" s="176">
        <f t="shared" si="83"/>
        <v>6</v>
      </c>
      <c r="U214" s="251">
        <f t="shared" si="84"/>
        <v>0.41625918677180768</v>
      </c>
      <c r="V214" s="383">
        <f t="shared" si="85"/>
        <v>49.611307670608696</v>
      </c>
      <c r="W214" s="402">
        <f t="shared" si="86"/>
        <v>0</v>
      </c>
      <c r="X214" s="157">
        <f t="shared" si="87"/>
        <v>44761</v>
      </c>
      <c r="Y214" s="385">
        <f t="shared" si="88"/>
        <v>31.770438894159614</v>
      </c>
      <c r="Z214" s="385">
        <f t="shared" si="89"/>
        <v>32.844513783836923</v>
      </c>
      <c r="AA214" s="386">
        <f t="shared" si="90"/>
        <v>37.722197080607828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0.12930538712652068</v>
      </c>
      <c r="AD214" s="231">
        <f>(INDEX(Models!$BJ214:$BT214,,AH214)*(1-AF214)+INDEX(Models!$BJ214:$BT214,,AH214+1)*AF214-ERP_i)*AE214*Ramure*Pc/MaxiM</f>
        <v>4.6707419733049323E-3</v>
      </c>
      <c r="AE214" s="305">
        <f t="shared" si="92"/>
        <v>0.7</v>
      </c>
      <c r="AF214" s="177">
        <f t="shared" si="93"/>
        <v>0.41625918677180768</v>
      </c>
      <c r="AG214" s="921">
        <f t="shared" si="99"/>
        <v>0</v>
      </c>
      <c r="AH214" s="176">
        <f t="shared" si="94"/>
        <v>6</v>
      </c>
      <c r="AI214" s="225">
        <f t="shared" si="95"/>
        <v>0.41625918677180768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092">
        <v>38.366999999999997</v>
      </c>
      <c r="C215" s="955"/>
      <c r="D215" s="393">
        <f t="shared" si="77"/>
        <v>39.664956016717873</v>
      </c>
      <c r="E215" s="385">
        <f t="shared" si="75"/>
        <v>42.950176787236472</v>
      </c>
      <c r="F215" s="385">
        <f t="shared" si="78"/>
        <v>43.083481086945078</v>
      </c>
      <c r="G215" s="110">
        <f t="shared" si="76"/>
        <v>0.77380887231320949</v>
      </c>
      <c r="H215" s="414" t="b">
        <f>Wh_hp&gt;='2021'!Maxi_hp</f>
        <v>0</v>
      </c>
      <c r="I215" s="380">
        <f>IF(H215,Wh_hp,'2021'!Maxi_hp)</f>
        <v>55.682250887635263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3.2722991452979744E-2</v>
      </c>
      <c r="M215" s="959"/>
      <c r="N215" s="959"/>
      <c r="O215" s="48">
        <f>IF(t&lt;Tnet,'2021'!Resal+('2021'!Salim-'2021'!Resal)*(1-EXP(('2021'!Tnet-t)/('2021'!Tau_j))),Resal+(Salim-Resal)*(1-EXP((Tnet-t)/(Tau_j))))*Salcycl</f>
        <v>7.6489109388133497E-2</v>
      </c>
      <c r="P215" s="339">
        <f>(INDEX(Models!$BJ215:$BT215,,T215)*(1-R215)+INDEX(Models!$BJ215:$BT215,,T215+1)*R215-ERP_i)*Q215*Ramure*Pc/MaxiM</f>
        <v>4.5602098948194199E-3</v>
      </c>
      <c r="Q215" s="305">
        <f t="shared" si="80"/>
        <v>0.7</v>
      </c>
      <c r="R215" s="177">
        <f t="shared" si="81"/>
        <v>0.4190916722072428</v>
      </c>
      <c r="S215" s="921">
        <f t="shared" si="82"/>
        <v>0</v>
      </c>
      <c r="T215" s="176">
        <f t="shared" si="83"/>
        <v>6</v>
      </c>
      <c r="U215" s="251">
        <f t="shared" si="84"/>
        <v>0.4190916722072428</v>
      </c>
      <c r="V215" s="383">
        <f t="shared" si="85"/>
        <v>49.509092337345791</v>
      </c>
      <c r="W215" s="402">
        <f t="shared" si="86"/>
        <v>0</v>
      </c>
      <c r="X215" s="157">
        <f t="shared" si="87"/>
        <v>44762</v>
      </c>
      <c r="Y215" s="385">
        <f t="shared" si="88"/>
        <v>36.16629011929745</v>
      </c>
      <c r="Z215" s="385">
        <f t="shared" si="89"/>
        <v>37.38979609742205</v>
      </c>
      <c r="AA215" s="386">
        <f t="shared" si="90"/>
        <v>42.950176787236472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0.1294611828342184</v>
      </c>
      <c r="AD215" s="231">
        <f>(INDEX(Models!$BJ215:$BT215,,AH215)*(1-AF215)+INDEX(Models!$BJ215:$BT215,,AH215+1)*AF215-ERP_i)*AE215*Ramure*Pc/MaxiM</f>
        <v>4.5602098948194199E-3</v>
      </c>
      <c r="AE215" s="305">
        <f t="shared" si="92"/>
        <v>0.7</v>
      </c>
      <c r="AF215" s="177">
        <f t="shared" si="93"/>
        <v>0.4190916722072428</v>
      </c>
      <c r="AG215" s="921">
        <f t="shared" si="99"/>
        <v>0</v>
      </c>
      <c r="AH215" s="176">
        <f t="shared" si="94"/>
        <v>6</v>
      </c>
      <c r="AI215" s="225">
        <f t="shared" si="95"/>
        <v>0.4190916722072428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092">
        <v>47.883000000000003</v>
      </c>
      <c r="C216" s="955"/>
      <c r="D216" s="393">
        <f t="shared" si="77"/>
        <v>49.503966661512813</v>
      </c>
      <c r="E216" s="385">
        <f t="shared" si="75"/>
        <v>53.615781859178028</v>
      </c>
      <c r="F216" s="385">
        <f t="shared" si="78"/>
        <v>53.844768353025124</v>
      </c>
      <c r="G216" s="110">
        <f t="shared" si="76"/>
        <v>0.96895748626790212</v>
      </c>
      <c r="H216" s="414" t="b">
        <f>Wh_hp&gt;='2021'!Maxi_hp</f>
        <v>1</v>
      </c>
      <c r="I216" s="380">
        <f>IF(H216,Wh_hp,'2021'!Maxi_hp)</f>
        <v>53.844768353025124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3.2744177301917921E-2</v>
      </c>
      <c r="M216" s="959"/>
      <c r="N216" s="959"/>
      <c r="O216" s="48">
        <f>IF(t&lt;Tnet,'2021'!Resal+('2021'!Salim-'2021'!Resal)*(1-EXP(('2021'!Tnet-t)/('2021'!Tau_j))),Resal+(Salim-Resal)*(1-EXP((Tnet-t)/(Tau_j))))*Salcycl</f>
        <v>7.669038956598466E-2</v>
      </c>
      <c r="P216" s="339">
        <f>(INDEX(Models!$BJ216:$BT216,,T216)*(1-R216)+INDEX(Models!$BJ216:$BT216,,T216+1)*R216-ERP_i)*Q216*Ramure*Pc/MaxiM</f>
        <v>4.4487909652326891E-3</v>
      </c>
      <c r="Q216" s="305">
        <f t="shared" si="80"/>
        <v>0.7</v>
      </c>
      <c r="R216" s="177">
        <f t="shared" si="81"/>
        <v>0.42184654496530277</v>
      </c>
      <c r="S216" s="921">
        <f t="shared" si="82"/>
        <v>0</v>
      </c>
      <c r="T216" s="176">
        <f t="shared" si="83"/>
        <v>6</v>
      </c>
      <c r="U216" s="251">
        <f t="shared" si="84"/>
        <v>0.42184654496530277</v>
      </c>
      <c r="V216" s="383">
        <f t="shared" si="85"/>
        <v>49.407297957389019</v>
      </c>
      <c r="W216" s="402">
        <f t="shared" si="86"/>
        <v>0</v>
      </c>
      <c r="X216" s="157">
        <f t="shared" si="87"/>
        <v>44763</v>
      </c>
      <c r="Y216" s="385">
        <f t="shared" si="88"/>
        <v>45.138267273707491</v>
      </c>
      <c r="Z216" s="385">
        <f t="shared" si="89"/>
        <v>46.666317446193226</v>
      </c>
      <c r="AA216" s="386">
        <f t="shared" si="90"/>
        <v>53.615781859178028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0.12961602296946045</v>
      </c>
      <c r="AD216" s="231">
        <f>(INDEX(Models!$BJ216:$BT216,,AH216)*(1-AF216)+INDEX(Models!$BJ216:$BT216,,AH216+1)*AF216-ERP_i)*AE216*Ramure*Pc/MaxiM</f>
        <v>4.4487909652326891E-3</v>
      </c>
      <c r="AE216" s="305">
        <f t="shared" si="92"/>
        <v>0.7</v>
      </c>
      <c r="AF216" s="177">
        <f t="shared" si="93"/>
        <v>0.42184654496530277</v>
      </c>
      <c r="AG216" s="921">
        <f t="shared" si="99"/>
        <v>0</v>
      </c>
      <c r="AH216" s="176">
        <f t="shared" si="94"/>
        <v>6</v>
      </c>
      <c r="AI216" s="225">
        <f t="shared" si="95"/>
        <v>0.42184654496530277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092">
        <v>36.545000000000002</v>
      </c>
      <c r="C217" s="955"/>
      <c r="D217" s="393">
        <f t="shared" si="77"/>
        <v>37.782972807421878</v>
      </c>
      <c r="E217" s="385">
        <f t="shared" si="75"/>
        <v>40.930133438662786</v>
      </c>
      <c r="F217" s="385">
        <f t="shared" si="78"/>
        <v>41.04230819774827</v>
      </c>
      <c r="G217" s="110">
        <f t="shared" si="76"/>
        <v>0.73999434658861152</v>
      </c>
      <c r="H217" s="414" t="b">
        <f>Wh_hp&gt;='2021'!Maxi_hp</f>
        <v>0</v>
      </c>
      <c r="I217" s="380">
        <f>IF(H217,Wh_hp,'2021'!Maxi_hp)</f>
        <v>54.507643131176636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3.2765362686831723E-2</v>
      </c>
      <c r="M217" s="959"/>
      <c r="N217" s="959"/>
      <c r="O217" s="48">
        <f>IF(t&lt;Tnet,'2021'!Resal+('2021'!Salim-'2021'!Resal)*(1-EXP(('2021'!Tnet-t)/('2021'!Tau_j))),Resal+(Salim-Resal)*(1-EXP((Tnet-t)/(Tau_j))))*Salcycl</f>
        <v>7.6891042536110704E-2</v>
      </c>
      <c r="P217" s="339">
        <f>(INDEX(Models!$BJ217:$BT217,,T217)*(1-R217)+INDEX(Models!$BJ217:$BT217,,T217+1)*R217-ERP_i)*Q217*Ramure*Pc/MaxiM</f>
        <v>4.3365034699318255E-3</v>
      </c>
      <c r="Q217" s="305">
        <f t="shared" si="80"/>
        <v>0.7</v>
      </c>
      <c r="R217" s="177">
        <f t="shared" si="81"/>
        <v>0.4245247206225819</v>
      </c>
      <c r="S217" s="921">
        <f t="shared" si="82"/>
        <v>0</v>
      </c>
      <c r="T217" s="176">
        <f t="shared" si="83"/>
        <v>6</v>
      </c>
      <c r="U217" s="251">
        <f t="shared" si="84"/>
        <v>0.4245247206225819</v>
      </c>
      <c r="V217" s="383">
        <f t="shared" si="85"/>
        <v>49.306112953761762</v>
      </c>
      <c r="W217" s="402">
        <f t="shared" si="86"/>
        <v>0</v>
      </c>
      <c r="X217" s="157">
        <f t="shared" si="87"/>
        <v>44764</v>
      </c>
      <c r="Y217" s="385">
        <f t="shared" si="88"/>
        <v>34.451574276731023</v>
      </c>
      <c r="Z217" s="385">
        <f t="shared" si="89"/>
        <v>35.618631661529712</v>
      </c>
      <c r="AA217" s="386">
        <f t="shared" si="90"/>
        <v>40.930133438662786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0.12976995995121293</v>
      </c>
      <c r="AD217" s="231">
        <f>(INDEX(Models!$BJ217:$BT217,,AH217)*(1-AF217)+INDEX(Models!$BJ217:$BT217,,AH217+1)*AF217-ERP_i)*AE217*Ramure*Pc/MaxiM</f>
        <v>4.3365034699318255E-3</v>
      </c>
      <c r="AE217" s="305">
        <f t="shared" si="92"/>
        <v>0.7</v>
      </c>
      <c r="AF217" s="177">
        <f t="shared" si="93"/>
        <v>0.4245247206225819</v>
      </c>
      <c r="AG217" s="921">
        <f t="shared" si="99"/>
        <v>0</v>
      </c>
      <c r="AH217" s="176">
        <f t="shared" si="94"/>
        <v>6</v>
      </c>
      <c r="AI217" s="225">
        <f t="shared" si="95"/>
        <v>0.4245247206225819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092">
        <v>40.771000000000001</v>
      </c>
      <c r="C218" s="955"/>
      <c r="D218" s="393">
        <f t="shared" si="77"/>
        <v>42.153053081673505</v>
      </c>
      <c r="E218" s="385">
        <f t="shared" si="75"/>
        <v>45.674121146527185</v>
      </c>
      <c r="F218" s="385">
        <f t="shared" si="78"/>
        <v>45.820248241514811</v>
      </c>
      <c r="G218" s="110">
        <f t="shared" si="76"/>
        <v>0.82772274945381497</v>
      </c>
      <c r="H218" s="414" t="b">
        <f>Wh_hp&gt;='2021'!Maxi_hp</f>
        <v>0</v>
      </c>
      <c r="I218" s="380">
        <f>IF(H218,Wh_hp,'2021'!Maxi_hp)</f>
        <v>56.297408043792899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3.2786547607731142E-2</v>
      </c>
      <c r="M218" s="959"/>
      <c r="N218" s="959"/>
      <c r="O218" s="48">
        <f>IF(t&lt;Tnet,'2021'!Resal+('2021'!Salim-'2021'!Resal)*(1-EXP(('2021'!Tnet-t)/('2021'!Tau_j))),Resal+(Salim-Resal)*(1-EXP((Tnet-t)/(Tau_j))))*Salcycl</f>
        <v>7.709109614956218E-2</v>
      </c>
      <c r="P218" s="339">
        <f>(INDEX(Models!$BJ218:$BT218,,T218)*(1-R218)+INDEX(Models!$BJ218:$BT218,,T218+1)*R218-ERP_i)*Q218*Ramure*Pc/MaxiM</f>
        <v>4.2233651002865575E-3</v>
      </c>
      <c r="Q218" s="305">
        <f t="shared" si="80"/>
        <v>0.7</v>
      </c>
      <c r="R218" s="177">
        <f t="shared" si="81"/>
        <v>0.42712719038371399</v>
      </c>
      <c r="S218" s="921">
        <f t="shared" si="82"/>
        <v>0</v>
      </c>
      <c r="T218" s="176">
        <f t="shared" si="83"/>
        <v>6</v>
      </c>
      <c r="U218" s="251">
        <f t="shared" si="84"/>
        <v>0.42712719038371399</v>
      </c>
      <c r="V218" s="383">
        <f t="shared" si="85"/>
        <v>49.205725768649344</v>
      </c>
      <c r="W218" s="402">
        <f t="shared" si="86"/>
        <v>0</v>
      </c>
      <c r="X218" s="157">
        <f t="shared" si="87"/>
        <v>44765</v>
      </c>
      <c r="Y218" s="385">
        <f t="shared" si="88"/>
        <v>38.437062888481385</v>
      </c>
      <c r="Z218" s="385">
        <f t="shared" si="89"/>
        <v>39.740000300257009</v>
      </c>
      <c r="AA218" s="386">
        <f t="shared" si="90"/>
        <v>45.674121146527185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0.12992304388808967</v>
      </c>
      <c r="AD218" s="231">
        <f>(INDEX(Models!$BJ218:$BT218,,AH218)*(1-AF218)+INDEX(Models!$BJ218:$BT218,,AH218+1)*AF218-ERP_i)*AE218*Ramure*Pc/MaxiM</f>
        <v>4.2233651002865575E-3</v>
      </c>
      <c r="AE218" s="305">
        <f t="shared" si="92"/>
        <v>0.7</v>
      </c>
      <c r="AF218" s="177">
        <f t="shared" si="93"/>
        <v>0.42712719038371399</v>
      </c>
      <c r="AG218" s="921">
        <f t="shared" si="99"/>
        <v>0</v>
      </c>
      <c r="AH218" s="176">
        <f t="shared" si="94"/>
        <v>6</v>
      </c>
      <c r="AI218" s="225">
        <f t="shared" si="95"/>
        <v>0.42712719038371399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092">
        <v>48.27</v>
      </c>
      <c r="C219" s="955"/>
      <c r="D219" s="393">
        <f t="shared" si="77"/>
        <v>49.907346863969487</v>
      </c>
      <c r="E219" s="385">
        <f t="shared" si="75"/>
        <v>54.087826153447857</v>
      </c>
      <c r="F219" s="385">
        <f t="shared" si="78"/>
        <v>54.305562115577402</v>
      </c>
      <c r="G219" s="110">
        <f t="shared" si="76"/>
        <v>0.98287590176838813</v>
      </c>
      <c r="H219" s="414" t="b">
        <f>Wh_hp&gt;='2021'!Maxi_hp</f>
        <v>1</v>
      </c>
      <c r="I219" s="380">
        <f>IF(H219,Wh_hp,'2021'!Maxi_hp)</f>
        <v>54.305562115577402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3.2807732064626394E-2</v>
      </c>
      <c r="M219" s="959"/>
      <c r="N219" s="959"/>
      <c r="O219" s="48">
        <f>IF(t&lt;Tnet,'2021'!Resal+('2021'!Salim-'2021'!Resal)*(1-EXP(('2021'!Tnet-t)/('2021'!Tau_j))),Resal+(Salim-Resal)*(1-EXP((Tnet-t)/(Tau_j))))*Salcycl</f>
        <v>7.7290576951979773E-2</v>
      </c>
      <c r="P219" s="339">
        <f>(INDEX(Models!$BJ219:$BT219,,T219)*(1-R219)+INDEX(Models!$BJ219:$BT219,,T219+1)*R219-ERP_i)*Q219*Ramure*Pc/MaxiM</f>
        <v>4.1094090580922078E-3</v>
      </c>
      <c r="Q219" s="305">
        <f t="shared" si="80"/>
        <v>0.7</v>
      </c>
      <c r="R219" s="177">
        <f t="shared" si="81"/>
        <v>0.42965501442659126</v>
      </c>
      <c r="S219" s="921">
        <f t="shared" si="82"/>
        <v>0</v>
      </c>
      <c r="T219" s="176">
        <f t="shared" si="83"/>
        <v>6</v>
      </c>
      <c r="U219" s="251">
        <f t="shared" si="84"/>
        <v>0.42965501442659126</v>
      </c>
      <c r="V219" s="383">
        <f t="shared" si="85"/>
        <v>49.106052895718548</v>
      </c>
      <c r="W219" s="402">
        <f t="shared" si="86"/>
        <v>0</v>
      </c>
      <c r="X219" s="157">
        <f t="shared" si="87"/>
        <v>44766</v>
      </c>
      <c r="Y219" s="385">
        <f t="shared" si="88"/>
        <v>45.508654338442938</v>
      </c>
      <c r="Z219" s="385">
        <f t="shared" si="89"/>
        <v>47.052334729255463</v>
      </c>
      <c r="AA219" s="386">
        <f t="shared" si="90"/>
        <v>54.087826153447857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0.13007532238830624</v>
      </c>
      <c r="AD219" s="231">
        <f>(INDEX(Models!$BJ219:$BT219,,AH219)*(1-AF219)+INDEX(Models!$BJ219:$BT219,,AH219+1)*AF219-ERP_i)*AE219*Ramure*Pc/MaxiM</f>
        <v>4.1094090580922078E-3</v>
      </c>
      <c r="AE219" s="305">
        <f t="shared" si="92"/>
        <v>0.7</v>
      </c>
      <c r="AF219" s="177">
        <f t="shared" si="93"/>
        <v>0.42965501442659126</v>
      </c>
      <c r="AG219" s="921">
        <f t="shared" si="99"/>
        <v>0</v>
      </c>
      <c r="AH219" s="176">
        <f t="shared" si="94"/>
        <v>6</v>
      </c>
      <c r="AI219" s="225">
        <f t="shared" si="95"/>
        <v>0.42965501442659126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092">
        <v>24.811</v>
      </c>
      <c r="C220" s="955"/>
      <c r="D220" s="393">
        <f t="shared" si="77"/>
        <v>25.653165620774253</v>
      </c>
      <c r="E220" s="385">
        <f t="shared" si="75"/>
        <v>27.807993405935495</v>
      </c>
      <c r="F220" s="385">
        <f t="shared" si="78"/>
        <v>27.840766981896916</v>
      </c>
      <c r="G220" s="110">
        <f t="shared" si="76"/>
        <v>0.50484836810527933</v>
      </c>
      <c r="H220" s="414" t="b">
        <f>Wh_hp&gt;='2021'!Maxi_hp</f>
        <v>0</v>
      </c>
      <c r="I220" s="380">
        <f>IF(H220,Wh_hp,'2021'!Maxi_hp)</f>
        <v>54.530894378058939</v>
      </c>
      <c r="J220" s="85">
        <f>IF(H220,An,'2021'!An_max)</f>
        <v>2018</v>
      </c>
      <c r="K220" s="197">
        <f t="shared" si="79"/>
        <v>44767</v>
      </c>
      <c r="L220" s="147">
        <f>IF(t&lt;Tvie,1-EXP((T0-t)*PertePVj)+'2021'!Pspv,1-EXP((T0-t)*PertePVj)+Pspv)</f>
        <v>3.2828916057527691E-2</v>
      </c>
      <c r="M220" s="959"/>
      <c r="N220" s="959"/>
      <c r="O220" s="48">
        <f>IF(t&lt;Tnet,'2021'!Resal+('2021'!Salim-'2021'!Resal)*(1-EXP(('2021'!Tnet-t)/('2021'!Tau_j))),Resal+(Salim-Resal)*(1-EXP((Tnet-t)/(Tau_j))))*Salcycl</f>
        <v>7.7489510073794218E-2</v>
      </c>
      <c r="P220" s="339">
        <f>(INDEX(Models!$BJ220:$BT220,,T220)*(1-R220)+INDEX(Models!$BJ220:$BT220,,T220+1)*R220-ERP_i)*Q220*Ramure*Pc/MaxiM</f>
        <v>3.9947616157858332E-3</v>
      </c>
      <c r="Q220" s="305">
        <f t="shared" si="80"/>
        <v>0.7</v>
      </c>
      <c r="R220" s="177">
        <f t="shared" si="81"/>
        <v>0.43210931541372627</v>
      </c>
      <c r="S220" s="921">
        <f t="shared" si="82"/>
        <v>0</v>
      </c>
      <c r="T220" s="176">
        <f t="shared" si="83"/>
        <v>6</v>
      </c>
      <c r="U220" s="251">
        <f t="shared" si="84"/>
        <v>0.43210931541372627</v>
      </c>
      <c r="V220" s="383">
        <f t="shared" si="85"/>
        <v>49.006814995040301</v>
      </c>
      <c r="W220" s="402">
        <f t="shared" si="86"/>
        <v>0</v>
      </c>
      <c r="X220" s="157">
        <f t="shared" si="87"/>
        <v>44767</v>
      </c>
      <c r="Y220" s="385">
        <f t="shared" si="88"/>
        <v>23.39262490628391</v>
      </c>
      <c r="Z220" s="385">
        <f t="shared" si="89"/>
        <v>24.186646286951348</v>
      </c>
      <c r="AA220" s="386">
        <f t="shared" si="90"/>
        <v>27.807993405935495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0.13022684039515015</v>
      </c>
      <c r="AD220" s="231">
        <f>(INDEX(Models!$BJ220:$BT220,,AH220)*(1-AF220)+INDEX(Models!$BJ220:$BT220,,AH220+1)*AF220-ERP_i)*AE220*Ramure*Pc/MaxiM</f>
        <v>3.9947616157858332E-3</v>
      </c>
      <c r="AE220" s="305">
        <f t="shared" si="92"/>
        <v>0.7</v>
      </c>
      <c r="AF220" s="177">
        <f t="shared" si="93"/>
        <v>0.43210931541372627</v>
      </c>
      <c r="AG220" s="921">
        <f t="shared" si="99"/>
        <v>0</v>
      </c>
      <c r="AH220" s="176">
        <f t="shared" si="94"/>
        <v>6</v>
      </c>
      <c r="AI220" s="225">
        <f t="shared" si="95"/>
        <v>0.43210931541372627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092">
        <v>47.166000000000004</v>
      </c>
      <c r="C221" s="955"/>
      <c r="D221" s="393">
        <f t="shared" si="77"/>
        <v>48.768034799808952</v>
      </c>
      <c r="E221" s="385">
        <f t="shared" si="75"/>
        <v>52.875849521648526</v>
      </c>
      <c r="F221" s="385">
        <f t="shared" si="78"/>
        <v>53.071238028165247</v>
      </c>
      <c r="G221" s="110">
        <f t="shared" si="76"/>
        <v>0.96419233261839166</v>
      </c>
      <c r="H221" s="414" t="b">
        <f>Wh_hp&gt;='2021'!Maxi_hp</f>
        <v>0</v>
      </c>
      <c r="I221" s="380">
        <f>IF(H221,Wh_hp,'2021'!Maxi_hp)</f>
        <v>54.739727703954557</v>
      </c>
      <c r="J221" s="85">
        <f>IF(H221,An,'2021'!An_max)</f>
        <v>2020</v>
      </c>
      <c r="K221" s="197">
        <f t="shared" si="79"/>
        <v>44768</v>
      </c>
      <c r="L221" s="147">
        <f>IF(t&lt;Tvie,1-EXP((T0-t)*PertePVj)+'2021'!Pspv,1-EXP((T0-t)*PertePVj)+Pspv)</f>
        <v>3.2850099586445136E-2</v>
      </c>
      <c r="M221" s="959"/>
      <c r="N221" s="959"/>
      <c r="O221" s="48">
        <f>IF(t&lt;Tnet,'2021'!Resal+('2021'!Salim-'2021'!Resal)*(1-EXP(('2021'!Tnet-t)/('2021'!Tau_j))),Resal+(Salim-Resal)*(1-EXP((Tnet-t)/(Tau_j))))*Salcycl</f>
        <v>7.7687919135138228E-2</v>
      </c>
      <c r="P221" s="339">
        <f>(INDEX(Models!$BJ221:$BT221,,T221)*(1-R221)+INDEX(Models!$BJ221:$BT221,,T221+1)*R221-ERP_i)*Q221*Ramure*Pc/MaxiM</f>
        <v>3.8789937447883463E-3</v>
      </c>
      <c r="Q221" s="305">
        <f t="shared" si="80"/>
        <v>0.7</v>
      </c>
      <c r="R221" s="177">
        <f t="shared" si="81"/>
        <v>0.43449127219158518</v>
      </c>
      <c r="S221" s="921">
        <f t="shared" si="82"/>
        <v>0</v>
      </c>
      <c r="T221" s="176">
        <f t="shared" si="83"/>
        <v>6</v>
      </c>
      <c r="U221" s="251">
        <f t="shared" si="84"/>
        <v>0.43449127219158518</v>
      </c>
      <c r="V221" s="383">
        <f t="shared" si="85"/>
        <v>48.907935698283239</v>
      </c>
      <c r="W221" s="402">
        <f t="shared" si="86"/>
        <v>0</v>
      </c>
      <c r="X221" s="157">
        <f t="shared" si="87"/>
        <v>44768</v>
      </c>
      <c r="Y221" s="385">
        <f t="shared" si="88"/>
        <v>44.471507074935801</v>
      </c>
      <c r="Z221" s="385">
        <f t="shared" si="89"/>
        <v>45.982021045465352</v>
      </c>
      <c r="AA221" s="386">
        <f t="shared" si="90"/>
        <v>52.875849521648526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0.13037764004833044</v>
      </c>
      <c r="AD221" s="231">
        <f>(INDEX(Models!$BJ221:$BT221,,AH221)*(1-AF221)+INDEX(Models!$BJ221:$BT221,,AH221+1)*AF221-ERP_i)*AE221*Ramure*Pc/MaxiM</f>
        <v>3.8789937447883463E-3</v>
      </c>
      <c r="AE221" s="305">
        <f t="shared" si="92"/>
        <v>0.7</v>
      </c>
      <c r="AF221" s="177">
        <f t="shared" si="93"/>
        <v>0.43449127219158518</v>
      </c>
      <c r="AG221" s="921">
        <f t="shared" si="99"/>
        <v>0</v>
      </c>
      <c r="AH221" s="176">
        <f t="shared" si="94"/>
        <v>6</v>
      </c>
      <c r="AI221" s="225">
        <f t="shared" si="95"/>
        <v>0.43449127219158518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092">
        <v>51.067</v>
      </c>
      <c r="C222" s="955"/>
      <c r="D222" s="393">
        <f t="shared" si="77"/>
        <v>52.802692220742323</v>
      </c>
      <c r="E222" s="385">
        <f t="shared" si="75"/>
        <v>57.262640266312928</v>
      </c>
      <c r="F222" s="385">
        <f t="shared" si="78"/>
        <v>57.478883622167693</v>
      </c>
      <c r="G222" s="110">
        <f t="shared" si="76"/>
        <v>1.0462551840388286</v>
      </c>
      <c r="H222" s="414" t="b">
        <f>Wh_hp&gt;='2021'!Maxi_hp</f>
        <v>1</v>
      </c>
      <c r="I222" s="380">
        <f>IF(H222,Wh_hp,'2021'!Maxi_hp)</f>
        <v>57.478883622167693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3.2871282651389055E-2</v>
      </c>
      <c r="M222" s="959"/>
      <c r="N222" s="959"/>
      <c r="O222" s="48">
        <f>IF(t&lt;Tnet,'2021'!Resal+('2021'!Salim-'2021'!Resal)*(1-EXP(('2021'!Tnet-t)/('2021'!Tau_j))),Resal+(Salim-Resal)*(1-EXP((Tnet-t)/(Tau_j))))*Salcycl</f>
        <v>7.7885826165692063E-2</v>
      </c>
      <c r="P222" s="339">
        <f>(INDEX(Models!$BJ222:$BT222,,T222)*(1-R222)+INDEX(Models!$BJ222:$BT222,,T222+1)*R222-ERP_i)*Q222*Ramure*Pc/MaxiM</f>
        <v>3.7621356266454528E-3</v>
      </c>
      <c r="Q222" s="305">
        <f t="shared" si="80"/>
        <v>0.7</v>
      </c>
      <c r="R222" s="177">
        <f t="shared" si="81"/>
        <v>0.43680211369655103</v>
      </c>
      <c r="S222" s="921">
        <f t="shared" si="82"/>
        <v>0</v>
      </c>
      <c r="T222" s="176">
        <f t="shared" si="83"/>
        <v>6</v>
      </c>
      <c r="U222" s="251">
        <f t="shared" si="84"/>
        <v>0.43680211369655103</v>
      </c>
      <c r="V222" s="383">
        <f t="shared" si="85"/>
        <v>48.809316100941594</v>
      </c>
      <c r="W222" s="402">
        <f t="shared" si="86"/>
        <v>0</v>
      </c>
      <c r="X222" s="157">
        <f t="shared" si="87"/>
        <v>44769</v>
      </c>
      <c r="Y222" s="385">
        <f t="shared" si="88"/>
        <v>48.151671572595433</v>
      </c>
      <c r="Z222" s="385">
        <f t="shared" si="89"/>
        <v>49.78827606795042</v>
      </c>
      <c r="AA222" s="386">
        <f t="shared" si="90"/>
        <v>57.262640266312928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0.13052776057131274</v>
      </c>
      <c r="AD222" s="231">
        <f>(INDEX(Models!$BJ222:$BT222,,AH222)*(1-AF222)+INDEX(Models!$BJ222:$BT222,,AH222+1)*AF222-ERP_i)*AE222*Ramure*Pc/MaxiM</f>
        <v>3.7621356266454528E-3</v>
      </c>
      <c r="AE222" s="305">
        <f t="shared" si="92"/>
        <v>0.7</v>
      </c>
      <c r="AF222" s="177">
        <f t="shared" si="93"/>
        <v>0.43680211369655103</v>
      </c>
      <c r="AG222" s="921">
        <f t="shared" si="99"/>
        <v>0</v>
      </c>
      <c r="AH222" s="176">
        <f t="shared" si="94"/>
        <v>6</v>
      </c>
      <c r="AI222" s="225">
        <f t="shared" si="95"/>
        <v>0.43680211369655103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092">
        <v>40.57</v>
      </c>
      <c r="C223" s="955"/>
      <c r="D223" s="393">
        <f t="shared" si="77"/>
        <v>41.949833438725975</v>
      </c>
      <c r="E223" s="385">
        <f t="shared" si="75"/>
        <v>45.502843406174101</v>
      </c>
      <c r="F223" s="385">
        <f t="shared" si="78"/>
        <v>45.629426398059927</v>
      </c>
      <c r="G223" s="110">
        <f t="shared" si="76"/>
        <v>0.83214719245752733</v>
      </c>
      <c r="H223" s="414" t="b">
        <f>Wh_hp&gt;='2021'!Maxi_hp</f>
        <v>0</v>
      </c>
      <c r="I223" s="380">
        <f>IF(H223,Wh_hp,'2021'!Maxi_hp)</f>
        <v>52.534108463708804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3.2892465252369329E-2</v>
      </c>
      <c r="M223" s="959"/>
      <c r="N223" s="959"/>
      <c r="O223" s="48">
        <f>IF(t&lt;Tnet,'2021'!Resal+('2021'!Salim-'2021'!Resal)*(1-EXP(('2021'!Tnet-t)/('2021'!Tau_j))),Resal+(Salim-Resal)*(1-EXP((Tnet-t)/(Tau_j))))*Salcycl</f>
        <v>7.8083251539529816E-2</v>
      </c>
      <c r="P223" s="339">
        <f>(INDEX(Models!$BJ223:$BT223,,T223)*(1-R223)+INDEX(Models!$BJ223:$BT223,,T223+1)*R223-ERP_i)*Q223*Ramure*Pc/MaxiM</f>
        <v>3.6442148214131495E-3</v>
      </c>
      <c r="Q223" s="305">
        <f t="shared" si="80"/>
        <v>0.7</v>
      </c>
      <c r="R223" s="177">
        <f t="shared" si="81"/>
        <v>0.43904311308313254</v>
      </c>
      <c r="S223" s="921">
        <f t="shared" si="82"/>
        <v>0</v>
      </c>
      <c r="T223" s="176">
        <f t="shared" si="83"/>
        <v>6</v>
      </c>
      <c r="U223" s="251">
        <f t="shared" si="84"/>
        <v>0.43904311308313254</v>
      </c>
      <c r="V223" s="383">
        <f t="shared" si="85"/>
        <v>48.710857583200038</v>
      </c>
      <c r="W223" s="402">
        <f t="shared" si="86"/>
        <v>0</v>
      </c>
      <c r="X223" s="157">
        <f t="shared" si="87"/>
        <v>44770</v>
      </c>
      <c r="Y223" s="385">
        <f t="shared" si="88"/>
        <v>38.255541517985009</v>
      </c>
      <c r="Z223" s="385">
        <f t="shared" si="89"/>
        <v>39.55665750031396</v>
      </c>
      <c r="AA223" s="386">
        <f t="shared" si="90"/>
        <v>45.502843406174101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0.13067723818448948</v>
      </c>
      <c r="AD223" s="231">
        <f>(INDEX(Models!$BJ223:$BT223,,AH223)*(1-AF223)+INDEX(Models!$BJ223:$BT223,,AH223+1)*AF223-ERP_i)*AE223*Ramure*Pc/MaxiM</f>
        <v>3.6442148214131495E-3</v>
      </c>
      <c r="AE223" s="305">
        <f t="shared" si="92"/>
        <v>0.7</v>
      </c>
      <c r="AF223" s="177">
        <f t="shared" si="93"/>
        <v>0.43904311308313254</v>
      </c>
      <c r="AG223" s="921">
        <f t="shared" si="99"/>
        <v>0</v>
      </c>
      <c r="AH223" s="176">
        <f t="shared" si="94"/>
        <v>6</v>
      </c>
      <c r="AI223" s="225">
        <f t="shared" si="95"/>
        <v>0.43904311308313254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092">
        <v>27.023</v>
      </c>
      <c r="C224" s="955"/>
      <c r="D224" s="393">
        <f t="shared" si="77"/>
        <v>27.942696044725164</v>
      </c>
      <c r="E224" s="385">
        <f t="shared" si="75"/>
        <v>30.315825337450104</v>
      </c>
      <c r="F224" s="385">
        <f t="shared" si="78"/>
        <v>30.354942654223276</v>
      </c>
      <c r="G224" s="110">
        <f t="shared" si="76"/>
        <v>0.55464137327920315</v>
      </c>
      <c r="H224" s="414" t="b">
        <f>Wh_hp&gt;='2021'!Maxi_hp</f>
        <v>0</v>
      </c>
      <c r="I224" s="380">
        <f>IF(H224,Wh_hp,'2021'!Maxi_hp)</f>
        <v>55.721551124095164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3.2913647389396394E-2</v>
      </c>
      <c r="M224" s="959"/>
      <c r="N224" s="959"/>
      <c r="O224" s="48">
        <f>IF(t&lt;Tnet,'2021'!Resal+('2021'!Salim-'2021'!Resal)*(1-EXP(('2021'!Tnet-t)/('2021'!Tau_j))),Resal+(Salim-Resal)*(1-EXP((Tnet-t)/(Tau_j))))*Salcycl</f>
        <v>7.8280213924881589E-2</v>
      </c>
      <c r="P224" s="339">
        <f>(INDEX(Models!$BJ224:$BT224,,T224)*(1-R224)+INDEX(Models!$BJ224:$BT224,,T224+1)*R224-ERP_i)*Q224*Ramure*Pc/MaxiM</f>
        <v>3.5252563125684178E-3</v>
      </c>
      <c r="Q224" s="305">
        <f t="shared" si="80"/>
        <v>0.7</v>
      </c>
      <c r="R224" s="177">
        <f t="shared" si="81"/>
        <v>0.44121558208716594</v>
      </c>
      <c r="S224" s="921">
        <f t="shared" si="82"/>
        <v>0</v>
      </c>
      <c r="T224" s="176">
        <f t="shared" si="83"/>
        <v>6</v>
      </c>
      <c r="U224" s="251">
        <f t="shared" si="84"/>
        <v>0.44121558208716594</v>
      </c>
      <c r="V224" s="383">
        <f t="shared" si="85"/>
        <v>48.612461806476567</v>
      </c>
      <c r="W224" s="402">
        <f t="shared" si="86"/>
        <v>0</v>
      </c>
      <c r="X224" s="157">
        <f t="shared" si="87"/>
        <v>44771</v>
      </c>
      <c r="Y224" s="385">
        <f t="shared" si="88"/>
        <v>25.482458433917795</v>
      </c>
      <c r="Z224" s="385">
        <f t="shared" si="89"/>
        <v>26.349723957048003</v>
      </c>
      <c r="AA224" s="386">
        <f t="shared" si="90"/>
        <v>30.315825337450104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0.13082610604378464</v>
      </c>
      <c r="AD224" s="231">
        <f>(INDEX(Models!$BJ224:$BT224,,AH224)*(1-AF224)+INDEX(Models!$BJ224:$BT224,,AH224+1)*AF224-ERP_i)*AE224*Ramure*Pc/MaxiM</f>
        <v>3.5252563125684178E-3</v>
      </c>
      <c r="AE224" s="305">
        <f t="shared" si="92"/>
        <v>0.7</v>
      </c>
      <c r="AF224" s="177">
        <f t="shared" si="93"/>
        <v>0.44121558208716594</v>
      </c>
      <c r="AG224" s="921">
        <f t="shared" si="99"/>
        <v>0</v>
      </c>
      <c r="AH224" s="176">
        <f t="shared" si="94"/>
        <v>6</v>
      </c>
      <c r="AI224" s="225">
        <f t="shared" si="95"/>
        <v>0.44121558208716594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092">
        <v>40.722000000000001</v>
      </c>
      <c r="C225" s="955"/>
      <c r="D225" s="393">
        <f t="shared" si="77"/>
        <v>42.10884770105217</v>
      </c>
      <c r="E225" s="385">
        <f t="shared" si="75"/>
        <v>45.694828425125664</v>
      </c>
      <c r="F225" s="385">
        <f t="shared" si="78"/>
        <v>45.815044606494475</v>
      </c>
      <c r="G225" s="110">
        <f t="shared" si="76"/>
        <v>0.83872846867916151</v>
      </c>
      <c r="H225" s="414" t="b">
        <f>Wh_hp&gt;='2021'!Maxi_hp</f>
        <v>0</v>
      </c>
      <c r="I225" s="380">
        <f>IF(H225,Wh_hp,'2021'!Maxi_hp)</f>
        <v>53.533900381500366</v>
      </c>
      <c r="J225" s="85">
        <f>IF(H225,An,'2021'!An_max)</f>
        <v>2018</v>
      </c>
      <c r="K225" s="197">
        <f t="shared" si="79"/>
        <v>44772</v>
      </c>
      <c r="L225" s="147">
        <f>IF(t&lt;Tvie,1-EXP((T0-t)*PertePVj)+'2021'!Pspv,1-EXP((T0-t)*PertePVj)+Pspv)</f>
        <v>3.2934829062480242E-2</v>
      </c>
      <c r="M225" s="959"/>
      <c r="N225" s="959"/>
      <c r="O225" s="48">
        <f>IF(t&lt;Tnet,'2021'!Resal+('2021'!Salim-'2021'!Resal)*(1-EXP(('2021'!Tnet-t)/('2021'!Tau_j))),Resal+(Salim-Resal)*(1-EXP((Tnet-t)/(Tau_j))))*Salcycl</f>
        <v>7.8476730248574655E-2</v>
      </c>
      <c r="P225" s="339">
        <f>(INDEX(Models!$BJ225:$BT225,,T225)*(1-R225)+INDEX(Models!$BJ225:$BT225,,T225+1)*R225-ERP_i)*Q225*Ramure*Pc/MaxiM</f>
        <v>3.4052825643513997E-3</v>
      </c>
      <c r="Q225" s="305">
        <f t="shared" si="80"/>
        <v>0.7</v>
      </c>
      <c r="R225" s="177">
        <f t="shared" si="81"/>
        <v>0.44332086563404838</v>
      </c>
      <c r="S225" s="921">
        <f t="shared" si="82"/>
        <v>0</v>
      </c>
      <c r="T225" s="176">
        <f t="shared" si="83"/>
        <v>6</v>
      </c>
      <c r="U225" s="251">
        <f t="shared" si="84"/>
        <v>0.44332086563404838</v>
      </c>
      <c r="V225" s="383">
        <f t="shared" si="85"/>
        <v>48.514030708815035</v>
      </c>
      <c r="W225" s="402">
        <f t="shared" si="86"/>
        <v>0</v>
      </c>
      <c r="X225" s="157">
        <f t="shared" si="87"/>
        <v>44772</v>
      </c>
      <c r="Y225" s="385">
        <f t="shared" si="88"/>
        <v>38.402134683770406</v>
      </c>
      <c r="Z225" s="385">
        <f t="shared" si="89"/>
        <v>39.709975953886868</v>
      </c>
      <c r="AA225" s="386">
        <f t="shared" si="90"/>
        <v>45.694828425125664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0.13097439420404905</v>
      </c>
      <c r="AD225" s="231">
        <f>(INDEX(Models!$BJ225:$BT225,,AH225)*(1-AF225)+INDEX(Models!$BJ225:$BT225,,AH225+1)*AF225-ERP_i)*AE225*Ramure*Pc/MaxiM</f>
        <v>3.4052825643513997E-3</v>
      </c>
      <c r="AE225" s="305">
        <f t="shared" si="92"/>
        <v>0.7</v>
      </c>
      <c r="AF225" s="177">
        <f t="shared" si="93"/>
        <v>0.44332086563404838</v>
      </c>
      <c r="AG225" s="921">
        <f t="shared" si="99"/>
        <v>0</v>
      </c>
      <c r="AH225" s="176">
        <f t="shared" si="94"/>
        <v>6</v>
      </c>
      <c r="AI225" s="225">
        <f t="shared" si="95"/>
        <v>0.44332086563404838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092">
        <v>48.95</v>
      </c>
      <c r="C226" s="955"/>
      <c r="D226" s="393">
        <f t="shared" si="77"/>
        <v>50.618173030318381</v>
      </c>
      <c r="E226" s="385">
        <f t="shared" si="75"/>
        <v>54.940496591762582</v>
      </c>
      <c r="F226" s="385">
        <f t="shared" si="78"/>
        <v>55.12160846336959</v>
      </c>
      <c r="G226" s="110">
        <f t="shared" si="76"/>
        <v>1.0110419368193317</v>
      </c>
      <c r="H226" s="414" t="b">
        <f>Wh_hp&gt;='2021'!Maxi_hp</f>
        <v>1</v>
      </c>
      <c r="I226" s="380">
        <f>IF(H226,Wh_hp,'2021'!Maxi_hp)</f>
        <v>55.12160846336959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3.2956010271631198E-2</v>
      </c>
      <c r="M226" s="959"/>
      <c r="N226" s="959"/>
      <c r="O226" s="48">
        <f>IF(t&lt;Tnet,'2021'!Resal+('2021'!Salim-'2021'!Resal)*(1-EXP(('2021'!Tnet-t)/('2021'!Tau_j))),Resal+(Salim-Resal)*(1-EXP((Tnet-t)/(Tau_j))))*Salcycl</f>
        <v>7.8672815674772523E-2</v>
      </c>
      <c r="P226" s="339">
        <f>(INDEX(Models!$BJ226:$BT226,,T226)*(1-R226)+INDEX(Models!$BJ226:$BT226,,T226+1)*R226-ERP_i)*Q226*Ramure*Pc/MaxiM</f>
        <v>3.2856782785532284E-3</v>
      </c>
      <c r="Q226" s="305">
        <f t="shared" si="80"/>
        <v>0.7</v>
      </c>
      <c r="R226" s="177">
        <f t="shared" si="81"/>
        <v>0.44536033669952146</v>
      </c>
      <c r="S226" s="921">
        <f t="shared" si="82"/>
        <v>0</v>
      </c>
      <c r="T226" s="176">
        <f t="shared" si="83"/>
        <v>6</v>
      </c>
      <c r="U226" s="251">
        <f t="shared" si="84"/>
        <v>0.44536033669952146</v>
      </c>
      <c r="V226" s="383">
        <f t="shared" si="85"/>
        <v>48.415400209800723</v>
      </c>
      <c r="W226" s="402">
        <f t="shared" si="86"/>
        <v>0</v>
      </c>
      <c r="X226" s="157">
        <f t="shared" si="87"/>
        <v>44773</v>
      </c>
      <c r="Y226" s="385">
        <f t="shared" si="88"/>
        <v>46.1633744009388</v>
      </c>
      <c r="Z226" s="385">
        <f t="shared" si="89"/>
        <v>47.736581677019203</v>
      </c>
      <c r="AA226" s="386">
        <f t="shared" si="90"/>
        <v>54.940496591762582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0.1311221296063691</v>
      </c>
      <c r="AD226" s="231">
        <f>(INDEX(Models!$BJ226:$BT226,,AH226)*(1-AF226)+INDEX(Models!$BJ226:$BT226,,AH226+1)*AF226-ERP_i)*AE226*Ramure*Pc/MaxiM</f>
        <v>3.2856782785532284E-3</v>
      </c>
      <c r="AE226" s="305">
        <f t="shared" si="92"/>
        <v>0.7</v>
      </c>
      <c r="AF226" s="177">
        <f t="shared" si="93"/>
        <v>0.44536033669952146</v>
      </c>
      <c r="AG226" s="921">
        <f t="shared" si="99"/>
        <v>0</v>
      </c>
      <c r="AH226" s="176">
        <f t="shared" si="94"/>
        <v>6</v>
      </c>
      <c r="AI226" s="225">
        <f t="shared" si="95"/>
        <v>0.44536033669952146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092">
        <v>48.877000000000002</v>
      </c>
      <c r="C227" s="955"/>
      <c r="D227" s="393">
        <f t="shared" si="77"/>
        <v>50.543792293168266</v>
      </c>
      <c r="E227" s="385">
        <f t="shared" si="75"/>
        <v>54.871417808574847</v>
      </c>
      <c r="F227" s="385">
        <f t="shared" si="78"/>
        <v>55.045740208106061</v>
      </c>
      <c r="G227" s="110">
        <f t="shared" si="76"/>
        <v>1.0116015621368712</v>
      </c>
      <c r="H227" s="414" t="b">
        <f>Wh_hp&gt;='2021'!Maxi_hp</f>
        <v>1</v>
      </c>
      <c r="I227" s="380">
        <f>IF(H227,Wh_hp,'2021'!Maxi_hp)</f>
        <v>55.045740208106061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3.2977191016859142E-2</v>
      </c>
      <c r="M227" s="959"/>
      <c r="N227" s="959"/>
      <c r="O227" s="48">
        <f>IF(t&lt;Tnet,'2021'!Resal+('2021'!Salim-'2021'!Resal)*(1-EXP(('2021'!Tnet-t)/('2021'!Tau_j))),Resal+(Salim-Resal)*(1-EXP((Tnet-t)/(Tau_j))))*Salcycl</f>
        <v>7.8868483597489561E-2</v>
      </c>
      <c r="P227" s="339">
        <f>(INDEX(Models!$BJ227:$BT227,,T227)*(1-R227)+INDEX(Models!$BJ227:$BT227,,T227+1)*R227-ERP_i)*Q227*Ramure*Pc/MaxiM</f>
        <v>3.1668644816504731E-3</v>
      </c>
      <c r="Q227" s="305">
        <f t="shared" si="80"/>
        <v>0.7</v>
      </c>
      <c r="R227" s="177">
        <f t="shared" si="81"/>
        <v>0.44733539142819068</v>
      </c>
      <c r="S227" s="921">
        <f t="shared" si="82"/>
        <v>0</v>
      </c>
      <c r="T227" s="176">
        <f t="shared" si="83"/>
        <v>6</v>
      </c>
      <c r="U227" s="251">
        <f t="shared" si="84"/>
        <v>0.44733539142819068</v>
      </c>
      <c r="V227" s="383">
        <f t="shared" si="85"/>
        <v>48.316453660623026</v>
      </c>
      <c r="W227" s="402">
        <f t="shared" si="86"/>
        <v>0</v>
      </c>
      <c r="X227" s="157">
        <f t="shared" si="87"/>
        <v>44774</v>
      </c>
      <c r="Y227" s="385">
        <f t="shared" si="88"/>
        <v>46.09651054590902</v>
      </c>
      <c r="Z227" s="385">
        <f t="shared" si="89"/>
        <v>47.668483222625483</v>
      </c>
      <c r="AA227" s="386">
        <f t="shared" si="90"/>
        <v>54.871417808574847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0.13126933608819108</v>
      </c>
      <c r="AD227" s="231">
        <f>(INDEX(Models!$BJ227:$BT227,,AH227)*(1-AF227)+INDEX(Models!$BJ227:$BT227,,AH227+1)*AF227-ERP_i)*AE227*Ramure*Pc/MaxiM</f>
        <v>3.1668644816504731E-3</v>
      </c>
      <c r="AE227" s="305">
        <f t="shared" si="92"/>
        <v>0.7</v>
      </c>
      <c r="AF227" s="177">
        <f t="shared" si="93"/>
        <v>0.44733539142819068</v>
      </c>
      <c r="AG227" s="921">
        <f t="shared" si="99"/>
        <v>0</v>
      </c>
      <c r="AH227" s="176">
        <f t="shared" si="94"/>
        <v>6</v>
      </c>
      <c r="AI227" s="225">
        <f t="shared" si="95"/>
        <v>0.44733539142819068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092">
        <v>48.920999999999999</v>
      </c>
      <c r="C228" s="955"/>
      <c r="D228" s="393">
        <f t="shared" si="77"/>
        <v>50.590400830736108</v>
      </c>
      <c r="E228" s="385">
        <f t="shared" si="75"/>
        <v>54.933661902837891</v>
      </c>
      <c r="F228" s="385">
        <f t="shared" si="78"/>
        <v>55.101659633239557</v>
      </c>
      <c r="G228" s="110">
        <f t="shared" si="76"/>
        <v>1.0145986866280077</v>
      </c>
      <c r="H228" s="414" t="b">
        <f>Wh_hp&gt;='2021'!Maxi_hp</f>
        <v>1</v>
      </c>
      <c r="I228" s="380">
        <f>IF(H228,Wh_hp,'2021'!Maxi_hp)</f>
        <v>55.101659633239557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3.2998371298174511E-2</v>
      </c>
      <c r="M228" s="959"/>
      <c r="N228" s="959"/>
      <c r="O228" s="48">
        <f>IF(t&lt;Tnet,'2021'!Resal+('2021'!Salim-'2021'!Resal)*(1-EXP(('2021'!Tnet-t)/('2021'!Tau_j))),Resal+(Salim-Resal)*(1-EXP((Tnet-t)/(Tau_j))))*Salcycl</f>
        <v>7.9063745646226494E-2</v>
      </c>
      <c r="P228" s="339">
        <f>(INDEX(Models!$BJ228:$BT228,,T228)*(1-R228)+INDEX(Models!$BJ228:$BT228,,T228+1)*R228-ERP_i)*Q228*Ramure*Pc/MaxiM</f>
        <v>3.0488687912464101E-3</v>
      </c>
      <c r="Q228" s="305">
        <f t="shared" si="80"/>
        <v>0.7</v>
      </c>
      <c r="R228" s="177">
        <f t="shared" si="81"/>
        <v>0.4492474445128275</v>
      </c>
      <c r="S228" s="921">
        <f t="shared" si="82"/>
        <v>0</v>
      </c>
      <c r="T228" s="176">
        <f t="shared" si="83"/>
        <v>6</v>
      </c>
      <c r="U228" s="251">
        <f t="shared" si="84"/>
        <v>0.4492474445128275</v>
      </c>
      <c r="V228" s="383">
        <f t="shared" si="85"/>
        <v>48.217093758112057</v>
      </c>
      <c r="W228" s="402">
        <f t="shared" si="86"/>
        <v>0</v>
      </c>
      <c r="X228" s="157">
        <f t="shared" si="87"/>
        <v>44775</v>
      </c>
      <c r="Y228" s="385">
        <f t="shared" si="88"/>
        <v>46.139997181675412</v>
      </c>
      <c r="Z228" s="385">
        <f t="shared" si="89"/>
        <v>47.714497899674853</v>
      </c>
      <c r="AA228" s="386">
        <f t="shared" si="90"/>
        <v>54.933661902837891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0.13141603441495836</v>
      </c>
      <c r="AD228" s="231">
        <f>(INDEX(Models!$BJ228:$BT228,,AH228)*(1-AF228)+INDEX(Models!$BJ228:$BT228,,AH228+1)*AF228-ERP_i)*AE228*Ramure*Pc/MaxiM</f>
        <v>3.0488687912464101E-3</v>
      </c>
      <c r="AE228" s="305">
        <f t="shared" si="92"/>
        <v>0.7</v>
      </c>
      <c r="AF228" s="177">
        <f t="shared" si="93"/>
        <v>0.4492474445128275</v>
      </c>
      <c r="AG228" s="921">
        <f t="shared" si="99"/>
        <v>0</v>
      </c>
      <c r="AH228" s="176">
        <f t="shared" si="94"/>
        <v>6</v>
      </c>
      <c r="AI228" s="225">
        <f t="shared" si="95"/>
        <v>0.4492474445128275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092">
        <v>47.371000000000002</v>
      </c>
      <c r="C229" s="955"/>
      <c r="D229" s="393">
        <f t="shared" si="77"/>
        <v>48.988580952852814</v>
      </c>
      <c r="E229" s="385">
        <f t="shared" si="75"/>
        <v>53.205581475502463</v>
      </c>
      <c r="F229" s="385">
        <f t="shared" si="78"/>
        <v>53.3585478691516</v>
      </c>
      <c r="G229" s="110">
        <f t="shared" si="76"/>
        <v>0.98442742340002787</v>
      </c>
      <c r="H229" s="414" t="b">
        <f>Wh_hp&gt;='2021'!Maxi_hp</f>
        <v>0</v>
      </c>
      <c r="I229" s="380">
        <f>IF(H229,Wh_hp,'2021'!Maxi_hp)</f>
        <v>53.74274506897126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3.3019551115587298E-2</v>
      </c>
      <c r="M229" s="959"/>
      <c r="N229" s="959"/>
      <c r="O229" s="48">
        <f>IF(t&lt;Tnet,'2021'!Resal+('2021'!Salim-'2021'!Resal)*(1-EXP(('2021'!Tnet-t)/('2021'!Tau_j))),Resal+(Salim-Resal)*(1-EXP((Tnet-t)/(Tau_j))))*Salcycl</f>
        <v>7.9258611703948545E-2</v>
      </c>
      <c r="P229" s="339">
        <f>(INDEX(Models!$BJ229:$BT229,,T229)*(1-R229)+INDEX(Models!$BJ229:$BT229,,T229+1)*R229-ERP_i)*Q229*Ramure*Pc/MaxiM</f>
        <v>2.9317165153785216E-3</v>
      </c>
      <c r="Q229" s="305">
        <f t="shared" si="80"/>
        <v>0.7</v>
      </c>
      <c r="R229" s="177">
        <f t="shared" si="81"/>
        <v>0.45109792483555045</v>
      </c>
      <c r="S229" s="921">
        <f t="shared" si="82"/>
        <v>0</v>
      </c>
      <c r="T229" s="176">
        <f t="shared" si="83"/>
        <v>6</v>
      </c>
      <c r="U229" s="251">
        <f t="shared" si="84"/>
        <v>0.45109792483555045</v>
      </c>
      <c r="V229" s="383">
        <f t="shared" si="85"/>
        <v>48.117223462825933</v>
      </c>
      <c r="W229" s="402">
        <f t="shared" si="86"/>
        <v>0</v>
      </c>
      <c r="X229" s="157">
        <f t="shared" si="87"/>
        <v>44776</v>
      </c>
      <c r="Y229" s="385">
        <f t="shared" si="88"/>
        <v>44.680043214560264</v>
      </c>
      <c r="Z229" s="385">
        <f t="shared" si="89"/>
        <v>46.205735872019744</v>
      </c>
      <c r="AA229" s="386">
        <f t="shared" si="90"/>
        <v>53.205581475502463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0.13156224233176872</v>
      </c>
      <c r="AD229" s="231">
        <f>(INDEX(Models!$BJ229:$BT229,,AH229)*(1-AF229)+INDEX(Models!$BJ229:$BT229,,AH229+1)*AF229-ERP_i)*AE229*Ramure*Pc/MaxiM</f>
        <v>2.9317165153785216E-3</v>
      </c>
      <c r="AE229" s="305">
        <f t="shared" si="92"/>
        <v>0.7</v>
      </c>
      <c r="AF229" s="177">
        <f t="shared" si="93"/>
        <v>0.45109792483555045</v>
      </c>
      <c r="AG229" s="921">
        <f t="shared" si="99"/>
        <v>0</v>
      </c>
      <c r="AH229" s="176">
        <f t="shared" si="94"/>
        <v>6</v>
      </c>
      <c r="AI229" s="225">
        <f t="shared" si="95"/>
        <v>0.45109792483555045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092">
        <v>46.856999999999999</v>
      </c>
      <c r="C230" s="955"/>
      <c r="D230" s="393">
        <f t="shared" si="77"/>
        <v>48.458090714340088</v>
      </c>
      <c r="E230" s="385">
        <f t="shared" si="75"/>
        <v>52.640544642095598</v>
      </c>
      <c r="F230" s="385">
        <f t="shared" si="78"/>
        <v>52.784026753635928</v>
      </c>
      <c r="G230" s="110">
        <f t="shared" si="76"/>
        <v>0.97575199528809342</v>
      </c>
      <c r="H230" s="414" t="b">
        <f>Wh_hp&gt;='2021'!Maxi_hp</f>
        <v>1</v>
      </c>
      <c r="I230" s="380">
        <f>IF(H230,Wh_hp,'2021'!Maxi_hp)</f>
        <v>52.784026753635928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3.3040730469107826E-2</v>
      </c>
      <c r="M230" s="959"/>
      <c r="N230" s="959"/>
      <c r="O230" s="48">
        <f>IF(t&lt;Tnet,'2021'!Resal+('2021'!Salim-'2021'!Resal)*(1-EXP(('2021'!Tnet-t)/('2021'!Tau_j))),Resal+(Salim-Resal)*(1-EXP((Tnet-t)/(Tau_j))))*Salcycl</f>
        <v>7.9453089936514093E-2</v>
      </c>
      <c r="P230" s="339">
        <f>(INDEX(Models!$BJ230:$BT230,,T230)*(1-R230)+INDEX(Models!$BJ230:$BT230,,T230+1)*R230-ERP_i)*Q230*Ramure*Pc/MaxiM</f>
        <v>2.815430800879086E-3</v>
      </c>
      <c r="Q230" s="305">
        <f t="shared" si="80"/>
        <v>0.7</v>
      </c>
      <c r="R230" s="177">
        <f t="shared" si="81"/>
        <v>0.45288827137022725</v>
      </c>
      <c r="S230" s="921">
        <f t="shared" si="82"/>
        <v>0</v>
      </c>
      <c r="T230" s="176">
        <f t="shared" si="83"/>
        <v>6</v>
      </c>
      <c r="U230" s="251">
        <f t="shared" si="84"/>
        <v>0.45288827137022725</v>
      </c>
      <c r="V230" s="383">
        <f t="shared" si="85"/>
        <v>48.016745989159226</v>
      </c>
      <c r="W230" s="402">
        <f t="shared" si="86"/>
        <v>0</v>
      </c>
      <c r="X230" s="157">
        <f t="shared" si="87"/>
        <v>44777</v>
      </c>
      <c r="Y230" s="385">
        <f t="shared" si="88"/>
        <v>44.197160392181772</v>
      </c>
      <c r="Z230" s="385">
        <f t="shared" si="89"/>
        <v>45.7073651236866</v>
      </c>
      <c r="AA230" s="386">
        <f t="shared" si="90"/>
        <v>52.640544642095598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0.13170797463339065</v>
      </c>
      <c r="AD230" s="231">
        <f>(INDEX(Models!$BJ230:$BT230,,AH230)*(1-AF230)+INDEX(Models!$BJ230:$BT230,,AH230+1)*AF230-ERP_i)*AE230*Ramure*Pc/MaxiM</f>
        <v>2.815430800879086E-3</v>
      </c>
      <c r="AE230" s="305">
        <f t="shared" si="92"/>
        <v>0.7</v>
      </c>
      <c r="AF230" s="177">
        <f t="shared" si="93"/>
        <v>0.45288827137022725</v>
      </c>
      <c r="AG230" s="921">
        <f t="shared" si="99"/>
        <v>0</v>
      </c>
      <c r="AH230" s="176">
        <f t="shared" si="94"/>
        <v>6</v>
      </c>
      <c r="AI230" s="225">
        <f t="shared" si="95"/>
        <v>0.45288827137022725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092">
        <v>42.246000000000002</v>
      </c>
      <c r="C231" s="955"/>
      <c r="D231" s="393">
        <f t="shared" si="77"/>
        <v>43.690491055102925</v>
      </c>
      <c r="E231" s="385">
        <f t="shared" si="75"/>
        <v>47.471459238267457</v>
      </c>
      <c r="F231" s="385">
        <f t="shared" si="78"/>
        <v>47.578207340264292</v>
      </c>
      <c r="G231" s="110">
        <f t="shared" si="76"/>
        <v>0.88127262651070581</v>
      </c>
      <c r="H231" s="414" t="b">
        <f>Wh_hp&gt;='2021'!Maxi_hp</f>
        <v>0</v>
      </c>
      <c r="I231" s="380">
        <f>IF(H231,Wh_hp,'2021'!Maxi_hp)</f>
        <v>53.36011340472448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3.3061909358746089E-2</v>
      </c>
      <c r="M231" s="959"/>
      <c r="N231" s="959"/>
      <c r="O231" s="48">
        <f>IF(t&lt;Tnet,'2021'!Resal+('2021'!Salim-'2021'!Resal)*(1-EXP(('2021'!Tnet-t)/('2021'!Tau_j))),Resal+(Salim-Resal)*(1-EXP((Tnet-t)/(Tau_j))))*Salcycl</f>
        <v>7.9647186832559766E-2</v>
      </c>
      <c r="P231" s="339">
        <f>(INDEX(Models!$BJ231:$BT231,,T231)*(1-R231)+INDEX(Models!$BJ231:$BT231,,T231+1)*R231-ERP_i)*Q231*Ramure*Pc/MaxiM</f>
        <v>2.7000327802426866E-3</v>
      </c>
      <c r="Q231" s="305">
        <f t="shared" si="80"/>
        <v>0.7</v>
      </c>
      <c r="R231" s="177">
        <f t="shared" si="81"/>
        <v>0.45461992934386958</v>
      </c>
      <c r="S231" s="921">
        <f t="shared" si="82"/>
        <v>0</v>
      </c>
      <c r="T231" s="176">
        <f t="shared" si="83"/>
        <v>6</v>
      </c>
      <c r="U231" s="251">
        <f t="shared" si="84"/>
        <v>0.45461992934386958</v>
      </c>
      <c r="V231" s="383">
        <f t="shared" si="85"/>
        <v>47.915564793845846</v>
      </c>
      <c r="W231" s="402">
        <f t="shared" si="86"/>
        <v>0</v>
      </c>
      <c r="X231" s="157">
        <f t="shared" si="87"/>
        <v>44778</v>
      </c>
      <c r="Y231" s="385">
        <f t="shared" si="88"/>
        <v>39.849639573984881</v>
      </c>
      <c r="Z231" s="385">
        <f t="shared" si="89"/>
        <v>41.212193375852429</v>
      </c>
      <c r="AA231" s="386">
        <f t="shared" si="90"/>
        <v>47.471459238267457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0.13185324325082776</v>
      </c>
      <c r="AD231" s="231">
        <f>(INDEX(Models!$BJ231:$BT231,,AH231)*(1-AF231)+INDEX(Models!$BJ231:$BT231,,AH231+1)*AF231-ERP_i)*AE231*Ramure*Pc/MaxiM</f>
        <v>2.7000327802426866E-3</v>
      </c>
      <c r="AE231" s="305">
        <f t="shared" si="92"/>
        <v>0.7</v>
      </c>
      <c r="AF231" s="177">
        <f t="shared" si="93"/>
        <v>0.45461992934386958</v>
      </c>
      <c r="AG231" s="921">
        <f t="shared" si="99"/>
        <v>0</v>
      </c>
      <c r="AH231" s="176">
        <f t="shared" si="94"/>
        <v>6</v>
      </c>
      <c r="AI231" s="225">
        <f t="shared" si="95"/>
        <v>0.45461992934386958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092">
        <v>44.658999999999999</v>
      </c>
      <c r="C232" s="955"/>
      <c r="D232" s="393">
        <f t="shared" si="77"/>
        <v>46.18700886891434</v>
      </c>
      <c r="E232" s="385">
        <f t="shared" si="75"/>
        <v>50.194590514796396</v>
      </c>
      <c r="F232" s="385">
        <f t="shared" si="78"/>
        <v>50.312414544391594</v>
      </c>
      <c r="G232" s="110">
        <f t="shared" si="76"/>
        <v>0.93379512698680422</v>
      </c>
      <c r="H232" s="414" t="b">
        <f>Wh_hp&gt;='2021'!Maxi_hp</f>
        <v>0</v>
      </c>
      <c r="I232" s="380">
        <f>IF(H232,Wh_hp,'2021'!Maxi_hp)</f>
        <v>54.203152791652954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3.3083087784512299E-2</v>
      </c>
      <c r="M232" s="959"/>
      <c r="N232" s="959"/>
      <c r="O232" s="48">
        <f>IF(t&lt;Tnet,'2021'!Resal+('2021'!Salim-'2021'!Resal)*(1-EXP(('2021'!Tnet-t)/('2021'!Tau_j))),Resal+(Salim-Resal)*(1-EXP((Tnet-t)/(Tau_j))))*Salcycl</f>
        <v>7.9840907252758664E-2</v>
      </c>
      <c r="P232" s="339">
        <f>(INDEX(Models!$BJ232:$BT232,,T232)*(1-R232)+INDEX(Models!$BJ232:$BT232,,T232+1)*R232-ERP_i)*Q232*Ramure*Pc/MaxiM</f>
        <v>2.5855417155111623E-3</v>
      </c>
      <c r="Q232" s="305">
        <f t="shared" si="80"/>
        <v>0.7</v>
      </c>
      <c r="R232" s="177">
        <f t="shared" si="81"/>
        <v>0.45629434665340113</v>
      </c>
      <c r="S232" s="921">
        <f t="shared" si="82"/>
        <v>0</v>
      </c>
      <c r="T232" s="176">
        <f t="shared" si="83"/>
        <v>6</v>
      </c>
      <c r="U232" s="251">
        <f t="shared" si="84"/>
        <v>0.45629434665340113</v>
      </c>
      <c r="V232" s="383">
        <f t="shared" si="85"/>
        <v>47.813583566206376</v>
      </c>
      <c r="W232" s="402">
        <f t="shared" si="86"/>
        <v>0</v>
      </c>
      <c r="X232" s="157">
        <f t="shared" si="87"/>
        <v>44779</v>
      </c>
      <c r="Y232" s="385">
        <f t="shared" si="88"/>
        <v>42.127604956834439</v>
      </c>
      <c r="Z232" s="385">
        <f t="shared" si="89"/>
        <v>43.569002077239347</v>
      </c>
      <c r="AA232" s="386">
        <f t="shared" si="90"/>
        <v>50.194590514796396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0.13199805735249406</v>
      </c>
      <c r="AD232" s="231">
        <f>(INDEX(Models!$BJ232:$BT232,,AH232)*(1-AF232)+INDEX(Models!$BJ232:$BT232,,AH232+1)*AF232-ERP_i)*AE232*Ramure*Pc/MaxiM</f>
        <v>2.5855417155111623E-3</v>
      </c>
      <c r="AE232" s="305">
        <f t="shared" si="92"/>
        <v>0.7</v>
      </c>
      <c r="AF232" s="177">
        <f t="shared" si="93"/>
        <v>0.45629434665340113</v>
      </c>
      <c r="AG232" s="921">
        <f t="shared" si="99"/>
        <v>0</v>
      </c>
      <c r="AH232" s="176">
        <f t="shared" si="94"/>
        <v>6</v>
      </c>
      <c r="AI232" s="225">
        <f t="shared" si="95"/>
        <v>0.45629434665340113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092">
        <v>47.639000000000003</v>
      </c>
      <c r="C233" s="955"/>
      <c r="D233" s="393">
        <f t="shared" si="77"/>
        <v>49.27004878843114</v>
      </c>
      <c r="E233" s="385">
        <f t="shared" ref="E233:E296" si="100">Wh_pvt/(1-Psa)</f>
        <v>53.556394929652868</v>
      </c>
      <c r="F233" s="385">
        <f t="shared" si="78"/>
        <v>53.68882696502358</v>
      </c>
      <c r="G233" s="110">
        <f t="shared" ref="G233:G296" si="101">+Wh_hp/MaxiM</f>
        <v>0.99849032009658967</v>
      </c>
      <c r="H233" s="414" t="b">
        <f>Wh_hp&gt;='2021'!Maxi_hp</f>
        <v>1</v>
      </c>
      <c r="I233" s="380">
        <f>IF(H233,Wh_hp,'2021'!Maxi_hp)</f>
        <v>53.68882696502358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3.3104265746416672E-2</v>
      </c>
      <c r="M233" s="959"/>
      <c r="N233" s="959"/>
      <c r="O233" s="48">
        <f>IF(t&lt;Tnet,'2021'!Resal+('2021'!Salim-'2021'!Resal)*(1-EXP(('2021'!Tnet-t)/('2021'!Tau_j))),Resal+(Salim-Resal)*(1-EXP((Tnet-t)/(Tau_j))))*Salcycl</f>
        <v>8.0034254487291553E-2</v>
      </c>
      <c r="P233" s="339">
        <f>(INDEX(Models!$BJ233:$BT233,,T233)*(1-R233)+INDEX(Models!$BJ233:$BT233,,T233+1)*R233-ERP_i)*Q233*Ramure*Pc/MaxiM</f>
        <v>2.4719716199381975E-3</v>
      </c>
      <c r="Q233" s="305">
        <f t="shared" si="80"/>
        <v>0.7</v>
      </c>
      <c r="R233" s="177">
        <f t="shared" si="81"/>
        <v>0.4579129705329647</v>
      </c>
      <c r="S233" s="921">
        <f t="shared" si="82"/>
        <v>0</v>
      </c>
      <c r="T233" s="176">
        <f t="shared" si="83"/>
        <v>6</v>
      </c>
      <c r="U233" s="251">
        <f t="shared" si="84"/>
        <v>0.4579129705329647</v>
      </c>
      <c r="V233" s="383">
        <f t="shared" si="85"/>
        <v>47.71077428974418</v>
      </c>
      <c r="W233" s="402">
        <f t="shared" si="86"/>
        <v>0</v>
      </c>
      <c r="X233" s="157">
        <f t="shared" si="87"/>
        <v>44780</v>
      </c>
      <c r="Y233" s="385">
        <f t="shared" si="88"/>
        <v>44.940659247964497</v>
      </c>
      <c r="Z233" s="385">
        <f t="shared" si="89"/>
        <v>46.479323111976946</v>
      </c>
      <c r="AA233" s="386">
        <f t="shared" si="90"/>
        <v>53.556394929652868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0.13214242345795973</v>
      </c>
      <c r="AD233" s="231">
        <f>(INDEX(Models!$BJ233:$BT233,,AH233)*(1-AF233)+INDEX(Models!$BJ233:$BT233,,AH233+1)*AF233-ERP_i)*AE233*Ramure*Pc/MaxiM</f>
        <v>2.4719716199381975E-3</v>
      </c>
      <c r="AE233" s="305">
        <f t="shared" si="92"/>
        <v>0.7</v>
      </c>
      <c r="AF233" s="177">
        <f t="shared" si="93"/>
        <v>0.4579129705329647</v>
      </c>
      <c r="AG233" s="921">
        <f t="shared" si="99"/>
        <v>0</v>
      </c>
      <c r="AH233" s="176">
        <f t="shared" si="94"/>
        <v>6</v>
      </c>
      <c r="AI233" s="225">
        <f t="shared" si="95"/>
        <v>0.4579129705329647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092">
        <v>48.218000000000004</v>
      </c>
      <c r="C234" s="955"/>
      <c r="D234" s="393">
        <f t="shared" si="77"/>
        <v>49.869964684769009</v>
      </c>
      <c r="E234" s="385">
        <f t="shared" si="100"/>
        <v>54.219875091688351</v>
      </c>
      <c r="F234" s="385">
        <f t="shared" si="78"/>
        <v>54.348181539187038</v>
      </c>
      <c r="G234" s="110">
        <f t="shared" si="101"/>
        <v>1.0128309621752034</v>
      </c>
      <c r="H234" s="414" t="b">
        <f>Wh_hp&gt;='2021'!Maxi_hp</f>
        <v>1</v>
      </c>
      <c r="I234" s="380">
        <f>IF(H234,Wh_hp,'2021'!Maxi_hp)</f>
        <v>54.348181539187038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3.312544324446931E-2</v>
      </c>
      <c r="M234" s="959"/>
      <c r="N234" s="959"/>
      <c r="O234" s="48">
        <f>IF(t&lt;Tnet,'2021'!Resal+('2021'!Salim-'2021'!Resal)*(1-EXP(('2021'!Tnet-t)/('2021'!Tau_j))),Resal+(Salim-Resal)*(1-EXP((Tnet-t)/(Tau_j))))*Salcycl</f>
        <v>8.0227230320310386E-2</v>
      </c>
      <c r="P234" s="339">
        <f>(INDEX(Models!$BJ234:$BT234,,T234)*(1-R234)+INDEX(Models!$BJ234:$BT234,,T234+1)*R234-ERP_i)*Q234*Ramure*Pc/MaxiM</f>
        <v>2.360823193434254E-3</v>
      </c>
      <c r="Q234" s="305">
        <f t="shared" si="80"/>
        <v>0.7</v>
      </c>
      <c r="R234" s="177">
        <f t="shared" si="81"/>
        <v>0.45947724446588623</v>
      </c>
      <c r="S234" s="921">
        <f t="shared" si="82"/>
        <v>0</v>
      </c>
      <c r="T234" s="176">
        <f t="shared" si="83"/>
        <v>6</v>
      </c>
      <c r="U234" s="251">
        <f t="shared" si="84"/>
        <v>0.45947724446588623</v>
      </c>
      <c r="V234" s="383">
        <f t="shared" si="85"/>
        <v>47.607154402591284</v>
      </c>
      <c r="W234" s="402">
        <f t="shared" si="86"/>
        <v>0</v>
      </c>
      <c r="X234" s="157">
        <f t="shared" si="87"/>
        <v>44781</v>
      </c>
      <c r="Y234" s="385">
        <f t="shared" si="88"/>
        <v>45.488862433114726</v>
      </c>
      <c r="Z234" s="385">
        <f t="shared" si="89"/>
        <v>47.047325958972721</v>
      </c>
      <c r="AA234" s="386">
        <f t="shared" si="90"/>
        <v>54.219875091688351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0.1322863455621488</v>
      </c>
      <c r="AD234" s="231">
        <f>(INDEX(Models!$BJ234:$BT234,,AH234)*(1-AF234)+INDEX(Models!$BJ234:$BT234,,AH234+1)*AF234-ERP_i)*AE234*Ramure*Pc/MaxiM</f>
        <v>2.360823193434254E-3</v>
      </c>
      <c r="AE234" s="305">
        <f t="shared" si="92"/>
        <v>0.7</v>
      </c>
      <c r="AF234" s="177">
        <f t="shared" si="93"/>
        <v>0.45947724446588623</v>
      </c>
      <c r="AG234" s="921">
        <f t="shared" si="99"/>
        <v>0</v>
      </c>
      <c r="AH234" s="176">
        <f t="shared" si="94"/>
        <v>6</v>
      </c>
      <c r="AI234" s="225">
        <f t="shared" si="95"/>
        <v>0.45947724446588623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092">
        <v>46.454999999999998</v>
      </c>
      <c r="C235" s="955"/>
      <c r="D235" s="393">
        <f t="shared" si="77"/>
        <v>48.047616085688119</v>
      </c>
      <c r="E235" s="385">
        <f t="shared" si="100"/>
        <v>52.249513331901497</v>
      </c>
      <c r="F235" s="385">
        <f t="shared" si="78"/>
        <v>52.363722024661222</v>
      </c>
      <c r="G235" s="110">
        <f t="shared" si="101"/>
        <v>0.9778726596169508</v>
      </c>
      <c r="H235" s="414" t="b">
        <f>Wh_hp&gt;='2021'!Maxi_hp</f>
        <v>0</v>
      </c>
      <c r="I235" s="380">
        <f>IF(H235,Wh_hp,'2021'!Maxi_hp)</f>
        <v>54.505372378920782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3.3146620278680428E-2</v>
      </c>
      <c r="M235" s="959"/>
      <c r="N235" s="959"/>
      <c r="O235" s="48">
        <f>IF(t&lt;Tnet,'2021'!Resal+('2021'!Salim-'2021'!Resal)*(1-EXP(('2021'!Tnet-t)/('2021'!Tau_j))),Resal+(Salim-Resal)*(1-EXP((Tnet-t)/(Tau_j))))*Salcycl</f>
        <v>8.0419835100126472E-2</v>
      </c>
      <c r="P235" s="339">
        <f>(INDEX(Models!$BJ235:$BT235,,T235)*(1-R235)+INDEX(Models!$BJ235:$BT235,,T235+1)*R235-ERP_i)*Q235*Ramure*Pc/MaxiM</f>
        <v>2.2520291990541165E-3</v>
      </c>
      <c r="Q235" s="305">
        <f t="shared" si="80"/>
        <v>0.7</v>
      </c>
      <c r="R235" s="177">
        <f t="shared" si="81"/>
        <v>0.46098860533451452</v>
      </c>
      <c r="S235" s="921">
        <f t="shared" si="82"/>
        <v>0</v>
      </c>
      <c r="T235" s="176">
        <f t="shared" si="83"/>
        <v>6</v>
      </c>
      <c r="U235" s="251">
        <f t="shared" si="84"/>
        <v>0.46098860533451452</v>
      </c>
      <c r="V235" s="383">
        <f t="shared" si="85"/>
        <v>47.502806940671725</v>
      </c>
      <c r="W235" s="402">
        <f t="shared" si="86"/>
        <v>0</v>
      </c>
      <c r="X235" s="157">
        <f t="shared" si="87"/>
        <v>44782</v>
      </c>
      <c r="Y235" s="385">
        <f t="shared" si="88"/>
        <v>43.827579155724706</v>
      </c>
      <c r="Z235" s="385">
        <f t="shared" si="89"/>
        <v>45.330119411029337</v>
      </c>
      <c r="AA235" s="386">
        <f t="shared" si="90"/>
        <v>52.249513331901497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0.13242982526781641</v>
      </c>
      <c r="AD235" s="231">
        <f>(INDEX(Models!$BJ235:$BT235,,AH235)*(1-AF235)+INDEX(Models!$BJ235:$BT235,,AH235+1)*AF235-ERP_i)*AE235*Ramure*Pc/MaxiM</f>
        <v>2.2520291990541165E-3</v>
      </c>
      <c r="AE235" s="305">
        <f t="shared" si="92"/>
        <v>0.7</v>
      </c>
      <c r="AF235" s="177">
        <f t="shared" si="93"/>
        <v>0.46098860533451452</v>
      </c>
      <c r="AG235" s="921">
        <f t="shared" si="99"/>
        <v>0</v>
      </c>
      <c r="AH235" s="176">
        <f t="shared" si="94"/>
        <v>6</v>
      </c>
      <c r="AI235" s="225">
        <f t="shared" si="95"/>
        <v>0.46098860533451452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092">
        <v>45.12</v>
      </c>
      <c r="C236" s="955"/>
      <c r="D236" s="393">
        <f t="shared" si="77"/>
        <v>46.66787044634254</v>
      </c>
      <c r="E236" s="385">
        <f t="shared" si="100"/>
        <v>50.759716124805877</v>
      </c>
      <c r="F236" s="385">
        <f t="shared" si="78"/>
        <v>50.861352586452817</v>
      </c>
      <c r="G236" s="110">
        <f t="shared" si="101"/>
        <v>0.95180219317154469</v>
      </c>
      <c r="H236" s="414" t="b">
        <f>Wh_hp&gt;='2021'!Maxi_hp</f>
        <v>0</v>
      </c>
      <c r="I236" s="380">
        <f>IF(H236,Wh_hp,'2021'!Maxi_hp)</f>
        <v>52.854099421104479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3.3167796849060127E-2</v>
      </c>
      <c r="M236" s="959"/>
      <c r="N236" s="959"/>
      <c r="O236" s="48">
        <f>IF(t&lt;Tnet,'2021'!Resal+('2021'!Salim-'2021'!Resal)*(1-EXP(('2021'!Tnet-t)/('2021'!Tau_j))),Resal+(Salim-Resal)*(1-EXP((Tnet-t)/(Tau_j))))*Salcycl</f>
        <v>8.0612067813824587E-2</v>
      </c>
      <c r="P236" s="339">
        <f>(INDEX(Models!$BJ236:$BT236,,T236)*(1-R236)+INDEX(Models!$BJ236:$BT236,,T236+1)*R236-ERP_i)*Q236*Ramure*Pc/MaxiM</f>
        <v>2.1456073407447175E-3</v>
      </c>
      <c r="Q236" s="305">
        <f t="shared" si="80"/>
        <v>0.7</v>
      </c>
      <c r="R236" s="177">
        <f t="shared" si="81"/>
        <v>0.46244848080041168</v>
      </c>
      <c r="S236" s="921">
        <f t="shared" si="82"/>
        <v>0</v>
      </c>
      <c r="T236" s="176">
        <f t="shared" si="83"/>
        <v>6</v>
      </c>
      <c r="U236" s="251">
        <f t="shared" si="84"/>
        <v>0.46244848080041168</v>
      </c>
      <c r="V236" s="383">
        <f t="shared" si="85"/>
        <v>47.39781091527761</v>
      </c>
      <c r="W236" s="402">
        <f t="shared" si="86"/>
        <v>0</v>
      </c>
      <c r="X236" s="157">
        <f t="shared" si="87"/>
        <v>44783</v>
      </c>
      <c r="Y236" s="385">
        <f t="shared" si="88"/>
        <v>42.569965408311177</v>
      </c>
      <c r="Z236" s="385">
        <f t="shared" si="89"/>
        <v>44.030355287685055</v>
      </c>
      <c r="AA236" s="386">
        <f t="shared" si="90"/>
        <v>50.759716124805877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0.13257286192410833</v>
      </c>
      <c r="AD236" s="231">
        <f>(INDEX(Models!$BJ236:$BT236,,AH236)*(1-AF236)+INDEX(Models!$BJ236:$BT236,,AH236+1)*AF236-ERP_i)*AE236*Ramure*Pc/MaxiM</f>
        <v>2.1456073407447175E-3</v>
      </c>
      <c r="AE236" s="305">
        <f t="shared" si="92"/>
        <v>0.7</v>
      </c>
      <c r="AF236" s="177">
        <f t="shared" si="93"/>
        <v>0.46244848080041168</v>
      </c>
      <c r="AG236" s="921">
        <f t="shared" si="99"/>
        <v>0</v>
      </c>
      <c r="AH236" s="176">
        <f t="shared" si="94"/>
        <v>6</v>
      </c>
      <c r="AI236" s="225">
        <f t="shared" si="95"/>
        <v>0.46244848080041168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092">
        <v>42.69</v>
      </c>
      <c r="C237" s="955"/>
      <c r="D237" s="393">
        <f t="shared" si="77"/>
        <v>44.155474861004365</v>
      </c>
      <c r="E237" s="385">
        <f t="shared" si="100"/>
        <v>48.037057726739135</v>
      </c>
      <c r="F237" s="385">
        <f t="shared" si="78"/>
        <v>48.121643678773488</v>
      </c>
      <c r="G237" s="110">
        <f t="shared" si="101"/>
        <v>0.90242833553081503</v>
      </c>
      <c r="H237" s="414" t="b">
        <f>Wh_hp&gt;='2021'!Maxi_hp</f>
        <v>0</v>
      </c>
      <c r="I237" s="380">
        <f>IF(H237,Wh_hp,'2021'!Maxi_hp)</f>
        <v>52.879735063277003</v>
      </c>
      <c r="J237" s="85">
        <f>IF(H237,An,'2021'!An_max)</f>
        <v>2018</v>
      </c>
      <c r="K237" s="197">
        <f t="shared" si="79"/>
        <v>44784</v>
      </c>
      <c r="L237" s="147">
        <f>IF(t&lt;Tvie,1-EXP((T0-t)*PertePVj)+'2021'!Pspv,1-EXP((T0-t)*PertePVj)+Pspv)</f>
        <v>3.3188972955618512E-2</v>
      </c>
      <c r="M237" s="959"/>
      <c r="N237" s="959"/>
      <c r="O237" s="48">
        <f>IF(t&lt;Tnet,'2021'!Resal+('2021'!Salim-'2021'!Resal)*(1-EXP(('2021'!Tnet-t)/('2021'!Tau_j))),Resal+(Salim-Resal)*(1-EXP((Tnet-t)/(Tau_j))))*Salcycl</f>
        <v>8.0803926164989603E-2</v>
      </c>
      <c r="P237" s="339">
        <f>(INDEX(Models!$BJ237:$BT237,,T237)*(1-R237)+INDEX(Models!$BJ237:$BT237,,T237+1)*R237-ERP_i)*Q237*Ramure*Pc/MaxiM</f>
        <v>2.0415755404696004E-3</v>
      </c>
      <c r="Q237" s="305">
        <f t="shared" si="80"/>
        <v>0.7</v>
      </c>
      <c r="R237" s="177">
        <f t="shared" si="81"/>
        <v>0.46385828690675418</v>
      </c>
      <c r="S237" s="921">
        <f t="shared" si="82"/>
        <v>0</v>
      </c>
      <c r="T237" s="176">
        <f t="shared" si="83"/>
        <v>6</v>
      </c>
      <c r="U237" s="251">
        <f t="shared" si="84"/>
        <v>0.46385828690675418</v>
      </c>
      <c r="V237" s="383">
        <f t="shared" si="85"/>
        <v>47.2922453673932</v>
      </c>
      <c r="W237" s="402">
        <f t="shared" si="86"/>
        <v>0</v>
      </c>
      <c r="X237" s="157">
        <f t="shared" si="87"/>
        <v>44784</v>
      </c>
      <c r="Y237" s="385">
        <f t="shared" si="88"/>
        <v>40.279085578358305</v>
      </c>
      <c r="Z237" s="385">
        <f t="shared" si="89"/>
        <v>41.66179786084431</v>
      </c>
      <c r="AA237" s="386">
        <f t="shared" si="90"/>
        <v>48.037057726739135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0.13271545276900112</v>
      </c>
      <c r="AD237" s="231">
        <f>(INDEX(Models!$BJ237:$BT237,,AH237)*(1-AF237)+INDEX(Models!$BJ237:$BT237,,AH237+1)*AF237-ERP_i)*AE237*Ramure*Pc/MaxiM</f>
        <v>2.0415755404696004E-3</v>
      </c>
      <c r="AE237" s="305">
        <f t="shared" si="92"/>
        <v>0.7</v>
      </c>
      <c r="AF237" s="177">
        <f t="shared" si="93"/>
        <v>0.46385828690675418</v>
      </c>
      <c r="AG237" s="921">
        <f t="shared" si="99"/>
        <v>0</v>
      </c>
      <c r="AH237" s="176">
        <f t="shared" si="94"/>
        <v>6</v>
      </c>
      <c r="AI237" s="225">
        <f t="shared" si="95"/>
        <v>0.46385828690675418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092">
        <v>44.023000000000003</v>
      </c>
      <c r="C238" s="955"/>
      <c r="D238" s="393">
        <f t="shared" si="77"/>
        <v>45.535231815038472</v>
      </c>
      <c r="E238" s="385">
        <f t="shared" si="100"/>
        <v>49.548426792091952</v>
      </c>
      <c r="F238" s="385">
        <f t="shared" si="78"/>
        <v>49.63549589846788</v>
      </c>
      <c r="G238" s="110">
        <f t="shared" si="101"/>
        <v>0.93279002929644039</v>
      </c>
      <c r="H238" s="414" t="b">
        <f>Wh_hp&gt;='2021'!Maxi_hp</f>
        <v>0</v>
      </c>
      <c r="I238" s="380">
        <f>IF(H238,Wh_hp,'2021'!Maxi_hp)</f>
        <v>51.227825043986797</v>
      </c>
      <c r="J238" s="85">
        <f>IF(H238,An,'2021'!An_max)</f>
        <v>2018</v>
      </c>
      <c r="K238" s="197">
        <f t="shared" si="79"/>
        <v>44785</v>
      </c>
      <c r="L238" s="147">
        <f>IF(t&lt;Tvie,1-EXP((T0-t)*PertePVj)+'2021'!Pspv,1-EXP((T0-t)*PertePVj)+Pspv)</f>
        <v>3.3210148598365907E-2</v>
      </c>
      <c r="M238" s="959"/>
      <c r="N238" s="959"/>
      <c r="O238" s="48">
        <f>IF(t&lt;Tnet,'2021'!Resal+('2021'!Salim-'2021'!Resal)*(1-EXP(('2021'!Tnet-t)/('2021'!Tau_j))),Resal+(Salim-Resal)*(1-EXP((Tnet-t)/(Tau_j))))*Salcycl</f>
        <v>8.0995406653233931E-2</v>
      </c>
      <c r="P238" s="339">
        <f>(INDEX(Models!$BJ238:$BT238,,T238)*(1-R238)+INDEX(Models!$BJ238:$BT238,,T238+1)*R238-ERP_i)*Q238*Ramure*Pc/MaxiM</f>
        <v>1.9399519987153072E-3</v>
      </c>
      <c r="Q238" s="305">
        <f t="shared" si="80"/>
        <v>0.7</v>
      </c>
      <c r="R238" s="177">
        <f t="shared" si="81"/>
        <v>0.46521942589432025</v>
      </c>
      <c r="S238" s="921">
        <f t="shared" si="82"/>
        <v>0</v>
      </c>
      <c r="T238" s="176">
        <f t="shared" si="83"/>
        <v>6</v>
      </c>
      <c r="U238" s="251">
        <f t="shared" si="84"/>
        <v>0.46521942589432025</v>
      </c>
      <c r="V238" s="383">
        <f t="shared" si="85"/>
        <v>47.186189359081837</v>
      </c>
      <c r="W238" s="402">
        <f t="shared" si="86"/>
        <v>0</v>
      </c>
      <c r="X238" s="157">
        <f t="shared" si="87"/>
        <v>44785</v>
      </c>
      <c r="Y238" s="385">
        <f t="shared" si="88"/>
        <v>41.538650031233615</v>
      </c>
      <c r="Z238" s="385">
        <f t="shared" si="89"/>
        <v>42.965542067918534</v>
      </c>
      <c r="AA238" s="386">
        <f t="shared" si="90"/>
        <v>49.548426792091952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0.13285759307345077</v>
      </c>
      <c r="AD238" s="231">
        <f>(INDEX(Models!$BJ238:$BT238,,AH238)*(1-AF238)+INDEX(Models!$BJ238:$BT238,,AH238+1)*AF238-ERP_i)*AE238*Ramure*Pc/MaxiM</f>
        <v>1.9399519987153072E-3</v>
      </c>
      <c r="AE238" s="305">
        <f t="shared" si="92"/>
        <v>0.7</v>
      </c>
      <c r="AF238" s="177">
        <f t="shared" si="93"/>
        <v>0.46521942589432025</v>
      </c>
      <c r="AG238" s="921">
        <f t="shared" si="99"/>
        <v>0</v>
      </c>
      <c r="AH238" s="176">
        <f t="shared" si="94"/>
        <v>6</v>
      </c>
      <c r="AI238" s="225">
        <f t="shared" si="95"/>
        <v>0.46521942589432025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092">
        <v>34.554000000000002</v>
      </c>
      <c r="C239" s="955"/>
      <c r="D239" s="393">
        <f t="shared" si="77"/>
        <v>35.741745517663787</v>
      </c>
      <c r="E239" s="385">
        <f t="shared" si="100"/>
        <v>38.899891761182033</v>
      </c>
      <c r="F239" s="385">
        <f t="shared" si="78"/>
        <v>38.944332218347355</v>
      </c>
      <c r="G239" s="110">
        <f t="shared" si="101"/>
        <v>0.73343248453450394</v>
      </c>
      <c r="H239" s="414" t="b">
        <f>Wh_hp&gt;='2021'!Maxi_hp</f>
        <v>0</v>
      </c>
      <c r="I239" s="380">
        <f>IF(H239,Wh_hp,'2021'!Maxi_hp)</f>
        <v>48.536022746732414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3.3231323777312305E-2</v>
      </c>
      <c r="M239" s="959"/>
      <c r="N239" s="959"/>
      <c r="O239" s="48">
        <f>IF(t&lt;Tnet,'2021'!Resal+('2021'!Salim-'2021'!Resal)*(1-EXP(('2021'!Tnet-t)/('2021'!Tau_j))),Resal+(Salim-Resal)*(1-EXP((Tnet-t)/(Tau_j))))*Salcycl</f>
        <v>8.1186504654229885E-2</v>
      </c>
      <c r="P239" s="339">
        <f>(INDEX(Models!$BJ239:$BT239,,T239)*(1-R239)+INDEX(Models!$BJ239:$BT239,,T239+1)*R239-ERP_i)*Q239*Ramure*Pc/MaxiM</f>
        <v>1.8407552435123007E-3</v>
      </c>
      <c r="Q239" s="305">
        <f t="shared" si="80"/>
        <v>0.7</v>
      </c>
      <c r="R239" s="177">
        <f t="shared" si="81"/>
        <v>0.46653328422206386</v>
      </c>
      <c r="S239" s="921">
        <f t="shared" si="82"/>
        <v>0</v>
      </c>
      <c r="T239" s="176">
        <f t="shared" si="83"/>
        <v>6</v>
      </c>
      <c r="U239" s="251">
        <f t="shared" si="84"/>
        <v>0.46653328422206386</v>
      </c>
      <c r="V239" s="383">
        <f t="shared" si="85"/>
        <v>47.079721965668028</v>
      </c>
      <c r="W239" s="402">
        <f t="shared" si="86"/>
        <v>0</v>
      </c>
      <c r="X239" s="157">
        <f t="shared" si="87"/>
        <v>44786</v>
      </c>
      <c r="Y239" s="385">
        <f t="shared" si="88"/>
        <v>32.605466897250778</v>
      </c>
      <c r="Z239" s="385">
        <f t="shared" si="89"/>
        <v>33.726234309375123</v>
      </c>
      <c r="AA239" s="386">
        <f t="shared" si="90"/>
        <v>38.899891761182033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0.13299927628512515</v>
      </c>
      <c r="AD239" s="231">
        <f>(INDEX(Models!$BJ239:$BT239,,AH239)*(1-AF239)+INDEX(Models!$BJ239:$BT239,,AH239+1)*AF239-ERP_i)*AE239*Ramure*Pc/MaxiM</f>
        <v>1.8407552435123007E-3</v>
      </c>
      <c r="AE239" s="305">
        <f t="shared" si="92"/>
        <v>0.7</v>
      </c>
      <c r="AF239" s="177">
        <f t="shared" si="93"/>
        <v>0.46653328422206386</v>
      </c>
      <c r="AG239" s="921">
        <f t="shared" si="99"/>
        <v>0</v>
      </c>
      <c r="AH239" s="176">
        <f t="shared" si="94"/>
        <v>6</v>
      </c>
      <c r="AI239" s="225">
        <f t="shared" si="95"/>
        <v>0.46653328422206386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092">
        <v>31.648</v>
      </c>
      <c r="C240" s="955"/>
      <c r="D240" s="393">
        <f t="shared" si="77"/>
        <v>32.736572838976642</v>
      </c>
      <c r="E240" s="385">
        <f t="shared" si="100"/>
        <v>35.636578316661534</v>
      </c>
      <c r="F240" s="385">
        <f t="shared" si="78"/>
        <v>35.669844584484764</v>
      </c>
      <c r="G240" s="110">
        <f t="shared" si="101"/>
        <v>0.67320268125635552</v>
      </c>
      <c r="H240" s="414" t="b">
        <f>Wh_hp&gt;='2021'!Maxi_hp</f>
        <v>0</v>
      </c>
      <c r="I240" s="380">
        <f>IF(H240,Wh_hp,'2021'!Maxi_hp)</f>
        <v>53.538915966622881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3.325249849246803E-2</v>
      </c>
      <c r="M240" s="959"/>
      <c r="N240" s="959"/>
      <c r="O240" s="48">
        <f>IF(t&lt;Tnet,'2021'!Resal+('2021'!Salim-'2021'!Resal)*(1-EXP(('2021'!Tnet-t)/('2021'!Tau_j))),Resal+(Salim-Resal)*(1-EXP((Tnet-t)/(Tau_j))))*Salcycl</f>
        <v>8.1377214498986425E-2</v>
      </c>
      <c r="P240" s="339">
        <f>(INDEX(Models!$BJ240:$BT240,,T240)*(1-R240)+INDEX(Models!$BJ240:$BT240,,T240+1)*R240-ERP_i)*Q240*Ramure*Pc/MaxiM</f>
        <v>1.7466976927371363E-3</v>
      </c>
      <c r="Q240" s="305">
        <f t="shared" si="80"/>
        <v>0.7</v>
      </c>
      <c r="R240" s="177">
        <f t="shared" si="81"/>
        <v>0.46780123078301278</v>
      </c>
      <c r="S240" s="921">
        <f t="shared" si="82"/>
        <v>0</v>
      </c>
      <c r="T240" s="176">
        <f t="shared" si="83"/>
        <v>6</v>
      </c>
      <c r="U240" s="251">
        <f t="shared" si="84"/>
        <v>0.46780123078301278</v>
      </c>
      <c r="V240" s="383">
        <f t="shared" si="85"/>
        <v>46.972795523055233</v>
      </c>
      <c r="W240" s="402">
        <f t="shared" si="86"/>
        <v>0</v>
      </c>
      <c r="X240" s="157">
        <f t="shared" si="87"/>
        <v>44787</v>
      </c>
      <c r="Y240" s="385">
        <f t="shared" si="88"/>
        <v>29.864673589122393</v>
      </c>
      <c r="Z240" s="385">
        <f t="shared" si="89"/>
        <v>30.891906669064937</v>
      </c>
      <c r="AA240" s="386">
        <f t="shared" si="90"/>
        <v>35.636578316661534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0.13314049416967375</v>
      </c>
      <c r="AD240" s="231">
        <f>(INDEX(Models!$BJ240:$BT240,,AH240)*(1-AF240)+INDEX(Models!$BJ240:$BT240,,AH240+1)*AF240-ERP_i)*AE240*Ramure*Pc/MaxiM</f>
        <v>1.7466976927371363E-3</v>
      </c>
      <c r="AE240" s="305">
        <f t="shared" si="92"/>
        <v>0.7</v>
      </c>
      <c r="AF240" s="177">
        <f t="shared" si="93"/>
        <v>0.46780123078301278</v>
      </c>
      <c r="AG240" s="921">
        <f t="shared" si="99"/>
        <v>0</v>
      </c>
      <c r="AH240" s="176">
        <f t="shared" si="94"/>
        <v>6</v>
      </c>
      <c r="AI240" s="225">
        <f t="shared" si="95"/>
        <v>0.46780123078301278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092">
        <v>35.889000000000003</v>
      </c>
      <c r="C241" s="955"/>
      <c r="D241" s="393">
        <f t="shared" si="77"/>
        <v>37.124260494552942</v>
      </c>
      <c r="E241" s="385">
        <f t="shared" si="100"/>
        <v>40.421328392723389</v>
      </c>
      <c r="F241" s="385">
        <f t="shared" si="78"/>
        <v>40.465929367170482</v>
      </c>
      <c r="G241" s="110">
        <f t="shared" si="101"/>
        <v>0.76536141202777397</v>
      </c>
      <c r="H241" s="414" t="b">
        <f>Wh_hp&gt;='2021'!Maxi_hp</f>
        <v>0</v>
      </c>
      <c r="I241" s="380">
        <f>IF(H241,Wh_hp,'2021'!Maxi_hp)</f>
        <v>53.803189402990363</v>
      </c>
      <c r="J241" s="85">
        <f>IF(H241,An,'2021'!An_max)</f>
        <v>2018</v>
      </c>
      <c r="K241" s="197">
        <f t="shared" si="79"/>
        <v>44788</v>
      </c>
      <c r="L241" s="147">
        <f>IF(t&lt;Tvie,1-EXP((T0-t)*PertePVj)+'2021'!Pspv,1-EXP((T0-t)*PertePVj)+Pspv)</f>
        <v>3.3273672743843075E-2</v>
      </c>
      <c r="M241" s="959"/>
      <c r="N241" s="959"/>
      <c r="O241" s="48">
        <f>IF(t&lt;Tnet,'2021'!Resal+('2021'!Salim-'2021'!Resal)*(1-EXP(('2021'!Tnet-t)/('2021'!Tau_j))),Resal+(Salim-Resal)*(1-EXP((Tnet-t)/(Tau_j))))*Salcycl</f>
        <v>8.156752955115612E-2</v>
      </c>
      <c r="P241" s="339">
        <f>(INDEX(Models!$BJ241:$BT241,,T241)*(1-R241)+INDEX(Models!$BJ241:$BT241,,T241+1)*R241-ERP_i)*Q241*Ramure*Pc/MaxiM</f>
        <v>1.6564035949165278E-3</v>
      </c>
      <c r="Q241" s="305">
        <f t="shared" si="80"/>
        <v>0.7</v>
      </c>
      <c r="R241" s="177">
        <f t="shared" si="81"/>
        <v>0.46902461530605299</v>
      </c>
      <c r="S241" s="921">
        <f t="shared" si="82"/>
        <v>0</v>
      </c>
      <c r="T241" s="176">
        <f t="shared" si="83"/>
        <v>6</v>
      </c>
      <c r="U241" s="251">
        <f t="shared" si="84"/>
        <v>0.46902461530605299</v>
      </c>
      <c r="V241" s="383">
        <f t="shared" si="85"/>
        <v>46.865555498841417</v>
      </c>
      <c r="W241" s="402">
        <f t="shared" si="86"/>
        <v>0</v>
      </c>
      <c r="X241" s="157">
        <f t="shared" si="87"/>
        <v>44788</v>
      </c>
      <c r="Y241" s="385">
        <f t="shared" si="88"/>
        <v>33.8682164318368</v>
      </c>
      <c r="Z241" s="385">
        <f t="shared" si="89"/>
        <v>35.033923745476542</v>
      </c>
      <c r="AA241" s="386">
        <f t="shared" si="90"/>
        <v>40.421328392723389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0.13328123694758842</v>
      </c>
      <c r="AD241" s="231">
        <f>(INDEX(Models!$BJ241:$BT241,,AH241)*(1-AF241)+INDEX(Models!$BJ241:$BT241,,AH241+1)*AF241-ERP_i)*AE241*Ramure*Pc/MaxiM</f>
        <v>1.6564035949165278E-3</v>
      </c>
      <c r="AE241" s="305">
        <f t="shared" si="92"/>
        <v>0.7</v>
      </c>
      <c r="AF241" s="177">
        <f t="shared" si="93"/>
        <v>0.46902461530605299</v>
      </c>
      <c r="AG241" s="921">
        <f t="shared" si="99"/>
        <v>0</v>
      </c>
      <c r="AH241" s="176">
        <f t="shared" si="94"/>
        <v>6</v>
      </c>
      <c r="AI241" s="225">
        <f t="shared" si="95"/>
        <v>0.46902461530605299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092">
        <v>33.234999999999999</v>
      </c>
      <c r="C242" s="955"/>
      <c r="D242" s="393">
        <f t="shared" si="77"/>
        <v>34.379665693052665</v>
      </c>
      <c r="E242" s="385">
        <f t="shared" si="100"/>
        <v>37.440723482108424</v>
      </c>
      <c r="F242" s="385">
        <f t="shared" si="78"/>
        <v>37.475248546517129</v>
      </c>
      <c r="G242" s="110">
        <f t="shared" si="101"/>
        <v>0.71032476890858132</v>
      </c>
      <c r="H242" s="414" t="b">
        <f>Wh_hp&gt;='2021'!Maxi_hp</f>
        <v>0</v>
      </c>
      <c r="I242" s="380">
        <f>IF(H242,Wh_hp,'2021'!Maxi_hp)</f>
        <v>53.769916943030935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3.3294846531447764E-2</v>
      </c>
      <c r="M242" s="959"/>
      <c r="N242" s="959"/>
      <c r="O242" s="48">
        <f>IF(t&lt;Tnet,'2021'!Resal+('2021'!Salim-'2021'!Resal)*(1-EXP(('2021'!Tnet-t)/('2021'!Tau_j))),Resal+(Salim-Resal)*(1-EXP((Tnet-t)/(Tau_j))))*Salcycl</f>
        <v>8.175744228122428E-2</v>
      </c>
      <c r="P242" s="339">
        <f>(INDEX(Models!$BJ242:$BT242,,T242)*(1-R242)+INDEX(Models!$BJ242:$BT242,,T242+1)*R242-ERP_i)*Q242*Ramure*Pc/MaxiM</f>
        <v>1.5699005495528691E-3</v>
      </c>
      <c r="Q242" s="305">
        <f t="shared" si="80"/>
        <v>0.7</v>
      </c>
      <c r="R242" s="177">
        <f t="shared" si="81"/>
        <v>0.47020476693407176</v>
      </c>
      <c r="S242" s="921">
        <f t="shared" si="82"/>
        <v>0</v>
      </c>
      <c r="T242" s="176">
        <f t="shared" si="83"/>
        <v>6</v>
      </c>
      <c r="U242" s="251">
        <f t="shared" si="84"/>
        <v>0.47020476693407176</v>
      </c>
      <c r="V242" s="383">
        <f t="shared" si="85"/>
        <v>46.758081027086192</v>
      </c>
      <c r="W242" s="402">
        <f t="shared" si="86"/>
        <v>0</v>
      </c>
      <c r="X242" s="157">
        <f t="shared" si="87"/>
        <v>44789</v>
      </c>
      <c r="Y242" s="385">
        <f t="shared" si="88"/>
        <v>31.365064082388514</v>
      </c>
      <c r="Z242" s="385">
        <f t="shared" si="89"/>
        <v>32.445326240219373</v>
      </c>
      <c r="AA242" s="386">
        <f t="shared" si="90"/>
        <v>37.440723482108424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0.13342149342483126</v>
      </c>
      <c r="AD242" s="231">
        <f>(INDEX(Models!$BJ242:$BT242,,AH242)*(1-AF242)+INDEX(Models!$BJ242:$BT242,,AH242+1)*AF242-ERP_i)*AE242*Ramure*Pc/MaxiM</f>
        <v>1.5699005495528691E-3</v>
      </c>
      <c r="AE242" s="305">
        <f t="shared" si="92"/>
        <v>0.7</v>
      </c>
      <c r="AF242" s="177">
        <f t="shared" si="93"/>
        <v>0.47020476693407176</v>
      </c>
      <c r="AG242" s="921">
        <f t="shared" si="99"/>
        <v>0</v>
      </c>
      <c r="AH242" s="176">
        <f t="shared" si="94"/>
        <v>6</v>
      </c>
      <c r="AI242" s="225">
        <f t="shared" si="95"/>
        <v>0.47020476693407176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092">
        <v>24.259</v>
      </c>
      <c r="C243" s="955"/>
      <c r="D243" s="393">
        <f t="shared" si="77"/>
        <v>25.095067776305289</v>
      </c>
      <c r="E243" s="385">
        <f t="shared" si="100"/>
        <v>27.335095310116561</v>
      </c>
      <c r="F243" s="385">
        <f t="shared" si="78"/>
        <v>27.347878959319146</v>
      </c>
      <c r="G243" s="110">
        <f t="shared" si="101"/>
        <v>0.5194858607127445</v>
      </c>
      <c r="H243" s="414" t="b">
        <f>Wh_hp&gt;='2021'!Maxi_hp</f>
        <v>0</v>
      </c>
      <c r="I243" s="380">
        <f>IF(H243,Wh_hp,'2021'!Maxi_hp)</f>
        <v>51.890414604753857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3.3316019855292089E-2</v>
      </c>
      <c r="M243" s="959"/>
      <c r="N243" s="959"/>
      <c r="O243" s="48">
        <f>IF(t&lt;Tnet,'2021'!Resal+('2021'!Salim-'2021'!Resal)*(1-EXP(('2021'!Tnet-t)/('2021'!Tau_j))),Resal+(Salim-Resal)*(1-EXP((Tnet-t)/(Tau_j))))*Salcycl</f>
        <v>8.1946944336508287E-2</v>
      </c>
      <c r="P243" s="339">
        <f>(INDEX(Models!$BJ243:$BT243,,T243)*(1-R243)+INDEX(Models!$BJ243:$BT243,,T243+1)*R243-ERP_i)*Q243*Ramure*Pc/MaxiM</f>
        <v>1.4872164107672995E-3</v>
      </c>
      <c r="Q243" s="305">
        <f t="shared" si="80"/>
        <v>0.7</v>
      </c>
      <c r="R243" s="177">
        <f t="shared" si="81"/>
        <v>0.4713429929689244</v>
      </c>
      <c r="S243" s="921">
        <f t="shared" si="82"/>
        <v>0</v>
      </c>
      <c r="T243" s="176">
        <f t="shared" si="83"/>
        <v>6</v>
      </c>
      <c r="U243" s="251">
        <f t="shared" si="84"/>
        <v>0.4713429929689244</v>
      </c>
      <c r="V243" s="383">
        <f t="shared" si="85"/>
        <v>46.650451237305489</v>
      </c>
      <c r="W243" s="402">
        <f t="shared" si="86"/>
        <v>0</v>
      </c>
      <c r="X243" s="157">
        <f t="shared" si="87"/>
        <v>44790</v>
      </c>
      <c r="Y243" s="385">
        <f t="shared" si="88"/>
        <v>22.895122977393818</v>
      </c>
      <c r="Z243" s="385">
        <f t="shared" si="89"/>
        <v>23.684185781134524</v>
      </c>
      <c r="AA243" s="386">
        <f t="shared" si="90"/>
        <v>27.335095310116561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0.13356125111555237</v>
      </c>
      <c r="AD243" s="231">
        <f>(INDEX(Models!$BJ243:$BT243,,AH243)*(1-AF243)+INDEX(Models!$BJ243:$BT243,,AH243+1)*AF243-ERP_i)*AE243*Ramure*Pc/MaxiM</f>
        <v>1.4872164107672995E-3</v>
      </c>
      <c r="AE243" s="305">
        <f t="shared" si="92"/>
        <v>0.7</v>
      </c>
      <c r="AF243" s="177">
        <f t="shared" si="93"/>
        <v>0.4713429929689244</v>
      </c>
      <c r="AG243" s="921">
        <f t="shared" si="99"/>
        <v>0</v>
      </c>
      <c r="AH243" s="176">
        <f t="shared" si="94"/>
        <v>6</v>
      </c>
      <c r="AI243" s="225">
        <f t="shared" si="95"/>
        <v>0.4713429929689244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092">
        <v>32.274000000000001</v>
      </c>
      <c r="C244" s="955"/>
      <c r="D244" s="393">
        <f t="shared" si="77"/>
        <v>33.387029848245305</v>
      </c>
      <c r="E244" s="385">
        <f t="shared" si="100"/>
        <v>36.374703459368966</v>
      </c>
      <c r="F244" s="385">
        <f t="shared" si="78"/>
        <v>36.403519160945216</v>
      </c>
      <c r="G244" s="110">
        <f t="shared" si="101"/>
        <v>0.69299902593418561</v>
      </c>
      <c r="H244" s="414" t="b">
        <f>Wh_hp&gt;='2021'!Maxi_hp</f>
        <v>0</v>
      </c>
      <c r="I244" s="380">
        <f>IF(H244,Wh_hp,'2021'!Maxi_hp)</f>
        <v>49.183966953911138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3.3337192715386266E-2</v>
      </c>
      <c r="M244" s="959"/>
      <c r="N244" s="959"/>
      <c r="O244" s="48">
        <f>IF(t&lt;Tnet,'2021'!Resal+('2021'!Salim-'2021'!Resal)*(1-EXP(('2021'!Tnet-t)/('2021'!Tau_j))),Resal+(Salim-Resal)*(1-EXP((Tnet-t)/(Tau_j))))*Salcycl</f>
        <v>8.2136026605988302E-2</v>
      </c>
      <c r="P244" s="339">
        <f>(INDEX(Models!$BJ244:$BT244,,T244)*(1-R244)+INDEX(Models!$BJ244:$BT244,,T244+1)*R244-ERP_i)*Q244*Ramure*Pc/MaxiM</f>
        <v>1.4083792484047197E-3</v>
      </c>
      <c r="Q244" s="305">
        <f t="shared" si="80"/>
        <v>0.7</v>
      </c>
      <c r="R244" s="177">
        <f t="shared" si="81"/>
        <v>0.47244057777373799</v>
      </c>
      <c r="S244" s="921">
        <f t="shared" si="82"/>
        <v>0</v>
      </c>
      <c r="T244" s="176">
        <f t="shared" si="83"/>
        <v>6</v>
      </c>
      <c r="U244" s="251">
        <f t="shared" si="84"/>
        <v>0.47244057777373799</v>
      </c>
      <c r="V244" s="383">
        <f t="shared" si="85"/>
        <v>46.542745249682568</v>
      </c>
      <c r="W244" s="402">
        <f t="shared" si="86"/>
        <v>0</v>
      </c>
      <c r="X244" s="157">
        <f t="shared" si="87"/>
        <v>44791</v>
      </c>
      <c r="Y244" s="385">
        <f t="shared" si="88"/>
        <v>30.460886352518802</v>
      </c>
      <c r="Z244" s="385">
        <f t="shared" si="89"/>
        <v>31.511387552071433</v>
      </c>
      <c r="AA244" s="386">
        <f t="shared" si="90"/>
        <v>36.374703459368966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0.13370049635538392</v>
      </c>
      <c r="AD244" s="231">
        <f>(INDEX(Models!$BJ244:$BT244,,AH244)*(1-AF244)+INDEX(Models!$BJ244:$BT244,,AH244+1)*AF244-ERP_i)*AE244*Ramure*Pc/MaxiM</f>
        <v>1.4083792484047197E-3</v>
      </c>
      <c r="AE244" s="305">
        <f t="shared" si="92"/>
        <v>0.7</v>
      </c>
      <c r="AF244" s="177">
        <f t="shared" si="93"/>
        <v>0.47244057777373799</v>
      </c>
      <c r="AG244" s="921">
        <f t="shared" si="99"/>
        <v>0</v>
      </c>
      <c r="AH244" s="176">
        <f t="shared" si="94"/>
        <v>6</v>
      </c>
      <c r="AI244" s="225">
        <f t="shared" si="95"/>
        <v>0.47244057777373799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092">
        <v>32.930999999999997</v>
      </c>
      <c r="C245" s="955"/>
      <c r="D245" s="393">
        <f t="shared" si="77"/>
        <v>34.06743389840301</v>
      </c>
      <c r="E245" s="385">
        <f t="shared" si="100"/>
        <v>37.123624368191926</v>
      </c>
      <c r="F245" s="385">
        <f t="shared" si="78"/>
        <v>37.152582860851346</v>
      </c>
      <c r="G245" s="110">
        <f t="shared" si="101"/>
        <v>0.7087910650048671</v>
      </c>
      <c r="H245" s="414" t="b">
        <f>Wh_hp&gt;='2021'!Maxi_hp</f>
        <v>0</v>
      </c>
      <c r="I245" s="380">
        <f>IF(H245,Wh_hp,'2021'!Maxi_hp)</f>
        <v>49.967163493960541</v>
      </c>
      <c r="J245" s="85">
        <f>IF(H245,An,'2021'!An_max)</f>
        <v>2018</v>
      </c>
      <c r="K245" s="197">
        <f t="shared" si="79"/>
        <v>44792</v>
      </c>
      <c r="L245" s="147">
        <f>IF(t&lt;Tvie,1-EXP((T0-t)*PertePVj)+'2021'!Pspv,1-EXP((T0-t)*PertePVj)+Pspv)</f>
        <v>3.3358365111740507E-2</v>
      </c>
      <c r="M245" s="959"/>
      <c r="N245" s="959"/>
      <c r="O245" s="48">
        <f>IF(t&lt;Tnet,'2021'!Resal+('2021'!Salim-'2021'!Resal)*(1-EXP(('2021'!Tnet-t)/('2021'!Tau_j))),Resal+(Salim-Resal)*(1-EXP((Tnet-t)/(Tau_j))))*Salcycl</f>
        <v>8.2324679279092788E-2</v>
      </c>
      <c r="P245" s="339">
        <f>(INDEX(Models!$BJ245:$BT245,,T245)*(1-R245)+INDEX(Models!$BJ245:$BT245,,T245+1)*R245-ERP_i)*Q245*Ramure*Pc/MaxiM</f>
        <v>1.3334172978992061E-3</v>
      </c>
      <c r="Q245" s="305">
        <f t="shared" si="80"/>
        <v>0.7</v>
      </c>
      <c r="R245" s="177">
        <f t="shared" si="81"/>
        <v>0.47349878182317734</v>
      </c>
      <c r="S245" s="921">
        <f t="shared" si="82"/>
        <v>0</v>
      </c>
      <c r="T245" s="176">
        <f t="shared" si="83"/>
        <v>6</v>
      </c>
      <c r="U245" s="251">
        <f t="shared" si="84"/>
        <v>0.47349878182317734</v>
      </c>
      <c r="V245" s="383">
        <f t="shared" si="85"/>
        <v>46.43504217178706</v>
      </c>
      <c r="W245" s="402">
        <f t="shared" si="86"/>
        <v>0</v>
      </c>
      <c r="X245" s="157">
        <f t="shared" si="87"/>
        <v>44792</v>
      </c>
      <c r="Y245" s="385">
        <f t="shared" si="88"/>
        <v>31.082388494500414</v>
      </c>
      <c r="Z245" s="385">
        <f t="shared" si="89"/>
        <v>32.155027646924637</v>
      </c>
      <c r="AA245" s="386">
        <f t="shared" si="90"/>
        <v>37.123624368191926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0.13383921440398094</v>
      </c>
      <c r="AD245" s="231">
        <f>(INDEX(Models!$BJ245:$BT245,,AH245)*(1-AF245)+INDEX(Models!$BJ245:$BT245,,AH245+1)*AF245-ERP_i)*AE245*Ramure*Pc/MaxiM</f>
        <v>1.3334172978992061E-3</v>
      </c>
      <c r="AE245" s="305">
        <f t="shared" si="92"/>
        <v>0.7</v>
      </c>
      <c r="AF245" s="177">
        <f t="shared" si="93"/>
        <v>0.47349878182317734</v>
      </c>
      <c r="AG245" s="921">
        <f t="shared" si="99"/>
        <v>0</v>
      </c>
      <c r="AH245" s="176">
        <f t="shared" si="94"/>
        <v>6</v>
      </c>
      <c r="AI245" s="225">
        <f t="shared" si="95"/>
        <v>0.47349878182317734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092">
        <v>46.445</v>
      </c>
      <c r="C246" s="955"/>
      <c r="D246" s="393">
        <f t="shared" si="77"/>
        <v>48.04884831217533</v>
      </c>
      <c r="E246" s="385">
        <f t="shared" si="100"/>
        <v>52.370052819114683</v>
      </c>
      <c r="F246" s="385">
        <f t="shared" si="78"/>
        <v>52.436246181144661</v>
      </c>
      <c r="G246" s="110">
        <f t="shared" si="101"/>
        <v>1.0025379980523239</v>
      </c>
      <c r="H246" s="414" t="b">
        <f>Wh_hp&gt;='2021'!Maxi_hp</f>
        <v>0</v>
      </c>
      <c r="I246" s="380">
        <f>IF(H246,Wh_hp,'2021'!Maxi_hp)</f>
        <v>52.544338316202321</v>
      </c>
      <c r="J246" s="85">
        <f>IF(H246,An,'2021'!An_max)</f>
        <v>2021</v>
      </c>
      <c r="K246" s="197">
        <f t="shared" si="79"/>
        <v>44793</v>
      </c>
      <c r="L246" s="147">
        <f>IF(t&lt;Tvie,1-EXP((T0-t)*PertePVj)+'2021'!Pspv,1-EXP((T0-t)*PertePVj)+Pspv)</f>
        <v>3.3379537044364915E-2</v>
      </c>
      <c r="M246" s="959"/>
      <c r="N246" s="959"/>
      <c r="O246" s="48">
        <f>IF(t&lt;Tnet,'2021'!Resal+('2021'!Salim-'2021'!Resal)*(1-EXP(('2021'!Tnet-t)/('2021'!Tau_j))),Resal+(Salim-Resal)*(1-EXP((Tnet-t)/(Tau_j))))*Salcycl</f>
        <v>8.2512891897679047E-2</v>
      </c>
      <c r="P246" s="339">
        <f>(INDEX(Models!$BJ246:$BT246,,T246)*(1-R246)+INDEX(Models!$BJ246:$BT246,,T246+1)*R246-ERP_i)*Q246*Ramure*Pc/MaxiM</f>
        <v>1.2623588996304007E-3</v>
      </c>
      <c r="Q246" s="305">
        <f t="shared" si="80"/>
        <v>0.7</v>
      </c>
      <c r="R246" s="177">
        <f t="shared" si="81"/>
        <v>0.4745188408924626</v>
      </c>
      <c r="S246" s="921">
        <f t="shared" si="82"/>
        <v>0</v>
      </c>
      <c r="T246" s="176">
        <f t="shared" si="83"/>
        <v>6</v>
      </c>
      <c r="U246" s="251">
        <f t="shared" si="84"/>
        <v>0.4745188408924626</v>
      </c>
      <c r="V246" s="383">
        <f t="shared" si="85"/>
        <v>46.327421095490458</v>
      </c>
      <c r="W246" s="402">
        <f t="shared" si="86"/>
        <v>0</v>
      </c>
      <c r="X246" s="157">
        <f t="shared" si="87"/>
        <v>44793</v>
      </c>
      <c r="Y246" s="385">
        <f t="shared" si="88"/>
        <v>43.839766017213321</v>
      </c>
      <c r="Z246" s="385">
        <f t="shared" si="89"/>
        <v>45.353649852564139</v>
      </c>
      <c r="AA246" s="386">
        <f t="shared" si="90"/>
        <v>52.370052819114683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0.1339773895356777</v>
      </c>
      <c r="AD246" s="231">
        <f>(INDEX(Models!$BJ246:$BT246,,AH246)*(1-AF246)+INDEX(Models!$BJ246:$BT246,,AH246+1)*AF246-ERP_i)*AE246*Ramure*Pc/MaxiM</f>
        <v>1.2623588996304007E-3</v>
      </c>
      <c r="AE246" s="305">
        <f t="shared" si="92"/>
        <v>0.7</v>
      </c>
      <c r="AF246" s="177">
        <f t="shared" si="93"/>
        <v>0.4745188408924626</v>
      </c>
      <c r="AG246" s="921">
        <f t="shared" si="99"/>
        <v>0</v>
      </c>
      <c r="AH246" s="176">
        <f t="shared" si="94"/>
        <v>6</v>
      </c>
      <c r="AI246" s="225">
        <f t="shared" si="95"/>
        <v>0.4745188408924626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092">
        <v>30.863</v>
      </c>
      <c r="C247" s="955"/>
      <c r="D247" s="393">
        <f t="shared" si="77"/>
        <v>31.929466814039863</v>
      </c>
      <c r="E247" s="385">
        <f t="shared" si="100"/>
        <v>34.808121179206545</v>
      </c>
      <c r="F247" s="385">
        <f t="shared" si="78"/>
        <v>34.829990257192804</v>
      </c>
      <c r="G247" s="110">
        <f t="shared" si="101"/>
        <v>0.66735169963483565</v>
      </c>
      <c r="H247" s="414" t="b">
        <f>Wh_hp&gt;='2021'!Maxi_hp</f>
        <v>0</v>
      </c>
      <c r="I247" s="380">
        <f>IF(H247,Wh_hp,'2021'!Maxi_hp)</f>
        <v>51.773522913939907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3.3400708513269706E-2</v>
      </c>
      <c r="M247" s="959"/>
      <c r="N247" s="959"/>
      <c r="O247" s="48">
        <f>IF(t&lt;Tnet,'2021'!Resal+('2021'!Salim-'2021'!Resal)*(1-EXP(('2021'!Tnet-t)/('2021'!Tau_j))),Resal+(Salim-Resal)*(1-EXP((Tnet-t)/(Tau_j))))*Salcycl</f>
        <v>8.2700653400572449E-2</v>
      </c>
      <c r="P247" s="339">
        <f>(INDEX(Models!$BJ247:$BT247,,T247)*(1-R247)+INDEX(Models!$BJ247:$BT247,,T247+1)*R247-ERP_i)*Q247*Ramure*Pc/MaxiM</f>
        <v>1.195212696325486E-3</v>
      </c>
      <c r="Q247" s="305">
        <f t="shared" si="80"/>
        <v>0.7</v>
      </c>
      <c r="R247" s="177">
        <f t="shared" si="81"/>
        <v>0.47550196537612682</v>
      </c>
      <c r="S247" s="921">
        <f t="shared" si="82"/>
        <v>0</v>
      </c>
      <c r="T247" s="176">
        <f t="shared" si="83"/>
        <v>6</v>
      </c>
      <c r="U247" s="251">
        <f t="shared" si="84"/>
        <v>0.47550196537612682</v>
      </c>
      <c r="V247" s="383">
        <f t="shared" si="85"/>
        <v>46.220725066031328</v>
      </c>
      <c r="W247" s="402">
        <f t="shared" si="86"/>
        <v>0</v>
      </c>
      <c r="X247" s="157">
        <f t="shared" si="87"/>
        <v>44794</v>
      </c>
      <c r="Y247" s="385">
        <f t="shared" si="88"/>
        <v>29.133138158369825</v>
      </c>
      <c r="Z247" s="385">
        <f t="shared" si="89"/>
        <v>30.139829829132221</v>
      </c>
      <c r="AA247" s="386">
        <f t="shared" si="90"/>
        <v>34.808121179206545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0.13411500511734131</v>
      </c>
      <c r="AD247" s="231">
        <f>(INDEX(Models!$BJ247:$BT247,,AH247)*(1-AF247)+INDEX(Models!$BJ247:$BT247,,AH247+1)*AF247-ERP_i)*AE247*Ramure*Pc/MaxiM</f>
        <v>1.195212696325486E-3</v>
      </c>
      <c r="AE247" s="305">
        <f t="shared" si="92"/>
        <v>0.7</v>
      </c>
      <c r="AF247" s="177">
        <f t="shared" si="93"/>
        <v>0.47550196537612682</v>
      </c>
      <c r="AG247" s="921">
        <f t="shared" si="99"/>
        <v>0</v>
      </c>
      <c r="AH247" s="176">
        <f t="shared" si="94"/>
        <v>6</v>
      </c>
      <c r="AI247" s="225">
        <f t="shared" si="95"/>
        <v>0.47550196537612682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092">
        <v>22.093</v>
      </c>
      <c r="C248" s="955"/>
      <c r="D248" s="393">
        <f t="shared" si="77"/>
        <v>22.856921268809177</v>
      </c>
      <c r="E248" s="385">
        <f t="shared" si="100"/>
        <v>24.922713994049342</v>
      </c>
      <c r="F248" s="385">
        <f t="shared" si="78"/>
        <v>24.92995187766083</v>
      </c>
      <c r="G248" s="110">
        <f t="shared" si="101"/>
        <v>0.4786768951354558</v>
      </c>
      <c r="H248" s="414" t="b">
        <f>Wh_hp&gt;='2021'!Maxi_hp</f>
        <v>0</v>
      </c>
      <c r="I248" s="380">
        <f>IF(H248,Wh_hp,'2021'!Maxi_hp)</f>
        <v>53.717329476513434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3.342187951846487E-2</v>
      </c>
      <c r="M248" s="959"/>
      <c r="N248" s="959"/>
      <c r="O248" s="48">
        <f>IF(t&lt;Tnet,'2021'!Resal+('2021'!Salim-'2021'!Resal)*(1-EXP(('2021'!Tnet-t)/('2021'!Tau_j))),Resal+(Salim-Resal)*(1-EXP((Tnet-t)/(Tau_j))))*Salcycl</f>
        <v>8.2887952160162079E-2</v>
      </c>
      <c r="P248" s="339">
        <f>(INDEX(Models!$BJ248:$BT248,,T248)*(1-R248)+INDEX(Models!$BJ248:$BT248,,T248+1)*R248-ERP_i)*Q248*Ramure*Pc/MaxiM</f>
        <v>1.1348467425926034E-3</v>
      </c>
      <c r="Q248" s="305">
        <f t="shared" si="80"/>
        <v>0.7</v>
      </c>
      <c r="R248" s="177">
        <f t="shared" si="81"/>
        <v>0.47644933972774522</v>
      </c>
      <c r="S248" s="921">
        <f t="shared" si="82"/>
        <v>0</v>
      </c>
      <c r="T248" s="176">
        <f t="shared" si="83"/>
        <v>6</v>
      </c>
      <c r="U248" s="251">
        <f t="shared" si="84"/>
        <v>0.47644933972774522</v>
      </c>
      <c r="V248" s="383">
        <f t="shared" si="85"/>
        <v>46.11531676470215</v>
      </c>
      <c r="W248" s="402">
        <f t="shared" si="86"/>
        <v>0</v>
      </c>
      <c r="X248" s="157">
        <f t="shared" si="87"/>
        <v>44795</v>
      </c>
      <c r="Y248" s="385">
        <f t="shared" si="88"/>
        <v>20.855651873934054</v>
      </c>
      <c r="Z248" s="385">
        <f t="shared" si="89"/>
        <v>21.576788706477313</v>
      </c>
      <c r="AA248" s="386">
        <f t="shared" si="90"/>
        <v>24.922713994049342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0.13425204367272833</v>
      </c>
      <c r="AD248" s="231">
        <f>(INDEX(Models!$BJ248:$BT248,,AH248)*(1-AF248)+INDEX(Models!$BJ248:$BT248,,AH248+1)*AF248-ERP_i)*AE248*Ramure*Pc/MaxiM</f>
        <v>1.1348467425926034E-3</v>
      </c>
      <c r="AE248" s="305">
        <f t="shared" si="92"/>
        <v>0.7</v>
      </c>
      <c r="AF248" s="177">
        <f t="shared" si="93"/>
        <v>0.47644933972774522</v>
      </c>
      <c r="AG248" s="921">
        <f t="shared" si="99"/>
        <v>0</v>
      </c>
      <c r="AH248" s="176">
        <f t="shared" si="94"/>
        <v>6</v>
      </c>
      <c r="AI248" s="225">
        <f t="shared" si="95"/>
        <v>0.47644933972774522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092">
        <v>42.864000000000004</v>
      </c>
      <c r="C249" s="955"/>
      <c r="D249" s="393">
        <f t="shared" si="77"/>
        <v>44.347102364386387</v>
      </c>
      <c r="E249" s="385">
        <f t="shared" si="100"/>
        <v>48.365015166060537</v>
      </c>
      <c r="F249" s="385">
        <f t="shared" si="78"/>
        <v>48.412182199659021</v>
      </c>
      <c r="G249" s="110">
        <f t="shared" si="101"/>
        <v>0.93150850775791394</v>
      </c>
      <c r="H249" s="414" t="b">
        <f>Wh_hp&gt;='2021'!Maxi_hp</f>
        <v>0</v>
      </c>
      <c r="I249" s="380">
        <f>IF(H249,Wh_hp,'2021'!Maxi_hp)</f>
        <v>51.339633290441888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3.3443050059960844E-2</v>
      </c>
      <c r="M249" s="959"/>
      <c r="N249" s="959"/>
      <c r="O249" s="48">
        <f>IF(t&lt;Tnet,'2021'!Resal+('2021'!Salim-'2021'!Resal)*(1-EXP(('2021'!Tnet-t)/('2021'!Tau_j))),Resal+(Salim-Resal)*(1-EXP((Tnet-t)/(Tau_j))))*Salcycl</f>
        <v>8.307477601069102E-2</v>
      </c>
      <c r="P249" s="339">
        <f>(INDEX(Models!$BJ249:$BT249,,T249)*(1-R249)+INDEX(Models!$BJ249:$BT249,,T249+1)*R249-ERP_i)*Q249*Ramure*Pc/MaxiM</f>
        <v>1.0797795235444852E-3</v>
      </c>
      <c r="Q249" s="305">
        <f t="shared" si="80"/>
        <v>0.7</v>
      </c>
      <c r="R249" s="177">
        <f t="shared" si="81"/>
        <v>0.47736212201213152</v>
      </c>
      <c r="S249" s="921">
        <f t="shared" si="82"/>
        <v>0</v>
      </c>
      <c r="T249" s="176">
        <f t="shared" si="83"/>
        <v>6</v>
      </c>
      <c r="U249" s="251">
        <f t="shared" si="84"/>
        <v>0.47736212201213152</v>
      </c>
      <c r="V249" s="383">
        <f t="shared" si="85"/>
        <v>46.010823425263659</v>
      </c>
      <c r="W249" s="402">
        <f t="shared" si="86"/>
        <v>0</v>
      </c>
      <c r="X249" s="157">
        <f t="shared" si="87"/>
        <v>44796</v>
      </c>
      <c r="Y249" s="385">
        <f t="shared" si="88"/>
        <v>40.465210166954243</v>
      </c>
      <c r="Z249" s="385">
        <f t="shared" si="89"/>
        <v>41.865313957407807</v>
      </c>
      <c r="AA249" s="386">
        <f t="shared" si="90"/>
        <v>48.365015166060537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0.13438848693288127</v>
      </c>
      <c r="AD249" s="231">
        <f>(INDEX(Models!$BJ249:$BT249,,AH249)*(1-AF249)+INDEX(Models!$BJ249:$BT249,,AH249+1)*AF249-ERP_i)*AE249*Ramure*Pc/MaxiM</f>
        <v>1.0797795235444852E-3</v>
      </c>
      <c r="AE249" s="305">
        <f t="shared" si="92"/>
        <v>0.7</v>
      </c>
      <c r="AF249" s="177">
        <f t="shared" si="93"/>
        <v>0.47736212201213152</v>
      </c>
      <c r="AG249" s="921">
        <f t="shared" si="99"/>
        <v>0</v>
      </c>
      <c r="AH249" s="176">
        <f t="shared" si="94"/>
        <v>6</v>
      </c>
      <c r="AI249" s="225">
        <f t="shared" si="95"/>
        <v>0.47736212201213152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092">
        <v>44.246000000000002</v>
      </c>
      <c r="C250" s="955"/>
      <c r="D250" s="393">
        <f t="shared" si="77"/>
        <v>45.777922475158356</v>
      </c>
      <c r="E250" s="385">
        <f t="shared" si="100"/>
        <v>49.935617532723576</v>
      </c>
      <c r="F250" s="385">
        <f t="shared" si="78"/>
        <v>49.984443548301265</v>
      </c>
      <c r="G250" s="110">
        <f t="shared" si="101"/>
        <v>0.96377095963562431</v>
      </c>
      <c r="H250" s="414" t="b">
        <f>Wh_hp&gt;='2021'!Maxi_hp</f>
        <v>0</v>
      </c>
      <c r="I250" s="380">
        <f>IF(H250,Wh_hp,'2021'!Maxi_hp)</f>
        <v>51.228164501997107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3.3464220137767509E-2</v>
      </c>
      <c r="M250" s="959"/>
      <c r="N250" s="959"/>
      <c r="O250" s="48">
        <f>IF(t&lt;Tnet,'2021'!Resal+('2021'!Salim-'2021'!Resal)*(1-EXP(('2021'!Tnet-t)/('2021'!Tau_j))),Resal+(Salim-Resal)*(1-EXP((Tnet-t)/(Tau_j))))*Salcycl</f>
        <v>8.3261112268024351E-2</v>
      </c>
      <c r="P250" s="339">
        <f>(INDEX(Models!$BJ250:$BT250,,T250)*(1-R250)+INDEX(Models!$BJ250:$BT250,,T250+1)*R250-ERP_i)*Q250*Ramure*Pc/MaxiM</f>
        <v>1.0300602141889068E-3</v>
      </c>
      <c r="Q250" s="305">
        <f t="shared" si="80"/>
        <v>0.7</v>
      </c>
      <c r="R250" s="177">
        <f t="shared" si="81"/>
        <v>0.47824144356179576</v>
      </c>
      <c r="S250" s="921">
        <f t="shared" si="82"/>
        <v>0</v>
      </c>
      <c r="T250" s="176">
        <f t="shared" si="83"/>
        <v>6</v>
      </c>
      <c r="U250" s="251">
        <f t="shared" si="84"/>
        <v>0.47824144356179576</v>
      </c>
      <c r="V250" s="383">
        <f t="shared" si="85"/>
        <v>45.906801585128534</v>
      </c>
      <c r="W250" s="402">
        <f t="shared" si="86"/>
        <v>0</v>
      </c>
      <c r="X250" s="157">
        <f t="shared" si="87"/>
        <v>44797</v>
      </c>
      <c r="Y250" s="385">
        <f t="shared" si="88"/>
        <v>41.771803980795269</v>
      </c>
      <c r="Z250" s="385">
        <f t="shared" si="89"/>
        <v>43.218062746471027</v>
      </c>
      <c r="AA250" s="386">
        <f t="shared" si="90"/>
        <v>49.935617532723576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0.13452431587234176</v>
      </c>
      <c r="AD250" s="231">
        <f>(INDEX(Models!$BJ250:$BT250,,AH250)*(1-AF250)+INDEX(Models!$BJ250:$BT250,,AH250+1)*AF250-ERP_i)*AE250*Ramure*Pc/MaxiM</f>
        <v>1.0300602141889068E-3</v>
      </c>
      <c r="AE250" s="305">
        <f t="shared" si="92"/>
        <v>0.7</v>
      </c>
      <c r="AF250" s="177">
        <f t="shared" si="93"/>
        <v>0.47824144356179576</v>
      </c>
      <c r="AG250" s="921">
        <f t="shared" si="99"/>
        <v>0</v>
      </c>
      <c r="AH250" s="176">
        <f t="shared" si="94"/>
        <v>6</v>
      </c>
      <c r="AI250" s="225">
        <f t="shared" si="95"/>
        <v>0.47824144356179576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092">
        <v>28.571000000000002</v>
      </c>
      <c r="C251" s="955"/>
      <c r="D251" s="393">
        <f t="shared" si="77"/>
        <v>29.560856811741118</v>
      </c>
      <c r="E251" s="385">
        <f t="shared" si="100"/>
        <v>32.252204865695255</v>
      </c>
      <c r="F251" s="385">
        <f t="shared" si="78"/>
        <v>32.266916919364355</v>
      </c>
      <c r="G251" s="110">
        <f t="shared" si="101"/>
        <v>0.6234520908375687</v>
      </c>
      <c r="H251" s="414" t="b">
        <f>Wh_hp&gt;='2021'!Maxi_hp</f>
        <v>0</v>
      </c>
      <c r="I251" s="380">
        <f>IF(H251,Wh_hp,'2021'!Maxi_hp)</f>
        <v>50.680972332086561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3.3485389751895189E-2</v>
      </c>
      <c r="M251" s="959"/>
      <c r="N251" s="959"/>
      <c r="O251" s="48">
        <f>IF(t&lt;Tnet,'2021'!Resal+('2021'!Salim-'2021'!Resal)*(1-EXP(('2021'!Tnet-t)/('2021'!Tau_j))),Resal+(Salim-Resal)*(1-EXP((Tnet-t)/(Tau_j))))*Salcycl</f>
        <v>8.3446947740827573E-2</v>
      </c>
      <c r="P251" s="339">
        <f>(INDEX(Models!$BJ251:$BT251,,T251)*(1-R251)+INDEX(Models!$BJ251:$BT251,,T251+1)*R251-ERP_i)*Q251*Ramure*Pc/MaxiM</f>
        <v>9.8573507826425007E-4</v>
      </c>
      <c r="Q251" s="305">
        <f t="shared" si="80"/>
        <v>0.7</v>
      </c>
      <c r="R251" s="177">
        <f t="shared" si="81"/>
        <v>0.47908840872976038</v>
      </c>
      <c r="S251" s="921">
        <f t="shared" si="82"/>
        <v>0</v>
      </c>
      <c r="T251" s="176">
        <f t="shared" si="83"/>
        <v>6</v>
      </c>
      <c r="U251" s="251">
        <f t="shared" si="84"/>
        <v>0.47908840872976038</v>
      </c>
      <c r="V251" s="383">
        <f t="shared" si="85"/>
        <v>45.802808241180394</v>
      </c>
      <c r="W251" s="402">
        <f t="shared" si="86"/>
        <v>0</v>
      </c>
      <c r="X251" s="157">
        <f t="shared" si="87"/>
        <v>44798</v>
      </c>
      <c r="Y251" s="385">
        <f t="shared" si="88"/>
        <v>26.97459035018074</v>
      </c>
      <c r="Z251" s="385">
        <f t="shared" si="89"/>
        <v>27.909138738478408</v>
      </c>
      <c r="AA251" s="386">
        <f t="shared" si="90"/>
        <v>32.252204865695255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0.13465951073119678</v>
      </c>
      <c r="AD251" s="231">
        <f>(INDEX(Models!$BJ251:$BT251,,AH251)*(1-AF251)+INDEX(Models!$BJ251:$BT251,,AH251+1)*AF251-ERP_i)*AE251*Ramure*Pc/MaxiM</f>
        <v>9.8573507826425007E-4</v>
      </c>
      <c r="AE251" s="305">
        <f t="shared" si="92"/>
        <v>0.7</v>
      </c>
      <c r="AF251" s="177">
        <f t="shared" si="93"/>
        <v>0.47908840872976038</v>
      </c>
      <c r="AG251" s="921">
        <f t="shared" si="99"/>
        <v>0</v>
      </c>
      <c r="AH251" s="176">
        <f t="shared" si="94"/>
        <v>6</v>
      </c>
      <c r="AI251" s="225">
        <f t="shared" si="95"/>
        <v>0.47908840872976038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092">
        <v>39.231999999999999</v>
      </c>
      <c r="C252" s="955"/>
      <c r="D252" s="393">
        <f t="shared" si="77"/>
        <v>40.592101644729468</v>
      </c>
      <c r="E252" s="385">
        <f t="shared" si="100"/>
        <v>44.296738372286512</v>
      </c>
      <c r="F252" s="385">
        <f t="shared" si="78"/>
        <v>44.330227479958793</v>
      </c>
      <c r="G252" s="110">
        <f t="shared" si="101"/>
        <v>0.85833387006620387</v>
      </c>
      <c r="H252" s="414" t="b">
        <f>Wh_hp&gt;='2021'!Maxi_hp</f>
        <v>0</v>
      </c>
      <c r="I252" s="380">
        <f>IF(H252,Wh_hp,'2021'!Maxi_hp)</f>
        <v>53.637175533284911</v>
      </c>
      <c r="J252" s="85">
        <f>IF(H252,An,'2021'!An_max)</f>
        <v>2018</v>
      </c>
      <c r="K252" s="197">
        <f t="shared" si="79"/>
        <v>44799</v>
      </c>
      <c r="L252" s="147">
        <f>IF(t&lt;Tvie,1-EXP((T0-t)*PertePVj)+'2021'!Pspv,1-EXP((T0-t)*PertePVj)+Pspv)</f>
        <v>3.3506558902353989E-2</v>
      </c>
      <c r="M252" s="959"/>
      <c r="N252" s="959"/>
      <c r="O252" s="48">
        <f>IF(t&lt;Tnet,'2021'!Resal+('2021'!Salim-'2021'!Resal)*(1-EXP(('2021'!Tnet-t)/('2021'!Tau_j))),Resal+(Salim-Resal)*(1-EXP((Tnet-t)/(Tau_j))))*Salcycl</f>
        <v>8.3632268733238979E-2</v>
      </c>
      <c r="P252" s="339">
        <f>(INDEX(Models!$BJ252:$BT252,,T252)*(1-R252)+INDEX(Models!$BJ252:$BT252,,T252+1)*R252-ERP_i)*Q252*Ramure*Pc/MaxiM</f>
        <v>9.4684696519353967E-4</v>
      </c>
      <c r="Q252" s="305">
        <f t="shared" si="80"/>
        <v>0.7</v>
      </c>
      <c r="R252" s="177">
        <f t="shared" si="81"/>
        <v>0.47990409473116402</v>
      </c>
      <c r="S252" s="921">
        <f t="shared" si="82"/>
        <v>0</v>
      </c>
      <c r="T252" s="176">
        <f t="shared" si="83"/>
        <v>6</v>
      </c>
      <c r="U252" s="251">
        <f t="shared" si="84"/>
        <v>0.47990409473116402</v>
      </c>
      <c r="V252" s="383">
        <f t="shared" si="85"/>
        <v>45.69840089184634</v>
      </c>
      <c r="W252" s="402">
        <f t="shared" si="86"/>
        <v>0</v>
      </c>
      <c r="X252" s="157">
        <f t="shared" si="87"/>
        <v>44799</v>
      </c>
      <c r="Y252" s="385">
        <f t="shared" si="88"/>
        <v>37.041635832521344</v>
      </c>
      <c r="Z252" s="385">
        <f t="shared" si="89"/>
        <v>38.325801559970422</v>
      </c>
      <c r="AA252" s="386">
        <f t="shared" si="90"/>
        <v>44.296738372286512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0.13479405102321715</v>
      </c>
      <c r="AD252" s="231">
        <f>(INDEX(Models!$BJ252:$BT252,,AH252)*(1-AF252)+INDEX(Models!$BJ252:$BT252,,AH252+1)*AF252-ERP_i)*AE252*Ramure*Pc/MaxiM</f>
        <v>9.4684696519353967E-4</v>
      </c>
      <c r="AE252" s="305">
        <f t="shared" si="92"/>
        <v>0.7</v>
      </c>
      <c r="AF252" s="177">
        <f t="shared" si="93"/>
        <v>0.47990409473116402</v>
      </c>
      <c r="AG252" s="921">
        <f t="shared" si="99"/>
        <v>0</v>
      </c>
      <c r="AH252" s="176">
        <f t="shared" si="94"/>
        <v>6</v>
      </c>
      <c r="AI252" s="225">
        <f t="shared" si="95"/>
        <v>0.47990409473116402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092">
        <v>44.069000000000003</v>
      </c>
      <c r="C253" s="955"/>
      <c r="D253" s="393">
        <f t="shared" si="77"/>
        <v>45.597790291562895</v>
      </c>
      <c r="E253" s="385">
        <f t="shared" si="100"/>
        <v>49.769307364844231</v>
      </c>
      <c r="F253" s="385">
        <f t="shared" si="78"/>
        <v>49.812635120629643</v>
      </c>
      <c r="G253" s="110">
        <f t="shared" si="101"/>
        <v>0.9665287006779939</v>
      </c>
      <c r="H253" s="414" t="b">
        <f>Wh_hp&gt;='2021'!Maxi_hp</f>
        <v>0</v>
      </c>
      <c r="I253" s="380">
        <f>IF(H253,Wh_hp,'2021'!Maxi_hp)</f>
        <v>51.403994258295555</v>
      </c>
      <c r="J253" s="85">
        <f>IF(H253,An,'2021'!An_max)</f>
        <v>2018</v>
      </c>
      <c r="K253" s="197">
        <f t="shared" si="79"/>
        <v>44800</v>
      </c>
      <c r="L253" s="147">
        <f>IF(t&lt;Tvie,1-EXP((T0-t)*PertePVj)+'2021'!Pspv,1-EXP((T0-t)*PertePVj)+Pspv)</f>
        <v>3.3527727589154011E-2</v>
      </c>
      <c r="M253" s="959"/>
      <c r="N253" s="959"/>
      <c r="O253" s="48">
        <f>IF(t&lt;Tnet,'2021'!Resal+('2021'!Salim-'2021'!Resal)*(1-EXP(('2021'!Tnet-t)/('2021'!Tau_j))),Resal+(Salim-Resal)*(1-EXP((Tnet-t)/(Tau_j))))*Salcycl</f>
        <v>8.3817061039269974E-2</v>
      </c>
      <c r="P253" s="339">
        <f>(INDEX(Models!$BJ253:$BT253,,T253)*(1-R253)+INDEX(Models!$BJ253:$BT253,,T253+1)*R253-ERP_i)*Q253*Ramure*Pc/MaxiM</f>
        <v>9.1343651190331596E-4</v>
      </c>
      <c r="Q253" s="305">
        <f t="shared" si="80"/>
        <v>0.7</v>
      </c>
      <c r="R253" s="177">
        <f t="shared" si="81"/>
        <v>0.48068955156641124</v>
      </c>
      <c r="S253" s="921">
        <f t="shared" si="82"/>
        <v>0</v>
      </c>
      <c r="T253" s="176">
        <f t="shared" si="83"/>
        <v>6</v>
      </c>
      <c r="U253" s="251">
        <f t="shared" si="84"/>
        <v>0.48068955156641124</v>
      </c>
      <c r="V253" s="383">
        <f t="shared" si="85"/>
        <v>45.593137503473457</v>
      </c>
      <c r="W253" s="402">
        <f t="shared" si="86"/>
        <v>0</v>
      </c>
      <c r="X253" s="157">
        <f t="shared" si="87"/>
        <v>44800</v>
      </c>
      <c r="Y253" s="385">
        <f t="shared" si="88"/>
        <v>41.61053439144721</v>
      </c>
      <c r="Z253" s="385">
        <f t="shared" si="89"/>
        <v>43.054038464704789</v>
      </c>
      <c r="AA253" s="386">
        <f t="shared" si="90"/>
        <v>49.769307364844231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0.13492791553058539</v>
      </c>
      <c r="AD253" s="231">
        <f>(INDEX(Models!$BJ253:$BT253,,AH253)*(1-AF253)+INDEX(Models!$BJ253:$BT253,,AH253+1)*AF253-ERP_i)*AE253*Ramure*Pc/MaxiM</f>
        <v>9.1343651190331596E-4</v>
      </c>
      <c r="AE253" s="305">
        <f t="shared" si="92"/>
        <v>0.7</v>
      </c>
      <c r="AF253" s="177">
        <f t="shared" si="93"/>
        <v>0.48068955156641124</v>
      </c>
      <c r="AG253" s="921">
        <f t="shared" si="99"/>
        <v>0</v>
      </c>
      <c r="AH253" s="176">
        <f t="shared" si="94"/>
        <v>6</v>
      </c>
      <c r="AI253" s="225">
        <f t="shared" si="95"/>
        <v>0.48068955156641124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092">
        <v>44.170999999999999</v>
      </c>
      <c r="C254" s="955"/>
      <c r="D254" s="393">
        <f t="shared" si="77"/>
        <v>45.704329798583949</v>
      </c>
      <c r="E254" s="385">
        <f t="shared" si="100"/>
        <v>49.89562790210671</v>
      </c>
      <c r="F254" s="385">
        <f t="shared" si="78"/>
        <v>49.938094503579521</v>
      </c>
      <c r="G254" s="110">
        <f t="shared" si="101"/>
        <v>0.97104352795984428</v>
      </c>
      <c r="H254" s="414" t="b">
        <f>Wh_hp&gt;='2021'!Maxi_hp</f>
        <v>0</v>
      </c>
      <c r="I254" s="380">
        <f>IF(H254,Wh_hp,'2021'!Maxi_hp)</f>
        <v>53.343274555388398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3.3548895812305579E-2</v>
      </c>
      <c r="M254" s="959"/>
      <c r="N254" s="959"/>
      <c r="O254" s="48">
        <f>IF(t&lt;Tnet,'2021'!Resal+('2021'!Salim-'2021'!Resal)*(1-EXP(('2021'!Tnet-t)/('2021'!Tau_j))),Resal+(Salim-Resal)*(1-EXP((Tnet-t)/(Tau_j))))*Salcycl</f>
        <v>8.40013099293173E-2</v>
      </c>
      <c r="P254" s="339">
        <f>(INDEX(Models!$BJ254:$BT254,,T254)*(1-R254)+INDEX(Models!$BJ254:$BT254,,T254+1)*R254-ERP_i)*Q254*Ramure*Pc/MaxiM</f>
        <v>8.8703312068375386E-4</v>
      </c>
      <c r="Q254" s="305">
        <f t="shared" si="80"/>
        <v>0.7</v>
      </c>
      <c r="R254" s="177">
        <f t="shared" si="81"/>
        <v>0.48144580201897108</v>
      </c>
      <c r="S254" s="921">
        <f t="shared" si="82"/>
        <v>0</v>
      </c>
      <c r="T254" s="176">
        <f t="shared" si="83"/>
        <v>6</v>
      </c>
      <c r="U254" s="251">
        <f t="shared" si="84"/>
        <v>0.48144580201897108</v>
      </c>
      <c r="V254" s="383">
        <f t="shared" si="85"/>
        <v>45.486508649570176</v>
      </c>
      <c r="W254" s="402">
        <f t="shared" si="86"/>
        <v>0</v>
      </c>
      <c r="X254" s="157">
        <f t="shared" si="87"/>
        <v>44801</v>
      </c>
      <c r="Y254" s="385">
        <f t="shared" si="88"/>
        <v>41.708811757579568</v>
      </c>
      <c r="Z254" s="385">
        <f t="shared" si="89"/>
        <v>43.156670396311434</v>
      </c>
      <c r="AA254" s="386">
        <f t="shared" si="90"/>
        <v>49.89562790210671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0.13506108228594396</v>
      </c>
      <c r="AD254" s="231">
        <f>(INDEX(Models!$BJ254:$BT254,,AH254)*(1-AF254)+INDEX(Models!$BJ254:$BT254,,AH254+1)*AF254-ERP_i)*AE254*Ramure*Pc/MaxiM</f>
        <v>8.8703312068375386E-4</v>
      </c>
      <c r="AE254" s="305">
        <f t="shared" si="92"/>
        <v>0.7</v>
      </c>
      <c r="AF254" s="177">
        <f t="shared" si="93"/>
        <v>0.48144580201897108</v>
      </c>
      <c r="AG254" s="921">
        <f t="shared" si="99"/>
        <v>0</v>
      </c>
      <c r="AH254" s="176">
        <f t="shared" si="94"/>
        <v>6</v>
      </c>
      <c r="AI254" s="225">
        <f t="shared" si="95"/>
        <v>0.48144580201897108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092">
        <v>31.036999999999999</v>
      </c>
      <c r="C255" s="955"/>
      <c r="D255" s="393">
        <f t="shared" si="77"/>
        <v>32.115106155247361</v>
      </c>
      <c r="E255" s="385">
        <f t="shared" si="100"/>
        <v>35.067241920892421</v>
      </c>
      <c r="F255" s="385">
        <f t="shared" si="78"/>
        <v>35.083886395944745</v>
      </c>
      <c r="G255" s="110">
        <f t="shared" si="101"/>
        <v>0.68369558704215139</v>
      </c>
      <c r="H255" s="414" t="b">
        <f>Wh_hp&gt;='2021'!Maxi_hp</f>
        <v>0</v>
      </c>
      <c r="I255" s="380">
        <f>IF(H255,Wh_hp,'2021'!Maxi_hp)</f>
        <v>52.809812213553279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3.3570063571818687E-2</v>
      </c>
      <c r="M255" s="959"/>
      <c r="N255" s="959"/>
      <c r="O255" s="48">
        <f>IF(t&lt;Tnet,'2021'!Resal+('2021'!Salim-'2021'!Resal)*(1-EXP(('2021'!Tnet-t)/('2021'!Tau_j))),Resal+(Salim-Resal)*(1-EXP((Tnet-t)/(Tau_j))))*Salcycl</f>
        <v>8.4185000129315388E-2</v>
      </c>
      <c r="P255" s="339">
        <f>(INDEX(Models!$BJ255:$BT255,,T255)*(1-R255)+INDEX(Models!$BJ255:$BT255,,T255+1)*R255-ERP_i)*Q255*Ramure*Pc/MaxiM</f>
        <v>8.649107632649779E-4</v>
      </c>
      <c r="Q255" s="305">
        <f t="shared" si="80"/>
        <v>0.7</v>
      </c>
      <c r="R255" s="177">
        <f t="shared" si="81"/>
        <v>0.48217384172126571</v>
      </c>
      <c r="S255" s="921">
        <f t="shared" si="82"/>
        <v>0</v>
      </c>
      <c r="T255" s="176">
        <f t="shared" si="83"/>
        <v>6</v>
      </c>
      <c r="U255" s="251">
        <f t="shared" si="84"/>
        <v>0.48217384172126571</v>
      </c>
      <c r="V255" s="383">
        <f t="shared" si="85"/>
        <v>45.378199236455423</v>
      </c>
      <c r="W255" s="402">
        <f t="shared" si="86"/>
        <v>0</v>
      </c>
      <c r="X255" s="157">
        <f t="shared" si="87"/>
        <v>44802</v>
      </c>
      <c r="Y255" s="385">
        <f t="shared" si="88"/>
        <v>29.308319320397249</v>
      </c>
      <c r="Z255" s="385">
        <f t="shared" si="89"/>
        <v>30.326377749345774</v>
      </c>
      <c r="AA255" s="386">
        <f t="shared" si="90"/>
        <v>35.067241920892421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0.13519352854272026</v>
      </c>
      <c r="AD255" s="231">
        <f>(INDEX(Models!$BJ255:$BT255,,AH255)*(1-AF255)+INDEX(Models!$BJ255:$BT255,,AH255+1)*AF255-ERP_i)*AE255*Ramure*Pc/MaxiM</f>
        <v>8.649107632649779E-4</v>
      </c>
      <c r="AE255" s="305">
        <f t="shared" si="92"/>
        <v>0.7</v>
      </c>
      <c r="AF255" s="177">
        <f t="shared" si="93"/>
        <v>0.48217384172126571</v>
      </c>
      <c r="AG255" s="921">
        <f t="shared" si="99"/>
        <v>0</v>
      </c>
      <c r="AH255" s="176">
        <f t="shared" si="94"/>
        <v>6</v>
      </c>
      <c r="AI255" s="225">
        <f t="shared" si="95"/>
        <v>0.48217384172126571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092">
        <v>43.868000000000002</v>
      </c>
      <c r="C256" s="955"/>
      <c r="D256" s="393">
        <f t="shared" si="77"/>
        <v>45.392800025384176</v>
      </c>
      <c r="E256" s="385">
        <f t="shared" si="100"/>
        <v>49.575381557084263</v>
      </c>
      <c r="F256" s="385">
        <f t="shared" si="78"/>
        <v>49.615554299697308</v>
      </c>
      <c r="G256" s="110">
        <f t="shared" si="101"/>
        <v>0.96904173991881404</v>
      </c>
      <c r="H256" s="414" t="b">
        <f>Wh_hp&gt;='2021'!Maxi_hp</f>
        <v>0</v>
      </c>
      <c r="I256" s="380">
        <f>IF(H256,Wh_hp,'2021'!Maxi_hp)</f>
        <v>51.020688029577649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3.3591230867703437E-2</v>
      </c>
      <c r="M256" s="959"/>
      <c r="N256" s="959"/>
      <c r="O256" s="48">
        <f>IF(t&lt;Tnet,'2021'!Resal+('2021'!Salim-'2021'!Resal)*(1-EXP(('2021'!Tnet-t)/('2021'!Tau_j))),Resal+(Salim-Resal)*(1-EXP((Tnet-t)/(Tau_j))))*Salcycl</f>
        <v>8.4368115793198598E-2</v>
      </c>
      <c r="P256" s="339">
        <f>(INDEX(Models!$BJ256:$BT256,,T256)*(1-R256)+INDEX(Models!$BJ256:$BT256,,T256+1)*R256-ERP_i)*Q256*Ramure*Pc/MaxiM</f>
        <v>8.4710043290688476E-4</v>
      </c>
      <c r="Q256" s="305">
        <f t="shared" si="80"/>
        <v>0.7</v>
      </c>
      <c r="R256" s="177">
        <f t="shared" si="81"/>
        <v>0.4828746392824404</v>
      </c>
      <c r="S256" s="921">
        <f t="shared" si="82"/>
        <v>0</v>
      </c>
      <c r="T256" s="176">
        <f t="shared" si="83"/>
        <v>6</v>
      </c>
      <c r="U256" s="251">
        <f t="shared" si="84"/>
        <v>0.4828746392824404</v>
      </c>
      <c r="V256" s="383">
        <f t="shared" si="85"/>
        <v>45.267768478315375</v>
      </c>
      <c r="W256" s="402">
        <f t="shared" si="86"/>
        <v>0</v>
      </c>
      <c r="X256" s="157">
        <f t="shared" si="87"/>
        <v>44803</v>
      </c>
      <c r="Y256" s="385">
        <f t="shared" si="88"/>
        <v>41.426640369760634</v>
      </c>
      <c r="Z256" s="385">
        <f t="shared" si="89"/>
        <v>42.866581609101203</v>
      </c>
      <c r="AA256" s="386">
        <f t="shared" si="90"/>
        <v>49.575381557084263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0.13532523073489847</v>
      </c>
      <c r="AD256" s="231">
        <f>(INDEX(Models!$BJ256:$BT256,,AH256)*(1-AF256)+INDEX(Models!$BJ256:$BT256,,AH256+1)*AF256-ERP_i)*AE256*Ramure*Pc/MaxiM</f>
        <v>8.4710043290688476E-4</v>
      </c>
      <c r="AE256" s="305">
        <f t="shared" si="92"/>
        <v>0.7</v>
      </c>
      <c r="AF256" s="177">
        <f t="shared" si="93"/>
        <v>0.4828746392824404</v>
      </c>
      <c r="AG256" s="921">
        <f t="shared" si="99"/>
        <v>0</v>
      </c>
      <c r="AH256" s="176">
        <f t="shared" si="94"/>
        <v>6</v>
      </c>
      <c r="AI256" s="225">
        <f t="shared" si="95"/>
        <v>0.4828746392824404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092">
        <v>19.943999999999999</v>
      </c>
      <c r="C257" s="955"/>
      <c r="D257" s="393">
        <f t="shared" si="77"/>
        <v>20.637681974119612</v>
      </c>
      <c r="E257" s="385">
        <f t="shared" si="100"/>
        <v>22.54377236628725</v>
      </c>
      <c r="F257" s="385">
        <f t="shared" si="78"/>
        <v>22.547576780055699</v>
      </c>
      <c r="G257" s="110">
        <f t="shared" si="101"/>
        <v>0.44138712787890411</v>
      </c>
      <c r="H257" s="414" t="b">
        <f>Wh_hp&gt;='2021'!Maxi_hp</f>
        <v>0</v>
      </c>
      <c r="I257" s="380">
        <f>IF(H257,Wh_hp,'2021'!Maxi_hp)</f>
        <v>51.639133296774915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3.3612397699970153E-2</v>
      </c>
      <c r="M257" s="959"/>
      <c r="N257" s="959"/>
      <c r="O257" s="48">
        <f>IF(t&lt;Tnet,'2021'!Resal+('2021'!Salim-'2021'!Resal)*(1-EXP(('2021'!Tnet-t)/('2021'!Tau_j))),Resal+(Salim-Resal)*(1-EXP((Tnet-t)/(Tau_j))))*Salcycl</f>
        <v>8.4550640469474858E-2</v>
      </c>
      <c r="P257" s="339">
        <f>(INDEX(Models!$BJ257:$BT257,,T257)*(1-R257)+INDEX(Models!$BJ257:$BT257,,T257+1)*R257-ERP_i)*Q257*Ramure*Pc/MaxiM</f>
        <v>8.3363271058978455E-4</v>
      </c>
      <c r="Q257" s="305">
        <f t="shared" si="80"/>
        <v>0.7</v>
      </c>
      <c r="R257" s="177">
        <f t="shared" si="81"/>
        <v>0.48354913647214059</v>
      </c>
      <c r="S257" s="921">
        <f t="shared" si="82"/>
        <v>0</v>
      </c>
      <c r="T257" s="176">
        <f t="shared" si="83"/>
        <v>6</v>
      </c>
      <c r="U257" s="251">
        <f t="shared" si="84"/>
        <v>0.48354913647214059</v>
      </c>
      <c r="V257" s="383">
        <f t="shared" si="85"/>
        <v>45.15477604406972</v>
      </c>
      <c r="W257" s="402">
        <f t="shared" si="86"/>
        <v>0</v>
      </c>
      <c r="X257" s="157">
        <f t="shared" si="87"/>
        <v>44804</v>
      </c>
      <c r="Y257" s="385">
        <f t="shared" si="88"/>
        <v>18.834971128821699</v>
      </c>
      <c r="Z257" s="385">
        <f t="shared" si="89"/>
        <v>19.490079429820845</v>
      </c>
      <c r="AA257" s="386">
        <f t="shared" si="90"/>
        <v>22.54377236628725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0.1354561644276096</v>
      </c>
      <c r="AD257" s="231">
        <f>(INDEX(Models!$BJ257:$BT257,,AH257)*(1-AF257)+INDEX(Models!$BJ257:$BT257,,AH257+1)*AF257-ERP_i)*AE257*Ramure*Pc/MaxiM</f>
        <v>8.3363271058978455E-4</v>
      </c>
      <c r="AE257" s="305">
        <f t="shared" si="92"/>
        <v>0.7</v>
      </c>
      <c r="AF257" s="177">
        <f t="shared" si="93"/>
        <v>0.48354913647214059</v>
      </c>
      <c r="AG257" s="921">
        <f t="shared" si="99"/>
        <v>0</v>
      </c>
      <c r="AH257" s="176">
        <f t="shared" si="94"/>
        <v>6</v>
      </c>
      <c r="AI257" s="225">
        <f t="shared" si="95"/>
        <v>0.48354913647214059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092">
        <v>40.532000000000004</v>
      </c>
      <c r="C258" s="955"/>
      <c r="D258" s="393">
        <f t="shared" si="77"/>
        <v>41.942681878159192</v>
      </c>
      <c r="E258" s="385">
        <f t="shared" si="100"/>
        <v>45.825602343684295</v>
      </c>
      <c r="F258" s="385">
        <f t="shared" si="78"/>
        <v>45.858008871064698</v>
      </c>
      <c r="G258" s="110">
        <f t="shared" si="101"/>
        <v>0.89982937768420579</v>
      </c>
      <c r="H258" s="414" t="b">
        <f>Wh_hp&gt;='2021'!Maxi_hp</f>
        <v>0</v>
      </c>
      <c r="I258" s="380">
        <f>IF(H258,Wh_hp,'2021'!Maxi_hp)</f>
        <v>52.083506608695828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3.3633564068628941E-2</v>
      </c>
      <c r="M258" s="959"/>
      <c r="N258" s="959"/>
      <c r="O258" s="48">
        <f>IF(t&lt;Tnet,'2021'!Resal+('2021'!Salim-'2021'!Resal)*(1-EXP(('2021'!Tnet-t)/('2021'!Tau_j))),Resal+(Salim-Resal)*(1-EXP((Tnet-t)/(Tau_j))))*Salcycl</f>
        <v>8.4732557062836861E-2</v>
      </c>
      <c r="P258" s="339">
        <f>(INDEX(Models!$BJ258:$BT258,,T258)*(1-R258)+INDEX(Models!$BJ258:$BT258,,T258+1)*R258-ERP_i)*Q258*Ramure*Pc/MaxiM</f>
        <v>8.2453816370638177E-4</v>
      </c>
      <c r="Q258" s="305">
        <f t="shared" si="80"/>
        <v>0.7</v>
      </c>
      <c r="R258" s="177">
        <f t="shared" si="81"/>
        <v>0.48419824845476206</v>
      </c>
      <c r="S258" s="921">
        <f t="shared" si="82"/>
        <v>0</v>
      </c>
      <c r="T258" s="176">
        <f t="shared" si="83"/>
        <v>6</v>
      </c>
      <c r="U258" s="251">
        <f t="shared" si="84"/>
        <v>0.48419824845476206</v>
      </c>
      <c r="V258" s="383">
        <f t="shared" si="85"/>
        <v>45.038782059001242</v>
      </c>
      <c r="W258" s="402">
        <f t="shared" si="86"/>
        <v>0</v>
      </c>
      <c r="X258" s="157">
        <f t="shared" si="87"/>
        <v>44805</v>
      </c>
      <c r="Y258" s="385">
        <f t="shared" si="88"/>
        <v>38.279976181929165</v>
      </c>
      <c r="Z258" s="385">
        <f t="shared" si="89"/>
        <v>39.612278281411371</v>
      </c>
      <c r="AA258" s="386">
        <f t="shared" si="90"/>
        <v>45.825602343684295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0.13558630426009555</v>
      </c>
      <c r="AD258" s="231">
        <f>(INDEX(Models!$BJ258:$BT258,,AH258)*(1-AF258)+INDEX(Models!$BJ258:$BT258,,AH258+1)*AF258-ERP_i)*AE258*Ramure*Pc/MaxiM</f>
        <v>8.2453816370638177E-4</v>
      </c>
      <c r="AE258" s="305">
        <f t="shared" si="92"/>
        <v>0.7</v>
      </c>
      <c r="AF258" s="177">
        <f t="shared" si="93"/>
        <v>0.48419824845476206</v>
      </c>
      <c r="AG258" s="921">
        <f t="shared" si="99"/>
        <v>0</v>
      </c>
      <c r="AH258" s="176">
        <f t="shared" si="94"/>
        <v>6</v>
      </c>
      <c r="AI258" s="225">
        <f t="shared" si="95"/>
        <v>0.48419824845476206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092">
        <v>37.795999999999999</v>
      </c>
      <c r="C259" s="955"/>
      <c r="D259" s="393">
        <f t="shared" si="77"/>
        <v>39.112314379073794</v>
      </c>
      <c r="E259" s="385">
        <f t="shared" si="100"/>
        <v>42.741674414691786</v>
      </c>
      <c r="F259" s="385">
        <f t="shared" si="78"/>
        <v>42.768794797508285</v>
      </c>
      <c r="G259" s="110">
        <f t="shared" si="101"/>
        <v>0.84126279813146021</v>
      </c>
      <c r="H259" s="414" t="b">
        <f>Wh_hp&gt;='2021'!Maxi_hp</f>
        <v>0</v>
      </c>
      <c r="I259" s="380">
        <f>IF(H259,Wh_hp,'2021'!Maxi_hp)</f>
        <v>50.502495754224739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3.3654729973689901E-2</v>
      </c>
      <c r="M259" s="959"/>
      <c r="N259" s="959"/>
      <c r="O259" s="48">
        <f>IF(t&lt;Tnet,'2021'!Resal+('2021'!Salim-'2021'!Resal)*(1-EXP(('2021'!Tnet-t)/('2021'!Tau_j))),Resal+(Salim-Resal)*(1-EXP((Tnet-t)/(Tau_j))))*Salcycl</f>
        <v>8.4913847791851058E-2</v>
      </c>
      <c r="P259" s="339">
        <f>(INDEX(Models!$BJ259:$BT259,,T259)*(1-R259)+INDEX(Models!$BJ259:$BT259,,T259+1)*R259-ERP_i)*Q259*Ramure*Pc/MaxiM</f>
        <v>8.1984775197748512E-4</v>
      </c>
      <c r="Q259" s="305">
        <f t="shared" si="80"/>
        <v>0.7</v>
      </c>
      <c r="R259" s="177">
        <f t="shared" si="81"/>
        <v>0.48482286406896868</v>
      </c>
      <c r="S259" s="921">
        <f t="shared" si="82"/>
        <v>0</v>
      </c>
      <c r="T259" s="176">
        <f t="shared" si="83"/>
        <v>6</v>
      </c>
      <c r="U259" s="251">
        <f t="shared" si="84"/>
        <v>0.48482286406896868</v>
      </c>
      <c r="V259" s="383">
        <f t="shared" si="85"/>
        <v>44.919347102284348</v>
      </c>
      <c r="W259" s="402">
        <f t="shared" si="86"/>
        <v>0</v>
      </c>
      <c r="X259" s="157">
        <f t="shared" si="87"/>
        <v>44806</v>
      </c>
      <c r="Y259" s="385">
        <f t="shared" si="88"/>
        <v>35.69772332463014</v>
      </c>
      <c r="Z259" s="385">
        <f t="shared" si="89"/>
        <v>36.940961405707732</v>
      </c>
      <c r="AA259" s="386">
        <f t="shared" si="90"/>
        <v>42.741674414691786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0.13571562388276839</v>
      </c>
      <c r="AD259" s="231">
        <f>(INDEX(Models!$BJ259:$BT259,,AH259)*(1-AF259)+INDEX(Models!$BJ259:$BT259,,AH259+1)*AF259-ERP_i)*AE259*Ramure*Pc/MaxiM</f>
        <v>8.1984775197748512E-4</v>
      </c>
      <c r="AE259" s="305">
        <f t="shared" si="92"/>
        <v>0.7</v>
      </c>
      <c r="AF259" s="177">
        <f t="shared" si="93"/>
        <v>0.48482286406896868</v>
      </c>
      <c r="AG259" s="921">
        <f t="shared" si="99"/>
        <v>0</v>
      </c>
      <c r="AH259" s="176">
        <f t="shared" si="94"/>
        <v>6</v>
      </c>
      <c r="AI259" s="225">
        <f t="shared" si="95"/>
        <v>0.48482286406896868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092">
        <v>35.917999999999999</v>
      </c>
      <c r="C260" s="955"/>
      <c r="D260" s="393">
        <f t="shared" si="77"/>
        <v>37.169723728905119</v>
      </c>
      <c r="E260" s="385">
        <f t="shared" si="100"/>
        <v>40.626844511251583</v>
      </c>
      <c r="F260" s="385">
        <f t="shared" si="78"/>
        <v>40.650728660656583</v>
      </c>
      <c r="G260" s="110">
        <f t="shared" si="101"/>
        <v>0.8016259171905995</v>
      </c>
      <c r="H260" s="414" t="b">
        <f>Wh_hp&gt;='2021'!Maxi_hp</f>
        <v>0</v>
      </c>
      <c r="I260" s="380">
        <f>IF(H260,Wh_hp,'2021'!Maxi_hp)</f>
        <v>52.236523625300045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3.3675895415163248E-2</v>
      </c>
      <c r="M260" s="959"/>
      <c r="N260" s="959"/>
      <c r="O260" s="48">
        <f>IF(t&lt;Tnet,'2021'!Resal+('2021'!Salim-'2021'!Resal)*(1-EXP(('2021'!Tnet-t)/('2021'!Tau_j))),Resal+(Salim-Resal)*(1-EXP((Tnet-t)/(Tau_j))))*Salcycl</f>
        <v>8.5094494143866314E-2</v>
      </c>
      <c r="P260" s="339">
        <f>(INDEX(Models!$BJ260:$BT260,,T260)*(1-R260)+INDEX(Models!$BJ260:$BT260,,T260+1)*R260-ERP_i)*Q260*Ramure*Pc/MaxiM</f>
        <v>8.1959324088724523E-4</v>
      </c>
      <c r="Q260" s="305">
        <f t="shared" si="80"/>
        <v>0.7</v>
      </c>
      <c r="R260" s="177">
        <f t="shared" si="81"/>
        <v>0.48542384614759415</v>
      </c>
      <c r="S260" s="921">
        <f t="shared" si="82"/>
        <v>0</v>
      </c>
      <c r="T260" s="176">
        <f t="shared" si="83"/>
        <v>6</v>
      </c>
      <c r="U260" s="251">
        <f t="shared" si="84"/>
        <v>0.48542384614759415</v>
      </c>
      <c r="V260" s="383">
        <f t="shared" si="85"/>
        <v>44.796032209505796</v>
      </c>
      <c r="W260" s="402">
        <f t="shared" si="86"/>
        <v>0</v>
      </c>
      <c r="X260" s="157">
        <f t="shared" si="87"/>
        <v>44807</v>
      </c>
      <c r="Y260" s="385">
        <f t="shared" si="88"/>
        <v>33.925636653339076</v>
      </c>
      <c r="Z260" s="385">
        <f t="shared" si="89"/>
        <v>35.107927549747501</v>
      </c>
      <c r="AA260" s="386">
        <f t="shared" si="90"/>
        <v>40.626844511251583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0.13584409589023394</v>
      </c>
      <c r="AD260" s="231">
        <f>(INDEX(Models!$BJ260:$BT260,,AH260)*(1-AF260)+INDEX(Models!$BJ260:$BT260,,AH260+1)*AF260-ERP_i)*AE260*Ramure*Pc/MaxiM</f>
        <v>8.1959324088724523E-4</v>
      </c>
      <c r="AE260" s="305">
        <f t="shared" si="92"/>
        <v>0.7</v>
      </c>
      <c r="AF260" s="177">
        <f t="shared" si="93"/>
        <v>0.48542384614759415</v>
      </c>
      <c r="AG260" s="921">
        <f t="shared" si="99"/>
        <v>0</v>
      </c>
      <c r="AH260" s="176">
        <f t="shared" si="94"/>
        <v>6</v>
      </c>
      <c r="AI260" s="225">
        <f t="shared" si="95"/>
        <v>0.48542384614759415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092">
        <v>42.919000000000004</v>
      </c>
      <c r="C261" s="955"/>
      <c r="D261" s="393">
        <f t="shared" si="77"/>
        <v>44.415677776431053</v>
      </c>
      <c r="E261" s="385">
        <f t="shared" si="100"/>
        <v>48.556290003178859</v>
      </c>
      <c r="F261" s="385">
        <f t="shared" si="78"/>
        <v>48.594078839405732</v>
      </c>
      <c r="G261" s="110">
        <f t="shared" si="101"/>
        <v>0.96075434562565698</v>
      </c>
      <c r="H261" s="414" t="b">
        <f>Wh_hp&gt;='2021'!Maxi_hp</f>
        <v>0</v>
      </c>
      <c r="I261" s="380">
        <f>IF(H261,Wh_hp,'2021'!Maxi_hp)</f>
        <v>51.364733019215166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3.3697060393059086E-2</v>
      </c>
      <c r="M261" s="959"/>
      <c r="N261" s="959"/>
      <c r="O261" s="48">
        <f>IF(t&lt;Tnet,'2021'!Resal+('2021'!Salim-'2021'!Resal)*(1-EXP(('2021'!Tnet-t)/('2021'!Tau_j))),Resal+(Salim-Resal)*(1-EXP((Tnet-t)/(Tau_j))))*Salcycl</f>
        <v>8.527447682837247E-2</v>
      </c>
      <c r="P261" s="339">
        <f>(INDEX(Models!$BJ261:$BT261,,T261)*(1-R261)+INDEX(Models!$BJ261:$BT261,,T261+1)*R261-ERP_i)*Q261*Ramure*Pc/MaxiM</f>
        <v>8.2377578255634775E-4</v>
      </c>
      <c r="Q261" s="305">
        <f t="shared" si="80"/>
        <v>0.7</v>
      </c>
      <c r="R261" s="177">
        <f t="shared" si="81"/>
        <v>0.48600203187335839</v>
      </c>
      <c r="S261" s="921">
        <f t="shared" si="82"/>
        <v>0</v>
      </c>
      <c r="T261" s="176">
        <f t="shared" si="83"/>
        <v>6</v>
      </c>
      <c r="U261" s="251">
        <f t="shared" si="84"/>
        <v>0.48600203187335839</v>
      </c>
      <c r="V261" s="383">
        <f t="shared" si="85"/>
        <v>44.670126836918911</v>
      </c>
      <c r="W261" s="402">
        <f t="shared" si="86"/>
        <v>0</v>
      </c>
      <c r="X261" s="157">
        <f t="shared" si="87"/>
        <v>44808</v>
      </c>
      <c r="Y261" s="385">
        <f t="shared" si="88"/>
        <v>40.540282327649152</v>
      </c>
      <c r="Z261" s="385">
        <f t="shared" si="89"/>
        <v>41.954009106232832</v>
      </c>
      <c r="AA261" s="386">
        <f t="shared" si="90"/>
        <v>48.556290003178859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0.13597169175226922</v>
      </c>
      <c r="AD261" s="231">
        <f>(INDEX(Models!$BJ261:$BT261,,AH261)*(1-AF261)+INDEX(Models!$BJ261:$BT261,,AH261+1)*AF261-ERP_i)*AE261*Ramure*Pc/MaxiM</f>
        <v>8.2377578255634775E-4</v>
      </c>
      <c r="AE261" s="305">
        <f t="shared" si="92"/>
        <v>0.7</v>
      </c>
      <c r="AF261" s="177">
        <f t="shared" si="93"/>
        <v>0.48600203187335839</v>
      </c>
      <c r="AG261" s="921">
        <f t="shared" si="99"/>
        <v>0</v>
      </c>
      <c r="AH261" s="176">
        <f t="shared" si="94"/>
        <v>6</v>
      </c>
      <c r="AI261" s="225">
        <f t="shared" si="95"/>
        <v>0.48600203187335839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092">
        <v>39.399000000000001</v>
      </c>
      <c r="C262" s="955"/>
      <c r="D262" s="393">
        <f t="shared" si="77"/>
        <v>40.77382086216398</v>
      </c>
      <c r="E262" s="385">
        <f t="shared" si="100"/>
        <v>44.583663220210795</v>
      </c>
      <c r="F262" s="385">
        <f t="shared" si="78"/>
        <v>44.614696613473484</v>
      </c>
      <c r="G262" s="110">
        <f t="shared" si="101"/>
        <v>0.88439454287154318</v>
      </c>
      <c r="H262" s="414" t="b">
        <f>Wh_hp&gt;='2021'!Maxi_hp</f>
        <v>0</v>
      </c>
      <c r="I262" s="380">
        <f>IF(H262,Wh_hp,'2021'!Maxi_hp)</f>
        <v>50.98450100113412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3.3718224907387628E-2</v>
      </c>
      <c r="M262" s="959"/>
      <c r="N262" s="959"/>
      <c r="O262" s="48">
        <f>IF(t&lt;Tnet,'2021'!Resal+('2021'!Salim-'2021'!Resal)*(1-EXP(('2021'!Tnet-t)/('2021'!Tau_j))),Resal+(Salim-Resal)*(1-EXP((Tnet-t)/(Tau_j))))*Salcycl</f>
        <v>8.5453775730113687E-2</v>
      </c>
      <c r="P262" s="339">
        <f>(INDEX(Models!$BJ262:$BT262,,T262)*(1-R262)+INDEX(Models!$BJ262:$BT262,,T262+1)*R262-ERP_i)*Q262*Ramure*Pc/MaxiM</f>
        <v>8.3301499627780893E-4</v>
      </c>
      <c r="Q262" s="305">
        <f t="shared" si="80"/>
        <v>0.7</v>
      </c>
      <c r="R262" s="177">
        <f t="shared" si="81"/>
        <v>0.48655823316613028</v>
      </c>
      <c r="S262" s="921">
        <f t="shared" si="82"/>
        <v>0</v>
      </c>
      <c r="T262" s="176">
        <f t="shared" si="83"/>
        <v>6</v>
      </c>
      <c r="U262" s="251">
        <f t="shared" si="84"/>
        <v>0.48655823316613028</v>
      </c>
      <c r="V262" s="383">
        <f t="shared" si="85"/>
        <v>44.542994995188614</v>
      </c>
      <c r="W262" s="402">
        <f t="shared" si="86"/>
        <v>0</v>
      </c>
      <c r="X262" s="157">
        <f t="shared" si="87"/>
        <v>44809</v>
      </c>
      <c r="Y262" s="385">
        <f t="shared" si="88"/>
        <v>37.217211065310181</v>
      </c>
      <c r="Z262" s="385">
        <f t="shared" si="89"/>
        <v>38.515898803682944</v>
      </c>
      <c r="AA262" s="386">
        <f t="shared" si="90"/>
        <v>44.583663220210795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0.13609838174484487</v>
      </c>
      <c r="AD262" s="231">
        <f>(INDEX(Models!$BJ262:$BT262,,AH262)*(1-AF262)+INDEX(Models!$BJ262:$BT262,,AH262+1)*AF262-ERP_i)*AE262*Ramure*Pc/MaxiM</f>
        <v>8.3301499627780893E-4</v>
      </c>
      <c r="AE262" s="305">
        <f t="shared" si="92"/>
        <v>0.7</v>
      </c>
      <c r="AF262" s="177">
        <f t="shared" si="93"/>
        <v>0.48655823316613028</v>
      </c>
      <c r="AG262" s="921">
        <f t="shared" si="99"/>
        <v>0</v>
      </c>
      <c r="AH262" s="176">
        <f t="shared" si="94"/>
        <v>6</v>
      </c>
      <c r="AI262" s="225">
        <f t="shared" si="95"/>
        <v>0.48655823316613028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092">
        <v>42.414999999999999</v>
      </c>
      <c r="C263" s="955"/>
      <c r="D263" s="393">
        <f t="shared" si="77"/>
        <v>43.896025063328743</v>
      </c>
      <c r="E263" s="385">
        <f t="shared" si="100"/>
        <v>48.006976205803731</v>
      </c>
      <c r="F263" s="385">
        <f t="shared" si="78"/>
        <v>48.044937027650882</v>
      </c>
      <c r="G263" s="110">
        <f t="shared" si="101"/>
        <v>0.95492940671660387</v>
      </c>
      <c r="H263" s="414" t="b">
        <f>Wh_hp&gt;='2021'!Maxi_hp</f>
        <v>0</v>
      </c>
      <c r="I263" s="380">
        <f>IF(H263,Wh_hp,'2021'!Maxi_hp)</f>
        <v>50.093779259666192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3.3739388958158978E-2</v>
      </c>
      <c r="M263" s="959"/>
      <c r="N263" s="959"/>
      <c r="O263" s="48">
        <f>IF(t&lt;Tnet,'2021'!Resal+('2021'!Salim-'2021'!Resal)*(1-EXP(('2021'!Tnet-t)/('2021'!Tau_j))),Resal+(Salim-Resal)*(1-EXP((Tnet-t)/(Tau_j))))*Salcycl</f>
        <v>8.5632369863320026E-2</v>
      </c>
      <c r="P263" s="339">
        <f>(INDEX(Models!$BJ263:$BT263,,T263)*(1-R263)+INDEX(Models!$BJ263:$BT263,,T263+1)*R263-ERP_i)*Q263*Ramure*Pc/MaxiM</f>
        <v>8.4441727732897627E-4</v>
      </c>
      <c r="Q263" s="305">
        <f t="shared" si="80"/>
        <v>0.7</v>
      </c>
      <c r="R263" s="177">
        <f t="shared" si="81"/>
        <v>0.48709323709776192</v>
      </c>
      <c r="S263" s="921">
        <f t="shared" si="82"/>
        <v>0</v>
      </c>
      <c r="T263" s="176">
        <f t="shared" si="83"/>
        <v>6</v>
      </c>
      <c r="U263" s="251">
        <f t="shared" si="84"/>
        <v>0.48709323709776192</v>
      </c>
      <c r="V263" s="383">
        <f t="shared" si="85"/>
        <v>44.414481813510129</v>
      </c>
      <c r="W263" s="402">
        <f t="shared" si="86"/>
        <v>0</v>
      </c>
      <c r="X263" s="157">
        <f t="shared" si="87"/>
        <v>44810</v>
      </c>
      <c r="Y263" s="385">
        <f t="shared" si="88"/>
        <v>40.068187139833398</v>
      </c>
      <c r="Z263" s="385">
        <f t="shared" si="89"/>
        <v>41.467267403802268</v>
      </c>
      <c r="AA263" s="386">
        <f t="shared" si="90"/>
        <v>48.006976205803731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0.13622413488335597</v>
      </c>
      <c r="AD263" s="231">
        <f>(INDEX(Models!$BJ263:$BT263,,AH263)*(1-AF263)+INDEX(Models!$BJ263:$BT263,,AH263+1)*AF263-ERP_i)*AE263*Ramure*Pc/MaxiM</f>
        <v>8.4441727732897627E-4</v>
      </c>
      <c r="AE263" s="305">
        <f t="shared" si="92"/>
        <v>0.7</v>
      </c>
      <c r="AF263" s="177">
        <f t="shared" si="93"/>
        <v>0.48709323709776192</v>
      </c>
      <c r="AG263" s="921">
        <f t="shared" si="99"/>
        <v>0</v>
      </c>
      <c r="AH263" s="176">
        <f t="shared" si="94"/>
        <v>6</v>
      </c>
      <c r="AI263" s="225">
        <f t="shared" si="95"/>
        <v>0.48709323709776192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092">
        <v>33.93</v>
      </c>
      <c r="C264" s="955"/>
      <c r="D264" s="393">
        <f t="shared" si="77"/>
        <v>35.115519335691019</v>
      </c>
      <c r="E264" s="385">
        <f t="shared" si="100"/>
        <v>38.411630461790452</v>
      </c>
      <c r="F264" s="385">
        <f t="shared" si="78"/>
        <v>38.433591795013918</v>
      </c>
      <c r="G264" s="110">
        <f t="shared" si="101"/>
        <v>0.76596601349999283</v>
      </c>
      <c r="H264" s="414" t="b">
        <f>Wh_hp&gt;='2021'!Maxi_hp</f>
        <v>0</v>
      </c>
      <c r="I264" s="380">
        <f>IF(H264,Wh_hp,'2021'!Maxi_hp)</f>
        <v>51.37719632099251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3.3760552545383238E-2</v>
      </c>
      <c r="M264" s="959"/>
      <c r="N264" s="959"/>
      <c r="O264" s="48">
        <f>IF(t&lt;Tnet,'2021'!Resal+('2021'!Salim-'2021'!Resal)*(1-EXP(('2021'!Tnet-t)/('2021'!Tau_j))),Resal+(Salim-Resal)*(1-EXP((Tnet-t)/(Tau_j))))*Salcycl</f>
        <v>8.5810237328462421E-2</v>
      </c>
      <c r="P264" s="339">
        <f>(INDEX(Models!$BJ264:$BT264,,T264)*(1-R264)+INDEX(Models!$BJ264:$BT264,,T264+1)*R264-ERP_i)*Q264*Ramure*Pc/MaxiM</f>
        <v>8.5799904132476514E-4</v>
      </c>
      <c r="Q264" s="305">
        <f t="shared" si="80"/>
        <v>0.7</v>
      </c>
      <c r="R264" s="177">
        <f t="shared" si="81"/>
        <v>0.48760780633079953</v>
      </c>
      <c r="S264" s="921">
        <f t="shared" si="82"/>
        <v>0</v>
      </c>
      <c r="T264" s="176">
        <f t="shared" si="83"/>
        <v>6</v>
      </c>
      <c r="U264" s="251">
        <f t="shared" si="84"/>
        <v>0.48760780633079953</v>
      </c>
      <c r="V264" s="383">
        <f t="shared" si="85"/>
        <v>44.284302268790746</v>
      </c>
      <c r="W264" s="402">
        <f t="shared" si="86"/>
        <v>0</v>
      </c>
      <c r="X264" s="157">
        <f t="shared" si="87"/>
        <v>44811</v>
      </c>
      <c r="Y264" s="385">
        <f t="shared" si="88"/>
        <v>32.054265295464262</v>
      </c>
      <c r="Z264" s="385">
        <f t="shared" si="89"/>
        <v>33.174246176665044</v>
      </c>
      <c r="AA264" s="386">
        <f t="shared" si="90"/>
        <v>38.411630461790452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0.13634891886027173</v>
      </c>
      <c r="AD264" s="231">
        <f>(INDEX(Models!$BJ264:$BT264,,AH264)*(1-AF264)+INDEX(Models!$BJ264:$BT264,,AH264+1)*AF264-ERP_i)*AE264*Ramure*Pc/MaxiM</f>
        <v>8.5799904132476514E-4</v>
      </c>
      <c r="AE264" s="305">
        <f t="shared" si="92"/>
        <v>0.7</v>
      </c>
      <c r="AF264" s="177">
        <f t="shared" si="93"/>
        <v>0.48760780633079953</v>
      </c>
      <c r="AG264" s="921">
        <f t="shared" si="99"/>
        <v>0</v>
      </c>
      <c r="AH264" s="176">
        <f t="shared" si="94"/>
        <v>6</v>
      </c>
      <c r="AI264" s="225">
        <f t="shared" si="95"/>
        <v>0.48760780633079953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092">
        <v>37.216999999999999</v>
      </c>
      <c r="C265" s="955"/>
      <c r="D265" s="393">
        <f t="shared" si="77"/>
        <v>38.518211260896813</v>
      </c>
      <c r="E265" s="385">
        <f t="shared" si="100"/>
        <v>42.141880074755328</v>
      </c>
      <c r="F265" s="385">
        <f t="shared" si="78"/>
        <v>42.170459352490624</v>
      </c>
      <c r="G265" s="110">
        <f t="shared" si="101"/>
        <v>0.84276031241031668</v>
      </c>
      <c r="H265" s="414" t="b">
        <f>Wh_hp&gt;='2021'!Maxi_hp</f>
        <v>0</v>
      </c>
      <c r="I265" s="380">
        <f>IF(H265,Wh_hp,'2021'!Maxi_hp)</f>
        <v>49.21838095853591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3.3781715669070733E-2</v>
      </c>
      <c r="M265" s="959"/>
      <c r="N265" s="959"/>
      <c r="O265" s="48">
        <f>IF(t&lt;Tnet,'2021'!Resal+('2021'!Salim-'2021'!Resal)*(1-EXP(('2021'!Tnet-t)/('2021'!Tau_j))),Resal+(Salim-Resal)*(1-EXP((Tnet-t)/(Tau_j))))*Salcycl</f>
        <v>8.598735527296128E-2</v>
      </c>
      <c r="P265" s="339">
        <f>(INDEX(Models!$BJ265:$BT265,,T265)*(1-R265)+INDEX(Models!$BJ265:$BT265,,T265+1)*R265-ERP_i)*Q265*Ramure*Pc/MaxiM</f>
        <v>8.7377690346937022E-4</v>
      </c>
      <c r="Q265" s="305">
        <f t="shared" si="80"/>
        <v>0.7</v>
      </c>
      <c r="R265" s="177">
        <f t="shared" si="81"/>
        <v>0.48810267957764536</v>
      </c>
      <c r="S265" s="921">
        <f t="shared" si="82"/>
        <v>0</v>
      </c>
      <c r="T265" s="176">
        <f t="shared" si="83"/>
        <v>6</v>
      </c>
      <c r="U265" s="251">
        <f t="shared" si="84"/>
        <v>0.48810267957764536</v>
      </c>
      <c r="V265" s="383">
        <f t="shared" si="85"/>
        <v>44.152171649213294</v>
      </c>
      <c r="W265" s="402">
        <f t="shared" si="86"/>
        <v>0</v>
      </c>
      <c r="X265" s="157">
        <f t="shared" si="87"/>
        <v>44812</v>
      </c>
      <c r="Y265" s="385">
        <f t="shared" si="88"/>
        <v>35.161324856825033</v>
      </c>
      <c r="Z265" s="385">
        <f t="shared" si="89"/>
        <v>36.390663918322517</v>
      </c>
      <c r="AA265" s="386">
        <f t="shared" si="90"/>
        <v>42.141880074755328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0.13647269998943451</v>
      </c>
      <c r="AD265" s="231">
        <f>(INDEX(Models!$BJ265:$BT265,,AH265)*(1-AF265)+INDEX(Models!$BJ265:$BT265,,AH265+1)*AF265-ERP_i)*AE265*Ramure*Pc/MaxiM</f>
        <v>8.7377690346937022E-4</v>
      </c>
      <c r="AE265" s="305">
        <f t="shared" si="92"/>
        <v>0.7</v>
      </c>
      <c r="AF265" s="177">
        <f t="shared" si="93"/>
        <v>0.48810267957764536</v>
      </c>
      <c r="AG265" s="921">
        <f t="shared" si="99"/>
        <v>0</v>
      </c>
      <c r="AH265" s="176">
        <f t="shared" si="94"/>
        <v>6</v>
      </c>
      <c r="AI265" s="225">
        <f t="shared" si="95"/>
        <v>0.48810267957764536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092">
        <v>19.256</v>
      </c>
      <c r="C266" s="955"/>
      <c r="D266" s="393">
        <f t="shared" si="77"/>
        <v>19.929680567358879</v>
      </c>
      <c r="E266" s="385">
        <f t="shared" si="100"/>
        <v>21.808808168647342</v>
      </c>
      <c r="F266" s="385">
        <f t="shared" si="78"/>
        <v>21.812627927758971</v>
      </c>
      <c r="G266" s="110">
        <f t="shared" si="101"/>
        <v>0.43714577571985697</v>
      </c>
      <c r="H266" s="414" t="b">
        <f>Wh_hp&gt;='2021'!Maxi_hp</f>
        <v>0</v>
      </c>
      <c r="I266" s="380">
        <f>IF(H266,Wh_hp,'2021'!Maxi_hp)</f>
        <v>48.849649959056784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3.3802878329231345E-2</v>
      </c>
      <c r="M266" s="959"/>
      <c r="N266" s="959"/>
      <c r="O266" s="48">
        <f>IF(t&lt;Tnet,'2021'!Resal+('2021'!Salim-'2021'!Resal)*(1-EXP(('2021'!Tnet-t)/('2021'!Tau_j))),Resal+(Salim-Resal)*(1-EXP((Tnet-t)/(Tau_j))))*Salcycl</f>
        <v>8.6163699857286197E-2</v>
      </c>
      <c r="P266" s="339">
        <f>(INDEX(Models!$BJ266:$BT266,,T266)*(1-R266)+INDEX(Models!$BJ266:$BT266,,T266+1)*R266-ERP_i)*Q266*Ramure*Pc/MaxiM</f>
        <v>8.9176778942035224E-4</v>
      </c>
      <c r="Q266" s="305">
        <f t="shared" si="80"/>
        <v>0.7</v>
      </c>
      <c r="R266" s="177">
        <f t="shared" si="81"/>
        <v>0.48857857207700056</v>
      </c>
      <c r="S266" s="921">
        <f t="shared" si="82"/>
        <v>0</v>
      </c>
      <c r="T266" s="176">
        <f t="shared" si="83"/>
        <v>6</v>
      </c>
      <c r="U266" s="251">
        <f t="shared" si="84"/>
        <v>0.48857857207700056</v>
      </c>
      <c r="V266" s="383">
        <f t="shared" si="85"/>
        <v>44.017805550533616</v>
      </c>
      <c r="W266" s="402">
        <f t="shared" si="86"/>
        <v>0</v>
      </c>
      <c r="X266" s="157">
        <f t="shared" si="87"/>
        <v>44813</v>
      </c>
      <c r="Y266" s="385">
        <f t="shared" si="88"/>
        <v>18.193322090542321</v>
      </c>
      <c r="Z266" s="385">
        <f t="shared" si="89"/>
        <v>18.829824352076354</v>
      </c>
      <c r="AA266" s="386">
        <f t="shared" si="90"/>
        <v>21.808808168647342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0.13659544315922853</v>
      </c>
      <c r="AD266" s="231">
        <f>(INDEX(Models!$BJ266:$BT266,,AH266)*(1-AF266)+INDEX(Models!$BJ266:$BT266,,AH266+1)*AF266-ERP_i)*AE266*Ramure*Pc/MaxiM</f>
        <v>8.9176778942035224E-4</v>
      </c>
      <c r="AE266" s="305">
        <f t="shared" si="92"/>
        <v>0.7</v>
      </c>
      <c r="AF266" s="177">
        <f t="shared" si="93"/>
        <v>0.48857857207700056</v>
      </c>
      <c r="AG266" s="921">
        <f t="shared" si="99"/>
        <v>0</v>
      </c>
      <c r="AH266" s="176">
        <f t="shared" si="94"/>
        <v>6</v>
      </c>
      <c r="AI266" s="225">
        <f t="shared" si="95"/>
        <v>0.48857857207700056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092">
        <v>42.033000000000001</v>
      </c>
      <c r="C267" s="955"/>
      <c r="D267" s="393">
        <f t="shared" si="77"/>
        <v>43.504497900028426</v>
      </c>
      <c r="E267" s="385">
        <f t="shared" si="100"/>
        <v>47.61559224298113</v>
      </c>
      <c r="F267" s="385">
        <f t="shared" si="78"/>
        <v>47.65643970170953</v>
      </c>
      <c r="G267" s="110">
        <f t="shared" si="101"/>
        <v>0.95783524995823199</v>
      </c>
      <c r="H267" s="414" t="b">
        <f>Wh_hp&gt;='2021'!Maxi_hp</f>
        <v>1</v>
      </c>
      <c r="I267" s="380">
        <f>IF(H267,Wh_hp,'2021'!Maxi_hp)</f>
        <v>47.65643970170953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3.3824040525875509E-2</v>
      </c>
      <c r="M267" s="959"/>
      <c r="N267" s="959"/>
      <c r="O267" s="48">
        <f>IF(t&lt;Tnet,'2021'!Resal+('2021'!Salim-'2021'!Resal)*(1-EXP(('2021'!Tnet-t)/('2021'!Tau_j))),Resal+(Salim-Resal)*(1-EXP((Tnet-t)/(Tau_j))))*Salcycl</f>
        <v>8.633924622787216E-2</v>
      </c>
      <c r="P267" s="339">
        <f>(INDEX(Models!$BJ267:$BT267,,T267)*(1-R267)+INDEX(Models!$BJ267:$BT267,,T267+1)*R267-ERP_i)*Q267*Ramure*Pc/MaxiM</f>
        <v>9.1198904746219377E-4</v>
      </c>
      <c r="Q267" s="305">
        <f t="shared" si="80"/>
        <v>0.7</v>
      </c>
      <c r="R267" s="177">
        <f t="shared" si="81"/>
        <v>0.48903617608466543</v>
      </c>
      <c r="S267" s="921">
        <f t="shared" si="82"/>
        <v>0</v>
      </c>
      <c r="T267" s="176">
        <f t="shared" si="83"/>
        <v>6</v>
      </c>
      <c r="U267" s="251">
        <f t="shared" si="84"/>
        <v>0.48903617608466543</v>
      </c>
      <c r="V267" s="383">
        <f t="shared" si="85"/>
        <v>43.880919880260279</v>
      </c>
      <c r="W267" s="402">
        <f t="shared" si="86"/>
        <v>0</v>
      </c>
      <c r="X267" s="157">
        <f t="shared" si="87"/>
        <v>44814</v>
      </c>
      <c r="Y267" s="385">
        <f t="shared" si="88"/>
        <v>39.715364253125223</v>
      </c>
      <c r="Z267" s="385">
        <f t="shared" si="89"/>
        <v>41.105725995026532</v>
      </c>
      <c r="AA267" s="386">
        <f t="shared" si="90"/>
        <v>47.61559224298113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0.1367171117968021</v>
      </c>
      <c r="AD267" s="231">
        <f>(INDEX(Models!$BJ267:$BT267,,AH267)*(1-AF267)+INDEX(Models!$BJ267:$BT267,,AH267+1)*AF267-ERP_i)*AE267*Ramure*Pc/MaxiM</f>
        <v>9.1198904746219377E-4</v>
      </c>
      <c r="AE267" s="305">
        <f t="shared" si="92"/>
        <v>0.7</v>
      </c>
      <c r="AF267" s="177">
        <f t="shared" si="93"/>
        <v>0.48903617608466543</v>
      </c>
      <c r="AG267" s="921">
        <f t="shared" si="99"/>
        <v>0</v>
      </c>
      <c r="AH267" s="176">
        <f t="shared" si="94"/>
        <v>6</v>
      </c>
      <c r="AI267" s="225">
        <f t="shared" si="95"/>
        <v>0.48903617608466543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092">
        <v>42.814</v>
      </c>
      <c r="C268" s="955"/>
      <c r="D268" s="393">
        <f t="shared" si="77"/>
        <v>44.313809857494348</v>
      </c>
      <c r="E268" s="385">
        <f t="shared" si="100"/>
        <v>48.510659527703389</v>
      </c>
      <c r="F268" s="385">
        <f t="shared" si="78"/>
        <v>48.554675543280503</v>
      </c>
      <c r="G268" s="110">
        <f t="shared" si="101"/>
        <v>0.9787745365443079</v>
      </c>
      <c r="H268" s="414" t="b">
        <f>Wh_hp&gt;='2021'!Maxi_hp</f>
        <v>1</v>
      </c>
      <c r="I268" s="380">
        <f>IF(H268,Wh_hp,'2021'!Maxi_hp)</f>
        <v>48.554675543280503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3.3845202259013218E-2</v>
      </c>
      <c r="M268" s="959"/>
      <c r="N268" s="959"/>
      <c r="O268" s="48">
        <f>IF(t&lt;Tnet,'2021'!Resal+('2021'!Salim-'2021'!Resal)*(1-EXP(('2021'!Tnet-t)/('2021'!Tau_j))),Resal+(Salim-Resal)*(1-EXP((Tnet-t)/(Tau_j))))*Salcycl</f>
        <v>8.6513968498249577E-2</v>
      </c>
      <c r="P268" s="339">
        <f>(INDEX(Models!$BJ268:$BT268,,T268)*(1-R268)+INDEX(Models!$BJ268:$BT268,,T268+1)*R268-ERP_i)*Q268*Ramure*Pc/MaxiM</f>
        <v>9.3483383773642487E-4</v>
      </c>
      <c r="Q268" s="305">
        <f t="shared" si="80"/>
        <v>0.7</v>
      </c>
      <c r="R268" s="177">
        <f t="shared" si="81"/>
        <v>0.48947616137600214</v>
      </c>
      <c r="S268" s="921">
        <f t="shared" si="82"/>
        <v>0</v>
      </c>
      <c r="T268" s="176">
        <f t="shared" si="83"/>
        <v>6</v>
      </c>
      <c r="U268" s="251">
        <f t="shared" si="84"/>
        <v>0.48947616137600214</v>
      </c>
      <c r="V268" s="383">
        <f t="shared" si="85"/>
        <v>43.741214423660644</v>
      </c>
      <c r="W268" s="402">
        <f t="shared" si="86"/>
        <v>0</v>
      </c>
      <c r="X268" s="157">
        <f t="shared" si="87"/>
        <v>44815</v>
      </c>
      <c r="Y268" s="385">
        <f t="shared" si="88"/>
        <v>40.455388275735885</v>
      </c>
      <c r="Z268" s="385">
        <f t="shared" si="89"/>
        <v>41.872574012287245</v>
      </c>
      <c r="AA268" s="386">
        <f t="shared" si="90"/>
        <v>48.510659527703389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0.13683766784546134</v>
      </c>
      <c r="AD268" s="231">
        <f>(INDEX(Models!$BJ268:$BT268,,AH268)*(1-AF268)+INDEX(Models!$BJ268:$BT268,,AH268+1)*AF268-ERP_i)*AE268*Ramure*Pc/MaxiM</f>
        <v>9.3483383773642487E-4</v>
      </c>
      <c r="AE268" s="305">
        <f t="shared" si="92"/>
        <v>0.7</v>
      </c>
      <c r="AF268" s="177">
        <f t="shared" si="93"/>
        <v>0.48947616137600214</v>
      </c>
      <c r="AG268" s="921">
        <f t="shared" si="99"/>
        <v>0</v>
      </c>
      <c r="AH268" s="176">
        <f t="shared" si="94"/>
        <v>6</v>
      </c>
      <c r="AI268" s="225">
        <f t="shared" si="95"/>
        <v>0.48947616137600214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092">
        <v>30.113</v>
      </c>
      <c r="C269" s="955"/>
      <c r="D269" s="393">
        <f t="shared" si="77"/>
        <v>31.16856598636096</v>
      </c>
      <c r="E269" s="385">
        <f t="shared" si="100"/>
        <v>34.126958276214047</v>
      </c>
      <c r="F269" s="385">
        <f t="shared" si="78"/>
        <v>34.145230265430989</v>
      </c>
      <c r="G269" s="110">
        <f t="shared" si="101"/>
        <v>0.69039655584661375</v>
      </c>
      <c r="H269" s="414" t="b">
        <f>Wh_hp&gt;='2021'!Maxi_hp</f>
        <v>0</v>
      </c>
      <c r="I269" s="380">
        <f>IF(H269,Wh_hp,'2021'!Maxi_hp)</f>
        <v>49.547587041399964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3.3866363528654686E-2</v>
      </c>
      <c r="M269" s="959"/>
      <c r="N269" s="959"/>
      <c r="O269" s="48">
        <f>IF(t&lt;Tnet,'2021'!Resal+('2021'!Salim-'2021'!Resal)*(1-EXP(('2021'!Tnet-t)/('2021'!Tau_j))),Resal+(Salim-Resal)*(1-EXP((Tnet-t)/(Tau_j))))*Salcycl</f>
        <v>8.6687839739735637E-2</v>
      </c>
      <c r="P269" s="339">
        <f>(INDEX(Models!$BJ269:$BT269,,T269)*(1-R269)+INDEX(Models!$BJ269:$BT269,,T269+1)*R269-ERP_i)*Q269*Ramure*Pc/MaxiM</f>
        <v>9.5878729995672136E-4</v>
      </c>
      <c r="Q269" s="305">
        <f t="shared" si="80"/>
        <v>0.7</v>
      </c>
      <c r="R269" s="177">
        <f t="shared" si="81"/>
        <v>0.48989917575758912</v>
      </c>
      <c r="S269" s="921">
        <f t="shared" si="82"/>
        <v>0</v>
      </c>
      <c r="T269" s="176">
        <f t="shared" si="83"/>
        <v>6</v>
      </c>
      <c r="U269" s="251">
        <f t="shared" si="84"/>
        <v>0.48989917575758912</v>
      </c>
      <c r="V269" s="383">
        <f t="shared" si="85"/>
        <v>43.598472778851693</v>
      </c>
      <c r="W269" s="402">
        <f t="shared" si="86"/>
        <v>0</v>
      </c>
      <c r="X269" s="157">
        <f t="shared" si="87"/>
        <v>44816</v>
      </c>
      <c r="Y269" s="385">
        <f t="shared" si="88"/>
        <v>28.455562981629072</v>
      </c>
      <c r="Z269" s="385">
        <f t="shared" si="89"/>
        <v>29.453030002721615</v>
      </c>
      <c r="AA269" s="386">
        <f t="shared" si="90"/>
        <v>34.126958276214047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0.13695707175725899</v>
      </c>
      <c r="AD269" s="231">
        <f>(INDEX(Models!$BJ269:$BT269,,AH269)*(1-AF269)+INDEX(Models!$BJ269:$BT269,,AH269+1)*AF269-ERP_i)*AE269*Ramure*Pc/MaxiM</f>
        <v>9.5878729995672136E-4</v>
      </c>
      <c r="AE269" s="305">
        <f t="shared" si="92"/>
        <v>0.7</v>
      </c>
      <c r="AF269" s="177">
        <f t="shared" si="93"/>
        <v>0.48989917575758912</v>
      </c>
      <c r="AG269" s="921">
        <f t="shared" si="99"/>
        <v>0</v>
      </c>
      <c r="AH269" s="176">
        <f t="shared" si="94"/>
        <v>6</v>
      </c>
      <c r="AI269" s="225">
        <f t="shared" si="95"/>
        <v>0.48989917575758912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092">
        <v>10.879</v>
      </c>
      <c r="C270" s="955"/>
      <c r="D270" s="393">
        <f t="shared" si="77"/>
        <v>11.26059364103498</v>
      </c>
      <c r="E270" s="385">
        <f t="shared" si="100"/>
        <v>12.331738726626357</v>
      </c>
      <c r="F270" s="385">
        <f t="shared" si="78"/>
        <v>12.331738726626357</v>
      </c>
      <c r="G270" s="110">
        <f t="shared" si="101"/>
        <v>0.2501195255588719</v>
      </c>
      <c r="H270" s="414" t="b">
        <f>Wh_hp&gt;='2021'!Maxi_hp</f>
        <v>0</v>
      </c>
      <c r="I270" s="380">
        <f>IF(H270,Wh_hp,'2021'!Maxi_hp)</f>
        <v>47.552887947991515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3.3887524334810015E-2</v>
      </c>
      <c r="M270" s="959"/>
      <c r="N270" s="959"/>
      <c r="O270" s="48">
        <f>IF(t&lt;Tnet,'2021'!Resal+('2021'!Salim-'2021'!Resal)*(1-EXP(('2021'!Tnet-t)/('2021'!Tau_j))),Resal+(Salim-Resal)*(1-EXP((Tnet-t)/(Tau_j))))*Salcycl</f>
        <v>8.686083198297001E-2</v>
      </c>
      <c r="P270" s="339">
        <f>(INDEX(Models!$BJ270:$BT270,,T270)*(1-R270)+INDEX(Models!$BJ270:$BT270,,T270+1)*R270-ERP_i)*Q270*Ramure*Pc/MaxiM</f>
        <v>9.8386126131718116E-4</v>
      </c>
      <c r="Q270" s="305">
        <f t="shared" si="80"/>
        <v>0.7</v>
      </c>
      <c r="R270" s="177">
        <f t="shared" si="81"/>
        <v>0.4903058455857992</v>
      </c>
      <c r="S270" s="921">
        <f t="shared" si="82"/>
        <v>0</v>
      </c>
      <c r="T270" s="176">
        <f t="shared" si="83"/>
        <v>6</v>
      </c>
      <c r="U270" s="251">
        <f t="shared" si="84"/>
        <v>0.4903058455857992</v>
      </c>
      <c r="V270" s="383">
        <f t="shared" si="85"/>
        <v>43.452411598230078</v>
      </c>
      <c r="W270" s="402">
        <f t="shared" si="86"/>
        <v>0</v>
      </c>
      <c r="X270" s="157">
        <f t="shared" si="87"/>
        <v>44817</v>
      </c>
      <c r="Y270" s="385">
        <f t="shared" si="88"/>
        <v>10.280752737876483</v>
      </c>
      <c r="Z270" s="385">
        <f t="shared" si="89"/>
        <v>10.641362156924799</v>
      </c>
      <c r="AA270" s="386">
        <f t="shared" si="90"/>
        <v>12.331738726626357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0.13707528250268086</v>
      </c>
      <c r="AD270" s="231">
        <f>(INDEX(Models!$BJ270:$BT270,,AH270)*(1-AF270)+INDEX(Models!$BJ270:$BT270,,AH270+1)*AF270-ERP_i)*AE270*Ramure*Pc/MaxiM</f>
        <v>9.8386126131718116E-4</v>
      </c>
      <c r="AE270" s="305">
        <f t="shared" si="92"/>
        <v>0.7</v>
      </c>
      <c r="AF270" s="177">
        <f t="shared" si="93"/>
        <v>0.4903058455857992</v>
      </c>
      <c r="AG270" s="921">
        <f t="shared" si="99"/>
        <v>0</v>
      </c>
      <c r="AH270" s="176">
        <f t="shared" si="94"/>
        <v>6</v>
      </c>
      <c r="AI270" s="225">
        <f t="shared" si="95"/>
        <v>0.4903058455857992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092">
        <v>32.883000000000003</v>
      </c>
      <c r="C271" s="955"/>
      <c r="D271" s="393">
        <f t="shared" ref="D271:D334" si="102">Wh/(1-Ppv)</f>
        <v>34.037155161696759</v>
      </c>
      <c r="E271" s="385">
        <f t="shared" si="100"/>
        <v>37.281908369795367</v>
      </c>
      <c r="F271" s="385">
        <f t="shared" ref="F271:F334" si="103">Wh_sa/(1-Pvg*MEDIAN((-Sdif+Wh/Env_an)/Csdif,0,1))</f>
        <v>37.306637316629676</v>
      </c>
      <c r="G271" s="110">
        <f t="shared" si="101"/>
        <v>0.75911060430405664</v>
      </c>
      <c r="H271" s="414" t="b">
        <f>Wh_hp&gt;='2021'!Maxi_hp</f>
        <v>0</v>
      </c>
      <c r="I271" s="380">
        <f>IF(H271,Wh_hp,'2021'!Maxi_hp)</f>
        <v>47.223329847400791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3.390868467748942E-2</v>
      </c>
      <c r="M271" s="959"/>
      <c r="N271" s="959"/>
      <c r="O271" s="48">
        <f>IF(t&lt;Tnet,'2021'!Resal+('2021'!Salim-'2021'!Resal)*(1-EXP(('2021'!Tnet-t)/('2021'!Tau_j))),Resal+(Salim-Resal)*(1-EXP((Tnet-t)/(Tau_j))))*Salcycl</f>
        <v>8.7032916231493354E-2</v>
      </c>
      <c r="P271" s="339">
        <f>(INDEX(Models!$BJ271:$BT271,,T271)*(1-R271)+INDEX(Models!$BJ271:$BT271,,T271+1)*R271-ERP_i)*Q271*Ramure*Pc/MaxiM</f>
        <v>1.01006826414714E-3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0.49069677629023478</v>
      </c>
      <c r="S271" s="92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0.49069677629023478</v>
      </c>
      <c r="V271" s="383">
        <f t="shared" ref="V271:V334" si="110">MaxiM*(1-Ppv)*(1-Pvg)*(1-Psa)</f>
        <v>43.302747815546176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31.07637449124066</v>
      </c>
      <c r="Z271" s="385">
        <f t="shared" ref="Z271:Z334" si="114">Wh_sa_s*(1-Psa_s)</f>
        <v>32.167119192937186</v>
      </c>
      <c r="AA271" s="386">
        <f t="shared" ref="AA271:AA334" si="115">Wh_hp*(1-Pvg_s*MEDIAN((-Sdif+Wh/Env_an)/Csdif,0,1))</f>
        <v>37.281908369795367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0.13719225759918507</v>
      </c>
      <c r="AD271" s="231">
        <f>(INDEX(Models!$BJ271:$BT271,,AH271)*(1-AF271)+INDEX(Models!$BJ271:$BT271,,AH271+1)*AF271-ERP_i)*AE271*Ramure*Pc/MaxiM</f>
        <v>1.01006826414714E-3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0.49069677629023478</v>
      </c>
      <c r="AG271" s="92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0.49069677629023478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092">
        <v>37.734000000000002</v>
      </c>
      <c r="C272" s="955"/>
      <c r="D272" s="393">
        <f t="shared" si="102"/>
        <v>39.059275133786883</v>
      </c>
      <c r="E272" s="385">
        <f t="shared" si="100"/>
        <v>42.790807373957378</v>
      </c>
      <c r="F272" s="385">
        <f t="shared" si="103"/>
        <v>42.827271696715776</v>
      </c>
      <c r="G272" s="110">
        <f t="shared" si="101"/>
        <v>0.87433780726181254</v>
      </c>
      <c r="H272" s="414" t="b">
        <f>Wh_hp&gt;='2021'!Maxi_hp</f>
        <v>0</v>
      </c>
      <c r="I272" s="380">
        <f>IF(H272,Wh_hp,'2021'!Maxi_hp)</f>
        <v>48.01660304214726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3.3929844556703004E-2</v>
      </c>
      <c r="M272" s="959"/>
      <c r="N272" s="959"/>
      <c r="O272" s="48">
        <f>IF(t&lt;Tnet,'2021'!Resal+('2021'!Salim-'2021'!Resal)*(1-EXP(('2021'!Tnet-t)/('2021'!Tau_j))),Resal+(Salim-Resal)*(1-EXP((Tnet-t)/(Tau_j))))*Salcycl</f>
        <v>8.720406248846603E-2</v>
      </c>
      <c r="P272" s="339">
        <f>(INDEX(Models!$BJ272:$BT272,,T272)*(1-R272)+INDEX(Models!$BJ272:$BT272,,T272+1)*R272-ERP_i)*Q272*Ramure*Pc/MaxiM</f>
        <v>1.0374216294367527E-3</v>
      </c>
      <c r="Q272" s="305">
        <f t="shared" si="105"/>
        <v>0.7</v>
      </c>
      <c r="R272" s="177">
        <f t="shared" si="106"/>
        <v>0.49107255290013285</v>
      </c>
      <c r="S272" s="921">
        <f t="shared" si="107"/>
        <v>0</v>
      </c>
      <c r="T272" s="176">
        <f t="shared" si="108"/>
        <v>6</v>
      </c>
      <c r="U272" s="251">
        <f t="shared" si="109"/>
        <v>0.49107255290013285</v>
      </c>
      <c r="V272" s="383">
        <f t="shared" si="110"/>
        <v>43.149198637757536</v>
      </c>
      <c r="W272" s="402">
        <f t="shared" si="111"/>
        <v>0</v>
      </c>
      <c r="X272" s="157">
        <f t="shared" si="112"/>
        <v>44819</v>
      </c>
      <c r="Y272" s="385">
        <f t="shared" si="113"/>
        <v>35.662759175067663</v>
      </c>
      <c r="Z272" s="385">
        <f t="shared" si="114"/>
        <v>36.915289199367955</v>
      </c>
      <c r="AA272" s="386">
        <f t="shared" si="115"/>
        <v>42.790807373957378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0.1373079531601753</v>
      </c>
      <c r="AD272" s="231">
        <f>(INDEX(Models!$BJ272:$BT272,,AH272)*(1-AF272)+INDEX(Models!$BJ272:$BT272,,AH272+1)*AF272-ERP_i)*AE272*Ramure*Pc/MaxiM</f>
        <v>1.0374216294367527E-3</v>
      </c>
      <c r="AE272" s="305">
        <f t="shared" si="117"/>
        <v>0.7</v>
      </c>
      <c r="AF272" s="177">
        <f t="shared" si="118"/>
        <v>0.49107255290013285</v>
      </c>
      <c r="AG272" s="921">
        <f t="shared" ref="AG272:AG335" si="124">INDEX(Echel_vg,AH272)</f>
        <v>0</v>
      </c>
      <c r="AH272" s="176">
        <f t="shared" si="119"/>
        <v>6</v>
      </c>
      <c r="AI272" s="225">
        <f t="shared" si="120"/>
        <v>0.49107255290013285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092">
        <v>25.128</v>
      </c>
      <c r="C273" s="955"/>
      <c r="D273" s="393">
        <f t="shared" si="102"/>
        <v>26.011103063434764</v>
      </c>
      <c r="E273" s="385">
        <f t="shared" si="100"/>
        <v>28.501390381160693</v>
      </c>
      <c r="F273" s="385">
        <f t="shared" si="103"/>
        <v>28.513742768338037</v>
      </c>
      <c r="G273" s="110">
        <f t="shared" si="101"/>
        <v>0.58411790042818346</v>
      </c>
      <c r="H273" s="414" t="b">
        <f>Wh_hp&gt;='2021'!Maxi_hp</f>
        <v>0</v>
      </c>
      <c r="I273" s="380">
        <f>IF(H273,Wh_hp,'2021'!Maxi_hp)</f>
        <v>47.259197332077989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3.3951003972460869E-2</v>
      </c>
      <c r="M273" s="959"/>
      <c r="N273" s="959"/>
      <c r="O273" s="48">
        <f>IF(t&lt;Tnet,'2021'!Resal+('2021'!Salim-'2021'!Resal)*(1-EXP(('2021'!Tnet-t)/('2021'!Tau_j))),Resal+(Salim-Resal)*(1-EXP((Tnet-t)/(Tau_j))))*Salcycl</f>
        <v>8.7374239797508219E-2</v>
      </c>
      <c r="P273" s="339">
        <f>(INDEX(Models!$BJ273:$BT273,,T273)*(1-R273)+INDEX(Models!$BJ273:$BT273,,T273+1)*R273-ERP_i)*Q273*Ramure*Pc/MaxiM</f>
        <v>1.0659355246788022E-3</v>
      </c>
      <c r="Q273" s="305">
        <f t="shared" si="105"/>
        <v>0.7</v>
      </c>
      <c r="R273" s="177">
        <f t="shared" si="106"/>
        <v>0.49143374057202849</v>
      </c>
      <c r="S273" s="921">
        <f t="shared" si="107"/>
        <v>0</v>
      </c>
      <c r="T273" s="176">
        <f t="shared" si="108"/>
        <v>6</v>
      </c>
      <c r="U273" s="251">
        <f t="shared" si="109"/>
        <v>0.49143374057202849</v>
      </c>
      <c r="V273" s="383">
        <f t="shared" si="110"/>
        <v>42.991481546342087</v>
      </c>
      <c r="W273" s="402">
        <f t="shared" si="111"/>
        <v>0</v>
      </c>
      <c r="X273" s="157">
        <f t="shared" si="112"/>
        <v>44820</v>
      </c>
      <c r="Y273" s="385">
        <f t="shared" si="113"/>
        <v>23.749989084877839</v>
      </c>
      <c r="Z273" s="385">
        <f t="shared" si="114"/>
        <v>24.584663078725253</v>
      </c>
      <c r="AA273" s="386">
        <f t="shared" si="115"/>
        <v>28.501390381160693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0.13742232396579429</v>
      </c>
      <c r="AD273" s="231">
        <f>(INDEX(Models!$BJ273:$BT273,,AH273)*(1-AF273)+INDEX(Models!$BJ273:$BT273,,AH273+1)*AF273-ERP_i)*AE273*Ramure*Pc/MaxiM</f>
        <v>1.0659355246788022E-3</v>
      </c>
      <c r="AE273" s="305">
        <f t="shared" si="117"/>
        <v>0.7</v>
      </c>
      <c r="AF273" s="177">
        <f t="shared" si="118"/>
        <v>0.49143374057202849</v>
      </c>
      <c r="AG273" s="921">
        <f t="shared" si="124"/>
        <v>0</v>
      </c>
      <c r="AH273" s="176">
        <f t="shared" si="119"/>
        <v>6</v>
      </c>
      <c r="AI273" s="225">
        <f t="shared" si="120"/>
        <v>0.49143374057202849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092">
        <v>44.314999999999998</v>
      </c>
      <c r="C274" s="955"/>
      <c r="D274" s="393">
        <f t="shared" si="102"/>
        <v>45.873419273474923</v>
      </c>
      <c r="E274" s="385">
        <f t="shared" si="100"/>
        <v>50.274632341830277</v>
      </c>
      <c r="F274" s="385">
        <f t="shared" si="103"/>
        <v>50.32977490334271</v>
      </c>
      <c r="G274" s="110">
        <f t="shared" si="101"/>
        <v>1.0346885244795196</v>
      </c>
      <c r="H274" s="414" t="b">
        <f>Wh_hp&gt;='2021'!Maxi_hp</f>
        <v>1</v>
      </c>
      <c r="I274" s="380">
        <f>IF(H274,Wh_hp,'2021'!Maxi_hp)</f>
        <v>50.32977490334271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3.397216292477323E-2</v>
      </c>
      <c r="M274" s="959"/>
      <c r="N274" s="959"/>
      <c r="O274" s="48">
        <f>IF(t&lt;Tnet,'2021'!Resal+('2021'!Salim-'2021'!Resal)*(1-EXP(('2021'!Tnet-t)/('2021'!Tau_j))),Resal+(Salim-Resal)*(1-EXP((Tnet-t)/(Tau_j))))*Salcycl</f>
        <v>8.7543416298509341E-2</v>
      </c>
      <c r="P274" s="339">
        <f>(INDEX(Models!$BJ274:$BT274,,T274)*(1-R274)+INDEX(Models!$BJ274:$BT274,,T274+1)*R274-ERP_i)*Q274*Ramure*Pc/MaxiM</f>
        <v>1.0956250374323019E-3</v>
      </c>
      <c r="Q274" s="305">
        <f t="shared" si="105"/>
        <v>0.7</v>
      </c>
      <c r="R274" s="177">
        <f t="shared" si="106"/>
        <v>0.49178088511712681</v>
      </c>
      <c r="S274" s="921">
        <f t="shared" si="107"/>
        <v>0</v>
      </c>
      <c r="T274" s="176">
        <f t="shared" si="108"/>
        <v>6</v>
      </c>
      <c r="U274" s="251">
        <f t="shared" si="109"/>
        <v>0.49178088511712681</v>
      </c>
      <c r="V274" s="383">
        <f t="shared" si="110"/>
        <v>42.829314283051339</v>
      </c>
      <c r="W274" s="402">
        <f t="shared" si="111"/>
        <v>0</v>
      </c>
      <c r="X274" s="157">
        <f t="shared" si="112"/>
        <v>44821</v>
      </c>
      <c r="Y274" s="385">
        <f t="shared" si="113"/>
        <v>41.887058320671137</v>
      </c>
      <c r="Z274" s="385">
        <f t="shared" si="114"/>
        <v>43.360094516002334</v>
      </c>
      <c r="AA274" s="386">
        <f t="shared" si="115"/>
        <v>50.274632341830277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0.13753532355670356</v>
      </c>
      <c r="AD274" s="231">
        <f>(INDEX(Models!$BJ274:$BT274,,AH274)*(1-AF274)+INDEX(Models!$BJ274:$BT274,,AH274+1)*AF274-ERP_i)*AE274*Ramure*Pc/MaxiM</f>
        <v>1.0956250374323019E-3</v>
      </c>
      <c r="AE274" s="305">
        <f t="shared" si="117"/>
        <v>0.7</v>
      </c>
      <c r="AF274" s="177">
        <f t="shared" si="118"/>
        <v>0.49178088511712681</v>
      </c>
      <c r="AG274" s="921">
        <f t="shared" si="124"/>
        <v>0</v>
      </c>
      <c r="AH274" s="176">
        <f t="shared" si="119"/>
        <v>6</v>
      </c>
      <c r="AI274" s="225">
        <f t="shared" si="120"/>
        <v>0.49178088511712681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092">
        <v>42.855000000000004</v>
      </c>
      <c r="C275" s="955"/>
      <c r="D275" s="393">
        <f t="shared" si="102"/>
        <v>44.36304732666428</v>
      </c>
      <c r="E275" s="385">
        <f t="shared" si="100"/>
        <v>48.628312436559135</v>
      </c>
      <c r="F275" s="385">
        <f t="shared" si="103"/>
        <v>48.683153570955007</v>
      </c>
      <c r="G275" s="110">
        <f t="shared" si="101"/>
        <v>1.0045005470226369</v>
      </c>
      <c r="H275" s="414" t="b">
        <f>Wh_hp&gt;='2021'!Maxi_hp</f>
        <v>1</v>
      </c>
      <c r="I275" s="380">
        <f>IF(H275,Wh_hp,'2021'!Maxi_hp)</f>
        <v>48.683153570955007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3.3993321413650301E-2</v>
      </c>
      <c r="M275" s="959"/>
      <c r="N275" s="959"/>
      <c r="O275" s="48">
        <f>IF(t&lt;Tnet,'2021'!Resal+('2021'!Salim-'2021'!Resal)*(1-EXP(('2021'!Tnet-t)/('2021'!Tau_j))),Resal+(Salim-Resal)*(1-EXP((Tnet-t)/(Tau_j))))*Salcycl</f>
        <v>8.7711559299109024E-2</v>
      </c>
      <c r="P275" s="339">
        <f>(INDEX(Models!$BJ275:$BT275,,T275)*(1-R275)+INDEX(Models!$BJ275:$BT275,,T275+1)*R275-ERP_i)*Q275*Ramure*Pc/MaxiM</f>
        <v>1.1264910009565951E-3</v>
      </c>
      <c r="Q275" s="305">
        <f t="shared" si="105"/>
        <v>0.7</v>
      </c>
      <c r="R275" s="177">
        <f t="shared" si="106"/>
        <v>0.49211451352698465</v>
      </c>
      <c r="S275" s="921">
        <f t="shared" si="107"/>
        <v>0</v>
      </c>
      <c r="T275" s="176">
        <f t="shared" si="108"/>
        <v>6</v>
      </c>
      <c r="U275" s="251">
        <f t="shared" si="109"/>
        <v>0.49211451352698465</v>
      </c>
      <c r="V275" s="383">
        <f t="shared" si="110"/>
        <v>42.662993193008425</v>
      </c>
      <c r="W275" s="402">
        <f t="shared" si="111"/>
        <v>0</v>
      </c>
      <c r="X275" s="157">
        <f t="shared" si="112"/>
        <v>44822</v>
      </c>
      <c r="Y275" s="385">
        <f t="shared" si="113"/>
        <v>40.509273454798922</v>
      </c>
      <c r="Z275" s="385">
        <f t="shared" si="114"/>
        <v>41.934775765815644</v>
      </c>
      <c r="AA275" s="386">
        <f t="shared" si="115"/>
        <v>48.628312436559135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0.13764690435177929</v>
      </c>
      <c r="AD275" s="231">
        <f>(INDEX(Models!$BJ275:$BT275,,AH275)*(1-AF275)+INDEX(Models!$BJ275:$BT275,,AH275+1)*AF275-ERP_i)*AE275*Ramure*Pc/MaxiM</f>
        <v>1.1264910009565951E-3</v>
      </c>
      <c r="AE275" s="305">
        <f t="shared" si="117"/>
        <v>0.7</v>
      </c>
      <c r="AF275" s="177">
        <f t="shared" si="118"/>
        <v>0.49211451352698465</v>
      </c>
      <c r="AG275" s="921">
        <f t="shared" si="124"/>
        <v>0</v>
      </c>
      <c r="AH275" s="176">
        <f t="shared" si="119"/>
        <v>6</v>
      </c>
      <c r="AI275" s="225">
        <f t="shared" si="120"/>
        <v>0.49211451352698465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092">
        <v>42.32</v>
      </c>
      <c r="C276" s="955"/>
      <c r="D276" s="393">
        <f t="shared" si="102"/>
        <v>43.810180483271601</v>
      </c>
      <c r="E276" s="385">
        <f t="shared" si="100"/>
        <v>48.031086850682094</v>
      </c>
      <c r="F276" s="385">
        <f t="shared" si="103"/>
        <v>48.086516498197845</v>
      </c>
      <c r="G276" s="110">
        <f t="shared" si="101"/>
        <v>0.99592182048692468</v>
      </c>
      <c r="H276" s="414" t="b">
        <f>Wh_hp&gt;='2021'!Maxi_hp</f>
        <v>1</v>
      </c>
      <c r="I276" s="380">
        <f>IF(H276,Wh_hp,'2021'!Maxi_hp)</f>
        <v>48.086516498197845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3.4014479439102185E-2</v>
      </c>
      <c r="M276" s="959"/>
      <c r="N276" s="959"/>
      <c r="O276" s="48">
        <f>IF(t&lt;Tnet,'2021'!Resal+('2021'!Salim-'2021'!Resal)*(1-EXP(('2021'!Tnet-t)/('2021'!Tau_j))),Resal+(Salim-Resal)*(1-EXP((Tnet-t)/(Tau_j))))*Salcycl</f>
        <v>8.7878635362392432E-2</v>
      </c>
      <c r="P276" s="339">
        <f>(INDEX(Models!$BJ276:$BT276,,T276)*(1-R276)+INDEX(Models!$BJ276:$BT276,,T276+1)*R276-ERP_i)*Q276*Ramure*Pc/MaxiM</f>
        <v>1.1594504404454614E-3</v>
      </c>
      <c r="Q276" s="305">
        <f t="shared" si="105"/>
        <v>0.7</v>
      </c>
      <c r="R276" s="177">
        <f t="shared" si="106"/>
        <v>0.49243513449624626</v>
      </c>
      <c r="S276" s="921">
        <f t="shared" si="107"/>
        <v>0</v>
      </c>
      <c r="T276" s="176">
        <f t="shared" si="108"/>
        <v>6</v>
      </c>
      <c r="U276" s="251">
        <f t="shared" si="109"/>
        <v>0.49243513449624626</v>
      </c>
      <c r="V276" s="383">
        <f t="shared" si="110"/>
        <v>42.493008389846224</v>
      </c>
      <c r="W276" s="402">
        <f t="shared" si="111"/>
        <v>0</v>
      </c>
      <c r="X276" s="157">
        <f t="shared" si="112"/>
        <v>44823</v>
      </c>
      <c r="Y276" s="385">
        <f t="shared" si="113"/>
        <v>40.005776009432886</v>
      </c>
      <c r="Z276" s="385">
        <f t="shared" si="114"/>
        <v>41.414467564900562</v>
      </c>
      <c r="AA276" s="386">
        <f t="shared" si="115"/>
        <v>48.031086850682094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0.13775701779039723</v>
      </c>
      <c r="AD276" s="231">
        <f>(INDEX(Models!$BJ276:$BT276,,AH276)*(1-AF276)+INDEX(Models!$BJ276:$BT276,,AH276+1)*AF276-ERP_i)*AE276*Ramure*Pc/MaxiM</f>
        <v>1.1594504404454614E-3</v>
      </c>
      <c r="AE276" s="305">
        <f t="shared" si="117"/>
        <v>0.7</v>
      </c>
      <c r="AF276" s="177">
        <f t="shared" si="118"/>
        <v>0.49243513449624626</v>
      </c>
      <c r="AG276" s="921">
        <f t="shared" si="124"/>
        <v>0</v>
      </c>
      <c r="AH276" s="176">
        <f t="shared" si="119"/>
        <v>6</v>
      </c>
      <c r="AI276" s="225">
        <f t="shared" si="120"/>
        <v>0.49243513449624626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092">
        <v>43.588999999999999</v>
      </c>
      <c r="C277" s="955"/>
      <c r="D277" s="393">
        <f t="shared" si="102"/>
        <v>45.124853120540422</v>
      </c>
      <c r="E277" s="385">
        <f t="shared" si="100"/>
        <v>49.481425994845928</v>
      </c>
      <c r="F277" s="385">
        <f t="shared" si="103"/>
        <v>49.540571226766822</v>
      </c>
      <c r="G277" s="110">
        <f t="shared" si="101"/>
        <v>1.029999094564813</v>
      </c>
      <c r="H277" s="414" t="b">
        <f>Wh_hp&gt;='2021'!Maxi_hp</f>
        <v>1</v>
      </c>
      <c r="I277" s="380">
        <f>IF(H277,Wh_hp,'2021'!Maxi_hp)</f>
        <v>49.540571226766822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3.4035637001138874E-2</v>
      </c>
      <c r="M277" s="959"/>
      <c r="N277" s="959"/>
      <c r="O277" s="48">
        <f>IF(t&lt;Tnet,'2021'!Resal+('2021'!Salim-'2021'!Resal)*(1-EXP(('2021'!Tnet-t)/('2021'!Tau_j))),Resal+(Salim-Resal)*(1-EXP((Tnet-t)/(Tau_j))))*Salcycl</f>
        <v>8.8044610411173202E-2</v>
      </c>
      <c r="P277" s="339">
        <f>(INDEX(Models!$BJ277:$BT277,,T277)*(1-R277)+INDEX(Models!$BJ277:$BT277,,T277+1)*R277-ERP_i)*Q277*Ramure*Pc/MaxiM</f>
        <v>1.1938746456952461E-3</v>
      </c>
      <c r="Q277" s="305">
        <f t="shared" si="105"/>
        <v>0.7</v>
      </c>
      <c r="R277" s="177">
        <f t="shared" si="106"/>
        <v>0.49274323894130501</v>
      </c>
      <c r="S277" s="921">
        <f t="shared" si="107"/>
        <v>0</v>
      </c>
      <c r="T277" s="176">
        <f t="shared" si="108"/>
        <v>6</v>
      </c>
      <c r="U277" s="251">
        <f t="shared" si="109"/>
        <v>0.49274323894130501</v>
      </c>
      <c r="V277" s="383">
        <f t="shared" si="110"/>
        <v>42.319454677207148</v>
      </c>
      <c r="W277" s="402">
        <f t="shared" si="111"/>
        <v>0</v>
      </c>
      <c r="X277" s="157">
        <f t="shared" si="112"/>
        <v>44824</v>
      </c>
      <c r="Y277" s="385">
        <f t="shared" si="113"/>
        <v>41.207690813160951</v>
      </c>
      <c r="Z277" s="385">
        <f t="shared" si="114"/>
        <v>42.659638793744541</v>
      </c>
      <c r="AA277" s="386">
        <f t="shared" si="115"/>
        <v>49.481425994845928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0.13786561449971063</v>
      </c>
      <c r="AD277" s="231">
        <f>(INDEX(Models!$BJ277:$BT277,,AH277)*(1-AF277)+INDEX(Models!$BJ277:$BT277,,AH277+1)*AF277-ERP_i)*AE277*Ramure*Pc/MaxiM</f>
        <v>1.1938746456952461E-3</v>
      </c>
      <c r="AE277" s="305">
        <f t="shared" si="117"/>
        <v>0.7</v>
      </c>
      <c r="AF277" s="177">
        <f t="shared" si="118"/>
        <v>0.49274323894130501</v>
      </c>
      <c r="AG277" s="921">
        <f t="shared" si="124"/>
        <v>0</v>
      </c>
      <c r="AH277" s="176">
        <f t="shared" si="119"/>
        <v>6</v>
      </c>
      <c r="AI277" s="225">
        <f t="shared" si="120"/>
        <v>0.49274323894130501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092">
        <v>42.625</v>
      </c>
      <c r="C278" s="955"/>
      <c r="D278" s="393">
        <f t="shared" si="102"/>
        <v>44.127853210867421</v>
      </c>
      <c r="E278" s="385">
        <f t="shared" si="100"/>
        <v>48.396918791889462</v>
      </c>
      <c r="F278" s="385">
        <f t="shared" si="103"/>
        <v>48.456509135701559</v>
      </c>
      <c r="G278" s="110">
        <f t="shared" si="101"/>
        <v>1.0114516593581055</v>
      </c>
      <c r="H278" s="414" t="b">
        <f>Wh_hp&gt;='2021'!Maxi_hp</f>
        <v>1</v>
      </c>
      <c r="I278" s="380">
        <f>IF(H278,Wh_hp,'2021'!Maxi_hp)</f>
        <v>48.456509135701559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3.4056794099770804E-2</v>
      </c>
      <c r="M278" s="959"/>
      <c r="N278" s="959"/>
      <c r="O278" s="48">
        <f>IF(t&lt;Tnet,'2021'!Resal+('2021'!Salim-'2021'!Resal)*(1-EXP(('2021'!Tnet-t)/('2021'!Tau_j))),Resal+(Salim-Resal)*(1-EXP((Tnet-t)/(Tau_j))))*Salcycl</f>
        <v>8.8209449849056626E-2</v>
      </c>
      <c r="P278" s="339">
        <f>(INDEX(Models!$BJ278:$BT278,,T278)*(1-R278)+INDEX(Models!$BJ278:$BT278,,T278+1)*R278-ERP_i)*Q278*Ramure*Pc/MaxiM</f>
        <v>1.2297696403431714E-3</v>
      </c>
      <c r="Q278" s="305">
        <f t="shared" si="105"/>
        <v>0.7</v>
      </c>
      <c r="R278" s="177">
        <f t="shared" si="106"/>
        <v>0.49303930051389266</v>
      </c>
      <c r="S278" s="921">
        <f t="shared" si="107"/>
        <v>0</v>
      </c>
      <c r="T278" s="176">
        <f t="shared" si="108"/>
        <v>6</v>
      </c>
      <c r="U278" s="251">
        <f t="shared" si="109"/>
        <v>0.49303930051389266</v>
      </c>
      <c r="V278" s="383">
        <f t="shared" si="110"/>
        <v>42.142399595301441</v>
      </c>
      <c r="W278" s="402">
        <f t="shared" si="111"/>
        <v>0</v>
      </c>
      <c r="X278" s="157">
        <f t="shared" si="112"/>
        <v>44825</v>
      </c>
      <c r="Y278" s="385">
        <f t="shared" si="113"/>
        <v>40.298636592205334</v>
      </c>
      <c r="Z278" s="385">
        <f t="shared" si="114"/>
        <v>41.71946792114786</v>
      </c>
      <c r="AA278" s="386">
        <f t="shared" si="115"/>
        <v>48.396918791889462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0.13797264448704186</v>
      </c>
      <c r="AD278" s="231">
        <f>(INDEX(Models!$BJ278:$BT278,,AH278)*(1-AF278)+INDEX(Models!$BJ278:$BT278,,AH278+1)*AF278-ERP_i)*AE278*Ramure*Pc/MaxiM</f>
        <v>1.2297696403431714E-3</v>
      </c>
      <c r="AE278" s="305">
        <f t="shared" si="117"/>
        <v>0.7</v>
      </c>
      <c r="AF278" s="177">
        <f t="shared" si="118"/>
        <v>0.49303930051389266</v>
      </c>
      <c r="AG278" s="921">
        <f t="shared" si="124"/>
        <v>0</v>
      </c>
      <c r="AH278" s="176">
        <f t="shared" si="119"/>
        <v>6</v>
      </c>
      <c r="AI278" s="225">
        <f t="shared" si="120"/>
        <v>0.49303930051389266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092">
        <v>41.447000000000003</v>
      </c>
      <c r="C279" s="955"/>
      <c r="D279" s="393">
        <f t="shared" si="102"/>
        <v>42.909259635949553</v>
      </c>
      <c r="E279" s="385">
        <f t="shared" si="100"/>
        <v>47.068883680436812</v>
      </c>
      <c r="F279" s="385">
        <f t="shared" si="103"/>
        <v>47.127554108694312</v>
      </c>
      <c r="G279" s="110">
        <f t="shared" si="101"/>
        <v>0.98770712704130825</v>
      </c>
      <c r="H279" s="414" t="b">
        <f>Wh_hp&gt;='2021'!Maxi_hp</f>
        <v>1</v>
      </c>
      <c r="I279" s="380">
        <f>IF(H279,Wh_hp,'2021'!Maxi_hp)</f>
        <v>47.127554108694312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3.4077950735007856E-2</v>
      </c>
      <c r="M279" s="959"/>
      <c r="N279" s="959"/>
      <c r="O279" s="48">
        <f>IF(t&lt;Tnet,'2021'!Resal+('2021'!Salim-'2021'!Resal)*(1-EXP(('2021'!Tnet-t)/('2021'!Tau_j))),Resal+(Salim-Resal)*(1-EXP((Tnet-t)/(Tau_j))))*Salcycl</f>
        <v>8.8373118698290273E-2</v>
      </c>
      <c r="P279" s="339">
        <f>(INDEX(Models!$BJ279:$BT279,,T279)*(1-R279)+INDEX(Models!$BJ279:$BT279,,T279+1)*R279-ERP_i)*Q279*Ramure*Pc/MaxiM</f>
        <v>1.2671411650493414E-3</v>
      </c>
      <c r="Q279" s="305">
        <f t="shared" si="105"/>
        <v>0.7</v>
      </c>
      <c r="R279" s="177">
        <f t="shared" si="106"/>
        <v>0.49332377610870282</v>
      </c>
      <c r="S279" s="921">
        <f t="shared" si="107"/>
        <v>0</v>
      </c>
      <c r="T279" s="176">
        <f t="shared" si="108"/>
        <v>6</v>
      </c>
      <c r="U279" s="251">
        <f t="shared" si="109"/>
        <v>0.49332377610870282</v>
      </c>
      <c r="V279" s="383">
        <f t="shared" si="110"/>
        <v>41.961910634482429</v>
      </c>
      <c r="W279" s="402">
        <f t="shared" si="111"/>
        <v>0</v>
      </c>
      <c r="X279" s="157">
        <f t="shared" si="112"/>
        <v>44826</v>
      </c>
      <c r="Y279" s="385">
        <f t="shared" si="113"/>
        <v>39.187171297214348</v>
      </c>
      <c r="Z279" s="385">
        <f t="shared" si="114"/>
        <v>40.569703659869241</v>
      </c>
      <c r="AA279" s="386">
        <f t="shared" si="115"/>
        <v>47.068883680436812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0.1380780573572179</v>
      </c>
      <c r="AD279" s="231">
        <f>(INDEX(Models!$BJ279:$BT279,,AH279)*(1-AF279)+INDEX(Models!$BJ279:$BT279,,AH279+1)*AF279-ERP_i)*AE279*Ramure*Pc/MaxiM</f>
        <v>1.2671411650493414E-3</v>
      </c>
      <c r="AE279" s="305">
        <f t="shared" si="117"/>
        <v>0.7</v>
      </c>
      <c r="AF279" s="177">
        <f t="shared" si="118"/>
        <v>0.49332377610870282</v>
      </c>
      <c r="AG279" s="921">
        <f t="shared" si="124"/>
        <v>0</v>
      </c>
      <c r="AH279" s="176">
        <f t="shared" si="119"/>
        <v>6</v>
      </c>
      <c r="AI279" s="225">
        <f t="shared" si="120"/>
        <v>0.49332377610870282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092">
        <v>27.321000000000002</v>
      </c>
      <c r="C280" s="955"/>
      <c r="D280" s="393">
        <f t="shared" si="102"/>
        <v>28.285510651624897</v>
      </c>
      <c r="E280" s="385">
        <f t="shared" si="100"/>
        <v>31.033038794935617</v>
      </c>
      <c r="F280" s="385">
        <f t="shared" si="103"/>
        <v>31.053545970654326</v>
      </c>
      <c r="G280" s="110">
        <f t="shared" si="101"/>
        <v>0.65353328176865588</v>
      </c>
      <c r="H280" s="414" t="b">
        <f>Wh_hp&gt;='2021'!Maxi_hp</f>
        <v>0</v>
      </c>
      <c r="I280" s="380">
        <f>IF(H280,Wh_hp,'2021'!Maxi_hp)</f>
        <v>46.242324699542912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3.4099106906860355E-2</v>
      </c>
      <c r="M280" s="959"/>
      <c r="N280" s="959"/>
      <c r="O280" s="48">
        <f>IF(t&lt;Tnet,'2021'!Resal+('2021'!Salim-'2021'!Resal)*(1-EXP(('2021'!Tnet-t)/('2021'!Tau_j))),Resal+(Salim-Resal)*(1-EXP((Tnet-t)/(Tau_j))))*Salcycl</f>
        <v>8.8535581754214138E-2</v>
      </c>
      <c r="P280" s="339">
        <f>(INDEX(Models!$BJ280:$BT280,,T280)*(1-R280)+INDEX(Models!$BJ280:$BT280,,T280+1)*R280-ERP_i)*Q280*Ramure*Pc/MaxiM</f>
        <v>1.3060015726888816E-3</v>
      </c>
      <c r="Q280" s="305">
        <f t="shared" si="105"/>
        <v>0.7</v>
      </c>
      <c r="R280" s="177">
        <f t="shared" si="106"/>
        <v>0.49359710636426807</v>
      </c>
      <c r="S280" s="921">
        <f t="shared" si="107"/>
        <v>0</v>
      </c>
      <c r="T280" s="176">
        <f t="shared" si="108"/>
        <v>6</v>
      </c>
      <c r="U280" s="251">
        <f t="shared" si="109"/>
        <v>0.49359710636426807</v>
      </c>
      <c r="V280" s="383">
        <f t="shared" si="110"/>
        <v>41.778054935142556</v>
      </c>
      <c r="W280" s="402">
        <f t="shared" si="111"/>
        <v>0</v>
      </c>
      <c r="X280" s="157">
        <f t="shared" si="112"/>
        <v>44827</v>
      </c>
      <c r="Y280" s="385">
        <f t="shared" si="113"/>
        <v>25.832862480499369</v>
      </c>
      <c r="Z280" s="385">
        <f t="shared" si="114"/>
        <v>26.744837555511364</v>
      </c>
      <c r="AA280" s="386">
        <f t="shared" si="115"/>
        <v>31.033038794935617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0.13818180255438156</v>
      </c>
      <c r="AD280" s="231">
        <f>(INDEX(Models!$BJ280:$BT280,,AH280)*(1-AF280)+INDEX(Models!$BJ280:$BT280,,AH280+1)*AF280-ERP_i)*AE280*Ramure*Pc/MaxiM</f>
        <v>1.3060015726888816E-3</v>
      </c>
      <c r="AE280" s="305">
        <f t="shared" si="117"/>
        <v>0.7</v>
      </c>
      <c r="AF280" s="177">
        <f t="shared" si="118"/>
        <v>0.49359710636426807</v>
      </c>
      <c r="AG280" s="921">
        <f t="shared" si="124"/>
        <v>0</v>
      </c>
      <c r="AH280" s="176">
        <f t="shared" si="119"/>
        <v>6</v>
      </c>
      <c r="AI280" s="225">
        <f t="shared" si="120"/>
        <v>0.49359710636426807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092">
        <v>19.966999999999999</v>
      </c>
      <c r="C281" s="955"/>
      <c r="D281" s="393">
        <f t="shared" si="102"/>
        <v>20.672345869958075</v>
      </c>
      <c r="E281" s="385">
        <f t="shared" si="100"/>
        <v>22.684377663942087</v>
      </c>
      <c r="F281" s="385">
        <f t="shared" si="103"/>
        <v>22.692237407302407</v>
      </c>
      <c r="G281" s="110">
        <f t="shared" si="101"/>
        <v>0.47960073663319358</v>
      </c>
      <c r="H281" s="414" t="b">
        <f>Wh_hp&gt;='2021'!Maxi_hp</f>
        <v>0</v>
      </c>
      <c r="I281" s="380">
        <f>IF(H281,Wh_hp,'2021'!Maxi_hp)</f>
        <v>42.341790799167022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3.4120262615338404E-2</v>
      </c>
      <c r="M281" s="959"/>
      <c r="N281" s="959"/>
      <c r="O281" s="48">
        <f>IF(t&lt;Tnet,'2021'!Resal+('2021'!Salim-'2021'!Resal)*(1-EXP(('2021'!Tnet-t)/('2021'!Tau_j))),Resal+(Salim-Resal)*(1-EXP((Tnet-t)/(Tau_j))))*Salcycl</f>
        <v>8.8696803755927256E-2</v>
      </c>
      <c r="P281" s="339">
        <f>(INDEX(Models!$BJ281:$BT281,,T281)*(1-R281)+INDEX(Models!$BJ281:$BT281,,T281+1)*R281-ERP_i)*Q281*Ramure*Pc/MaxiM</f>
        <v>1.3463601071921608E-3</v>
      </c>
      <c r="Q281" s="305">
        <f t="shared" si="105"/>
        <v>0.7</v>
      </c>
      <c r="R281" s="177">
        <f t="shared" si="106"/>
        <v>0.49385971615640412</v>
      </c>
      <c r="S281" s="921">
        <f t="shared" si="107"/>
        <v>0</v>
      </c>
      <c r="T281" s="176">
        <f t="shared" si="108"/>
        <v>6</v>
      </c>
      <c r="U281" s="251">
        <f t="shared" si="109"/>
        <v>0.49385971615640412</v>
      </c>
      <c r="V281" s="383">
        <f t="shared" si="110"/>
        <v>41.590899698135118</v>
      </c>
      <c r="W281" s="402">
        <f t="shared" si="111"/>
        <v>0</v>
      </c>
      <c r="X281" s="157">
        <f t="shared" si="112"/>
        <v>44828</v>
      </c>
      <c r="Y281" s="385">
        <f t="shared" si="113"/>
        <v>18.880529383350567</v>
      </c>
      <c r="Z281" s="385">
        <f t="shared" si="114"/>
        <v>19.547495047855421</v>
      </c>
      <c r="AA281" s="386">
        <f t="shared" si="115"/>
        <v>22.684377663942087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0.13828382962751024</v>
      </c>
      <c r="AD281" s="231">
        <f>(INDEX(Models!$BJ281:$BT281,,AH281)*(1-AF281)+INDEX(Models!$BJ281:$BT281,,AH281+1)*AF281-ERP_i)*AE281*Ramure*Pc/MaxiM</f>
        <v>1.3463601071921608E-3</v>
      </c>
      <c r="AE281" s="305">
        <f t="shared" si="117"/>
        <v>0.7</v>
      </c>
      <c r="AF281" s="177">
        <f t="shared" si="118"/>
        <v>0.49385971615640412</v>
      </c>
      <c r="AG281" s="921">
        <f t="shared" si="124"/>
        <v>0</v>
      </c>
      <c r="AH281" s="176">
        <f t="shared" si="119"/>
        <v>6</v>
      </c>
      <c r="AI281" s="225">
        <f t="shared" si="120"/>
        <v>0.49385971615640412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092">
        <v>29.445</v>
      </c>
      <c r="C282" s="955"/>
      <c r="D282" s="393">
        <f t="shared" si="102"/>
        <v>30.485829441794788</v>
      </c>
      <c r="E282" s="385">
        <f t="shared" si="100"/>
        <v>33.458876447248095</v>
      </c>
      <c r="F282" s="385">
        <f t="shared" si="103"/>
        <v>33.486169358834566</v>
      </c>
      <c r="G282" s="110">
        <f t="shared" si="101"/>
        <v>0.71081509929225317</v>
      </c>
      <c r="H282" s="414" t="b">
        <f>Wh_hp&gt;='2021'!Maxi_hp</f>
        <v>0</v>
      </c>
      <c r="I282" s="380">
        <f>IF(H282,Wh_hp,'2021'!Maxi_hp)</f>
        <v>48.914209724554347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3.4141417860452106E-2</v>
      </c>
      <c r="M282" s="959"/>
      <c r="N282" s="959"/>
      <c r="O282" s="48">
        <f>IF(t&lt;Tnet,'2021'!Resal+('2021'!Salim-'2021'!Resal)*(1-EXP(('2021'!Tnet-t)/('2021'!Tau_j))),Resal+(Salim-Resal)*(1-EXP((Tnet-t)/(Tau_j))))*Salcycl</f>
        <v>8.8856749572588573E-2</v>
      </c>
      <c r="P282" s="339">
        <f>(INDEX(Models!$BJ282:$BT282,,T282)*(1-R282)+INDEX(Models!$BJ282:$BT282,,T282+1)*R282-ERP_i)*Q282*Ramure*Pc/MaxiM</f>
        <v>1.3874123669396035E-3</v>
      </c>
      <c r="Q282" s="305">
        <f t="shared" si="105"/>
        <v>0.7</v>
      </c>
      <c r="R282" s="177">
        <f t="shared" si="106"/>
        <v>0.4941120150836224</v>
      </c>
      <c r="S282" s="921">
        <f t="shared" si="107"/>
        <v>0</v>
      </c>
      <c r="T282" s="176">
        <f t="shared" si="108"/>
        <v>6</v>
      </c>
      <c r="U282" s="251">
        <f t="shared" si="109"/>
        <v>0.4941120150836224</v>
      </c>
      <c r="V282" s="383">
        <f t="shared" si="110"/>
        <v>41.40054576799109</v>
      </c>
      <c r="W282" s="402">
        <f t="shared" si="111"/>
        <v>0</v>
      </c>
      <c r="X282" s="157">
        <f t="shared" si="112"/>
        <v>44829</v>
      </c>
      <c r="Y282" s="385">
        <f t="shared" si="113"/>
        <v>27.844447622994075</v>
      </c>
      <c r="Z282" s="385">
        <f t="shared" si="114"/>
        <v>28.828700327240131</v>
      </c>
      <c r="AA282" s="386">
        <f t="shared" si="115"/>
        <v>33.458876447248095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0.13838408851857253</v>
      </c>
      <c r="AD282" s="231">
        <f>(INDEX(Models!$BJ282:$BT282,,AH282)*(1-AF282)+INDEX(Models!$BJ282:$BT282,,AH282+1)*AF282-ERP_i)*AE282*Ramure*Pc/MaxiM</f>
        <v>1.3874123669396035E-3</v>
      </c>
      <c r="AE282" s="305">
        <f t="shared" si="117"/>
        <v>0.7</v>
      </c>
      <c r="AF282" s="177">
        <f t="shared" si="118"/>
        <v>0.4941120150836224</v>
      </c>
      <c r="AG282" s="921">
        <f t="shared" si="124"/>
        <v>0</v>
      </c>
      <c r="AH282" s="176">
        <f t="shared" si="119"/>
        <v>6</v>
      </c>
      <c r="AI282" s="225">
        <f t="shared" si="120"/>
        <v>0.4941120150836224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092">
        <v>30.763999999999999</v>
      </c>
      <c r="C283" s="955"/>
      <c r="D283" s="393">
        <f t="shared" si="102"/>
        <v>31.852151437287045</v>
      </c>
      <c r="E283" s="385">
        <f t="shared" si="100"/>
        <v>34.964532761585865</v>
      </c>
      <c r="F283" s="385">
        <f t="shared" si="103"/>
        <v>34.996431850329394</v>
      </c>
      <c r="G283" s="110">
        <f t="shared" si="101"/>
        <v>0.74618427121966091</v>
      </c>
      <c r="H283" s="414" t="b">
        <f>Wh_hp&gt;='2021'!Maxi_hp</f>
        <v>0</v>
      </c>
      <c r="I283" s="380">
        <f>IF(H283,Wh_hp,'2021'!Maxi_hp)</f>
        <v>47.979649608380406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3.4162572642211675E-2</v>
      </c>
      <c r="M283" s="959"/>
      <c r="N283" s="959"/>
      <c r="O283" s="48">
        <f>IF(t&lt;Tnet,'2021'!Resal+('2021'!Salim-'2021'!Resal)*(1-EXP(('2021'!Tnet-t)/('2021'!Tau_j))),Resal+(Salim-Resal)*(1-EXP((Tnet-t)/(Tau_j))))*Salcycl</f>
        <v>8.9015384404572018E-2</v>
      </c>
      <c r="P283" s="339">
        <f>(INDEX(Models!$BJ283:$BT283,,T283)*(1-R283)+INDEX(Models!$BJ283:$BT283,,T283+1)*R283-ERP_i)*Q283*Ramure*Pc/MaxiM</f>
        <v>1.4287696693266782E-3</v>
      </c>
      <c r="Q283" s="305">
        <f t="shared" si="105"/>
        <v>0.7</v>
      </c>
      <c r="R283" s="177">
        <f t="shared" si="106"/>
        <v>0.49435439794400032</v>
      </c>
      <c r="S283" s="921">
        <f t="shared" si="107"/>
        <v>0</v>
      </c>
      <c r="T283" s="176">
        <f t="shared" si="108"/>
        <v>6</v>
      </c>
      <c r="U283" s="251">
        <f t="shared" si="109"/>
        <v>0.49435439794400032</v>
      </c>
      <c r="V283" s="383">
        <f t="shared" si="110"/>
        <v>41.20707611233221</v>
      </c>
      <c r="W283" s="402">
        <f t="shared" si="111"/>
        <v>0</v>
      </c>
      <c r="X283" s="157">
        <f t="shared" si="112"/>
        <v>44830</v>
      </c>
      <c r="Y283" s="385">
        <f t="shared" si="113"/>
        <v>29.093491807977465</v>
      </c>
      <c r="Z283" s="385">
        <f t="shared" si="114"/>
        <v>30.122555808970496</v>
      </c>
      <c r="AA283" s="386">
        <f t="shared" si="115"/>
        <v>34.964532761585865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0.13848252987195794</v>
      </c>
      <c r="AD283" s="231">
        <f>(INDEX(Models!$BJ283:$BT283,,AH283)*(1-AF283)+INDEX(Models!$BJ283:$BT283,,AH283+1)*AF283-ERP_i)*AE283*Ramure*Pc/MaxiM</f>
        <v>1.4287696693266782E-3</v>
      </c>
      <c r="AE283" s="305">
        <f t="shared" si="117"/>
        <v>0.7</v>
      </c>
      <c r="AF283" s="177">
        <f t="shared" si="118"/>
        <v>0.49435439794400032</v>
      </c>
      <c r="AG283" s="921">
        <f t="shared" si="124"/>
        <v>0</v>
      </c>
      <c r="AH283" s="176">
        <f t="shared" si="119"/>
        <v>6</v>
      </c>
      <c r="AI283" s="225">
        <f t="shared" si="120"/>
        <v>0.49435439794400032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092">
        <v>14.778</v>
      </c>
      <c r="C284" s="955"/>
      <c r="D284" s="393">
        <f t="shared" si="102"/>
        <v>15.301046806236155</v>
      </c>
      <c r="E284" s="385">
        <f t="shared" si="100"/>
        <v>16.799064289613728</v>
      </c>
      <c r="F284" s="385">
        <f t="shared" si="103"/>
        <v>16.801194073382323</v>
      </c>
      <c r="G284" s="110">
        <f t="shared" si="101"/>
        <v>0.35986198978410366</v>
      </c>
      <c r="H284" s="414" t="b">
        <f>Wh_hp&gt;='2021'!Maxi_hp</f>
        <v>0</v>
      </c>
      <c r="I284" s="380">
        <f>IF(H284,Wh_hp,'2021'!Maxi_hp)</f>
        <v>46.988763169188566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3.4183726960627214E-2</v>
      </c>
      <c r="M284" s="959"/>
      <c r="N284" s="959"/>
      <c r="O284" s="48">
        <f>IF(t&lt;Tnet,'2021'!Resal+('2021'!Salim-'2021'!Resal)*(1-EXP(('2021'!Tnet-t)/('2021'!Tau_j))),Resal+(Salim-Resal)*(1-EXP((Tnet-t)/(Tau_j))))*Salcycl</f>
        <v>8.9172673998500332E-2</v>
      </c>
      <c r="P284" s="339">
        <f>(INDEX(Models!$BJ284:$BT284,,T284)*(1-R284)+INDEX(Models!$BJ284:$BT284,,T284+1)*R284-ERP_i)*Q284*Ramure*Pc/MaxiM</f>
        <v>1.4704261783916827E-3</v>
      </c>
      <c r="Q284" s="305">
        <f t="shared" si="105"/>
        <v>0.7</v>
      </c>
      <c r="R284" s="177">
        <f t="shared" si="106"/>
        <v>0.49458724520306957</v>
      </c>
      <c r="S284" s="921">
        <f t="shared" si="107"/>
        <v>0</v>
      </c>
      <c r="T284" s="176">
        <f t="shared" si="108"/>
        <v>6</v>
      </c>
      <c r="U284" s="251">
        <f t="shared" si="109"/>
        <v>0.49458724520306957</v>
      </c>
      <c r="V284" s="383">
        <f t="shared" si="110"/>
        <v>41.010557545403564</v>
      </c>
      <c r="W284" s="402">
        <f t="shared" si="111"/>
        <v>0</v>
      </c>
      <c r="X284" s="157">
        <f t="shared" si="112"/>
        <v>44831</v>
      </c>
      <c r="Y284" s="385">
        <f t="shared" si="113"/>
        <v>13.976390054987103</v>
      </c>
      <c r="Z284" s="385">
        <f t="shared" si="114"/>
        <v>14.471064989414749</v>
      </c>
      <c r="AA284" s="386">
        <f t="shared" si="115"/>
        <v>16.799064289613728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0.138579105363523</v>
      </c>
      <c r="AD284" s="231">
        <f>(INDEX(Models!$BJ284:$BT284,,AH284)*(1-AF284)+INDEX(Models!$BJ284:$BT284,,AH284+1)*AF284-ERP_i)*AE284*Ramure*Pc/MaxiM</f>
        <v>1.4704261783916827E-3</v>
      </c>
      <c r="AE284" s="305">
        <f t="shared" si="117"/>
        <v>0.7</v>
      </c>
      <c r="AF284" s="177">
        <f t="shared" si="118"/>
        <v>0.49458724520306957</v>
      </c>
      <c r="AG284" s="921">
        <f t="shared" si="124"/>
        <v>0</v>
      </c>
      <c r="AH284" s="176">
        <f t="shared" si="119"/>
        <v>6</v>
      </c>
      <c r="AI284" s="225">
        <f t="shared" si="120"/>
        <v>0.49458724520306957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092">
        <v>14.450000000000001</v>
      </c>
      <c r="C285" s="955"/>
      <c r="D285" s="393">
        <f t="shared" si="102"/>
        <v>14.961765402381042</v>
      </c>
      <c r="E285" s="385">
        <f t="shared" si="100"/>
        <v>16.429378537512587</v>
      </c>
      <c r="F285" s="385">
        <f t="shared" si="103"/>
        <v>16.431298070230966</v>
      </c>
      <c r="G285" s="110">
        <f t="shared" si="101"/>
        <v>0.35357653146513252</v>
      </c>
      <c r="H285" s="414" t="b">
        <f>Wh_hp&gt;='2021'!Maxi_hp</f>
        <v>0</v>
      </c>
      <c r="I285" s="380">
        <f>IF(H285,Wh_hp,'2021'!Maxi_hp)</f>
        <v>44.138858996476266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3.4204880815708938E-2</v>
      </c>
      <c r="M285" s="959"/>
      <c r="N285" s="959"/>
      <c r="O285" s="48">
        <f>IF(t&lt;Tnet,'2021'!Resal+('2021'!Salim-'2021'!Resal)*(1-EXP(('2021'!Tnet-t)/('2021'!Tau_j))),Resal+(Salim-Resal)*(1-EXP((Tnet-t)/(Tau_j))))*Salcycl</f>
        <v>8.9328584874990777E-2</v>
      </c>
      <c r="P285" s="339">
        <f>(INDEX(Models!$BJ285:$BT285,,T285)*(1-R285)+INDEX(Models!$BJ285:$BT285,,T285+1)*R285-ERP_i)*Q285*Ramure*Pc/MaxiM</f>
        <v>1.5123753206944786E-3</v>
      </c>
      <c r="Q285" s="305">
        <f t="shared" si="105"/>
        <v>0.7</v>
      </c>
      <c r="R285" s="177">
        <f t="shared" si="106"/>
        <v>0.49481092345235622</v>
      </c>
      <c r="S285" s="921">
        <f t="shared" si="107"/>
        <v>0</v>
      </c>
      <c r="T285" s="176">
        <f t="shared" si="108"/>
        <v>6</v>
      </c>
      <c r="U285" s="251">
        <f t="shared" si="109"/>
        <v>0.49481092345235622</v>
      </c>
      <c r="V285" s="383">
        <f t="shared" si="110"/>
        <v>40.811056759885247</v>
      </c>
      <c r="W285" s="402">
        <f t="shared" si="111"/>
        <v>0</v>
      </c>
      <c r="X285" s="157">
        <f t="shared" si="112"/>
        <v>44832</v>
      </c>
      <c r="Y285" s="385">
        <f t="shared" si="113"/>
        <v>13.667019569300725</v>
      </c>
      <c r="Z285" s="385">
        <f t="shared" si="114"/>
        <v>14.151054709040016</v>
      </c>
      <c r="AA285" s="386">
        <f t="shared" si="115"/>
        <v>16.429378537512587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0.1386737680473159</v>
      </c>
      <c r="AD285" s="231">
        <f>(INDEX(Models!$BJ285:$BT285,,AH285)*(1-AF285)+INDEX(Models!$BJ285:$BT285,,AH285+1)*AF285-ERP_i)*AE285*Ramure*Pc/MaxiM</f>
        <v>1.5123753206944786E-3</v>
      </c>
      <c r="AE285" s="305">
        <f t="shared" si="117"/>
        <v>0.7</v>
      </c>
      <c r="AF285" s="177">
        <f t="shared" si="118"/>
        <v>0.49481092345235622</v>
      </c>
      <c r="AG285" s="921">
        <f t="shared" si="124"/>
        <v>0</v>
      </c>
      <c r="AH285" s="176">
        <f t="shared" si="119"/>
        <v>6</v>
      </c>
      <c r="AI285" s="225">
        <f t="shared" si="120"/>
        <v>0.49481092345235622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092">
        <v>20.818999999999999</v>
      </c>
      <c r="C286" s="955"/>
      <c r="D286" s="393">
        <f t="shared" si="102"/>
        <v>21.556803907957406</v>
      </c>
      <c r="E286" s="385">
        <f t="shared" si="100"/>
        <v>23.675346984327081</v>
      </c>
      <c r="F286" s="385">
        <f t="shared" si="103"/>
        <v>23.686534652805701</v>
      </c>
      <c r="G286" s="110">
        <f t="shared" si="101"/>
        <v>0.512119022924586</v>
      </c>
      <c r="H286" s="414" t="b">
        <f>Wh_hp&gt;='2021'!Maxi_hp</f>
        <v>0</v>
      </c>
      <c r="I286" s="380">
        <f>IF(H286,Wh_hp,'2021'!Maxi_hp)</f>
        <v>45.467806820564945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3.4226034207466949E-2</v>
      </c>
      <c r="M286" s="959"/>
      <c r="N286" s="959"/>
      <c r="O286" s="48">
        <f>IF(t&lt;Tnet,'2021'!Resal+('2021'!Salim-'2021'!Resal)*(1-EXP(('2021'!Tnet-t)/('2021'!Tau_j))),Resal+(Salim-Resal)*(1-EXP((Tnet-t)/(Tau_j))))*Salcycl</f>
        <v>8.9483084567763119E-2</v>
      </c>
      <c r="P286" s="339">
        <f>(INDEX(Models!$BJ286:$BT286,,T286)*(1-R286)+INDEX(Models!$BJ286:$BT286,,T286+1)*R286-ERP_i)*Q286*Ramure*Pc/MaxiM</f>
        <v>1.5546098058129133E-3</v>
      </c>
      <c r="Q286" s="305">
        <f t="shared" si="105"/>
        <v>0.7</v>
      </c>
      <c r="R286" s="177">
        <f t="shared" si="106"/>
        <v>0.49502578585826645</v>
      </c>
      <c r="S286" s="921">
        <f t="shared" si="107"/>
        <v>0</v>
      </c>
      <c r="T286" s="176">
        <f t="shared" si="108"/>
        <v>6</v>
      </c>
      <c r="U286" s="251">
        <f t="shared" si="109"/>
        <v>0.49502578585826645</v>
      </c>
      <c r="V286" s="383">
        <f t="shared" si="110"/>
        <v>40.608640314441466</v>
      </c>
      <c r="W286" s="402">
        <f t="shared" si="111"/>
        <v>0</v>
      </c>
      <c r="X286" s="157">
        <f t="shared" si="112"/>
        <v>44833</v>
      </c>
      <c r="Y286" s="385">
        <f t="shared" si="113"/>
        <v>19.692133666706138</v>
      </c>
      <c r="Z286" s="385">
        <f t="shared" si="114"/>
        <v>20.39000259294253</v>
      </c>
      <c r="AA286" s="386">
        <f t="shared" si="115"/>
        <v>23.675346984327081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0.13876647271777801</v>
      </c>
      <c r="AD286" s="231">
        <f>(INDEX(Models!$BJ286:$BT286,,AH286)*(1-AF286)+INDEX(Models!$BJ286:$BT286,,AH286+1)*AF286-ERP_i)*AE286*Ramure*Pc/MaxiM</f>
        <v>1.5546098058129133E-3</v>
      </c>
      <c r="AE286" s="305">
        <f t="shared" si="117"/>
        <v>0.7</v>
      </c>
      <c r="AF286" s="177">
        <f t="shared" si="118"/>
        <v>0.49502578585826645</v>
      </c>
      <c r="AG286" s="921">
        <f t="shared" si="124"/>
        <v>0</v>
      </c>
      <c r="AH286" s="176">
        <f t="shared" si="119"/>
        <v>6</v>
      </c>
      <c r="AI286" s="225">
        <f t="shared" si="120"/>
        <v>0.49502578585826645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092">
        <v>30.009</v>
      </c>
      <c r="C287" s="955"/>
      <c r="D287" s="393">
        <f t="shared" si="102"/>
        <v>31.073168620657377</v>
      </c>
      <c r="E287" s="385">
        <f t="shared" si="100"/>
        <v>34.132691388445167</v>
      </c>
      <c r="F287" s="385">
        <f t="shared" si="103"/>
        <v>34.167205226682327</v>
      </c>
      <c r="G287" s="110">
        <f t="shared" si="101"/>
        <v>0.74229857999990567</v>
      </c>
      <c r="H287" s="414" t="b">
        <f>Wh_hp&gt;='2021'!Maxi_hp</f>
        <v>0</v>
      </c>
      <c r="I287" s="380">
        <f>IF(H287,Wh_hp,'2021'!Maxi_hp)</f>
        <v>41.385817820684117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3.4247187135911239E-2</v>
      </c>
      <c r="M287" s="959"/>
      <c r="N287" s="959"/>
      <c r="O287" s="48">
        <f>IF(t&lt;Tnet,'2021'!Resal+('2021'!Salim-'2021'!Resal)*(1-EXP(('2021'!Tnet-t)/('2021'!Tau_j))),Resal+(Salim-Resal)*(1-EXP((Tnet-t)/(Tau_j))))*Salcycl</f>
        <v>8.9636141872583841E-2</v>
      </c>
      <c r="P287" s="339">
        <f>(INDEX(Models!$BJ287:$BT287,,T287)*(1-R287)+INDEX(Models!$BJ287:$BT287,,T287+1)*R287-ERP_i)*Q287*Ramure*Pc/MaxiM</f>
        <v>1.5971216539182524E-3</v>
      </c>
      <c r="Q287" s="305">
        <f t="shared" si="105"/>
        <v>0.7</v>
      </c>
      <c r="R287" s="177">
        <f t="shared" si="106"/>
        <v>0.49523217260107544</v>
      </c>
      <c r="S287" s="921">
        <f t="shared" si="107"/>
        <v>0</v>
      </c>
      <c r="T287" s="176">
        <f t="shared" si="108"/>
        <v>6</v>
      </c>
      <c r="U287" s="251">
        <f t="shared" si="109"/>
        <v>0.49523217260107544</v>
      </c>
      <c r="V287" s="383">
        <f t="shared" si="110"/>
        <v>40.403374626179364</v>
      </c>
      <c r="W287" s="402">
        <f t="shared" si="111"/>
        <v>0</v>
      </c>
      <c r="X287" s="157">
        <f t="shared" si="112"/>
        <v>44834</v>
      </c>
      <c r="Y287" s="385">
        <f t="shared" si="113"/>
        <v>28.386490485266609</v>
      </c>
      <c r="Z287" s="385">
        <f t="shared" si="114"/>
        <v>29.393122243239549</v>
      </c>
      <c r="AA287" s="386">
        <f t="shared" si="115"/>
        <v>34.132691388445167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0.13885717628496438</v>
      </c>
      <c r="AD287" s="231">
        <f>(INDEX(Models!$BJ287:$BT287,,AH287)*(1-AF287)+INDEX(Models!$BJ287:$BT287,,AH287+1)*AF287-ERP_i)*AE287*Ramure*Pc/MaxiM</f>
        <v>1.5971216539182524E-3</v>
      </c>
      <c r="AE287" s="305">
        <f t="shared" si="117"/>
        <v>0.7</v>
      </c>
      <c r="AF287" s="177">
        <f t="shared" si="118"/>
        <v>0.49523217260107544</v>
      </c>
      <c r="AG287" s="921">
        <f t="shared" si="124"/>
        <v>0</v>
      </c>
      <c r="AH287" s="176">
        <f t="shared" si="119"/>
        <v>6</v>
      </c>
      <c r="AI287" s="225">
        <f t="shared" si="120"/>
        <v>0.49523217260107544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092">
        <v>36.323999999999998</v>
      </c>
      <c r="C288" s="955"/>
      <c r="D288" s="393">
        <f t="shared" si="102"/>
        <v>37.612932752970323</v>
      </c>
      <c r="E288" s="385">
        <f t="shared" si="100"/>
        <v>41.323253787067642</v>
      </c>
      <c r="F288" s="385">
        <f t="shared" si="103"/>
        <v>41.381778731567124</v>
      </c>
      <c r="G288" s="110">
        <f t="shared" si="101"/>
        <v>0.90348296993298316</v>
      </c>
      <c r="H288" s="414" t="b">
        <f>Wh_hp&gt;='2021'!Maxi_hp</f>
        <v>0</v>
      </c>
      <c r="I288" s="380">
        <f>IF(H288,Wh_hp,'2021'!Maxi_hp)</f>
        <v>43.981299080889379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3.4268339601052245E-2</v>
      </c>
      <c r="M288" s="959"/>
      <c r="N288" s="959"/>
      <c r="O288" s="48">
        <f>IF(t&lt;Tnet,'2021'!Resal+('2021'!Salim-'2021'!Resal)*(1-EXP(('2021'!Tnet-t)/('2021'!Tau_j))),Resal+(Salim-Resal)*(1-EXP((Tnet-t)/(Tau_j))))*Salcycl</f>
        <v>8.978772710435716E-2</v>
      </c>
      <c r="P288" s="339">
        <f>(INDEX(Models!$BJ288:$BT288,,T288)*(1-R288)+INDEX(Models!$BJ288:$BT288,,T288+1)*R288-ERP_i)*Q288*Ramure*Pc/MaxiM</f>
        <v>1.639902231181015E-3</v>
      </c>
      <c r="Q288" s="305">
        <f t="shared" si="105"/>
        <v>0.7</v>
      </c>
      <c r="R288" s="177">
        <f t="shared" si="106"/>
        <v>0.4954304113038237</v>
      </c>
      <c r="S288" s="921">
        <f t="shared" si="107"/>
        <v>0</v>
      </c>
      <c r="T288" s="176">
        <f t="shared" si="108"/>
        <v>6</v>
      </c>
      <c r="U288" s="251">
        <f t="shared" si="109"/>
        <v>0.4954304113038237</v>
      </c>
      <c r="V288" s="383">
        <f t="shared" si="110"/>
        <v>40.195325955018873</v>
      </c>
      <c r="W288" s="402">
        <f t="shared" si="111"/>
        <v>0</v>
      </c>
      <c r="X288" s="157">
        <f t="shared" si="112"/>
        <v>44835</v>
      </c>
      <c r="Y288" s="385">
        <f t="shared" si="113"/>
        <v>34.362238684358609</v>
      </c>
      <c r="Z288" s="385">
        <f t="shared" si="114"/>
        <v>35.581559654121129</v>
      </c>
      <c r="AA288" s="386">
        <f t="shared" si="115"/>
        <v>41.323253787067642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0.13894583816009687</v>
      </c>
      <c r="AD288" s="231">
        <f>(INDEX(Models!$BJ288:$BT288,,AH288)*(1-AF288)+INDEX(Models!$BJ288:$BT288,,AH288+1)*AF288-ERP_i)*AE288*Ramure*Pc/MaxiM</f>
        <v>1.639902231181015E-3</v>
      </c>
      <c r="AE288" s="305">
        <f t="shared" si="117"/>
        <v>0.7</v>
      </c>
      <c r="AF288" s="177">
        <f t="shared" si="118"/>
        <v>0.4954304113038237</v>
      </c>
      <c r="AG288" s="921">
        <f t="shared" si="124"/>
        <v>0</v>
      </c>
      <c r="AH288" s="176">
        <f t="shared" si="119"/>
        <v>6</v>
      </c>
      <c r="AI288" s="225">
        <f t="shared" si="120"/>
        <v>0.4954304113038237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092">
        <v>35.765999999999998</v>
      </c>
      <c r="C289" s="955"/>
      <c r="D289" s="393">
        <f t="shared" si="102"/>
        <v>37.035943679814473</v>
      </c>
      <c r="E289" s="385">
        <f t="shared" si="100"/>
        <v>40.696058118707711</v>
      </c>
      <c r="F289" s="385">
        <f t="shared" si="103"/>
        <v>40.754309942190076</v>
      </c>
      <c r="G289" s="110">
        <f t="shared" si="101"/>
        <v>0.8942815625201852</v>
      </c>
      <c r="H289" s="414" t="b">
        <f>Wh_hp&gt;='2021'!Maxi_hp</f>
        <v>0</v>
      </c>
      <c r="I289" s="380">
        <f>IF(H289,Wh_hp,'2021'!Maxi_hp)</f>
        <v>47.647904130278036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3.4289491602899957E-2</v>
      </c>
      <c r="M289" s="959"/>
      <c r="N289" s="959"/>
      <c r="O289" s="48">
        <f>IF(t&lt;Tnet,'2021'!Resal+('2021'!Salim-'2021'!Resal)*(1-EXP(('2021'!Tnet-t)/('2021'!Tau_j))),Resal+(Salim-Resal)*(1-EXP((Tnet-t)/(Tau_j))))*Salcycl</f>
        <v>8.9937812360522076E-2</v>
      </c>
      <c r="P289" s="339">
        <f>(INDEX(Models!$BJ289:$BT289,,T289)*(1-R289)+INDEX(Models!$BJ289:$BT289,,T289+1)*R289-ERP_i)*Q289*Ramure*Pc/MaxiM</f>
        <v>1.68296763407152E-3</v>
      </c>
      <c r="Q289" s="305">
        <f t="shared" si="105"/>
        <v>0.7</v>
      </c>
      <c r="R289" s="177">
        <f t="shared" si="106"/>
        <v>0.49562081745098008</v>
      </c>
      <c r="S289" s="921">
        <f t="shared" si="107"/>
        <v>0</v>
      </c>
      <c r="T289" s="176">
        <f t="shared" si="108"/>
        <v>6</v>
      </c>
      <c r="U289" s="251">
        <f t="shared" si="109"/>
        <v>0.49562081745098008</v>
      </c>
      <c r="V289" s="383">
        <f t="shared" si="110"/>
        <v>39.98395731191858</v>
      </c>
      <c r="W289" s="402">
        <f t="shared" si="111"/>
        <v>0</v>
      </c>
      <c r="X289" s="157">
        <f t="shared" si="112"/>
        <v>44836</v>
      </c>
      <c r="Y289" s="385">
        <f t="shared" si="113"/>
        <v>33.836551898673925</v>
      </c>
      <c r="Z289" s="385">
        <f t="shared" si="114"/>
        <v>35.037986647609657</v>
      </c>
      <c r="AA289" s="386">
        <f t="shared" si="115"/>
        <v>40.696058118707711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0.1390324206485512</v>
      </c>
      <c r="AD289" s="231">
        <f>(INDEX(Models!$BJ289:$BT289,,AH289)*(1-AF289)+INDEX(Models!$BJ289:$BT289,,AH289+1)*AF289-ERP_i)*AE289*Ramure*Pc/MaxiM</f>
        <v>1.68296763407152E-3</v>
      </c>
      <c r="AE289" s="305">
        <f t="shared" si="117"/>
        <v>0.7</v>
      </c>
      <c r="AF289" s="177">
        <f t="shared" si="118"/>
        <v>0.49562081745098008</v>
      </c>
      <c r="AG289" s="921">
        <f t="shared" si="124"/>
        <v>0</v>
      </c>
      <c r="AH289" s="176">
        <f t="shared" si="119"/>
        <v>6</v>
      </c>
      <c r="AI289" s="225">
        <f t="shared" si="120"/>
        <v>0.49562081745098008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092">
        <v>33.433999999999997</v>
      </c>
      <c r="C290" s="955"/>
      <c r="D290" s="393">
        <f t="shared" si="102"/>
        <v>34.621899643549419</v>
      </c>
      <c r="E290" s="385">
        <f t="shared" si="100"/>
        <v>38.049655011335297</v>
      </c>
      <c r="F290" s="385">
        <f t="shared" si="103"/>
        <v>38.100396689761759</v>
      </c>
      <c r="G290" s="110">
        <f t="shared" si="101"/>
        <v>0.84037660088062383</v>
      </c>
      <c r="H290" s="414" t="b">
        <f>Wh_hp&gt;='2021'!Maxi_hp</f>
        <v>0</v>
      </c>
      <c r="I290" s="380">
        <f>IF(H290,Wh_hp,'2021'!Maxi_hp)</f>
        <v>43.351504842538631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3.4310643141464592E-2</v>
      </c>
      <c r="M290" s="959"/>
      <c r="N290" s="959"/>
      <c r="O290" s="48">
        <f>IF(t&lt;Tnet,'2021'!Resal+('2021'!Salim-'2021'!Resal)*(1-EXP(('2021'!Tnet-t)/('2021'!Tau_j))),Resal+(Salim-Resal)*(1-EXP((Tnet-t)/(Tau_j))))*Salcycl</f>
        <v>9.0086371788777708E-2</v>
      </c>
      <c r="P290" s="339">
        <f>(INDEX(Models!$BJ290:$BT290,,T290)*(1-R290)+INDEX(Models!$BJ290:$BT290,,T290+1)*R290-ERP_i)*Q290*Ramure*Pc/MaxiM</f>
        <v>1.7241357929521652E-3</v>
      </c>
      <c r="Q290" s="305">
        <f t="shared" si="105"/>
        <v>0.7</v>
      </c>
      <c r="R290" s="177">
        <f t="shared" si="106"/>
        <v>0.49580369479676817</v>
      </c>
      <c r="S290" s="921">
        <f t="shared" si="107"/>
        <v>0</v>
      </c>
      <c r="T290" s="176">
        <f t="shared" si="108"/>
        <v>6</v>
      </c>
      <c r="U290" s="251">
        <f t="shared" si="109"/>
        <v>0.49580369479676817</v>
      </c>
      <c r="V290" s="383">
        <f t="shared" si="110"/>
        <v>39.768914007717086</v>
      </c>
      <c r="W290" s="402">
        <f t="shared" si="111"/>
        <v>0</v>
      </c>
      <c r="X290" s="157">
        <f t="shared" si="112"/>
        <v>44837</v>
      </c>
      <c r="Y290" s="385">
        <f t="shared" si="113"/>
        <v>31.632415461398558</v>
      </c>
      <c r="Z290" s="385">
        <f t="shared" si="114"/>
        <v>32.756305365424481</v>
      </c>
      <c r="AA290" s="386">
        <f t="shared" si="115"/>
        <v>38.049655011335297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0.13911688934719349</v>
      </c>
      <c r="AD290" s="231">
        <f>(INDEX(Models!$BJ290:$BT290,,AH290)*(1-AF290)+INDEX(Models!$BJ290:$BT290,,AH290+1)*AF290-ERP_i)*AE290*Ramure*Pc/MaxiM</f>
        <v>1.7241357929521652E-3</v>
      </c>
      <c r="AE290" s="305">
        <f t="shared" si="117"/>
        <v>0.7</v>
      </c>
      <c r="AF290" s="177">
        <f t="shared" si="118"/>
        <v>0.49580369479676817</v>
      </c>
      <c r="AG290" s="921">
        <f t="shared" si="124"/>
        <v>0</v>
      </c>
      <c r="AH290" s="176">
        <f t="shared" si="119"/>
        <v>6</v>
      </c>
      <c r="AI290" s="225">
        <f t="shared" si="120"/>
        <v>0.49580369479676817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092">
        <v>39.152999999999999</v>
      </c>
      <c r="C291" s="955"/>
      <c r="D291" s="393">
        <f t="shared" si="102"/>
        <v>40.544981977783344</v>
      </c>
      <c r="E291" s="385">
        <f t="shared" si="100"/>
        <v>44.566354897198579</v>
      </c>
      <c r="F291" s="385">
        <f t="shared" si="103"/>
        <v>44.643906997798112</v>
      </c>
      <c r="G291" s="110">
        <f t="shared" si="101"/>
        <v>0.9899259443226115</v>
      </c>
      <c r="H291" s="414" t="b">
        <f>Wh_hp&gt;='2021'!Maxi_hp</f>
        <v>0</v>
      </c>
      <c r="I291" s="380">
        <f>IF(H291,Wh_hp,'2021'!Maxi_hp)</f>
        <v>44.844605022343991</v>
      </c>
      <c r="J291" s="85">
        <f>IF(H291,An,'2021'!An_max)</f>
        <v>2018</v>
      </c>
      <c r="K291" s="197">
        <f t="shared" si="104"/>
        <v>44838</v>
      </c>
      <c r="L291" s="147">
        <f>IF(t&lt;Tvie,1-EXP((T0-t)*PertePVj)+'2021'!Pspv,1-EXP((T0-t)*PertePVj)+Pspv)</f>
        <v>3.433179421675614E-2</v>
      </c>
      <c r="M291" s="959"/>
      <c r="N291" s="959"/>
      <c r="O291" s="48">
        <f>IF(t&lt;Tnet,'2021'!Resal+('2021'!Salim-'2021'!Resal)*(1-EXP(('2021'!Tnet-t)/('2021'!Tau_j))),Resal+(Salim-Resal)*(1-EXP((Tnet-t)/(Tau_j))))*Salcycl</f>
        <v>9.02333818570389E-2</v>
      </c>
      <c r="P291" s="339">
        <f>(INDEX(Models!$BJ291:$BT291,,T291)*(1-R291)+INDEX(Models!$BJ291:$BT291,,T291+1)*R291-ERP_i)*Q291*Ramure*Pc/MaxiM</f>
        <v>1.7624270137316309E-3</v>
      </c>
      <c r="Q291" s="305">
        <f t="shared" si="105"/>
        <v>0.7</v>
      </c>
      <c r="R291" s="177">
        <f t="shared" si="106"/>
        <v>0.49597933576309861</v>
      </c>
      <c r="S291" s="921">
        <f t="shared" si="107"/>
        <v>0</v>
      </c>
      <c r="T291" s="176">
        <f t="shared" si="108"/>
        <v>6</v>
      </c>
      <c r="U291" s="251">
        <f t="shared" si="109"/>
        <v>0.49597933576309861</v>
      </c>
      <c r="V291" s="383">
        <f t="shared" si="110"/>
        <v>39.550441018401322</v>
      </c>
      <c r="W291" s="402">
        <f t="shared" si="111"/>
        <v>0</v>
      </c>
      <c r="X291" s="157">
        <f t="shared" si="112"/>
        <v>44838</v>
      </c>
      <c r="Y291" s="385">
        <f t="shared" si="113"/>
        <v>37.045691191608235</v>
      </c>
      <c r="Z291" s="385">
        <f t="shared" si="114"/>
        <v>38.362753345038264</v>
      </c>
      <c r="AA291" s="386">
        <f t="shared" si="115"/>
        <v>44.566354897198579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0.13919921354282153</v>
      </c>
      <c r="AD291" s="231">
        <f>(INDEX(Models!$BJ291:$BT291,,AH291)*(1-AF291)+INDEX(Models!$BJ291:$BT291,,AH291+1)*AF291-ERP_i)*AE291*Ramure*Pc/MaxiM</f>
        <v>1.7624270137316309E-3</v>
      </c>
      <c r="AE291" s="305">
        <f t="shared" si="117"/>
        <v>0.7</v>
      </c>
      <c r="AF291" s="177">
        <f t="shared" si="118"/>
        <v>0.49597933576309861</v>
      </c>
      <c r="AG291" s="921">
        <f t="shared" si="124"/>
        <v>0</v>
      </c>
      <c r="AH291" s="176">
        <f t="shared" si="119"/>
        <v>6</v>
      </c>
      <c r="AI291" s="225">
        <f t="shared" si="120"/>
        <v>0.49597933576309861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092">
        <v>39.097999999999999</v>
      </c>
      <c r="C292" s="955"/>
      <c r="D292" s="393">
        <f t="shared" si="102"/>
        <v>40.488913408499634</v>
      </c>
      <c r="E292" s="385">
        <f t="shared" si="100"/>
        <v>44.511841160911793</v>
      </c>
      <c r="F292" s="385">
        <f t="shared" si="103"/>
        <v>44.591335900802413</v>
      </c>
      <c r="G292" s="110">
        <f t="shared" si="101"/>
        <v>0.99411791627076229</v>
      </c>
      <c r="H292" s="414" t="b">
        <f>Wh_hp&gt;='2021'!Maxi_hp</f>
        <v>0</v>
      </c>
      <c r="I292" s="380">
        <f>IF(H292,Wh_hp,'2021'!Maxi_hp)</f>
        <v>44.683643039833356</v>
      </c>
      <c r="J292" s="85">
        <f>IF(H292,An,'2021'!An_max)</f>
        <v>2018</v>
      </c>
      <c r="K292" s="197">
        <f t="shared" si="104"/>
        <v>44839</v>
      </c>
      <c r="L292" s="147">
        <f>IF(t&lt;Tvie,1-EXP((T0-t)*PertePVj)+'2021'!Pspv,1-EXP((T0-t)*PertePVj)+Pspv)</f>
        <v>3.4352944828784926E-2</v>
      </c>
      <c r="M292" s="959"/>
      <c r="N292" s="959"/>
      <c r="O292" s="48">
        <f>IF(t&lt;Tnet,'2021'!Resal+('2021'!Salim-'2021'!Resal)*(1-EXP(('2021'!Tnet-t)/('2021'!Tau_j))),Resal+(Salim-Resal)*(1-EXP((Tnet-t)/(Tau_j))))*Salcycl</f>
        <v>9.0378821623422492E-2</v>
      </c>
      <c r="P292" s="339">
        <f>(INDEX(Models!$BJ292:$BT292,,T292)*(1-R292)+INDEX(Models!$BJ292:$BT292,,T292+1)*R292-ERP_i)*Q292*Ramure*Pc/MaxiM</f>
        <v>1.7978079871619689E-3</v>
      </c>
      <c r="Q292" s="305">
        <f t="shared" si="105"/>
        <v>0.7</v>
      </c>
      <c r="R292" s="177">
        <f t="shared" si="106"/>
        <v>0.49614802182708029</v>
      </c>
      <c r="S292" s="921">
        <f t="shared" si="107"/>
        <v>0</v>
      </c>
      <c r="T292" s="176">
        <f t="shared" si="108"/>
        <v>6</v>
      </c>
      <c r="U292" s="251">
        <f t="shared" si="109"/>
        <v>0.49614802182708029</v>
      </c>
      <c r="V292" s="383">
        <f t="shared" si="110"/>
        <v>39.328744773372279</v>
      </c>
      <c r="W292" s="402">
        <f t="shared" si="111"/>
        <v>0</v>
      </c>
      <c r="X292" s="157">
        <f t="shared" si="112"/>
        <v>44839</v>
      </c>
      <c r="Y292" s="385">
        <f t="shared" si="113"/>
        <v>36.996121159368293</v>
      </c>
      <c r="Z292" s="385">
        <f t="shared" si="114"/>
        <v>38.312260117449078</v>
      </c>
      <c r="AA292" s="386">
        <f t="shared" si="115"/>
        <v>44.511841160911793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0.13927936660833731</v>
      </c>
      <c r="AD292" s="231">
        <f>(INDEX(Models!$BJ292:$BT292,,AH292)*(1-AF292)+INDEX(Models!$BJ292:$BT292,,AH292+1)*AF292-ERP_i)*AE292*Ramure*Pc/MaxiM</f>
        <v>1.7978079871619689E-3</v>
      </c>
      <c r="AE292" s="305">
        <f t="shared" si="117"/>
        <v>0.7</v>
      </c>
      <c r="AF292" s="177">
        <f t="shared" si="118"/>
        <v>0.49614802182708029</v>
      </c>
      <c r="AG292" s="921">
        <f t="shared" si="124"/>
        <v>0</v>
      </c>
      <c r="AH292" s="176">
        <f t="shared" si="119"/>
        <v>6</v>
      </c>
      <c r="AI292" s="225">
        <f t="shared" si="120"/>
        <v>0.49614802182708029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092">
        <v>14.496</v>
      </c>
      <c r="C293" s="955"/>
      <c r="D293" s="393">
        <f t="shared" si="102"/>
        <v>15.012024765080373</v>
      </c>
      <c r="E293" s="385">
        <f t="shared" si="100"/>
        <v>16.506211116515356</v>
      </c>
      <c r="F293" s="385">
        <f t="shared" si="103"/>
        <v>16.509263081531344</v>
      </c>
      <c r="G293" s="110">
        <f t="shared" si="101"/>
        <v>0.37009340660162848</v>
      </c>
      <c r="H293" s="414" t="b">
        <f>Wh_hp&gt;='2021'!Maxi_hp</f>
        <v>0</v>
      </c>
      <c r="I293" s="380">
        <f>IF(H293,Wh_hp,'2021'!Maxi_hp)</f>
        <v>42.282942542755286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3.4374094977561054E-2</v>
      </c>
      <c r="M293" s="959"/>
      <c r="N293" s="959"/>
      <c r="O293" s="48">
        <f>IF(t&lt;Tnet,'2021'!Resal+('2021'!Salim-'2021'!Resal)*(1-EXP(('2021'!Tnet-t)/('2021'!Tau_j))),Resal+(Salim-Resal)*(1-EXP((Tnet-t)/(Tau_j))))*Salcycl</f>
        <v>9.0522673003980161E-2</v>
      </c>
      <c r="P293" s="339">
        <f>(INDEX(Models!$BJ293:$BT293,,T293)*(1-R293)+INDEX(Models!$BJ293:$BT293,,T293+1)*R293-ERP_i)*Q293*Ramure*Pc/MaxiM</f>
        <v>1.8302448245382651E-3</v>
      </c>
      <c r="Q293" s="305">
        <f t="shared" si="105"/>
        <v>0.7</v>
      </c>
      <c r="R293" s="177">
        <f t="shared" si="106"/>
        <v>0.49631002389811946</v>
      </c>
      <c r="S293" s="921">
        <f t="shared" si="107"/>
        <v>0</v>
      </c>
      <c r="T293" s="176">
        <f t="shared" si="108"/>
        <v>6</v>
      </c>
      <c r="U293" s="251">
        <f t="shared" si="109"/>
        <v>0.49631002389811946</v>
      </c>
      <c r="V293" s="383">
        <f t="shared" si="110"/>
        <v>39.104031275221935</v>
      </c>
      <c r="W293" s="402">
        <f t="shared" si="111"/>
        <v>0</v>
      </c>
      <c r="X293" s="157">
        <f t="shared" si="112"/>
        <v>44840</v>
      </c>
      <c r="Y293" s="385">
        <f t="shared" si="113"/>
        <v>13.717633003355951</v>
      </c>
      <c r="Z293" s="385">
        <f t="shared" si="114"/>
        <v>14.20594966643649</v>
      </c>
      <c r="AA293" s="386">
        <f t="shared" si="115"/>
        <v>16.506211116515356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0.13935732639317391</v>
      </c>
      <c r="AD293" s="231">
        <f>(INDEX(Models!$BJ293:$BT293,,AH293)*(1-AF293)+INDEX(Models!$BJ293:$BT293,,AH293+1)*AF293-ERP_i)*AE293*Ramure*Pc/MaxiM</f>
        <v>1.8302448245382651E-3</v>
      </c>
      <c r="AE293" s="305">
        <f t="shared" si="117"/>
        <v>0.7</v>
      </c>
      <c r="AF293" s="177">
        <f t="shared" si="118"/>
        <v>0.49631002389811946</v>
      </c>
      <c r="AG293" s="921">
        <f t="shared" si="124"/>
        <v>0</v>
      </c>
      <c r="AH293" s="176">
        <f t="shared" si="119"/>
        <v>6</v>
      </c>
      <c r="AI293" s="225">
        <f t="shared" si="120"/>
        <v>0.49631002389811946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092">
        <v>28.902000000000001</v>
      </c>
      <c r="C294" s="955"/>
      <c r="D294" s="393">
        <f t="shared" si="102"/>
        <v>29.931501310715809</v>
      </c>
      <c r="E294" s="385">
        <f t="shared" si="100"/>
        <v>32.915810687531263</v>
      </c>
      <c r="F294" s="385">
        <f t="shared" si="103"/>
        <v>32.954633605397497</v>
      </c>
      <c r="G294" s="110">
        <f t="shared" si="101"/>
        <v>0.74292366124570142</v>
      </c>
      <c r="H294" s="414" t="b">
        <f>Wh_hp&gt;='2021'!Maxi_hp</f>
        <v>0</v>
      </c>
      <c r="I294" s="380">
        <f>IF(H294,Wh_hp,'2021'!Maxi_hp)</f>
        <v>44.5855001708373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3.4395244663094626E-2</v>
      </c>
      <c r="M294" s="959"/>
      <c r="N294" s="959"/>
      <c r="O294" s="48">
        <f>IF(t&lt;Tnet,'2021'!Resal+('2021'!Salim-'2021'!Resal)*(1-EXP(('2021'!Tnet-t)/('2021'!Tau_j))),Resal+(Salim-Resal)*(1-EXP((Tnet-t)/(Tau_j))))*Salcycl</f>
        <v>9.0664921035833165E-2</v>
      </c>
      <c r="P294" s="339">
        <f>(INDEX(Models!$BJ294:$BT294,,T294)*(1-R294)+INDEX(Models!$BJ294:$BT294,,T294+1)*R294-ERP_i)*Q294*Ramure*Pc/MaxiM</f>
        <v>1.8597033337138752E-3</v>
      </c>
      <c r="Q294" s="305">
        <f t="shared" si="105"/>
        <v>0.7</v>
      </c>
      <c r="R294" s="177">
        <f t="shared" si="106"/>
        <v>0.49646560268464229</v>
      </c>
      <c r="S294" s="921">
        <f t="shared" si="107"/>
        <v>0</v>
      </c>
      <c r="T294" s="176">
        <f t="shared" si="108"/>
        <v>6</v>
      </c>
      <c r="U294" s="251">
        <f t="shared" si="109"/>
        <v>0.49646560268464229</v>
      </c>
      <c r="V294" s="383">
        <f t="shared" si="110"/>
        <v>38.876506093698346</v>
      </c>
      <c r="W294" s="402">
        <f t="shared" si="111"/>
        <v>0</v>
      </c>
      <c r="X294" s="157">
        <f t="shared" si="112"/>
        <v>44841</v>
      </c>
      <c r="Y294" s="385">
        <f t="shared" si="113"/>
        <v>27.351969394178301</v>
      </c>
      <c r="Z294" s="385">
        <f t="shared" si="114"/>
        <v>28.326257967355424</v>
      </c>
      <c r="AA294" s="386">
        <f t="shared" si="115"/>
        <v>32.915810687531263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0.1394330756044356</v>
      </c>
      <c r="AD294" s="231">
        <f>(INDEX(Models!$BJ294:$BT294,,AH294)*(1-AF294)+INDEX(Models!$BJ294:$BT294,,AH294+1)*AF294-ERP_i)*AE294*Ramure*Pc/MaxiM</f>
        <v>1.8597033337138752E-3</v>
      </c>
      <c r="AE294" s="305">
        <f t="shared" si="117"/>
        <v>0.7</v>
      </c>
      <c r="AF294" s="177">
        <f t="shared" si="118"/>
        <v>0.49646560268464229</v>
      </c>
      <c r="AG294" s="921">
        <f t="shared" si="124"/>
        <v>0</v>
      </c>
      <c r="AH294" s="176">
        <f t="shared" si="119"/>
        <v>6</v>
      </c>
      <c r="AI294" s="225">
        <f t="shared" si="120"/>
        <v>0.49646560268464229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092">
        <v>16.716000000000001</v>
      </c>
      <c r="C295" s="955"/>
      <c r="D295" s="393">
        <f t="shared" si="102"/>
        <v>17.311810074389346</v>
      </c>
      <c r="E295" s="385">
        <f t="shared" si="100"/>
        <v>19.04082251392008</v>
      </c>
      <c r="F295" s="385">
        <f t="shared" si="103"/>
        <v>19.047624834689824</v>
      </c>
      <c r="G295" s="110">
        <f t="shared" si="101"/>
        <v>0.43187574317146632</v>
      </c>
      <c r="H295" s="414" t="b">
        <f>Wh_hp&gt;='2021'!Maxi_hp</f>
        <v>0</v>
      </c>
      <c r="I295" s="380">
        <f>IF(H295,Wh_hp,'2021'!Maxi_hp)</f>
        <v>41.761638375375632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3.4416393885395746E-2</v>
      </c>
      <c r="M295" s="959"/>
      <c r="N295" s="959"/>
      <c r="O295" s="48">
        <f>IF(t&lt;Tnet,'2021'!Resal+('2021'!Salim-'2021'!Resal)*(1-EXP(('2021'!Tnet-t)/('2021'!Tau_j))),Resal+(Salim-Resal)*(1-EXP((Tnet-t)/(Tau_j))))*Salcycl</f>
        <v>9.0805554133321406E-2</v>
      </c>
      <c r="P295" s="339">
        <f>(INDEX(Models!$BJ295:$BT295,,T295)*(1-R295)+INDEX(Models!$BJ295:$BT295,,T295+1)*R295-ERP_i)*Q295*Ramure*Pc/MaxiM</f>
        <v>1.8861492959498308E-3</v>
      </c>
      <c r="Q295" s="305">
        <f t="shared" si="105"/>
        <v>0.7</v>
      </c>
      <c r="R295" s="177">
        <f t="shared" si="106"/>
        <v>0.49661500905050349</v>
      </c>
      <c r="S295" s="921">
        <f t="shared" si="107"/>
        <v>0</v>
      </c>
      <c r="T295" s="176">
        <f t="shared" si="108"/>
        <v>6</v>
      </c>
      <c r="U295" s="251">
        <f t="shared" si="109"/>
        <v>0.49661500905050349</v>
      </c>
      <c r="V295" s="383">
        <f t="shared" si="110"/>
        <v>38.646374352165147</v>
      </c>
      <c r="W295" s="402">
        <f t="shared" si="111"/>
        <v>0</v>
      </c>
      <c r="X295" s="157">
        <f t="shared" si="112"/>
        <v>44842</v>
      </c>
      <c r="Y295" s="385">
        <f t="shared" si="113"/>
        <v>15.820606585787536</v>
      </c>
      <c r="Z295" s="385">
        <f t="shared" si="114"/>
        <v>16.384502062382573</v>
      </c>
      <c r="AA295" s="386">
        <f t="shared" si="115"/>
        <v>19.04082251392008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0.13950660217517197</v>
      </c>
      <c r="AD295" s="231">
        <f>(INDEX(Models!$BJ295:$BT295,,AH295)*(1-AF295)+INDEX(Models!$BJ295:$BT295,,AH295+1)*AF295-ERP_i)*AE295*Ramure*Pc/MaxiM</f>
        <v>1.8861492959498308E-3</v>
      </c>
      <c r="AE295" s="305">
        <f t="shared" si="117"/>
        <v>0.7</v>
      </c>
      <c r="AF295" s="177">
        <f t="shared" si="118"/>
        <v>0.49661500905050349</v>
      </c>
      <c r="AG295" s="921">
        <f t="shared" si="124"/>
        <v>0</v>
      </c>
      <c r="AH295" s="176">
        <f t="shared" si="119"/>
        <v>6</v>
      </c>
      <c r="AI295" s="225">
        <f t="shared" si="120"/>
        <v>0.49661500905050349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092">
        <v>36.460999999999999</v>
      </c>
      <c r="C296" s="955"/>
      <c r="D296" s="393">
        <f t="shared" si="102"/>
        <v>37.761410173153472</v>
      </c>
      <c r="E296" s="385">
        <f t="shared" si="100"/>
        <v>41.539172080875424</v>
      </c>
      <c r="F296" s="385">
        <f t="shared" si="103"/>
        <v>41.612826498189825</v>
      </c>
      <c r="G296" s="110">
        <f t="shared" si="101"/>
        <v>0.949030400436913</v>
      </c>
      <c r="H296" s="414" t="b">
        <f>Wh_hp&gt;='2021'!Maxi_hp</f>
        <v>1</v>
      </c>
      <c r="I296" s="380">
        <f>IF(H296,Wh_hp,'2021'!Maxi_hp)</f>
        <v>41.612826498189825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3.4437542644474628E-2</v>
      </c>
      <c r="M296" s="959"/>
      <c r="N296" s="959"/>
      <c r="O296" s="48">
        <f>IF(t&lt;Tnet,'2021'!Resal+('2021'!Salim-'2021'!Resal)*(1-EXP(('2021'!Tnet-t)/('2021'!Tau_j))),Resal+(Salim-Resal)*(1-EXP((Tnet-t)/(Tau_j))))*Salcycl</f>
        <v>9.0944564334762612E-2</v>
      </c>
      <c r="P296" s="339">
        <f>(INDEX(Models!$BJ296:$BT296,,T296)*(1-R296)+INDEX(Models!$BJ296:$BT296,,T296+1)*R296-ERP_i)*Q296*Ramure*Pc/MaxiM</f>
        <v>1.9086065013877841E-3</v>
      </c>
      <c r="Q296" s="305">
        <f t="shared" si="105"/>
        <v>0.7</v>
      </c>
      <c r="R296" s="177">
        <f t="shared" si="106"/>
        <v>0.49675848436116604</v>
      </c>
      <c r="S296" s="921">
        <f t="shared" si="107"/>
        <v>0</v>
      </c>
      <c r="T296" s="176">
        <f t="shared" si="108"/>
        <v>6</v>
      </c>
      <c r="U296" s="251">
        <f t="shared" si="109"/>
        <v>0.49675848436116604</v>
      </c>
      <c r="V296" s="383">
        <f t="shared" si="110"/>
        <v>38.413876984303123</v>
      </c>
      <c r="W296" s="402">
        <f t="shared" si="111"/>
        <v>0</v>
      </c>
      <c r="X296" s="157">
        <f t="shared" si="112"/>
        <v>44843</v>
      </c>
      <c r="Y296" s="385">
        <f t="shared" si="113"/>
        <v>34.510381843914487</v>
      </c>
      <c r="Z296" s="385">
        <f t="shared" si="114"/>
        <v>35.741221690030535</v>
      </c>
      <c r="AA296" s="386">
        <f t="shared" si="115"/>
        <v>41.539172080875424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0.13957789961620953</v>
      </c>
      <c r="AD296" s="231">
        <f>(INDEX(Models!$BJ296:$BT296,,AH296)*(1-AF296)+INDEX(Models!$BJ296:$BT296,,AH296+1)*AF296-ERP_i)*AE296*Ramure*Pc/MaxiM</f>
        <v>1.9086065013877841E-3</v>
      </c>
      <c r="AE296" s="305">
        <f t="shared" si="117"/>
        <v>0.7</v>
      </c>
      <c r="AF296" s="177">
        <f t="shared" si="118"/>
        <v>0.49675848436116604</v>
      </c>
      <c r="AG296" s="921">
        <f t="shared" si="124"/>
        <v>0</v>
      </c>
      <c r="AH296" s="176">
        <f t="shared" si="119"/>
        <v>6</v>
      </c>
      <c r="AI296" s="225">
        <f t="shared" si="120"/>
        <v>0.49675848436116604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092">
        <v>29.76</v>
      </c>
      <c r="C297" s="955"/>
      <c r="D297" s="393">
        <f t="shared" si="102"/>
        <v>30.822088833240382</v>
      </c>
      <c r="E297" s="385">
        <f t="shared" ref="E297:E360" si="125">Wh_pvt/(1-Psa)</f>
        <v>33.910745583424678</v>
      </c>
      <c r="F297" s="385">
        <f t="shared" si="103"/>
        <v>33.955585399712518</v>
      </c>
      <c r="G297" s="110">
        <f t="shared" ref="G297:G360" si="126">+Wh_hp/MaxiM</f>
        <v>0.77900828413856449</v>
      </c>
      <c r="H297" s="414" t="b">
        <f>Wh_hp&gt;='2021'!Maxi_hp</f>
        <v>1</v>
      </c>
      <c r="I297" s="380">
        <f>IF(H297,Wh_hp,'2021'!Maxi_hp)</f>
        <v>33.955585399712518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3.4458690940341485E-2</v>
      </c>
      <c r="M297" s="959"/>
      <c r="N297" s="959"/>
      <c r="O297" s="48">
        <f>IF(t&lt;Tnet,'2021'!Resal+('2021'!Salim-'2021'!Resal)*(1-EXP(('2021'!Tnet-t)/('2021'!Tau_j))),Resal+(Salim-Resal)*(1-EXP((Tnet-t)/(Tau_j))))*Salcycl</f>
        <v>9.1081947537420327E-2</v>
      </c>
      <c r="P297" s="339">
        <f>(INDEX(Models!$BJ297:$BT297,,T297)*(1-R297)+INDEX(Models!$BJ297:$BT297,,T297+1)*R297-ERP_i)*Q297*Ramure*Pc/MaxiM</f>
        <v>1.9278713614428683E-3</v>
      </c>
      <c r="Q297" s="305">
        <f t="shared" si="105"/>
        <v>0.7</v>
      </c>
      <c r="R297" s="177">
        <f t="shared" si="106"/>
        <v>0.49689626081975713</v>
      </c>
      <c r="S297" s="921">
        <f t="shared" si="107"/>
        <v>0</v>
      </c>
      <c r="T297" s="176">
        <f t="shared" si="108"/>
        <v>6</v>
      </c>
      <c r="U297" s="251">
        <f t="shared" si="109"/>
        <v>0.49689626081975713</v>
      </c>
      <c r="V297" s="383">
        <f t="shared" si="110"/>
        <v>38.17918579217185</v>
      </c>
      <c r="W297" s="402">
        <f t="shared" si="111"/>
        <v>0</v>
      </c>
      <c r="X297" s="157">
        <f t="shared" si="112"/>
        <v>44844</v>
      </c>
      <c r="Y297" s="385">
        <f t="shared" si="113"/>
        <v>28.169873161120623</v>
      </c>
      <c r="Z297" s="385">
        <f t="shared" si="114"/>
        <v>29.175212802189982</v>
      </c>
      <c r="AA297" s="386">
        <f t="shared" si="115"/>
        <v>33.910745583424678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0.13964696734799578</v>
      </c>
      <c r="AD297" s="231">
        <f>(INDEX(Models!$BJ297:$BT297,,AH297)*(1-AF297)+INDEX(Models!$BJ297:$BT297,,AH297+1)*AF297-ERP_i)*AE297*Ramure*Pc/MaxiM</f>
        <v>1.9278713614428683E-3</v>
      </c>
      <c r="AE297" s="305">
        <f t="shared" si="117"/>
        <v>0.7</v>
      </c>
      <c r="AF297" s="177">
        <f t="shared" si="118"/>
        <v>0.49689626081975713</v>
      </c>
      <c r="AG297" s="921">
        <f t="shared" si="124"/>
        <v>0</v>
      </c>
      <c r="AH297" s="176">
        <f t="shared" si="119"/>
        <v>6</v>
      </c>
      <c r="AI297" s="225">
        <f t="shared" si="120"/>
        <v>0.49689626081975713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092">
        <v>21.22</v>
      </c>
      <c r="C298" s="955"/>
      <c r="D298" s="393">
        <f t="shared" si="102"/>
        <v>21.977790679205899</v>
      </c>
      <c r="E298" s="385">
        <f t="shared" si="125"/>
        <v>24.183779513673002</v>
      </c>
      <c r="F298" s="385">
        <f t="shared" si="103"/>
        <v>24.201204118012555</v>
      </c>
      <c r="G298" s="110">
        <f t="shared" si="126"/>
        <v>0.55858225430313813</v>
      </c>
      <c r="H298" s="414" t="b">
        <f>Wh_hp&gt;='2021'!Maxi_hp</f>
        <v>0</v>
      </c>
      <c r="I298" s="380">
        <f>IF(H298,Wh_hp,'2021'!Maxi_hp)</f>
        <v>43.516621662814977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3.4479838773006311E-2</v>
      </c>
      <c r="M298" s="959"/>
      <c r="N298" s="959"/>
      <c r="O298" s="48">
        <f>IF(t&lt;Tnet,'2021'!Resal+('2021'!Salim-'2021'!Resal)*(1-EXP(('2021'!Tnet-t)/('2021'!Tau_j))),Resal+(Salim-Resal)*(1-EXP((Tnet-t)/(Tau_j))))*Salcycl</f>
        <v>9.1217703718307661E-2</v>
      </c>
      <c r="P298" s="339">
        <f>(INDEX(Models!$BJ298:$BT298,,T298)*(1-R298)+INDEX(Models!$BJ298:$BT298,,T298+1)*R298-ERP_i)*Q298*Ramure*Pc/MaxiM</f>
        <v>1.9439108102466129E-3</v>
      </c>
      <c r="Q298" s="305">
        <f t="shared" si="105"/>
        <v>0.7</v>
      </c>
      <c r="R298" s="177">
        <f t="shared" si="106"/>
        <v>0.49702856179312344</v>
      </c>
      <c r="S298" s="921">
        <f t="shared" si="107"/>
        <v>0</v>
      </c>
      <c r="T298" s="176">
        <f t="shared" si="108"/>
        <v>6</v>
      </c>
      <c r="U298" s="251">
        <f t="shared" si="109"/>
        <v>0.49702856179312344</v>
      </c>
      <c r="V298" s="383">
        <f t="shared" si="110"/>
        <v>37.942504449979808</v>
      </c>
      <c r="W298" s="402">
        <f t="shared" si="111"/>
        <v>0</v>
      </c>
      <c r="X298" s="157">
        <f t="shared" si="112"/>
        <v>44845</v>
      </c>
      <c r="Y298" s="385">
        <f t="shared" si="113"/>
        <v>20.087619449764066</v>
      </c>
      <c r="Z298" s="385">
        <f t="shared" si="114"/>
        <v>20.804971513216771</v>
      </c>
      <c r="AA298" s="386">
        <f t="shared" si="115"/>
        <v>24.183779513673002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0.13971381100898325</v>
      </c>
      <c r="AD298" s="231">
        <f>(INDEX(Models!$BJ298:$BT298,,AH298)*(1-AF298)+INDEX(Models!$BJ298:$BT298,,AH298+1)*AF298-ERP_i)*AE298*Ramure*Pc/MaxiM</f>
        <v>1.9439108102466129E-3</v>
      </c>
      <c r="AE298" s="305">
        <f t="shared" si="117"/>
        <v>0.7</v>
      </c>
      <c r="AF298" s="177">
        <f t="shared" si="118"/>
        <v>0.49702856179312344</v>
      </c>
      <c r="AG298" s="921">
        <f t="shared" si="124"/>
        <v>0</v>
      </c>
      <c r="AH298" s="176">
        <f t="shared" si="119"/>
        <v>6</v>
      </c>
      <c r="AI298" s="225">
        <f t="shared" si="120"/>
        <v>0.49702856179312344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092">
        <v>29.669</v>
      </c>
      <c r="C299" s="955"/>
      <c r="D299" s="393">
        <f t="shared" si="102"/>
        <v>30.729187263963663</v>
      </c>
      <c r="E299" s="385">
        <f t="shared" si="125"/>
        <v>33.818576342235716</v>
      </c>
      <c r="F299" s="385">
        <f t="shared" si="103"/>
        <v>33.864666050342578</v>
      </c>
      <c r="G299" s="110">
        <f t="shared" si="126"/>
        <v>0.78642249562712319</v>
      </c>
      <c r="H299" s="414" t="b">
        <f>Wh_hp&gt;='2021'!Maxi_hp</f>
        <v>0</v>
      </c>
      <c r="I299" s="380">
        <f>IF(H299,Wh_hp,'2021'!Maxi_hp)</f>
        <v>42.807452061099632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3.4500986142479317E-2</v>
      </c>
      <c r="M299" s="959"/>
      <c r="N299" s="959"/>
      <c r="O299" s="48">
        <f>IF(t&lt;Tnet,'2021'!Resal+('2021'!Salim-'2021'!Resal)*(1-EXP(('2021'!Tnet-t)/('2021'!Tau_j))),Resal+(Salim-Resal)*(1-EXP((Tnet-t)/(Tau_j))))*Salcycl</f>
        <v>9.135183713850599E-2</v>
      </c>
      <c r="P299" s="339">
        <f>(INDEX(Models!$BJ299:$BT299,,T299)*(1-R299)+INDEX(Models!$BJ299:$BT299,,T299+1)*R299-ERP_i)*Q299*Ramure*Pc/MaxiM</f>
        <v>1.9566928868016901E-3</v>
      </c>
      <c r="Q299" s="305">
        <f t="shared" si="105"/>
        <v>0.7</v>
      </c>
      <c r="R299" s="177">
        <f t="shared" si="106"/>
        <v>0.4971556021280249</v>
      </c>
      <c r="S299" s="921">
        <f t="shared" si="107"/>
        <v>0</v>
      </c>
      <c r="T299" s="176">
        <f t="shared" si="108"/>
        <v>6</v>
      </c>
      <c r="U299" s="251">
        <f t="shared" si="109"/>
        <v>0.4971556021280249</v>
      </c>
      <c r="V299" s="383">
        <f t="shared" si="110"/>
        <v>37.704036159033464</v>
      </c>
      <c r="W299" s="402">
        <f t="shared" si="111"/>
        <v>0</v>
      </c>
      <c r="X299" s="157">
        <f t="shared" si="112"/>
        <v>44846</v>
      </c>
      <c r="Y299" s="385">
        <f t="shared" si="113"/>
        <v>28.087784057205898</v>
      </c>
      <c r="Z299" s="385">
        <f t="shared" si="114"/>
        <v>29.091468405529444</v>
      </c>
      <c r="AA299" s="386">
        <f t="shared" si="115"/>
        <v>33.818576342235716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0.13977844273718371</v>
      </c>
      <c r="AD299" s="231">
        <f>(INDEX(Models!$BJ299:$BT299,,AH299)*(1-AF299)+INDEX(Models!$BJ299:$BT299,,AH299+1)*AF299-ERP_i)*AE299*Ramure*Pc/MaxiM</f>
        <v>1.9566928868016901E-3</v>
      </c>
      <c r="AE299" s="305">
        <f t="shared" si="117"/>
        <v>0.7</v>
      </c>
      <c r="AF299" s="177">
        <f t="shared" si="118"/>
        <v>0.4971556021280249</v>
      </c>
      <c r="AG299" s="921">
        <f t="shared" si="124"/>
        <v>0</v>
      </c>
      <c r="AH299" s="176">
        <f t="shared" si="119"/>
        <v>6</v>
      </c>
      <c r="AI299" s="225">
        <f t="shared" si="120"/>
        <v>0.4971556021280249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092">
        <v>21.47</v>
      </c>
      <c r="C300" s="955"/>
      <c r="D300" s="393">
        <f t="shared" si="102"/>
        <v>22.237692582013945</v>
      </c>
      <c r="E300" s="385">
        <f t="shared" si="125"/>
        <v>24.476950663225054</v>
      </c>
      <c r="F300" s="385">
        <f t="shared" si="103"/>
        <v>24.495740075305179</v>
      </c>
      <c r="G300" s="110">
        <f t="shared" si="126"/>
        <v>0.57239600911053612</v>
      </c>
      <c r="H300" s="414" t="b">
        <f>Wh_hp&gt;='2021'!Maxi_hp</f>
        <v>0</v>
      </c>
      <c r="I300" s="380">
        <f>IF(H300,Wh_hp,'2021'!Maxi_hp)</f>
        <v>41.038729599738197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3.452213304877072E-2</v>
      </c>
      <c r="M300" s="959"/>
      <c r="N300" s="959"/>
      <c r="O300" s="48">
        <f>IF(t&lt;Tnet,'2021'!Resal+('2021'!Salim-'2021'!Resal)*(1-EXP(('2021'!Tnet-t)/('2021'!Tau_j))),Resal+(Salim-Resal)*(1-EXP((Tnet-t)/(Tau_j))))*Salcycl</f>
        <v>9.1484356528750241E-2</v>
      </c>
      <c r="P300" s="339">
        <f>(INDEX(Models!$BJ300:$BT300,,T300)*(1-R300)+INDEX(Models!$BJ300:$BT300,,T300+1)*R300-ERP_i)*Q300*Ramure*Pc/MaxiM</f>
        <v>1.9661869912501284E-3</v>
      </c>
      <c r="Q300" s="305">
        <f t="shared" si="105"/>
        <v>0.7</v>
      </c>
      <c r="R300" s="177">
        <f t="shared" si="106"/>
        <v>0.49727758845761905</v>
      </c>
      <c r="S300" s="921">
        <f t="shared" si="107"/>
        <v>0</v>
      </c>
      <c r="T300" s="176">
        <f t="shared" si="108"/>
        <v>6</v>
      </c>
      <c r="U300" s="251">
        <f t="shared" si="109"/>
        <v>0.49727758845761905</v>
      </c>
      <c r="V300" s="383">
        <f t="shared" si="110"/>
        <v>37.463983648612874</v>
      </c>
      <c r="W300" s="402">
        <f t="shared" si="111"/>
        <v>0</v>
      </c>
      <c r="X300" s="157">
        <f t="shared" si="112"/>
        <v>44847</v>
      </c>
      <c r="Y300" s="385">
        <f t="shared" si="113"/>
        <v>20.327240822531127</v>
      </c>
      <c r="Z300" s="385">
        <f t="shared" si="114"/>
        <v>21.054072307965139</v>
      </c>
      <c r="AA300" s="386">
        <f t="shared" si="115"/>
        <v>24.476950663225054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0.13984088142166151</v>
      </c>
      <c r="AD300" s="231">
        <f>(INDEX(Models!$BJ300:$BT300,,AH300)*(1-AF300)+INDEX(Models!$BJ300:$BT300,,AH300+1)*AF300-ERP_i)*AE300*Ramure*Pc/MaxiM</f>
        <v>1.9661869912501284E-3</v>
      </c>
      <c r="AE300" s="305">
        <f t="shared" si="117"/>
        <v>0.7</v>
      </c>
      <c r="AF300" s="177">
        <f t="shared" si="118"/>
        <v>0.49727758845761905</v>
      </c>
      <c r="AG300" s="921">
        <f t="shared" si="124"/>
        <v>0</v>
      </c>
      <c r="AH300" s="176">
        <f t="shared" si="119"/>
        <v>6</v>
      </c>
      <c r="AI300" s="225">
        <f t="shared" si="120"/>
        <v>0.49727758845761905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092">
        <v>16.036999999999999</v>
      </c>
      <c r="C301" s="955"/>
      <c r="D301" s="393">
        <f t="shared" si="102"/>
        <v>16.610791203110484</v>
      </c>
      <c r="E301" s="385">
        <f t="shared" si="125"/>
        <v>18.286074997306422</v>
      </c>
      <c r="F301" s="385">
        <f t="shared" si="103"/>
        <v>18.292818934519417</v>
      </c>
      <c r="G301" s="110">
        <f t="shared" si="126"/>
        <v>0.43014979787504387</v>
      </c>
      <c r="H301" s="414" t="b">
        <f>Wh_hp&gt;='2021'!Maxi_hp</f>
        <v>0</v>
      </c>
      <c r="I301" s="380">
        <f>IF(H301,Wh_hp,'2021'!Maxi_hp)</f>
        <v>44.446308487241133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3.4543279491890622E-2</v>
      </c>
      <c r="M301" s="959"/>
      <c r="N301" s="959"/>
      <c r="O301" s="48">
        <f>IF(t&lt;Tnet,'2021'!Resal+('2021'!Salim-'2021'!Resal)*(1-EXP(('2021'!Tnet-t)/('2021'!Tau_j))),Resal+(Salim-Resal)*(1-EXP((Tnet-t)/(Tau_j))))*Salcycl</f>
        <v>9.1615275254132517E-2</v>
      </c>
      <c r="P301" s="339">
        <f>(INDEX(Models!$BJ301:$BT301,,T301)*(1-R301)+INDEX(Models!$BJ301:$BT301,,T301+1)*R301-ERP_i)*Q301*Ramure*Pc/MaxiM</f>
        <v>1.9723641293864056E-3</v>
      </c>
      <c r="Q301" s="305">
        <f t="shared" si="105"/>
        <v>0.7</v>
      </c>
      <c r="R301" s="177">
        <f t="shared" si="106"/>
        <v>0.49739471949839986</v>
      </c>
      <c r="S301" s="921">
        <f t="shared" si="107"/>
        <v>0</v>
      </c>
      <c r="T301" s="176">
        <f t="shared" si="108"/>
        <v>6</v>
      </c>
      <c r="U301" s="251">
        <f t="shared" si="109"/>
        <v>0.49739471949839986</v>
      </c>
      <c r="V301" s="383">
        <f t="shared" si="110"/>
        <v>37.222549177941637</v>
      </c>
      <c r="W301" s="402">
        <f t="shared" si="111"/>
        <v>0</v>
      </c>
      <c r="X301" s="157">
        <f t="shared" si="112"/>
        <v>44848</v>
      </c>
      <c r="Y301" s="385">
        <f t="shared" si="113"/>
        <v>15.184541125420461</v>
      </c>
      <c r="Z301" s="385">
        <f t="shared" si="114"/>
        <v>15.727832022785032</v>
      </c>
      <c r="AA301" s="386">
        <f t="shared" si="115"/>
        <v>18.286074997306422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0.13990115292090971</v>
      </c>
      <c r="AD301" s="231">
        <f>(INDEX(Models!$BJ301:$BT301,,AH301)*(1-AF301)+INDEX(Models!$BJ301:$BT301,,AH301+1)*AF301-ERP_i)*AE301*Ramure*Pc/MaxiM</f>
        <v>1.9723641293864056E-3</v>
      </c>
      <c r="AE301" s="305">
        <f t="shared" si="117"/>
        <v>0.7</v>
      </c>
      <c r="AF301" s="177">
        <f t="shared" si="118"/>
        <v>0.49739471949839986</v>
      </c>
      <c r="AG301" s="921">
        <f t="shared" si="124"/>
        <v>0</v>
      </c>
      <c r="AH301" s="176">
        <f t="shared" si="119"/>
        <v>6</v>
      </c>
      <c r="AI301" s="225">
        <f t="shared" si="120"/>
        <v>0.49739471949839986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092">
        <v>35.811</v>
      </c>
      <c r="C302" s="955"/>
      <c r="D302" s="393">
        <f t="shared" si="102"/>
        <v>37.093101750991877</v>
      </c>
      <c r="E302" s="385">
        <f t="shared" si="125"/>
        <v>40.839946802243048</v>
      </c>
      <c r="F302" s="385">
        <f t="shared" si="103"/>
        <v>40.917116605876139</v>
      </c>
      <c r="G302" s="110">
        <f t="shared" si="126"/>
        <v>0.96830349427298235</v>
      </c>
      <c r="H302" s="414" t="b">
        <f>Wh_hp&gt;='2021'!Maxi_hp</f>
        <v>1</v>
      </c>
      <c r="I302" s="380">
        <f>IF(H302,Wh_hp,'2021'!Maxi_hp)</f>
        <v>40.917116605876139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3.4564425471849125E-2</v>
      </c>
      <c r="M302" s="959"/>
      <c r="N302" s="959"/>
      <c r="O302" s="48">
        <f>IF(t&lt;Tnet,'2021'!Resal+('2021'!Salim-'2021'!Resal)*(1-EXP(('2021'!Tnet-t)/('2021'!Tau_j))),Resal+(Salim-Resal)*(1-EXP((Tnet-t)/(Tau_j))))*Salcycl</f>
        <v>9.1744611455893993E-2</v>
      </c>
      <c r="P302" s="339">
        <f>(INDEX(Models!$BJ302:$BT302,,T302)*(1-R302)+INDEX(Models!$BJ302:$BT302,,T302+1)*R302-ERP_i)*Q302*Ramure*Pc/MaxiM</f>
        <v>1.9751971432909934E-3</v>
      </c>
      <c r="Q302" s="305">
        <f t="shared" si="105"/>
        <v>0.7</v>
      </c>
      <c r="R302" s="177">
        <f t="shared" si="106"/>
        <v>0.49750718633776586</v>
      </c>
      <c r="S302" s="921">
        <f t="shared" si="107"/>
        <v>0</v>
      </c>
      <c r="T302" s="176">
        <f t="shared" si="108"/>
        <v>6</v>
      </c>
      <c r="U302" s="251">
        <f t="shared" si="109"/>
        <v>0.49750718633776586</v>
      </c>
      <c r="V302" s="383">
        <f t="shared" si="110"/>
        <v>36.979934539001079</v>
      </c>
      <c r="W302" s="402">
        <f t="shared" si="111"/>
        <v>0</v>
      </c>
      <c r="X302" s="157">
        <f t="shared" si="112"/>
        <v>44849</v>
      </c>
      <c r="Y302" s="385">
        <f t="shared" si="113"/>
        <v>33.909975372011289</v>
      </c>
      <c r="Z302" s="385">
        <f t="shared" si="114"/>
        <v>35.124016834147142</v>
      </c>
      <c r="AA302" s="386">
        <f t="shared" si="115"/>
        <v>40.839946802243048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0.13995929024525486</v>
      </c>
      <c r="AD302" s="231">
        <f>(INDEX(Models!$BJ302:$BT302,,AH302)*(1-AF302)+INDEX(Models!$BJ302:$BT302,,AH302+1)*AF302-ERP_i)*AE302*Ramure*Pc/MaxiM</f>
        <v>1.9751971432909934E-3</v>
      </c>
      <c r="AE302" s="305">
        <f t="shared" si="117"/>
        <v>0.7</v>
      </c>
      <c r="AF302" s="177">
        <f t="shared" si="118"/>
        <v>0.49750718633776586</v>
      </c>
      <c r="AG302" s="921">
        <f t="shared" si="124"/>
        <v>0</v>
      </c>
      <c r="AH302" s="176">
        <f t="shared" si="119"/>
        <v>6</v>
      </c>
      <c r="AI302" s="225">
        <f t="shared" si="120"/>
        <v>0.49750718633776586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092">
        <v>32.33</v>
      </c>
      <c r="C303" s="955"/>
      <c r="D303" s="393">
        <f t="shared" si="102"/>
        <v>33.488208823549826</v>
      </c>
      <c r="E303" s="385">
        <f t="shared" si="125"/>
        <v>36.876104621472983</v>
      </c>
      <c r="F303" s="385">
        <f t="shared" si="103"/>
        <v>36.936545262415919</v>
      </c>
      <c r="G303" s="110">
        <f t="shared" si="126"/>
        <v>0.87976409320550009</v>
      </c>
      <c r="H303" s="414" t="b">
        <f>Wh_hp&gt;='2021'!Maxi_hp</f>
        <v>0</v>
      </c>
      <c r="I303" s="380">
        <f>IF(H303,Wh_hp,'2021'!Maxi_hp)</f>
        <v>39.359495276629886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3.4585570988656333E-2</v>
      </c>
      <c r="M303" s="959"/>
      <c r="N303" s="959"/>
      <c r="O303" s="48">
        <f>IF(t&lt;Tnet,'2021'!Resal+('2021'!Salim-'2021'!Resal)*(1-EXP(('2021'!Tnet-t)/('2021'!Tau_j))),Resal+(Salim-Resal)*(1-EXP((Tnet-t)/(Tau_j))))*Salcycl</f>
        <v>9.1872388168417987E-2</v>
      </c>
      <c r="P303" s="339">
        <f>(INDEX(Models!$BJ303:$BT303,,T303)*(1-R303)+INDEX(Models!$BJ303:$BT303,,T303+1)*R303-ERP_i)*Q303*Ramure*Pc/MaxiM</f>
        <v>1.9746774054301337E-3</v>
      </c>
      <c r="Q303" s="305">
        <f t="shared" si="105"/>
        <v>0.7</v>
      </c>
      <c r="R303" s="177">
        <f t="shared" si="106"/>
        <v>0.49761517271239886</v>
      </c>
      <c r="S303" s="921">
        <f t="shared" si="107"/>
        <v>0</v>
      </c>
      <c r="T303" s="176">
        <f t="shared" si="108"/>
        <v>6</v>
      </c>
      <c r="U303" s="251">
        <f t="shared" si="109"/>
        <v>0.49761517271239886</v>
      </c>
      <c r="V303" s="383">
        <f t="shared" si="110"/>
        <v>36.736033875941978</v>
      </c>
      <c r="W303" s="402">
        <f t="shared" si="111"/>
        <v>0</v>
      </c>
      <c r="X303" s="157">
        <f t="shared" si="112"/>
        <v>44850</v>
      </c>
      <c r="Y303" s="385">
        <f t="shared" si="113"/>
        <v>30.61607630824188</v>
      </c>
      <c r="Z303" s="385">
        <f t="shared" si="114"/>
        <v>31.712884527316444</v>
      </c>
      <c r="AA303" s="386">
        <f t="shared" si="115"/>
        <v>36.876104621472983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0.1400153337006749</v>
      </c>
      <c r="AD303" s="231">
        <f>(INDEX(Models!$BJ303:$BT303,,AH303)*(1-AF303)+INDEX(Models!$BJ303:$BT303,,AH303+1)*AF303-ERP_i)*AE303*Ramure*Pc/MaxiM</f>
        <v>1.9746774054301337E-3</v>
      </c>
      <c r="AE303" s="305">
        <f t="shared" si="117"/>
        <v>0.7</v>
      </c>
      <c r="AF303" s="177">
        <f t="shared" si="118"/>
        <v>0.49761517271239886</v>
      </c>
      <c r="AG303" s="921">
        <f t="shared" si="124"/>
        <v>0</v>
      </c>
      <c r="AH303" s="176">
        <f t="shared" si="119"/>
        <v>6</v>
      </c>
      <c r="AI303" s="225">
        <f t="shared" si="120"/>
        <v>0.49761517271239886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092">
        <v>21.772000000000002</v>
      </c>
      <c r="C304" s="955"/>
      <c r="D304" s="393">
        <f t="shared" si="102"/>
        <v>22.55246681512493</v>
      </c>
      <c r="E304" s="385">
        <f t="shared" si="125"/>
        <v>24.837481137075017</v>
      </c>
      <c r="F304" s="385">
        <f t="shared" si="103"/>
        <v>24.858240119470498</v>
      </c>
      <c r="G304" s="110">
        <f t="shared" si="126"/>
        <v>0.59596957272069373</v>
      </c>
      <c r="H304" s="414" t="b">
        <f>Wh_hp&gt;='2021'!Maxi_hp</f>
        <v>0</v>
      </c>
      <c r="I304" s="380">
        <f>IF(H304,Wh_hp,'2021'!Maxi_hp)</f>
        <v>39.909622414686694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3.4606716042322461E-2</v>
      </c>
      <c r="M304" s="959"/>
      <c r="N304" s="959"/>
      <c r="O304" s="48">
        <f>IF(t&lt;Tnet,'2021'!Resal+('2021'!Salim-'2021'!Resal)*(1-EXP(('2021'!Tnet-t)/('2021'!Tau_j))),Resal+(Salim-Resal)*(1-EXP((Tnet-t)/(Tau_j))))*Salcycl</f>
        <v>9.1998633409699326E-2</v>
      </c>
      <c r="P304" s="339">
        <f>(INDEX(Models!$BJ304:$BT304,,T304)*(1-R304)+INDEX(Models!$BJ304:$BT304,,T304+1)*R304-ERP_i)*Q304*Ramure*Pc/MaxiM</f>
        <v>1.9705744748832422E-3</v>
      </c>
      <c r="Q304" s="305">
        <f t="shared" si="105"/>
        <v>0.7</v>
      </c>
      <c r="R304" s="177">
        <f t="shared" si="106"/>
        <v>0.4977188552776437</v>
      </c>
      <c r="S304" s="921">
        <f t="shared" si="107"/>
        <v>0</v>
      </c>
      <c r="T304" s="176">
        <f t="shared" si="108"/>
        <v>6</v>
      </c>
      <c r="U304" s="251">
        <f t="shared" si="109"/>
        <v>0.4977188552776437</v>
      </c>
      <c r="V304" s="383">
        <f t="shared" si="110"/>
        <v>36.490550299348918</v>
      </c>
      <c r="W304" s="402">
        <f t="shared" si="111"/>
        <v>0</v>
      </c>
      <c r="X304" s="157">
        <f t="shared" si="112"/>
        <v>44851</v>
      </c>
      <c r="Y304" s="385">
        <f t="shared" si="113"/>
        <v>20.619363818751754</v>
      </c>
      <c r="Z304" s="385">
        <f t="shared" si="114"/>
        <v>21.358511770686505</v>
      </c>
      <c r="AA304" s="386">
        <f t="shared" si="115"/>
        <v>24.837481137075017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0.1400693309916777</v>
      </c>
      <c r="AD304" s="231">
        <f>(INDEX(Models!$BJ304:$BT304,,AH304)*(1-AF304)+INDEX(Models!$BJ304:$BT304,,AH304+1)*AF304-ERP_i)*AE304*Ramure*Pc/MaxiM</f>
        <v>1.9705744748832422E-3</v>
      </c>
      <c r="AE304" s="305">
        <f t="shared" si="117"/>
        <v>0.7</v>
      </c>
      <c r="AF304" s="177">
        <f t="shared" si="118"/>
        <v>0.4977188552776437</v>
      </c>
      <c r="AG304" s="921">
        <f t="shared" si="124"/>
        <v>0</v>
      </c>
      <c r="AH304" s="176">
        <f t="shared" si="119"/>
        <v>6</v>
      </c>
      <c r="AI304" s="225">
        <f t="shared" si="120"/>
        <v>0.4977188552776437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092">
        <v>33.317999999999998</v>
      </c>
      <c r="C305" s="955"/>
      <c r="D305" s="393">
        <f t="shared" si="102"/>
        <v>34.513115348286192</v>
      </c>
      <c r="E305" s="385">
        <f t="shared" si="125"/>
        <v>38.015204486213406</v>
      </c>
      <c r="F305" s="385">
        <f t="shared" si="103"/>
        <v>38.081411038471764</v>
      </c>
      <c r="G305" s="110">
        <f t="shared" si="126"/>
        <v>0.91907840024585974</v>
      </c>
      <c r="H305" s="414" t="b">
        <f>Wh_hp&gt;='2021'!Maxi_hp</f>
        <v>0</v>
      </c>
      <c r="I305" s="380">
        <f>IF(H305,Wh_hp,'2021'!Maxi_hp)</f>
        <v>40.636688636439388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3.4627860632857721E-2</v>
      </c>
      <c r="M305" s="959"/>
      <c r="N305" s="959"/>
      <c r="O305" s="48">
        <f>IF(t&lt;Tnet,'2021'!Resal+('2021'!Salim-'2021'!Resal)*(1-EXP(('2021'!Tnet-t)/('2021'!Tau_j))),Resal+(Salim-Resal)*(1-EXP((Tnet-t)/(Tau_j))))*Salcycl</f>
        <v>9.2123380243746417E-2</v>
      </c>
      <c r="P305" s="339">
        <f>(INDEX(Models!$BJ305:$BT305,,T305)*(1-R305)+INDEX(Models!$BJ305:$BT305,,T305+1)*R305-ERP_i)*Q305*Ramure*Pc/MaxiM</f>
        <v>1.9651421569315103E-3</v>
      </c>
      <c r="Q305" s="305">
        <f t="shared" si="105"/>
        <v>0.7</v>
      </c>
      <c r="R305" s="177">
        <f t="shared" si="106"/>
        <v>0.49781840386808418</v>
      </c>
      <c r="S305" s="921">
        <f t="shared" si="107"/>
        <v>0</v>
      </c>
      <c r="T305" s="176">
        <f t="shared" si="108"/>
        <v>6</v>
      </c>
      <c r="U305" s="251">
        <f t="shared" si="109"/>
        <v>0.49781840386808418</v>
      </c>
      <c r="V305" s="383">
        <f t="shared" si="110"/>
        <v>36.243303450767641</v>
      </c>
      <c r="W305" s="402">
        <f t="shared" si="111"/>
        <v>0</v>
      </c>
      <c r="X305" s="157">
        <f t="shared" si="112"/>
        <v>44852</v>
      </c>
      <c r="Y305" s="385">
        <f t="shared" si="113"/>
        <v>31.556531648713893</v>
      </c>
      <c r="Z305" s="385">
        <f t="shared" si="114"/>
        <v>32.688463196587627</v>
      </c>
      <c r="AA305" s="386">
        <f t="shared" si="115"/>
        <v>38.015204486213406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0.14012133728118115</v>
      </c>
      <c r="AD305" s="231">
        <f>(INDEX(Models!$BJ305:$BT305,,AH305)*(1-AF305)+INDEX(Models!$BJ305:$BT305,,AH305+1)*AF305-ERP_i)*AE305*Ramure*Pc/MaxiM</f>
        <v>1.9651421569315103E-3</v>
      </c>
      <c r="AE305" s="305">
        <f t="shared" si="117"/>
        <v>0.7</v>
      </c>
      <c r="AF305" s="177">
        <f t="shared" si="118"/>
        <v>0.49781840386808418</v>
      </c>
      <c r="AG305" s="921">
        <f t="shared" si="124"/>
        <v>0</v>
      </c>
      <c r="AH305" s="176">
        <f t="shared" si="119"/>
        <v>6</v>
      </c>
      <c r="AI305" s="225">
        <f t="shared" si="120"/>
        <v>0.49781840386808418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092">
        <v>14.184000000000001</v>
      </c>
      <c r="C306" s="955"/>
      <c r="D306" s="393">
        <f t="shared" si="102"/>
        <v>14.693101338210829</v>
      </c>
      <c r="E306" s="385">
        <f t="shared" si="125"/>
        <v>16.186226809693558</v>
      </c>
      <c r="F306" s="385">
        <f t="shared" si="103"/>
        <v>16.190487516895367</v>
      </c>
      <c r="G306" s="110">
        <f t="shared" si="126"/>
        <v>0.39339532812083822</v>
      </c>
      <c r="H306" s="414" t="b">
        <f>Wh_hp&gt;='2021'!Maxi_hp</f>
        <v>0</v>
      </c>
      <c r="I306" s="380">
        <f>IF(H306,Wh_hp,'2021'!Maxi_hp)</f>
        <v>39.555235344496339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3.4649004760272106E-2</v>
      </c>
      <c r="M306" s="959"/>
      <c r="N306" s="959"/>
      <c r="O306" s="48">
        <f>IF(t&lt;Tnet,'2021'!Resal+('2021'!Salim-'2021'!Resal)*(1-EXP(('2021'!Tnet-t)/('2021'!Tau_j))),Resal+(Salim-Resal)*(1-EXP((Tnet-t)/(Tau_j))))*Salcycl</f>
        <v>9.2246666813573353E-2</v>
      </c>
      <c r="P306" s="339">
        <f>(INDEX(Models!$BJ306:$BT306,,T306)*(1-R306)+INDEX(Models!$BJ306:$BT306,,T306+1)*R306-ERP_i)*Q306*Ramure*Pc/MaxiM</f>
        <v>1.958387047930687E-3</v>
      </c>
      <c r="Q306" s="305">
        <f t="shared" si="105"/>
        <v>0.7</v>
      </c>
      <c r="R306" s="177">
        <f t="shared" si="106"/>
        <v>0.49791398174951429</v>
      </c>
      <c r="S306" s="921">
        <f t="shared" si="107"/>
        <v>0</v>
      </c>
      <c r="T306" s="176">
        <f t="shared" si="108"/>
        <v>6</v>
      </c>
      <c r="U306" s="251">
        <f t="shared" si="109"/>
        <v>0.49791398174951429</v>
      </c>
      <c r="V306" s="383">
        <f t="shared" si="110"/>
        <v>35.994196102955449</v>
      </c>
      <c r="W306" s="402">
        <f t="shared" si="111"/>
        <v>0</v>
      </c>
      <c r="X306" s="157">
        <f t="shared" si="112"/>
        <v>44853</v>
      </c>
      <c r="Y306" s="385">
        <f t="shared" si="113"/>
        <v>13.435157108058091</v>
      </c>
      <c r="Z306" s="385">
        <f t="shared" si="114"/>
        <v>13.917380490939159</v>
      </c>
      <c r="AA306" s="386">
        <f t="shared" si="115"/>
        <v>16.186226809693558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0.14017141520565127</v>
      </c>
      <c r="AD306" s="231">
        <f>(INDEX(Models!$BJ306:$BT306,,AH306)*(1-AF306)+INDEX(Models!$BJ306:$BT306,,AH306+1)*AF306-ERP_i)*AE306*Ramure*Pc/MaxiM</f>
        <v>1.958387047930687E-3</v>
      </c>
      <c r="AE306" s="305">
        <f t="shared" si="117"/>
        <v>0.7</v>
      </c>
      <c r="AF306" s="177">
        <f t="shared" si="118"/>
        <v>0.49791398174951429</v>
      </c>
      <c r="AG306" s="921">
        <f t="shared" si="124"/>
        <v>0</v>
      </c>
      <c r="AH306" s="176">
        <f t="shared" si="119"/>
        <v>6</v>
      </c>
      <c r="AI306" s="225">
        <f t="shared" si="120"/>
        <v>0.49791398174951429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092">
        <v>8.1349999999999998</v>
      </c>
      <c r="C307" s="955"/>
      <c r="D307" s="393">
        <f t="shared" si="102"/>
        <v>8.4271712790437707</v>
      </c>
      <c r="E307" s="385">
        <f t="shared" si="125"/>
        <v>9.2847941223801946</v>
      </c>
      <c r="F307" s="385">
        <f t="shared" si="103"/>
        <v>9.2847941223801946</v>
      </c>
      <c r="G307" s="110">
        <f t="shared" si="126"/>
        <v>0.22715229408431112</v>
      </c>
      <c r="H307" s="414" t="b">
        <f>Wh_hp&gt;='2021'!Maxi_hp</f>
        <v>0</v>
      </c>
      <c r="I307" s="380">
        <f>IF(H307,Wh_hp,'2021'!Maxi_hp)</f>
        <v>32.753589060137877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3.4670148424575942E-2</v>
      </c>
      <c r="M307" s="959"/>
      <c r="N307" s="959"/>
      <c r="O307" s="48">
        <f>IF(t&lt;Tnet,'2021'!Resal+('2021'!Salim-'2021'!Resal)*(1-EXP(('2021'!Tnet-t)/('2021'!Tau_j))),Resal+(Salim-Resal)*(1-EXP((Tnet-t)/(Tau_j))))*Salcycl</f>
        <v>9.2368536343654439E-2</v>
      </c>
      <c r="P307" s="339">
        <f>(INDEX(Models!$BJ307:$BT307,,T307)*(1-R307)+INDEX(Models!$BJ307:$BT307,,T307+1)*R307-ERP_i)*Q307*Ramure*Pc/MaxiM</f>
        <v>1.9503172437918108E-3</v>
      </c>
      <c r="Q307" s="305">
        <f t="shared" si="105"/>
        <v>0.7</v>
      </c>
      <c r="R307" s="177">
        <f t="shared" si="106"/>
        <v>0.49800574586250768</v>
      </c>
      <c r="S307" s="921">
        <f t="shared" si="107"/>
        <v>0</v>
      </c>
      <c r="T307" s="176">
        <f t="shared" si="108"/>
        <v>6</v>
      </c>
      <c r="U307" s="251">
        <f t="shared" si="109"/>
        <v>0.49800574586250768</v>
      </c>
      <c r="V307" s="383">
        <f t="shared" si="110"/>
        <v>35.743130845106982</v>
      </c>
      <c r="W307" s="402">
        <f t="shared" si="111"/>
        <v>0</v>
      </c>
      <c r="X307" s="157">
        <f t="shared" si="112"/>
        <v>44854</v>
      </c>
      <c r="Y307" s="385">
        <f t="shared" si="113"/>
        <v>7.7061159188632287</v>
      </c>
      <c r="Z307" s="385">
        <f t="shared" si="114"/>
        <v>7.982883680937455</v>
      </c>
      <c r="AA307" s="386">
        <f t="shared" si="115"/>
        <v>9.2847941223801946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0.14021963484409386</v>
      </c>
      <c r="AD307" s="231">
        <f>(INDEX(Models!$BJ307:$BT307,,AH307)*(1-AF307)+INDEX(Models!$BJ307:$BT307,,AH307+1)*AF307-ERP_i)*AE307*Ramure*Pc/MaxiM</f>
        <v>1.9503172437918108E-3</v>
      </c>
      <c r="AE307" s="305">
        <f t="shared" si="117"/>
        <v>0.7</v>
      </c>
      <c r="AF307" s="177">
        <f t="shared" si="118"/>
        <v>0.49800574586250768</v>
      </c>
      <c r="AG307" s="921">
        <f t="shared" si="124"/>
        <v>0</v>
      </c>
      <c r="AH307" s="176">
        <f t="shared" si="119"/>
        <v>6</v>
      </c>
      <c r="AI307" s="225">
        <f t="shared" si="120"/>
        <v>0.49800574586250768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092">
        <v>14.868</v>
      </c>
      <c r="C308" s="955"/>
      <c r="D308" s="393">
        <f t="shared" si="102"/>
        <v>15.40232660393252</v>
      </c>
      <c r="E308" s="385">
        <f t="shared" si="125"/>
        <v>16.972055692748125</v>
      </c>
      <c r="F308" s="385">
        <f t="shared" si="103"/>
        <v>16.977654573145898</v>
      </c>
      <c r="G308" s="110">
        <f t="shared" si="126"/>
        <v>0.41825959723571871</v>
      </c>
      <c r="H308" s="414" t="b">
        <f>Wh_hp&gt;='2021'!Maxi_hp</f>
        <v>0</v>
      </c>
      <c r="I308" s="380">
        <f>IF(H308,Wh_hp,'2021'!Maxi_hp)</f>
        <v>25.301063614108177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3.4691291625779219E-2</v>
      </c>
      <c r="M308" s="959"/>
      <c r="N308" s="959"/>
      <c r="O308" s="48">
        <f>IF(t&lt;Tnet,'2021'!Resal+('2021'!Salim-'2021'!Resal)*(1-EXP(('2021'!Tnet-t)/('2021'!Tau_j))),Resal+(Salim-Resal)*(1-EXP((Tnet-t)/(Tau_j))))*Salcycl</f>
        <v>9.2489037110944861E-2</v>
      </c>
      <c r="P308" s="339">
        <f>(INDEX(Models!$BJ308:$BT308,,T308)*(1-R308)+INDEX(Models!$BJ308:$BT308,,T308+1)*R308-ERP_i)*Q308*Ramure*Pc/MaxiM</f>
        <v>1.9409422750607779E-3</v>
      </c>
      <c r="Q308" s="305">
        <f t="shared" si="105"/>
        <v>0.7</v>
      </c>
      <c r="R308" s="177">
        <f t="shared" si="106"/>
        <v>0.49809384705779297</v>
      </c>
      <c r="S308" s="921">
        <f t="shared" si="107"/>
        <v>0</v>
      </c>
      <c r="T308" s="176">
        <f t="shared" si="108"/>
        <v>6</v>
      </c>
      <c r="U308" s="251">
        <f t="shared" si="109"/>
        <v>0.49809384705779297</v>
      </c>
      <c r="V308" s="383">
        <f t="shared" si="110"/>
        <v>35.49001009369379</v>
      </c>
      <c r="W308" s="402">
        <f t="shared" si="111"/>
        <v>0</v>
      </c>
      <c r="X308" s="157">
        <f t="shared" si="112"/>
        <v>44855</v>
      </c>
      <c r="Y308" s="385">
        <f t="shared" si="113"/>
        <v>14.085255759808792</v>
      </c>
      <c r="Z308" s="385">
        <f t="shared" si="114"/>
        <v>14.591452079129455</v>
      </c>
      <c r="AA308" s="386">
        <f t="shared" si="115"/>
        <v>16.972055692748125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0.14026607363985161</v>
      </c>
      <c r="AD308" s="231">
        <f>(INDEX(Models!$BJ308:$BT308,,AH308)*(1-AF308)+INDEX(Models!$BJ308:$BT308,,AH308+1)*AF308-ERP_i)*AE308*Ramure*Pc/MaxiM</f>
        <v>1.9409422750607779E-3</v>
      </c>
      <c r="AE308" s="305">
        <f t="shared" si="117"/>
        <v>0.7</v>
      </c>
      <c r="AF308" s="177">
        <f t="shared" si="118"/>
        <v>0.49809384705779297</v>
      </c>
      <c r="AG308" s="921">
        <f t="shared" si="124"/>
        <v>0</v>
      </c>
      <c r="AH308" s="176">
        <f t="shared" si="119"/>
        <v>6</v>
      </c>
      <c r="AI308" s="225">
        <f t="shared" si="120"/>
        <v>0.49809384705779297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092">
        <v>32.072000000000003</v>
      </c>
      <c r="C309" s="955"/>
      <c r="D309" s="393">
        <f t="shared" si="102"/>
        <v>33.225332161888055</v>
      </c>
      <c r="E309" s="385">
        <f t="shared" si="125"/>
        <v>36.616302882063259</v>
      </c>
      <c r="F309" s="385">
        <f t="shared" si="103"/>
        <v>36.678022887150242</v>
      </c>
      <c r="G309" s="110">
        <f t="shared" si="126"/>
        <v>0.91001243829852452</v>
      </c>
      <c r="H309" s="414" t="b">
        <f>Wh_hp&gt;='2021'!Maxi_hp</f>
        <v>1</v>
      </c>
      <c r="I309" s="380">
        <f>IF(H309,Wh_hp,'2021'!Maxi_hp)</f>
        <v>36.678022887150242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3.4712434363892042E-2</v>
      </c>
      <c r="M309" s="959"/>
      <c r="N309" s="959"/>
      <c r="O309" s="48">
        <f>IF(t&lt;Tnet,'2021'!Resal+('2021'!Salim-'2021'!Resal)*(1-EXP(('2021'!Tnet-t)/('2021'!Tau_j))),Resal+(Salim-Resal)*(1-EXP((Tnet-t)/(Tau_j))))*Salcycl</f>
        <v>9.2608222383813901E-2</v>
      </c>
      <c r="P309" s="339">
        <f>(INDEX(Models!$BJ309:$BT309,,T309)*(1-R309)+INDEX(Models!$BJ309:$BT309,,T309+1)*R309-ERP_i)*Q309*Ramure*Pc/MaxiM</f>
        <v>1.9302730251168042E-3</v>
      </c>
      <c r="Q309" s="305">
        <f t="shared" si="105"/>
        <v>0.7</v>
      </c>
      <c r="R309" s="177">
        <f t="shared" si="106"/>
        <v>0.4981784303236389</v>
      </c>
      <c r="S309" s="921">
        <f t="shared" si="107"/>
        <v>0</v>
      </c>
      <c r="T309" s="176">
        <f t="shared" si="108"/>
        <v>6</v>
      </c>
      <c r="U309" s="251">
        <f t="shared" si="109"/>
        <v>0.4981784303236389</v>
      </c>
      <c r="V309" s="383">
        <f t="shared" si="110"/>
        <v>35.234736103958753</v>
      </c>
      <c r="W309" s="402">
        <f t="shared" si="111"/>
        <v>0</v>
      </c>
      <c r="X309" s="157">
        <f t="shared" si="112"/>
        <v>44856</v>
      </c>
      <c r="Y309" s="385">
        <f t="shared" si="113"/>
        <v>30.385939326976956</v>
      </c>
      <c r="Z309" s="385">
        <f t="shared" si="114"/>
        <v>31.478639535725442</v>
      </c>
      <c r="AA309" s="386">
        <f t="shared" si="115"/>
        <v>36.616302882063259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0.1403108162745326</v>
      </c>
      <c r="AD309" s="231">
        <f>(INDEX(Models!$BJ309:$BT309,,AH309)*(1-AF309)+INDEX(Models!$BJ309:$BT309,,AH309+1)*AF309-ERP_i)*AE309*Ramure*Pc/MaxiM</f>
        <v>1.9302730251168042E-3</v>
      </c>
      <c r="AE309" s="305">
        <f t="shared" si="117"/>
        <v>0.7</v>
      </c>
      <c r="AF309" s="177">
        <f t="shared" si="118"/>
        <v>0.4981784303236389</v>
      </c>
      <c r="AG309" s="921">
        <f t="shared" si="124"/>
        <v>0</v>
      </c>
      <c r="AH309" s="176">
        <f t="shared" si="119"/>
        <v>6</v>
      </c>
      <c r="AI309" s="225">
        <f t="shared" si="120"/>
        <v>0.4981784303236389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092">
        <v>18.266999999999999</v>
      </c>
      <c r="C310" s="955"/>
      <c r="D310" s="393">
        <f t="shared" si="102"/>
        <v>18.924308934722884</v>
      </c>
      <c r="E310" s="385">
        <f t="shared" si="125"/>
        <v>20.85843093744483</v>
      </c>
      <c r="F310" s="385">
        <f t="shared" si="103"/>
        <v>20.871144861052507</v>
      </c>
      <c r="G310" s="110">
        <f t="shared" si="126"/>
        <v>0.5215702025341552</v>
      </c>
      <c r="H310" s="414" t="b">
        <f>Wh_hp&gt;='2021'!Maxi_hp</f>
        <v>0</v>
      </c>
      <c r="I310" s="380">
        <f>IF(H310,Wh_hp,'2021'!Maxi_hp)</f>
        <v>40.417600881584974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3.4733576638924735E-2</v>
      </c>
      <c r="M310" s="959"/>
      <c r="N310" s="959"/>
      <c r="O310" s="48">
        <f>IF(t&lt;Tnet,'2021'!Resal+('2021'!Salim-'2021'!Resal)*(1-EXP(('2021'!Tnet-t)/('2021'!Tau_j))),Resal+(Salim-Resal)*(1-EXP((Tnet-t)/(Tau_j))))*Salcycl</f>
        <v>9.2726150328490381E-2</v>
      </c>
      <c r="P310" s="339">
        <f>(INDEX(Models!$BJ310:$BT310,,T310)*(1-R310)+INDEX(Models!$BJ310:$BT310,,T310+1)*R310-ERP_i)*Q310*Ramure*Pc/MaxiM</f>
        <v>1.9185841831268343E-3</v>
      </c>
      <c r="Q310" s="305">
        <f t="shared" si="105"/>
        <v>0.7</v>
      </c>
      <c r="R310" s="177">
        <f t="shared" si="106"/>
        <v>0.49825963500546067</v>
      </c>
      <c r="S310" s="921">
        <f t="shared" si="107"/>
        <v>0</v>
      </c>
      <c r="T310" s="176">
        <f t="shared" si="108"/>
        <v>6</v>
      </c>
      <c r="U310" s="251">
        <f t="shared" si="109"/>
        <v>0.49825963500546067</v>
      </c>
      <c r="V310" s="383">
        <f t="shared" si="110"/>
        <v>34.977201784406383</v>
      </c>
      <c r="W310" s="402">
        <f t="shared" si="111"/>
        <v>0</v>
      </c>
      <c r="X310" s="157">
        <f t="shared" si="112"/>
        <v>44857</v>
      </c>
      <c r="Y310" s="385">
        <f t="shared" si="113"/>
        <v>17.308064504391549</v>
      </c>
      <c r="Z310" s="385">
        <f t="shared" si="114"/>
        <v>17.930867670839056</v>
      </c>
      <c r="AA310" s="386">
        <f t="shared" si="115"/>
        <v>20.85843093744483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0.14035395449377944</v>
      </c>
      <c r="AD310" s="231">
        <f>(INDEX(Models!$BJ310:$BT310,,AH310)*(1-AF310)+INDEX(Models!$BJ310:$BT310,,AH310+1)*AF310-ERP_i)*AE310*Ramure*Pc/MaxiM</f>
        <v>1.9185841831268343E-3</v>
      </c>
      <c r="AE310" s="305">
        <f t="shared" si="117"/>
        <v>0.7</v>
      </c>
      <c r="AF310" s="177">
        <f t="shared" si="118"/>
        <v>0.49825963500546067</v>
      </c>
      <c r="AG310" s="921">
        <f t="shared" si="124"/>
        <v>0</v>
      </c>
      <c r="AH310" s="176">
        <f t="shared" si="119"/>
        <v>6</v>
      </c>
      <c r="AI310" s="225">
        <f t="shared" si="120"/>
        <v>0.49825963500546067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092">
        <v>24.368000000000002</v>
      </c>
      <c r="C311" s="955"/>
      <c r="D311" s="393">
        <f t="shared" si="102"/>
        <v>25.245396652850804</v>
      </c>
      <c r="E311" s="385">
        <f t="shared" si="125"/>
        <v>27.829133679629905</v>
      </c>
      <c r="F311" s="385">
        <f t="shared" si="103"/>
        <v>27.859634847444756</v>
      </c>
      <c r="G311" s="110">
        <f t="shared" si="126"/>
        <v>0.70132779822770219</v>
      </c>
      <c r="H311" s="414" t="b">
        <f>Wh_hp&gt;='2021'!Maxi_hp</f>
        <v>0</v>
      </c>
      <c r="I311" s="380">
        <f>IF(H311,Wh_hp,'2021'!Maxi_hp)</f>
        <v>41.588960428568228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3.475471845088729E-2</v>
      </c>
      <c r="M311" s="959"/>
      <c r="N311" s="959"/>
      <c r="O311" s="48">
        <f>IF(t&lt;Tnet,'2021'!Resal+('2021'!Salim-'2021'!Resal)*(1-EXP(('2021'!Tnet-t)/('2021'!Tau_j))),Resal+(Salim-Resal)*(1-EXP((Tnet-t)/(Tau_j))))*Salcycl</f>
        <v>9.2842883882882726E-2</v>
      </c>
      <c r="P311" s="339">
        <f>(INDEX(Models!$BJ311:$BT311,,T311)*(1-R311)+INDEX(Models!$BJ311:$BT311,,T311+1)*R311-ERP_i)*Q311*Ramure*Pc/MaxiM</f>
        <v>1.9068775344816421E-3</v>
      </c>
      <c r="Q311" s="305">
        <f t="shared" si="105"/>
        <v>0.7</v>
      </c>
      <c r="R311" s="177">
        <f t="shared" si="106"/>
        <v>0.49833759501785335</v>
      </c>
      <c r="S311" s="921">
        <f t="shared" si="107"/>
        <v>0</v>
      </c>
      <c r="T311" s="176">
        <f t="shared" si="108"/>
        <v>6</v>
      </c>
      <c r="U311" s="251">
        <f t="shared" si="109"/>
        <v>0.49833759501785335</v>
      </c>
      <c r="V311" s="383">
        <f t="shared" si="110"/>
        <v>34.71727493527208</v>
      </c>
      <c r="W311" s="402">
        <f t="shared" si="111"/>
        <v>0</v>
      </c>
      <c r="X311" s="157">
        <f t="shared" si="112"/>
        <v>44858</v>
      </c>
      <c r="Y311" s="385">
        <f t="shared" si="113"/>
        <v>23.090642146362629</v>
      </c>
      <c r="Z311" s="385">
        <f t="shared" si="114"/>
        <v>23.922046124177559</v>
      </c>
      <c r="AA311" s="386">
        <f t="shared" si="115"/>
        <v>27.829133679629905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0.14039558688498505</v>
      </c>
      <c r="AD311" s="231">
        <f>(INDEX(Models!$BJ311:$BT311,,AH311)*(1-AF311)+INDEX(Models!$BJ311:$BT311,,AH311+1)*AF311-ERP_i)*AE311*Ramure*Pc/MaxiM</f>
        <v>1.9068775344816421E-3</v>
      </c>
      <c r="AE311" s="305">
        <f t="shared" si="117"/>
        <v>0.7</v>
      </c>
      <c r="AF311" s="177">
        <f t="shared" si="118"/>
        <v>0.49833759501785335</v>
      </c>
      <c r="AG311" s="921">
        <f t="shared" si="124"/>
        <v>0</v>
      </c>
      <c r="AH311" s="176">
        <f t="shared" si="119"/>
        <v>6</v>
      </c>
      <c r="AI311" s="225">
        <f t="shared" si="120"/>
        <v>0.49833759501785335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092">
        <v>21.52</v>
      </c>
      <c r="C312" s="955"/>
      <c r="D312" s="393">
        <f t="shared" si="102"/>
        <v>22.295339604266683</v>
      </c>
      <c r="E312" s="385">
        <f t="shared" si="125"/>
        <v>24.580285877945386</v>
      </c>
      <c r="F312" s="385">
        <f t="shared" si="103"/>
        <v>24.601905684504693</v>
      </c>
      <c r="G312" s="110">
        <f t="shared" si="126"/>
        <v>0.62394998034438498</v>
      </c>
      <c r="H312" s="414" t="b">
        <f>Wh_hp&gt;='2021'!Maxi_hp</f>
        <v>0</v>
      </c>
      <c r="I312" s="380">
        <f>IF(H312,Wh_hp,'2021'!Maxi_hp)</f>
        <v>39.380465592356508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3.4775859799789921E-2</v>
      </c>
      <c r="M312" s="959"/>
      <c r="N312" s="959"/>
      <c r="O312" s="48">
        <f>IF(t&lt;Tnet,'2021'!Resal+('2021'!Salim-'2021'!Resal)*(1-EXP(('2021'!Tnet-t)/('2021'!Tau_j))),Resal+(Salim-Resal)*(1-EXP((Tnet-t)/(Tau_j))))*Salcycl</f>
        <v>9.2958490597900928E-2</v>
      </c>
      <c r="P312" s="339">
        <f>(INDEX(Models!$BJ312:$BT312,,T312)*(1-R312)+INDEX(Models!$BJ312:$BT312,,T312+1)*R312-ERP_i)*Q312*Ramure*Pc/MaxiM</f>
        <v>1.8951873808075376E-3</v>
      </c>
      <c r="Q312" s="305">
        <f t="shared" si="105"/>
        <v>0.7</v>
      </c>
      <c r="R312" s="177">
        <f t="shared" si="106"/>
        <v>0.49841243904926158</v>
      </c>
      <c r="S312" s="921">
        <f t="shared" si="107"/>
        <v>0</v>
      </c>
      <c r="T312" s="176">
        <f t="shared" si="108"/>
        <v>6</v>
      </c>
      <c r="U312" s="251">
        <f t="shared" si="109"/>
        <v>0.49841243904926158</v>
      </c>
      <c r="V312" s="383">
        <f t="shared" si="110"/>
        <v>34.454857725296819</v>
      </c>
      <c r="W312" s="402">
        <f t="shared" si="111"/>
        <v>0</v>
      </c>
      <c r="X312" s="157">
        <f t="shared" si="112"/>
        <v>44859</v>
      </c>
      <c r="Y312" s="385">
        <f t="shared" si="113"/>
        <v>20.393577352111322</v>
      </c>
      <c r="Z312" s="385">
        <f t="shared" si="114"/>
        <v>21.128333309070801</v>
      </c>
      <c r="AA312" s="386">
        <f t="shared" si="115"/>
        <v>24.580285877945386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0.14043581860745744</v>
      </c>
      <c r="AD312" s="231">
        <f>(INDEX(Models!$BJ312:$BT312,,AH312)*(1-AF312)+INDEX(Models!$BJ312:$BT312,,AH312+1)*AF312-ERP_i)*AE312*Ramure*Pc/MaxiM</f>
        <v>1.8951873808075376E-3</v>
      </c>
      <c r="AE312" s="305">
        <f t="shared" si="117"/>
        <v>0.7</v>
      </c>
      <c r="AF312" s="177">
        <f t="shared" si="118"/>
        <v>0.49841243904926158</v>
      </c>
      <c r="AG312" s="921">
        <f t="shared" si="124"/>
        <v>0</v>
      </c>
      <c r="AH312" s="176">
        <f t="shared" si="119"/>
        <v>6</v>
      </c>
      <c r="AI312" s="225">
        <f t="shared" si="120"/>
        <v>0.49841243904926158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092">
        <v>12.029</v>
      </c>
      <c r="C313" s="955"/>
      <c r="D313" s="393">
        <f t="shared" si="102"/>
        <v>12.462663303517431</v>
      </c>
      <c r="E313" s="385">
        <f t="shared" si="125"/>
        <v>13.741639499986675</v>
      </c>
      <c r="F313" s="385">
        <f t="shared" si="103"/>
        <v>13.743556188804734</v>
      </c>
      <c r="G313" s="110">
        <f t="shared" si="126"/>
        <v>0.351215832842252</v>
      </c>
      <c r="H313" s="414" t="b">
        <f>Wh_hp&gt;='2021'!Maxi_hp</f>
        <v>0</v>
      </c>
      <c r="I313" s="380">
        <f>IF(H313,Wh_hp,'2021'!Maxi_hp)</f>
        <v>38.95254653773808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3.4797000685642732E-2</v>
      </c>
      <c r="M313" s="959"/>
      <c r="N313" s="959"/>
      <c r="O313" s="48">
        <f>IF(t&lt;Tnet,'2021'!Resal+('2021'!Salim-'2021'!Resal)*(1-EXP(('2021'!Tnet-t)/('2021'!Tau_j))),Resal+(Salim-Resal)*(1-EXP((Tnet-t)/(Tau_j))))*Salcycl</f>
        <v>9.307304244668077E-2</v>
      </c>
      <c r="P313" s="339">
        <f>(INDEX(Models!$BJ313:$BT313,,T313)*(1-R313)+INDEX(Models!$BJ313:$BT313,,T313+1)*R313-ERP_i)*Q313*Ramure*Pc/MaxiM</f>
        <v>1.8835329357050682E-3</v>
      </c>
      <c r="Q313" s="305">
        <f t="shared" si="105"/>
        <v>0.7</v>
      </c>
      <c r="R313" s="177">
        <f t="shared" si="106"/>
        <v>0.49848429075949108</v>
      </c>
      <c r="S313" s="921">
        <f t="shared" si="107"/>
        <v>0</v>
      </c>
      <c r="T313" s="176">
        <f t="shared" si="108"/>
        <v>6</v>
      </c>
      <c r="U313" s="251">
        <f t="shared" si="109"/>
        <v>0.49848429075949108</v>
      </c>
      <c r="V313" s="383">
        <f t="shared" si="110"/>
        <v>34.189852815506924</v>
      </c>
      <c r="W313" s="402">
        <f t="shared" si="111"/>
        <v>0</v>
      </c>
      <c r="X313" s="157">
        <f t="shared" si="112"/>
        <v>44860</v>
      </c>
      <c r="Y313" s="385">
        <f t="shared" si="113"/>
        <v>11.40028864828364</v>
      </c>
      <c r="Z313" s="385">
        <f t="shared" si="114"/>
        <v>11.811285974434355</v>
      </c>
      <c r="AA313" s="386">
        <f t="shared" si="115"/>
        <v>13.741639499986675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0.14047476107593951</v>
      </c>
      <c r="AD313" s="231">
        <f>(INDEX(Models!$BJ313:$BT313,,AH313)*(1-AF313)+INDEX(Models!$BJ313:$BT313,,AH313+1)*AF313-ERP_i)*AE313*Ramure*Pc/MaxiM</f>
        <v>1.8835329357050682E-3</v>
      </c>
      <c r="AE313" s="305">
        <f t="shared" si="117"/>
        <v>0.7</v>
      </c>
      <c r="AF313" s="177">
        <f t="shared" si="118"/>
        <v>0.49848429075949108</v>
      </c>
      <c r="AG313" s="921">
        <f t="shared" si="124"/>
        <v>0</v>
      </c>
      <c r="AH313" s="176">
        <f t="shared" si="119"/>
        <v>6</v>
      </c>
      <c r="AI313" s="225">
        <f t="shared" si="120"/>
        <v>0.49848429075949108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092">
        <v>13.179</v>
      </c>
      <c r="C314" s="955"/>
      <c r="D314" s="393">
        <f t="shared" si="102"/>
        <v>13.654421577230352</v>
      </c>
      <c r="E314" s="385">
        <f t="shared" si="125"/>
        <v>15.057587164199994</v>
      </c>
      <c r="F314" s="385">
        <f t="shared" si="103"/>
        <v>15.061151911061964</v>
      </c>
      <c r="G314" s="110">
        <f t="shared" si="126"/>
        <v>0.38787161114230034</v>
      </c>
      <c r="H314" s="414" t="b">
        <f>Wh_hp&gt;='2021'!Maxi_hp</f>
        <v>0</v>
      </c>
      <c r="I314" s="380">
        <f>IF(H314,Wh_hp,'2021'!Maxi_hp)</f>
        <v>33.191570367929572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3.4818141108455936E-2</v>
      </c>
      <c r="M314" s="959"/>
      <c r="N314" s="959"/>
      <c r="O314" s="48">
        <f>IF(t&lt;Tnet,'2021'!Resal+('2021'!Salim-'2021'!Resal)*(1-EXP(('2021'!Tnet-t)/('2021'!Tau_j))),Resal+(Salim-Resal)*(1-EXP((Tnet-t)/(Tau_j))))*Salcycl</f>
        <v>9.3186615602380368E-2</v>
      </c>
      <c r="P314" s="339">
        <f>(INDEX(Models!$BJ314:$BT314,,T314)*(1-R314)+INDEX(Models!$BJ314:$BT314,,T314+1)*R314-ERP_i)*Q314*Ramure*Pc/MaxiM</f>
        <v>1.8719342692759486E-3</v>
      </c>
      <c r="Q314" s="305">
        <f t="shared" si="105"/>
        <v>0.7</v>
      </c>
      <c r="R314" s="177">
        <f t="shared" si="106"/>
        <v>0.49855326897026836</v>
      </c>
      <c r="S314" s="921">
        <f t="shared" si="107"/>
        <v>0</v>
      </c>
      <c r="T314" s="176">
        <f t="shared" si="108"/>
        <v>6</v>
      </c>
      <c r="U314" s="251">
        <f t="shared" si="109"/>
        <v>0.49855326897026836</v>
      </c>
      <c r="V314" s="383">
        <f t="shared" si="110"/>
        <v>33.92216281953614</v>
      </c>
      <c r="W314" s="402">
        <f t="shared" si="111"/>
        <v>0</v>
      </c>
      <c r="X314" s="157">
        <f t="shared" si="112"/>
        <v>44861</v>
      </c>
      <c r="Y314" s="385">
        <f t="shared" si="113"/>
        <v>12.491197793230683</v>
      </c>
      <c r="Z314" s="385">
        <f t="shared" si="114"/>
        <v>12.941807471988859</v>
      </c>
      <c r="AA314" s="386">
        <f t="shared" si="115"/>
        <v>15.057587164199994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0.14051253159878654</v>
      </c>
      <c r="AD314" s="231">
        <f>(INDEX(Models!$BJ314:$BT314,,AH314)*(1-AF314)+INDEX(Models!$BJ314:$BT314,,AH314+1)*AF314-ERP_i)*AE314*Ramure*Pc/MaxiM</f>
        <v>1.8719342692759486E-3</v>
      </c>
      <c r="AE314" s="305">
        <f t="shared" si="117"/>
        <v>0.7</v>
      </c>
      <c r="AF314" s="177">
        <f t="shared" si="118"/>
        <v>0.49855326897026836</v>
      </c>
      <c r="AG314" s="921">
        <f t="shared" si="124"/>
        <v>0</v>
      </c>
      <c r="AH314" s="176">
        <f t="shared" si="119"/>
        <v>6</v>
      </c>
      <c r="AI314" s="225">
        <f t="shared" si="120"/>
        <v>0.49855326897026836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092">
        <v>16.600999999999999</v>
      </c>
      <c r="C315" s="955"/>
      <c r="D315" s="393">
        <f t="shared" si="102"/>
        <v>17.200244140037093</v>
      </c>
      <c r="E315" s="385">
        <f t="shared" si="125"/>
        <v>18.970145224167563</v>
      </c>
      <c r="F315" s="385">
        <f t="shared" si="103"/>
        <v>18.979896879189152</v>
      </c>
      <c r="G315" s="110">
        <f t="shared" si="126"/>
        <v>0.49265380288118549</v>
      </c>
      <c r="H315" s="414" t="b">
        <f>Wh_hp&gt;='2021'!Maxi_hp</f>
        <v>0</v>
      </c>
      <c r="I315" s="380">
        <f>IF(H315,Wh_hp,'2021'!Maxi_hp)</f>
        <v>38.41572407667438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3.4839281068239636E-2</v>
      </c>
      <c r="M315" s="959"/>
      <c r="N315" s="959"/>
      <c r="O315" s="48">
        <f>IF(t&lt;Tnet,'2021'!Resal+('2021'!Salim-'2021'!Resal)*(1-EXP(('2021'!Tnet-t)/('2021'!Tau_j))),Resal+(Salim-Resal)*(1-EXP((Tnet-t)/(Tau_j))))*Salcycl</f>
        <v>9.3299290185488673E-2</v>
      </c>
      <c r="P315" s="339">
        <f>(INDEX(Models!$BJ315:$BT315,,T315)*(1-R315)+INDEX(Models!$BJ315:$BT315,,T315+1)*R315-ERP_i)*Q315*Ramure*Pc/MaxiM</f>
        <v>1.8604122768081342E-3</v>
      </c>
      <c r="Q315" s="305">
        <f t="shared" si="105"/>
        <v>0.7</v>
      </c>
      <c r="R315" s="177">
        <f t="shared" si="106"/>
        <v>0.49861948784905047</v>
      </c>
      <c r="S315" s="921">
        <f t="shared" si="107"/>
        <v>0</v>
      </c>
      <c r="T315" s="176">
        <f t="shared" si="108"/>
        <v>6</v>
      </c>
      <c r="U315" s="251">
        <f t="shared" si="109"/>
        <v>0.49861948784905047</v>
      </c>
      <c r="V315" s="383">
        <f t="shared" si="110"/>
        <v>33.651690318659007</v>
      </c>
      <c r="W315" s="402">
        <f t="shared" si="111"/>
        <v>0</v>
      </c>
      <c r="X315" s="157">
        <f t="shared" si="112"/>
        <v>44862</v>
      </c>
      <c r="Y315" s="385">
        <f t="shared" si="113"/>
        <v>15.735889138459347</v>
      </c>
      <c r="Z315" s="385">
        <f t="shared" si="114"/>
        <v>16.303905484131</v>
      </c>
      <c r="AA315" s="386">
        <f t="shared" si="115"/>
        <v>18.970145224167563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0.14054925297249854</v>
      </c>
      <c r="AD315" s="231">
        <f>(INDEX(Models!$BJ315:$BT315,,AH315)*(1-AF315)+INDEX(Models!$BJ315:$BT315,,AH315+1)*AF315-ERP_i)*AE315*Ramure*Pc/MaxiM</f>
        <v>1.8604122768081342E-3</v>
      </c>
      <c r="AE315" s="305">
        <f t="shared" si="117"/>
        <v>0.7</v>
      </c>
      <c r="AF315" s="177">
        <f t="shared" si="118"/>
        <v>0.49861948784905047</v>
      </c>
      <c r="AG315" s="921">
        <f t="shared" si="124"/>
        <v>0</v>
      </c>
      <c r="AH315" s="176">
        <f t="shared" si="119"/>
        <v>6</v>
      </c>
      <c r="AI315" s="225">
        <f t="shared" si="120"/>
        <v>0.49861948784905047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092">
        <v>24.792000000000002</v>
      </c>
      <c r="C316" s="955"/>
      <c r="D316" s="393">
        <f t="shared" si="102"/>
        <v>25.687476224437429</v>
      </c>
      <c r="E316" s="385">
        <f t="shared" si="125"/>
        <v>28.334207092799787</v>
      </c>
      <c r="F316" s="385">
        <f t="shared" si="103"/>
        <v>28.367382868297263</v>
      </c>
      <c r="G316" s="110">
        <f t="shared" si="126"/>
        <v>0.74225189358807142</v>
      </c>
      <c r="H316" s="414" t="b">
        <f>Wh_hp&gt;='2021'!Maxi_hp</f>
        <v>0</v>
      </c>
      <c r="I316" s="380">
        <f>IF(H316,Wh_hp,'2021'!Maxi_hp)</f>
        <v>30.720187323726929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3.4860420565003936E-2</v>
      </c>
      <c r="M316" s="959"/>
      <c r="N316" s="959"/>
      <c r="O316" s="48">
        <f>IF(t&lt;Tnet,'2021'!Resal+('2021'!Salim-'2021'!Resal)*(1-EXP(('2021'!Tnet-t)/('2021'!Tau_j))),Resal+(Salim-Resal)*(1-EXP((Tnet-t)/(Tau_j))))*Salcycl</f>
        <v>9.3411149981851446E-2</v>
      </c>
      <c r="P316" s="339">
        <f>(INDEX(Models!$BJ316:$BT316,,T316)*(1-R316)+INDEX(Models!$BJ316:$BT316,,T316+1)*R316-ERP_i)*Q316*Ramure*Pc/MaxiM</f>
        <v>1.8489886447657629E-3</v>
      </c>
      <c r="Q316" s="305">
        <f t="shared" si="105"/>
        <v>0.7</v>
      </c>
      <c r="R316" s="177">
        <f t="shared" si="106"/>
        <v>0.49868305708628663</v>
      </c>
      <c r="S316" s="921">
        <f t="shared" si="107"/>
        <v>0</v>
      </c>
      <c r="T316" s="176">
        <f t="shared" si="108"/>
        <v>6</v>
      </c>
      <c r="U316" s="251">
        <f t="shared" si="109"/>
        <v>0.49868305708628663</v>
      </c>
      <c r="V316" s="383">
        <f t="shared" si="110"/>
        <v>33.378337883966609</v>
      </c>
      <c r="W316" s="402">
        <f t="shared" si="111"/>
        <v>0</v>
      </c>
      <c r="X316" s="157">
        <f t="shared" si="112"/>
        <v>44863</v>
      </c>
      <c r="Y316" s="385">
        <f t="shared" si="113"/>
        <v>23.501960524594526</v>
      </c>
      <c r="Z316" s="385">
        <f t="shared" si="114"/>
        <v>24.350841085962767</v>
      </c>
      <c r="AA316" s="386">
        <f t="shared" si="115"/>
        <v>28.334207092799787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0.14058505303468555</v>
      </c>
      <c r="AD316" s="231">
        <f>(INDEX(Models!$BJ316:$BT316,,AH316)*(1-AF316)+INDEX(Models!$BJ316:$BT316,,AH316+1)*AF316-ERP_i)*AE316*Ramure*Pc/MaxiM</f>
        <v>1.8489886447657629E-3</v>
      </c>
      <c r="AE316" s="305">
        <f t="shared" si="117"/>
        <v>0.7</v>
      </c>
      <c r="AF316" s="177">
        <f t="shared" si="118"/>
        <v>0.49868305708628663</v>
      </c>
      <c r="AG316" s="921">
        <f t="shared" si="124"/>
        <v>0</v>
      </c>
      <c r="AH316" s="176">
        <f t="shared" si="119"/>
        <v>6</v>
      </c>
      <c r="AI316" s="225">
        <f t="shared" si="120"/>
        <v>0.49868305708628663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092">
        <v>20.301000000000002</v>
      </c>
      <c r="C317" s="955"/>
      <c r="D317" s="393">
        <f t="shared" si="102"/>
        <v>21.034723978085019</v>
      </c>
      <c r="E317" s="385">
        <f t="shared" si="125"/>
        <v>23.204899098433707</v>
      </c>
      <c r="F317" s="385">
        <f t="shared" si="103"/>
        <v>23.224004364215574</v>
      </c>
      <c r="G317" s="110">
        <f t="shared" si="126"/>
        <v>0.61271148577106771</v>
      </c>
      <c r="H317" s="414" t="b">
        <f>Wh_hp&gt;='2021'!Maxi_hp</f>
        <v>0</v>
      </c>
      <c r="I317" s="380">
        <f>IF(H317,Wh_hp,'2021'!Maxi_hp)</f>
        <v>35.207799824990232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3.4881559598758938E-2</v>
      </c>
      <c r="M317" s="959"/>
      <c r="N317" s="959"/>
      <c r="O317" s="48">
        <f>IF(t&lt;Tnet,'2021'!Resal+('2021'!Salim-'2021'!Resal)*(1-EXP(('2021'!Tnet-t)/('2021'!Tau_j))),Resal+(Salim-Resal)*(1-EXP((Tnet-t)/(Tau_j))))*Salcycl</f>
        <v>9.3522282132878123E-2</v>
      </c>
      <c r="P317" s="339">
        <f>(INDEX(Models!$BJ317:$BT317,,T317)*(1-R317)+INDEX(Models!$BJ317:$BT317,,T317+1)*R317-ERP_i)*Q317*Ramure*Pc/MaxiM</f>
        <v>1.8378311360805462E-3</v>
      </c>
      <c r="Q317" s="305">
        <f t="shared" si="105"/>
        <v>0.7</v>
      </c>
      <c r="R317" s="177">
        <f t="shared" si="106"/>
        <v>0.49874408206632931</v>
      </c>
      <c r="S317" s="921">
        <f t="shared" si="107"/>
        <v>0</v>
      </c>
      <c r="T317" s="176">
        <f t="shared" si="108"/>
        <v>6</v>
      </c>
      <c r="U317" s="251">
        <f t="shared" si="109"/>
        <v>0.49874408206632931</v>
      </c>
      <c r="V317" s="383">
        <f t="shared" si="110"/>
        <v>33.09938583549102</v>
      </c>
      <c r="W317" s="402">
        <f t="shared" si="111"/>
        <v>0</v>
      </c>
      <c r="X317" s="157">
        <f t="shared" si="112"/>
        <v>44864</v>
      </c>
      <c r="Y317" s="385">
        <f t="shared" si="113"/>
        <v>19.246222751259634</v>
      </c>
      <c r="Z317" s="385">
        <f t="shared" si="114"/>
        <v>19.941824697969871</v>
      </c>
      <c r="AA317" s="386">
        <f t="shared" si="115"/>
        <v>23.204899098433707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0.14062006417791706</v>
      </c>
      <c r="AD317" s="231">
        <f>(INDEX(Models!$BJ317:$BT317,,AH317)*(1-AF317)+INDEX(Models!$BJ317:$BT317,,AH317+1)*AF317-ERP_i)*AE317*Ramure*Pc/MaxiM</f>
        <v>1.8378311360805462E-3</v>
      </c>
      <c r="AE317" s="305">
        <f t="shared" si="117"/>
        <v>0.7</v>
      </c>
      <c r="AF317" s="177">
        <f t="shared" si="118"/>
        <v>0.49874408206632931</v>
      </c>
      <c r="AG317" s="921">
        <f t="shared" si="124"/>
        <v>0</v>
      </c>
      <c r="AH317" s="176">
        <f t="shared" si="119"/>
        <v>6</v>
      </c>
      <c r="AI317" s="225">
        <f t="shared" si="120"/>
        <v>0.49874408206632931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092">
        <v>20.988</v>
      </c>
      <c r="C318" s="955"/>
      <c r="D318" s="393">
        <f t="shared" si="102"/>
        <v>21.747030025047614</v>
      </c>
      <c r="E318" s="385">
        <f t="shared" si="125"/>
        <v>23.99361921789211</v>
      </c>
      <c r="F318" s="385">
        <f t="shared" si="103"/>
        <v>24.01496433197897</v>
      </c>
      <c r="G318" s="110">
        <f t="shared" si="126"/>
        <v>0.63902275903429395</v>
      </c>
      <c r="H318" s="414" t="b">
        <f>Wh_hp&gt;='2021'!Maxi_hp</f>
        <v>0</v>
      </c>
      <c r="I318" s="380">
        <f>IF(H318,Wh_hp,'2021'!Maxi_hp)</f>
        <v>35.869115091380415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3.4902698169514967E-2</v>
      </c>
      <c r="M318" s="959"/>
      <c r="N318" s="959"/>
      <c r="O318" s="48">
        <f>IF(t&lt;Tnet,'2021'!Resal+('2021'!Salim-'2021'!Resal)*(1-EXP(('2021'!Tnet-t)/('2021'!Tau_j))),Resal+(Salim-Resal)*(1-EXP((Tnet-t)/(Tau_j))))*Salcycl</f>
        <v>9.3632776799642076E-2</v>
      </c>
      <c r="P318" s="339">
        <f>(INDEX(Models!$BJ318:$BT318,,T318)*(1-R318)+INDEX(Models!$BJ318:$BT318,,T318+1)*R318-ERP_i)*Q318*Ramure*Pc/MaxiM</f>
        <v>1.8319471987855533E-3</v>
      </c>
      <c r="Q318" s="305">
        <f t="shared" si="105"/>
        <v>0.7</v>
      </c>
      <c r="R318" s="177">
        <f t="shared" si="106"/>
        <v>0.4988026640321902</v>
      </c>
      <c r="S318" s="921">
        <f t="shared" si="107"/>
        <v>0</v>
      </c>
      <c r="T318" s="176">
        <f t="shared" si="108"/>
        <v>6</v>
      </c>
      <c r="U318" s="251">
        <f t="shared" si="109"/>
        <v>0.4988026640321902</v>
      </c>
      <c r="V318" s="383">
        <f t="shared" si="110"/>
        <v>32.81289728307619</v>
      </c>
      <c r="W318" s="402">
        <f t="shared" si="111"/>
        <v>0</v>
      </c>
      <c r="X318" s="157">
        <f t="shared" si="112"/>
        <v>44865</v>
      </c>
      <c r="Y318" s="385">
        <f t="shared" si="113"/>
        <v>19.899158433837794</v>
      </c>
      <c r="Z318" s="385">
        <f t="shared" si="114"/>
        <v>20.618810555262531</v>
      </c>
      <c r="AA318" s="386">
        <f t="shared" si="115"/>
        <v>23.99361921789211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0.14065442282725629</v>
      </c>
      <c r="AD318" s="231">
        <f>(INDEX(Models!$BJ318:$BT318,,AH318)*(1-AF318)+INDEX(Models!$BJ318:$BT318,,AH318+1)*AF318-ERP_i)*AE318*Ramure*Pc/MaxiM</f>
        <v>1.8319471987855533E-3</v>
      </c>
      <c r="AE318" s="305">
        <f t="shared" si="117"/>
        <v>0.7</v>
      </c>
      <c r="AF318" s="177">
        <f t="shared" si="118"/>
        <v>0.4988026640321902</v>
      </c>
      <c r="AG318" s="921">
        <f t="shared" si="124"/>
        <v>0</v>
      </c>
      <c r="AH318" s="176">
        <f t="shared" si="119"/>
        <v>6</v>
      </c>
      <c r="AI318" s="225">
        <f t="shared" si="120"/>
        <v>0.4988026640321902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092">
        <v>22.614000000000001</v>
      </c>
      <c r="C319" s="955"/>
      <c r="D319" s="393">
        <f t="shared" si="102"/>
        <v>23.43234746651288</v>
      </c>
      <c r="E319" s="385">
        <f t="shared" si="125"/>
        <v>25.856175900079826</v>
      </c>
      <c r="F319" s="385">
        <f t="shared" si="103"/>
        <v>25.882952422473782</v>
      </c>
      <c r="G319" s="110">
        <f t="shared" si="126"/>
        <v>0.69482868126619823</v>
      </c>
      <c r="H319" s="414" t="b">
        <f>Wh_hp&gt;='2021'!Maxi_hp</f>
        <v>0</v>
      </c>
      <c r="I319" s="380">
        <f>IF(H319,Wh_hp,'2021'!Maxi_hp)</f>
        <v>32.156200585342432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3.4923836277282017E-2</v>
      </c>
      <c r="M319" s="959"/>
      <c r="N319" s="959"/>
      <c r="O319" s="48">
        <f>IF(t&lt;Tnet,'2021'!Resal+('2021'!Salim-'2021'!Resal)*(1-EXP(('2021'!Tnet-t)/('2021'!Tau_j))),Resal+(Salim-Resal)*(1-EXP((Tnet-t)/(Tau_j))))*Salcycl</f>
        <v>9.3742726802824056E-2</v>
      </c>
      <c r="P319" s="339">
        <f>(INDEX(Models!$BJ319:$BT319,,T319)*(1-R319)+INDEX(Models!$BJ319:$BT319,,T319+1)*R319-ERP_i)*Q319*Ramure*Pc/MaxiM</f>
        <v>1.831554556317066E-3</v>
      </c>
      <c r="Q319" s="305">
        <f t="shared" si="105"/>
        <v>0.7</v>
      </c>
      <c r="R319" s="177">
        <f t="shared" si="106"/>
        <v>0.49885890024433188</v>
      </c>
      <c r="S319" s="921">
        <f t="shared" si="107"/>
        <v>0</v>
      </c>
      <c r="T319" s="176">
        <f t="shared" si="108"/>
        <v>6</v>
      </c>
      <c r="U319" s="251">
        <f t="shared" si="109"/>
        <v>0.49885890024433188</v>
      </c>
      <c r="V319" s="383">
        <f t="shared" si="110"/>
        <v>32.52018502283498</v>
      </c>
      <c r="W319" s="402">
        <f t="shared" si="111"/>
        <v>0</v>
      </c>
      <c r="X319" s="157">
        <f t="shared" si="112"/>
        <v>44866</v>
      </c>
      <c r="Y319" s="385">
        <f t="shared" si="113"/>
        <v>21.442559483012669</v>
      </c>
      <c r="Z319" s="385">
        <f t="shared" si="114"/>
        <v>22.218515272721483</v>
      </c>
      <c r="AA319" s="386">
        <f t="shared" si="115"/>
        <v>25.856175900079826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0.14068826888461536</v>
      </c>
      <c r="AD319" s="231">
        <f>(INDEX(Models!$BJ319:$BT319,,AH319)*(1-AF319)+INDEX(Models!$BJ319:$BT319,,AH319+1)*AF319-ERP_i)*AE319*Ramure*Pc/MaxiM</f>
        <v>1.831554556317066E-3</v>
      </c>
      <c r="AE319" s="305">
        <f t="shared" si="117"/>
        <v>0.7</v>
      </c>
      <c r="AF319" s="177">
        <f t="shared" si="118"/>
        <v>0.49885890024433188</v>
      </c>
      <c r="AG319" s="921">
        <f t="shared" si="124"/>
        <v>0</v>
      </c>
      <c r="AH319" s="176">
        <f t="shared" si="119"/>
        <v>6</v>
      </c>
      <c r="AI319" s="225">
        <f t="shared" si="120"/>
        <v>0.49885890024433188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092">
        <v>28.338000000000001</v>
      </c>
      <c r="C320" s="955"/>
      <c r="D320" s="393">
        <f t="shared" si="102"/>
        <v>29.364128712088238</v>
      </c>
      <c r="E320" s="385">
        <f t="shared" si="125"/>
        <v>32.405452614721952</v>
      </c>
      <c r="F320" s="385">
        <f t="shared" si="103"/>
        <v>32.454794639205154</v>
      </c>
      <c r="G320" s="110">
        <f t="shared" si="126"/>
        <v>0.87916710654847907</v>
      </c>
      <c r="H320" s="414" t="b">
        <f>Wh_hp&gt;='2021'!Maxi_hp</f>
        <v>1</v>
      </c>
      <c r="I320" s="380">
        <f>IF(H320,Wh_hp,'2021'!Maxi_hp)</f>
        <v>32.454794639205154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3.4944973922070188E-2</v>
      </c>
      <c r="M320" s="959"/>
      <c r="N320" s="959"/>
      <c r="O320" s="48">
        <f>IF(t&lt;Tnet,'2021'!Resal+('2021'!Salim-'2021'!Resal)*(1-EXP(('2021'!Tnet-t)/('2021'!Tau_j))),Resal+(Salim-Resal)*(1-EXP((Tnet-t)/(Tau_j))))*Salcycl</f>
        <v>9.3852227240672145E-2</v>
      </c>
      <c r="P320" s="339">
        <f>(INDEX(Models!$BJ320:$BT320,,T320)*(1-R320)+INDEX(Models!$BJ320:$BT320,,T320+1)*R320-ERP_i)*Q320*Ramure*Pc/MaxiM</f>
        <v>1.836637262903903E-3</v>
      </c>
      <c r="Q320" s="305">
        <f t="shared" si="105"/>
        <v>0.7</v>
      </c>
      <c r="R320" s="177">
        <f t="shared" si="106"/>
        <v>0.49891288413368601</v>
      </c>
      <c r="S320" s="921">
        <f t="shared" si="107"/>
        <v>0</v>
      </c>
      <c r="T320" s="176">
        <f t="shared" si="108"/>
        <v>6</v>
      </c>
      <c r="U320" s="251">
        <f t="shared" si="109"/>
        <v>0.49891288413368601</v>
      </c>
      <c r="V320" s="383">
        <f t="shared" si="110"/>
        <v>32.222569121084817</v>
      </c>
      <c r="W320" s="402">
        <f t="shared" si="111"/>
        <v>0</v>
      </c>
      <c r="X320" s="157">
        <f t="shared" si="112"/>
        <v>44867</v>
      </c>
      <c r="Y320" s="385">
        <f t="shared" si="113"/>
        <v>26.872247461335927</v>
      </c>
      <c r="Z320" s="385">
        <f t="shared" si="114"/>
        <v>27.845300770617353</v>
      </c>
      <c r="AA320" s="386">
        <f t="shared" si="115"/>
        <v>32.405452614721952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0.14072174514337446</v>
      </c>
      <c r="AD320" s="231">
        <f>(INDEX(Models!$BJ320:$BT320,,AH320)*(1-AF320)+INDEX(Models!$BJ320:$BT320,,AH320+1)*AF320-ERP_i)*AE320*Ramure*Pc/MaxiM</f>
        <v>1.836637262903903E-3</v>
      </c>
      <c r="AE320" s="305">
        <f t="shared" si="117"/>
        <v>0.7</v>
      </c>
      <c r="AF320" s="177">
        <f t="shared" si="118"/>
        <v>0.49891288413368601</v>
      </c>
      <c r="AG320" s="921">
        <f t="shared" si="124"/>
        <v>0</v>
      </c>
      <c r="AH320" s="176">
        <f t="shared" si="119"/>
        <v>6</v>
      </c>
      <c r="AI320" s="225">
        <f t="shared" si="120"/>
        <v>0.49891288413368601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092">
        <v>9.8550000000000004</v>
      </c>
      <c r="C321" s="955"/>
      <c r="D321" s="393">
        <f t="shared" si="102"/>
        <v>10.21207660517809</v>
      </c>
      <c r="E321" s="385">
        <f t="shared" si="125"/>
        <v>11.271127217300164</v>
      </c>
      <c r="F321" s="385">
        <f t="shared" si="103"/>
        <v>11.271386797888622</v>
      </c>
      <c r="G321" s="110">
        <f t="shared" si="126"/>
        <v>0.30816418234720422</v>
      </c>
      <c r="H321" s="414" t="b">
        <f>Wh_hp&gt;='2021'!Maxi_hp</f>
        <v>0</v>
      </c>
      <c r="I321" s="380">
        <f>IF(H321,Wh_hp,'2021'!Maxi_hp)</f>
        <v>31.18806335046073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3.4966111103889697E-2</v>
      </c>
      <c r="M321" s="959"/>
      <c r="N321" s="959"/>
      <c r="O321" s="48">
        <f>IF(t&lt;Tnet,'2021'!Resal+('2021'!Salim-'2021'!Resal)*(1-EXP(('2021'!Tnet-t)/('2021'!Tau_j))),Resal+(Salim-Resal)*(1-EXP((Tnet-t)/(Tau_j))))*Salcycl</f>
        <v>9.3961375087358218E-2</v>
      </c>
      <c r="P321" s="339">
        <f>(INDEX(Models!$BJ321:$BT321,,T321)*(1-R321)+INDEX(Models!$BJ321:$BT321,,T321+1)*R321-ERP_i)*Q321*Ramure*Pc/MaxiM</f>
        <v>1.8471830928271369E-3</v>
      </c>
      <c r="Q321" s="305">
        <f t="shared" si="105"/>
        <v>0.7</v>
      </c>
      <c r="R321" s="177">
        <f t="shared" si="106"/>
        <v>0.49896470544907923</v>
      </c>
      <c r="S321" s="921">
        <f t="shared" si="107"/>
        <v>0</v>
      </c>
      <c r="T321" s="176">
        <f t="shared" si="108"/>
        <v>6</v>
      </c>
      <c r="U321" s="251">
        <f t="shared" si="109"/>
        <v>0.49896470544907923</v>
      </c>
      <c r="V321" s="383">
        <f t="shared" si="110"/>
        <v>31.921368936533018</v>
      </c>
      <c r="W321" s="402">
        <f t="shared" si="111"/>
        <v>0</v>
      </c>
      <c r="X321" s="157">
        <f t="shared" si="112"/>
        <v>44868</v>
      </c>
      <c r="Y321" s="385">
        <f t="shared" si="113"/>
        <v>9.3460248546961076</v>
      </c>
      <c r="Z321" s="385">
        <f t="shared" si="114"/>
        <v>9.6846597432831132</v>
      </c>
      <c r="AA321" s="386">
        <f t="shared" si="115"/>
        <v>11.271127217300164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0.14075499667699298</v>
      </c>
      <c r="AD321" s="231">
        <f>(INDEX(Models!$BJ321:$BT321,,AH321)*(1-AF321)+INDEX(Models!$BJ321:$BT321,,AH321+1)*AF321-ERP_i)*AE321*Ramure*Pc/MaxiM</f>
        <v>1.8471830928271369E-3</v>
      </c>
      <c r="AE321" s="305">
        <f t="shared" si="117"/>
        <v>0.7</v>
      </c>
      <c r="AF321" s="177">
        <f t="shared" si="118"/>
        <v>0.49896470544907923</v>
      </c>
      <c r="AG321" s="921">
        <f t="shared" si="124"/>
        <v>0</v>
      </c>
      <c r="AH321" s="176">
        <f t="shared" si="119"/>
        <v>6</v>
      </c>
      <c r="AI321" s="225">
        <f t="shared" si="120"/>
        <v>0.49896470544907923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092">
        <v>11.505000000000001</v>
      </c>
      <c r="C322" s="955"/>
      <c r="D322" s="393">
        <f t="shared" si="102"/>
        <v>11.92212224557921</v>
      </c>
      <c r="E322" s="385">
        <f t="shared" si="125"/>
        <v>13.160096014785696</v>
      </c>
      <c r="F322" s="385">
        <f t="shared" si="103"/>
        <v>13.162333852851161</v>
      </c>
      <c r="G322" s="110">
        <f t="shared" si="126"/>
        <v>0.36325991610483754</v>
      </c>
      <c r="H322" s="414" t="b">
        <f>Wh_hp&gt;='2021'!Maxi_hp</f>
        <v>0</v>
      </c>
      <c r="I322" s="380">
        <f>IF(H322,Wh_hp,'2021'!Maxi_hp)</f>
        <v>29.822160701304174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3.4987247822750756E-2</v>
      </c>
      <c r="M322" s="959"/>
      <c r="N322" s="959"/>
      <c r="O322" s="48">
        <f>IF(t&lt;Tnet,'2021'!Resal+('2021'!Salim-'2021'!Resal)*(1-EXP(('2021'!Tnet-t)/('2021'!Tau_j))),Resal+(Salim-Resal)*(1-EXP((Tnet-t)/(Tau_j))))*Salcycl</f>
        <v>9.4070268774300012E-2</v>
      </c>
      <c r="P322" s="339">
        <f>(INDEX(Models!$BJ322:$BT322,,T322)*(1-R322)+INDEX(Models!$BJ322:$BT322,,T322+1)*R322-ERP_i)*Q322*Ramure*Pc/MaxiM</f>
        <v>1.8631818658664506E-3</v>
      </c>
      <c r="Q322" s="305">
        <f t="shared" si="105"/>
        <v>0.7</v>
      </c>
      <c r="R322" s="177">
        <f t="shared" si="106"/>
        <v>0.49901445039925157</v>
      </c>
      <c r="S322" s="921">
        <f t="shared" si="107"/>
        <v>0</v>
      </c>
      <c r="T322" s="176">
        <f t="shared" si="108"/>
        <v>6</v>
      </c>
      <c r="U322" s="251">
        <f t="shared" si="109"/>
        <v>0.49901445039925157</v>
      </c>
      <c r="V322" s="383">
        <f t="shared" si="110"/>
        <v>31.617903137295642</v>
      </c>
      <c r="W322" s="402">
        <f t="shared" si="111"/>
        <v>0</v>
      </c>
      <c r="X322" s="157">
        <f t="shared" si="112"/>
        <v>44869</v>
      </c>
      <c r="Y322" s="385">
        <f t="shared" si="113"/>
        <v>10.911698513758022</v>
      </c>
      <c r="Z322" s="385">
        <f t="shared" si="114"/>
        <v>11.307310177134125</v>
      </c>
      <c r="AA322" s="386">
        <f t="shared" si="115"/>
        <v>13.160096014785696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0.14078817020559112</v>
      </c>
      <c r="AD322" s="231">
        <f>(INDEX(Models!$BJ322:$BT322,,AH322)*(1-AF322)+INDEX(Models!$BJ322:$BT322,,AH322+1)*AF322-ERP_i)*AE322*Ramure*Pc/MaxiM</f>
        <v>1.8631818658664506E-3</v>
      </c>
      <c r="AE322" s="305">
        <f t="shared" si="117"/>
        <v>0.7</v>
      </c>
      <c r="AF322" s="177">
        <f t="shared" si="118"/>
        <v>0.49901445039925157</v>
      </c>
      <c r="AG322" s="921">
        <f t="shared" si="124"/>
        <v>0</v>
      </c>
      <c r="AH322" s="176">
        <f t="shared" si="119"/>
        <v>6</v>
      </c>
      <c r="AI322" s="225">
        <f t="shared" si="120"/>
        <v>0.49901445039925157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092">
        <v>30.227</v>
      </c>
      <c r="C323" s="955"/>
      <c r="D323" s="393">
        <f t="shared" si="102"/>
        <v>31.323588206660666</v>
      </c>
      <c r="E323" s="385">
        <f t="shared" si="125"/>
        <v>34.580329308888516</v>
      </c>
      <c r="F323" s="385">
        <f t="shared" si="103"/>
        <v>34.642381012250276</v>
      </c>
      <c r="G323" s="110">
        <f t="shared" si="126"/>
        <v>0.96521248610174926</v>
      </c>
      <c r="H323" s="414" t="b">
        <f>Wh_hp&gt;='2021'!Maxi_hp</f>
        <v>1</v>
      </c>
      <c r="I323" s="380">
        <f>IF(H323,Wh_hp,'2021'!Maxi_hp)</f>
        <v>34.642381012250276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3.5008384078663357E-2</v>
      </c>
      <c r="M323" s="959"/>
      <c r="N323" s="959"/>
      <c r="O323" s="48">
        <f>IF(t&lt;Tnet,'2021'!Resal+('2021'!Salim-'2021'!Resal)*(1-EXP(('2021'!Tnet-t)/('2021'!Tau_j))),Resal+(Salim-Resal)*(1-EXP((Tnet-t)/(Tau_j))))*Salcycl</f>
        <v>9.4179007757185726E-2</v>
      </c>
      <c r="P323" s="339">
        <f>(INDEX(Models!$BJ323:$BT323,,T323)*(1-R323)+INDEX(Models!$BJ323:$BT323,,T323+1)*R323-ERP_i)*Q323*Ramure*Pc/MaxiM</f>
        <v>1.8846236980045298E-3</v>
      </c>
      <c r="Q323" s="305">
        <f t="shared" si="105"/>
        <v>0.7</v>
      </c>
      <c r="R323" s="177">
        <f t="shared" si="106"/>
        <v>0.499062201789641</v>
      </c>
      <c r="S323" s="921">
        <f t="shared" si="107"/>
        <v>0</v>
      </c>
      <c r="T323" s="176">
        <f t="shared" si="108"/>
        <v>6</v>
      </c>
      <c r="U323" s="251">
        <f t="shared" si="109"/>
        <v>0.499062201789641</v>
      </c>
      <c r="V323" s="383">
        <f t="shared" si="110"/>
        <v>31.313489709491527</v>
      </c>
      <c r="W323" s="402">
        <f t="shared" si="111"/>
        <v>0</v>
      </c>
      <c r="X323" s="157">
        <f t="shared" si="112"/>
        <v>44870</v>
      </c>
      <c r="Y323" s="385">
        <f t="shared" si="113"/>
        <v>28.670555615524233</v>
      </c>
      <c r="Z323" s="385">
        <f t="shared" si="114"/>
        <v>29.71067845822753</v>
      </c>
      <c r="AA323" s="386">
        <f t="shared" si="115"/>
        <v>34.580329308888516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0.14082141344470347</v>
      </c>
      <c r="AD323" s="231">
        <f>(INDEX(Models!$BJ323:$BT323,,AH323)*(1-AF323)+INDEX(Models!$BJ323:$BT323,,AH323+1)*AF323-ERP_i)*AE323*Ramure*Pc/MaxiM</f>
        <v>1.8846236980045298E-3</v>
      </c>
      <c r="AE323" s="305">
        <f t="shared" si="117"/>
        <v>0.7</v>
      </c>
      <c r="AF323" s="177">
        <f t="shared" si="118"/>
        <v>0.499062201789641</v>
      </c>
      <c r="AG323" s="921">
        <f t="shared" si="124"/>
        <v>0</v>
      </c>
      <c r="AH323" s="176">
        <f t="shared" si="119"/>
        <v>6</v>
      </c>
      <c r="AI323" s="225">
        <f t="shared" si="120"/>
        <v>0.499062201789641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092">
        <v>29.874000000000002</v>
      </c>
      <c r="C324" s="955"/>
      <c r="D324" s="393">
        <f t="shared" si="102"/>
        <v>30.958459989393774</v>
      </c>
      <c r="E324" s="385">
        <f t="shared" si="125"/>
        <v>34.181339613462185</v>
      </c>
      <c r="F324" s="385">
        <f t="shared" si="103"/>
        <v>34.243535630219014</v>
      </c>
      <c r="G324" s="110">
        <f t="shared" si="126"/>
        <v>0.96329197514345655</v>
      </c>
      <c r="H324" s="414" t="b">
        <f>Wh_hp&gt;='2021'!Maxi_hp</f>
        <v>1</v>
      </c>
      <c r="I324" s="380">
        <f>IF(H324,Wh_hp,'2021'!Maxi_hp)</f>
        <v>34.243535630219014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3.5029519871637715E-2</v>
      </c>
      <c r="M324" s="959"/>
      <c r="N324" s="959"/>
      <c r="O324" s="48">
        <f>IF(t&lt;Tnet,'2021'!Resal+('2021'!Salim-'2021'!Resal)*(1-EXP(('2021'!Tnet-t)/('2021'!Tau_j))),Resal+(Salim-Resal)*(1-EXP((Tnet-t)/(Tau_j))))*Salcycl</f>
        <v>9.4287692071585508E-2</v>
      </c>
      <c r="P324" s="339">
        <f>(INDEX(Models!$BJ324:$BT324,,T324)*(1-R324)+INDEX(Models!$BJ324:$BT324,,T324+1)*R324-ERP_i)*Q324*Ramure*Pc/MaxiM</f>
        <v>1.9165225389549138E-3</v>
      </c>
      <c r="Q324" s="305">
        <f t="shared" si="105"/>
        <v>0.7</v>
      </c>
      <c r="R324" s="177">
        <f t="shared" si="106"/>
        <v>0.49910803915411017</v>
      </c>
      <c r="S324" s="921">
        <f t="shared" si="107"/>
        <v>0</v>
      </c>
      <c r="T324" s="176">
        <f t="shared" si="108"/>
        <v>6</v>
      </c>
      <c r="U324" s="251">
        <f t="shared" si="109"/>
        <v>0.49910803915411017</v>
      </c>
      <c r="V324" s="383">
        <f t="shared" si="110"/>
        <v>31.009289834087422</v>
      </c>
      <c r="W324" s="402">
        <f t="shared" si="111"/>
        <v>0</v>
      </c>
      <c r="X324" s="157">
        <f t="shared" si="112"/>
        <v>44871</v>
      </c>
      <c r="Y324" s="385">
        <f t="shared" si="113"/>
        <v>28.338028815868025</v>
      </c>
      <c r="Z324" s="385">
        <f t="shared" si="114"/>
        <v>29.36673131399672</v>
      </c>
      <c r="AA324" s="386">
        <f t="shared" si="115"/>
        <v>34.181339613462185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0.14085487444059236</v>
      </c>
      <c r="AD324" s="231">
        <f>(INDEX(Models!$BJ324:$BT324,,AH324)*(1-AF324)+INDEX(Models!$BJ324:$BT324,,AH324+1)*AF324-ERP_i)*AE324*Ramure*Pc/MaxiM</f>
        <v>1.9165225389549138E-3</v>
      </c>
      <c r="AE324" s="305">
        <f t="shared" si="117"/>
        <v>0.7</v>
      </c>
      <c r="AF324" s="177">
        <f t="shared" si="118"/>
        <v>0.49910803915411017</v>
      </c>
      <c r="AG324" s="921">
        <f t="shared" si="124"/>
        <v>0</v>
      </c>
      <c r="AH324" s="176">
        <f t="shared" si="119"/>
        <v>6</v>
      </c>
      <c r="AI324" s="225">
        <f t="shared" si="120"/>
        <v>0.49910803915411017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092">
        <v>28.556000000000001</v>
      </c>
      <c r="C325" s="955"/>
      <c r="D325" s="393">
        <f t="shared" si="102"/>
        <v>29.593263267066614</v>
      </c>
      <c r="E325" s="385">
        <f t="shared" si="125"/>
        <v>32.677944281653843</v>
      </c>
      <c r="F325" s="385">
        <f t="shared" si="103"/>
        <v>32.735646206906857</v>
      </c>
      <c r="G325" s="110">
        <f t="shared" si="126"/>
        <v>0.92977941047259838</v>
      </c>
      <c r="H325" s="414" t="b">
        <f>Wh_hp&gt;='2021'!Maxi_hp</f>
        <v>1</v>
      </c>
      <c r="I325" s="380">
        <f>IF(H325,Wh_hp,'2021'!Maxi_hp)</f>
        <v>32.735646206906857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3.5050655201684044E-2</v>
      </c>
      <c r="M325" s="959"/>
      <c r="N325" s="959"/>
      <c r="O325" s="48">
        <f>IF(t&lt;Tnet,'2021'!Resal+('2021'!Salim-'2021'!Resal)*(1-EXP(('2021'!Tnet-t)/('2021'!Tau_j))),Resal+(Salim-Resal)*(1-EXP((Tnet-t)/(Tau_j))))*Salcycl</f>
        <v>9.4396421880156123E-2</v>
      </c>
      <c r="P325" s="339">
        <f>(INDEX(Models!$BJ325:$BT325,,T325)*(1-R325)+INDEX(Models!$BJ325:$BT325,,T325+1)*R325-ERP_i)*Q325*Ramure*Pc/MaxiM</f>
        <v>1.9586330947792383E-3</v>
      </c>
      <c r="Q325" s="305">
        <f t="shared" si="105"/>
        <v>0.7</v>
      </c>
      <c r="R325" s="177">
        <f t="shared" si="106"/>
        <v>0.49915203888178128</v>
      </c>
      <c r="S325" s="921">
        <f t="shared" si="107"/>
        <v>0</v>
      </c>
      <c r="T325" s="176">
        <f t="shared" si="108"/>
        <v>6</v>
      </c>
      <c r="U325" s="251">
        <f t="shared" si="109"/>
        <v>0.49915203888178128</v>
      </c>
      <c r="V325" s="383">
        <f t="shared" si="110"/>
        <v>30.706631794782187</v>
      </c>
      <c r="W325" s="402">
        <f t="shared" si="111"/>
        <v>0</v>
      </c>
      <c r="X325" s="157">
        <f t="shared" si="112"/>
        <v>44872</v>
      </c>
      <c r="Y325" s="385">
        <f t="shared" si="113"/>
        <v>27.089979379419407</v>
      </c>
      <c r="Z325" s="385">
        <f t="shared" si="114"/>
        <v>28.073991163838226</v>
      </c>
      <c r="AA325" s="386">
        <f t="shared" si="115"/>
        <v>32.677944281653843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0.14088870089665911</v>
      </c>
      <c r="AD325" s="231">
        <f>(INDEX(Models!$BJ325:$BT325,,AH325)*(1-AF325)+INDEX(Models!$BJ325:$BT325,,AH325+1)*AF325-ERP_i)*AE325*Ramure*Pc/MaxiM</f>
        <v>1.9586330947792383E-3</v>
      </c>
      <c r="AE325" s="305">
        <f t="shared" si="117"/>
        <v>0.7</v>
      </c>
      <c r="AF325" s="177">
        <f t="shared" si="118"/>
        <v>0.49915203888178128</v>
      </c>
      <c r="AG325" s="921">
        <f t="shared" si="124"/>
        <v>0</v>
      </c>
      <c r="AH325" s="176">
        <f t="shared" si="119"/>
        <v>6</v>
      </c>
      <c r="AI325" s="225">
        <f t="shared" si="120"/>
        <v>0.49915203888178128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092">
        <v>19.535</v>
      </c>
      <c r="C326" s="955"/>
      <c r="D326" s="393">
        <f t="shared" si="102"/>
        <v>20.245029421818963</v>
      </c>
      <c r="E326" s="385">
        <f t="shared" si="125"/>
        <v>22.357976645330137</v>
      </c>
      <c r="F326" s="385">
        <f t="shared" si="103"/>
        <v>22.37999427393493</v>
      </c>
      <c r="G326" s="110">
        <f t="shared" si="126"/>
        <v>0.64179368889413146</v>
      </c>
      <c r="H326" s="414" t="b">
        <f>Wh_hp&gt;='2021'!Maxi_hp</f>
        <v>0</v>
      </c>
      <c r="I326" s="380">
        <f>IF(H326,Wh_hp,'2021'!Maxi_hp)</f>
        <v>27.419796880522092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3.5071790068812336E-2</v>
      </c>
      <c r="M326" s="959"/>
      <c r="N326" s="959"/>
      <c r="O326" s="48">
        <f>IF(t&lt;Tnet,'2021'!Resal+('2021'!Salim-'2021'!Resal)*(1-EXP(('2021'!Tnet-t)/('2021'!Tau_j))),Resal+(Salim-Resal)*(1-EXP((Tnet-t)/(Tau_j))))*Salcycl</f>
        <v>9.450529701454452E-2</v>
      </c>
      <c r="P326" s="339">
        <f>(INDEX(Models!$BJ326:$BT326,,T326)*(1-R326)+INDEX(Models!$BJ326:$BT326,,T326+1)*R326-ERP_i)*Q326*Ramure*Pc/MaxiM</f>
        <v>2.0109721561548232E-3</v>
      </c>
      <c r="Q326" s="305">
        <f t="shared" si="105"/>
        <v>0.7</v>
      </c>
      <c r="R326" s="177">
        <f t="shared" si="106"/>
        <v>0.49919427433914731</v>
      </c>
      <c r="S326" s="921">
        <f t="shared" si="107"/>
        <v>0</v>
      </c>
      <c r="T326" s="176">
        <f t="shared" si="108"/>
        <v>6</v>
      </c>
      <c r="U326" s="251">
        <f t="shared" si="109"/>
        <v>0.49919427433914731</v>
      </c>
      <c r="V326" s="383">
        <f t="shared" si="110"/>
        <v>30.406834681438919</v>
      </c>
      <c r="W326" s="402">
        <f t="shared" si="111"/>
        <v>0</v>
      </c>
      <c r="X326" s="157">
        <f t="shared" si="112"/>
        <v>44873</v>
      </c>
      <c r="Y326" s="385">
        <f t="shared" si="113"/>
        <v>18.533590939982474</v>
      </c>
      <c r="Z326" s="385">
        <f t="shared" si="114"/>
        <v>19.20722261949847</v>
      </c>
      <c r="AA326" s="386">
        <f t="shared" si="115"/>
        <v>22.357976645330137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0.14092303949560467</v>
      </c>
      <c r="AD326" s="231">
        <f>(INDEX(Models!$BJ326:$BT326,,AH326)*(1-AF326)+INDEX(Models!$BJ326:$BT326,,AH326+1)*AF326-ERP_i)*AE326*Ramure*Pc/MaxiM</f>
        <v>2.0109721561548232E-3</v>
      </c>
      <c r="AE326" s="305">
        <f t="shared" si="117"/>
        <v>0.7</v>
      </c>
      <c r="AF326" s="177">
        <f t="shared" si="118"/>
        <v>0.49919427433914731</v>
      </c>
      <c r="AG326" s="921">
        <f t="shared" si="124"/>
        <v>0</v>
      </c>
      <c r="AH326" s="176">
        <f t="shared" si="119"/>
        <v>6</v>
      </c>
      <c r="AI326" s="225">
        <f t="shared" si="120"/>
        <v>0.49919427433914731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092">
        <v>10.333</v>
      </c>
      <c r="C327" s="955"/>
      <c r="D327" s="393">
        <f t="shared" si="102"/>
        <v>10.708803222690447</v>
      </c>
      <c r="E327" s="385">
        <f t="shared" si="125"/>
        <v>11.827892356615857</v>
      </c>
      <c r="F327" s="385">
        <f t="shared" si="103"/>
        <v>11.829404774544619</v>
      </c>
      <c r="G327" s="110">
        <f t="shared" si="126"/>
        <v>0.34249338429568094</v>
      </c>
      <c r="H327" s="414" t="b">
        <f>Wh_hp&gt;='2021'!Maxi_hp</f>
        <v>0</v>
      </c>
      <c r="I327" s="380">
        <f>IF(H327,Wh_hp,'2021'!Maxi_hp)</f>
        <v>26.175340990445164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3.5092924473032805E-2</v>
      </c>
      <c r="M327" s="959"/>
      <c r="N327" s="959"/>
      <c r="O327" s="48">
        <f>IF(t&lt;Tnet,'2021'!Resal+('2021'!Salim-'2021'!Resal)*(1-EXP(('2021'!Tnet-t)/('2021'!Tau_j))),Resal+(Salim-Resal)*(1-EXP((Tnet-t)/(Tau_j))))*Salcycl</f>
        <v>9.4614416515166833E-2</v>
      </c>
      <c r="P327" s="339">
        <f>(INDEX(Models!$BJ327:$BT327,,T327)*(1-R327)+INDEX(Models!$BJ327:$BT327,,T327+1)*R327-ERP_i)*Q327*Ramure*Pc/MaxiM</f>
        <v>2.0735470369831486E-3</v>
      </c>
      <c r="Q327" s="305">
        <f t="shared" si="105"/>
        <v>0.7</v>
      </c>
      <c r="R327" s="177">
        <f t="shared" si="106"/>
        <v>0.49923481598761682</v>
      </c>
      <c r="S327" s="921">
        <f t="shared" si="107"/>
        <v>0</v>
      </c>
      <c r="T327" s="176">
        <f t="shared" si="108"/>
        <v>6</v>
      </c>
      <c r="U327" s="251">
        <f t="shared" si="109"/>
        <v>0.49923481598761682</v>
      </c>
      <c r="V327" s="383">
        <f t="shared" si="110"/>
        <v>30.111216857109373</v>
      </c>
      <c r="W327" s="402">
        <f t="shared" si="111"/>
        <v>0</v>
      </c>
      <c r="X327" s="157">
        <f t="shared" si="112"/>
        <v>44874</v>
      </c>
      <c r="Y327" s="385">
        <f t="shared" si="113"/>
        <v>9.8040887594927089</v>
      </c>
      <c r="Z327" s="385">
        <f t="shared" si="114"/>
        <v>10.160655889209204</v>
      </c>
      <c r="AA327" s="386">
        <f t="shared" si="115"/>
        <v>11.827892356615857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0.14095803522206518</v>
      </c>
      <c r="AD327" s="231">
        <f>(INDEX(Models!$BJ327:$BT327,,AH327)*(1-AF327)+INDEX(Models!$BJ327:$BT327,,AH327+1)*AF327-ERP_i)*AE327*Ramure*Pc/MaxiM</f>
        <v>2.0735470369831486E-3</v>
      </c>
      <c r="AE327" s="305">
        <f t="shared" si="117"/>
        <v>0.7</v>
      </c>
      <c r="AF327" s="177">
        <f t="shared" si="118"/>
        <v>0.49923481598761682</v>
      </c>
      <c r="AG327" s="921">
        <f t="shared" si="124"/>
        <v>0</v>
      </c>
      <c r="AH327" s="176">
        <f t="shared" si="119"/>
        <v>6</v>
      </c>
      <c r="AI327" s="225">
        <f t="shared" si="120"/>
        <v>0.49923481598761682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092">
        <v>23.045999999999999</v>
      </c>
      <c r="C328" s="955"/>
      <c r="D328" s="393">
        <f t="shared" si="102"/>
        <v>23.884688341636917</v>
      </c>
      <c r="E328" s="385">
        <f t="shared" si="125"/>
        <v>26.383870915991338</v>
      </c>
      <c r="F328" s="385">
        <f t="shared" si="103"/>
        <v>26.422176031713878</v>
      </c>
      <c r="G328" s="110">
        <f t="shared" si="126"/>
        <v>0.77226948622446179</v>
      </c>
      <c r="H328" s="414" t="b">
        <f>Wh_hp&gt;='2021'!Maxi_hp</f>
        <v>1</v>
      </c>
      <c r="I328" s="380">
        <f>IF(H328,Wh_hp,'2021'!Maxi_hp)</f>
        <v>26.422176031713878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3.5114058414355553E-2</v>
      </c>
      <c r="M328" s="959"/>
      <c r="N328" s="959"/>
      <c r="O328" s="48">
        <f>IF(t&lt;Tnet,'2021'!Resal+('2021'!Salim-'2021'!Resal)*(1-EXP(('2021'!Tnet-t)/('2021'!Tau_j))),Resal+(Salim-Resal)*(1-EXP((Tnet-t)/(Tau_j))))*Salcycl</f>
        <v>9.4723878172086523E-2</v>
      </c>
      <c r="P328" s="339">
        <f>(INDEX(Models!$BJ328:$BT328,,T328)*(1-R328)+INDEX(Models!$BJ328:$BT328,,T328+1)*R328-ERP_i)*Q328*Ramure*Pc/MaxiM</f>
        <v>2.1463515242987584E-3</v>
      </c>
      <c r="Q328" s="305">
        <f t="shared" si="105"/>
        <v>0.7</v>
      </c>
      <c r="R328" s="177">
        <f t="shared" si="106"/>
        <v>0.499273731496652</v>
      </c>
      <c r="S328" s="921">
        <f t="shared" si="107"/>
        <v>0</v>
      </c>
      <c r="T328" s="176">
        <f t="shared" si="108"/>
        <v>6</v>
      </c>
      <c r="U328" s="251">
        <f t="shared" si="109"/>
        <v>0.499273731496652</v>
      </c>
      <c r="V328" s="383">
        <f t="shared" si="110"/>
        <v>29.821095932650284</v>
      </c>
      <c r="W328" s="402">
        <f t="shared" si="111"/>
        <v>0</v>
      </c>
      <c r="X328" s="157">
        <f t="shared" si="112"/>
        <v>44875</v>
      </c>
      <c r="Y328" s="385">
        <f t="shared" si="113"/>
        <v>21.86808610165728</v>
      </c>
      <c r="Z328" s="385">
        <f t="shared" si="114"/>
        <v>22.663907887102575</v>
      </c>
      <c r="AA328" s="386">
        <f t="shared" si="115"/>
        <v>26.383870915991338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0.14099383069048016</v>
      </c>
      <c r="AD328" s="231">
        <f>(INDEX(Models!$BJ328:$BT328,,AH328)*(1-AF328)+INDEX(Models!$BJ328:$BT328,,AH328+1)*AF328-ERP_i)*AE328*Ramure*Pc/MaxiM</f>
        <v>2.1463515242987584E-3</v>
      </c>
      <c r="AE328" s="305">
        <f t="shared" si="117"/>
        <v>0.7</v>
      </c>
      <c r="AF328" s="177">
        <f t="shared" si="118"/>
        <v>0.499273731496652</v>
      </c>
      <c r="AG328" s="921">
        <f t="shared" si="124"/>
        <v>0</v>
      </c>
      <c r="AH328" s="176">
        <f t="shared" si="119"/>
        <v>6</v>
      </c>
      <c r="AI328" s="225">
        <f t="shared" si="120"/>
        <v>0.499273731496652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092">
        <v>28.725000000000001</v>
      </c>
      <c r="C329" s="955"/>
      <c r="D329" s="393">
        <f t="shared" si="102"/>
        <v>29.771010154624975</v>
      </c>
      <c r="E329" s="385">
        <f t="shared" si="125"/>
        <v>32.890102871000551</v>
      </c>
      <c r="F329" s="385">
        <f t="shared" si="103"/>
        <v>32.960695638273201</v>
      </c>
      <c r="G329" s="110">
        <f t="shared" si="126"/>
        <v>0.97239768009457328</v>
      </c>
      <c r="H329" s="414" t="b">
        <f>Wh_hp&gt;='2021'!Maxi_hp</f>
        <v>1</v>
      </c>
      <c r="I329" s="380">
        <f>IF(H329,Wh_hp,'2021'!Maxi_hp)</f>
        <v>32.960695638273201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3.5135191892790796E-2</v>
      </c>
      <c r="M329" s="959"/>
      <c r="N329" s="959"/>
      <c r="O329" s="48">
        <f>IF(t&lt;Tnet,'2021'!Resal+('2021'!Salim-'2021'!Resal)*(1-EXP(('2021'!Tnet-t)/('2021'!Tau_j))),Resal+(Salim-Resal)*(1-EXP((Tnet-t)/(Tau_j))))*Salcycl</f>
        <v>9.4833778070232133E-2</v>
      </c>
      <c r="P329" s="339">
        <f>(INDEX(Models!$BJ329:$BT329,,T329)*(1-R329)+INDEX(Models!$BJ329:$BT329,,T329+1)*R329-ERP_i)*Q329*Ramure*Pc/MaxiM</f>
        <v>2.2293615743824184E-3</v>
      </c>
      <c r="Q329" s="305">
        <f t="shared" si="105"/>
        <v>0.7</v>
      </c>
      <c r="R329" s="177">
        <f t="shared" si="106"/>
        <v>0.49931108585264911</v>
      </c>
      <c r="S329" s="921">
        <f t="shared" si="107"/>
        <v>0</v>
      </c>
      <c r="T329" s="176">
        <f t="shared" si="108"/>
        <v>6</v>
      </c>
      <c r="U329" s="251">
        <f t="shared" si="109"/>
        <v>0.49931108585264911</v>
      </c>
      <c r="V329" s="383">
        <f t="shared" si="110"/>
        <v>29.537788749388632</v>
      </c>
      <c r="W329" s="402">
        <f t="shared" si="111"/>
        <v>0</v>
      </c>
      <c r="X329" s="157">
        <f t="shared" si="112"/>
        <v>44876</v>
      </c>
      <c r="Y329" s="385">
        <f t="shared" si="113"/>
        <v>27.258967920719442</v>
      </c>
      <c r="Z329" s="385">
        <f t="shared" si="114"/>
        <v>28.251593064311049</v>
      </c>
      <c r="AA329" s="386">
        <f t="shared" si="115"/>
        <v>32.890102871000551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0.14103056548294685</v>
      </c>
      <c r="AD329" s="231">
        <f>(INDEX(Models!$BJ329:$BT329,,AH329)*(1-AF329)+INDEX(Models!$BJ329:$BT329,,AH329+1)*AF329-ERP_i)*AE329*Ramure*Pc/MaxiM</f>
        <v>2.2293615743824184E-3</v>
      </c>
      <c r="AE329" s="305">
        <f t="shared" si="117"/>
        <v>0.7</v>
      </c>
      <c r="AF329" s="177">
        <f t="shared" si="118"/>
        <v>0.49931108585264911</v>
      </c>
      <c r="AG329" s="921">
        <f t="shared" si="124"/>
        <v>0</v>
      </c>
      <c r="AH329" s="176">
        <f t="shared" si="119"/>
        <v>6</v>
      </c>
      <c r="AI329" s="225">
        <f t="shared" si="120"/>
        <v>0.49931108585264911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092">
        <v>27.428000000000001</v>
      </c>
      <c r="C330" s="955"/>
      <c r="D330" s="393">
        <f t="shared" si="102"/>
        <v>28.427403016757701</v>
      </c>
      <c r="E330" s="385">
        <f t="shared" si="125"/>
        <v>31.409558764574847</v>
      </c>
      <c r="F330" s="385">
        <f t="shared" si="103"/>
        <v>31.476115510494154</v>
      </c>
      <c r="G330" s="110">
        <f t="shared" si="126"/>
        <v>0.93710988914026672</v>
      </c>
      <c r="H330" s="414" t="b">
        <f>Wh_hp&gt;='2021'!Maxi_hp</f>
        <v>0</v>
      </c>
      <c r="I330" s="380">
        <f>IF(H330,Wh_hp,'2021'!Maxi_hp)</f>
        <v>32.840746587016881</v>
      </c>
      <c r="J330" s="85">
        <f>IF(H330,An,'2021'!An_max)</f>
        <v>2020</v>
      </c>
      <c r="K330" s="197">
        <f t="shared" si="104"/>
        <v>44877</v>
      </c>
      <c r="L330" s="147">
        <f>IF(t&lt;Tvie,1-EXP((T0-t)*PertePVj)+'2021'!Pspv,1-EXP((T0-t)*PertePVj)+Pspv)</f>
        <v>3.5156324908348524E-2</v>
      </c>
      <c r="M330" s="959"/>
      <c r="N330" s="959"/>
      <c r="O330" s="48">
        <f>IF(t&lt;Tnet,'2021'!Resal+('2021'!Salim-'2021'!Resal)*(1-EXP(('2021'!Tnet-t)/('2021'!Tau_j))),Resal+(Salim-Resal)*(1-EXP((Tnet-t)/(Tau_j))))*Salcycl</f>
        <v>9.4944210142186361E-2</v>
      </c>
      <c r="P330" s="339">
        <f>(INDEX(Models!$BJ330:$BT330,,T330)*(1-R330)+INDEX(Models!$BJ330:$BT330,,T330+1)*R330-ERP_i)*Q330*Ramure*Pc/MaxiM</f>
        <v>2.3225307691398856E-3</v>
      </c>
      <c r="Q330" s="305">
        <f t="shared" si="105"/>
        <v>0.7</v>
      </c>
      <c r="R330" s="177">
        <f t="shared" si="106"/>
        <v>0.49934694146371233</v>
      </c>
      <c r="S330" s="921">
        <f t="shared" si="107"/>
        <v>0</v>
      </c>
      <c r="T330" s="176">
        <f t="shared" si="108"/>
        <v>6</v>
      </c>
      <c r="U330" s="251">
        <f t="shared" si="109"/>
        <v>0.49934694146371233</v>
      </c>
      <c r="V330" s="383">
        <f t="shared" si="110"/>
        <v>29.262611349497458</v>
      </c>
      <c r="W330" s="402">
        <f t="shared" si="111"/>
        <v>0</v>
      </c>
      <c r="X330" s="157">
        <f t="shared" si="112"/>
        <v>44877</v>
      </c>
      <c r="Y330" s="385">
        <f t="shared" si="113"/>
        <v>26.030192680650938</v>
      </c>
      <c r="Z330" s="385">
        <f t="shared" si="114"/>
        <v>26.978663334429076</v>
      </c>
      <c r="AA330" s="386">
        <f t="shared" si="115"/>
        <v>31.409558764574847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0.14106837550176407</v>
      </c>
      <c r="AD330" s="231">
        <f>(INDEX(Models!$BJ330:$BT330,,AH330)*(1-AF330)+INDEX(Models!$BJ330:$BT330,,AH330+1)*AF330-ERP_i)*AE330*Ramure*Pc/MaxiM</f>
        <v>2.3225307691398856E-3</v>
      </c>
      <c r="AE330" s="305">
        <f t="shared" si="117"/>
        <v>0.7</v>
      </c>
      <c r="AF330" s="177">
        <f t="shared" si="118"/>
        <v>0.49934694146371233</v>
      </c>
      <c r="AG330" s="921">
        <f t="shared" si="124"/>
        <v>0</v>
      </c>
      <c r="AH330" s="176">
        <f t="shared" si="119"/>
        <v>6</v>
      </c>
      <c r="AI330" s="225">
        <f t="shared" si="120"/>
        <v>0.49934694146371233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092">
        <v>27.608000000000001</v>
      </c>
      <c r="C331" s="955"/>
      <c r="D331" s="393">
        <f t="shared" si="102"/>
        <v>28.61458846862002</v>
      </c>
      <c r="E331" s="385">
        <f t="shared" si="125"/>
        <v>31.620260757423889</v>
      </c>
      <c r="F331" s="385">
        <f t="shared" si="103"/>
        <v>31.691903081077836</v>
      </c>
      <c r="G331" s="110">
        <f t="shared" si="126"/>
        <v>0.95207930645598315</v>
      </c>
      <c r="H331" s="414" t="b">
        <f>Wh_hp&gt;='2021'!Maxi_hp</f>
        <v>1</v>
      </c>
      <c r="I331" s="380">
        <f>IF(H331,Wh_hp,'2021'!Maxi_hp)</f>
        <v>31.691903081077836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3.5177457461039063E-2</v>
      </c>
      <c r="M331" s="959"/>
      <c r="N331" s="959"/>
      <c r="O331" s="48">
        <f>IF(t&lt;Tnet,'2021'!Resal+('2021'!Salim-'2021'!Resal)*(1-EXP(('2021'!Tnet-t)/('2021'!Tau_j))),Resal+(Salim-Resal)*(1-EXP((Tnet-t)/(Tau_j))))*Salcycl</f>
        <v>9.5055265731740959E-2</v>
      </c>
      <c r="P331" s="339">
        <f>(INDEX(Models!$BJ331:$BT331,,T331)*(1-R331)+INDEX(Models!$BJ331:$BT331,,T331+1)*R331-ERP_i)*Q331*Ramure*Pc/MaxiM</f>
        <v>2.4261282474399739E-3</v>
      </c>
      <c r="Q331" s="305">
        <f t="shared" si="105"/>
        <v>0.7</v>
      </c>
      <c r="R331" s="177">
        <f t="shared" si="106"/>
        <v>0.49938135826046304</v>
      </c>
      <c r="S331" s="921">
        <f t="shared" si="107"/>
        <v>0</v>
      </c>
      <c r="T331" s="176">
        <f t="shared" si="108"/>
        <v>6</v>
      </c>
      <c r="U331" s="251">
        <f t="shared" si="109"/>
        <v>0.49938135826046304</v>
      </c>
      <c r="V331" s="383">
        <f t="shared" si="110"/>
        <v>28.992773198871181</v>
      </c>
      <c r="W331" s="402">
        <f t="shared" si="111"/>
        <v>0</v>
      </c>
      <c r="X331" s="157">
        <f t="shared" si="112"/>
        <v>44878</v>
      </c>
      <c r="Y331" s="385">
        <f t="shared" si="113"/>
        <v>26.203044467036637</v>
      </c>
      <c r="Z331" s="385">
        <f t="shared" si="114"/>
        <v>27.158408216792385</v>
      </c>
      <c r="AA331" s="386">
        <f t="shared" si="115"/>
        <v>31.620260757423889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0.14110739234128356</v>
      </c>
      <c r="AD331" s="231">
        <f>(INDEX(Models!$BJ331:$BT331,,AH331)*(1-AF331)+INDEX(Models!$BJ331:$BT331,,AH331+1)*AF331-ERP_i)*AE331*Ramure*Pc/MaxiM</f>
        <v>2.4261282474399739E-3</v>
      </c>
      <c r="AE331" s="305">
        <f t="shared" si="117"/>
        <v>0.7</v>
      </c>
      <c r="AF331" s="177">
        <f t="shared" si="118"/>
        <v>0.49938135826046304</v>
      </c>
      <c r="AG331" s="921">
        <f t="shared" si="124"/>
        <v>0</v>
      </c>
      <c r="AH331" s="176">
        <f t="shared" si="119"/>
        <v>6</v>
      </c>
      <c r="AI331" s="225">
        <f t="shared" si="120"/>
        <v>0.49938135826046304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092">
        <v>10.319000000000001</v>
      </c>
      <c r="C332" s="955"/>
      <c r="D332" s="393">
        <f t="shared" si="102"/>
        <v>10.695465292900403</v>
      </c>
      <c r="E332" s="385">
        <f t="shared" si="125"/>
        <v>11.82037534550372</v>
      </c>
      <c r="F332" s="385">
        <f t="shared" si="103"/>
        <v>11.822917815700713</v>
      </c>
      <c r="G332" s="110">
        <f t="shared" si="126"/>
        <v>0.35840031091576818</v>
      </c>
      <c r="H332" s="414" t="b">
        <f>Wh_hp&gt;='2021'!Maxi_hp</f>
        <v>0</v>
      </c>
      <c r="I332" s="380">
        <f>IF(H332,Wh_hp,'2021'!Maxi_hp)</f>
        <v>20.754830581758107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3.5198589550872406E-2</v>
      </c>
      <c r="M332" s="959"/>
      <c r="N332" s="959"/>
      <c r="O332" s="48">
        <f>IF(t&lt;Tnet,'2021'!Resal+('2021'!Salim-'2021'!Resal)*(1-EXP(('2021'!Tnet-t)/('2021'!Tau_j))),Resal+(Salim-Resal)*(1-EXP((Tnet-t)/(Tau_j))))*Salcycl</f>
        <v>9.5167033171346282E-2</v>
      </c>
      <c r="P332" s="339">
        <f>(INDEX(Models!$BJ332:$BT332,,T332)*(1-R332)+INDEX(Models!$BJ332:$BT332,,T332+1)*R332-ERP_i)*Q332*Ramure*Pc/MaxiM</f>
        <v>2.5412214441035623E-3</v>
      </c>
      <c r="Q332" s="305">
        <f t="shared" si="105"/>
        <v>0.7</v>
      </c>
      <c r="R332" s="177">
        <f t="shared" si="106"/>
        <v>0.49941439379302471</v>
      </c>
      <c r="S332" s="921">
        <f t="shared" si="107"/>
        <v>0</v>
      </c>
      <c r="T332" s="176">
        <f t="shared" si="108"/>
        <v>6</v>
      </c>
      <c r="U332" s="251">
        <f t="shared" si="109"/>
        <v>0.49941439379302471</v>
      </c>
      <c r="V332" s="383">
        <f t="shared" si="110"/>
        <v>28.724838450598536</v>
      </c>
      <c r="W332" s="402">
        <f t="shared" si="111"/>
        <v>0</v>
      </c>
      <c r="X332" s="157">
        <f t="shared" si="112"/>
        <v>44879</v>
      </c>
      <c r="Y332" s="385">
        <f t="shared" si="113"/>
        <v>9.794621513748023</v>
      </c>
      <c r="Z332" s="385">
        <f t="shared" si="114"/>
        <v>10.151956047813508</v>
      </c>
      <c r="AA332" s="386">
        <f t="shared" si="115"/>
        <v>11.82037534550372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0.14114774268355637</v>
      </c>
      <c r="AD332" s="231">
        <f>(INDEX(Models!$BJ332:$BT332,,AH332)*(1-AF332)+INDEX(Models!$BJ332:$BT332,,AH332+1)*AF332-ERP_i)*AE332*Ramure*Pc/MaxiM</f>
        <v>2.5412214441035623E-3</v>
      </c>
      <c r="AE332" s="305">
        <f t="shared" si="117"/>
        <v>0.7</v>
      </c>
      <c r="AF332" s="177">
        <f t="shared" si="118"/>
        <v>0.49941439379302471</v>
      </c>
      <c r="AG332" s="921">
        <f t="shared" si="124"/>
        <v>0</v>
      </c>
      <c r="AH332" s="176">
        <f t="shared" si="119"/>
        <v>6</v>
      </c>
      <c r="AI332" s="225">
        <f t="shared" si="120"/>
        <v>0.49941439379302471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092">
        <v>12.323</v>
      </c>
      <c r="C333" s="955"/>
      <c r="D333" s="393">
        <f t="shared" si="102"/>
        <v>12.772856442551483</v>
      </c>
      <c r="E333" s="385">
        <f t="shared" si="125"/>
        <v>14.118015251466385</v>
      </c>
      <c r="F333" s="385">
        <f t="shared" si="103"/>
        <v>14.125161916258408</v>
      </c>
      <c r="G333" s="110">
        <f t="shared" si="126"/>
        <v>0.43206946593172324</v>
      </c>
      <c r="H333" s="414" t="b">
        <f>Wh_hp&gt;='2021'!Maxi_hp</f>
        <v>0</v>
      </c>
      <c r="I333" s="380">
        <f>IF(H333,Wh_hp,'2021'!Maxi_hp)</f>
        <v>29.501536808911666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3.5219721177858876E-2</v>
      </c>
      <c r="M333" s="959"/>
      <c r="N333" s="959"/>
      <c r="O333" s="48">
        <f>IF(t&lt;Tnet,'2021'!Resal+('2021'!Salim-'2021'!Resal)*(1-EXP(('2021'!Tnet-t)/('2021'!Tau_j))),Resal+(Salim-Resal)*(1-EXP((Tnet-t)/(Tau_j))))*Salcycl</f>
        <v>9.5279597376492844E-2</v>
      </c>
      <c r="P333" s="339">
        <f>(INDEX(Models!$BJ333:$BT333,,T333)*(1-R333)+INDEX(Models!$BJ333:$BT333,,T333+1)*R333-ERP_i)*Q333*Ramure*Pc/MaxiM</f>
        <v>2.6628317181016082E-3</v>
      </c>
      <c r="Q333" s="305">
        <f t="shared" si="105"/>
        <v>0.7</v>
      </c>
      <c r="R333" s="177">
        <f t="shared" si="106"/>
        <v>0.49944610332431982</v>
      </c>
      <c r="S333" s="921">
        <f t="shared" si="107"/>
        <v>0</v>
      </c>
      <c r="T333" s="176">
        <f t="shared" si="108"/>
        <v>6</v>
      </c>
      <c r="U333" s="251">
        <f t="shared" si="109"/>
        <v>0.49944610332431982</v>
      </c>
      <c r="V333" s="383">
        <f t="shared" si="110"/>
        <v>28.459329565360264</v>
      </c>
      <c r="W333" s="402">
        <f t="shared" si="111"/>
        <v>0</v>
      </c>
      <c r="X333" s="157">
        <f t="shared" si="112"/>
        <v>44880</v>
      </c>
      <c r="Y333" s="385">
        <f t="shared" si="113"/>
        <v>11.697670543000541</v>
      </c>
      <c r="Z333" s="385">
        <f t="shared" si="114"/>
        <v>12.124699063378166</v>
      </c>
      <c r="AA333" s="386">
        <f t="shared" si="115"/>
        <v>14.118015251466385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0.14118954772209794</v>
      </c>
      <c r="AD333" s="231">
        <f>(INDEX(Models!$BJ333:$BT333,,AH333)*(1-AF333)+INDEX(Models!$BJ333:$BT333,,AH333+1)*AF333-ERP_i)*AE333*Ramure*Pc/MaxiM</f>
        <v>2.6628317181016082E-3</v>
      </c>
      <c r="AE333" s="305">
        <f t="shared" si="117"/>
        <v>0.7</v>
      </c>
      <c r="AF333" s="177">
        <f t="shared" si="118"/>
        <v>0.49944610332431982</v>
      </c>
      <c r="AG333" s="921">
        <f t="shared" si="124"/>
        <v>0</v>
      </c>
      <c r="AH333" s="176">
        <f t="shared" si="119"/>
        <v>6</v>
      </c>
      <c r="AI333" s="225">
        <f t="shared" si="120"/>
        <v>0.49944610332431982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092">
        <v>27.303000000000001</v>
      </c>
      <c r="C334" s="955"/>
      <c r="D334" s="393">
        <f t="shared" si="102"/>
        <v>28.300327668599571</v>
      </c>
      <c r="E334" s="385">
        <f t="shared" si="125"/>
        <v>31.284667157219406</v>
      </c>
      <c r="F334" s="385">
        <f t="shared" si="103"/>
        <v>31.368252603975634</v>
      </c>
      <c r="G334" s="110">
        <f t="shared" si="126"/>
        <v>0.96818482492181046</v>
      </c>
      <c r="H334" s="414" t="b">
        <f>Wh_hp&gt;='2021'!Maxi_hp</f>
        <v>1</v>
      </c>
      <c r="I334" s="380">
        <f>IF(H334,Wh_hp,'2021'!Maxi_hp)</f>
        <v>31.368252603975634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3.5240852342008355E-2</v>
      </c>
      <c r="M334" s="959"/>
      <c r="N334" s="959"/>
      <c r="O334" s="48">
        <f>IF(t&lt;Tnet,'2021'!Resal+('2021'!Salim-'2021'!Resal)*(1-EXP(('2021'!Tnet-t)/('2021'!Tau_j))),Resal+(Salim-Resal)*(1-EXP((Tnet-t)/(Tau_j))))*Salcycl</f>
        <v>9.5393039459943707E-2</v>
      </c>
      <c r="P334" s="339">
        <f>(INDEX(Models!$BJ334:$BT334,,T334)*(1-R334)+INDEX(Models!$BJ334:$BT334,,T334+1)*R334-ERP_i)*Q334*Ramure*Pc/MaxiM</f>
        <v>2.7910141600801706E-3</v>
      </c>
      <c r="Q334" s="305">
        <f t="shared" si="105"/>
        <v>0.7</v>
      </c>
      <c r="R334" s="177">
        <f t="shared" si="106"/>
        <v>0.49947653991980939</v>
      </c>
      <c r="S334" s="921">
        <f t="shared" si="107"/>
        <v>0</v>
      </c>
      <c r="T334" s="176">
        <f t="shared" si="108"/>
        <v>6</v>
      </c>
      <c r="U334" s="251">
        <f t="shared" si="109"/>
        <v>0.49947653991980939</v>
      </c>
      <c r="V334" s="383">
        <f t="shared" si="110"/>
        <v>28.196621127516917</v>
      </c>
      <c r="W334" s="402">
        <f t="shared" si="111"/>
        <v>0</v>
      </c>
      <c r="X334" s="157">
        <f t="shared" si="112"/>
        <v>44881</v>
      </c>
      <c r="Y334" s="385">
        <f t="shared" si="113"/>
        <v>25.919452907775344</v>
      </c>
      <c r="Z334" s="385">
        <f t="shared" si="114"/>
        <v>26.866242181477428</v>
      </c>
      <c r="AA334" s="386">
        <f t="shared" si="115"/>
        <v>31.284667157219406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0.14123292261788886</v>
      </c>
      <c r="AD334" s="231">
        <f>(INDEX(Models!$BJ334:$BT334,,AH334)*(1-AF334)+INDEX(Models!$BJ334:$BT334,,AH334+1)*AF334-ERP_i)*AE334*Ramure*Pc/MaxiM</f>
        <v>2.7910141600801706E-3</v>
      </c>
      <c r="AE334" s="305">
        <f t="shared" si="117"/>
        <v>0.7</v>
      </c>
      <c r="AF334" s="177">
        <f t="shared" si="118"/>
        <v>0.49947653991980939</v>
      </c>
      <c r="AG334" s="921">
        <f t="shared" si="124"/>
        <v>0</v>
      </c>
      <c r="AH334" s="176">
        <f t="shared" si="119"/>
        <v>6</v>
      </c>
      <c r="AI334" s="225">
        <f t="shared" si="120"/>
        <v>0.49947653991980939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092">
        <v>14.588000000000001</v>
      </c>
      <c r="C335" s="955"/>
      <c r="D335" s="393">
        <f t="shared" ref="D335:D379" si="127">Wh/(1-Ppv)</f>
        <v>15.121203625849462</v>
      </c>
      <c r="E335" s="385">
        <f t="shared" si="125"/>
        <v>16.717886065464143</v>
      </c>
      <c r="F335" s="385">
        <f t="shared" ref="F335:F379" si="128">Wh_sa/(1-Pvg*MEDIAN((-Sdif+Wh/Env_an)/Csdif,0,1))</f>
        <v>16.733425190037696</v>
      </c>
      <c r="G335" s="110">
        <f t="shared" si="126"/>
        <v>0.52112940711900035</v>
      </c>
      <c r="H335" s="414" t="b">
        <f>Wh_hp&gt;='2021'!Maxi_hp</f>
        <v>0</v>
      </c>
      <c r="I335" s="380">
        <f>IF(H335,Wh_hp,'2021'!Maxi_hp)</f>
        <v>31.482813740825435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3.5261983043331169E-2</v>
      </c>
      <c r="M335" s="959"/>
      <c r="N335" s="959"/>
      <c r="O335" s="48">
        <f>IF(t&lt;Tnet,'2021'!Resal+('2021'!Salim-'2021'!Resal)*(1-EXP(('2021'!Tnet-t)/('2021'!Tau_j))),Resal+(Salim-Resal)*(1-EXP((Tnet-t)/(Tau_j))))*Salcycl</f>
        <v>9.5507436368591492E-2</v>
      </c>
      <c r="P335" s="339">
        <f>(INDEX(Models!$BJ335:$BT335,,T335)*(1-R335)+INDEX(Models!$BJ335:$BT335,,T335+1)*R335-ERP_i)*Q335*Ramure*Pc/MaxiM</f>
        <v>2.9258223838783746E-3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0.49950575453380364</v>
      </c>
      <c r="S335" s="92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0.49950575453380364</v>
      </c>
      <c r="V335" s="383">
        <f t="shared" ref="V335:V379" si="135">MaxiM*(1-Ppv)*(1-Pvg)*(1-Psa)</f>
        <v>27.937087499560942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13.849795332691158</v>
      </c>
      <c r="Z335" s="385">
        <f t="shared" ref="Z335:Z379" si="139">Wh_sa_s*(1-Psa_s)</f>
        <v>14.35601695927903</v>
      </c>
      <c r="AA335" s="386">
        <f t="shared" ref="AA335:AA379" si="140">Wh_hp*(1-Pvg_s*MEDIAN((-Sdif+Wh/Env_an)/Csdif,0,1))</f>
        <v>16.717886065464143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0.14127797599149031</v>
      </c>
      <c r="AD335" s="231">
        <f>(INDEX(Models!$BJ335:$BT335,,AH335)*(1-AF335)+INDEX(Models!$BJ335:$BT335,,AH335+1)*AF335-ERP_i)*AE335*Ramure*Pc/MaxiM</f>
        <v>2.9258223838783746E-3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0.49950575453380364</v>
      </c>
      <c r="AG335" s="92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0.49950575453380364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092">
        <v>13.319000000000001</v>
      </c>
      <c r="C336" s="955"/>
      <c r="D336" s="393">
        <f t="shared" si="127"/>
        <v>13.80612300185752</v>
      </c>
      <c r="E336" s="385">
        <f t="shared" si="125"/>
        <v>15.265891185822959</v>
      </c>
      <c r="F336" s="385">
        <f t="shared" si="128"/>
        <v>15.278019075111919</v>
      </c>
      <c r="G336" s="110">
        <f t="shared" si="126"/>
        <v>0.4800637948714101</v>
      </c>
      <c r="H336" s="414" t="b">
        <f>Wh_hp&gt;='2021'!Maxi_hp</f>
        <v>0</v>
      </c>
      <c r="I336" s="380">
        <f>IF(H336,Wh_hp,'2021'!Maxi_hp)</f>
        <v>29.94043779612808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3.5283113281837308E-2</v>
      </c>
      <c r="M336" s="959"/>
      <c r="N336" s="959"/>
      <c r="O336" s="48">
        <f>IF(t&lt;Tnet,'2021'!Resal+('2021'!Salim-'2021'!Resal)*(1-EXP(('2021'!Tnet-t)/('2021'!Tau_j))),Resal+(Salim-Resal)*(1-EXP((Tnet-t)/(Tau_j))))*Salcycl</f>
        <v>9.5622860545546667E-2</v>
      </c>
      <c r="P336" s="339">
        <f>(INDEX(Models!$BJ336:$BT336,,T336)*(1-R336)+INDEX(Models!$BJ336:$BT336,,T336+1)*R336-ERP_i)*Q336*Ramure*Pc/MaxiM</f>
        <v>3.067307519107837E-3</v>
      </c>
      <c r="Q336" s="305">
        <f t="shared" si="130"/>
        <v>0.7</v>
      </c>
      <c r="R336" s="177">
        <f t="shared" si="131"/>
        <v>0.49953379609246701</v>
      </c>
      <c r="S336" s="921">
        <f t="shared" si="132"/>
        <v>0</v>
      </c>
      <c r="T336" s="176">
        <f t="shared" si="133"/>
        <v>6</v>
      </c>
      <c r="U336" s="251">
        <f t="shared" si="134"/>
        <v>0.49953379609246701</v>
      </c>
      <c r="V336" s="383">
        <f t="shared" si="135"/>
        <v>27.681102827211205</v>
      </c>
      <c r="W336" s="402">
        <f t="shared" si="136"/>
        <v>0</v>
      </c>
      <c r="X336" s="157">
        <f t="shared" si="137"/>
        <v>44883</v>
      </c>
      <c r="Y336" s="385">
        <f t="shared" si="138"/>
        <v>12.645935377987797</v>
      </c>
      <c r="Z336" s="385">
        <f t="shared" si="139"/>
        <v>13.108442022827621</v>
      </c>
      <c r="AA336" s="386">
        <f t="shared" si="140"/>
        <v>15.265891185822959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0.14132480945487841</v>
      </c>
      <c r="AD336" s="231">
        <f>(INDEX(Models!$BJ336:$BT336,,AH336)*(1-AF336)+INDEX(Models!$BJ336:$BT336,,AH336+1)*AF336-ERP_i)*AE336*Ramure*Pc/MaxiM</f>
        <v>3.067307519107837E-3</v>
      </c>
      <c r="AE336" s="305">
        <f t="shared" si="142"/>
        <v>0.7</v>
      </c>
      <c r="AF336" s="177">
        <f t="shared" si="143"/>
        <v>0.49953379609246701</v>
      </c>
      <c r="AG336" s="921">
        <f t="shared" ref="AG336:AG379" si="149">INDEX(Echel_vg,AH336)</f>
        <v>0</v>
      </c>
      <c r="AH336" s="176">
        <f t="shared" si="144"/>
        <v>6</v>
      </c>
      <c r="AI336" s="225">
        <f t="shared" si="145"/>
        <v>0.49953379609246701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092">
        <v>5.7439999999999998</v>
      </c>
      <c r="C337" s="955"/>
      <c r="D337" s="393">
        <f t="shared" si="127"/>
        <v>5.9542088359600687</v>
      </c>
      <c r="E337" s="385">
        <f t="shared" si="125"/>
        <v>6.5846158748537187</v>
      </c>
      <c r="F337" s="385">
        <f t="shared" si="128"/>
        <v>6.5846158748537187</v>
      </c>
      <c r="G337" s="110">
        <f t="shared" si="126"/>
        <v>0.20873971000994249</v>
      </c>
      <c r="H337" s="414" t="b">
        <f>Wh_hp&gt;='2021'!Maxi_hp</f>
        <v>0</v>
      </c>
      <c r="I337" s="380">
        <f>IF(H337,Wh_hp,'2021'!Maxi_hp)</f>
        <v>31.549585507891482</v>
      </c>
      <c r="J337" s="85">
        <f>IF(H337,An,'2021'!An_max)</f>
        <v>2021</v>
      </c>
      <c r="K337" s="197">
        <f t="shared" si="129"/>
        <v>44884</v>
      </c>
      <c r="L337" s="147">
        <f>IF(t&lt;Tvie,1-EXP((T0-t)*PertePVj)+'2021'!Pspv,1-EXP((T0-t)*PertePVj)+Pspv)</f>
        <v>3.5304243057537099E-2</v>
      </c>
      <c r="M337" s="959"/>
      <c r="N337" s="959"/>
      <c r="O337" s="48">
        <f>IF(t&lt;Tnet,'2021'!Resal+('2021'!Salim-'2021'!Resal)*(1-EXP(('2021'!Tnet-t)/('2021'!Tau_j))),Resal+(Salim-Resal)*(1-EXP((Tnet-t)/(Tau_j))))*Salcycl</f>
        <v>9.5739379619871126E-2</v>
      </c>
      <c r="P337" s="339">
        <f>(INDEX(Models!$BJ337:$BT337,,T337)*(1-R337)+INDEX(Models!$BJ337:$BT337,,T337+1)*R337-ERP_i)*Q337*Ramure*Pc/MaxiM</f>
        <v>3.2155170696944214E-3</v>
      </c>
      <c r="Q337" s="305">
        <f t="shared" si="130"/>
        <v>0.7</v>
      </c>
      <c r="R337" s="177">
        <f t="shared" si="131"/>
        <v>0.49956071157363752</v>
      </c>
      <c r="S337" s="921">
        <f t="shared" si="132"/>
        <v>0</v>
      </c>
      <c r="T337" s="176">
        <f t="shared" si="133"/>
        <v>6</v>
      </c>
      <c r="U337" s="251">
        <f t="shared" si="134"/>
        <v>0.49956071157363752</v>
      </c>
      <c r="V337" s="383">
        <f t="shared" si="135"/>
        <v>27.429041027598256</v>
      </c>
      <c r="W337" s="402">
        <f t="shared" si="136"/>
        <v>0</v>
      </c>
      <c r="X337" s="157">
        <f t="shared" si="137"/>
        <v>44884</v>
      </c>
      <c r="Y337" s="385">
        <f t="shared" si="138"/>
        <v>5.4541250676255713</v>
      </c>
      <c r="Z337" s="385">
        <f t="shared" si="139"/>
        <v>5.6537255693049246</v>
      </c>
      <c r="AA337" s="386">
        <f t="shared" si="140"/>
        <v>6.5846158748537187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0.14137351718629665</v>
      </c>
      <c r="AD337" s="231">
        <f>(INDEX(Models!$BJ337:$BT337,,AH337)*(1-AF337)+INDEX(Models!$BJ337:$BT337,,AH337+1)*AF337-ERP_i)*AE337*Ramure*Pc/MaxiM</f>
        <v>3.2155170696944214E-3</v>
      </c>
      <c r="AE337" s="305">
        <f t="shared" si="142"/>
        <v>0.7</v>
      </c>
      <c r="AF337" s="177">
        <f t="shared" si="143"/>
        <v>0.49956071157363752</v>
      </c>
      <c r="AG337" s="921">
        <f t="shared" si="149"/>
        <v>0</v>
      </c>
      <c r="AH337" s="176">
        <f t="shared" si="144"/>
        <v>6</v>
      </c>
      <c r="AI337" s="225">
        <f t="shared" si="145"/>
        <v>0.49956071157363752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092">
        <v>17.010999999999999</v>
      </c>
      <c r="C338" s="955"/>
      <c r="D338" s="393">
        <f t="shared" si="127"/>
        <v>17.633924965768166</v>
      </c>
      <c r="E338" s="385">
        <f t="shared" si="125"/>
        <v>19.503470203743255</v>
      </c>
      <c r="F338" s="385">
        <f t="shared" si="128"/>
        <v>19.534089868534554</v>
      </c>
      <c r="G338" s="110">
        <f t="shared" si="126"/>
        <v>0.62470508124323876</v>
      </c>
      <c r="H338" s="414" t="b">
        <f>Wh_hp&gt;='2021'!Maxi_hp</f>
        <v>0</v>
      </c>
      <c r="I338" s="380">
        <f>IF(H338,Wh_hp,'2021'!Maxi_hp)</f>
        <v>31.724603682982458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3.5325372370440533E-2</v>
      </c>
      <c r="M338" s="959"/>
      <c r="N338" s="959"/>
      <c r="O338" s="48">
        <f>IF(t&lt;Tnet,'2021'!Resal+('2021'!Salim-'2021'!Resal)*(1-EXP(('2021'!Tnet-t)/('2021'!Tau_j))),Resal+(Salim-Resal)*(1-EXP((Tnet-t)/(Tau_j))))*Salcycl</f>
        <v>9.5857056126159176E-2</v>
      </c>
      <c r="P338" s="339">
        <f>(INDEX(Models!$BJ338:$BT338,,T338)*(1-R338)+INDEX(Models!$BJ338:$BT338,,T338+1)*R338-ERP_i)*Q338*Ramure*Pc/MaxiM</f>
        <v>3.3675165783740016E-3</v>
      </c>
      <c r="Q338" s="305">
        <f t="shared" si="130"/>
        <v>0.7</v>
      </c>
      <c r="R338" s="177">
        <f t="shared" si="131"/>
        <v>0.49958654608357655</v>
      </c>
      <c r="S338" s="921">
        <f t="shared" si="132"/>
        <v>0</v>
      </c>
      <c r="T338" s="176">
        <f t="shared" si="133"/>
        <v>6</v>
      </c>
      <c r="U338" s="251">
        <f t="shared" si="134"/>
        <v>0.49958654608357655</v>
      </c>
      <c r="V338" s="383">
        <f t="shared" si="135"/>
        <v>27.181356990901335</v>
      </c>
      <c r="W338" s="402">
        <f t="shared" si="136"/>
        <v>0</v>
      </c>
      <c r="X338" s="157">
        <f t="shared" si="137"/>
        <v>44885</v>
      </c>
      <c r="Y338" s="385">
        <f t="shared" si="138"/>
        <v>16.153677113282104</v>
      </c>
      <c r="Z338" s="385">
        <f t="shared" si="139"/>
        <v>16.745207814758871</v>
      </c>
      <c r="AA338" s="386">
        <f t="shared" si="140"/>
        <v>19.503470203743255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0.14142418555109218</v>
      </c>
      <c r="AD338" s="231">
        <f>(INDEX(Models!$BJ338:$BT338,,AH338)*(1-AF338)+INDEX(Models!$BJ338:$BT338,,AH338+1)*AF338-ERP_i)*AE338*Ramure*Pc/MaxiM</f>
        <v>3.3675165783740016E-3</v>
      </c>
      <c r="AE338" s="305">
        <f t="shared" si="142"/>
        <v>0.7</v>
      </c>
      <c r="AF338" s="177">
        <f t="shared" si="143"/>
        <v>0.49958654608357655</v>
      </c>
      <c r="AG338" s="921">
        <f t="shared" si="149"/>
        <v>0</v>
      </c>
      <c r="AH338" s="176">
        <f t="shared" si="144"/>
        <v>6</v>
      </c>
      <c r="AI338" s="225">
        <f t="shared" si="145"/>
        <v>0.49958654608357655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092">
        <v>3.395</v>
      </c>
      <c r="C339" s="955"/>
      <c r="D339" s="393">
        <f t="shared" si="127"/>
        <v>3.5193984205682449</v>
      </c>
      <c r="E339" s="385">
        <f t="shared" si="125"/>
        <v>3.893036263676287</v>
      </c>
      <c r="F339" s="385">
        <f t="shared" si="128"/>
        <v>3.893036263676287</v>
      </c>
      <c r="G339" s="110">
        <f t="shared" si="126"/>
        <v>0.12558412839459648</v>
      </c>
      <c r="H339" s="414" t="b">
        <f>Wh_hp&gt;='2021'!Maxi_hp</f>
        <v>0</v>
      </c>
      <c r="I339" s="380">
        <f>IF(H339,Wh_hp,'2021'!Maxi_hp)</f>
        <v>30.885830486283265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3.5346501220557824E-2</v>
      </c>
      <c r="M339" s="959"/>
      <c r="N339" s="959"/>
      <c r="O339" s="48">
        <f>IF(t&lt;Tnet,'2021'!Resal+('2021'!Salim-'2021'!Resal)*(1-EXP(('2021'!Tnet-t)/('2021'!Tau_j))),Resal+(Salim-Resal)*(1-EXP((Tnet-t)/(Tau_j))))*Salcycl</f>
        <v>9.5975947255936195E-2</v>
      </c>
      <c r="P339" s="339">
        <f>(INDEX(Models!$BJ339:$BT339,,T339)*(1-R339)+INDEX(Models!$BJ339:$BT339,,T339+1)*R339-ERP_i)*Q339*Ramure*Pc/MaxiM</f>
        <v>3.5181072517024479E-3</v>
      </c>
      <c r="Q339" s="305">
        <f t="shared" si="130"/>
        <v>0.7</v>
      </c>
      <c r="R339" s="177">
        <f t="shared" si="131"/>
        <v>0.49961134293076165</v>
      </c>
      <c r="S339" s="921">
        <f t="shared" si="132"/>
        <v>0</v>
      </c>
      <c r="T339" s="176">
        <f t="shared" si="133"/>
        <v>6</v>
      </c>
      <c r="U339" s="251">
        <f t="shared" si="134"/>
        <v>0.49961134293076165</v>
      </c>
      <c r="V339" s="383">
        <f t="shared" si="135"/>
        <v>26.938563567926419</v>
      </c>
      <c r="W339" s="402">
        <f t="shared" si="136"/>
        <v>0</v>
      </c>
      <c r="X339" s="157">
        <f t="shared" si="137"/>
        <v>44886</v>
      </c>
      <c r="Y339" s="385">
        <f t="shared" si="138"/>
        <v>3.224124336288142</v>
      </c>
      <c r="Z339" s="385">
        <f t="shared" si="139"/>
        <v>3.3422615896459873</v>
      </c>
      <c r="AA339" s="386">
        <f t="shared" si="140"/>
        <v>3.893036263676287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0.14147689277114261</v>
      </c>
      <c r="AD339" s="231">
        <f>(INDEX(Models!$BJ339:$BT339,,AH339)*(1-AF339)+INDEX(Models!$BJ339:$BT339,,AH339+1)*AF339-ERP_i)*AE339*Ramure*Pc/MaxiM</f>
        <v>3.5181072517024479E-3</v>
      </c>
      <c r="AE339" s="305">
        <f t="shared" si="142"/>
        <v>0.7</v>
      </c>
      <c r="AF339" s="177">
        <f t="shared" si="143"/>
        <v>0.49961134293076165</v>
      </c>
      <c r="AG339" s="921">
        <f t="shared" si="149"/>
        <v>0</v>
      </c>
      <c r="AH339" s="176">
        <f t="shared" si="144"/>
        <v>6</v>
      </c>
      <c r="AI339" s="225">
        <f t="shared" si="145"/>
        <v>0.49961134293076165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092">
        <v>7.5200000000000005</v>
      </c>
      <c r="C340" s="955"/>
      <c r="D340" s="393">
        <f t="shared" si="127"/>
        <v>7.7957159958703146</v>
      </c>
      <c r="E340" s="385">
        <f t="shared" si="125"/>
        <v>8.6244965155149309</v>
      </c>
      <c r="F340" s="385">
        <f t="shared" si="128"/>
        <v>8.6244965155149309</v>
      </c>
      <c r="G340" s="110">
        <f t="shared" si="126"/>
        <v>0.28060424103546283</v>
      </c>
      <c r="H340" s="414" t="b">
        <f>Wh_hp&gt;='2021'!Maxi_hp</f>
        <v>0</v>
      </c>
      <c r="I340" s="380">
        <f>IF(H340,Wh_hp,'2021'!Maxi_hp)</f>
        <v>31.571381737013635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3.5367629607898965E-2</v>
      </c>
      <c r="M340" s="959"/>
      <c r="N340" s="959"/>
      <c r="O340" s="48">
        <f>IF(t&lt;Tnet,'2021'!Resal+('2021'!Salim-'2021'!Resal)*(1-EXP(('2021'!Tnet-t)/('2021'!Tau_j))),Resal+(Salim-Resal)*(1-EXP((Tnet-t)/(Tau_j))))*Salcycl</f>
        <v>9.6096104642594729E-2</v>
      </c>
      <c r="P340" s="339">
        <f>(INDEX(Models!$BJ340:$BT340,,T340)*(1-R340)+INDEX(Models!$BJ340:$BT340,,T340+1)*R340-ERP_i)*Q340*Ramure*Pc/MaxiM</f>
        <v>3.6672523345483267E-3</v>
      </c>
      <c r="Q340" s="305">
        <f t="shared" si="130"/>
        <v>0.7</v>
      </c>
      <c r="R340" s="177">
        <f t="shared" si="131"/>
        <v>0.49963514369683026</v>
      </c>
      <c r="S340" s="921">
        <f t="shared" si="132"/>
        <v>0</v>
      </c>
      <c r="T340" s="176">
        <f t="shared" si="133"/>
        <v>6</v>
      </c>
      <c r="U340" s="251">
        <f t="shared" si="134"/>
        <v>0.49963514369683026</v>
      </c>
      <c r="V340" s="383">
        <f t="shared" si="135"/>
        <v>26.701030015784053</v>
      </c>
      <c r="W340" s="402">
        <f t="shared" si="136"/>
        <v>0</v>
      </c>
      <c r="X340" s="157">
        <f t="shared" si="137"/>
        <v>44887</v>
      </c>
      <c r="Y340" s="385">
        <f t="shared" si="138"/>
        <v>7.1419999229412419</v>
      </c>
      <c r="Z340" s="385">
        <f t="shared" si="139"/>
        <v>7.4038567874704242</v>
      </c>
      <c r="AA340" s="386">
        <f t="shared" si="140"/>
        <v>8.6244965155149309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0.14153170864509623</v>
      </c>
      <c r="AD340" s="231">
        <f>(INDEX(Models!$BJ340:$BT340,,AH340)*(1-AF340)+INDEX(Models!$BJ340:$BT340,,AH340+1)*AF340-ERP_i)*AE340*Ramure*Pc/MaxiM</f>
        <v>3.6672523345483267E-3</v>
      </c>
      <c r="AE340" s="305">
        <f t="shared" si="142"/>
        <v>0.7</v>
      </c>
      <c r="AF340" s="177">
        <f t="shared" si="143"/>
        <v>0.49963514369683026</v>
      </c>
      <c r="AG340" s="921">
        <f t="shared" si="149"/>
        <v>0</v>
      </c>
      <c r="AH340" s="176">
        <f t="shared" si="144"/>
        <v>6</v>
      </c>
      <c r="AI340" s="225">
        <f t="shared" si="145"/>
        <v>0.49963514369683026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092">
        <v>11.667</v>
      </c>
      <c r="C341" s="955"/>
      <c r="D341" s="393">
        <f t="shared" si="127"/>
        <v>12.095028013726242</v>
      </c>
      <c r="E341" s="385">
        <f t="shared" si="125"/>
        <v>13.382676702050468</v>
      </c>
      <c r="F341" s="385">
        <f t="shared" si="128"/>
        <v>13.392951967668319</v>
      </c>
      <c r="G341" s="110">
        <f t="shared" si="126"/>
        <v>0.43943330316249446</v>
      </c>
      <c r="H341" s="414" t="b">
        <f>Wh_hp&gt;='2021'!Maxi_hp</f>
        <v>0</v>
      </c>
      <c r="I341" s="380">
        <f>IF(H341,Wh_hp,'2021'!Maxi_hp)</f>
        <v>31.553325364511156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3.538875753247428E-2</v>
      </c>
      <c r="M341" s="959"/>
      <c r="N341" s="959"/>
      <c r="O341" s="48">
        <f>IF(t&lt;Tnet,'2021'!Resal+('2021'!Salim-'2021'!Resal)*(1-EXP(('2021'!Tnet-t)/('2021'!Tau_j))),Resal+(Salim-Resal)*(1-EXP((Tnet-t)/(Tau_j))))*Salcycl</f>
        <v>9.6217574181324567E-2</v>
      </c>
      <c r="P341" s="339">
        <f>(INDEX(Models!$BJ341:$BT341,,T341)*(1-R341)+INDEX(Models!$BJ341:$BT341,,T341+1)*R341-ERP_i)*Q341*Ramure*Pc/MaxiM</f>
        <v>3.8148809404018693E-3</v>
      </c>
      <c r="Q341" s="305">
        <f t="shared" si="130"/>
        <v>0.7</v>
      </c>
      <c r="R341" s="177">
        <f t="shared" si="131"/>
        <v>0.49965798830477998</v>
      </c>
      <c r="S341" s="921">
        <f t="shared" si="132"/>
        <v>0</v>
      </c>
      <c r="T341" s="176">
        <f t="shared" si="133"/>
        <v>6</v>
      </c>
      <c r="U341" s="251">
        <f t="shared" si="134"/>
        <v>0.49965798830477998</v>
      </c>
      <c r="V341" s="383">
        <f t="shared" si="135"/>
        <v>26.469126235742216</v>
      </c>
      <c r="W341" s="402">
        <f t="shared" si="136"/>
        <v>0</v>
      </c>
      <c r="X341" s="157">
        <f t="shared" si="137"/>
        <v>44888</v>
      </c>
      <c r="Y341" s="385">
        <f t="shared" si="138"/>
        <v>11.081300562225461</v>
      </c>
      <c r="Z341" s="385">
        <f t="shared" si="139"/>
        <v>11.487840981283734</v>
      </c>
      <c r="AA341" s="386">
        <f t="shared" si="140"/>
        <v>13.382676702050468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0.14158869432124971</v>
      </c>
      <c r="AD341" s="231">
        <f>(INDEX(Models!$BJ341:$BT341,,AH341)*(1-AF341)+INDEX(Models!$BJ341:$BT341,,AH341+1)*AF341-ERP_i)*AE341*Ramure*Pc/MaxiM</f>
        <v>3.8148809404018693E-3</v>
      </c>
      <c r="AE341" s="305">
        <f t="shared" si="142"/>
        <v>0.7</v>
      </c>
      <c r="AF341" s="177">
        <f t="shared" si="143"/>
        <v>0.49965798830477998</v>
      </c>
      <c r="AG341" s="921">
        <f t="shared" si="149"/>
        <v>0</v>
      </c>
      <c r="AH341" s="176">
        <f t="shared" si="144"/>
        <v>6</v>
      </c>
      <c r="AI341" s="225">
        <f t="shared" si="145"/>
        <v>0.49965798830477998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092">
        <v>13.780000000000001</v>
      </c>
      <c r="C342" s="955"/>
      <c r="D342" s="393">
        <f t="shared" si="127"/>
        <v>14.285860683859987</v>
      </c>
      <c r="E342" s="385">
        <f t="shared" si="125"/>
        <v>15.808895981196658</v>
      </c>
      <c r="F342" s="385">
        <f t="shared" si="128"/>
        <v>15.829056688040634</v>
      </c>
      <c r="G342" s="110">
        <f t="shared" si="126"/>
        <v>0.52367511437205971</v>
      </c>
      <c r="H342" s="414" t="b">
        <f>Wh_hp&gt;='2021'!Maxi_hp</f>
        <v>0</v>
      </c>
      <c r="I342" s="380">
        <f>IF(H342,Wh_hp,'2021'!Maxi_hp)</f>
        <v>29.21125181785667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3.5409884994293872E-2</v>
      </c>
      <c r="M342" s="959"/>
      <c r="N342" s="959"/>
      <c r="O342" s="48">
        <f>IF(t&lt;Tnet,'2021'!Resal+('2021'!Salim-'2021'!Resal)*(1-EXP(('2021'!Tnet-t)/('2021'!Tau_j))),Resal+(Salim-Resal)*(1-EXP((Tnet-t)/(Tau_j))))*Salcycl</f>
        <v>9.6340395885215063E-2</v>
      </c>
      <c r="P342" s="339">
        <f>(INDEX(Models!$BJ342:$BT342,,T342)*(1-R342)+INDEX(Models!$BJ342:$BT342,,T342+1)*R342-ERP_i)*Q342*Ramure*Pc/MaxiM</f>
        <v>3.960923727837312E-3</v>
      </c>
      <c r="Q342" s="305">
        <f t="shared" si="130"/>
        <v>0.7</v>
      </c>
      <c r="R342" s="177">
        <f t="shared" si="131"/>
        <v>0.49967991508452797</v>
      </c>
      <c r="S342" s="921">
        <f t="shared" si="132"/>
        <v>0</v>
      </c>
      <c r="T342" s="176">
        <f t="shared" si="133"/>
        <v>6</v>
      </c>
      <c r="U342" s="251">
        <f t="shared" si="134"/>
        <v>0.49967991508452797</v>
      </c>
      <c r="V342" s="383">
        <f t="shared" si="135"/>
        <v>26.24322178327775</v>
      </c>
      <c r="W342" s="402">
        <f t="shared" si="136"/>
        <v>0</v>
      </c>
      <c r="X342" s="157">
        <f t="shared" si="137"/>
        <v>44889</v>
      </c>
      <c r="Y342" s="385">
        <f t="shared" si="138"/>
        <v>13.089101089465535</v>
      </c>
      <c r="Z342" s="385">
        <f t="shared" si="139"/>
        <v>13.569599030556212</v>
      </c>
      <c r="AA342" s="386">
        <f t="shared" si="140"/>
        <v>15.808895981196658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0.14164790212446846</v>
      </c>
      <c r="AD342" s="231">
        <f>(INDEX(Models!$BJ342:$BT342,,AH342)*(1-AF342)+INDEX(Models!$BJ342:$BT342,,AH342+1)*AF342-ERP_i)*AE342*Ramure*Pc/MaxiM</f>
        <v>3.960923727837312E-3</v>
      </c>
      <c r="AE342" s="305">
        <f t="shared" si="142"/>
        <v>0.7</v>
      </c>
      <c r="AF342" s="177">
        <f t="shared" si="143"/>
        <v>0.49967991508452797</v>
      </c>
      <c r="AG342" s="921">
        <f t="shared" si="149"/>
        <v>0</v>
      </c>
      <c r="AH342" s="176">
        <f t="shared" si="144"/>
        <v>6</v>
      </c>
      <c r="AI342" s="225">
        <f t="shared" si="145"/>
        <v>0.49967991508452797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092">
        <v>4.2380000000000004</v>
      </c>
      <c r="C343" s="955"/>
      <c r="D343" s="393">
        <f t="shared" si="127"/>
        <v>4.3936722543383908</v>
      </c>
      <c r="E343" s="385">
        <f t="shared" si="125"/>
        <v>4.8627560942403933</v>
      </c>
      <c r="F343" s="385">
        <f t="shared" si="128"/>
        <v>4.8627560942403933</v>
      </c>
      <c r="G343" s="110">
        <f t="shared" si="126"/>
        <v>0.16218308597313816</v>
      </c>
      <c r="H343" s="414" t="b">
        <f>Wh_hp&gt;='2021'!Maxi_hp</f>
        <v>0</v>
      </c>
      <c r="I343" s="380">
        <f>IF(H343,Wh_hp,'2021'!Maxi_hp)</f>
        <v>27.276647569608237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3.5431011993367734E-2</v>
      </c>
      <c r="M343" s="959"/>
      <c r="N343" s="959"/>
      <c r="O343" s="48">
        <f>IF(t&lt;Tnet,'2021'!Resal+('2021'!Salim-'2021'!Resal)*(1-EXP(('2021'!Tnet-t)/('2021'!Tau_j))),Resal+(Salim-Resal)*(1-EXP((Tnet-t)/(Tau_j))))*Salcycl</f>
        <v>9.6464603778421171E-2</v>
      </c>
      <c r="P343" s="339">
        <f>(INDEX(Models!$BJ343:$BT343,,T343)*(1-R343)+INDEX(Models!$BJ343:$BT343,,T343+1)*R343-ERP_i)*Q343*Ramure*Pc/MaxiM</f>
        <v>4.1053192044256722E-3</v>
      </c>
      <c r="Q343" s="305">
        <f t="shared" si="130"/>
        <v>0.7</v>
      </c>
      <c r="R343" s="177">
        <f t="shared" si="131"/>
        <v>0.4997009608359253</v>
      </c>
      <c r="S343" s="921">
        <f t="shared" si="132"/>
        <v>0</v>
      </c>
      <c r="T343" s="176">
        <f t="shared" si="133"/>
        <v>6</v>
      </c>
      <c r="U343" s="251">
        <f t="shared" si="134"/>
        <v>0.4997009608359253</v>
      </c>
      <c r="V343" s="383">
        <f t="shared" si="135"/>
        <v>26.023685712273895</v>
      </c>
      <c r="W343" s="402">
        <f t="shared" si="136"/>
        <v>0</v>
      </c>
      <c r="X343" s="157">
        <f t="shared" si="137"/>
        <v>44890</v>
      </c>
      <c r="Y343" s="385">
        <f t="shared" si="138"/>
        <v>4.0257810397957972</v>
      </c>
      <c r="Z343" s="385">
        <f t="shared" si="139"/>
        <v>4.1736579652176378</v>
      </c>
      <c r="AA343" s="386">
        <f t="shared" si="140"/>
        <v>4.8627560942403933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0.14170937543812775</v>
      </c>
      <c r="AD343" s="231">
        <f>(INDEX(Models!$BJ343:$BT343,,AH343)*(1-AF343)+INDEX(Models!$BJ343:$BT343,,AH343+1)*AF343-ERP_i)*AE343*Ramure*Pc/MaxiM</f>
        <v>4.1053192044256722E-3</v>
      </c>
      <c r="AE343" s="305">
        <f t="shared" si="142"/>
        <v>0.7</v>
      </c>
      <c r="AF343" s="177">
        <f t="shared" si="143"/>
        <v>0.4997009608359253</v>
      </c>
      <c r="AG343" s="921">
        <f t="shared" si="149"/>
        <v>0</v>
      </c>
      <c r="AH343" s="176">
        <f t="shared" si="144"/>
        <v>6</v>
      </c>
      <c r="AI343" s="225">
        <f t="shared" si="145"/>
        <v>0.4997009608359253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092">
        <v>13.145</v>
      </c>
      <c r="C344" s="955"/>
      <c r="D344" s="393">
        <f t="shared" si="127"/>
        <v>13.628146953705977</v>
      </c>
      <c r="E344" s="385">
        <f t="shared" si="125"/>
        <v>15.085233017521077</v>
      </c>
      <c r="F344" s="385">
        <f t="shared" si="128"/>
        <v>15.104416177237642</v>
      </c>
      <c r="G344" s="110">
        <f t="shared" si="126"/>
        <v>0.50776267111562456</v>
      </c>
      <c r="H344" s="414" t="b">
        <f>Wh_hp&gt;='2021'!Maxi_hp</f>
        <v>0</v>
      </c>
      <c r="I344" s="380">
        <f>IF(H344,Wh_hp,'2021'!Maxi_hp)</f>
        <v>27.777098112719983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3.545213852970619E-2</v>
      </c>
      <c r="M344" s="959"/>
      <c r="N344" s="959"/>
      <c r="O344" s="48">
        <f>IF(t&lt;Tnet,'2021'!Resal+('2021'!Salim-'2021'!Resal)*(1-EXP(('2021'!Tnet-t)/('2021'!Tau_j))),Resal+(Salim-Resal)*(1-EXP((Tnet-t)/(Tau_j))))*Salcycl</f>
        <v>9.6590225826988188E-2</v>
      </c>
      <c r="P344" s="339">
        <f>(INDEX(Models!$BJ344:$BT344,,T344)*(1-R344)+INDEX(Models!$BJ344:$BT344,,T344+1)*R344-ERP_i)*Q344*Ramure*Pc/MaxiM</f>
        <v>4.2479948846140892E-3</v>
      </c>
      <c r="Q344" s="305">
        <f t="shared" si="130"/>
        <v>0.7</v>
      </c>
      <c r="R344" s="177">
        <f t="shared" si="131"/>
        <v>0.49972116088932367</v>
      </c>
      <c r="S344" s="921">
        <f t="shared" si="132"/>
        <v>0</v>
      </c>
      <c r="T344" s="176">
        <f t="shared" si="133"/>
        <v>6</v>
      </c>
      <c r="U344" s="251">
        <f t="shared" si="134"/>
        <v>0.49972116088932367</v>
      </c>
      <c r="V344" s="383">
        <f t="shared" si="135"/>
        <v>25.810887060648856</v>
      </c>
      <c r="W344" s="402">
        <f t="shared" si="136"/>
        <v>0</v>
      </c>
      <c r="X344" s="157">
        <f t="shared" si="137"/>
        <v>44891</v>
      </c>
      <c r="Y344" s="385">
        <f t="shared" si="138"/>
        <v>12.487569078420746</v>
      </c>
      <c r="Z344" s="385">
        <f t="shared" si="139"/>
        <v>12.946552034634664</v>
      </c>
      <c r="AA344" s="386">
        <f t="shared" si="140"/>
        <v>15.085233017521077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0.14177314864161492</v>
      </c>
      <c r="AD344" s="231">
        <f>(INDEX(Models!$BJ344:$BT344,,AH344)*(1-AF344)+INDEX(Models!$BJ344:$BT344,,AH344+1)*AF344-ERP_i)*AE344*Ramure*Pc/MaxiM</f>
        <v>4.2479948846140892E-3</v>
      </c>
      <c r="AE344" s="305">
        <f t="shared" si="142"/>
        <v>0.7</v>
      </c>
      <c r="AF344" s="177">
        <f t="shared" si="143"/>
        <v>0.49972116088932367</v>
      </c>
      <c r="AG344" s="921">
        <f t="shared" si="149"/>
        <v>0</v>
      </c>
      <c r="AH344" s="176">
        <f t="shared" si="144"/>
        <v>6</v>
      </c>
      <c r="AI344" s="225">
        <f t="shared" si="145"/>
        <v>0.49972116088932367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092">
        <v>14</v>
      </c>
      <c r="C345" s="955"/>
      <c r="D345" s="393">
        <f t="shared" si="127"/>
        <v>14.514890553284893</v>
      </c>
      <c r="E345" s="385">
        <f t="shared" si="125"/>
        <v>16.069044934322214</v>
      </c>
      <c r="F345" s="385">
        <f t="shared" si="128"/>
        <v>16.093958646655963</v>
      </c>
      <c r="G345" s="110">
        <f t="shared" si="126"/>
        <v>0.54530153291377748</v>
      </c>
      <c r="H345" s="414" t="b">
        <f>Wh_hp&gt;='2021'!Maxi_hp</f>
        <v>0</v>
      </c>
      <c r="I345" s="380">
        <f>IF(H345,Wh_hp,'2021'!Maxi_hp)</f>
        <v>27.662208875171967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3.5473264603319121E-2</v>
      </c>
      <c r="M345" s="959"/>
      <c r="N345" s="959"/>
      <c r="O345" s="48">
        <f>IF(t&lt;Tnet,'2021'!Resal+('2021'!Salim-'2021'!Resal)*(1-EXP(('2021'!Tnet-t)/('2021'!Tau_j))),Resal+(Salim-Resal)*(1-EXP((Tnet-t)/(Tau_j))))*Salcycl</f>
        <v>9.6717283907630999E-2</v>
      </c>
      <c r="P345" s="339">
        <f>(INDEX(Models!$BJ345:$BT345,,T345)*(1-R345)+INDEX(Models!$BJ345:$BT345,,T345+1)*R345-ERP_i)*Q345*Ramure*Pc/MaxiM</f>
        <v>4.3896165592157092E-3</v>
      </c>
      <c r="Q345" s="305">
        <f t="shared" si="130"/>
        <v>0.7</v>
      </c>
      <c r="R345" s="177">
        <f t="shared" si="131"/>
        <v>0.49974054916378424</v>
      </c>
      <c r="S345" s="921">
        <f t="shared" si="132"/>
        <v>0</v>
      </c>
      <c r="T345" s="176">
        <f t="shared" si="133"/>
        <v>6</v>
      </c>
      <c r="U345" s="251">
        <f t="shared" si="134"/>
        <v>0.49974054916378424</v>
      </c>
      <c r="V345" s="383">
        <f t="shared" si="135"/>
        <v>25.600800797750544</v>
      </c>
      <c r="W345" s="402">
        <f t="shared" si="136"/>
        <v>0</v>
      </c>
      <c r="X345" s="157">
        <f t="shared" si="137"/>
        <v>44892</v>
      </c>
      <c r="Y345" s="385">
        <f t="shared" si="138"/>
        <v>13.300653634252118</v>
      </c>
      <c r="Z345" s="385">
        <f t="shared" si="139"/>
        <v>13.789823699165746</v>
      </c>
      <c r="AA345" s="386">
        <f t="shared" si="140"/>
        <v>16.069044934322214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0.14183924710349344</v>
      </c>
      <c r="AD345" s="231">
        <f>(INDEX(Models!$BJ345:$BT345,,AH345)*(1-AF345)+INDEX(Models!$BJ345:$BT345,,AH345+1)*AF345-ERP_i)*AE345*Ramure*Pc/MaxiM</f>
        <v>4.3896165592157092E-3</v>
      </c>
      <c r="AE345" s="305">
        <f t="shared" si="142"/>
        <v>0.7</v>
      </c>
      <c r="AF345" s="177">
        <f t="shared" si="143"/>
        <v>0.49974054916378424</v>
      </c>
      <c r="AG345" s="921">
        <f t="shared" si="149"/>
        <v>0</v>
      </c>
      <c r="AH345" s="176">
        <f t="shared" si="144"/>
        <v>6</v>
      </c>
      <c r="AI345" s="225">
        <f t="shared" si="145"/>
        <v>0.49974054916378424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092">
        <v>9.0370000000000008</v>
      </c>
      <c r="C346" s="955"/>
      <c r="D346" s="393">
        <f t="shared" si="127"/>
        <v>9.3695670697105857</v>
      </c>
      <c r="E346" s="385">
        <f t="shared" si="125"/>
        <v>10.374271642140531</v>
      </c>
      <c r="F346" s="385">
        <f t="shared" si="128"/>
        <v>10.37802108705305</v>
      </c>
      <c r="G346" s="110">
        <f t="shared" si="126"/>
        <v>0.35443990506024414</v>
      </c>
      <c r="H346" s="414" t="b">
        <f>Wh_hp&gt;='2021'!Maxi_hp</f>
        <v>0</v>
      </c>
      <c r="I346" s="380">
        <f>IF(H346,Wh_hp,'2021'!Maxi_hp)</f>
        <v>20.343286490073936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3.5494390214216964E-2</v>
      </c>
      <c r="M346" s="959"/>
      <c r="N346" s="959"/>
      <c r="O346" s="48">
        <f>IF(t&lt;Tnet,'2021'!Resal+('2021'!Salim-'2021'!Resal)*(1-EXP(('2021'!Tnet-t)/('2021'!Tau_j))),Resal+(Salim-Resal)*(1-EXP((Tnet-t)/(Tau_j))))*Salcycl</f>
        <v>9.6845793814460415E-2</v>
      </c>
      <c r="P346" s="339">
        <f>(INDEX(Models!$BJ346:$BT346,,T346)*(1-R346)+INDEX(Models!$BJ346:$BT346,,T346+1)*R346-ERP_i)*Q346*Ramure*Pc/MaxiM</f>
        <v>4.5224295397645452E-3</v>
      </c>
      <c r="Q346" s="305">
        <f t="shared" si="130"/>
        <v>0.7</v>
      </c>
      <c r="R346" s="177">
        <f t="shared" si="131"/>
        <v>0.49975915822301897</v>
      </c>
      <c r="S346" s="921">
        <f t="shared" si="132"/>
        <v>0</v>
      </c>
      <c r="T346" s="176">
        <f t="shared" si="133"/>
        <v>6</v>
      </c>
      <c r="U346" s="251">
        <f t="shared" si="134"/>
        <v>0.49975915822301897</v>
      </c>
      <c r="V346" s="383">
        <f t="shared" si="135"/>
        <v>25.390431597154311</v>
      </c>
      <c r="W346" s="402">
        <f t="shared" si="136"/>
        <v>0</v>
      </c>
      <c r="X346" s="157">
        <f t="shared" si="137"/>
        <v>44893</v>
      </c>
      <c r="Y346" s="385">
        <f t="shared" si="138"/>
        <v>8.586108747977784</v>
      </c>
      <c r="Z346" s="385">
        <f t="shared" si="139"/>
        <v>8.9020827467087109</v>
      </c>
      <c r="AA346" s="386">
        <f t="shared" si="140"/>
        <v>10.374271642140531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0.14190768722998884</v>
      </c>
      <c r="AD346" s="231">
        <f>(INDEX(Models!$BJ346:$BT346,,AH346)*(1-AF346)+INDEX(Models!$BJ346:$BT346,,AH346+1)*AF346-ERP_i)*AE346*Ramure*Pc/MaxiM</f>
        <v>4.5224295397645452E-3</v>
      </c>
      <c r="AE346" s="305">
        <f t="shared" si="142"/>
        <v>0.7</v>
      </c>
      <c r="AF346" s="177">
        <f t="shared" si="143"/>
        <v>0.49975915822301897</v>
      </c>
      <c r="AG346" s="921">
        <f t="shared" si="149"/>
        <v>0</v>
      </c>
      <c r="AH346" s="176">
        <f t="shared" si="144"/>
        <v>6</v>
      </c>
      <c r="AI346" s="225">
        <f t="shared" si="145"/>
        <v>0.49975915822301897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092">
        <v>12.714</v>
      </c>
      <c r="C347" s="955"/>
      <c r="D347" s="393">
        <f t="shared" si="127"/>
        <v>13.182171618631426</v>
      </c>
      <c r="E347" s="385">
        <f t="shared" si="125"/>
        <v>14.597804922765572</v>
      </c>
      <c r="F347" s="385">
        <f t="shared" si="128"/>
        <v>14.617681633326237</v>
      </c>
      <c r="G347" s="110">
        <f t="shared" si="126"/>
        <v>0.50323554192933595</v>
      </c>
      <c r="H347" s="414" t="b">
        <f>Wh_hp&gt;='2021'!Maxi_hp</f>
        <v>0</v>
      </c>
      <c r="I347" s="380">
        <f>IF(H347,Wh_hp,'2021'!Maxi_hp)</f>
        <v>29.549892661364552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3.5515515362409711E-2</v>
      </c>
      <c r="M347" s="959"/>
      <c r="N347" s="959"/>
      <c r="O347" s="48">
        <f>IF(t&lt;Tnet,'2021'!Resal+('2021'!Salim-'2021'!Resal)*(1-EXP(('2021'!Tnet-t)/('2021'!Tau_j))),Resal+(Salim-Resal)*(1-EXP((Tnet-t)/(Tau_j))))*Salcycl</f>
        <v>9.6975765303346242E-2</v>
      </c>
      <c r="P347" s="339">
        <f>(INDEX(Models!$BJ347:$BT347,,T347)*(1-R347)+INDEX(Models!$BJ347:$BT347,,T347+1)*R347-ERP_i)*Q347*Ramure*Pc/MaxiM</f>
        <v>4.645463107820616E-3</v>
      </c>
      <c r="Q347" s="305">
        <f t="shared" si="130"/>
        <v>0.7</v>
      </c>
      <c r="R347" s="177">
        <f t="shared" si="131"/>
        <v>0.49977701932914814</v>
      </c>
      <c r="S347" s="921">
        <f t="shared" si="132"/>
        <v>0</v>
      </c>
      <c r="T347" s="176">
        <f t="shared" si="133"/>
        <v>6</v>
      </c>
      <c r="U347" s="251">
        <f t="shared" si="134"/>
        <v>0.49977701932914814</v>
      </c>
      <c r="V347" s="383">
        <f t="shared" si="135"/>
        <v>25.181386812792486</v>
      </c>
      <c r="W347" s="402">
        <f t="shared" si="136"/>
        <v>0</v>
      </c>
      <c r="X347" s="157">
        <f t="shared" si="137"/>
        <v>44894</v>
      </c>
      <c r="Y347" s="385">
        <f t="shared" si="138"/>
        <v>12.080390791038692</v>
      </c>
      <c r="Z347" s="385">
        <f t="shared" si="139"/>
        <v>12.525230818594201</v>
      </c>
      <c r="AA347" s="386">
        <f t="shared" si="140"/>
        <v>14.597804922765572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0.14197847656801812</v>
      </c>
      <c r="AD347" s="231">
        <f>(INDEX(Models!$BJ347:$BT347,,AH347)*(1-AF347)+INDEX(Models!$BJ347:$BT347,,AH347+1)*AF347-ERP_i)*AE347*Ramure*Pc/MaxiM</f>
        <v>4.645463107820616E-3</v>
      </c>
      <c r="AE347" s="305">
        <f t="shared" si="142"/>
        <v>0.7</v>
      </c>
      <c r="AF347" s="177">
        <f t="shared" si="143"/>
        <v>0.49977701932914814</v>
      </c>
      <c r="AG347" s="921">
        <f t="shared" si="149"/>
        <v>0</v>
      </c>
      <c r="AH347" s="176">
        <f t="shared" si="144"/>
        <v>6</v>
      </c>
      <c r="AI347" s="225">
        <f t="shared" si="145"/>
        <v>0.49977701932914814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092">
        <v>4.1349999999999998</v>
      </c>
      <c r="C348" s="955"/>
      <c r="D348" s="393">
        <f t="shared" si="127"/>
        <v>4.2873583089827232</v>
      </c>
      <c r="E348" s="385">
        <f t="shared" si="125"/>
        <v>4.7484688318509276</v>
      </c>
      <c r="F348" s="385">
        <f t="shared" si="128"/>
        <v>4.7484688318509276</v>
      </c>
      <c r="G348" s="110">
        <f t="shared" si="126"/>
        <v>0.16477605631728537</v>
      </c>
      <c r="H348" s="414" t="b">
        <f>Wh_hp&gt;='2021'!Maxi_hp</f>
        <v>0</v>
      </c>
      <c r="I348" s="380">
        <f>IF(H348,Wh_hp,'2021'!Maxi_hp)</f>
        <v>27.333508248606524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3.5536640047907353E-2</v>
      </c>
      <c r="M348" s="959"/>
      <c r="N348" s="959"/>
      <c r="O348" s="48">
        <f>IF(t&lt;Tnet,'2021'!Resal+('2021'!Salim-'2021'!Resal)*(1-EXP(('2021'!Tnet-t)/('2021'!Tau_j))),Resal+(Salim-Resal)*(1-EXP((Tnet-t)/(Tau_j))))*Salcycl</f>
        <v>9.710720217330901E-2</v>
      </c>
      <c r="P348" s="339">
        <f>(INDEX(Models!$BJ348:$BT348,,T348)*(1-R348)+INDEX(Models!$BJ348:$BT348,,T348+1)*R348-ERP_i)*Q348*Ramure*Pc/MaxiM</f>
        <v>4.7584072948953383E-3</v>
      </c>
      <c r="Q348" s="305">
        <f t="shared" si="130"/>
        <v>0.7</v>
      </c>
      <c r="R348" s="177">
        <f t="shared" si="131"/>
        <v>0.49979416249435721</v>
      </c>
      <c r="S348" s="921">
        <f t="shared" si="132"/>
        <v>0</v>
      </c>
      <c r="T348" s="176">
        <f t="shared" si="133"/>
        <v>6</v>
      </c>
      <c r="U348" s="251">
        <f t="shared" si="134"/>
        <v>0.49979416249435721</v>
      </c>
      <c r="V348" s="383">
        <f t="shared" si="135"/>
        <v>24.975254765846103</v>
      </c>
      <c r="W348" s="402">
        <f t="shared" si="136"/>
        <v>0</v>
      </c>
      <c r="X348" s="157">
        <f t="shared" si="137"/>
        <v>44895</v>
      </c>
      <c r="Y348" s="385">
        <f t="shared" si="138"/>
        <v>3.9291669894900561</v>
      </c>
      <c r="Z348" s="385">
        <f t="shared" si="139"/>
        <v>4.073941170440345</v>
      </c>
      <c r="AA348" s="386">
        <f t="shared" si="140"/>
        <v>4.7484688318509276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0.14205161396155899</v>
      </c>
      <c r="AD348" s="231">
        <f>(INDEX(Models!$BJ348:$BT348,,AH348)*(1-AF348)+INDEX(Models!$BJ348:$BT348,,AH348+1)*AF348-ERP_i)*AE348*Ramure*Pc/MaxiM</f>
        <v>4.7584072948953383E-3</v>
      </c>
      <c r="AE348" s="305">
        <f t="shared" si="142"/>
        <v>0.7</v>
      </c>
      <c r="AF348" s="177">
        <f t="shared" si="143"/>
        <v>0.49979416249435721</v>
      </c>
      <c r="AG348" s="921">
        <f t="shared" si="149"/>
        <v>0</v>
      </c>
      <c r="AH348" s="176">
        <f t="shared" si="144"/>
        <v>6</v>
      </c>
      <c r="AI348" s="225">
        <f t="shared" si="145"/>
        <v>0.49979416249435721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092">
        <v>3.3439999999999999</v>
      </c>
      <c r="C349" s="955"/>
      <c r="D349" s="393">
        <f t="shared" si="127"/>
        <v>3.4672890465766222</v>
      </c>
      <c r="E349" s="385">
        <f t="shared" si="125"/>
        <v>3.840765474555472</v>
      </c>
      <c r="F349" s="385">
        <f t="shared" si="128"/>
        <v>3.840765474555472</v>
      </c>
      <c r="G349" s="110">
        <f t="shared" si="126"/>
        <v>0.1343261382416438</v>
      </c>
      <c r="H349" s="414" t="b">
        <f>Wh_hp&gt;='2021'!Maxi_hp</f>
        <v>0</v>
      </c>
      <c r="I349" s="380">
        <f>IF(H349,Wh_hp,'2021'!Maxi_hp)</f>
        <v>28.263329653266126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3.5557764270720327E-2</v>
      </c>
      <c r="M349" s="959"/>
      <c r="N349" s="959"/>
      <c r="O349" s="48">
        <f>IF(t&lt;Tnet,'2021'!Resal+('2021'!Salim-'2021'!Resal)*(1-EXP(('2021'!Tnet-t)/('2021'!Tau_j))),Resal+(Salim-Resal)*(1-EXP((Tnet-t)/(Tau_j))))*Salcycl</f>
        <v>9.7240102384037339E-2</v>
      </c>
      <c r="P349" s="339">
        <f>(INDEX(Models!$BJ349:$BT349,,T349)*(1-R349)+INDEX(Models!$BJ349:$BT349,,T349+1)*R349-ERP_i)*Q349*Ramure*Pc/MaxiM</f>
        <v>4.8609006531265958E-3</v>
      </c>
      <c r="Q349" s="305">
        <f t="shared" si="130"/>
        <v>0.7</v>
      </c>
      <c r="R349" s="177">
        <f t="shared" si="131"/>
        <v>0.49981061653053271</v>
      </c>
      <c r="S349" s="921">
        <f t="shared" si="132"/>
        <v>0</v>
      </c>
      <c r="T349" s="176">
        <f t="shared" si="133"/>
        <v>6</v>
      </c>
      <c r="U349" s="251">
        <f t="shared" si="134"/>
        <v>0.49981061653053271</v>
      </c>
      <c r="V349" s="383">
        <f t="shared" si="135"/>
        <v>24.773623300548934</v>
      </c>
      <c r="W349" s="402">
        <f t="shared" si="136"/>
        <v>0</v>
      </c>
      <c r="X349" s="157">
        <f t="shared" si="137"/>
        <v>44896</v>
      </c>
      <c r="Y349" s="385">
        <f t="shared" si="138"/>
        <v>3.1777297811071126</v>
      </c>
      <c r="Z349" s="385">
        <f t="shared" si="139"/>
        <v>3.2948886552072425</v>
      </c>
      <c r="AA349" s="386">
        <f t="shared" si="140"/>
        <v>3.840765474555472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0.14212708975973304</v>
      </c>
      <c r="AD349" s="231">
        <f>(INDEX(Models!$BJ349:$BT349,,AH349)*(1-AF349)+INDEX(Models!$BJ349:$BT349,,AH349+1)*AF349-ERP_i)*AE349*Ramure*Pc/MaxiM</f>
        <v>4.8609006531265958E-3</v>
      </c>
      <c r="AE349" s="305">
        <f t="shared" si="142"/>
        <v>0.7</v>
      </c>
      <c r="AF349" s="177">
        <f t="shared" si="143"/>
        <v>0.49981061653053271</v>
      </c>
      <c r="AG349" s="921">
        <f t="shared" si="149"/>
        <v>0</v>
      </c>
      <c r="AH349" s="176">
        <f t="shared" si="144"/>
        <v>6</v>
      </c>
      <c r="AI349" s="225">
        <f t="shared" si="145"/>
        <v>0.49981061653053271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092">
        <v>6.3150000000000004</v>
      </c>
      <c r="C350" s="955"/>
      <c r="D350" s="393">
        <f t="shared" si="127"/>
        <v>6.5479694726986244</v>
      </c>
      <c r="E350" s="385">
        <f t="shared" si="125"/>
        <v>7.2543587229996955</v>
      </c>
      <c r="F350" s="385">
        <f t="shared" si="128"/>
        <v>7.2543587229996955</v>
      </c>
      <c r="G350" s="110">
        <f t="shared" si="126"/>
        <v>0.2556637787353826</v>
      </c>
      <c r="H350" s="414" t="b">
        <f>Wh_hp&gt;='2021'!Maxi_hp</f>
        <v>0</v>
      </c>
      <c r="I350" s="380">
        <f>IF(H350,Wh_hp,'2021'!Maxi_hp)</f>
        <v>11.458603807529059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3.5578888030858513E-2</v>
      </c>
      <c r="M350" s="959"/>
      <c r="N350" s="959"/>
      <c r="O350" s="48">
        <f>IF(t&lt;Tnet,'2021'!Resal+('2021'!Salim-'2021'!Resal)*(1-EXP(('2021'!Tnet-t)/('2021'!Tau_j))),Resal+(Salim-Resal)*(1-EXP((Tnet-t)/(Tau_j))))*Salcycl</f>
        <v>9.7374458208344256E-2</v>
      </c>
      <c r="P350" s="339">
        <f>(INDEX(Models!$BJ350:$BT350,,T350)*(1-R350)+INDEX(Models!$BJ350:$BT350,,T350+1)*R350-ERP_i)*Q350*Ramure*Pc/MaxiM</f>
        <v>4.9525349561488031E-3</v>
      </c>
      <c r="Q350" s="305">
        <f t="shared" si="130"/>
        <v>0.7</v>
      </c>
      <c r="R350" s="177">
        <f t="shared" si="131"/>
        <v>0.49982640909695464</v>
      </c>
      <c r="S350" s="921">
        <f t="shared" si="132"/>
        <v>0</v>
      </c>
      <c r="T350" s="176">
        <f t="shared" si="133"/>
        <v>6</v>
      </c>
      <c r="U350" s="251">
        <f t="shared" si="134"/>
        <v>0.49982640909695464</v>
      </c>
      <c r="V350" s="383">
        <f t="shared" si="135"/>
        <v>24.578079745335017</v>
      </c>
      <c r="W350" s="402">
        <f t="shared" si="136"/>
        <v>0</v>
      </c>
      <c r="X350" s="157">
        <f t="shared" si="137"/>
        <v>44897</v>
      </c>
      <c r="Y350" s="385">
        <f t="shared" si="138"/>
        <v>6.0013548183964165</v>
      </c>
      <c r="Z350" s="385">
        <f t="shared" si="139"/>
        <v>6.2227534672513904</v>
      </c>
      <c r="AA350" s="386">
        <f t="shared" si="140"/>
        <v>7.2543587229996955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0.14220488607457971</v>
      </c>
      <c r="AD350" s="231">
        <f>(INDEX(Models!$BJ350:$BT350,,AH350)*(1-AF350)+INDEX(Models!$BJ350:$BT350,,AH350+1)*AF350-ERP_i)*AE350*Ramure*Pc/MaxiM</f>
        <v>4.9525349561488031E-3</v>
      </c>
      <c r="AE350" s="305">
        <f t="shared" si="142"/>
        <v>0.7</v>
      </c>
      <c r="AF350" s="177">
        <f t="shared" si="143"/>
        <v>0.49982640909695464</v>
      </c>
      <c r="AG350" s="921">
        <f t="shared" si="149"/>
        <v>0</v>
      </c>
      <c r="AH350" s="176">
        <f t="shared" si="144"/>
        <v>6</v>
      </c>
      <c r="AI350" s="225">
        <f t="shared" si="145"/>
        <v>0.49982640909695464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092">
        <v>7.1070000000000002</v>
      </c>
      <c r="C351" s="955"/>
      <c r="D351" s="393">
        <f t="shared" si="127"/>
        <v>7.369348904481992</v>
      </c>
      <c r="E351" s="385">
        <f t="shared" si="125"/>
        <v>8.1655763479745787</v>
      </c>
      <c r="F351" s="385">
        <f t="shared" si="128"/>
        <v>8.1655763479745787</v>
      </c>
      <c r="G351" s="110">
        <f t="shared" si="126"/>
        <v>0.28992088222987478</v>
      </c>
      <c r="H351" s="414" t="b">
        <f>Wh_hp&gt;='2021'!Maxi_hp</f>
        <v>0</v>
      </c>
      <c r="I351" s="380">
        <f>IF(H351,Wh_hp,'2021'!Maxi_hp)</f>
        <v>16.674095051480148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3.5600011328332237E-2</v>
      </c>
      <c r="M351" s="959"/>
      <c r="N351" s="959"/>
      <c r="O351" s="48">
        <f>IF(t&lt;Tnet,'2021'!Resal+('2021'!Salim-'2021'!Resal)*(1-EXP(('2021'!Tnet-t)/('2021'!Tau_j))),Resal+(Salim-Resal)*(1-EXP((Tnet-t)/(Tau_j))))*Salcycl</f>
        <v>9.7510256418101626E-2</v>
      </c>
      <c r="P351" s="339">
        <f>(INDEX(Models!$BJ351:$BT351,,T351)*(1-R351)+INDEX(Models!$BJ351:$BT351,,T351+1)*R351-ERP_i)*Q351*Ramure*Pc/MaxiM</f>
        <v>5.0328609172989609E-3</v>
      </c>
      <c r="Q351" s="305">
        <f t="shared" si="130"/>
        <v>0.7</v>
      </c>
      <c r="R351" s="177">
        <f t="shared" si="131"/>
        <v>0.49984156674611724</v>
      </c>
      <c r="S351" s="921">
        <f t="shared" si="132"/>
        <v>0</v>
      </c>
      <c r="T351" s="176">
        <f t="shared" si="133"/>
        <v>6</v>
      </c>
      <c r="U351" s="251">
        <f t="shared" si="134"/>
        <v>0.49984156674611724</v>
      </c>
      <c r="V351" s="383">
        <f t="shared" si="135"/>
        <v>24.390210884685644</v>
      </c>
      <c r="W351" s="402">
        <f t="shared" si="136"/>
        <v>0</v>
      </c>
      <c r="X351" s="157">
        <f t="shared" si="137"/>
        <v>44898</v>
      </c>
      <c r="Y351" s="385">
        <f t="shared" si="138"/>
        <v>6.7544043699105174</v>
      </c>
      <c r="Z351" s="385">
        <f t="shared" si="139"/>
        <v>7.0037375044081118</v>
      </c>
      <c r="AA351" s="386">
        <f t="shared" si="140"/>
        <v>8.1655763479745787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0.14228497708611271</v>
      </c>
      <c r="AD351" s="231">
        <f>(INDEX(Models!$BJ351:$BT351,,AH351)*(1-AF351)+INDEX(Models!$BJ351:$BT351,,AH351+1)*AF351-ERP_i)*AE351*Ramure*Pc/MaxiM</f>
        <v>5.0328609172989609E-3</v>
      </c>
      <c r="AE351" s="305">
        <f t="shared" si="142"/>
        <v>0.7</v>
      </c>
      <c r="AF351" s="177">
        <f t="shared" si="143"/>
        <v>0.49984156674611724</v>
      </c>
      <c r="AG351" s="921">
        <f t="shared" si="149"/>
        <v>0</v>
      </c>
      <c r="AH351" s="176">
        <f t="shared" si="144"/>
        <v>6</v>
      </c>
      <c r="AI351" s="225">
        <f t="shared" si="145"/>
        <v>0.49984156674611724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092">
        <v>19.696000000000002</v>
      </c>
      <c r="C352" s="955"/>
      <c r="D352" s="393">
        <f t="shared" si="127"/>
        <v>20.423508537703817</v>
      </c>
      <c r="E352" s="385">
        <f t="shared" si="125"/>
        <v>22.633624942718718</v>
      </c>
      <c r="F352" s="385">
        <f t="shared" si="128"/>
        <v>22.718598960816383</v>
      </c>
      <c r="G352" s="110">
        <f t="shared" si="126"/>
        <v>0.8123828472393928</v>
      </c>
      <c r="H352" s="414" t="b">
        <f>Wh_hp&gt;='2021'!Maxi_hp</f>
        <v>1</v>
      </c>
      <c r="I352" s="380">
        <f>IF(H352,Wh_hp,'2021'!Maxi_hp)</f>
        <v>22.718598960816383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3.5621134163151491E-2</v>
      </c>
      <c r="M352" s="959"/>
      <c r="N352" s="959"/>
      <c r="O352" s="48">
        <f>IF(t&lt;Tnet,'2021'!Resal+('2021'!Salim-'2021'!Resal)*(1-EXP(('2021'!Tnet-t)/('2021'!Tau_j))),Resal+(Salim-Resal)*(1-EXP((Tnet-t)/(Tau_j))))*Salcycl</f>
        <v>9.764747850193127E-2</v>
      </c>
      <c r="P352" s="339">
        <f>(INDEX(Models!$BJ352:$BT352,,T352)*(1-R352)+INDEX(Models!$BJ352:$BT352,,T352+1)*R352-ERP_i)*Q352*Ramure*Pc/MaxiM</f>
        <v>5.0988101759929108E-3</v>
      </c>
      <c r="Q352" s="305">
        <f t="shared" si="130"/>
        <v>0.7</v>
      </c>
      <c r="R352" s="177">
        <f t="shared" si="131"/>
        <v>0.49985611496775223</v>
      </c>
      <c r="S352" s="921">
        <f t="shared" si="132"/>
        <v>0</v>
      </c>
      <c r="T352" s="176">
        <f t="shared" si="133"/>
        <v>6</v>
      </c>
      <c r="U352" s="251">
        <f t="shared" si="134"/>
        <v>0.49985611496775223</v>
      </c>
      <c r="V352" s="383">
        <f t="shared" si="135"/>
        <v>24.211665822219874</v>
      </c>
      <c r="W352" s="402">
        <f t="shared" si="136"/>
        <v>0</v>
      </c>
      <c r="X352" s="157">
        <f t="shared" si="137"/>
        <v>44899</v>
      </c>
      <c r="Y352" s="385">
        <f t="shared" si="138"/>
        <v>18.719882393915931</v>
      </c>
      <c r="Z352" s="385">
        <f t="shared" si="139"/>
        <v>19.411336205166197</v>
      </c>
      <c r="AA352" s="386">
        <f t="shared" si="140"/>
        <v>22.633624942718718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0.14236732939188948</v>
      </c>
      <c r="AD352" s="231">
        <f>(INDEX(Models!$BJ352:$BT352,,AH352)*(1-AF352)+INDEX(Models!$BJ352:$BT352,,AH352+1)*AF352-ERP_i)*AE352*Ramure*Pc/MaxiM</f>
        <v>5.0988101759929108E-3</v>
      </c>
      <c r="AE352" s="305">
        <f t="shared" si="142"/>
        <v>0.7</v>
      </c>
      <c r="AF352" s="177">
        <f t="shared" si="143"/>
        <v>0.49985611496775223</v>
      </c>
      <c r="AG352" s="921">
        <f t="shared" si="149"/>
        <v>0</v>
      </c>
      <c r="AH352" s="176">
        <f t="shared" si="144"/>
        <v>6</v>
      </c>
      <c r="AI352" s="225">
        <f t="shared" si="145"/>
        <v>0.49985611496775223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092">
        <v>25.007000000000001</v>
      </c>
      <c r="C353" s="955"/>
      <c r="D353" s="393">
        <f t="shared" si="127"/>
        <v>25.931248200648746</v>
      </c>
      <c r="E353" s="385">
        <f t="shared" si="125"/>
        <v>28.741796404246298</v>
      </c>
      <c r="F353" s="385">
        <f t="shared" si="128"/>
        <v>28.890668936148145</v>
      </c>
      <c r="G353" s="110">
        <f t="shared" si="126"/>
        <v>1.0400535542439435</v>
      </c>
      <c r="H353" s="414" t="b">
        <f>Wh_hp&gt;='2021'!Maxi_hp</f>
        <v>1</v>
      </c>
      <c r="I353" s="380">
        <f>IF(H353,Wh_hp,'2021'!Maxi_hp)</f>
        <v>28.890668936148145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3.5642256535326378E-2</v>
      </c>
      <c r="M353" s="959"/>
      <c r="N353" s="959"/>
      <c r="O353" s="48">
        <f>IF(t&lt;Tnet,'2021'!Resal+('2021'!Salim-'2021'!Resal)*(1-EXP(('2021'!Tnet-t)/('2021'!Tau_j))),Resal+(Salim-Resal)*(1-EXP((Tnet-t)/(Tau_j))))*Salcycl</f>
        <v>9.7786100912687718E-2</v>
      </c>
      <c r="P353" s="339">
        <f>(INDEX(Models!$BJ353:$BT353,,T353)*(1-R353)+INDEX(Models!$BJ353:$BT353,,T353+1)*R353-ERP_i)*Q353*Ramure*Pc/MaxiM</f>
        <v>5.1529624402561654E-3</v>
      </c>
      <c r="Q353" s="305">
        <f t="shared" si="130"/>
        <v>0.7</v>
      </c>
      <c r="R353" s="177">
        <f t="shared" si="131"/>
        <v>0.49987007823112117</v>
      </c>
      <c r="S353" s="921">
        <f t="shared" si="132"/>
        <v>0</v>
      </c>
      <c r="T353" s="176">
        <f t="shared" si="133"/>
        <v>6</v>
      </c>
      <c r="U353" s="251">
        <f t="shared" si="134"/>
        <v>0.49987007823112117</v>
      </c>
      <c r="V353" s="383">
        <f t="shared" si="135"/>
        <v>24.043954177127532</v>
      </c>
      <c r="W353" s="402">
        <f t="shared" si="136"/>
        <v>0</v>
      </c>
      <c r="X353" s="157">
        <f t="shared" si="137"/>
        <v>44900</v>
      </c>
      <c r="Y353" s="385">
        <f t="shared" si="138"/>
        <v>23.768981278638115</v>
      </c>
      <c r="Z353" s="385">
        <f t="shared" si="139"/>
        <v>24.647472828125657</v>
      </c>
      <c r="AA353" s="386">
        <f t="shared" si="140"/>
        <v>28.741796404246298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0.14245190239799163</v>
      </c>
      <c r="AD353" s="231">
        <f>(INDEX(Models!$BJ353:$BT353,,AH353)*(1-AF353)+INDEX(Models!$BJ353:$BT353,,AH353+1)*AF353-ERP_i)*AE353*Ramure*Pc/MaxiM</f>
        <v>5.1529624402561654E-3</v>
      </c>
      <c r="AE353" s="305">
        <f t="shared" si="142"/>
        <v>0.7</v>
      </c>
      <c r="AF353" s="177">
        <f t="shared" si="143"/>
        <v>0.49987007823112117</v>
      </c>
      <c r="AG353" s="921">
        <f t="shared" si="149"/>
        <v>0</v>
      </c>
      <c r="AH353" s="176">
        <f t="shared" si="144"/>
        <v>6</v>
      </c>
      <c r="AI353" s="225">
        <f t="shared" si="145"/>
        <v>0.49987007823112117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092">
        <v>10.911</v>
      </c>
      <c r="C354" s="955"/>
      <c r="D354" s="393">
        <f t="shared" si="127"/>
        <v>11.314513787109348</v>
      </c>
      <c r="E354" s="385">
        <f t="shared" si="125"/>
        <v>12.542779176619415</v>
      </c>
      <c r="F354" s="385">
        <f t="shared" si="128"/>
        <v>12.557386159523208</v>
      </c>
      <c r="G354" s="110">
        <f t="shared" si="126"/>
        <v>0.45490034730409457</v>
      </c>
      <c r="H354" s="414" t="b">
        <f>Wh_hp&gt;='2021'!Maxi_hp</f>
        <v>0</v>
      </c>
      <c r="I354" s="380">
        <f>IF(H354,Wh_hp,'2021'!Maxi_hp)</f>
        <v>23.022498392650729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3.5663378444867222E-2</v>
      </c>
      <c r="M354" s="959"/>
      <c r="N354" s="959"/>
      <c r="O354" s="48">
        <f>IF(t&lt;Tnet,'2021'!Resal+('2021'!Salim-'2021'!Resal)*(1-EXP(('2021'!Tnet-t)/('2021'!Tau_j))),Resal+(Salim-Resal)*(1-EXP((Tnet-t)/(Tau_j))))*Salcycl</f>
        <v>9.7926095342540667E-2</v>
      </c>
      <c r="P354" s="339">
        <f>(INDEX(Models!$BJ354:$BT354,,T354)*(1-R354)+INDEX(Models!$BJ354:$BT354,,T354+1)*R354-ERP_i)*Q354*Ramure*Pc/MaxiM</f>
        <v>5.1947982697987212E-3</v>
      </c>
      <c r="Q354" s="305">
        <f t="shared" si="130"/>
        <v>0.7</v>
      </c>
      <c r="R354" s="177">
        <f t="shared" si="131"/>
        <v>0.49988348002564414</v>
      </c>
      <c r="S354" s="921">
        <f t="shared" si="132"/>
        <v>0</v>
      </c>
      <c r="T354" s="176">
        <f t="shared" si="133"/>
        <v>6</v>
      </c>
      <c r="U354" s="251">
        <f t="shared" si="134"/>
        <v>0.49988348002564414</v>
      </c>
      <c r="V354" s="383">
        <f t="shared" si="135"/>
        <v>23.888661041418761</v>
      </c>
      <c r="W354" s="402">
        <f t="shared" si="136"/>
        <v>0</v>
      </c>
      <c r="X354" s="157">
        <f t="shared" si="137"/>
        <v>44901</v>
      </c>
      <c r="Y354" s="385">
        <f t="shared" si="138"/>
        <v>10.371390586964303</v>
      </c>
      <c r="Z354" s="385">
        <f t="shared" si="139"/>
        <v>10.754948381239458</v>
      </c>
      <c r="AA354" s="386">
        <f t="shared" si="140"/>
        <v>12.542779176619415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0.14253864874800595</v>
      </c>
      <c r="AD354" s="231">
        <f>(INDEX(Models!$BJ354:$BT354,,AH354)*(1-AF354)+INDEX(Models!$BJ354:$BT354,,AH354+1)*AF354-ERP_i)*AE354*Ramure*Pc/MaxiM</f>
        <v>5.1947982697987212E-3</v>
      </c>
      <c r="AE354" s="305">
        <f t="shared" si="142"/>
        <v>0.7</v>
      </c>
      <c r="AF354" s="177">
        <f t="shared" si="143"/>
        <v>0.49988348002564414</v>
      </c>
      <c r="AG354" s="921">
        <f t="shared" si="149"/>
        <v>0</v>
      </c>
      <c r="AH354" s="176">
        <f t="shared" si="144"/>
        <v>6</v>
      </c>
      <c r="AI354" s="225">
        <f t="shared" si="145"/>
        <v>0.49988348002564414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092">
        <v>19.600000000000001</v>
      </c>
      <c r="C355" s="955"/>
      <c r="D355" s="393">
        <f t="shared" si="127"/>
        <v>20.325298097770364</v>
      </c>
      <c r="E355" s="385">
        <f t="shared" si="125"/>
        <v>22.535274533615343</v>
      </c>
      <c r="F355" s="385">
        <f t="shared" si="128"/>
        <v>22.62397158166802</v>
      </c>
      <c r="G355" s="110">
        <f t="shared" si="126"/>
        <v>0.8242746080143255</v>
      </c>
      <c r="H355" s="414" t="b">
        <f>Wh_hp&gt;='2021'!Maxi_hp</f>
        <v>0</v>
      </c>
      <c r="I355" s="380">
        <f>IF(H355,Wh_hp,'2021'!Maxi_hp)</f>
        <v>23.615013833101326</v>
      </c>
      <c r="J355" s="85">
        <f>IF(H355,An,'2021'!An_max)</f>
        <v>2018</v>
      </c>
      <c r="K355" s="197">
        <f t="shared" si="129"/>
        <v>44902</v>
      </c>
      <c r="L355" s="147">
        <f>IF(t&lt;Tvie,1-EXP((T0-t)*PertePVj)+'2021'!Pspv,1-EXP((T0-t)*PertePVj)+Pspv)</f>
        <v>3.5684499891783905E-2</v>
      </c>
      <c r="M355" s="959"/>
      <c r="N355" s="959"/>
      <c r="O355" s="48">
        <f>IF(t&lt;Tnet,'2021'!Resal+('2021'!Salim-'2021'!Resal)*(1-EXP(('2021'!Tnet-t)/('2021'!Tau_j))),Resal+(Salim-Resal)*(1-EXP((Tnet-t)/(Tau_j))))*Salcycl</f>
        <v>9.8067429023259031E-2</v>
      </c>
      <c r="P355" s="339">
        <f>(INDEX(Models!$BJ355:$BT355,,T355)*(1-R355)+INDEX(Models!$BJ355:$BT355,,T355+1)*R355-ERP_i)*Q355*Ramure*Pc/MaxiM</f>
        <v>5.2237920440750263E-3</v>
      </c>
      <c r="Q355" s="305">
        <f t="shared" si="130"/>
        <v>0.7</v>
      </c>
      <c r="R355" s="177">
        <f t="shared" si="131"/>
        <v>0.49989634289992918</v>
      </c>
      <c r="S355" s="921">
        <f t="shared" si="132"/>
        <v>0</v>
      </c>
      <c r="T355" s="176">
        <f t="shared" si="133"/>
        <v>6</v>
      </c>
      <c r="U355" s="251">
        <f t="shared" si="134"/>
        <v>0.49989634289992918</v>
      </c>
      <c r="V355" s="383">
        <f t="shared" si="135"/>
        <v>23.747370769591718</v>
      </c>
      <c r="W355" s="402">
        <f t="shared" si="136"/>
        <v>0</v>
      </c>
      <c r="X355" s="157">
        <f t="shared" si="137"/>
        <v>44902</v>
      </c>
      <c r="Y355" s="385">
        <f t="shared" si="138"/>
        <v>18.631659672728983</v>
      </c>
      <c r="Z355" s="385">
        <f t="shared" si="139"/>
        <v>19.321124331858325</v>
      </c>
      <c r="AA355" s="386">
        <f t="shared" si="140"/>
        <v>22.535274533615343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0.14262751478632066</v>
      </c>
      <c r="AD355" s="231">
        <f>(INDEX(Models!$BJ355:$BT355,,AH355)*(1-AF355)+INDEX(Models!$BJ355:$BT355,,AH355+1)*AF355-ERP_i)*AE355*Ramure*Pc/MaxiM</f>
        <v>5.2237920440750263E-3</v>
      </c>
      <c r="AE355" s="305">
        <f t="shared" si="142"/>
        <v>0.7</v>
      </c>
      <c r="AF355" s="177">
        <f t="shared" si="143"/>
        <v>0.49989634289992918</v>
      </c>
      <c r="AG355" s="921">
        <f t="shared" si="149"/>
        <v>0</v>
      </c>
      <c r="AH355" s="176">
        <f t="shared" si="144"/>
        <v>6</v>
      </c>
      <c r="AI355" s="225">
        <f t="shared" si="145"/>
        <v>0.49989634289992918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092">
        <v>4.4950000000000001</v>
      </c>
      <c r="C356" s="955"/>
      <c r="D356" s="393">
        <f t="shared" si="127"/>
        <v>4.6614395949127339</v>
      </c>
      <c r="E356" s="385">
        <f t="shared" si="125"/>
        <v>5.1690969418134101</v>
      </c>
      <c r="F356" s="385">
        <f t="shared" si="128"/>
        <v>5.1690969418134101</v>
      </c>
      <c r="G356" s="110">
        <f t="shared" si="126"/>
        <v>0.18929437952584405</v>
      </c>
      <c r="H356" s="414" t="b">
        <f>Wh_hp&gt;='2021'!Maxi_hp</f>
        <v>0</v>
      </c>
      <c r="I356" s="380">
        <f>IF(H356,Wh_hp,'2021'!Maxi_hp)</f>
        <v>18.625313050324355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3.5705620876086752E-2</v>
      </c>
      <c r="M356" s="959"/>
      <c r="N356" s="959"/>
      <c r="O356" s="48">
        <f>IF(t&lt;Tnet,'2021'!Resal+('2021'!Salim-'2021'!Resal)*(1-EXP(('2021'!Tnet-t)/('2021'!Tau_j))),Resal+(Salim-Resal)*(1-EXP((Tnet-t)/(Tau_j))))*Salcycl</f>
        <v>9.821006504911492E-2</v>
      </c>
      <c r="P356" s="339">
        <f>(INDEX(Models!$BJ356:$BT356,,T356)*(1-R356)+INDEX(Models!$BJ356:$BT356,,T356+1)*R356-ERP_i)*Q356*Ramure*Pc/MaxiM</f>
        <v>5.2394236137984825E-3</v>
      </c>
      <c r="Q356" s="305">
        <f t="shared" si="130"/>
        <v>0.7</v>
      </c>
      <c r="R356" s="177">
        <f t="shared" si="131"/>
        <v>0.49990868849926323</v>
      </c>
      <c r="S356" s="921">
        <f t="shared" si="132"/>
        <v>0</v>
      </c>
      <c r="T356" s="176">
        <f t="shared" si="133"/>
        <v>6</v>
      </c>
      <c r="U356" s="251">
        <f t="shared" si="134"/>
        <v>0.49990868849926323</v>
      </c>
      <c r="V356" s="383">
        <f t="shared" si="135"/>
        <v>23.621666961567112</v>
      </c>
      <c r="W356" s="402">
        <f t="shared" si="136"/>
        <v>0</v>
      </c>
      <c r="X356" s="157">
        <f t="shared" si="137"/>
        <v>44903</v>
      </c>
      <c r="Y356" s="385">
        <f t="shared" si="138"/>
        <v>4.2731466144407397</v>
      </c>
      <c r="Z356" s="385">
        <f t="shared" si="139"/>
        <v>4.4313714846321162</v>
      </c>
      <c r="AA356" s="386">
        <f t="shared" si="140"/>
        <v>5.1690969418134101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0.14271844105181108</v>
      </c>
      <c r="AD356" s="231">
        <f>(INDEX(Models!$BJ356:$BT356,,AH356)*(1-AF356)+INDEX(Models!$BJ356:$BT356,,AH356+1)*AF356-ERP_i)*AE356*Ramure*Pc/MaxiM</f>
        <v>5.2394236137984825E-3</v>
      </c>
      <c r="AE356" s="305">
        <f t="shared" si="142"/>
        <v>0.7</v>
      </c>
      <c r="AF356" s="177">
        <f t="shared" si="143"/>
        <v>0.49990868849926323</v>
      </c>
      <c r="AG356" s="921">
        <f t="shared" si="149"/>
        <v>0</v>
      </c>
      <c r="AH356" s="176">
        <f t="shared" si="144"/>
        <v>6</v>
      </c>
      <c r="AI356" s="225">
        <f t="shared" si="145"/>
        <v>0.49990868849926323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092">
        <v>5.4729999999999999</v>
      </c>
      <c r="C357" s="955"/>
      <c r="D357" s="393">
        <f t="shared" si="127"/>
        <v>5.6757770177444522</v>
      </c>
      <c r="E357" s="385">
        <f t="shared" si="125"/>
        <v>6.2949059642789269</v>
      </c>
      <c r="F357" s="385">
        <f t="shared" si="128"/>
        <v>6.2949059642789269</v>
      </c>
      <c r="G357" s="110">
        <f t="shared" si="126"/>
        <v>0.23154358448257614</v>
      </c>
      <c r="H357" s="414" t="b">
        <f>Wh_hp&gt;='2021'!Maxi_hp</f>
        <v>0</v>
      </c>
      <c r="I357" s="380">
        <f>IF(H357,Wh_hp,'2021'!Maxi_hp)</f>
        <v>9.4747658981708156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3.5726741397785866E-2</v>
      </c>
      <c r="M357" s="959"/>
      <c r="N357" s="959"/>
      <c r="O357" s="48">
        <f>IF(t&lt;Tnet,'2021'!Resal+('2021'!Salim-'2021'!Resal)*(1-EXP(('2021'!Tnet-t)/('2021'!Tau_j))),Resal+(Salim-Resal)*(1-EXP((Tnet-t)/(Tau_j))))*Salcycl</f>
        <v>9.835396271966311E-2</v>
      </c>
      <c r="P357" s="339">
        <f>(INDEX(Models!$BJ357:$BT357,,T357)*(1-R357)+INDEX(Models!$BJ357:$BT357,,T357+1)*R357-ERP_i)*Q357*Ramure*Pc/MaxiM</f>
        <v>5.2411911426368347E-3</v>
      </c>
      <c r="Q357" s="305">
        <f t="shared" si="130"/>
        <v>0.7</v>
      </c>
      <c r="R357" s="177">
        <f t="shared" si="131"/>
        <v>0.4999205376016233</v>
      </c>
      <c r="S357" s="921">
        <f t="shared" si="132"/>
        <v>0</v>
      </c>
      <c r="T357" s="176">
        <f t="shared" si="133"/>
        <v>6</v>
      </c>
      <c r="U357" s="251">
        <f t="shared" si="134"/>
        <v>0.4999205376016233</v>
      </c>
      <c r="V357" s="383">
        <f t="shared" si="135"/>
        <v>23.51313241108625</v>
      </c>
      <c r="W357" s="402">
        <f t="shared" si="136"/>
        <v>0</v>
      </c>
      <c r="X357" s="157">
        <f t="shared" si="137"/>
        <v>44904</v>
      </c>
      <c r="Y357" s="385">
        <f t="shared" si="138"/>
        <v>5.2031431597687057</v>
      </c>
      <c r="Z357" s="385">
        <f t="shared" si="139"/>
        <v>5.3959218648363736</v>
      </c>
      <c r="AA357" s="386">
        <f t="shared" si="140"/>
        <v>6.2949059642789269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0.14281136279778103</v>
      </c>
      <c r="AD357" s="231">
        <f>(INDEX(Models!$BJ357:$BT357,,AH357)*(1-AF357)+INDEX(Models!$BJ357:$BT357,,AH357+1)*AF357-ERP_i)*AE357*Ramure*Pc/MaxiM</f>
        <v>5.2411911426368347E-3</v>
      </c>
      <c r="AE357" s="305">
        <f t="shared" si="142"/>
        <v>0.7</v>
      </c>
      <c r="AF357" s="177">
        <f t="shared" si="143"/>
        <v>0.4999205376016233</v>
      </c>
      <c r="AG357" s="921">
        <f t="shared" si="149"/>
        <v>0</v>
      </c>
      <c r="AH357" s="176">
        <f t="shared" si="144"/>
        <v>6</v>
      </c>
      <c r="AI357" s="225">
        <f t="shared" si="145"/>
        <v>0.4999205376016233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092">
        <v>13.636000000000001</v>
      </c>
      <c r="C358" s="955"/>
      <c r="D358" s="393">
        <f t="shared" si="127"/>
        <v>14.141529435032078</v>
      </c>
      <c r="E358" s="385">
        <f t="shared" si="125"/>
        <v>15.686649994858087</v>
      </c>
      <c r="F358" s="385">
        <f t="shared" si="128"/>
        <v>15.719780066148486</v>
      </c>
      <c r="G358" s="110">
        <f t="shared" si="126"/>
        <v>0.58033336653986112</v>
      </c>
      <c r="H358" s="414" t="b">
        <f>Wh_hp&gt;='2021'!Maxi_hp</f>
        <v>0</v>
      </c>
      <c r="I358" s="380">
        <f>IF(H358,Wh_hp,'2021'!Maxi_hp)</f>
        <v>22.134135091685113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3.574786145689135E-2</v>
      </c>
      <c r="M358" s="959"/>
      <c r="N358" s="959"/>
      <c r="O358" s="48">
        <f>IF(t&lt;Tnet,'2021'!Resal+('2021'!Salim-'2021'!Resal)*(1-EXP(('2021'!Tnet-t)/('2021'!Tau_j))),Resal+(Salim-Resal)*(1-EXP((Tnet-t)/(Tau_j))))*Salcycl</f>
        <v>9.8499077899518478E-2</v>
      </c>
      <c r="P358" s="339">
        <f>(INDEX(Models!$BJ358:$BT358,,T358)*(1-R358)+INDEX(Models!$BJ358:$BT358,,T358+1)*R358-ERP_i)*Q358*Ramure*Pc/MaxiM</f>
        <v>5.2286249722233273E-3</v>
      </c>
      <c r="Q358" s="305">
        <f t="shared" si="130"/>
        <v>0.7</v>
      </c>
      <c r="R358" s="177">
        <f t="shared" si="131"/>
        <v>0.49993191015226784</v>
      </c>
      <c r="S358" s="921">
        <f t="shared" si="132"/>
        <v>0</v>
      </c>
      <c r="T358" s="176">
        <f t="shared" si="133"/>
        <v>6</v>
      </c>
      <c r="U358" s="251">
        <f t="shared" si="134"/>
        <v>0.49993191015226784</v>
      </c>
      <c r="V358" s="383">
        <f t="shared" si="135"/>
        <v>23.42334904350399</v>
      </c>
      <c r="W358" s="402">
        <f t="shared" si="136"/>
        <v>0</v>
      </c>
      <c r="X358" s="157">
        <f t="shared" si="137"/>
        <v>44905</v>
      </c>
      <c r="Y358" s="385">
        <f t="shared" si="138"/>
        <v>12.9643027828846</v>
      </c>
      <c r="Z358" s="385">
        <f t="shared" si="139"/>
        <v>13.444930288121945</v>
      </c>
      <c r="AA358" s="386">
        <f t="shared" si="140"/>
        <v>15.686649994858087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0.14290621053385852</v>
      </c>
      <c r="AD358" s="231">
        <f>(INDEX(Models!$BJ358:$BT358,,AH358)*(1-AF358)+INDEX(Models!$BJ358:$BT358,,AH358+1)*AF358-ERP_i)*AE358*Ramure*Pc/MaxiM</f>
        <v>5.2286249722233273E-3</v>
      </c>
      <c r="AE358" s="305">
        <f t="shared" si="142"/>
        <v>0.7</v>
      </c>
      <c r="AF358" s="177">
        <f t="shared" si="143"/>
        <v>0.49993191015226784</v>
      </c>
      <c r="AG358" s="921">
        <f t="shared" si="149"/>
        <v>0</v>
      </c>
      <c r="AH358" s="176">
        <f t="shared" si="144"/>
        <v>6</v>
      </c>
      <c r="AI358" s="225">
        <f t="shared" si="145"/>
        <v>0.49993191015226784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092">
        <v>16.623999999999999</v>
      </c>
      <c r="C359" s="955"/>
      <c r="D359" s="393">
        <f t="shared" si="127"/>
        <v>17.240681613999062</v>
      </c>
      <c r="E359" s="385">
        <f t="shared" si="125"/>
        <v>19.127523078909672</v>
      </c>
      <c r="F359" s="385">
        <f t="shared" si="128"/>
        <v>19.186254997781457</v>
      </c>
      <c r="G359" s="110">
        <f t="shared" si="126"/>
        <v>0.7103926028397568</v>
      </c>
      <c r="H359" s="414" t="b">
        <f>Wh_hp&gt;='2021'!Maxi_hp</f>
        <v>0</v>
      </c>
      <c r="I359" s="380">
        <f>IF(H359,Wh_hp,'2021'!Maxi_hp)</f>
        <v>23.016717284204159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3.5768981053413307E-2</v>
      </c>
      <c r="M359" s="959"/>
      <c r="N359" s="959"/>
      <c r="O359" s="48">
        <f>IF(t&lt;Tnet,'2021'!Resal+('2021'!Salim-'2021'!Resal)*(1-EXP(('2021'!Tnet-t)/('2021'!Tau_j))),Resal+(Salim-Resal)*(1-EXP((Tnet-t)/(Tau_j))))*Salcycl</f>
        <v>9.8645363392141042E-2</v>
      </c>
      <c r="P359" s="339">
        <f>(INDEX(Models!$BJ359:$BT359,,T359)*(1-R359)+INDEX(Models!$BJ359:$BT359,,T359+1)*R359-ERP_i)*Q359*Ramure*Pc/MaxiM</f>
        <v>5.2019680949886528E-3</v>
      </c>
      <c r="Q359" s="305">
        <f t="shared" si="130"/>
        <v>0.7</v>
      </c>
      <c r="R359" s="177">
        <f t="shared" si="131"/>
        <v>0.49994282529695916</v>
      </c>
      <c r="S359" s="921">
        <f t="shared" si="132"/>
        <v>0</v>
      </c>
      <c r="T359" s="176">
        <f t="shared" si="133"/>
        <v>6</v>
      </c>
      <c r="U359" s="251">
        <f t="shared" si="134"/>
        <v>0.49994282529695916</v>
      </c>
      <c r="V359" s="383">
        <f t="shared" si="135"/>
        <v>23.350893043886813</v>
      </c>
      <c r="W359" s="402">
        <f t="shared" si="136"/>
        <v>0</v>
      </c>
      <c r="X359" s="157">
        <f t="shared" si="137"/>
        <v>44906</v>
      </c>
      <c r="Y359" s="385">
        <f t="shared" si="138"/>
        <v>15.80589818458572</v>
      </c>
      <c r="Z359" s="385">
        <f t="shared" si="139"/>
        <v>16.392231606335912</v>
      </c>
      <c r="AA359" s="386">
        <f t="shared" si="140"/>
        <v>19.127523078909672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0.14300291058541381</v>
      </c>
      <c r="AD359" s="231">
        <f>(INDEX(Models!$BJ359:$BT359,,AH359)*(1-AF359)+INDEX(Models!$BJ359:$BT359,,AH359+1)*AF359-ERP_i)*AE359*Ramure*Pc/MaxiM</f>
        <v>5.2019680949886528E-3</v>
      </c>
      <c r="AE359" s="305">
        <f t="shared" si="142"/>
        <v>0.7</v>
      </c>
      <c r="AF359" s="177">
        <f t="shared" si="143"/>
        <v>0.49994282529695916</v>
      </c>
      <c r="AG359" s="921">
        <f t="shared" si="149"/>
        <v>0</v>
      </c>
      <c r="AH359" s="176">
        <f t="shared" si="144"/>
        <v>6</v>
      </c>
      <c r="AI359" s="225">
        <f t="shared" si="145"/>
        <v>0.49994282529695916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092">
        <v>4.9089999999999998</v>
      </c>
      <c r="C360" s="955"/>
      <c r="D360" s="393">
        <f t="shared" si="127"/>
        <v>5.0912150984488953</v>
      </c>
      <c r="E360" s="385">
        <f t="shared" si="125"/>
        <v>5.6493278406489207</v>
      </c>
      <c r="F360" s="385">
        <f t="shared" si="128"/>
        <v>5.6493278406489207</v>
      </c>
      <c r="G360" s="110">
        <f t="shared" si="126"/>
        <v>0.20966232097948814</v>
      </c>
      <c r="H360" s="414" t="b">
        <f>Wh_hp&gt;='2021'!Maxi_hp</f>
        <v>0</v>
      </c>
      <c r="I360" s="380">
        <f>IF(H360,Wh_hp,'2021'!Maxi_hp)</f>
        <v>26.632515874966092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3.5790100187361951E-2</v>
      </c>
      <c r="M360" s="959"/>
      <c r="N360" s="959"/>
      <c r="O360" s="48">
        <f>IF(t&lt;Tnet,'2021'!Resal+('2021'!Salim-'2021'!Resal)*(1-EXP(('2021'!Tnet-t)/('2021'!Tau_j))),Resal+(Salim-Resal)*(1-EXP((Tnet-t)/(Tau_j))))*Salcycl</f>
        <v>9.8792769324556828E-2</v>
      </c>
      <c r="P360" s="339">
        <f>(INDEX(Models!$BJ360:$BT360,,T360)*(1-R360)+INDEX(Models!$BJ360:$BT360,,T360+1)*R360-ERP_i)*Q360*Ramure*Pc/MaxiM</f>
        <v>5.1618095000120229E-3</v>
      </c>
      <c r="Q360" s="305">
        <f t="shared" si="130"/>
        <v>0.7</v>
      </c>
      <c r="R360" s="177">
        <f t="shared" si="131"/>
        <v>0.4999533014138739</v>
      </c>
      <c r="S360" s="921">
        <f t="shared" si="132"/>
        <v>0</v>
      </c>
      <c r="T360" s="176">
        <f t="shared" si="133"/>
        <v>6</v>
      </c>
      <c r="U360" s="251">
        <f t="shared" si="134"/>
        <v>0.4999533014138739</v>
      </c>
      <c r="V360" s="383">
        <f t="shared" si="135"/>
        <v>23.292982040593849</v>
      </c>
      <c r="W360" s="402">
        <f t="shared" si="136"/>
        <v>0</v>
      </c>
      <c r="X360" s="157">
        <f t="shared" si="137"/>
        <v>44907</v>
      </c>
      <c r="Y360" s="385">
        <f t="shared" si="138"/>
        <v>4.6676448596767148</v>
      </c>
      <c r="Z360" s="385">
        <f t="shared" si="139"/>
        <v>4.8409011985706805</v>
      </c>
      <c r="AA360" s="386">
        <f t="shared" si="140"/>
        <v>5.6493278406489207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0.14310138566597669</v>
      </c>
      <c r="AD360" s="231">
        <f>(INDEX(Models!$BJ360:$BT360,,AH360)*(1-AF360)+INDEX(Models!$BJ360:$BT360,,AH360+1)*AF360-ERP_i)*AE360*Ramure*Pc/MaxiM</f>
        <v>5.1618095000120229E-3</v>
      </c>
      <c r="AE360" s="305">
        <f t="shared" si="142"/>
        <v>0.7</v>
      </c>
      <c r="AF360" s="177">
        <f t="shared" si="143"/>
        <v>0.4999533014138739</v>
      </c>
      <c r="AG360" s="921">
        <f t="shared" si="149"/>
        <v>0</v>
      </c>
      <c r="AH360" s="176">
        <f t="shared" si="144"/>
        <v>6</v>
      </c>
      <c r="AI360" s="225">
        <f t="shared" si="145"/>
        <v>0.4999533014138739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092">
        <v>5.3819999999999997</v>
      </c>
      <c r="C361" s="955"/>
      <c r="D361" s="393">
        <f t="shared" si="127"/>
        <v>5.5818944435649289</v>
      </c>
      <c r="E361" s="385">
        <f t="shared" ref="E361:E379" si="150">Wh_pvt/(1-Psa)</f>
        <v>6.1948173784958076</v>
      </c>
      <c r="F361" s="385">
        <f t="shared" si="128"/>
        <v>6.1948173784958076</v>
      </c>
      <c r="G361" s="110">
        <f t="shared" ref="G361:G379" si="151">+Wh_hp/MaxiM</f>
        <v>0.23030971389617025</v>
      </c>
      <c r="H361" s="414" t="b">
        <f>Wh_hp&gt;='2021'!Maxi_hp</f>
        <v>0</v>
      </c>
      <c r="I361" s="380">
        <f>IF(H361,Wh_hp,'2021'!Maxi_hp)</f>
        <v>27.848923412804474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3.5811218858747274E-2</v>
      </c>
      <c r="M361" s="959"/>
      <c r="N361" s="959"/>
      <c r="O361" s="48">
        <f>IF(t&lt;Tnet,'2021'!Resal+('2021'!Salim-'2021'!Resal)*(1-EXP(('2021'!Tnet-t)/('2021'!Tau_j))),Resal+(Salim-Resal)*(1-EXP((Tnet-t)/(Tau_j))))*Salcycl</f>
        <v>9.8941243539887036E-2</v>
      </c>
      <c r="P361" s="339">
        <f>(INDEX(Models!$BJ361:$BT361,,T361)*(1-R361)+INDEX(Models!$BJ361:$BT361,,T361+1)*R361-ERP_i)*Q361*Ramure*Pc/MaxiM</f>
        <v>5.1206093691942593E-3</v>
      </c>
      <c r="Q361" s="305">
        <f t="shared" si="130"/>
        <v>0.7</v>
      </c>
      <c r="R361" s="177">
        <f t="shared" si="131"/>
        <v>0.4999633561442498</v>
      </c>
      <c r="S361" s="921">
        <f t="shared" si="132"/>
        <v>0</v>
      </c>
      <c r="T361" s="176">
        <f t="shared" si="133"/>
        <v>6</v>
      </c>
      <c r="U361" s="251">
        <f t="shared" si="134"/>
        <v>0.4999633561442498</v>
      </c>
      <c r="V361" s="383">
        <f t="shared" si="135"/>
        <v>23.248871225591991</v>
      </c>
      <c r="W361" s="402">
        <f t="shared" si="136"/>
        <v>0</v>
      </c>
      <c r="X361" s="157">
        <f t="shared" si="137"/>
        <v>44908</v>
      </c>
      <c r="Y361" s="385">
        <f t="shared" si="138"/>
        <v>5.1176343334595202</v>
      </c>
      <c r="Z361" s="385">
        <f t="shared" si="139"/>
        <v>5.3077098941164635</v>
      </c>
      <c r="AA361" s="386">
        <f t="shared" si="140"/>
        <v>6.1948173784958076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0.14320155545807992</v>
      </c>
      <c r="AD361" s="231">
        <f>(INDEX(Models!$BJ361:$BT361,,AH361)*(1-AF361)+INDEX(Models!$BJ361:$BT361,,AH361+1)*AF361-ERP_i)*AE361*Ramure*Pc/MaxiM</f>
        <v>5.1206093691942593E-3</v>
      </c>
      <c r="AE361" s="305">
        <f t="shared" si="142"/>
        <v>0.7</v>
      </c>
      <c r="AF361" s="177">
        <f t="shared" si="143"/>
        <v>0.4999633561442498</v>
      </c>
      <c r="AG361" s="921">
        <f t="shared" si="149"/>
        <v>0</v>
      </c>
      <c r="AH361" s="176">
        <f t="shared" si="144"/>
        <v>6</v>
      </c>
      <c r="AI361" s="225">
        <f t="shared" si="145"/>
        <v>0.4999633561442498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092">
        <v>16.535</v>
      </c>
      <c r="C362" s="955"/>
      <c r="D362" s="393">
        <f t="shared" si="127"/>
        <v>17.149506912221508</v>
      </c>
      <c r="E362" s="385">
        <f t="shared" si="150"/>
        <v>19.035775878062548</v>
      </c>
      <c r="F362" s="385">
        <f t="shared" si="128"/>
        <v>19.092867449551829</v>
      </c>
      <c r="G362" s="110">
        <f t="shared" si="151"/>
        <v>0.71066805301317104</v>
      </c>
      <c r="H362" s="414" t="b">
        <f>Wh_hp&gt;='2021'!Maxi_hp</f>
        <v>0</v>
      </c>
      <c r="I362" s="380">
        <f>IF(H362,Wh_hp,'2021'!Maxi_hp)</f>
        <v>27.918333223458241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3.58323370675796E-2</v>
      </c>
      <c r="M362" s="959"/>
      <c r="N362" s="959"/>
      <c r="O362" s="48">
        <f>IF(t&lt;Tnet,'2021'!Resal+('2021'!Salim-'2021'!Resal)*(1-EXP(('2021'!Tnet-t)/('2021'!Tau_j))),Resal+(Salim-Resal)*(1-EXP((Tnet-t)/(Tau_j))))*Salcycl</f>
        <v>9.9090731994530321E-2</v>
      </c>
      <c r="P362" s="339">
        <f>(INDEX(Models!$BJ362:$BT362,,T362)*(1-R362)+INDEX(Models!$BJ362:$BT362,,T362+1)*R362-ERP_i)*Q362*Ramure*Pc/MaxiM</f>
        <v>5.0784754685039993E-3</v>
      </c>
      <c r="Q362" s="305">
        <f t="shared" si="130"/>
        <v>0.7</v>
      </c>
      <c r="R362" s="177">
        <f t="shared" si="131"/>
        <v>0.49997300642181913</v>
      </c>
      <c r="S362" s="921">
        <f t="shared" si="132"/>
        <v>0</v>
      </c>
      <c r="T362" s="176">
        <f t="shared" si="133"/>
        <v>6</v>
      </c>
      <c r="U362" s="251">
        <f t="shared" si="134"/>
        <v>0.49997300642181913</v>
      </c>
      <c r="V362" s="383">
        <f t="shared" si="135"/>
        <v>23.218106968050147</v>
      </c>
      <c r="W362" s="402">
        <f t="shared" si="136"/>
        <v>0</v>
      </c>
      <c r="X362" s="157">
        <f t="shared" si="137"/>
        <v>44909</v>
      </c>
      <c r="Y362" s="385">
        <f t="shared" si="138"/>
        <v>15.723536012447777</v>
      </c>
      <c r="Z362" s="385">
        <f t="shared" si="139"/>
        <v>16.307885668584031</v>
      </c>
      <c r="AA362" s="386">
        <f t="shared" si="140"/>
        <v>19.035775878062548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0.14330333719794563</v>
      </c>
      <c r="AD362" s="231">
        <f>(INDEX(Models!$BJ362:$BT362,,AH362)*(1-AF362)+INDEX(Models!$BJ362:$BT362,,AH362+1)*AF362-ERP_i)*AE362*Ramure*Pc/MaxiM</f>
        <v>5.0784754685039993E-3</v>
      </c>
      <c r="AE362" s="305">
        <f t="shared" si="142"/>
        <v>0.7</v>
      </c>
      <c r="AF362" s="177">
        <f t="shared" si="143"/>
        <v>0.49997300642181913</v>
      </c>
      <c r="AG362" s="921">
        <f t="shared" si="149"/>
        <v>0</v>
      </c>
      <c r="AH362" s="176">
        <f t="shared" si="144"/>
        <v>6</v>
      </c>
      <c r="AI362" s="225">
        <f t="shared" si="145"/>
        <v>0.49997300642181913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092">
        <v>6.9249999999999998</v>
      </c>
      <c r="C363" s="955"/>
      <c r="D363" s="393">
        <f t="shared" si="127"/>
        <v>7.1825180877074137</v>
      </c>
      <c r="E363" s="385">
        <f t="shared" si="150"/>
        <v>7.9738526245951205</v>
      </c>
      <c r="F363" s="385">
        <f t="shared" si="128"/>
        <v>7.9738526245951205</v>
      </c>
      <c r="G363" s="110">
        <f t="shared" si="151"/>
        <v>0.29698530121810313</v>
      </c>
      <c r="H363" s="414" t="b">
        <f>Wh_hp&gt;='2021'!Maxi_hp</f>
        <v>0</v>
      </c>
      <c r="I363" s="380">
        <f>IF(H363,Wh_hp,'2021'!Maxi_hp)</f>
        <v>27.64680505166011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3.5853454813868924E-2</v>
      </c>
      <c r="M363" s="959"/>
      <c r="N363" s="959"/>
      <c r="O363" s="48">
        <f>IF(t&lt;Tnet,'2021'!Resal+('2021'!Salim-'2021'!Resal)*(1-EXP(('2021'!Tnet-t)/('2021'!Tau_j))),Resal+(Salim-Resal)*(1-EXP((Tnet-t)/(Tau_j))))*Salcycl</f>
        <v>9.924117915684294E-2</v>
      </c>
      <c r="P363" s="339">
        <f>(INDEX(Models!$BJ363:$BT363,,T363)*(1-R363)+INDEX(Models!$BJ363:$BT363,,T363+1)*R363-ERP_i)*Q363*Ramure*Pc/MaxiM</f>
        <v>5.0355174659549549E-3</v>
      </c>
      <c r="Q363" s="305">
        <f t="shared" si="130"/>
        <v>0.7</v>
      </c>
      <c r="R363" s="177">
        <f t="shared" si="131"/>
        <v>0.49998226850107563</v>
      </c>
      <c r="S363" s="921">
        <f t="shared" si="132"/>
        <v>0</v>
      </c>
      <c r="T363" s="176">
        <f t="shared" si="133"/>
        <v>6</v>
      </c>
      <c r="U363" s="251">
        <f t="shared" si="134"/>
        <v>0.49998226850107563</v>
      </c>
      <c r="V363" s="383">
        <f t="shared" si="135"/>
        <v>23.200235881331441</v>
      </c>
      <c r="W363" s="402">
        <f t="shared" si="136"/>
        <v>0</v>
      </c>
      <c r="X363" s="157">
        <f t="shared" si="137"/>
        <v>44910</v>
      </c>
      <c r="Y363" s="385">
        <f t="shared" si="138"/>
        <v>6.5854575468943617</v>
      </c>
      <c r="Z363" s="385">
        <f t="shared" si="139"/>
        <v>6.8303491619347358</v>
      </c>
      <c r="AA363" s="386">
        <f t="shared" si="140"/>
        <v>7.9738526245951205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0.14340664625946065</v>
      </c>
      <c r="AD363" s="231">
        <f>(INDEX(Models!$BJ363:$BT363,,AH363)*(1-AF363)+INDEX(Models!$BJ363:$BT363,,AH363+1)*AF363-ERP_i)*AE363*Ramure*Pc/MaxiM</f>
        <v>5.0355174659549549E-3</v>
      </c>
      <c r="AE363" s="305">
        <f t="shared" si="142"/>
        <v>0.7</v>
      </c>
      <c r="AF363" s="177">
        <f t="shared" si="143"/>
        <v>0.49998226850107563</v>
      </c>
      <c r="AG363" s="921">
        <f t="shared" si="149"/>
        <v>0</v>
      </c>
      <c r="AH363" s="176">
        <f t="shared" si="144"/>
        <v>6</v>
      </c>
      <c r="AI363" s="225">
        <f t="shared" si="145"/>
        <v>0.49998226850107563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092">
        <v>4.7039999999999997</v>
      </c>
      <c r="C364" s="955"/>
      <c r="D364" s="393">
        <f t="shared" si="127"/>
        <v>4.8790332293531389</v>
      </c>
      <c r="E364" s="385">
        <f t="shared" si="150"/>
        <v>5.4174913968988685</v>
      </c>
      <c r="F364" s="385">
        <f t="shared" si="128"/>
        <v>5.4174913968988685</v>
      </c>
      <c r="G364" s="110">
        <f t="shared" si="151"/>
        <v>0.20179166808681301</v>
      </c>
      <c r="H364" s="414" t="b">
        <f>Wh_hp&gt;='2021'!Maxi_hp</f>
        <v>0</v>
      </c>
      <c r="I364" s="380">
        <f>IF(H364,Wh_hp,'2021'!Maxi_hp)</f>
        <v>27.611155388131891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3.5874572097625346E-2</v>
      </c>
      <c r="M364" s="959"/>
      <c r="N364" s="959"/>
      <c r="O364" s="48">
        <f>IF(t&lt;Tnet,'2021'!Resal+('2021'!Salim-'2021'!Resal)*(1-EXP(('2021'!Tnet-t)/('2021'!Tau_j))),Resal+(Salim-Resal)*(1-EXP((Tnet-t)/(Tau_j))))*Salcycl</f>
        <v>9.9392528404190703E-2</v>
      </c>
      <c r="P364" s="339">
        <f>(INDEX(Models!$BJ364:$BT364,,T364)*(1-R364)+INDEX(Models!$BJ364:$BT364,,T364+1)*R364-ERP_i)*Q364*Ramure*Pc/MaxiM</f>
        <v>4.9918463948345881E-3</v>
      </c>
      <c r="Q364" s="305">
        <f t="shared" si="130"/>
        <v>0.7</v>
      </c>
      <c r="R364" s="177">
        <f t="shared" si="131"/>
        <v>0.49999115798442084</v>
      </c>
      <c r="S364" s="921">
        <f t="shared" si="132"/>
        <v>0</v>
      </c>
      <c r="T364" s="176">
        <f t="shared" si="133"/>
        <v>6</v>
      </c>
      <c r="U364" s="251">
        <f t="shared" si="134"/>
        <v>0.49999115798442084</v>
      </c>
      <c r="V364" s="383">
        <f t="shared" si="135"/>
        <v>23.194804814959394</v>
      </c>
      <c r="W364" s="402">
        <f t="shared" si="136"/>
        <v>0</v>
      </c>
      <c r="X364" s="157">
        <f t="shared" si="137"/>
        <v>44911</v>
      </c>
      <c r="Y364" s="385">
        <f t="shared" si="138"/>
        <v>4.47356092064084</v>
      </c>
      <c r="Z364" s="385">
        <f t="shared" si="139"/>
        <v>4.6400196397411309</v>
      </c>
      <c r="AA364" s="386">
        <f t="shared" si="140"/>
        <v>5.4174913968988685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0.14351139673295749</v>
      </c>
      <c r="AD364" s="231">
        <f>(INDEX(Models!$BJ364:$BT364,,AH364)*(1-AF364)+INDEX(Models!$BJ364:$BT364,,AH364+1)*AF364-ERP_i)*AE364*Ramure*Pc/MaxiM</f>
        <v>4.9918463948345881E-3</v>
      </c>
      <c r="AE364" s="305">
        <f t="shared" si="142"/>
        <v>0.7</v>
      </c>
      <c r="AF364" s="177">
        <f t="shared" si="143"/>
        <v>0.49999115798442084</v>
      </c>
      <c r="AG364" s="921">
        <f t="shared" si="149"/>
        <v>0</v>
      </c>
      <c r="AH364" s="176">
        <f t="shared" si="144"/>
        <v>6</v>
      </c>
      <c r="AI364" s="225">
        <f t="shared" si="145"/>
        <v>0.49999115798442084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092">
        <v>2.6310000000000002</v>
      </c>
      <c r="C365" s="955"/>
      <c r="D365" s="393">
        <f t="shared" si="127"/>
        <v>2.7289578210158734</v>
      </c>
      <c r="E365" s="385">
        <f t="shared" si="150"/>
        <v>3.0306422639176365</v>
      </c>
      <c r="F365" s="385">
        <f t="shared" si="128"/>
        <v>3.0306422639176365</v>
      </c>
      <c r="G365" s="110">
        <f t="shared" si="151"/>
        <v>0.11283747310387503</v>
      </c>
      <c r="H365" s="414" t="b">
        <f>Wh_hp&gt;='2021'!Maxi_hp</f>
        <v>0</v>
      </c>
      <c r="I365" s="380">
        <f>IF(H365,Wh_hp,'2021'!Maxi_hp)</f>
        <v>27.969819213232515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3.5895688918859081E-2</v>
      </c>
      <c r="M365" s="959"/>
      <c r="N365" s="959"/>
      <c r="O365" s="48">
        <f>IF(t&lt;Tnet,'2021'!Resal+('2021'!Salim-'2021'!Resal)*(1-EXP(('2021'!Tnet-t)/('2021'!Tau_j))),Resal+(Salim-Resal)*(1-EXP((Tnet-t)/(Tau_j))))*Salcycl</f>
        <v>9.9544722415301823E-2</v>
      </c>
      <c r="P365" s="339">
        <f>(INDEX(Models!$BJ365:$BT365,,T365)*(1-R365)+INDEX(Models!$BJ365:$BT365,,T365+1)*R365-ERP_i)*Q365*Ramure*Pc/MaxiM</f>
        <v>4.9475741201881734E-3</v>
      </c>
      <c r="Q365" s="305">
        <f t="shared" si="130"/>
        <v>0.7</v>
      </c>
      <c r="R365" s="177">
        <f t="shared" si="131"/>
        <v>0.49999968984823329</v>
      </c>
      <c r="S365" s="921">
        <f t="shared" si="132"/>
        <v>0</v>
      </c>
      <c r="T365" s="176">
        <f t="shared" si="133"/>
        <v>6</v>
      </c>
      <c r="U365" s="251">
        <f t="shared" si="134"/>
        <v>0.49999968984823329</v>
      </c>
      <c r="V365" s="383">
        <f t="shared" si="135"/>
        <v>23.201360864220547</v>
      </c>
      <c r="W365" s="402">
        <f t="shared" si="136"/>
        <v>0</v>
      </c>
      <c r="X365" s="157">
        <f t="shared" si="137"/>
        <v>44912</v>
      </c>
      <c r="Y365" s="385">
        <f t="shared" si="138"/>
        <v>2.5022257166355844</v>
      </c>
      <c r="Z365" s="385">
        <f t="shared" si="139"/>
        <v>2.5953889925350535</v>
      </c>
      <c r="AA365" s="386">
        <f t="shared" si="140"/>
        <v>3.0306422639176365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0.14361750199442605</v>
      </c>
      <c r="AD365" s="231">
        <f>(INDEX(Models!$BJ365:$BT365,,AH365)*(1-AF365)+INDEX(Models!$BJ365:$BT365,,AH365+1)*AF365-ERP_i)*AE365*Ramure*Pc/MaxiM</f>
        <v>4.9475741201881734E-3</v>
      </c>
      <c r="AE365" s="305">
        <f t="shared" si="142"/>
        <v>0.7</v>
      </c>
      <c r="AF365" s="177">
        <f t="shared" si="143"/>
        <v>0.49999968984823329</v>
      </c>
      <c r="AG365" s="921">
        <f t="shared" si="149"/>
        <v>0</v>
      </c>
      <c r="AH365" s="176">
        <f t="shared" si="144"/>
        <v>6</v>
      </c>
      <c r="AI365" s="225">
        <f t="shared" si="145"/>
        <v>0.49999968984823329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092">
        <v>20.741</v>
      </c>
      <c r="C366" s="955"/>
      <c r="D366" s="393">
        <f t="shared" si="127"/>
        <v>21.513703499387081</v>
      </c>
      <c r="E366" s="385">
        <f t="shared" si="150"/>
        <v>23.896088663036917</v>
      </c>
      <c r="F366" s="385">
        <f t="shared" si="128"/>
        <v>23.995871485123708</v>
      </c>
      <c r="G366" s="110">
        <f t="shared" si="151"/>
        <v>0.89259190229098673</v>
      </c>
      <c r="H366" s="414" t="b">
        <f>Wh_hp&gt;='2021'!Maxi_hp</f>
        <v>0</v>
      </c>
      <c r="I366" s="380">
        <f>IF(H366,Wh_hp,'2021'!Maxi_hp)</f>
        <v>28.032685021410803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3.5916805277580233E-2</v>
      </c>
      <c r="M366" s="959"/>
      <c r="N366" s="959"/>
      <c r="O366" s="48">
        <f>IF(t&lt;Tnet,'2021'!Resal+('2021'!Salim-'2021'!Resal)*(1-EXP(('2021'!Tnet-t)/('2021'!Tau_j))),Resal+(Salim-Resal)*(1-EXP((Tnet-t)/(Tau_j))))*Salcycl</f>
        <v>9.9697703554932418E-2</v>
      </c>
      <c r="P366" s="339">
        <f>(INDEX(Models!$BJ366:$BT366,,T366)*(1-R366)+INDEX(Models!$BJ366:$BT366,,T366+1)*R366-ERP_i)*Q366*Ramure*Pc/MaxiM</f>
        <v>4.9064801105148962E-3</v>
      </c>
      <c r="Q366" s="305">
        <f t="shared" si="130"/>
        <v>0.7</v>
      </c>
      <c r="R366" s="177">
        <f t="shared" si="131"/>
        <v>0.50000787846790251</v>
      </c>
      <c r="S366" s="921">
        <f t="shared" si="132"/>
        <v>0</v>
      </c>
      <c r="T366" s="176">
        <f t="shared" si="133"/>
        <v>6</v>
      </c>
      <c r="U366" s="251">
        <f t="shared" si="134"/>
        <v>0.50000787846790251</v>
      </c>
      <c r="V366" s="383">
        <f t="shared" si="135"/>
        <v>23.219365793122297</v>
      </c>
      <c r="W366" s="402">
        <f t="shared" si="136"/>
        <v>0</v>
      </c>
      <c r="X366" s="157">
        <f t="shared" si="137"/>
        <v>44913</v>
      </c>
      <c r="Y366" s="385">
        <f t="shared" si="138"/>
        <v>19.726710053212408</v>
      </c>
      <c r="Z366" s="385">
        <f t="shared" si="139"/>
        <v>20.461626300717906</v>
      </c>
      <c r="AA366" s="386">
        <f t="shared" si="140"/>
        <v>23.896088663036917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0.143724875260926</v>
      </c>
      <c r="AD366" s="231">
        <f>(INDEX(Models!$BJ366:$BT366,,AH366)*(1-AF366)+INDEX(Models!$BJ366:$BT366,,AH366+1)*AF366-ERP_i)*AE366*Ramure*Pc/MaxiM</f>
        <v>4.9064801105148962E-3</v>
      </c>
      <c r="AE366" s="305">
        <f t="shared" si="142"/>
        <v>0.7</v>
      </c>
      <c r="AF366" s="177">
        <f t="shared" si="143"/>
        <v>0.50000787846790251</v>
      </c>
      <c r="AG366" s="921">
        <f t="shared" si="149"/>
        <v>0</v>
      </c>
      <c r="AH366" s="176">
        <f t="shared" si="144"/>
        <v>6</v>
      </c>
      <c r="AI366" s="225">
        <f t="shared" si="145"/>
        <v>0.50000787846790251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092">
        <v>17.556000000000001</v>
      </c>
      <c r="C367" s="955"/>
      <c r="D367" s="393">
        <f t="shared" si="127"/>
        <v>18.210445556966</v>
      </c>
      <c r="E367" s="385">
        <f t="shared" si="150"/>
        <v>20.230488438474808</v>
      </c>
      <c r="F367" s="385">
        <f t="shared" si="128"/>
        <v>20.29476924428797</v>
      </c>
      <c r="G367" s="110">
        <f t="shared" si="151"/>
        <v>0.75386098555445202</v>
      </c>
      <c r="H367" s="414" t="b">
        <f>Wh_hp&gt;='2021'!Maxi_hp</f>
        <v>0</v>
      </c>
      <c r="I367" s="380">
        <f>IF(H367,Wh_hp,'2021'!Maxi_hp)</f>
        <v>27.478360183893841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3.5937921173798903E-2</v>
      </c>
      <c r="M367" s="959"/>
      <c r="N367" s="959"/>
      <c r="O367" s="48">
        <f>IF(t&lt;Tnet,'2021'!Resal+('2021'!Salim-'2021'!Resal)*(1-EXP(('2021'!Tnet-t)/('2021'!Tau_j))),Resal+(Salim-Resal)*(1-EXP((Tnet-t)/(Tau_j))))*Salcycl</f>
        <v>9.9851414247964579E-2</v>
      </c>
      <c r="P367" s="339">
        <f>(INDEX(Models!$BJ367:$BT367,,T367)*(1-R367)+INDEX(Models!$BJ367:$BT367,,T367+1)*R367-ERP_i)*Q367*Ramure*Pc/MaxiM</f>
        <v>4.8712341923119714E-3</v>
      </c>
      <c r="Q367" s="305">
        <f t="shared" si="130"/>
        <v>0.7</v>
      </c>
      <c r="R367" s="177">
        <f t="shared" si="131"/>
        <v>0.5000157376418688</v>
      </c>
      <c r="S367" s="921">
        <f t="shared" si="132"/>
        <v>0</v>
      </c>
      <c r="T367" s="176">
        <f t="shared" si="133"/>
        <v>6</v>
      </c>
      <c r="U367" s="251">
        <f t="shared" si="134"/>
        <v>0.5000157376418688</v>
      </c>
      <c r="V367" s="383">
        <f t="shared" si="135"/>
        <v>23.248307106557306</v>
      </c>
      <c r="W367" s="402">
        <f t="shared" si="136"/>
        <v>0</v>
      </c>
      <c r="X367" s="157">
        <f t="shared" si="137"/>
        <v>44914</v>
      </c>
      <c r="Y367" s="385">
        <f t="shared" si="138"/>
        <v>16.698199095777621</v>
      </c>
      <c r="Z367" s="385">
        <f t="shared" si="139"/>
        <v>17.32066789320103</v>
      </c>
      <c r="AA367" s="386">
        <f t="shared" si="140"/>
        <v>20.230488438474808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0.14383343012815317</v>
      </c>
      <c r="AD367" s="231">
        <f>(INDEX(Models!$BJ367:$BT367,,AH367)*(1-AF367)+INDEX(Models!$BJ367:$BT367,,AH367+1)*AF367-ERP_i)*AE367*Ramure*Pc/MaxiM</f>
        <v>4.8712341923119714E-3</v>
      </c>
      <c r="AE367" s="305">
        <f t="shared" si="142"/>
        <v>0.7</v>
      </c>
      <c r="AF367" s="177">
        <f t="shared" si="143"/>
        <v>0.5000157376418688</v>
      </c>
      <c r="AG367" s="921">
        <f t="shared" si="149"/>
        <v>0</v>
      </c>
      <c r="AH367" s="176">
        <f t="shared" si="144"/>
        <v>6</v>
      </c>
      <c r="AI367" s="225">
        <f t="shared" si="145"/>
        <v>0.5000157376418688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092">
        <v>4.2770000000000001</v>
      </c>
      <c r="C368" s="955"/>
      <c r="D368" s="393">
        <f t="shared" si="127"/>
        <v>4.4365334694380341</v>
      </c>
      <c r="E368" s="385">
        <f t="shared" si="150"/>
        <v>4.9295133861156746</v>
      </c>
      <c r="F368" s="385">
        <f t="shared" si="128"/>
        <v>4.9295133861156746</v>
      </c>
      <c r="G368" s="110">
        <f t="shared" si="151"/>
        <v>0.18276966746231893</v>
      </c>
      <c r="H368" s="414" t="b">
        <f>Wh_hp&gt;='2021'!Maxi_hp</f>
        <v>0</v>
      </c>
      <c r="I368" s="380">
        <f>IF(H368,Wh_hp,'2021'!Maxi_hp)</f>
        <v>28.081044157306998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3.5959036607525308E-2</v>
      </c>
      <c r="M368" s="959"/>
      <c r="N368" s="959"/>
      <c r="O368" s="48">
        <f>IF(t&lt;Tnet,'2021'!Resal+('2021'!Salim-'2021'!Resal)*(1-EXP(('2021'!Tnet-t)/('2021'!Tau_j))),Resal+(Salim-Resal)*(1-EXP((Tnet-t)/(Tau_j))))*Salcycl</f>
        <v>0.10000579734019055</v>
      </c>
      <c r="P368" s="339">
        <f>(INDEX(Models!$BJ368:$BT368,,T368)*(1-R368)+INDEX(Models!$BJ368:$BT368,,T368+1)*R368-ERP_i)*Q368*Ramure*Pc/MaxiM</f>
        <v>4.8418874272853733E-3</v>
      </c>
      <c r="Q368" s="305">
        <f t="shared" si="130"/>
        <v>0.7</v>
      </c>
      <c r="R368" s="177">
        <f t="shared" si="131"/>
        <v>0.50002328061470713</v>
      </c>
      <c r="S368" s="921">
        <f t="shared" si="132"/>
        <v>0</v>
      </c>
      <c r="T368" s="176">
        <f t="shared" si="133"/>
        <v>6</v>
      </c>
      <c r="U368" s="251">
        <f t="shared" si="134"/>
        <v>0.50002328061470713</v>
      </c>
      <c r="V368" s="383">
        <f t="shared" si="135"/>
        <v>23.287733170226442</v>
      </c>
      <c r="W368" s="402">
        <f t="shared" si="136"/>
        <v>0</v>
      </c>
      <c r="X368" s="157">
        <f t="shared" si="137"/>
        <v>44915</v>
      </c>
      <c r="Y368" s="385">
        <f t="shared" si="138"/>
        <v>4.0681989188076351</v>
      </c>
      <c r="Z368" s="385">
        <f t="shared" si="139"/>
        <v>4.219944041061888</v>
      </c>
      <c r="AA368" s="386">
        <f t="shared" si="140"/>
        <v>4.9295133861156746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0.14394308108632781</v>
      </c>
      <c r="AD368" s="231">
        <f>(INDEX(Models!$BJ368:$BT368,,AH368)*(1-AF368)+INDEX(Models!$BJ368:$BT368,,AH368+1)*AF368-ERP_i)*AE368*Ramure*Pc/MaxiM</f>
        <v>4.8418874272853733E-3</v>
      </c>
      <c r="AE368" s="305">
        <f t="shared" si="142"/>
        <v>0.7</v>
      </c>
      <c r="AF368" s="177">
        <f t="shared" si="143"/>
        <v>0.50002328061470713</v>
      </c>
      <c r="AG368" s="921">
        <f t="shared" si="149"/>
        <v>0</v>
      </c>
      <c r="AH368" s="176">
        <f t="shared" si="144"/>
        <v>6</v>
      </c>
      <c r="AI368" s="225">
        <f t="shared" si="145"/>
        <v>0.50002328061470713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092">
        <v>21.614000000000001</v>
      </c>
      <c r="C369" s="955"/>
      <c r="D369" s="393">
        <f t="shared" si="127"/>
        <v>22.420700191388299</v>
      </c>
      <c r="E369" s="385">
        <f t="shared" si="150"/>
        <v>24.916340722615384</v>
      </c>
      <c r="F369" s="385">
        <f t="shared" si="128"/>
        <v>25.024200180199902</v>
      </c>
      <c r="G369" s="110">
        <f t="shared" si="151"/>
        <v>0.92568832565154147</v>
      </c>
      <c r="H369" s="414" t="b">
        <f>Wh_hp&gt;='2021'!Maxi_hp</f>
        <v>1</v>
      </c>
      <c r="I369" s="380">
        <f>IF(H369,Wh_hp,'2021'!Maxi_hp)</f>
        <v>25.024200180199902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3.5980151578769548E-2</v>
      </c>
      <c r="M369" s="959"/>
      <c r="N369" s="959"/>
      <c r="O369" s="48">
        <f>IF(t&lt;Tnet,'2021'!Resal+('2021'!Salim-'2021'!Resal)*(1-EXP(('2021'!Tnet-t)/('2021'!Tau_j))),Resal+(Salim-Resal)*(1-EXP((Tnet-t)/(Tau_j))))*Salcycl</f>
        <v>0.10016079644319162</v>
      </c>
      <c r="P369" s="339">
        <f>(INDEX(Models!$BJ369:$BT369,,T369)*(1-R369)+INDEX(Models!$BJ369:$BT369,,T369+1)*R369-ERP_i)*Q369*Ramure*Pc/MaxiM</f>
        <v>4.8184790865249466E-3</v>
      </c>
      <c r="Q369" s="305">
        <f t="shared" si="130"/>
        <v>0.7</v>
      </c>
      <c r="R369" s="177">
        <f t="shared" si="131"/>
        <v>0.50003052009929405</v>
      </c>
      <c r="S369" s="921">
        <f t="shared" si="132"/>
        <v>0</v>
      </c>
      <c r="T369" s="176">
        <f t="shared" si="133"/>
        <v>6</v>
      </c>
      <c r="U369" s="251">
        <f t="shared" si="134"/>
        <v>0.50003052009929405</v>
      </c>
      <c r="V369" s="383">
        <f t="shared" si="135"/>
        <v>23.337192476796961</v>
      </c>
      <c r="W369" s="402">
        <f t="shared" si="136"/>
        <v>0</v>
      </c>
      <c r="X369" s="157">
        <f t="shared" si="137"/>
        <v>44916</v>
      </c>
      <c r="Y369" s="385">
        <f t="shared" si="138"/>
        <v>20.559698114755644</v>
      </c>
      <c r="Z369" s="385">
        <f t="shared" si="139"/>
        <v>21.327048554473375</v>
      </c>
      <c r="AA369" s="386">
        <f t="shared" si="140"/>
        <v>24.916340722615384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0.14405374401082008</v>
      </c>
      <c r="AD369" s="231">
        <f>(INDEX(Models!$BJ369:$BT369,,AH369)*(1-AF369)+INDEX(Models!$BJ369:$BT369,,AH369+1)*AF369-ERP_i)*AE369*Ramure*Pc/MaxiM</f>
        <v>4.8184790865249466E-3</v>
      </c>
      <c r="AE369" s="305">
        <f t="shared" si="142"/>
        <v>0.7</v>
      </c>
      <c r="AF369" s="177">
        <f t="shared" si="143"/>
        <v>0.50003052009929405</v>
      </c>
      <c r="AG369" s="921">
        <f t="shared" si="149"/>
        <v>0</v>
      </c>
      <c r="AH369" s="176">
        <f t="shared" si="144"/>
        <v>6</v>
      </c>
      <c r="AI369" s="225">
        <f t="shared" si="145"/>
        <v>0.50003052009929405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092">
        <v>16.713000000000001</v>
      </c>
      <c r="C370" s="955"/>
      <c r="D370" s="393">
        <f t="shared" si="127"/>
        <v>17.337159699545545</v>
      </c>
      <c r="E370" s="385">
        <f t="shared" si="150"/>
        <v>19.270284416299944</v>
      </c>
      <c r="F370" s="385">
        <f t="shared" si="128"/>
        <v>19.325203593130432</v>
      </c>
      <c r="G370" s="110">
        <f t="shared" si="151"/>
        <v>0.71294221546910763</v>
      </c>
      <c r="H370" s="414" t="b">
        <f>Wh_hp&gt;='2021'!Maxi_hp</f>
        <v>0</v>
      </c>
      <c r="I370" s="380">
        <f>IF(H370,Wh_hp,'2021'!Maxi_hp)</f>
        <v>27.058641236912877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3.6001266087541728E-2</v>
      </c>
      <c r="M370" s="959"/>
      <c r="N370" s="959"/>
      <c r="O370" s="48">
        <f>IF(t&lt;Tnet,'2021'!Resal+('2021'!Salim-'2021'!Resal)*(1-EXP(('2021'!Tnet-t)/('2021'!Tau_j))),Resal+(Salim-Resal)*(1-EXP((Tnet-t)/(Tau_j))))*Salcycl</f>
        <v>0.10031635626089921</v>
      </c>
      <c r="P370" s="339">
        <f>(INDEX(Models!$BJ370:$BT370,,T370)*(1-R370)+INDEX(Models!$BJ370:$BT370,,T370+1)*R370-ERP_i)*Q370*Ramure*Pc/MaxiM</f>
        <v>4.8010374729259087E-3</v>
      </c>
      <c r="Q370" s="305">
        <f t="shared" si="130"/>
        <v>0.7</v>
      </c>
      <c r="R370" s="177">
        <f t="shared" si="131"/>
        <v>0.50003746829809126</v>
      </c>
      <c r="S370" s="921">
        <f t="shared" si="132"/>
        <v>0</v>
      </c>
      <c r="T370" s="176">
        <f t="shared" si="133"/>
        <v>6</v>
      </c>
      <c r="U370" s="251">
        <f t="shared" si="134"/>
        <v>0.50003746829809126</v>
      </c>
      <c r="V370" s="383">
        <f t="shared" si="135"/>
        <v>23.396233645533119</v>
      </c>
      <c r="W370" s="402">
        <f t="shared" si="136"/>
        <v>0</v>
      </c>
      <c r="X370" s="157">
        <f t="shared" si="137"/>
        <v>44917</v>
      </c>
      <c r="Y370" s="385">
        <f t="shared" si="138"/>
        <v>15.898438110482704</v>
      </c>
      <c r="Z370" s="385">
        <f t="shared" si="139"/>
        <v>16.492177376579892</v>
      </c>
      <c r="AA370" s="386">
        <f t="shared" si="140"/>
        <v>19.270284416299944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0.14416533662420494</v>
      </c>
      <c r="AD370" s="231">
        <f>(INDEX(Models!$BJ370:$BT370,,AH370)*(1-AF370)+INDEX(Models!$BJ370:$BT370,,AH370+1)*AF370-ERP_i)*AE370*Ramure*Pc/MaxiM</f>
        <v>4.8010374729259087E-3</v>
      </c>
      <c r="AE370" s="305">
        <f t="shared" si="142"/>
        <v>0.7</v>
      </c>
      <c r="AF370" s="177">
        <f t="shared" si="143"/>
        <v>0.50003746829809126</v>
      </c>
      <c r="AG370" s="921">
        <f t="shared" si="149"/>
        <v>0</v>
      </c>
      <c r="AH370" s="176">
        <f t="shared" si="144"/>
        <v>6</v>
      </c>
      <c r="AI370" s="225">
        <f t="shared" si="145"/>
        <v>0.50003746829809126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092">
        <v>17.239000000000001</v>
      </c>
      <c r="C371" s="955"/>
      <c r="D371" s="393">
        <f t="shared" si="127"/>
        <v>17.883195257576315</v>
      </c>
      <c r="E371" s="385">
        <f t="shared" si="150"/>
        <v>19.88065259226758</v>
      </c>
      <c r="F371" s="385">
        <f t="shared" si="128"/>
        <v>19.93995858741804</v>
      </c>
      <c r="G371" s="110">
        <f t="shared" si="151"/>
        <v>0.7333495767770849</v>
      </c>
      <c r="H371" s="414" t="b">
        <f>Wh_hp&gt;='2021'!Maxi_hp</f>
        <v>0</v>
      </c>
      <c r="I371" s="380">
        <f>IF(H371,Wh_hp,'2021'!Maxi_hp)</f>
        <v>22.375250435644084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3.602238013385195E-2</v>
      </c>
      <c r="M371" s="959"/>
      <c r="N371" s="959"/>
      <c r="O371" s="48">
        <f>IF(t&lt;Tnet,'2021'!Resal+('2021'!Salim-'2021'!Resal)*(1-EXP(('2021'!Tnet-t)/('2021'!Tau_j))),Resal+(Salim-Resal)*(1-EXP((Tnet-t)/(Tau_j))))*Salcycl</f>
        <v>0.10047242289562276</v>
      </c>
      <c r="P371" s="339">
        <f>(INDEX(Models!$BJ371:$BT371,,T371)*(1-R371)+INDEX(Models!$BJ371:$BT371,,T371+1)*R371-ERP_i)*Q371*Ramure*Pc/MaxiM</f>
        <v>4.7895584632519483E-3</v>
      </c>
      <c r="Q371" s="305">
        <f t="shared" si="130"/>
        <v>0.7</v>
      </c>
      <c r="R371" s="177">
        <f t="shared" si="131"/>
        <v>0.50003746829809126</v>
      </c>
      <c r="S371" s="921">
        <f t="shared" si="132"/>
        <v>0</v>
      </c>
      <c r="T371" s="176">
        <f t="shared" si="133"/>
        <v>6</v>
      </c>
      <c r="U371" s="251">
        <f t="shared" si="134"/>
        <v>0.50003746829809126</v>
      </c>
      <c r="V371" s="383">
        <f t="shared" si="135"/>
        <v>23.464405951624247</v>
      </c>
      <c r="W371" s="402">
        <f t="shared" si="136"/>
        <v>0</v>
      </c>
      <c r="X371" s="157">
        <f t="shared" si="137"/>
        <v>44918</v>
      </c>
      <c r="Y371" s="385">
        <f t="shared" si="138"/>
        <v>16.399492071792466</v>
      </c>
      <c r="Z371" s="385">
        <f t="shared" si="139"/>
        <v>17.012316192641066</v>
      </c>
      <c r="AA371" s="386">
        <f t="shared" si="140"/>
        <v>19.88065259226758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0.14427777892674062</v>
      </c>
      <c r="AD371" s="231">
        <f>(INDEX(Models!$BJ371:$BT371,,AH371)*(1-AF371)+INDEX(Models!$BJ371:$BT371,,AH371+1)*AF371-ERP_i)*AE371*Ramure*Pc/MaxiM</f>
        <v>4.7895584632519483E-3</v>
      </c>
      <c r="AE371" s="305">
        <f t="shared" si="142"/>
        <v>0.7</v>
      </c>
      <c r="AF371" s="177">
        <f t="shared" si="143"/>
        <v>0.50003746829809126</v>
      </c>
      <c r="AG371" s="921">
        <f t="shared" si="149"/>
        <v>0</v>
      </c>
      <c r="AH371" s="176">
        <f t="shared" si="144"/>
        <v>6</v>
      </c>
      <c r="AI371" s="225">
        <f t="shared" si="145"/>
        <v>0.50003746829809126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092">
        <v>22.594000000000001</v>
      </c>
      <c r="C372" s="955"/>
      <c r="D372" s="393">
        <f t="shared" si="127"/>
        <v>23.438816847804404</v>
      </c>
      <c r="E372" s="385">
        <f t="shared" si="150"/>
        <v>26.061342195598325</v>
      </c>
      <c r="F372" s="385">
        <f t="shared" si="128"/>
        <v>26.179386726313346</v>
      </c>
      <c r="G372" s="110">
        <f t="shared" si="151"/>
        <v>0.95949666390909594</v>
      </c>
      <c r="H372" s="414" t="b">
        <f>Wh_hp&gt;='2021'!Maxi_hp</f>
        <v>1</v>
      </c>
      <c r="I372" s="380">
        <f>IF(H372,Wh_hp,'2021'!Maxi_hp)</f>
        <v>26.179386726313346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3.6043493717710318E-2</v>
      </c>
      <c r="M372" s="959"/>
      <c r="N372" s="959"/>
      <c r="O372" s="48">
        <f>IF(t&lt;Tnet,'2021'!Resal+('2021'!Salim-'2021'!Resal)*(1-EXP(('2021'!Tnet-t)/('2021'!Tau_j))),Resal+(Salim-Resal)*(1-EXP((Tnet-t)/(Tau_j))))*Salcycl</f>
        <v>0.10062894413154418</v>
      </c>
      <c r="P372" s="339">
        <f>(INDEX(Models!$BJ372:$BT372,,T372)*(1-R372)+INDEX(Models!$BJ372:$BT372,,T372+1)*R372-ERP_i)*Q372*Ramure*Pc/MaxiM</f>
        <v>4.7840672607098924E-3</v>
      </c>
      <c r="Q372" s="305">
        <f t="shared" si="130"/>
        <v>0.7</v>
      </c>
      <c r="R372" s="177">
        <f t="shared" si="131"/>
        <v>0.50003746829809126</v>
      </c>
      <c r="S372" s="921">
        <f t="shared" si="132"/>
        <v>0</v>
      </c>
      <c r="T372" s="176">
        <f t="shared" si="133"/>
        <v>6</v>
      </c>
      <c r="U372" s="251">
        <f t="shared" si="134"/>
        <v>0.50003746829809126</v>
      </c>
      <c r="V372" s="383">
        <f t="shared" si="135"/>
        <v>23.541257914432673</v>
      </c>
      <c r="W372" s="402">
        <f t="shared" si="136"/>
        <v>0</v>
      </c>
      <c r="X372" s="157">
        <f t="shared" si="137"/>
        <v>44919</v>
      </c>
      <c r="Y372" s="385">
        <f t="shared" si="138"/>
        <v>21.494609777164662</v>
      </c>
      <c r="Z372" s="385">
        <f t="shared" si="139"/>
        <v>22.298319101619381</v>
      </c>
      <c r="AA372" s="386">
        <f t="shared" si="140"/>
        <v>26.061342195598325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0.14439099359259047</v>
      </c>
      <c r="AD372" s="231">
        <f>(INDEX(Models!$BJ372:$BT372,,AH372)*(1-AF372)+INDEX(Models!$BJ372:$BT372,,AH372+1)*AF372-ERP_i)*AE372*Ramure*Pc/MaxiM</f>
        <v>4.7840672607098924E-3</v>
      </c>
      <c r="AE372" s="305">
        <f t="shared" si="142"/>
        <v>0.7</v>
      </c>
      <c r="AF372" s="177">
        <f t="shared" si="143"/>
        <v>0.50003746829809126</v>
      </c>
      <c r="AG372" s="921">
        <f t="shared" si="149"/>
        <v>0</v>
      </c>
      <c r="AH372" s="176">
        <f t="shared" si="144"/>
        <v>6</v>
      </c>
      <c r="AI372" s="225">
        <f t="shared" si="145"/>
        <v>0.50003746829809126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092">
        <v>13.234</v>
      </c>
      <c r="C373" s="955"/>
      <c r="D373" s="393">
        <f t="shared" si="127"/>
        <v>13.729135888043228</v>
      </c>
      <c r="E373" s="385">
        <f t="shared" si="150"/>
        <v>15.267927210362979</v>
      </c>
      <c r="F373" s="385">
        <f t="shared" si="128"/>
        <v>15.295107240212786</v>
      </c>
      <c r="G373" s="110">
        <f t="shared" si="151"/>
        <v>0.55834914243450373</v>
      </c>
      <c r="H373" s="414" t="b">
        <f>Wh_hp&gt;='2021'!Maxi_hp</f>
        <v>0</v>
      </c>
      <c r="I373" s="380">
        <f>IF(H373,Wh_hp,'2021'!Maxi_hp)</f>
        <v>18.791308820692279</v>
      </c>
      <c r="J373" s="85">
        <f>IF(H373,An,'2021'!An_max)</f>
        <v>2019</v>
      </c>
      <c r="K373" s="197">
        <f t="shared" si="129"/>
        <v>44920</v>
      </c>
      <c r="L373" s="147">
        <f>IF(t&lt;Tvie,1-EXP((T0-t)*PertePVj)+'2021'!Pspv,1-EXP((T0-t)*PertePVj)+Pspv)</f>
        <v>3.6064606839127045E-2</v>
      </c>
      <c r="M373" s="959"/>
      <c r="N373" s="959"/>
      <c r="O373" s="48">
        <f>IF(t&lt;Tnet,'2021'!Resal+('2021'!Salim-'2021'!Resal)*(1-EXP(('2021'!Tnet-t)/('2021'!Tau_j))),Resal+(Salim-Resal)*(1-EXP((Tnet-t)/(Tau_j))))*Salcycl</f>
        <v>0.10078586969391029</v>
      </c>
      <c r="P373" s="339">
        <f>(INDEX(Models!$BJ373:$BT373,,T373)*(1-R373)+INDEX(Models!$BJ373:$BT373,,T373+1)*R373-ERP_i)*Q373*Ramure*Pc/MaxiM</f>
        <v>4.7836789379978907E-3</v>
      </c>
      <c r="Q373" s="305">
        <f t="shared" si="130"/>
        <v>0.7</v>
      </c>
      <c r="R373" s="177">
        <f t="shared" si="131"/>
        <v>0.50003746829809126</v>
      </c>
      <c r="S373" s="921">
        <f t="shared" si="132"/>
        <v>0</v>
      </c>
      <c r="T373" s="176">
        <f t="shared" si="133"/>
        <v>6</v>
      </c>
      <c r="U373" s="251">
        <f t="shared" si="134"/>
        <v>0.50003746829809126</v>
      </c>
      <c r="V373" s="383">
        <f t="shared" si="135"/>
        <v>23.630625202544511</v>
      </c>
      <c r="W373" s="402">
        <f t="shared" si="136"/>
        <v>0</v>
      </c>
      <c r="X373" s="157">
        <f t="shared" si="137"/>
        <v>44920</v>
      </c>
      <c r="Y373" s="385">
        <f t="shared" si="138"/>
        <v>12.590574022432394</v>
      </c>
      <c r="Z373" s="385">
        <f t="shared" si="139"/>
        <v>13.061636818984537</v>
      </c>
      <c r="AA373" s="386">
        <f t="shared" si="140"/>
        <v>15.267927210362979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0.14450490632945515</v>
      </c>
      <c r="AD373" s="231">
        <f>(INDEX(Models!$BJ373:$BT373,,AH373)*(1-AF373)+INDEX(Models!$BJ373:$BT373,,AH373+1)*AF373-ERP_i)*AE373*Ramure*Pc/MaxiM</f>
        <v>4.7836789379978907E-3</v>
      </c>
      <c r="AE373" s="305">
        <f t="shared" si="142"/>
        <v>0.7</v>
      </c>
      <c r="AF373" s="177">
        <f t="shared" si="143"/>
        <v>0.50003746829809126</v>
      </c>
      <c r="AG373" s="921">
        <f t="shared" si="149"/>
        <v>0</v>
      </c>
      <c r="AH373" s="176">
        <f t="shared" si="144"/>
        <v>6</v>
      </c>
      <c r="AI373" s="225">
        <f t="shared" si="145"/>
        <v>0.50003746829809126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092">
        <v>21.847000000000001</v>
      </c>
      <c r="C374" s="955"/>
      <c r="D374" s="393">
        <f t="shared" si="127"/>
        <v>22.664878446063458</v>
      </c>
      <c r="E374" s="385">
        <f t="shared" si="150"/>
        <v>25.209616592581607</v>
      </c>
      <c r="F374" s="385">
        <f t="shared" si="128"/>
        <v>25.317046789110812</v>
      </c>
      <c r="G374" s="110">
        <f t="shared" si="151"/>
        <v>0.91992348273867008</v>
      </c>
      <c r="H374" s="414" t="b">
        <f>Wh_hp&gt;='2021'!Maxi_hp</f>
        <v>0</v>
      </c>
      <c r="I374" s="380">
        <f>IF(H374,Wh_hp,'2021'!Maxi_hp)</f>
        <v>26.329619230701343</v>
      </c>
      <c r="J374" s="85">
        <f>IF(H374,An,'2021'!An_max)</f>
        <v>2018</v>
      </c>
      <c r="K374" s="197">
        <f t="shared" si="129"/>
        <v>44921</v>
      </c>
      <c r="L374" s="147">
        <f>IF(t&lt;Tvie,1-EXP((T0-t)*PertePVj)+'2021'!Pspv,1-EXP((T0-t)*PertePVj)+Pspv)</f>
        <v>3.6085719498112234E-2</v>
      </c>
      <c r="M374" s="959"/>
      <c r="N374" s="959"/>
      <c r="O374" s="48">
        <f>IF(t&lt;Tnet,'2021'!Resal+('2021'!Salim-'2021'!Resal)*(1-EXP(('2021'!Tnet-t)/('2021'!Tau_j))),Resal+(Salim-Resal)*(1-EXP((Tnet-t)/(Tau_j))))*Salcycl</f>
        <v>0.10094315148239839</v>
      </c>
      <c r="P374" s="339">
        <f>(INDEX(Models!$BJ374:$BT374,,T374)*(1-R374)+INDEX(Models!$BJ374:$BT374,,T374+1)*R374-ERP_i)*Q374*Ramure*Pc/MaxiM</f>
        <v>4.7876345323219867E-3</v>
      </c>
      <c r="Q374" s="305">
        <f t="shared" si="130"/>
        <v>0.7</v>
      </c>
      <c r="R374" s="177">
        <f t="shared" si="131"/>
        <v>0.50003746829809126</v>
      </c>
      <c r="S374" s="921">
        <f t="shared" si="132"/>
        <v>0</v>
      </c>
      <c r="T374" s="176">
        <f t="shared" si="133"/>
        <v>6</v>
      </c>
      <c r="U374" s="251">
        <f t="shared" si="134"/>
        <v>0.50003746829809126</v>
      </c>
      <c r="V374" s="383">
        <f t="shared" si="135"/>
        <v>23.735734233211677</v>
      </c>
      <c r="W374" s="402">
        <f t="shared" si="136"/>
        <v>0</v>
      </c>
      <c r="X374" s="157">
        <f t="shared" si="137"/>
        <v>44921</v>
      </c>
      <c r="Y374" s="385">
        <f t="shared" si="138"/>
        <v>20.785669993715153</v>
      </c>
      <c r="Z374" s="385">
        <f t="shared" si="139"/>
        <v>21.563815802057146</v>
      </c>
      <c r="AA374" s="386">
        <f t="shared" si="140"/>
        <v>25.209616592581607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0.14461944619964209</v>
      </c>
      <c r="AD374" s="231">
        <f>(INDEX(Models!$BJ374:$BT374,,AH374)*(1-AF374)+INDEX(Models!$BJ374:$BT374,,AH374+1)*AF374-ERP_i)*AE374*Ramure*Pc/MaxiM</f>
        <v>4.7876345323219867E-3</v>
      </c>
      <c r="AE374" s="305">
        <f t="shared" si="142"/>
        <v>0.7</v>
      </c>
      <c r="AF374" s="177">
        <f t="shared" si="143"/>
        <v>0.50003746829809126</v>
      </c>
      <c r="AG374" s="921">
        <f t="shared" si="149"/>
        <v>0</v>
      </c>
      <c r="AH374" s="176">
        <f t="shared" si="144"/>
        <v>6</v>
      </c>
      <c r="AI374" s="225">
        <f t="shared" si="145"/>
        <v>0.50003746829809126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092">
        <v>5.9329999999999998</v>
      </c>
      <c r="C375" s="955"/>
      <c r="D375" s="393">
        <f t="shared" si="127"/>
        <v>6.1552464475198523</v>
      </c>
      <c r="E375" s="385">
        <f t="shared" si="150"/>
        <v>6.8475375910150849</v>
      </c>
      <c r="F375" s="385">
        <f t="shared" si="128"/>
        <v>6.8475375910150849</v>
      </c>
      <c r="G375" s="110">
        <f t="shared" si="151"/>
        <v>0.2475158250774151</v>
      </c>
      <c r="H375" s="414" t="b">
        <f>Wh_hp&gt;='2021'!Maxi_hp</f>
        <v>0</v>
      </c>
      <c r="I375" s="380">
        <f>IF(H375,Wh_hp,'2021'!Maxi_hp)</f>
        <v>27.615988001355355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3.61068316946761E-2</v>
      </c>
      <c r="M375" s="959"/>
      <c r="N375" s="959"/>
      <c r="O375" s="48">
        <f>IF(t&lt;Tnet,'2021'!Resal+('2021'!Salim-'2021'!Resal)*(1-EXP(('2021'!Tnet-t)/('2021'!Tau_j))),Resal+(Salim-Resal)*(1-EXP((Tnet-t)/(Tau_j))))*Salcycl</f>
        <v>0.10110074377738563</v>
      </c>
      <c r="P375" s="339">
        <f>(INDEX(Models!$BJ375:$BT375,,T375)*(1-R375)+INDEX(Models!$BJ375:$BT375,,T375+1)*R375-ERP_i)*Q375*Ramure*Pc/MaxiM</f>
        <v>4.7935899410743183E-3</v>
      </c>
      <c r="Q375" s="305">
        <f t="shared" si="130"/>
        <v>0.7</v>
      </c>
      <c r="R375" s="177">
        <f t="shared" si="131"/>
        <v>0.50003746829809126</v>
      </c>
      <c r="S375" s="921">
        <f t="shared" si="132"/>
        <v>0</v>
      </c>
      <c r="T375" s="176">
        <f t="shared" si="133"/>
        <v>6</v>
      </c>
      <c r="U375" s="251">
        <f t="shared" si="134"/>
        <v>0.50003746829809126</v>
      </c>
      <c r="V375" s="383">
        <f t="shared" si="135"/>
        <v>23.855281289722978</v>
      </c>
      <c r="W375" s="402">
        <f t="shared" si="136"/>
        <v>0</v>
      </c>
      <c r="X375" s="157">
        <f t="shared" si="137"/>
        <v>44922</v>
      </c>
      <c r="Y375" s="385">
        <f t="shared" si="138"/>
        <v>5.6450040469416605</v>
      </c>
      <c r="Z375" s="385">
        <f t="shared" si="139"/>
        <v>5.85646234723965</v>
      </c>
      <c r="AA375" s="386">
        <f t="shared" si="140"/>
        <v>6.8475375910150849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0.14473454590097642</v>
      </c>
      <c r="AD375" s="231">
        <f>(INDEX(Models!$BJ375:$BT375,,AH375)*(1-AF375)+INDEX(Models!$BJ375:$BT375,,AH375+1)*AF375-ERP_i)*AE375*Ramure*Pc/MaxiM</f>
        <v>4.7935899410743183E-3</v>
      </c>
      <c r="AE375" s="305">
        <f t="shared" si="142"/>
        <v>0.7</v>
      </c>
      <c r="AF375" s="177">
        <f t="shared" si="143"/>
        <v>0.50003746829809126</v>
      </c>
      <c r="AG375" s="921">
        <f t="shared" si="149"/>
        <v>0</v>
      </c>
      <c r="AH375" s="176">
        <f t="shared" si="144"/>
        <v>6</v>
      </c>
      <c r="AI375" s="225">
        <f t="shared" si="145"/>
        <v>0.50003746829809126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092">
        <v>23.128</v>
      </c>
      <c r="C376" s="955"/>
      <c r="D376" s="393">
        <f t="shared" si="127"/>
        <v>23.994885879640862</v>
      </c>
      <c r="E376" s="385">
        <f t="shared" si="150"/>
        <v>26.698320530131177</v>
      </c>
      <c r="F376" s="385">
        <f t="shared" si="128"/>
        <v>26.820419872906378</v>
      </c>
      <c r="G376" s="110">
        <f t="shared" si="151"/>
        <v>0.96391119874982423</v>
      </c>
      <c r="H376" s="414" t="b">
        <f>Wh_hp&gt;='2021'!Maxi_hp</f>
        <v>1</v>
      </c>
      <c r="I376" s="380">
        <f>IF(H376,Wh_hp,'2021'!Maxi_hp)</f>
        <v>26.820419872906378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3.6127943428828524E-2</v>
      </c>
      <c r="M376" s="959"/>
      <c r="N376" s="959"/>
      <c r="O376" s="48">
        <f>IF(t&lt;Tnet,'2021'!Resal+('2021'!Salim-'2021'!Resal)*(1-EXP(('2021'!Tnet-t)/('2021'!Tau_j))),Resal+(Salim-Resal)*(1-EXP((Tnet-t)/(Tau_j))))*Salcycl</f>
        <v>0.1012586034181166</v>
      </c>
      <c r="P376" s="339">
        <f>(INDEX(Models!$BJ376:$BT376,,T376)*(1-R376)+INDEX(Models!$BJ376:$BT376,,T376+1)*R376-ERP_i)*Q376*Ramure*Pc/MaxiM</f>
        <v>4.798219707664364E-3</v>
      </c>
      <c r="Q376" s="305">
        <f t="shared" si="130"/>
        <v>0.7</v>
      </c>
      <c r="R376" s="177">
        <f t="shared" si="131"/>
        <v>0.50003746829809126</v>
      </c>
      <c r="S376" s="921">
        <f t="shared" si="132"/>
        <v>0</v>
      </c>
      <c r="T376" s="176">
        <f t="shared" si="133"/>
        <v>6</v>
      </c>
      <c r="U376" s="251">
        <f t="shared" si="134"/>
        <v>0.50003746829809126</v>
      </c>
      <c r="V376" s="383">
        <f t="shared" si="135"/>
        <v>23.987988207379619</v>
      </c>
      <c r="W376" s="402">
        <f t="shared" si="136"/>
        <v>0</v>
      </c>
      <c r="X376" s="157">
        <f t="shared" si="137"/>
        <v>44923</v>
      </c>
      <c r="Y376" s="385">
        <f t="shared" si="138"/>
        <v>22.006225584909281</v>
      </c>
      <c r="Z376" s="385">
        <f t="shared" si="139"/>
        <v>22.83106501001086</v>
      </c>
      <c r="AA376" s="386">
        <f t="shared" si="140"/>
        <v>26.698320530131177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0.14485014200634125</v>
      </c>
      <c r="AD376" s="231">
        <f>(INDEX(Models!$BJ376:$BT376,,AH376)*(1-AF376)+INDEX(Models!$BJ376:$BT376,,AH376+1)*AF376-ERP_i)*AE376*Ramure*Pc/MaxiM</f>
        <v>4.798219707664364E-3</v>
      </c>
      <c r="AE376" s="305">
        <f t="shared" si="142"/>
        <v>0.7</v>
      </c>
      <c r="AF376" s="177">
        <f t="shared" si="143"/>
        <v>0.50003746829809126</v>
      </c>
      <c r="AG376" s="921">
        <f t="shared" si="149"/>
        <v>0</v>
      </c>
      <c r="AH376" s="176">
        <f t="shared" si="144"/>
        <v>6</v>
      </c>
      <c r="AI376" s="225">
        <f t="shared" si="145"/>
        <v>0.50003746829809126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092">
        <v>10.07</v>
      </c>
      <c r="C377" s="955"/>
      <c r="D377" s="393">
        <f t="shared" si="127"/>
        <v>10.447673521627097</v>
      </c>
      <c r="E377" s="385">
        <f t="shared" si="150"/>
        <v>11.626827924357274</v>
      </c>
      <c r="F377" s="385">
        <f t="shared" si="128"/>
        <v>11.636189253321987</v>
      </c>
      <c r="G377" s="110">
        <f t="shared" si="151"/>
        <v>0.41561040076788441</v>
      </c>
      <c r="H377" s="414" t="b">
        <f>Wh_hp&gt;='2021'!Maxi_hp</f>
        <v>0</v>
      </c>
      <c r="I377" s="380">
        <f>IF(H377,Wh_hp,'2021'!Maxi_hp)</f>
        <v>27.222037432287717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3.614905470057983E-2</v>
      </c>
      <c r="M377" s="959"/>
      <c r="N377" s="959"/>
      <c r="O377" s="48">
        <f>IF(t&lt;Tnet,'2021'!Resal+('2021'!Salim-'2021'!Resal)*(1-EXP(('2021'!Tnet-t)/('2021'!Tau_j))),Resal+(Salim-Resal)*(1-EXP((Tnet-t)/(Tau_j))))*Salcycl</f>
        <v>0.10141668995203271</v>
      </c>
      <c r="P377" s="339">
        <f>(INDEX(Models!$BJ377:$BT377,,T377)*(1-R377)+INDEX(Models!$BJ377:$BT377,,T377+1)*R377-ERP_i)*Q377*Ramure*Pc/MaxiM</f>
        <v>4.8017752791161402E-3</v>
      </c>
      <c r="Q377" s="305">
        <f t="shared" si="130"/>
        <v>0.7</v>
      </c>
      <c r="R377" s="177">
        <f t="shared" si="131"/>
        <v>0.50003746829809126</v>
      </c>
      <c r="S377" s="921">
        <f t="shared" si="132"/>
        <v>0</v>
      </c>
      <c r="T377" s="176">
        <f t="shared" si="133"/>
        <v>6</v>
      </c>
      <c r="U377" s="251">
        <f t="shared" si="134"/>
        <v>0.50003746829809126</v>
      </c>
      <c r="V377" s="383">
        <f t="shared" si="135"/>
        <v>24.132492889587542</v>
      </c>
      <c r="W377" s="402">
        <f t="shared" si="136"/>
        <v>0</v>
      </c>
      <c r="X377" s="157">
        <f t="shared" si="137"/>
        <v>44924</v>
      </c>
      <c r="Y377" s="385">
        <f t="shared" si="138"/>
        <v>9.5819614273370544</v>
      </c>
      <c r="Z377" s="385">
        <f t="shared" si="139"/>
        <v>9.9413311509077982</v>
      </c>
      <c r="AA377" s="386">
        <f t="shared" si="140"/>
        <v>11.626827924357274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0.1449661751610252</v>
      </c>
      <c r="AD377" s="231">
        <f>(INDEX(Models!$BJ377:$BT377,,AH377)*(1-AF377)+INDEX(Models!$BJ377:$BT377,,AH377+1)*AF377-ERP_i)*AE377*Ramure*Pc/MaxiM</f>
        <v>4.8017752791161402E-3</v>
      </c>
      <c r="AE377" s="305">
        <f t="shared" si="142"/>
        <v>0.7</v>
      </c>
      <c r="AF377" s="177">
        <f t="shared" si="143"/>
        <v>0.50003746829809126</v>
      </c>
      <c r="AG377" s="921">
        <f t="shared" si="149"/>
        <v>0</v>
      </c>
      <c r="AH377" s="176">
        <f t="shared" si="144"/>
        <v>6</v>
      </c>
      <c r="AI377" s="225">
        <f t="shared" si="145"/>
        <v>0.50003746829809126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092">
        <v>14.462</v>
      </c>
      <c r="C378" s="955"/>
      <c r="D378" s="393">
        <f t="shared" si="127"/>
        <v>15.004723326137244</v>
      </c>
      <c r="E378" s="385">
        <f t="shared" si="150"/>
        <v>16.70114116838171</v>
      </c>
      <c r="F378" s="385">
        <f t="shared" si="128"/>
        <v>16.735077541363065</v>
      </c>
      <c r="G378" s="110">
        <f t="shared" si="151"/>
        <v>0.59379522681463404</v>
      </c>
      <c r="H378" s="414" t="b">
        <f>Wh_hp&gt;='2021'!Maxi_hp</f>
        <v>0</v>
      </c>
      <c r="I378" s="380">
        <f>IF(H378,Wh_hp,'2021'!Maxi_hp)</f>
        <v>27.784365944966957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3.6170165509940122E-2</v>
      </c>
      <c r="M378" s="959"/>
      <c r="N378" s="959"/>
      <c r="O378" s="48">
        <f>IF(t&lt;Tnet,'2021'!Resal+('2021'!Salim-'2021'!Resal)*(1-EXP(('2021'!Tnet-t)/('2021'!Tau_j))),Resal+(Salim-Resal)*(1-EXP((Tnet-t)/(Tau_j))))*Salcycl</f>
        <v>0.10157496575480073</v>
      </c>
      <c r="P378" s="339">
        <f>(INDEX(Models!$BJ378:$BT378,,T378)*(1-R378)+INDEX(Models!$BJ378:$BT378,,T378+1)*R378-ERP_i)*Q378*Ramure*Pc/MaxiM</f>
        <v>4.80450753230311E-3</v>
      </c>
      <c r="Q378" s="305">
        <f t="shared" si="130"/>
        <v>0.7</v>
      </c>
      <c r="R378" s="177">
        <f t="shared" si="131"/>
        <v>0.50003746829809126</v>
      </c>
      <c r="S378" s="921">
        <f t="shared" si="132"/>
        <v>0</v>
      </c>
      <c r="T378" s="176">
        <f t="shared" si="133"/>
        <v>6</v>
      </c>
      <c r="U378" s="251">
        <f t="shared" si="134"/>
        <v>0.50003746829809126</v>
      </c>
      <c r="V378" s="383">
        <f t="shared" si="135"/>
        <v>24.287434215907805</v>
      </c>
      <c r="W378" s="402">
        <f t="shared" si="136"/>
        <v>0</v>
      </c>
      <c r="X378" s="157">
        <f t="shared" si="137"/>
        <v>44925</v>
      </c>
      <c r="Y378" s="385">
        <f t="shared" si="138"/>
        <v>13.761655239686556</v>
      </c>
      <c r="Z378" s="385">
        <f t="shared" si="139"/>
        <v>14.278096347751603</v>
      </c>
      <c r="AA378" s="386">
        <f t="shared" si="140"/>
        <v>16.70114116838171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0.14508259023744868</v>
      </c>
      <c r="AD378" s="231">
        <f>(INDEX(Models!$BJ378:$BT378,,AH378)*(1-AF378)+INDEX(Models!$BJ378:$BT378,,AH378+1)*AF378-ERP_i)*AE378*Ramure*Pc/MaxiM</f>
        <v>4.80450753230311E-3</v>
      </c>
      <c r="AE378" s="305">
        <f t="shared" si="142"/>
        <v>0.7</v>
      </c>
      <c r="AF378" s="177">
        <f t="shared" si="143"/>
        <v>0.50003746829809126</v>
      </c>
      <c r="AG378" s="921">
        <f t="shared" si="149"/>
        <v>0</v>
      </c>
      <c r="AH378" s="176">
        <f t="shared" si="144"/>
        <v>6</v>
      </c>
      <c r="AI378" s="225">
        <f t="shared" si="145"/>
        <v>0.50003746829809126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092">
        <v>10.936</v>
      </c>
      <c r="C379" s="955"/>
      <c r="D379" s="393">
        <f t="shared" si="127"/>
        <v>11.34664973044643</v>
      </c>
      <c r="E379" s="385">
        <f t="shared" si="150"/>
        <v>12.631717222310279</v>
      </c>
      <c r="F379" s="385">
        <f t="shared" si="128"/>
        <v>12.644502598349854</v>
      </c>
      <c r="G379" s="110">
        <f t="shared" si="151"/>
        <v>0.44555432205253065</v>
      </c>
      <c r="H379" s="414" t="b">
        <f>Wh_hp&gt;='2021'!Maxi_hp</f>
        <v>0</v>
      </c>
      <c r="I379" s="380">
        <f>IF(H379,Wh_hp,'2021'!Maxi_hp)</f>
        <v>28.039920073924794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3.6191275856919614E-2</v>
      </c>
      <c r="M379" s="959"/>
      <c r="N379" s="959"/>
      <c r="O379" s="48">
        <f>IF(t&lt;Tnet,'2021'!Resal+('2021'!Salim-'2021'!Resal)*(1-EXP(('2021'!Tnet-t)/('2021'!Tau_j))),Resal+(Salim-Resal)*(1-EXP((Tnet-t)/(Tau_j))))*Salcycl</f>
        <v>0.10173339612084951</v>
      </c>
      <c r="P379" s="339">
        <f>(INDEX(Models!$BJ379:$BT379,,T379)*(1-R379)+INDEX(Models!$BJ379:$BT379,,T379+1)*R379-ERP_i)*Q379*Ramure*Pc/MaxiM</f>
        <v>4.8066651509570393E-3</v>
      </c>
      <c r="Q379" s="306">
        <f t="shared" si="130"/>
        <v>0.7</v>
      </c>
      <c r="R379" s="177">
        <f t="shared" si="131"/>
        <v>0.50003746829809126</v>
      </c>
      <c r="S379" s="921">
        <f t="shared" si="132"/>
        <v>0</v>
      </c>
      <c r="T379" s="176">
        <f t="shared" si="133"/>
        <v>6</v>
      </c>
      <c r="U379" s="307">
        <f t="shared" si="134"/>
        <v>0.50003746829809126</v>
      </c>
      <c r="V379" s="383">
        <f t="shared" si="135"/>
        <v>24.451452038038589</v>
      </c>
      <c r="W379" s="402">
        <f t="shared" si="136"/>
        <v>0</v>
      </c>
      <c r="X379" s="157">
        <f t="shared" si="137"/>
        <v>44926</v>
      </c>
      <c r="Y379" s="385">
        <f t="shared" si="138"/>
        <v>10.406821333714829</v>
      </c>
      <c r="Z379" s="385">
        <f t="shared" si="139"/>
        <v>10.797600263441799</v>
      </c>
      <c r="AA379" s="386">
        <f t="shared" si="140"/>
        <v>12.631717222310279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0.14519933644722835</v>
      </c>
      <c r="AD379" s="231">
        <f>(INDEX(Models!$BJ379:$BT379,,AH379)*(1-AF379)+INDEX(Models!$BJ379:$BT379,,AH379+1)*AF379-ERP_i)*AE379*Ramure*Pc/MaxiM</f>
        <v>4.8066651509570393E-3</v>
      </c>
      <c r="AE379" s="306">
        <f t="shared" si="142"/>
        <v>0.7</v>
      </c>
      <c r="AF379" s="177">
        <f t="shared" si="143"/>
        <v>0.50003746829809126</v>
      </c>
      <c r="AG379" s="921">
        <f t="shared" si="149"/>
        <v>0</v>
      </c>
      <c r="AH379" s="176">
        <f t="shared" si="144"/>
        <v>6</v>
      </c>
      <c r="AI379" s="222">
        <f t="shared" si="145"/>
        <v>0.50003746829809126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50">
        <f>44.55*0.05</f>
        <v>2.2275</v>
      </c>
      <c r="C380" s="963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15.624559392660943</v>
      </c>
      <c r="J380" s="85">
        <f>IF(H380,An,'2021'!An_max)</f>
        <v>2020</v>
      </c>
      <c r="K380" s="234"/>
      <c r="L380" s="214"/>
      <c r="M380" s="964"/>
      <c r="N380" s="964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2.8476481003271603E-2</v>
      </c>
      <c r="M381" s="961"/>
      <c r="N381" s="961"/>
      <c r="O381" s="47">
        <f t="shared" si="152"/>
        <v>3.1366798344515431E-2</v>
      </c>
      <c r="P381" s="341">
        <f t="shared" si="152"/>
        <v>2.8674586205045048E-4</v>
      </c>
      <c r="Q381" s="310">
        <f t="shared" si="152"/>
        <v>0.7</v>
      </c>
      <c r="R381" s="311">
        <f t="shared" si="152"/>
        <v>3.8741334262374074E-5</v>
      </c>
      <c r="S381" s="921">
        <f t="shared" si="152"/>
        <v>0</v>
      </c>
      <c r="T381" s="176">
        <f t="shared" si="152"/>
        <v>6</v>
      </c>
      <c r="U381" s="252">
        <f>+MIN(U15:U380)</f>
        <v>3.8741334262374074E-5</v>
      </c>
      <c r="V381" s="373">
        <f>MIN(V15:V380)</f>
        <v>23.194804814959394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9.197045577807017E-2</v>
      </c>
      <c r="AD381" s="168">
        <f t="shared" si="153"/>
        <v>2.8674586205045048E-4</v>
      </c>
      <c r="AE381" s="310">
        <f t="shared" si="153"/>
        <v>0.7</v>
      </c>
      <c r="AF381" s="311">
        <f t="shared" si="153"/>
        <v>3.8741334262374074E-5</v>
      </c>
      <c r="AG381" s="921">
        <f t="shared" si="153"/>
        <v>0</v>
      </c>
      <c r="AH381" s="176">
        <f t="shared" si="153"/>
        <v>6</v>
      </c>
      <c r="AI381" s="226">
        <f>MIN(AI15:AI380)</f>
        <v>3.8741334262374074E-5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29.22996994535519</v>
      </c>
      <c r="C382" s="375"/>
      <c r="D382" s="375">
        <f>AVERAGE(D15:D380)</f>
        <v>30.279278873138615</v>
      </c>
      <c r="E382" s="375">
        <f>AVERAGE(E15:E380)</f>
        <v>32.556335539739145</v>
      </c>
      <c r="F382" s="376">
        <f>AVERAGE(F15:F380)</f>
        <v>32.617936266544532</v>
      </c>
      <c r="G382" s="126">
        <f>AVERAGE(G15:G380)</f>
        <v>0.67888846312775908</v>
      </c>
      <c r="H382" s="94"/>
      <c r="I382" s="376">
        <f>AVERAGE(I15:I380)</f>
        <v>43.982782079235456</v>
      </c>
      <c r="J382" s="59">
        <f>AVERAGE(J15:J380)</f>
        <v>2020.1639344262296</v>
      </c>
      <c r="K382" s="200" t="s">
        <v>8</v>
      </c>
      <c r="L382" s="147">
        <f t="shared" ref="L382:V382" si="154">AVERAGE(L15:L380)</f>
        <v>3.2338989938313863E-2</v>
      </c>
      <c r="M382" s="959"/>
      <c r="N382" s="959"/>
      <c r="O382" s="48">
        <f t="shared" si="154"/>
        <v>7.0124579902181267E-2</v>
      </c>
      <c r="P382" s="169">
        <f t="shared" si="154"/>
        <v>2.4239828102104047E-3</v>
      </c>
      <c r="Q382" s="312">
        <f t="shared" si="154"/>
        <v>0.69999999999999529</v>
      </c>
      <c r="R382" s="177">
        <f t="shared" si="154"/>
        <v>0.27992233833340618</v>
      </c>
      <c r="S382" s="921">
        <f t="shared" si="154"/>
        <v>0</v>
      </c>
      <c r="T382" s="176">
        <f t="shared" si="154"/>
        <v>6</v>
      </c>
      <c r="U382" s="251">
        <f t="shared" si="154"/>
        <v>0.27992233833340618</v>
      </c>
      <c r="V382" s="375">
        <f t="shared" si="154"/>
        <v>41.97633119146483</v>
      </c>
      <c r="W382" s="392"/>
      <c r="X382" s="112" t="s">
        <v>8</v>
      </c>
      <c r="Y382" s="375">
        <f>AVERAGE(Y15:Y380)</f>
        <v>27.632940423588412</v>
      </c>
      <c r="Z382" s="375">
        <f>AVERAGE(Z15:Z380)</f>
        <v>28.55281810558165</v>
      </c>
      <c r="AA382" s="375">
        <f>AVERAGE(AA15:AA380)</f>
        <v>32.556335539739145</v>
      </c>
      <c r="AB382" s="200" t="s">
        <v>8</v>
      </c>
      <c r="AC382" s="48">
        <f t="shared" ref="AC382:AH382" si="155">AVERAGE(AC15:AC380)</f>
        <v>0.12274578094730622</v>
      </c>
      <c r="AD382" s="169">
        <f t="shared" si="155"/>
        <v>2.4239828102104047E-3</v>
      </c>
      <c r="AE382" s="312">
        <f t="shared" si="155"/>
        <v>0.69999999999999529</v>
      </c>
      <c r="AF382" s="177">
        <f t="shared" si="155"/>
        <v>0.27992233833340618</v>
      </c>
      <c r="AG382" s="921">
        <f t="shared" si="155"/>
        <v>0</v>
      </c>
      <c r="AH382" s="176">
        <f t="shared" si="155"/>
        <v>6</v>
      </c>
      <c r="AI382" s="225">
        <f>AVERAGE(AI15:AI380)</f>
        <v>0.27992233833340618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54.369</v>
      </c>
      <c r="C383" s="377"/>
      <c r="D383" s="377">
        <f>MAX(D15:D380)</f>
        <v>56.144322070404108</v>
      </c>
      <c r="E383" s="377">
        <f>MAX(E15:E380)</f>
        <v>60.026288709817308</v>
      </c>
      <c r="F383" s="378">
        <f>MAX(F15:F380)</f>
        <v>60.251561411651252</v>
      </c>
      <c r="G383" s="127">
        <f>+MAX(G15:G380)</f>
        <v>1.0462551840388286</v>
      </c>
      <c r="H383" s="94"/>
      <c r="I383" s="378">
        <f>MAX(I15:I380)</f>
        <v>61.987907498178245</v>
      </c>
      <c r="J383" s="60">
        <f>MAX(J15:J380)</f>
        <v>2022</v>
      </c>
      <c r="K383" s="200" t="s">
        <v>9</v>
      </c>
      <c r="L383" s="148">
        <f t="shared" ref="L383:T383" si="156">MAX(L15:L380)</f>
        <v>3.6191275856919614E-2</v>
      </c>
      <c r="M383" s="962"/>
      <c r="N383" s="962"/>
      <c r="O383" s="49">
        <f t="shared" si="156"/>
        <v>0.10173339612084951</v>
      </c>
      <c r="P383" s="170">
        <f t="shared" si="156"/>
        <v>6.0958134014999438E-3</v>
      </c>
      <c r="Q383" s="313">
        <f t="shared" si="156"/>
        <v>0.7</v>
      </c>
      <c r="R383" s="314">
        <f t="shared" si="156"/>
        <v>0.50003746829809126</v>
      </c>
      <c r="S383" s="922">
        <f t="shared" si="156"/>
        <v>0</v>
      </c>
      <c r="T383" s="233">
        <f t="shared" si="156"/>
        <v>6</v>
      </c>
      <c r="U383" s="253">
        <f>+MAX(U15:U380)</f>
        <v>0.50003746829809126</v>
      </c>
      <c r="V383" s="377">
        <f>MAX(V15:V380)</f>
        <v>54.187960268223435</v>
      </c>
      <c r="W383" s="392"/>
      <c r="X383" s="112" t="s">
        <v>9</v>
      </c>
      <c r="Y383" s="377">
        <f>MAX(Y15:Y380)</f>
        <v>51.200908356224978</v>
      </c>
      <c r="Z383" s="377">
        <f>MAX(Z15:Z380)</f>
        <v>52.8727820826048</v>
      </c>
      <c r="AA383" s="377">
        <f>MAX(AA15:AA380)</f>
        <v>60.026288709817308</v>
      </c>
      <c r="AB383" s="200" t="s">
        <v>9</v>
      </c>
      <c r="AC383" s="49">
        <f t="shared" ref="AC383:AH383" si="157">MAX(AC15:AC380)</f>
        <v>0.14519933644722835</v>
      </c>
      <c r="AD383" s="170">
        <f t="shared" si="157"/>
        <v>6.0958134014999438E-3</v>
      </c>
      <c r="AE383" s="313">
        <f t="shared" si="157"/>
        <v>0.7</v>
      </c>
      <c r="AF383" s="314">
        <f t="shared" si="157"/>
        <v>0.50003746829809126</v>
      </c>
      <c r="AG383" s="922">
        <f t="shared" si="157"/>
        <v>0</v>
      </c>
      <c r="AH383" s="233">
        <f t="shared" si="157"/>
        <v>6</v>
      </c>
      <c r="AI383" s="227">
        <f>MAX(AI15:AI380)</f>
        <v>0.50003746829809126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88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791</vt:i4>
      </vt:variant>
    </vt:vector>
  </HeadingPairs>
  <TitlesOfParts>
    <vt:vector size="805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PousHci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Z_sol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2023-01-15T14:31:46Z</dcterms:modified>
</cp:coreProperties>
</file>